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6"/>
  <workbookPr/>
  <mc:AlternateContent xmlns:mc="http://schemas.openxmlformats.org/markup-compatibility/2006">
    <mc:Choice Requires="x15">
      <x15ac:absPath xmlns:x15ac="http://schemas.microsoft.com/office/spreadsheetml/2010/11/ac" url="/Users/userselu/Downloads/"/>
    </mc:Choice>
  </mc:AlternateContent>
  <xr:revisionPtr revIDLastSave="0" documentId="13_ncr:1_{5729DA83-B4E2-284E-8D29-9AB70725DB41}" xr6:coauthVersionLast="47" xr6:coauthVersionMax="47" xr10:uidLastSave="{00000000-0000-0000-0000-000000000000}"/>
  <bookViews>
    <workbookView xWindow="0" yWindow="500" windowWidth="25600" windowHeight="14040" firstSheet="90" activeTab="100" xr2:uid="{00000000-000D-0000-FFFF-FFFF00000000}"/>
  </bookViews>
  <sheets>
    <sheet name="A1" sheetId="2" r:id="rId1"/>
    <sheet name="A2" sheetId="3" r:id="rId2"/>
    <sheet name="A3" sheetId="4" r:id="rId3"/>
    <sheet name="A4" sheetId="5" r:id="rId4"/>
    <sheet name="A5" sheetId="6" r:id="rId5"/>
    <sheet name="A6" sheetId="7" r:id="rId6"/>
    <sheet name="A7" sheetId="8" r:id="rId7"/>
    <sheet name="A8" sheetId="9" r:id="rId8"/>
    <sheet name="A9" sheetId="10" r:id="rId9"/>
    <sheet name="A10" sheetId="11" r:id="rId10"/>
    <sheet name="A11" sheetId="12" r:id="rId11"/>
    <sheet name="A12" sheetId="13" r:id="rId12"/>
    <sheet name="A13" sheetId="14" r:id="rId13"/>
    <sheet name="A14" sheetId="15" r:id="rId14"/>
    <sheet name="A15" sheetId="16" r:id="rId15"/>
    <sheet name="A16" sheetId="17" r:id="rId16"/>
    <sheet name="A17" sheetId="18" r:id="rId17"/>
    <sheet name="A18" sheetId="19" r:id="rId18"/>
    <sheet name="A19" sheetId="20" r:id="rId19"/>
    <sheet name="A20" sheetId="21" r:id="rId20"/>
    <sheet name="A21" sheetId="22" r:id="rId21"/>
    <sheet name="A22" sheetId="23" r:id="rId22"/>
    <sheet name="A23" sheetId="24" r:id="rId23"/>
    <sheet name="A24" sheetId="25" r:id="rId24"/>
    <sheet name="A25" sheetId="26" r:id="rId25"/>
    <sheet name="A26" sheetId="27" r:id="rId26"/>
    <sheet name="A27" sheetId="28" r:id="rId27"/>
    <sheet name="A28" sheetId="29" r:id="rId28"/>
    <sheet name="A29" sheetId="30" r:id="rId29"/>
    <sheet name="A30" sheetId="31" r:id="rId30"/>
    <sheet name="A31" sheetId="32" r:id="rId31"/>
    <sheet name="A32" sheetId="33" r:id="rId32"/>
    <sheet name="A33" sheetId="34" r:id="rId33"/>
    <sheet name="A34" sheetId="35" r:id="rId34"/>
    <sheet name="A35" sheetId="36" r:id="rId35"/>
    <sheet name="A36" sheetId="37" r:id="rId36"/>
    <sheet name="A37" sheetId="38" r:id="rId37"/>
    <sheet name="A38" sheetId="39" r:id="rId38"/>
    <sheet name="A39" sheetId="40" r:id="rId39"/>
    <sheet name="A40" sheetId="41" r:id="rId40"/>
    <sheet name="A41" sheetId="42" r:id="rId41"/>
    <sheet name="A42" sheetId="43" r:id="rId42"/>
    <sheet name="A43" sheetId="44" r:id="rId43"/>
    <sheet name="A44" sheetId="45" r:id="rId44"/>
    <sheet name="A45" sheetId="46" r:id="rId45"/>
    <sheet name="A46" sheetId="47" r:id="rId46"/>
    <sheet name="A47" sheetId="48" r:id="rId47"/>
    <sheet name="A48" sheetId="49" r:id="rId48"/>
    <sheet name="A49" sheetId="50" r:id="rId49"/>
    <sheet name="A50" sheetId="51" r:id="rId50"/>
    <sheet name="A51" sheetId="52" r:id="rId51"/>
    <sheet name="A52" sheetId="53" r:id="rId52"/>
    <sheet name="A53" sheetId="54" r:id="rId53"/>
    <sheet name="A54" sheetId="55" r:id="rId54"/>
    <sheet name="A55" sheetId="56" r:id="rId55"/>
    <sheet name="A56" sheetId="57" r:id="rId56"/>
    <sheet name="A57" sheetId="58" r:id="rId57"/>
    <sheet name="A58" sheetId="59" r:id="rId58"/>
    <sheet name="A59" sheetId="60" r:id="rId59"/>
    <sheet name="A60" sheetId="61" r:id="rId60"/>
    <sheet name="A61" sheetId="62" r:id="rId61"/>
    <sheet name="A62" sheetId="63" r:id="rId62"/>
    <sheet name="A63" sheetId="64" r:id="rId63"/>
    <sheet name="A64" sheetId="65" r:id="rId64"/>
    <sheet name="A65" sheetId="66" r:id="rId65"/>
    <sheet name="A66" sheetId="67" r:id="rId66"/>
    <sheet name="A67" sheetId="68" r:id="rId67"/>
    <sheet name="A68" sheetId="69" r:id="rId68"/>
    <sheet name="A69" sheetId="70" r:id="rId69"/>
    <sheet name="A70" sheetId="71" r:id="rId70"/>
    <sheet name="A71" sheetId="72" r:id="rId71"/>
    <sheet name="A72" sheetId="73" r:id="rId72"/>
    <sheet name="A73" sheetId="74" r:id="rId73"/>
    <sheet name="A74" sheetId="75" r:id="rId74"/>
    <sheet name="A75" sheetId="76" r:id="rId75"/>
    <sheet name="A76" sheetId="77" r:id="rId76"/>
    <sheet name="A77" sheetId="78" r:id="rId77"/>
    <sheet name="A78" sheetId="79" r:id="rId78"/>
    <sheet name="A79" sheetId="80" r:id="rId79"/>
    <sheet name="A80" sheetId="81" r:id="rId80"/>
    <sheet name="A81" sheetId="82" r:id="rId81"/>
    <sheet name="A82" sheetId="83" r:id="rId82"/>
    <sheet name="A83" sheetId="84" r:id="rId83"/>
    <sheet name="A84" sheetId="85" r:id="rId84"/>
    <sheet name="A85" sheetId="86" r:id="rId85"/>
    <sheet name="A86" sheetId="87" r:id="rId86"/>
    <sheet name="A87" sheetId="88" r:id="rId87"/>
    <sheet name="A88" sheetId="89" r:id="rId88"/>
    <sheet name="A89" sheetId="90" r:id="rId89"/>
    <sheet name="A90" sheetId="91" r:id="rId90"/>
    <sheet name="A91" sheetId="92" r:id="rId91"/>
    <sheet name="A92" sheetId="93" r:id="rId92"/>
    <sheet name="A93" sheetId="94" r:id="rId93"/>
    <sheet name="A94" sheetId="95" r:id="rId94"/>
    <sheet name="A95" sheetId="96" r:id="rId95"/>
    <sheet name="A96" sheetId="97" r:id="rId96"/>
    <sheet name="A97" sheetId="98" r:id="rId97"/>
    <sheet name="A98" sheetId="99" r:id="rId98"/>
    <sheet name="A99" sheetId="100" r:id="rId99"/>
    <sheet name="A100" sheetId="101" r:id="rId100"/>
    <sheet name="A101" sheetId="102" r:id="rId10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C20" i="102" l="1"/>
  <c r="B20" i="102"/>
  <c r="C19" i="102"/>
  <c r="B19" i="102"/>
  <c r="C18" i="102"/>
  <c r="B18" i="102"/>
  <c r="C17" i="102"/>
  <c r="B17" i="102"/>
  <c r="C16" i="102"/>
  <c r="B16" i="102"/>
  <c r="C15" i="102"/>
  <c r="B15" i="102"/>
  <c r="C14" i="102"/>
  <c r="B14" i="102"/>
  <c r="C13" i="102"/>
  <c r="B13" i="102"/>
  <c r="C12" i="102"/>
  <c r="B12" i="102"/>
  <c r="C11" i="102"/>
  <c r="B11" i="102"/>
  <c r="C10" i="102"/>
  <c r="B10" i="102"/>
  <c r="C9" i="102"/>
  <c r="B9" i="102"/>
  <c r="C8" i="102"/>
  <c r="B8" i="102"/>
  <c r="C7" i="102"/>
  <c r="B7" i="102"/>
  <c r="C6" i="102"/>
  <c r="B6" i="102"/>
  <c r="C5" i="102"/>
  <c r="B5" i="102"/>
  <c r="C4" i="102"/>
  <c r="B4" i="102"/>
  <c r="C3" i="102"/>
  <c r="B3" i="102"/>
  <c r="C2" i="102"/>
  <c r="B2" i="102"/>
  <c r="C1" i="102"/>
  <c r="B1" i="102"/>
  <c r="C20" i="101"/>
  <c r="B20" i="101"/>
  <c r="C19" i="101"/>
  <c r="B19" i="101"/>
  <c r="C18" i="101"/>
  <c r="B18" i="101"/>
  <c r="C17" i="101"/>
  <c r="B17" i="101"/>
  <c r="C16" i="101"/>
  <c r="B16" i="101"/>
  <c r="C15" i="101"/>
  <c r="B15" i="101"/>
  <c r="C14" i="101"/>
  <c r="B14" i="101"/>
  <c r="C13" i="101"/>
  <c r="B13" i="101"/>
  <c r="C12" i="101"/>
  <c r="B12" i="101"/>
  <c r="C11" i="101"/>
  <c r="B11" i="101"/>
  <c r="C10" i="101"/>
  <c r="B10" i="101"/>
  <c r="C9" i="101"/>
  <c r="B9" i="101"/>
  <c r="C8" i="101"/>
  <c r="B8" i="101"/>
  <c r="C7" i="101"/>
  <c r="B7" i="101"/>
  <c r="C6" i="101"/>
  <c r="B6" i="101"/>
  <c r="C5" i="101"/>
  <c r="B5" i="101"/>
  <c r="C4" i="101"/>
  <c r="B4" i="101"/>
  <c r="C3" i="101"/>
  <c r="B3" i="101"/>
  <c r="C2" i="101"/>
  <c r="B2" i="101"/>
  <c r="C1" i="101"/>
  <c r="B1" i="101"/>
  <c r="C22" i="100"/>
  <c r="C20" i="100"/>
  <c r="B20" i="100"/>
  <c r="C19" i="100"/>
  <c r="B19" i="100"/>
  <c r="C18" i="100"/>
  <c r="B18" i="100"/>
  <c r="C17" i="100"/>
  <c r="B17" i="100"/>
  <c r="C16" i="100"/>
  <c r="B16" i="100"/>
  <c r="C15" i="100"/>
  <c r="B15" i="100"/>
  <c r="C14" i="100"/>
  <c r="B14" i="100"/>
  <c r="C13" i="100"/>
  <c r="B13" i="100"/>
  <c r="C12" i="100"/>
  <c r="B12" i="100"/>
  <c r="C11" i="100"/>
  <c r="B11" i="100"/>
  <c r="C10" i="100"/>
  <c r="B10" i="100"/>
  <c r="C9" i="100"/>
  <c r="B9" i="100"/>
  <c r="C8" i="100"/>
  <c r="B8" i="100"/>
  <c r="C7" i="100"/>
  <c r="B7" i="100"/>
  <c r="C6" i="100"/>
  <c r="B6" i="100"/>
  <c r="C5" i="100"/>
  <c r="B5" i="100"/>
  <c r="C4" i="100"/>
  <c r="B4" i="100"/>
  <c r="C3" i="100"/>
  <c r="B3" i="100"/>
  <c r="C2" i="100"/>
  <c r="B2" i="100"/>
  <c r="C1" i="100"/>
  <c r="B1" i="100"/>
  <c r="B22" i="99"/>
  <c r="D20" i="99"/>
  <c r="C20" i="99"/>
  <c r="B20" i="99"/>
  <c r="D19" i="99"/>
  <c r="C19" i="99"/>
  <c r="B19" i="99"/>
  <c r="D18" i="99"/>
  <c r="C18" i="99"/>
  <c r="B18" i="99"/>
  <c r="D17" i="99"/>
  <c r="C17" i="99"/>
  <c r="B17" i="99"/>
  <c r="D16" i="99"/>
  <c r="C16" i="99"/>
  <c r="B16" i="99"/>
  <c r="D15" i="99"/>
  <c r="C15" i="99"/>
  <c r="B15" i="99"/>
  <c r="D14" i="99"/>
  <c r="C14" i="99"/>
  <c r="B14" i="99"/>
  <c r="D13" i="99"/>
  <c r="C13" i="99"/>
  <c r="B13" i="99"/>
  <c r="D12" i="99"/>
  <c r="C12" i="99"/>
  <c r="B12" i="99"/>
  <c r="D11" i="99"/>
  <c r="C11" i="99"/>
  <c r="B11" i="99"/>
  <c r="D10" i="99"/>
  <c r="C10" i="99"/>
  <c r="B10" i="99"/>
  <c r="D9" i="99"/>
  <c r="C9" i="99"/>
  <c r="B9" i="99"/>
  <c r="D8" i="99"/>
  <c r="C8" i="99"/>
  <c r="B8" i="99"/>
  <c r="D7" i="99"/>
  <c r="C7" i="99"/>
  <c r="B7" i="99"/>
  <c r="D6" i="99"/>
  <c r="C6" i="99"/>
  <c r="B6" i="99"/>
  <c r="C5" i="99"/>
  <c r="B5" i="99"/>
  <c r="D4" i="99"/>
  <c r="C4" i="99"/>
  <c r="B4" i="99"/>
  <c r="D3" i="99"/>
  <c r="C3" i="99"/>
  <c r="B3" i="99"/>
  <c r="D2" i="99"/>
  <c r="C2" i="99"/>
  <c r="B2" i="99"/>
  <c r="D1" i="99"/>
  <c r="C1" i="99"/>
  <c r="B1" i="99"/>
  <c r="C20" i="98"/>
  <c r="B20" i="98"/>
  <c r="C19" i="98"/>
  <c r="B19" i="98"/>
  <c r="C18" i="98"/>
  <c r="B18" i="98"/>
  <c r="C17" i="98"/>
  <c r="B17" i="98"/>
  <c r="C16" i="98"/>
  <c r="B16" i="98"/>
  <c r="C15" i="98"/>
  <c r="B15" i="98"/>
  <c r="C14" i="98"/>
  <c r="B14" i="98"/>
  <c r="C13" i="98"/>
  <c r="B13" i="98"/>
  <c r="C12" i="98"/>
  <c r="B12" i="98"/>
  <c r="C11" i="98"/>
  <c r="B11" i="98"/>
  <c r="C10" i="98"/>
  <c r="B10" i="98"/>
  <c r="C9" i="98"/>
  <c r="B9" i="98"/>
  <c r="C8" i="98"/>
  <c r="B8" i="98"/>
  <c r="C7" i="98"/>
  <c r="B7" i="98"/>
  <c r="C6" i="98"/>
  <c r="B6" i="98"/>
  <c r="C5" i="98"/>
  <c r="C4" i="98"/>
  <c r="B4" i="98"/>
  <c r="C3" i="98"/>
  <c r="B3" i="98"/>
  <c r="C2" i="98"/>
  <c r="B2" i="98"/>
  <c r="C1" i="98"/>
  <c r="B1" i="98"/>
  <c r="C20" i="97"/>
  <c r="B20" i="97"/>
  <c r="C19" i="97"/>
  <c r="B19" i="97"/>
  <c r="C18" i="97"/>
  <c r="B18" i="97"/>
  <c r="C17" i="97"/>
  <c r="B17" i="97"/>
  <c r="C16" i="97"/>
  <c r="B16" i="97"/>
  <c r="C15" i="97"/>
  <c r="B15" i="97"/>
  <c r="C14" i="97"/>
  <c r="B14" i="97"/>
  <c r="C13" i="97"/>
  <c r="B13" i="97"/>
  <c r="C12" i="97"/>
  <c r="B12" i="97"/>
  <c r="C11" i="97"/>
  <c r="B11" i="97"/>
  <c r="C10" i="97"/>
  <c r="B10" i="97"/>
  <c r="C9" i="97"/>
  <c r="B9" i="97"/>
  <c r="C8" i="97"/>
  <c r="B8" i="97"/>
  <c r="C7" i="97"/>
  <c r="B7" i="97"/>
  <c r="C6" i="97"/>
  <c r="B6" i="97"/>
  <c r="C5" i="97"/>
  <c r="B5" i="97"/>
  <c r="C4" i="97"/>
  <c r="B4" i="97"/>
  <c r="C3" i="97"/>
  <c r="B3" i="97"/>
  <c r="C2" i="97"/>
  <c r="B2" i="97"/>
  <c r="C1" i="97"/>
  <c r="B1" i="97"/>
  <c r="B20" i="96"/>
  <c r="B19" i="96"/>
  <c r="B18" i="96"/>
  <c r="B17" i="96"/>
  <c r="B16" i="96"/>
  <c r="B15" i="96"/>
  <c r="B14" i="96"/>
  <c r="B13" i="96"/>
  <c r="B12" i="96"/>
  <c r="B11" i="96"/>
  <c r="B10" i="96"/>
  <c r="B9" i="96"/>
  <c r="B8" i="96"/>
  <c r="B7" i="96"/>
  <c r="B6" i="96"/>
  <c r="B5" i="96"/>
  <c r="B4" i="96"/>
  <c r="B3" i="96"/>
  <c r="B2" i="96"/>
  <c r="B1" i="96"/>
  <c r="C20" i="95"/>
  <c r="B20" i="95"/>
  <c r="C19" i="95"/>
  <c r="B19" i="95"/>
  <c r="C18" i="95"/>
  <c r="B18" i="95"/>
  <c r="C17" i="95"/>
  <c r="B17" i="95"/>
  <c r="C16" i="95"/>
  <c r="B16" i="95"/>
  <c r="C15" i="95"/>
  <c r="B15" i="95"/>
  <c r="C14" i="95"/>
  <c r="B14" i="95"/>
  <c r="C13" i="95"/>
  <c r="B13" i="95"/>
  <c r="C12" i="95"/>
  <c r="B12" i="95"/>
  <c r="C11" i="95"/>
  <c r="B11" i="95"/>
  <c r="C10" i="95"/>
  <c r="B10" i="95"/>
  <c r="C9" i="95"/>
  <c r="B9" i="95"/>
  <c r="C8" i="95"/>
  <c r="B8" i="95"/>
  <c r="C7" i="95"/>
  <c r="B7" i="95"/>
  <c r="C6" i="95"/>
  <c r="B6" i="95"/>
  <c r="C5" i="95"/>
  <c r="B5" i="95"/>
  <c r="C4" i="95"/>
  <c r="B4" i="95"/>
  <c r="C3" i="95"/>
  <c r="B3" i="95"/>
  <c r="C2" i="95"/>
  <c r="B2" i="95"/>
  <c r="C1" i="95"/>
  <c r="B1" i="95"/>
  <c r="C20" i="94"/>
  <c r="B20" i="94"/>
  <c r="C19" i="94"/>
  <c r="B19" i="94"/>
  <c r="C18" i="94"/>
  <c r="B18" i="94"/>
  <c r="C17" i="94"/>
  <c r="B17" i="94"/>
  <c r="C16" i="94"/>
  <c r="B16" i="94"/>
  <c r="C15" i="94"/>
  <c r="B15" i="94"/>
  <c r="C14" i="94"/>
  <c r="B14" i="94"/>
  <c r="C13" i="94"/>
  <c r="B13" i="94"/>
  <c r="C12" i="94"/>
  <c r="B12" i="94"/>
  <c r="C11" i="94"/>
  <c r="B11" i="94"/>
  <c r="C10" i="94"/>
  <c r="B10" i="94"/>
  <c r="C9" i="94"/>
  <c r="B9" i="94"/>
  <c r="C8" i="94"/>
  <c r="B8" i="94"/>
  <c r="C7" i="94"/>
  <c r="B7" i="94"/>
  <c r="C6" i="94"/>
  <c r="B6" i="94"/>
  <c r="C5" i="94"/>
  <c r="B5" i="94"/>
  <c r="C4" i="94"/>
  <c r="B4" i="94"/>
  <c r="C3" i="94"/>
  <c r="B3" i="94"/>
  <c r="C2" i="94"/>
  <c r="B2" i="94"/>
  <c r="C1" i="94"/>
  <c r="B1" i="94"/>
  <c r="C20" i="93"/>
  <c r="B20" i="93"/>
  <c r="C19" i="93"/>
  <c r="B19" i="93"/>
  <c r="C18" i="93"/>
  <c r="B18" i="93"/>
  <c r="C17" i="93"/>
  <c r="B17" i="93"/>
  <c r="C16" i="93"/>
  <c r="B16" i="93"/>
  <c r="C15" i="93"/>
  <c r="B15" i="93"/>
  <c r="C14" i="93"/>
  <c r="B14" i="93"/>
  <c r="C13" i="93"/>
  <c r="B13" i="93"/>
  <c r="C12" i="93"/>
  <c r="B12" i="93"/>
  <c r="C11" i="93"/>
  <c r="B11" i="93"/>
  <c r="C10" i="93"/>
  <c r="B10" i="93"/>
  <c r="C9" i="93"/>
  <c r="B9" i="93"/>
  <c r="C8" i="93"/>
  <c r="B8" i="93"/>
  <c r="C7" i="93"/>
  <c r="B7" i="93"/>
  <c r="C6" i="93"/>
  <c r="B6" i="93"/>
  <c r="B5" i="93"/>
  <c r="C4" i="93"/>
  <c r="B4" i="93"/>
  <c r="C3" i="93"/>
  <c r="B3" i="93"/>
  <c r="C2" i="93"/>
  <c r="B2" i="93"/>
  <c r="C1" i="93"/>
  <c r="B1" i="93"/>
  <c r="B19" i="92"/>
  <c r="B18" i="92"/>
  <c r="B17" i="92"/>
  <c r="B16" i="92"/>
  <c r="B15" i="92"/>
  <c r="B14" i="92"/>
  <c r="B13" i="92"/>
  <c r="B12" i="92"/>
  <c r="B11" i="92"/>
  <c r="B10" i="92"/>
  <c r="B9" i="92"/>
  <c r="B8" i="92"/>
  <c r="B7" i="92"/>
  <c r="B6" i="92"/>
  <c r="B5" i="92"/>
  <c r="B4" i="92"/>
  <c r="B3" i="92"/>
  <c r="B2" i="92"/>
  <c r="B1" i="92"/>
  <c r="B22" i="91"/>
  <c r="C20" i="91"/>
  <c r="B20" i="91"/>
  <c r="C19" i="91"/>
  <c r="B19" i="91"/>
  <c r="C18" i="91"/>
  <c r="B18" i="91"/>
  <c r="C17" i="91"/>
  <c r="B17" i="91"/>
  <c r="C16" i="91"/>
  <c r="B16" i="91"/>
  <c r="C15" i="91"/>
  <c r="B15" i="91"/>
  <c r="C14" i="91"/>
  <c r="B14" i="91"/>
  <c r="C13" i="91"/>
  <c r="B13" i="91"/>
  <c r="C12" i="91"/>
  <c r="B12" i="91"/>
  <c r="C11" i="91"/>
  <c r="B11" i="91"/>
  <c r="C10" i="91"/>
  <c r="B10" i="91"/>
  <c r="C9" i="91"/>
  <c r="B9" i="91"/>
  <c r="C8" i="91"/>
  <c r="B8" i="91"/>
  <c r="C7" i="91"/>
  <c r="B7" i="91"/>
  <c r="C6" i="91"/>
  <c r="B6" i="91"/>
  <c r="C5" i="91"/>
  <c r="B5" i="91"/>
  <c r="C4" i="91"/>
  <c r="B4" i="91"/>
  <c r="C3" i="91"/>
  <c r="B3" i="91"/>
  <c r="C2" i="91"/>
  <c r="B2" i="91"/>
  <c r="C1" i="91"/>
  <c r="B1" i="91"/>
  <c r="C22" i="90"/>
  <c r="C20" i="90"/>
  <c r="B20" i="90"/>
  <c r="C19" i="90"/>
  <c r="B19" i="90"/>
  <c r="C18" i="90"/>
  <c r="B18" i="90"/>
  <c r="C17" i="90"/>
  <c r="B17" i="90"/>
  <c r="C16" i="90"/>
  <c r="B16" i="90"/>
  <c r="C15" i="90"/>
  <c r="B15" i="90"/>
  <c r="C14" i="90"/>
  <c r="B14" i="90"/>
  <c r="C13" i="90"/>
  <c r="B13" i="90"/>
  <c r="C12" i="90"/>
  <c r="B12" i="90"/>
  <c r="C11" i="90"/>
  <c r="B11" i="90"/>
  <c r="C10" i="90"/>
  <c r="B10" i="90"/>
  <c r="C9" i="90"/>
  <c r="B9" i="90"/>
  <c r="C8" i="90"/>
  <c r="B8" i="90"/>
  <c r="C7" i="90"/>
  <c r="B7" i="90"/>
  <c r="C6" i="90"/>
  <c r="B6" i="90"/>
  <c r="C5" i="90"/>
  <c r="B5" i="90"/>
  <c r="C4" i="90"/>
  <c r="B4" i="90"/>
  <c r="C3" i="90"/>
  <c r="B3" i="90"/>
  <c r="C2" i="90"/>
  <c r="B2" i="90"/>
  <c r="C1" i="90"/>
  <c r="B1" i="90"/>
  <c r="B22" i="89"/>
  <c r="C20" i="89"/>
  <c r="B20" i="89"/>
  <c r="C19" i="89"/>
  <c r="B19" i="89"/>
  <c r="C18" i="89"/>
  <c r="B18" i="89"/>
  <c r="C17" i="89"/>
  <c r="B17" i="89"/>
  <c r="C16" i="89"/>
  <c r="B16" i="89"/>
  <c r="C15" i="89"/>
  <c r="B15" i="89"/>
  <c r="C14" i="89"/>
  <c r="B14" i="89"/>
  <c r="C13" i="89"/>
  <c r="B13" i="89"/>
  <c r="C12" i="89"/>
  <c r="B12" i="89"/>
  <c r="C11" i="89"/>
  <c r="B11" i="89"/>
  <c r="C10" i="89"/>
  <c r="B10" i="89"/>
  <c r="C9" i="89"/>
  <c r="B9" i="89"/>
  <c r="C8" i="89"/>
  <c r="B8" i="89"/>
  <c r="C7" i="89"/>
  <c r="B7" i="89"/>
  <c r="C6" i="89"/>
  <c r="B6" i="89"/>
  <c r="C5" i="89"/>
  <c r="B5" i="89"/>
  <c r="C4" i="89"/>
  <c r="B4" i="89"/>
  <c r="C3" i="89"/>
  <c r="B3" i="89"/>
  <c r="C2" i="89"/>
  <c r="B2" i="89"/>
  <c r="C1" i="89"/>
  <c r="B1" i="89"/>
  <c r="C20" i="88"/>
  <c r="B20" i="88"/>
  <c r="C19" i="88"/>
  <c r="B19" i="88"/>
  <c r="C18" i="88"/>
  <c r="B18" i="88"/>
  <c r="C17" i="88"/>
  <c r="B17" i="88"/>
  <c r="C16" i="88"/>
  <c r="B16" i="88"/>
  <c r="C15" i="88"/>
  <c r="B15" i="88"/>
  <c r="C14" i="88"/>
  <c r="B14" i="88"/>
  <c r="C13" i="88"/>
  <c r="B13" i="88"/>
  <c r="C12" i="88"/>
  <c r="B12" i="88"/>
  <c r="C11" i="88"/>
  <c r="B11" i="88"/>
  <c r="C10" i="88"/>
  <c r="B10" i="88"/>
  <c r="C9" i="88"/>
  <c r="B9" i="88"/>
  <c r="C8" i="88"/>
  <c r="B8" i="88"/>
  <c r="C7" i="88"/>
  <c r="B7" i="88"/>
  <c r="C6" i="88"/>
  <c r="B6" i="88"/>
  <c r="B5" i="88"/>
  <c r="C4" i="88"/>
  <c r="B4" i="88"/>
  <c r="C3" i="88"/>
  <c r="B3" i="88"/>
  <c r="C2" i="88"/>
  <c r="B2" i="88"/>
  <c r="C1" i="88"/>
  <c r="B1" i="88"/>
  <c r="C20" i="87"/>
  <c r="B20" i="87"/>
  <c r="C19" i="87"/>
  <c r="B19" i="87"/>
  <c r="C18" i="87"/>
  <c r="B18" i="87"/>
  <c r="C17" i="87"/>
  <c r="B17" i="87"/>
  <c r="C16" i="87"/>
  <c r="B16" i="87"/>
  <c r="C15" i="87"/>
  <c r="B15" i="87"/>
  <c r="C14" i="87"/>
  <c r="B14" i="87"/>
  <c r="C13" i="87"/>
  <c r="B13" i="87"/>
  <c r="C12" i="87"/>
  <c r="B12" i="87"/>
  <c r="C11" i="87"/>
  <c r="B11" i="87"/>
  <c r="C10" i="87"/>
  <c r="B10" i="87"/>
  <c r="C9" i="87"/>
  <c r="B9" i="87"/>
  <c r="C8" i="87"/>
  <c r="B8" i="87"/>
  <c r="C7" i="87"/>
  <c r="B7" i="87"/>
  <c r="C6" i="87"/>
  <c r="B6" i="87"/>
  <c r="C5" i="87"/>
  <c r="B5" i="87"/>
  <c r="C4" i="87"/>
  <c r="B4" i="87"/>
  <c r="C3" i="87"/>
  <c r="B3" i="87"/>
  <c r="C2" i="87"/>
  <c r="B2" i="87"/>
  <c r="C1" i="87"/>
  <c r="B1" i="87"/>
  <c r="C20" i="86"/>
  <c r="B20" i="86"/>
  <c r="C19" i="86"/>
  <c r="B19" i="86"/>
  <c r="C18" i="86"/>
  <c r="B18" i="86"/>
  <c r="C17" i="86"/>
  <c r="B17" i="86"/>
  <c r="C16" i="86"/>
  <c r="B16" i="86"/>
  <c r="C15" i="86"/>
  <c r="B15" i="86"/>
  <c r="C14" i="86"/>
  <c r="B14" i="86"/>
  <c r="C13" i="86"/>
  <c r="B13" i="86"/>
  <c r="C12" i="86"/>
  <c r="B12" i="86"/>
  <c r="C11" i="86"/>
  <c r="B11" i="86"/>
  <c r="C10" i="86"/>
  <c r="B10" i="86"/>
  <c r="C9" i="86"/>
  <c r="B9" i="86"/>
  <c r="C8" i="86"/>
  <c r="B8" i="86"/>
  <c r="C7" i="86"/>
  <c r="B7" i="86"/>
  <c r="C6" i="86"/>
  <c r="B6" i="86"/>
  <c r="C5" i="86"/>
  <c r="B5" i="86"/>
  <c r="C4" i="86"/>
  <c r="B4" i="86"/>
  <c r="C3" i="86"/>
  <c r="B3" i="86"/>
  <c r="C2" i="86"/>
  <c r="B2" i="86"/>
  <c r="C1" i="86"/>
  <c r="B1" i="86"/>
  <c r="D20" i="85"/>
  <c r="C20" i="85"/>
  <c r="B20" i="85"/>
  <c r="D19" i="85"/>
  <c r="C19" i="85"/>
  <c r="B19" i="85"/>
  <c r="D18" i="85"/>
  <c r="C18" i="85"/>
  <c r="B18" i="85"/>
  <c r="D17" i="85"/>
  <c r="C17" i="85"/>
  <c r="B17" i="85"/>
  <c r="D16" i="85"/>
  <c r="C16" i="85"/>
  <c r="B16" i="85"/>
  <c r="D15" i="85"/>
  <c r="C15" i="85"/>
  <c r="B15" i="85"/>
  <c r="D14" i="85"/>
  <c r="C14" i="85"/>
  <c r="B14" i="85"/>
  <c r="D13" i="85"/>
  <c r="C13" i="85"/>
  <c r="B13" i="85"/>
  <c r="D12" i="85"/>
  <c r="C12" i="85"/>
  <c r="B12" i="85"/>
  <c r="D11" i="85"/>
  <c r="C11" i="85"/>
  <c r="B11" i="85"/>
  <c r="D10" i="85"/>
  <c r="C10" i="85"/>
  <c r="B10" i="85"/>
  <c r="D9" i="85"/>
  <c r="C9" i="85"/>
  <c r="B9" i="85"/>
  <c r="D8" i="85"/>
  <c r="C8" i="85"/>
  <c r="B8" i="85"/>
  <c r="D7" i="85"/>
  <c r="C7" i="85"/>
  <c r="B7" i="85"/>
  <c r="D6" i="85"/>
  <c r="C6" i="85"/>
  <c r="B6" i="85"/>
  <c r="D5" i="85"/>
  <c r="B5" i="85"/>
  <c r="D4" i="85"/>
  <c r="C4" i="85"/>
  <c r="B4" i="85"/>
  <c r="D3" i="85"/>
  <c r="C3" i="85"/>
  <c r="B3" i="85"/>
  <c r="D2" i="85"/>
  <c r="C2" i="85"/>
  <c r="B2" i="85"/>
  <c r="D1" i="85"/>
  <c r="C1" i="85"/>
  <c r="B1" i="85"/>
  <c r="C20" i="84"/>
  <c r="B20" i="84"/>
  <c r="C19" i="84"/>
  <c r="B19" i="84"/>
  <c r="C18" i="84"/>
  <c r="B18" i="84"/>
  <c r="C17" i="84"/>
  <c r="B17" i="84"/>
  <c r="C16" i="84"/>
  <c r="B16" i="84"/>
  <c r="C15" i="84"/>
  <c r="B15" i="84"/>
  <c r="C14" i="84"/>
  <c r="B14" i="84"/>
  <c r="C13" i="84"/>
  <c r="B13" i="84"/>
  <c r="C12" i="84"/>
  <c r="B12" i="84"/>
  <c r="C11" i="84"/>
  <c r="B11" i="84"/>
  <c r="C10" i="84"/>
  <c r="B10" i="84"/>
  <c r="C9" i="84"/>
  <c r="B9" i="84"/>
  <c r="C8" i="84"/>
  <c r="B8" i="84"/>
  <c r="C7" i="84"/>
  <c r="B7" i="84"/>
  <c r="C6" i="84"/>
  <c r="B6" i="84"/>
  <c r="C5" i="84"/>
  <c r="B5" i="84"/>
  <c r="C4" i="84"/>
  <c r="B4" i="84"/>
  <c r="C3" i="84"/>
  <c r="B3" i="84"/>
  <c r="C2" i="84"/>
  <c r="B2" i="84"/>
  <c r="C1" i="84"/>
  <c r="B1" i="84"/>
  <c r="C20" i="83"/>
  <c r="B20" i="83"/>
  <c r="C19" i="83"/>
  <c r="B19" i="83"/>
  <c r="C18" i="83"/>
  <c r="B18" i="83"/>
  <c r="C17" i="83"/>
  <c r="B17" i="83"/>
  <c r="C16" i="83"/>
  <c r="B16" i="83"/>
  <c r="C15" i="83"/>
  <c r="B15" i="83"/>
  <c r="C14" i="83"/>
  <c r="B14" i="83"/>
  <c r="C13" i="83"/>
  <c r="B13" i="83"/>
  <c r="C12" i="83"/>
  <c r="B12" i="83"/>
  <c r="C11" i="83"/>
  <c r="B11" i="83"/>
  <c r="C10" i="83"/>
  <c r="B10" i="83"/>
  <c r="C9" i="83"/>
  <c r="B9" i="83"/>
  <c r="C8" i="83"/>
  <c r="B8" i="83"/>
  <c r="C7" i="83"/>
  <c r="B7" i="83"/>
  <c r="C6" i="83"/>
  <c r="B6" i="83"/>
  <c r="C5" i="83"/>
  <c r="B5" i="83"/>
  <c r="C4" i="83"/>
  <c r="B4" i="83"/>
  <c r="C3" i="83"/>
  <c r="B3" i="83"/>
  <c r="C2" i="83"/>
  <c r="B2" i="83"/>
  <c r="C1" i="83"/>
  <c r="B1" i="83"/>
  <c r="B20" i="82"/>
  <c r="B19" i="82"/>
  <c r="B18" i="82"/>
  <c r="B17" i="82"/>
  <c r="B16" i="82"/>
  <c r="B15" i="82"/>
  <c r="B14" i="82"/>
  <c r="B13" i="82"/>
  <c r="B12" i="82"/>
  <c r="B11" i="82"/>
  <c r="B10" i="82"/>
  <c r="B9" i="82"/>
  <c r="B8" i="82"/>
  <c r="B7" i="82"/>
  <c r="B6" i="82"/>
  <c r="B4" i="82"/>
  <c r="B3" i="82"/>
  <c r="B2" i="82"/>
  <c r="C1" i="82"/>
  <c r="B1" i="82"/>
  <c r="C20" i="81"/>
  <c r="B20" i="81"/>
  <c r="C19" i="81"/>
  <c r="B19" i="81"/>
  <c r="C18" i="81"/>
  <c r="B18" i="81"/>
  <c r="C17" i="81"/>
  <c r="B17" i="81"/>
  <c r="C16" i="81"/>
  <c r="B16" i="81"/>
  <c r="C15" i="81"/>
  <c r="B15" i="81"/>
  <c r="C14" i="81"/>
  <c r="B14" i="81"/>
  <c r="C13" i="81"/>
  <c r="B13" i="81"/>
  <c r="C12" i="81"/>
  <c r="B12" i="81"/>
  <c r="C11" i="81"/>
  <c r="B11" i="81"/>
  <c r="C10" i="81"/>
  <c r="B10" i="81"/>
  <c r="C9" i="81"/>
  <c r="B9" i="81"/>
  <c r="C8" i="81"/>
  <c r="B8" i="81"/>
  <c r="C7" i="81"/>
  <c r="B7" i="81"/>
  <c r="C6" i="81"/>
  <c r="B6" i="81"/>
  <c r="C5" i="81"/>
  <c r="B5" i="81"/>
  <c r="C4" i="81"/>
  <c r="B4" i="81"/>
  <c r="C3" i="81"/>
  <c r="B3" i="81"/>
  <c r="C2" i="81"/>
  <c r="B2" i="81"/>
  <c r="C1" i="81"/>
  <c r="B1" i="81"/>
  <c r="B22" i="80"/>
  <c r="C20" i="80"/>
  <c r="B20" i="80"/>
  <c r="C19" i="80"/>
  <c r="B19" i="80"/>
  <c r="C18" i="80"/>
  <c r="B18" i="80"/>
  <c r="C17" i="80"/>
  <c r="B17" i="80"/>
  <c r="C16" i="80"/>
  <c r="B16" i="80"/>
  <c r="C15" i="80"/>
  <c r="B15" i="80"/>
  <c r="C14" i="80"/>
  <c r="B14" i="80"/>
  <c r="C13" i="80"/>
  <c r="B13" i="80"/>
  <c r="C12" i="80"/>
  <c r="B12" i="80"/>
  <c r="C11" i="80"/>
  <c r="B11" i="80"/>
  <c r="C10" i="80"/>
  <c r="B10" i="80"/>
  <c r="C9" i="80"/>
  <c r="B9" i="80"/>
  <c r="C8" i="80"/>
  <c r="B8" i="80"/>
  <c r="C7" i="80"/>
  <c r="B7" i="80"/>
  <c r="C6" i="80"/>
  <c r="B6" i="80"/>
  <c r="C5" i="80"/>
  <c r="B5" i="80"/>
  <c r="C4" i="80"/>
  <c r="B4" i="80"/>
  <c r="C3" i="80"/>
  <c r="B3" i="80"/>
  <c r="C2" i="80"/>
  <c r="B2" i="80"/>
  <c r="C1" i="80"/>
  <c r="B1" i="80"/>
  <c r="B20" i="79"/>
  <c r="B19" i="79"/>
  <c r="B18" i="79"/>
  <c r="B17" i="79"/>
  <c r="B16" i="79"/>
  <c r="B15" i="79"/>
  <c r="B14" i="79"/>
  <c r="B13" i="79"/>
  <c r="B12" i="79"/>
  <c r="B11" i="79"/>
  <c r="B10" i="79"/>
  <c r="B9" i="79"/>
  <c r="B8" i="79"/>
  <c r="B7" i="79"/>
  <c r="B6" i="79"/>
  <c r="B5" i="79"/>
  <c r="B4" i="79"/>
  <c r="B3" i="79"/>
  <c r="B2" i="79"/>
  <c r="C1" i="79"/>
  <c r="B1" i="79"/>
  <c r="C20" i="78"/>
  <c r="B20" i="78"/>
  <c r="C19" i="78"/>
  <c r="B19" i="78"/>
  <c r="C18" i="78"/>
  <c r="B18" i="78"/>
  <c r="C17" i="78"/>
  <c r="B17" i="78"/>
  <c r="C16" i="78"/>
  <c r="B16" i="78"/>
  <c r="C15" i="78"/>
  <c r="B15" i="78"/>
  <c r="C14" i="78"/>
  <c r="B14" i="78"/>
  <c r="C13" i="78"/>
  <c r="B13" i="78"/>
  <c r="C12" i="78"/>
  <c r="B12" i="78"/>
  <c r="C11" i="78"/>
  <c r="B11" i="78"/>
  <c r="C10" i="78"/>
  <c r="B10" i="78"/>
  <c r="C9" i="78"/>
  <c r="B9" i="78"/>
  <c r="C8" i="78"/>
  <c r="B8" i="78"/>
  <c r="C7" i="78"/>
  <c r="B7" i="78"/>
  <c r="C6" i="78"/>
  <c r="B6" i="78"/>
  <c r="C5" i="78"/>
  <c r="C4" i="78"/>
  <c r="B4" i="78"/>
  <c r="C3" i="78"/>
  <c r="B3" i="78"/>
  <c r="C2" i="78"/>
  <c r="B2" i="78"/>
  <c r="C1" i="78"/>
  <c r="B1" i="78"/>
  <c r="C20" i="77"/>
  <c r="B20" i="77"/>
  <c r="C19" i="77"/>
  <c r="B19" i="77"/>
  <c r="C18" i="77"/>
  <c r="B18" i="77"/>
  <c r="C17" i="77"/>
  <c r="B17" i="77"/>
  <c r="C16" i="77"/>
  <c r="B16" i="77"/>
  <c r="C15" i="77"/>
  <c r="B15" i="77"/>
  <c r="C14" i="77"/>
  <c r="B14" i="77"/>
  <c r="C13" i="77"/>
  <c r="B13" i="77"/>
  <c r="C12" i="77"/>
  <c r="B12" i="77"/>
  <c r="C11" i="77"/>
  <c r="B11" i="77"/>
  <c r="C10" i="77"/>
  <c r="B10" i="77"/>
  <c r="C9" i="77"/>
  <c r="B9" i="77"/>
  <c r="C8" i="77"/>
  <c r="B8" i="77"/>
  <c r="C7" i="77"/>
  <c r="B7" i="77"/>
  <c r="C6" i="77"/>
  <c r="B6" i="77"/>
  <c r="C5" i="77"/>
  <c r="B5" i="77"/>
  <c r="C4" i="77"/>
  <c r="B4" i="77"/>
  <c r="C3" i="77"/>
  <c r="B3" i="77"/>
  <c r="C2" i="77"/>
  <c r="B2" i="77"/>
  <c r="C1" i="77"/>
  <c r="B1" i="77"/>
  <c r="C20" i="76"/>
  <c r="B20" i="76"/>
  <c r="C19" i="76"/>
  <c r="B19" i="76"/>
  <c r="C18" i="76"/>
  <c r="B18" i="76"/>
  <c r="C17" i="76"/>
  <c r="B17" i="76"/>
  <c r="C16" i="76"/>
  <c r="B16" i="76"/>
  <c r="C15" i="76"/>
  <c r="B15" i="76"/>
  <c r="C14" i="76"/>
  <c r="B14" i="76"/>
  <c r="C13" i="76"/>
  <c r="B13" i="76"/>
  <c r="C12" i="76"/>
  <c r="B12" i="76"/>
  <c r="C11" i="76"/>
  <c r="B11" i="76"/>
  <c r="C10" i="76"/>
  <c r="B10" i="76"/>
  <c r="C9" i="76"/>
  <c r="B9" i="76"/>
  <c r="C8" i="76"/>
  <c r="B8" i="76"/>
  <c r="C7" i="76"/>
  <c r="B7" i="76"/>
  <c r="C6" i="76"/>
  <c r="B6" i="76"/>
  <c r="C5" i="76"/>
  <c r="B5" i="76"/>
  <c r="C4" i="76"/>
  <c r="B4" i="76"/>
  <c r="C3" i="76"/>
  <c r="B3" i="76"/>
  <c r="C2" i="76"/>
  <c r="B2" i="76"/>
  <c r="C1" i="76"/>
  <c r="B1" i="76"/>
  <c r="B20" i="75"/>
  <c r="B19" i="75"/>
  <c r="B18" i="75"/>
  <c r="B17" i="75"/>
  <c r="B16" i="75"/>
  <c r="B15" i="75"/>
  <c r="B14" i="75"/>
  <c r="B13" i="75"/>
  <c r="B12" i="75"/>
  <c r="B11" i="75"/>
  <c r="B10" i="75"/>
  <c r="B9" i="75"/>
  <c r="B8" i="75"/>
  <c r="B7" i="75"/>
  <c r="B6" i="75"/>
  <c r="B5" i="75"/>
  <c r="B4" i="75"/>
  <c r="B3" i="75"/>
  <c r="B2" i="75"/>
  <c r="C1" i="75"/>
  <c r="B1" i="75"/>
  <c r="C20" i="74"/>
  <c r="B20" i="74"/>
  <c r="C19" i="74"/>
  <c r="B19" i="74"/>
  <c r="C18" i="74"/>
  <c r="B18" i="74"/>
  <c r="C17" i="74"/>
  <c r="B17" i="74"/>
  <c r="C16" i="74"/>
  <c r="B16" i="74"/>
  <c r="C15" i="74"/>
  <c r="B15" i="74"/>
  <c r="C14" i="74"/>
  <c r="B14" i="74"/>
  <c r="C13" i="74"/>
  <c r="B13" i="74"/>
  <c r="C12" i="74"/>
  <c r="B12" i="74"/>
  <c r="C11" i="74"/>
  <c r="B11" i="74"/>
  <c r="C10" i="74"/>
  <c r="B10" i="74"/>
  <c r="C9" i="74"/>
  <c r="B9" i="74"/>
  <c r="C8" i="74"/>
  <c r="B8" i="74"/>
  <c r="C7" i="74"/>
  <c r="B7" i="74"/>
  <c r="C6" i="74"/>
  <c r="B6" i="74"/>
  <c r="C5" i="74"/>
  <c r="B5" i="74"/>
  <c r="C4" i="74"/>
  <c r="B4" i="74"/>
  <c r="C3" i="74"/>
  <c r="B3" i="74"/>
  <c r="C2" i="74"/>
  <c r="B2" i="74"/>
  <c r="C1" i="74"/>
  <c r="B1" i="74"/>
  <c r="B22" i="73"/>
  <c r="C20" i="73"/>
  <c r="B20" i="73"/>
  <c r="C19" i="73"/>
  <c r="B19" i="73"/>
  <c r="C18" i="73"/>
  <c r="B18" i="73"/>
  <c r="C17" i="73"/>
  <c r="B17" i="73"/>
  <c r="C16" i="73"/>
  <c r="B16" i="73"/>
  <c r="C15" i="73"/>
  <c r="B15" i="73"/>
  <c r="C14" i="73"/>
  <c r="B14" i="73"/>
  <c r="C13" i="73"/>
  <c r="B13" i="73"/>
  <c r="C12" i="73"/>
  <c r="B12" i="73"/>
  <c r="C11" i="73"/>
  <c r="B11" i="73"/>
  <c r="C10" i="73"/>
  <c r="B10" i="73"/>
  <c r="C9" i="73"/>
  <c r="B9" i="73"/>
  <c r="C8" i="73"/>
  <c r="B8" i="73"/>
  <c r="C7" i="73"/>
  <c r="B7" i="73"/>
  <c r="C6" i="73"/>
  <c r="B6" i="73"/>
  <c r="C5" i="73"/>
  <c r="B5" i="73"/>
  <c r="C4" i="73"/>
  <c r="B4" i="73"/>
  <c r="C3" i="73"/>
  <c r="B3" i="73"/>
  <c r="C2" i="73"/>
  <c r="B2" i="73"/>
  <c r="C1" i="73"/>
  <c r="B1" i="73"/>
  <c r="C20" i="72"/>
  <c r="B20" i="72"/>
  <c r="C19" i="72"/>
  <c r="B19" i="72"/>
  <c r="C18" i="72"/>
  <c r="B18" i="72"/>
  <c r="C17" i="72"/>
  <c r="B17" i="72"/>
  <c r="C16" i="72"/>
  <c r="B16" i="72"/>
  <c r="C15" i="72"/>
  <c r="B15" i="72"/>
  <c r="C14" i="72"/>
  <c r="B14" i="72"/>
  <c r="C13" i="72"/>
  <c r="B13" i="72"/>
  <c r="C12" i="72"/>
  <c r="B12" i="72"/>
  <c r="C11" i="72"/>
  <c r="B11" i="72"/>
  <c r="C10" i="72"/>
  <c r="B10" i="72"/>
  <c r="C9" i="72"/>
  <c r="B9" i="72"/>
  <c r="C8" i="72"/>
  <c r="B8" i="72"/>
  <c r="C7" i="72"/>
  <c r="B7" i="72"/>
  <c r="C6" i="72"/>
  <c r="B6" i="72"/>
  <c r="C5" i="72"/>
  <c r="B5" i="72"/>
  <c r="C4" i="72"/>
  <c r="B4" i="72"/>
  <c r="C3" i="72"/>
  <c r="B3" i="72"/>
  <c r="C2" i="72"/>
  <c r="B2" i="72"/>
  <c r="C1" i="72"/>
  <c r="B1" i="72"/>
  <c r="B20" i="71"/>
  <c r="B19" i="71"/>
  <c r="B18" i="71"/>
  <c r="B17" i="71"/>
  <c r="B16" i="71"/>
  <c r="B15" i="71"/>
  <c r="B14" i="71"/>
  <c r="B13" i="71"/>
  <c r="B12" i="71"/>
  <c r="B11" i="71"/>
  <c r="B10" i="71"/>
  <c r="B9" i="71"/>
  <c r="B8" i="71"/>
  <c r="B7" i="71"/>
  <c r="B6" i="71"/>
  <c r="B5" i="71"/>
  <c r="B4" i="71"/>
  <c r="B3" i="71"/>
  <c r="B2" i="71"/>
  <c r="C1" i="71"/>
  <c r="B1" i="71"/>
  <c r="C20" i="70"/>
  <c r="B20" i="70"/>
  <c r="C19" i="70"/>
  <c r="B19" i="70"/>
  <c r="C18" i="70"/>
  <c r="B18" i="70"/>
  <c r="C17" i="70"/>
  <c r="B17" i="70"/>
  <c r="C16" i="70"/>
  <c r="B16" i="70"/>
  <c r="C15" i="70"/>
  <c r="B15" i="70"/>
  <c r="C14" i="70"/>
  <c r="B14" i="70"/>
  <c r="C13" i="70"/>
  <c r="B13" i="70"/>
  <c r="C12" i="70"/>
  <c r="B12" i="70"/>
  <c r="C11" i="70"/>
  <c r="B11" i="70"/>
  <c r="C10" i="70"/>
  <c r="B10" i="70"/>
  <c r="C9" i="70"/>
  <c r="B9" i="70"/>
  <c r="C8" i="70"/>
  <c r="B8" i="70"/>
  <c r="C7" i="70"/>
  <c r="B7" i="70"/>
  <c r="C6" i="70"/>
  <c r="B6" i="70"/>
  <c r="C5" i="70"/>
  <c r="C4" i="70"/>
  <c r="B4" i="70"/>
  <c r="C3" i="70"/>
  <c r="B3" i="70"/>
  <c r="C2" i="70"/>
  <c r="B2" i="70"/>
  <c r="C1" i="70"/>
  <c r="B1" i="70"/>
  <c r="D20" i="69"/>
  <c r="C20" i="69"/>
  <c r="B20" i="69"/>
  <c r="D19" i="69"/>
  <c r="C19" i="69"/>
  <c r="B19" i="69"/>
  <c r="D18" i="69"/>
  <c r="C18" i="69"/>
  <c r="B18" i="69"/>
  <c r="D17" i="69"/>
  <c r="C17" i="69"/>
  <c r="B17" i="69"/>
  <c r="D16" i="69"/>
  <c r="C16" i="69"/>
  <c r="B16" i="69"/>
  <c r="D15" i="69"/>
  <c r="C15" i="69"/>
  <c r="B15" i="69"/>
  <c r="D14" i="69"/>
  <c r="C14" i="69"/>
  <c r="B14" i="69"/>
  <c r="D13" i="69"/>
  <c r="C13" i="69"/>
  <c r="B13" i="69"/>
  <c r="D12" i="69"/>
  <c r="C12" i="69"/>
  <c r="B12" i="69"/>
  <c r="D11" i="69"/>
  <c r="B11" i="69"/>
  <c r="D10" i="69"/>
  <c r="C10" i="69"/>
  <c r="B10" i="69"/>
  <c r="D9" i="69"/>
  <c r="C9" i="69"/>
  <c r="B9" i="69"/>
  <c r="D8" i="69"/>
  <c r="C8" i="69"/>
  <c r="B8" i="69"/>
  <c r="D7" i="69"/>
  <c r="C7" i="69"/>
  <c r="B7" i="69"/>
  <c r="D6" i="69"/>
  <c r="C6" i="69"/>
  <c r="B6" i="69"/>
  <c r="D5" i="69"/>
  <c r="B5" i="69"/>
  <c r="D4" i="69"/>
  <c r="C4" i="69"/>
  <c r="B4" i="69"/>
  <c r="D3" i="69"/>
  <c r="C3" i="69"/>
  <c r="B3" i="69"/>
  <c r="D2" i="69"/>
  <c r="C2" i="69"/>
  <c r="B2" i="69"/>
  <c r="D1" i="69"/>
  <c r="C1" i="69"/>
  <c r="B1" i="69"/>
  <c r="B20" i="68"/>
  <c r="B19" i="68"/>
  <c r="B18" i="68"/>
  <c r="B17" i="68"/>
  <c r="B16" i="68"/>
  <c r="B15" i="68"/>
  <c r="B14" i="68"/>
  <c r="B13" i="68"/>
  <c r="B12" i="68"/>
  <c r="B11" i="68"/>
  <c r="B10" i="68"/>
  <c r="B9" i="68"/>
  <c r="B8" i="68"/>
  <c r="B7" i="68"/>
  <c r="B6" i="68"/>
  <c r="B5" i="68"/>
  <c r="B4" i="68"/>
  <c r="B3" i="68"/>
  <c r="B2" i="68"/>
  <c r="D1" i="68"/>
  <c r="C1" i="68"/>
  <c r="B1" i="68"/>
  <c r="C20" i="67"/>
  <c r="B20" i="67"/>
  <c r="C19" i="67"/>
  <c r="B19" i="67"/>
  <c r="C18" i="67"/>
  <c r="B18" i="67"/>
  <c r="C17" i="67"/>
  <c r="B17" i="67"/>
  <c r="C16" i="67"/>
  <c r="B16" i="67"/>
  <c r="C15" i="67"/>
  <c r="B15" i="67"/>
  <c r="C14" i="67"/>
  <c r="B14" i="67"/>
  <c r="C13" i="67"/>
  <c r="B13" i="67"/>
  <c r="C12" i="67"/>
  <c r="B12" i="67"/>
  <c r="C11" i="67"/>
  <c r="B11" i="67"/>
  <c r="C10" i="67"/>
  <c r="B10" i="67"/>
  <c r="C9" i="67"/>
  <c r="B9" i="67"/>
  <c r="C8" i="67"/>
  <c r="B8" i="67"/>
  <c r="C7" i="67"/>
  <c r="B7" i="67"/>
  <c r="C6" i="67"/>
  <c r="B6" i="67"/>
  <c r="B5" i="67"/>
  <c r="C4" i="67"/>
  <c r="B4" i="67"/>
  <c r="C3" i="67"/>
  <c r="B3" i="67"/>
  <c r="C2" i="67"/>
  <c r="B2" i="67"/>
  <c r="C1" i="67"/>
  <c r="B1" i="67"/>
  <c r="C20" i="66"/>
  <c r="B20" i="66"/>
  <c r="C19" i="66"/>
  <c r="B19" i="66"/>
  <c r="C18" i="66"/>
  <c r="B18" i="66"/>
  <c r="C17" i="66"/>
  <c r="B17" i="66"/>
  <c r="C16" i="66"/>
  <c r="B16" i="66"/>
  <c r="C15" i="66"/>
  <c r="B15" i="66"/>
  <c r="C14" i="66"/>
  <c r="B14" i="66"/>
  <c r="C13" i="66"/>
  <c r="B13" i="66"/>
  <c r="C12" i="66"/>
  <c r="B12" i="66"/>
  <c r="B11" i="66"/>
  <c r="C10" i="66"/>
  <c r="B10" i="66"/>
  <c r="C9" i="66"/>
  <c r="B9" i="66"/>
  <c r="C8" i="66"/>
  <c r="B8" i="66"/>
  <c r="C7" i="66"/>
  <c r="B7" i="66"/>
  <c r="C6" i="66"/>
  <c r="B6" i="66"/>
  <c r="B5" i="66"/>
  <c r="C4" i="66"/>
  <c r="B4" i="66"/>
  <c r="C3" i="66"/>
  <c r="B3" i="66"/>
  <c r="C2" i="66"/>
  <c r="B2" i="66"/>
  <c r="C1" i="66"/>
  <c r="B1" i="66"/>
  <c r="C20" i="65"/>
  <c r="B20" i="65"/>
  <c r="C19" i="65"/>
  <c r="B19" i="65"/>
  <c r="C18" i="65"/>
  <c r="B18" i="65"/>
  <c r="C17" i="65"/>
  <c r="B17" i="65"/>
  <c r="C16" i="65"/>
  <c r="B16" i="65"/>
  <c r="C15" i="65"/>
  <c r="B15" i="65"/>
  <c r="C14" i="65"/>
  <c r="B14" i="65"/>
  <c r="C13" i="65"/>
  <c r="B13" i="65"/>
  <c r="C12" i="65"/>
  <c r="B12" i="65"/>
  <c r="C11" i="65"/>
  <c r="B11" i="65"/>
  <c r="C10" i="65"/>
  <c r="B10" i="65"/>
  <c r="C9" i="65"/>
  <c r="B9" i="65"/>
  <c r="C8" i="65"/>
  <c r="B8" i="65"/>
  <c r="C7" i="65"/>
  <c r="B7" i="65"/>
  <c r="C6" i="65"/>
  <c r="B6" i="65"/>
  <c r="C5" i="65"/>
  <c r="C4" i="65"/>
  <c r="B4" i="65"/>
  <c r="C3" i="65"/>
  <c r="B3" i="65"/>
  <c r="C2" i="65"/>
  <c r="B2" i="65"/>
  <c r="C1" i="65"/>
  <c r="B1" i="65"/>
  <c r="C20" i="64"/>
  <c r="B20" i="64"/>
  <c r="C19" i="64"/>
  <c r="B19" i="64"/>
  <c r="C18" i="64"/>
  <c r="B18" i="64"/>
  <c r="C17" i="64"/>
  <c r="B17" i="64"/>
  <c r="C16" i="64"/>
  <c r="B16" i="64"/>
  <c r="C15" i="64"/>
  <c r="B15" i="64"/>
  <c r="C14" i="64"/>
  <c r="B14" i="64"/>
  <c r="C13" i="64"/>
  <c r="B13" i="64"/>
  <c r="C12" i="64"/>
  <c r="B12" i="64"/>
  <c r="C11" i="64"/>
  <c r="B11" i="64"/>
  <c r="C10" i="64"/>
  <c r="B10" i="64"/>
  <c r="C9" i="64"/>
  <c r="B9" i="64"/>
  <c r="C8" i="64"/>
  <c r="B8" i="64"/>
  <c r="C7" i="64"/>
  <c r="B7" i="64"/>
  <c r="C6" i="64"/>
  <c r="B6" i="64"/>
  <c r="C5" i="64"/>
  <c r="C4" i="64"/>
  <c r="B4" i="64"/>
  <c r="C3" i="64"/>
  <c r="B3" i="64"/>
  <c r="C2" i="64"/>
  <c r="B2" i="64"/>
  <c r="C1" i="64"/>
  <c r="B1" i="64"/>
  <c r="C20" i="63"/>
  <c r="B20" i="63"/>
  <c r="C19" i="63"/>
  <c r="B19" i="63"/>
  <c r="C18" i="63"/>
  <c r="B18" i="63"/>
  <c r="C17" i="63"/>
  <c r="B17" i="63"/>
  <c r="C16" i="63"/>
  <c r="B16" i="63"/>
  <c r="C15" i="63"/>
  <c r="B15" i="63"/>
  <c r="C14" i="63"/>
  <c r="B14" i="63"/>
  <c r="C13" i="63"/>
  <c r="B13" i="63"/>
  <c r="C12" i="63"/>
  <c r="B12" i="63"/>
  <c r="C11" i="63"/>
  <c r="B11" i="63"/>
  <c r="C10" i="63"/>
  <c r="B10" i="63"/>
  <c r="C9" i="63"/>
  <c r="B9" i="63"/>
  <c r="C8" i="63"/>
  <c r="B8" i="63"/>
  <c r="C7" i="63"/>
  <c r="B7" i="63"/>
  <c r="C6" i="63"/>
  <c r="B6" i="63"/>
  <c r="C5" i="63"/>
  <c r="C4" i="63"/>
  <c r="B4" i="63"/>
  <c r="C3" i="63"/>
  <c r="B3" i="63"/>
  <c r="C2" i="63"/>
  <c r="B2" i="63"/>
  <c r="C1" i="63"/>
  <c r="B1" i="63"/>
  <c r="C20" i="62"/>
  <c r="B20" i="62"/>
  <c r="C19" i="62"/>
  <c r="B19" i="62"/>
  <c r="C18" i="62"/>
  <c r="B18" i="62"/>
  <c r="C17" i="62"/>
  <c r="B17" i="62"/>
  <c r="C16" i="62"/>
  <c r="B16" i="62"/>
  <c r="C15" i="62"/>
  <c r="B15" i="62"/>
  <c r="C14" i="62"/>
  <c r="B14" i="62"/>
  <c r="C13" i="62"/>
  <c r="B13" i="62"/>
  <c r="C12" i="62"/>
  <c r="B12" i="62"/>
  <c r="C11" i="62"/>
  <c r="B11" i="62"/>
  <c r="C10" i="62"/>
  <c r="B10" i="62"/>
  <c r="C9" i="62"/>
  <c r="B9" i="62"/>
  <c r="C8" i="62"/>
  <c r="B8" i="62"/>
  <c r="C7" i="62"/>
  <c r="B7" i="62"/>
  <c r="C6" i="62"/>
  <c r="B6" i="62"/>
  <c r="C5" i="62"/>
  <c r="B5" i="62"/>
  <c r="C4" i="62"/>
  <c r="B4" i="62"/>
  <c r="C3" i="62"/>
  <c r="B3" i="62"/>
  <c r="C2" i="62"/>
  <c r="B2" i="62"/>
  <c r="C1" i="62"/>
  <c r="B1" i="62"/>
  <c r="C20" i="61"/>
  <c r="B20" i="61"/>
  <c r="C19" i="61"/>
  <c r="B19" i="61"/>
  <c r="C18" i="61"/>
  <c r="B18" i="61"/>
  <c r="C17" i="61"/>
  <c r="B17" i="61"/>
  <c r="C16" i="61"/>
  <c r="B16" i="61"/>
  <c r="C15" i="61"/>
  <c r="B15" i="61"/>
  <c r="C14" i="61"/>
  <c r="B14" i="61"/>
  <c r="C13" i="61"/>
  <c r="B13" i="61"/>
  <c r="C12" i="61"/>
  <c r="B12" i="61"/>
  <c r="C11" i="61"/>
  <c r="B11" i="61"/>
  <c r="C10" i="61"/>
  <c r="B10" i="61"/>
  <c r="C9" i="61"/>
  <c r="B9" i="61"/>
  <c r="C8" i="61"/>
  <c r="B8" i="61"/>
  <c r="C7" i="61"/>
  <c r="B7" i="61"/>
  <c r="C6" i="61"/>
  <c r="B6" i="61"/>
  <c r="C5" i="61"/>
  <c r="B5" i="61"/>
  <c r="C4" i="61"/>
  <c r="B4" i="61"/>
  <c r="C3" i="61"/>
  <c r="B3" i="61"/>
  <c r="C2" i="61"/>
  <c r="B2" i="61"/>
  <c r="C1" i="61"/>
  <c r="B1" i="61"/>
  <c r="D20" i="60"/>
  <c r="C20" i="60"/>
  <c r="B20" i="60"/>
  <c r="D19" i="60"/>
  <c r="C19" i="60"/>
  <c r="B19" i="60"/>
  <c r="D18" i="60"/>
  <c r="C18" i="60"/>
  <c r="B18" i="60"/>
  <c r="D17" i="60"/>
  <c r="C17" i="60"/>
  <c r="B17" i="60"/>
  <c r="D16" i="60"/>
  <c r="C16" i="60"/>
  <c r="B16" i="60"/>
  <c r="D15" i="60"/>
  <c r="C15" i="60"/>
  <c r="B15" i="60"/>
  <c r="D14" i="60"/>
  <c r="C14" i="60"/>
  <c r="B14" i="60"/>
  <c r="D13" i="60"/>
  <c r="C13" i="60"/>
  <c r="B13" i="60"/>
  <c r="D12" i="60"/>
  <c r="C12" i="60"/>
  <c r="B12" i="60"/>
  <c r="D11" i="60"/>
  <c r="C11" i="60"/>
  <c r="B11" i="60"/>
  <c r="D10" i="60"/>
  <c r="C10" i="60"/>
  <c r="B10" i="60"/>
  <c r="D9" i="60"/>
  <c r="C9" i="60"/>
  <c r="B9" i="60"/>
  <c r="D8" i="60"/>
  <c r="C8" i="60"/>
  <c r="B8" i="60"/>
  <c r="D7" i="60"/>
  <c r="C7" i="60"/>
  <c r="B7" i="60"/>
  <c r="D6" i="60"/>
  <c r="C6" i="60"/>
  <c r="B6" i="60"/>
  <c r="D5" i="60"/>
  <c r="C5" i="60"/>
  <c r="B5" i="60"/>
  <c r="D4" i="60"/>
  <c r="C4" i="60"/>
  <c r="B4" i="60"/>
  <c r="D3" i="60"/>
  <c r="C3" i="60"/>
  <c r="B3" i="60"/>
  <c r="D2" i="60"/>
  <c r="C2" i="60"/>
  <c r="B2" i="60"/>
  <c r="D1" i="60"/>
  <c r="C1" i="60"/>
  <c r="B1" i="60"/>
  <c r="C20" i="59"/>
  <c r="B20" i="59"/>
  <c r="C19" i="59"/>
  <c r="B19" i="59"/>
  <c r="C18" i="59"/>
  <c r="B18" i="59"/>
  <c r="C17" i="59"/>
  <c r="B17" i="59"/>
  <c r="C16" i="59"/>
  <c r="B16" i="59"/>
  <c r="C15" i="59"/>
  <c r="B15" i="59"/>
  <c r="C14" i="59"/>
  <c r="B14" i="59"/>
  <c r="C13" i="59"/>
  <c r="B13" i="59"/>
  <c r="C12" i="59"/>
  <c r="B12" i="59"/>
  <c r="C11" i="59"/>
  <c r="B11" i="59"/>
  <c r="C10" i="59"/>
  <c r="B10" i="59"/>
  <c r="C9" i="59"/>
  <c r="B9" i="59"/>
  <c r="C8" i="59"/>
  <c r="B8" i="59"/>
  <c r="C7" i="59"/>
  <c r="B7" i="59"/>
  <c r="C6" i="59"/>
  <c r="B6" i="59"/>
  <c r="C5" i="59"/>
  <c r="C4" i="59"/>
  <c r="B4" i="59"/>
  <c r="C3" i="59"/>
  <c r="B3" i="59"/>
  <c r="C2" i="59"/>
  <c r="B2" i="59"/>
  <c r="C1" i="59"/>
  <c r="B1" i="59"/>
  <c r="C20" i="58"/>
  <c r="B20" i="58"/>
  <c r="C19" i="58"/>
  <c r="B19" i="58"/>
  <c r="C18" i="58"/>
  <c r="B18" i="58"/>
  <c r="C17" i="58"/>
  <c r="B17" i="58"/>
  <c r="C16" i="58"/>
  <c r="B16" i="58"/>
  <c r="C15" i="58"/>
  <c r="B15" i="58"/>
  <c r="C14" i="58"/>
  <c r="B14" i="58"/>
  <c r="C13" i="58"/>
  <c r="B13" i="58"/>
  <c r="C12" i="58"/>
  <c r="B12" i="58"/>
  <c r="C11" i="58"/>
  <c r="B11" i="58"/>
  <c r="C10" i="58"/>
  <c r="B10" i="58"/>
  <c r="C9" i="58"/>
  <c r="B9" i="58"/>
  <c r="C8" i="58"/>
  <c r="B8" i="58"/>
  <c r="C7" i="58"/>
  <c r="B7" i="58"/>
  <c r="C6" i="58"/>
  <c r="B6" i="58"/>
  <c r="C5" i="58"/>
  <c r="B5" i="58"/>
  <c r="C4" i="58"/>
  <c r="B4" i="58"/>
  <c r="C3" i="58"/>
  <c r="B3" i="58"/>
  <c r="C2" i="58"/>
  <c r="B2" i="58"/>
  <c r="C1" i="58"/>
  <c r="B1" i="58"/>
  <c r="C20" i="57"/>
  <c r="B20" i="57"/>
  <c r="C19" i="57"/>
  <c r="B19" i="57"/>
  <c r="C18" i="57"/>
  <c r="B18" i="57"/>
  <c r="C17" i="57"/>
  <c r="B17" i="57"/>
  <c r="C16" i="57"/>
  <c r="B16" i="57"/>
  <c r="C15" i="57"/>
  <c r="B15" i="57"/>
  <c r="C14" i="57"/>
  <c r="B14" i="57"/>
  <c r="C13" i="57"/>
  <c r="B13" i="57"/>
  <c r="C12" i="57"/>
  <c r="B12" i="57"/>
  <c r="C11" i="57"/>
  <c r="B11" i="57"/>
  <c r="C10" i="57"/>
  <c r="B10" i="57"/>
  <c r="C9" i="57"/>
  <c r="B9" i="57"/>
  <c r="C8" i="57"/>
  <c r="B8" i="57"/>
  <c r="C7" i="57"/>
  <c r="B7" i="57"/>
  <c r="C6" i="57"/>
  <c r="B6" i="57"/>
  <c r="C5" i="57"/>
  <c r="B5" i="57"/>
  <c r="C4" i="57"/>
  <c r="B4" i="57"/>
  <c r="C3" i="57"/>
  <c r="B3" i="57"/>
  <c r="C2" i="57"/>
  <c r="B2" i="57"/>
  <c r="C1" i="57"/>
  <c r="B1" i="57"/>
  <c r="D20" i="56"/>
  <c r="C20" i="56"/>
  <c r="B20" i="56"/>
  <c r="D19" i="56"/>
  <c r="C19" i="56"/>
  <c r="B19" i="56"/>
  <c r="D18" i="56"/>
  <c r="C18" i="56"/>
  <c r="B18" i="56"/>
  <c r="D17" i="56"/>
  <c r="C17" i="56"/>
  <c r="B17" i="56"/>
  <c r="D16" i="56"/>
  <c r="C16" i="56"/>
  <c r="B16" i="56"/>
  <c r="D15" i="56"/>
  <c r="C15" i="56"/>
  <c r="B15" i="56"/>
  <c r="D14" i="56"/>
  <c r="C14" i="56"/>
  <c r="B14" i="56"/>
  <c r="D13" i="56"/>
  <c r="C13" i="56"/>
  <c r="B13" i="56"/>
  <c r="D12" i="56"/>
  <c r="C12" i="56"/>
  <c r="B12" i="56"/>
  <c r="D11" i="56"/>
  <c r="C11" i="56"/>
  <c r="B11" i="56"/>
  <c r="D10" i="56"/>
  <c r="C10" i="56"/>
  <c r="B10" i="56"/>
  <c r="D9" i="56"/>
  <c r="C9" i="56"/>
  <c r="B9" i="56"/>
  <c r="D8" i="56"/>
  <c r="C8" i="56"/>
  <c r="B8" i="56"/>
  <c r="D7" i="56"/>
  <c r="C7" i="56"/>
  <c r="B7" i="56"/>
  <c r="D6" i="56"/>
  <c r="C6" i="56"/>
  <c r="B6" i="56"/>
  <c r="D5" i="56"/>
  <c r="C5" i="56"/>
  <c r="B5" i="56"/>
  <c r="D4" i="56"/>
  <c r="C4" i="56"/>
  <c r="B4" i="56"/>
  <c r="D3" i="56"/>
  <c r="C3" i="56"/>
  <c r="B3" i="56"/>
  <c r="D2" i="56"/>
  <c r="C2" i="56"/>
  <c r="B2" i="56"/>
  <c r="D1" i="56"/>
  <c r="C1" i="56"/>
  <c r="B1" i="56"/>
  <c r="C20" i="55"/>
  <c r="B20" i="55"/>
  <c r="C19" i="55"/>
  <c r="B19" i="55"/>
  <c r="C18" i="55"/>
  <c r="B18" i="55"/>
  <c r="C17" i="55"/>
  <c r="B17" i="55"/>
  <c r="C16" i="55"/>
  <c r="B16" i="55"/>
  <c r="C15" i="55"/>
  <c r="B15" i="55"/>
  <c r="C14" i="55"/>
  <c r="B14" i="55"/>
  <c r="C13" i="55"/>
  <c r="B13" i="55"/>
  <c r="C12" i="55"/>
  <c r="B12" i="55"/>
  <c r="C11" i="55"/>
  <c r="B11" i="55"/>
  <c r="C10" i="55"/>
  <c r="B10" i="55"/>
  <c r="C9" i="55"/>
  <c r="B9" i="55"/>
  <c r="C8" i="55"/>
  <c r="B8" i="55"/>
  <c r="C7" i="55"/>
  <c r="B7" i="55"/>
  <c r="C6" i="55"/>
  <c r="B6" i="55"/>
  <c r="C5" i="55"/>
  <c r="B5" i="55"/>
  <c r="C4" i="55"/>
  <c r="B4" i="55"/>
  <c r="C3" i="55"/>
  <c r="B3" i="55"/>
  <c r="C2" i="55"/>
  <c r="B2" i="55"/>
  <c r="C1" i="55"/>
  <c r="B1" i="55"/>
  <c r="C22" i="54"/>
  <c r="C20" i="54"/>
  <c r="B20" i="54"/>
  <c r="C19" i="54"/>
  <c r="B19" i="54"/>
  <c r="C18" i="54"/>
  <c r="B18" i="54"/>
  <c r="C17" i="54"/>
  <c r="B17" i="54"/>
  <c r="C16" i="54"/>
  <c r="B16" i="54"/>
  <c r="C15" i="54"/>
  <c r="B15" i="54"/>
  <c r="C14" i="54"/>
  <c r="B14" i="54"/>
  <c r="C13" i="54"/>
  <c r="B13" i="54"/>
  <c r="C12" i="54"/>
  <c r="B12" i="54"/>
  <c r="C11" i="54"/>
  <c r="B11" i="54"/>
  <c r="C10" i="54"/>
  <c r="B10" i="54"/>
  <c r="C9" i="54"/>
  <c r="B9" i="54"/>
  <c r="C8" i="54"/>
  <c r="B8" i="54"/>
  <c r="C7" i="54"/>
  <c r="B7" i="54"/>
  <c r="C6" i="54"/>
  <c r="B6" i="54"/>
  <c r="C5" i="54"/>
  <c r="C4" i="54"/>
  <c r="B4" i="54"/>
  <c r="C3" i="54"/>
  <c r="B3" i="54"/>
  <c r="C2" i="54"/>
  <c r="B2" i="54"/>
  <c r="C1" i="54"/>
  <c r="B1" i="54"/>
  <c r="C20" i="53"/>
  <c r="B20" i="53"/>
  <c r="C19" i="53"/>
  <c r="B19" i="53"/>
  <c r="C18" i="53"/>
  <c r="B18" i="53"/>
  <c r="C17" i="53"/>
  <c r="B17" i="53"/>
  <c r="C16" i="53"/>
  <c r="B16" i="53"/>
  <c r="C15" i="53"/>
  <c r="B15" i="53"/>
  <c r="C14" i="53"/>
  <c r="B14" i="53"/>
  <c r="C13" i="53"/>
  <c r="B13" i="53"/>
  <c r="C12" i="53"/>
  <c r="B12" i="53"/>
  <c r="C11" i="53"/>
  <c r="B11" i="53"/>
  <c r="C10" i="53"/>
  <c r="B10" i="53"/>
  <c r="C9" i="53"/>
  <c r="B9" i="53"/>
  <c r="C8" i="53"/>
  <c r="B8" i="53"/>
  <c r="C7" i="53"/>
  <c r="B7" i="53"/>
  <c r="C6" i="53"/>
  <c r="B6" i="53"/>
  <c r="C5" i="53"/>
  <c r="B5" i="53"/>
  <c r="C4" i="53"/>
  <c r="B4" i="53"/>
  <c r="C3" i="53"/>
  <c r="B3" i="53"/>
  <c r="C2" i="53"/>
  <c r="B2" i="53"/>
  <c r="C1" i="53"/>
  <c r="B1" i="53"/>
  <c r="C20" i="52"/>
  <c r="B20" i="52"/>
  <c r="C19" i="52"/>
  <c r="B19" i="52"/>
  <c r="C18" i="52"/>
  <c r="B18" i="52"/>
  <c r="C17" i="52"/>
  <c r="B17" i="52"/>
  <c r="C16" i="52"/>
  <c r="B16" i="52"/>
  <c r="C15" i="52"/>
  <c r="B15" i="52"/>
  <c r="C14" i="52"/>
  <c r="B14" i="52"/>
  <c r="C13" i="52"/>
  <c r="B13" i="52"/>
  <c r="C12" i="52"/>
  <c r="B12" i="52"/>
  <c r="C11" i="52"/>
  <c r="B11" i="52"/>
  <c r="C10" i="52"/>
  <c r="B10" i="52"/>
  <c r="C9" i="52"/>
  <c r="B9" i="52"/>
  <c r="C8" i="52"/>
  <c r="B8" i="52"/>
  <c r="C7" i="52"/>
  <c r="B7" i="52"/>
  <c r="C6" i="52"/>
  <c r="B6" i="52"/>
  <c r="C5" i="52"/>
  <c r="B5" i="52"/>
  <c r="C4" i="52"/>
  <c r="B4" i="52"/>
  <c r="C3" i="52"/>
  <c r="B3" i="52"/>
  <c r="C2" i="52"/>
  <c r="B2" i="52"/>
  <c r="C1" i="52"/>
  <c r="B1" i="52"/>
  <c r="C20" i="51"/>
  <c r="B20" i="51"/>
  <c r="C19" i="51"/>
  <c r="B19" i="51"/>
  <c r="C18" i="51"/>
  <c r="B18" i="51"/>
  <c r="C17" i="51"/>
  <c r="B17" i="51"/>
  <c r="C16" i="51"/>
  <c r="B16" i="51"/>
  <c r="C15" i="51"/>
  <c r="B15" i="51"/>
  <c r="C14" i="51"/>
  <c r="B14" i="51"/>
  <c r="C13" i="51"/>
  <c r="B13" i="51"/>
  <c r="C12" i="51"/>
  <c r="B12" i="51"/>
  <c r="C11" i="51"/>
  <c r="B11" i="51"/>
  <c r="C10" i="51"/>
  <c r="B10" i="51"/>
  <c r="C9" i="51"/>
  <c r="B9" i="51"/>
  <c r="C8" i="51"/>
  <c r="B8" i="51"/>
  <c r="C7" i="51"/>
  <c r="B7" i="51"/>
  <c r="C6" i="51"/>
  <c r="B6" i="51"/>
  <c r="C5" i="51"/>
  <c r="B5" i="51"/>
  <c r="C4" i="51"/>
  <c r="B4" i="51"/>
  <c r="C3" i="51"/>
  <c r="B3" i="51"/>
  <c r="C2" i="51"/>
  <c r="B2" i="51"/>
  <c r="C1" i="51"/>
  <c r="B1" i="51"/>
  <c r="C20" i="50"/>
  <c r="B20" i="50"/>
  <c r="C19" i="50"/>
  <c r="B19" i="50"/>
  <c r="C18" i="50"/>
  <c r="B18" i="50"/>
  <c r="C17" i="50"/>
  <c r="B17" i="50"/>
  <c r="C16" i="50"/>
  <c r="B16" i="50"/>
  <c r="C15" i="50"/>
  <c r="B15" i="50"/>
  <c r="C14" i="50"/>
  <c r="B14" i="50"/>
  <c r="C13" i="50"/>
  <c r="B13" i="50"/>
  <c r="C12" i="50"/>
  <c r="B12" i="50"/>
  <c r="C11" i="50"/>
  <c r="B11" i="50"/>
  <c r="C10" i="50"/>
  <c r="B10" i="50"/>
  <c r="C9" i="50"/>
  <c r="B9" i="50"/>
  <c r="C8" i="50"/>
  <c r="B8" i="50"/>
  <c r="C7" i="50"/>
  <c r="B7" i="50"/>
  <c r="C6" i="50"/>
  <c r="B6" i="50"/>
  <c r="C5" i="50"/>
  <c r="B5" i="50"/>
  <c r="C4" i="50"/>
  <c r="B4" i="50"/>
  <c r="C3" i="50"/>
  <c r="B3" i="50"/>
  <c r="C2" i="50"/>
  <c r="B2" i="50"/>
  <c r="C1" i="50"/>
  <c r="B1" i="50"/>
  <c r="C20" i="49"/>
  <c r="B20" i="49"/>
  <c r="C19" i="49"/>
  <c r="B19" i="49"/>
  <c r="C18" i="49"/>
  <c r="B18" i="49"/>
  <c r="C17" i="49"/>
  <c r="B17" i="49"/>
  <c r="C16" i="49"/>
  <c r="B16" i="49"/>
  <c r="C15" i="49"/>
  <c r="B15" i="49"/>
  <c r="C14" i="49"/>
  <c r="B14" i="49"/>
  <c r="C13" i="49"/>
  <c r="B13" i="49"/>
  <c r="C12" i="49"/>
  <c r="B12" i="49"/>
  <c r="C11" i="49"/>
  <c r="B11" i="49"/>
  <c r="C10" i="49"/>
  <c r="B10" i="49"/>
  <c r="C9" i="49"/>
  <c r="B9" i="49"/>
  <c r="C8" i="49"/>
  <c r="B8" i="49"/>
  <c r="C7" i="49"/>
  <c r="B7" i="49"/>
  <c r="C6" i="49"/>
  <c r="B6" i="49"/>
  <c r="C5" i="49"/>
  <c r="B5" i="49"/>
  <c r="C4" i="49"/>
  <c r="B4" i="49"/>
  <c r="C3" i="49"/>
  <c r="B3" i="49"/>
  <c r="C2" i="49"/>
  <c r="B2" i="49"/>
  <c r="C1" i="49"/>
  <c r="B1" i="49"/>
  <c r="C20" i="48"/>
  <c r="B20" i="48"/>
  <c r="C19" i="48"/>
  <c r="B19" i="48"/>
  <c r="C18" i="48"/>
  <c r="B18" i="48"/>
  <c r="C17" i="48"/>
  <c r="B17" i="48"/>
  <c r="C16" i="48"/>
  <c r="B16" i="48"/>
  <c r="C15" i="48"/>
  <c r="B15" i="48"/>
  <c r="C14" i="48"/>
  <c r="B14" i="48"/>
  <c r="C13" i="48"/>
  <c r="B13" i="48"/>
  <c r="C12" i="48"/>
  <c r="B12" i="48"/>
  <c r="B11" i="48"/>
  <c r="C10" i="48"/>
  <c r="B10" i="48"/>
  <c r="C9" i="48"/>
  <c r="B9" i="48"/>
  <c r="C8" i="48"/>
  <c r="B8" i="48"/>
  <c r="C7" i="48"/>
  <c r="B7" i="48"/>
  <c r="C6" i="48"/>
  <c r="B6" i="48"/>
  <c r="B5" i="48"/>
  <c r="C4" i="48"/>
  <c r="B4" i="48"/>
  <c r="C3" i="48"/>
  <c r="B3" i="48"/>
  <c r="C2" i="48"/>
  <c r="B2" i="48"/>
  <c r="C1" i="48"/>
  <c r="B1" i="48"/>
  <c r="D20" i="47"/>
  <c r="C20" i="47"/>
  <c r="B20" i="47"/>
  <c r="D19" i="47"/>
  <c r="C19" i="47"/>
  <c r="B19" i="47"/>
  <c r="D18" i="47"/>
  <c r="C18" i="47"/>
  <c r="B18" i="47"/>
  <c r="D17" i="47"/>
  <c r="C17" i="47"/>
  <c r="B17" i="47"/>
  <c r="D16" i="47"/>
  <c r="C16" i="47"/>
  <c r="B16" i="47"/>
  <c r="D15" i="47"/>
  <c r="C15" i="47"/>
  <c r="B15" i="47"/>
  <c r="D14" i="47"/>
  <c r="C14" i="47"/>
  <c r="B14" i="47"/>
  <c r="D13" i="47"/>
  <c r="C13" i="47"/>
  <c r="B13" i="47"/>
  <c r="D12" i="47"/>
  <c r="C12" i="47"/>
  <c r="B12" i="47"/>
  <c r="D11" i="47"/>
  <c r="C11" i="47"/>
  <c r="B11" i="47"/>
  <c r="D10" i="47"/>
  <c r="C10" i="47"/>
  <c r="B10" i="47"/>
  <c r="D9" i="47"/>
  <c r="C9" i="47"/>
  <c r="B9" i="47"/>
  <c r="D8" i="47"/>
  <c r="C8" i="47"/>
  <c r="B8" i="47"/>
  <c r="D7" i="47"/>
  <c r="C7" i="47"/>
  <c r="B7" i="47"/>
  <c r="D6" i="47"/>
  <c r="C6" i="47"/>
  <c r="B6" i="47"/>
  <c r="D5" i="47"/>
  <c r="C5" i="47"/>
  <c r="B5" i="47"/>
  <c r="D4" i="47"/>
  <c r="C4" i="47"/>
  <c r="B4" i="47"/>
  <c r="D3" i="47"/>
  <c r="C3" i="47"/>
  <c r="B3" i="47"/>
  <c r="D2" i="47"/>
  <c r="C2" i="47"/>
  <c r="B2" i="47"/>
  <c r="D1" i="47"/>
  <c r="C1" i="47"/>
  <c r="B1" i="47"/>
  <c r="E20" i="46"/>
  <c r="D20" i="46"/>
  <c r="C20" i="46"/>
  <c r="B20" i="46"/>
  <c r="E19" i="46"/>
  <c r="D19" i="46"/>
  <c r="C19" i="46"/>
  <c r="B19" i="46"/>
  <c r="E18" i="46"/>
  <c r="D18" i="46"/>
  <c r="C18" i="46"/>
  <c r="B18" i="46"/>
  <c r="E17" i="46"/>
  <c r="D17" i="46"/>
  <c r="C17" i="46"/>
  <c r="B17" i="46"/>
  <c r="E16" i="46"/>
  <c r="D16" i="46"/>
  <c r="C16" i="46"/>
  <c r="B16" i="46"/>
  <c r="E15" i="46"/>
  <c r="D15" i="46"/>
  <c r="C15" i="46"/>
  <c r="B15" i="46"/>
  <c r="E14" i="46"/>
  <c r="D14" i="46"/>
  <c r="C14" i="46"/>
  <c r="B14" i="46"/>
  <c r="E13" i="46"/>
  <c r="D13" i="46"/>
  <c r="C13" i="46"/>
  <c r="B13" i="46"/>
  <c r="E12" i="46"/>
  <c r="D12" i="46"/>
  <c r="C12" i="46"/>
  <c r="B12" i="46"/>
  <c r="E11" i="46"/>
  <c r="D11" i="46"/>
  <c r="C11" i="46"/>
  <c r="B11" i="46"/>
  <c r="E10" i="46"/>
  <c r="D10" i="46"/>
  <c r="C10" i="46"/>
  <c r="B10" i="46"/>
  <c r="E9" i="46"/>
  <c r="D9" i="46"/>
  <c r="C9" i="46"/>
  <c r="B9" i="46"/>
  <c r="E8" i="46"/>
  <c r="D8" i="46"/>
  <c r="C8" i="46"/>
  <c r="B8" i="46"/>
  <c r="E7" i="46"/>
  <c r="D7" i="46"/>
  <c r="C7" i="46"/>
  <c r="B7" i="46"/>
  <c r="E6" i="46"/>
  <c r="D6" i="46"/>
  <c r="C6" i="46"/>
  <c r="B6" i="46"/>
  <c r="E5" i="46"/>
  <c r="D5" i="46"/>
  <c r="C5" i="46"/>
  <c r="B5" i="46"/>
  <c r="E4" i="46"/>
  <c r="D4" i="46"/>
  <c r="C4" i="46"/>
  <c r="B4" i="46"/>
  <c r="E3" i="46"/>
  <c r="D3" i="46"/>
  <c r="C3" i="46"/>
  <c r="B3" i="46"/>
  <c r="E2" i="46"/>
  <c r="D2" i="46"/>
  <c r="C2" i="46"/>
  <c r="B2" i="46"/>
  <c r="E1" i="46"/>
  <c r="D1" i="46"/>
  <c r="C1" i="46"/>
  <c r="B1" i="46"/>
  <c r="C20" i="45"/>
  <c r="B20" i="45"/>
  <c r="C19" i="45"/>
  <c r="B19" i="45"/>
  <c r="C18" i="45"/>
  <c r="B18" i="45"/>
  <c r="C17" i="45"/>
  <c r="B17" i="45"/>
  <c r="C16" i="45"/>
  <c r="B16" i="45"/>
  <c r="C15" i="45"/>
  <c r="B15" i="45"/>
  <c r="C14" i="45"/>
  <c r="B14" i="45"/>
  <c r="C13" i="45"/>
  <c r="B13" i="45"/>
  <c r="C12" i="45"/>
  <c r="B12" i="45"/>
  <c r="C11" i="45"/>
  <c r="B11" i="45"/>
  <c r="C10" i="45"/>
  <c r="B10" i="45"/>
  <c r="C9" i="45"/>
  <c r="B9" i="45"/>
  <c r="C8" i="45"/>
  <c r="B8" i="45"/>
  <c r="C7" i="45"/>
  <c r="B7" i="45"/>
  <c r="C6" i="45"/>
  <c r="B6" i="45"/>
  <c r="C5" i="45"/>
  <c r="B5" i="45"/>
  <c r="C4" i="45"/>
  <c r="B4" i="45"/>
  <c r="C3" i="45"/>
  <c r="B3" i="45"/>
  <c r="C2" i="45"/>
  <c r="B2" i="45"/>
  <c r="C1" i="45"/>
  <c r="B1" i="45"/>
  <c r="C20" i="44"/>
  <c r="B20" i="44"/>
  <c r="D19" i="44"/>
  <c r="C19" i="44"/>
  <c r="B19" i="44"/>
  <c r="D18" i="44"/>
  <c r="C18" i="44"/>
  <c r="B18" i="44"/>
  <c r="D17" i="44"/>
  <c r="C17" i="44"/>
  <c r="B17" i="44"/>
  <c r="D16" i="44"/>
  <c r="C16" i="44"/>
  <c r="B16" i="44"/>
  <c r="D15" i="44"/>
  <c r="C15" i="44"/>
  <c r="B15" i="44"/>
  <c r="D14" i="44"/>
  <c r="C14" i="44"/>
  <c r="B14" i="44"/>
  <c r="D13" i="44"/>
  <c r="C13" i="44"/>
  <c r="B13" i="44"/>
  <c r="D12" i="44"/>
  <c r="C12" i="44"/>
  <c r="B12" i="44"/>
  <c r="D11" i="44"/>
  <c r="C11" i="44"/>
  <c r="B11" i="44"/>
  <c r="D10" i="44"/>
  <c r="C10" i="44"/>
  <c r="B10" i="44"/>
  <c r="D9" i="44"/>
  <c r="C9" i="44"/>
  <c r="B9" i="44"/>
  <c r="D8" i="44"/>
  <c r="C8" i="44"/>
  <c r="B8" i="44"/>
  <c r="D7" i="44"/>
  <c r="C7" i="44"/>
  <c r="B7" i="44"/>
  <c r="D6" i="44"/>
  <c r="C6" i="44"/>
  <c r="B6" i="44"/>
  <c r="C5" i="44"/>
  <c r="B5" i="44"/>
  <c r="D4" i="44"/>
  <c r="C4" i="44"/>
  <c r="B4" i="44"/>
  <c r="D3" i="44"/>
  <c r="C3" i="44"/>
  <c r="B3" i="44"/>
  <c r="D2" i="44"/>
  <c r="C2" i="44"/>
  <c r="B2" i="44"/>
  <c r="E1" i="44"/>
  <c r="D1" i="44"/>
  <c r="C1" i="44"/>
  <c r="B1" i="44"/>
  <c r="C20" i="43"/>
  <c r="B20" i="43"/>
  <c r="C19" i="43"/>
  <c r="B19" i="43"/>
  <c r="C18" i="43"/>
  <c r="B18" i="43"/>
  <c r="C17" i="43"/>
  <c r="B17" i="43"/>
  <c r="C16" i="43"/>
  <c r="B16" i="43"/>
  <c r="C15" i="43"/>
  <c r="B15" i="43"/>
  <c r="C14" i="43"/>
  <c r="B14" i="43"/>
  <c r="C13" i="43"/>
  <c r="B13" i="43"/>
  <c r="C12" i="43"/>
  <c r="B12" i="43"/>
  <c r="C11" i="43"/>
  <c r="B11" i="43"/>
  <c r="C10" i="43"/>
  <c r="B10" i="43"/>
  <c r="C9" i="43"/>
  <c r="B9" i="43"/>
  <c r="C8" i="43"/>
  <c r="B8" i="43"/>
  <c r="C7" i="43"/>
  <c r="B7" i="43"/>
  <c r="C6" i="43"/>
  <c r="B6" i="43"/>
  <c r="C5" i="43"/>
  <c r="B5" i="43"/>
  <c r="C4" i="43"/>
  <c r="B4" i="43"/>
  <c r="C3" i="43"/>
  <c r="B3" i="43"/>
  <c r="C2" i="43"/>
  <c r="B2" i="43"/>
  <c r="C1" i="43"/>
  <c r="B1" i="43"/>
  <c r="C20" i="42"/>
  <c r="B20" i="42"/>
  <c r="C19" i="42"/>
  <c r="B19" i="42"/>
  <c r="C18" i="42"/>
  <c r="B18" i="42"/>
  <c r="C17" i="42"/>
  <c r="B17" i="42"/>
  <c r="C16" i="42"/>
  <c r="B16" i="42"/>
  <c r="C15" i="42"/>
  <c r="B15" i="42"/>
  <c r="C14" i="42"/>
  <c r="B14" i="42"/>
  <c r="C13" i="42"/>
  <c r="B13" i="42"/>
  <c r="C12" i="42"/>
  <c r="B12" i="42"/>
  <c r="B11" i="42"/>
  <c r="C10" i="42"/>
  <c r="B10" i="42"/>
  <c r="C9" i="42"/>
  <c r="B9" i="42"/>
  <c r="C8" i="42"/>
  <c r="B8" i="42"/>
  <c r="C7" i="42"/>
  <c r="B7" i="42"/>
  <c r="C6" i="42"/>
  <c r="B6" i="42"/>
  <c r="B5" i="42"/>
  <c r="C4" i="42"/>
  <c r="B4" i="42"/>
  <c r="C3" i="42"/>
  <c r="B3" i="42"/>
  <c r="C2" i="42"/>
  <c r="B2" i="42"/>
  <c r="C1" i="42"/>
  <c r="B1" i="42"/>
  <c r="B22" i="41"/>
  <c r="D20" i="41"/>
  <c r="C20" i="41"/>
  <c r="B20" i="41"/>
  <c r="D19" i="41"/>
  <c r="C19" i="41"/>
  <c r="B19" i="41"/>
  <c r="D18" i="41"/>
  <c r="C18" i="41"/>
  <c r="B18" i="41"/>
  <c r="D17" i="41"/>
  <c r="C17" i="41"/>
  <c r="B17" i="41"/>
  <c r="D16" i="41"/>
  <c r="C16" i="41"/>
  <c r="B16" i="41"/>
  <c r="D15" i="41"/>
  <c r="C15" i="41"/>
  <c r="B15" i="41"/>
  <c r="D14" i="41"/>
  <c r="C14" i="41"/>
  <c r="B14" i="41"/>
  <c r="D13" i="41"/>
  <c r="C13" i="41"/>
  <c r="B13" i="41"/>
  <c r="D12" i="41"/>
  <c r="C12" i="41"/>
  <c r="B12" i="41"/>
  <c r="D11" i="41"/>
  <c r="C11" i="41"/>
  <c r="B11" i="41"/>
  <c r="D10" i="41"/>
  <c r="C10" i="41"/>
  <c r="B10" i="41"/>
  <c r="D9" i="41"/>
  <c r="C9" i="41"/>
  <c r="B9" i="41"/>
  <c r="D8" i="41"/>
  <c r="C8" i="41"/>
  <c r="B8" i="41"/>
  <c r="D7" i="41"/>
  <c r="C7" i="41"/>
  <c r="B7" i="41"/>
  <c r="D6" i="41"/>
  <c r="C6" i="41"/>
  <c r="B6" i="41"/>
  <c r="D5" i="41"/>
  <c r="C5" i="41"/>
  <c r="B5" i="41"/>
  <c r="D4" i="41"/>
  <c r="C4" i="41"/>
  <c r="B4" i="41"/>
  <c r="D3" i="41"/>
  <c r="C3" i="41"/>
  <c r="B3" i="41"/>
  <c r="D2" i="41"/>
  <c r="C2" i="41"/>
  <c r="B2" i="41"/>
  <c r="D1" i="41"/>
  <c r="C1" i="41"/>
  <c r="B1" i="41"/>
  <c r="C20" i="40"/>
  <c r="B20" i="40"/>
  <c r="C19" i="40"/>
  <c r="B19" i="40"/>
  <c r="C18" i="40"/>
  <c r="B18" i="40"/>
  <c r="C17" i="40"/>
  <c r="B17" i="40"/>
  <c r="C16" i="40"/>
  <c r="B16" i="40"/>
  <c r="C15" i="40"/>
  <c r="B15" i="40"/>
  <c r="C14" i="40"/>
  <c r="B14" i="40"/>
  <c r="C13" i="40"/>
  <c r="B13" i="40"/>
  <c r="C12" i="40"/>
  <c r="B12" i="40"/>
  <c r="C11" i="40"/>
  <c r="B11" i="40"/>
  <c r="C10" i="40"/>
  <c r="B10" i="40"/>
  <c r="C9" i="40"/>
  <c r="B9" i="40"/>
  <c r="C8" i="40"/>
  <c r="B8" i="40"/>
  <c r="C7" i="40"/>
  <c r="B7" i="40"/>
  <c r="C6" i="40"/>
  <c r="B6" i="40"/>
  <c r="C5" i="40"/>
  <c r="B5" i="40"/>
  <c r="C4" i="40"/>
  <c r="B4" i="40"/>
  <c r="C3" i="40"/>
  <c r="B3" i="40"/>
  <c r="C2" i="40"/>
  <c r="B2" i="40"/>
  <c r="C1" i="40"/>
  <c r="B1" i="40"/>
  <c r="B22" i="39"/>
  <c r="C20" i="39"/>
  <c r="B20" i="39"/>
  <c r="C19" i="39"/>
  <c r="B19" i="39"/>
  <c r="C18" i="39"/>
  <c r="B18" i="39"/>
  <c r="C17" i="39"/>
  <c r="B17" i="39"/>
  <c r="C16" i="39"/>
  <c r="B16" i="39"/>
  <c r="C15" i="39"/>
  <c r="B15" i="39"/>
  <c r="C14" i="39"/>
  <c r="B14" i="39"/>
  <c r="C13" i="39"/>
  <c r="B13" i="39"/>
  <c r="C12" i="39"/>
  <c r="B12" i="39"/>
  <c r="C11" i="39"/>
  <c r="B11" i="39"/>
  <c r="C10" i="39"/>
  <c r="B10" i="39"/>
  <c r="C9" i="39"/>
  <c r="B9" i="39"/>
  <c r="C8" i="39"/>
  <c r="B8" i="39"/>
  <c r="C7" i="39"/>
  <c r="B7" i="39"/>
  <c r="C6" i="39"/>
  <c r="B6" i="39"/>
  <c r="C5" i="39"/>
  <c r="B5" i="39"/>
  <c r="C4" i="39"/>
  <c r="B4" i="39"/>
  <c r="C3" i="39"/>
  <c r="B3" i="39"/>
  <c r="C2" i="39"/>
  <c r="B2" i="39"/>
  <c r="C1" i="39"/>
  <c r="B1" i="39"/>
  <c r="C20" i="38"/>
  <c r="B20" i="38"/>
  <c r="C19" i="38"/>
  <c r="B19" i="38"/>
  <c r="C18" i="38"/>
  <c r="B18" i="38"/>
  <c r="C17" i="38"/>
  <c r="B17" i="38"/>
  <c r="C16" i="38"/>
  <c r="B16" i="38"/>
  <c r="C15" i="38"/>
  <c r="B15" i="38"/>
  <c r="C14" i="38"/>
  <c r="B14" i="38"/>
  <c r="C13" i="38"/>
  <c r="B13" i="38"/>
  <c r="C12" i="38"/>
  <c r="B12" i="38"/>
  <c r="C11" i="38"/>
  <c r="B11" i="38"/>
  <c r="C10" i="38"/>
  <c r="B10" i="38"/>
  <c r="C9" i="38"/>
  <c r="B9" i="38"/>
  <c r="C8" i="38"/>
  <c r="B8" i="38"/>
  <c r="C7" i="38"/>
  <c r="B7" i="38"/>
  <c r="C6" i="38"/>
  <c r="B6" i="38"/>
  <c r="C5" i="38"/>
  <c r="B5" i="38"/>
  <c r="C4" i="38"/>
  <c r="B4" i="38"/>
  <c r="C3" i="38"/>
  <c r="B3" i="38"/>
  <c r="C2" i="38"/>
  <c r="B2" i="38"/>
  <c r="C1" i="38"/>
  <c r="B1" i="38"/>
  <c r="B22" i="37"/>
  <c r="D20" i="37"/>
  <c r="B20" i="37"/>
  <c r="D19" i="37"/>
  <c r="C19" i="37"/>
  <c r="B19" i="37"/>
  <c r="D18" i="37"/>
  <c r="C18" i="37"/>
  <c r="B18" i="37"/>
  <c r="D17" i="37"/>
  <c r="C17" i="37"/>
  <c r="B17" i="37"/>
  <c r="D16" i="37"/>
  <c r="C16" i="37"/>
  <c r="B16" i="37"/>
  <c r="D15" i="37"/>
  <c r="C15" i="37"/>
  <c r="B15" i="37"/>
  <c r="D14" i="37"/>
  <c r="C14" i="37"/>
  <c r="B14" i="37"/>
  <c r="D13" i="37"/>
  <c r="C13" i="37"/>
  <c r="B13" i="37"/>
  <c r="D12" i="37"/>
  <c r="C12" i="37"/>
  <c r="B12" i="37"/>
  <c r="D11" i="37"/>
  <c r="C11" i="37"/>
  <c r="B11" i="37"/>
  <c r="D10" i="37"/>
  <c r="C10" i="37"/>
  <c r="B10" i="37"/>
  <c r="D9" i="37"/>
  <c r="C9" i="37"/>
  <c r="B9" i="37"/>
  <c r="D8" i="37"/>
  <c r="C8" i="37"/>
  <c r="B8" i="37"/>
  <c r="D7" i="37"/>
  <c r="C7" i="37"/>
  <c r="B7" i="37"/>
  <c r="D6" i="37"/>
  <c r="C6" i="37"/>
  <c r="B6" i="37"/>
  <c r="D5" i="37"/>
  <c r="C5" i="37"/>
  <c r="B5" i="37"/>
  <c r="D4" i="37"/>
  <c r="C4" i="37"/>
  <c r="B4" i="37"/>
  <c r="D3" i="37"/>
  <c r="C3" i="37"/>
  <c r="B3" i="37"/>
  <c r="D2" i="37"/>
  <c r="C2" i="37"/>
  <c r="B2" i="37"/>
  <c r="D1" i="37"/>
  <c r="C1" i="37"/>
  <c r="B1" i="37"/>
  <c r="B22" i="36"/>
  <c r="C20" i="36"/>
  <c r="B20" i="36"/>
  <c r="C19" i="36"/>
  <c r="B19" i="36"/>
  <c r="C18" i="36"/>
  <c r="B18" i="36"/>
  <c r="C17" i="36"/>
  <c r="B17" i="36"/>
  <c r="C16" i="36"/>
  <c r="B16" i="36"/>
  <c r="C15" i="36"/>
  <c r="B15" i="36"/>
  <c r="C14" i="36"/>
  <c r="B14" i="36"/>
  <c r="C13" i="36"/>
  <c r="B13" i="36"/>
  <c r="C12" i="36"/>
  <c r="B12" i="36"/>
  <c r="C11" i="36"/>
  <c r="B11" i="36"/>
  <c r="C10" i="36"/>
  <c r="B10" i="36"/>
  <c r="C9" i="36"/>
  <c r="B9" i="36"/>
  <c r="C8" i="36"/>
  <c r="B8" i="36"/>
  <c r="D7" i="36"/>
  <c r="C7" i="36"/>
  <c r="B7" i="36"/>
  <c r="D6" i="36"/>
  <c r="C6" i="36"/>
  <c r="B6" i="36"/>
  <c r="D5" i="36"/>
  <c r="C5" i="36"/>
  <c r="B5" i="36"/>
  <c r="D4" i="36"/>
  <c r="C4" i="36"/>
  <c r="B4" i="36"/>
  <c r="D3" i="36"/>
  <c r="C3" i="36"/>
  <c r="B3" i="36"/>
  <c r="D2" i="36"/>
  <c r="C2" i="36"/>
  <c r="B2" i="36"/>
  <c r="D1" i="36"/>
  <c r="C1" i="36"/>
  <c r="B1" i="36"/>
  <c r="C20" i="35"/>
  <c r="B20" i="35"/>
  <c r="C19" i="35"/>
  <c r="B19" i="35"/>
  <c r="C18" i="35"/>
  <c r="B18" i="35"/>
  <c r="C17" i="35"/>
  <c r="B17" i="35"/>
  <c r="C16" i="35"/>
  <c r="B16" i="35"/>
  <c r="C15" i="35"/>
  <c r="B15" i="35"/>
  <c r="C14" i="35"/>
  <c r="B14" i="35"/>
  <c r="C13" i="35"/>
  <c r="B13" i="35"/>
  <c r="C12" i="35"/>
  <c r="B12" i="35"/>
  <c r="C11" i="35"/>
  <c r="B11" i="35"/>
  <c r="C10" i="35"/>
  <c r="B10" i="35"/>
  <c r="C9" i="35"/>
  <c r="B9" i="35"/>
  <c r="C8" i="35"/>
  <c r="B8" i="35"/>
  <c r="C7" i="35"/>
  <c r="B7" i="35"/>
  <c r="C6" i="35"/>
  <c r="B6" i="35"/>
  <c r="C5" i="35"/>
  <c r="B5" i="35"/>
  <c r="C4" i="35"/>
  <c r="B4" i="35"/>
  <c r="C3" i="35"/>
  <c r="B3" i="35"/>
  <c r="C2" i="35"/>
  <c r="B2" i="35"/>
  <c r="C1" i="35"/>
  <c r="B1" i="35"/>
  <c r="D20" i="34"/>
  <c r="C20" i="34"/>
  <c r="B20" i="34"/>
  <c r="D19" i="34"/>
  <c r="C19" i="34"/>
  <c r="B19" i="34"/>
  <c r="D18" i="34"/>
  <c r="C18" i="34"/>
  <c r="B18" i="34"/>
  <c r="D17" i="34"/>
  <c r="C17" i="34"/>
  <c r="B17" i="34"/>
  <c r="D16" i="34"/>
  <c r="C16" i="34"/>
  <c r="B16" i="34"/>
  <c r="D15" i="34"/>
  <c r="C15" i="34"/>
  <c r="B15" i="34"/>
  <c r="D14" i="34"/>
  <c r="C14" i="34"/>
  <c r="B14" i="34"/>
  <c r="D13" i="34"/>
  <c r="C13" i="34"/>
  <c r="B13" i="34"/>
  <c r="D12" i="34"/>
  <c r="C12" i="34"/>
  <c r="B12" i="34"/>
  <c r="D11" i="34"/>
  <c r="C11" i="34"/>
  <c r="B11" i="34"/>
  <c r="D10" i="34"/>
  <c r="C10" i="34"/>
  <c r="B10" i="34"/>
  <c r="D9" i="34"/>
  <c r="C9" i="34"/>
  <c r="B9" i="34"/>
  <c r="D8" i="34"/>
  <c r="C8" i="34"/>
  <c r="B8" i="34"/>
  <c r="D7" i="34"/>
  <c r="C7" i="34"/>
  <c r="B7" i="34"/>
  <c r="D6" i="34"/>
  <c r="C6" i="34"/>
  <c r="B6" i="34"/>
  <c r="D5" i="34"/>
  <c r="C5" i="34"/>
  <c r="B5" i="34"/>
  <c r="D4" i="34"/>
  <c r="C4" i="34"/>
  <c r="B4" i="34"/>
  <c r="D3" i="34"/>
  <c r="C3" i="34"/>
  <c r="B3" i="34"/>
  <c r="D2" i="34"/>
  <c r="C2" i="34"/>
  <c r="B2" i="34"/>
  <c r="D1" i="34"/>
  <c r="C1" i="34"/>
  <c r="B1" i="34"/>
  <c r="C20" i="33"/>
  <c r="B20" i="33"/>
  <c r="C19" i="33"/>
  <c r="B19" i="33"/>
  <c r="C18" i="33"/>
  <c r="B18" i="33"/>
  <c r="C17" i="33"/>
  <c r="B17" i="33"/>
  <c r="C16" i="33"/>
  <c r="B16" i="33"/>
  <c r="C15" i="33"/>
  <c r="B15" i="33"/>
  <c r="C14" i="33"/>
  <c r="B14" i="33"/>
  <c r="C13" i="33"/>
  <c r="B13" i="33"/>
  <c r="C12" i="33"/>
  <c r="B12" i="33"/>
  <c r="C11" i="33"/>
  <c r="B11" i="33"/>
  <c r="C10" i="33"/>
  <c r="B10" i="33"/>
  <c r="C9" i="33"/>
  <c r="B9" i="33"/>
  <c r="C8" i="33"/>
  <c r="B8" i="33"/>
  <c r="C7" i="33"/>
  <c r="B7" i="33"/>
  <c r="C6" i="33"/>
  <c r="B6" i="33"/>
  <c r="C5" i="33"/>
  <c r="B5" i="33"/>
  <c r="C4" i="33"/>
  <c r="B4" i="33"/>
  <c r="C3" i="33"/>
  <c r="B3" i="33"/>
  <c r="C2" i="33"/>
  <c r="B2" i="33"/>
  <c r="C1" i="33"/>
  <c r="B1" i="33"/>
  <c r="C20" i="32"/>
  <c r="B20" i="32"/>
  <c r="C19" i="32"/>
  <c r="B19" i="32"/>
  <c r="C18" i="32"/>
  <c r="B18" i="32"/>
  <c r="C17" i="32"/>
  <c r="B17" i="32"/>
  <c r="C16" i="32"/>
  <c r="B16" i="32"/>
  <c r="C15" i="32"/>
  <c r="B15" i="32"/>
  <c r="C14" i="32"/>
  <c r="B14" i="32"/>
  <c r="C13" i="32"/>
  <c r="B13" i="32"/>
  <c r="C12" i="32"/>
  <c r="B12" i="32"/>
  <c r="C11" i="32"/>
  <c r="B11" i="32"/>
  <c r="C10" i="32"/>
  <c r="B10" i="32"/>
  <c r="C9" i="32"/>
  <c r="B9" i="32"/>
  <c r="C8" i="32"/>
  <c r="B8" i="32"/>
  <c r="C7" i="32"/>
  <c r="B7" i="32"/>
  <c r="C6" i="32"/>
  <c r="B6" i="32"/>
  <c r="C5" i="32"/>
  <c r="B5" i="32"/>
  <c r="C4" i="32"/>
  <c r="B4" i="32"/>
  <c r="C3" i="32"/>
  <c r="B3" i="32"/>
  <c r="C2" i="32"/>
  <c r="B2" i="32"/>
  <c r="C1" i="32"/>
  <c r="B1" i="32"/>
  <c r="C20" i="31"/>
  <c r="B20" i="31"/>
  <c r="C19" i="31"/>
  <c r="B19" i="31"/>
  <c r="C18" i="31"/>
  <c r="B18" i="31"/>
  <c r="C17" i="31"/>
  <c r="B17" i="31"/>
  <c r="C16" i="31"/>
  <c r="B16" i="31"/>
  <c r="C15" i="31"/>
  <c r="B15" i="31"/>
  <c r="C14" i="31"/>
  <c r="B14" i="31"/>
  <c r="C13" i="31"/>
  <c r="B13" i="31"/>
  <c r="C12" i="31"/>
  <c r="B12" i="31"/>
  <c r="C11" i="31"/>
  <c r="B11" i="31"/>
  <c r="C10" i="31"/>
  <c r="B10" i="31"/>
  <c r="C9" i="31"/>
  <c r="B9" i="31"/>
  <c r="C8" i="31"/>
  <c r="B8" i="31"/>
  <c r="C7" i="31"/>
  <c r="B7" i="31"/>
  <c r="C6" i="31"/>
  <c r="B6" i="31"/>
  <c r="C5" i="31"/>
  <c r="B5" i="31"/>
  <c r="C4" i="31"/>
  <c r="B4" i="31"/>
  <c r="C3" i="31"/>
  <c r="B3" i="31"/>
  <c r="C2" i="31"/>
  <c r="B2" i="31"/>
  <c r="C1" i="31"/>
  <c r="B1" i="31"/>
  <c r="C20" i="30"/>
  <c r="B20" i="30"/>
  <c r="C19" i="30"/>
  <c r="B19" i="30"/>
  <c r="C18" i="30"/>
  <c r="B18" i="30"/>
  <c r="C17" i="30"/>
  <c r="B17" i="30"/>
  <c r="C16" i="30"/>
  <c r="B16" i="30"/>
  <c r="C15" i="30"/>
  <c r="B15" i="30"/>
  <c r="C14" i="30"/>
  <c r="B14" i="30"/>
  <c r="C13" i="30"/>
  <c r="B13" i="30"/>
  <c r="C12" i="30"/>
  <c r="B12" i="30"/>
  <c r="C11" i="30"/>
  <c r="B11" i="30"/>
  <c r="C10" i="30"/>
  <c r="B10" i="30"/>
  <c r="C9" i="30"/>
  <c r="B9" i="30"/>
  <c r="C8" i="30"/>
  <c r="B8" i="30"/>
  <c r="C7" i="30"/>
  <c r="B7" i="30"/>
  <c r="C6" i="30"/>
  <c r="B6" i="30"/>
  <c r="C5" i="30"/>
  <c r="B5" i="30"/>
  <c r="C4" i="30"/>
  <c r="B4" i="30"/>
  <c r="C3" i="30"/>
  <c r="B3" i="30"/>
  <c r="C2" i="30"/>
  <c r="B2" i="30"/>
  <c r="C1" i="30"/>
  <c r="B1" i="30"/>
  <c r="C20" i="29"/>
  <c r="B20" i="29"/>
  <c r="C19" i="29"/>
  <c r="B19" i="29"/>
  <c r="C18" i="29"/>
  <c r="B18" i="29"/>
  <c r="C17" i="29"/>
  <c r="B17" i="29"/>
  <c r="C16" i="29"/>
  <c r="B16" i="29"/>
  <c r="C15" i="29"/>
  <c r="B15" i="29"/>
  <c r="C14" i="29"/>
  <c r="B14" i="29"/>
  <c r="C13" i="29"/>
  <c r="B13" i="29"/>
  <c r="C12" i="29"/>
  <c r="B12" i="29"/>
  <c r="C11" i="29"/>
  <c r="B11" i="29"/>
  <c r="C10" i="29"/>
  <c r="B10" i="29"/>
  <c r="C9" i="29"/>
  <c r="B9" i="29"/>
  <c r="C8" i="29"/>
  <c r="B8" i="29"/>
  <c r="C7" i="29"/>
  <c r="B7" i="29"/>
  <c r="C6" i="29"/>
  <c r="B6" i="29"/>
  <c r="C5" i="29"/>
  <c r="B5" i="29"/>
  <c r="C4" i="29"/>
  <c r="B4" i="29"/>
  <c r="C3" i="29"/>
  <c r="B3" i="29"/>
  <c r="C2" i="29"/>
  <c r="B2" i="29"/>
  <c r="C1" i="29"/>
  <c r="B1" i="29"/>
  <c r="C20" i="28"/>
  <c r="B20" i="28"/>
  <c r="C19" i="28"/>
  <c r="B19" i="28"/>
  <c r="C18" i="28"/>
  <c r="B18" i="28"/>
  <c r="C17" i="28"/>
  <c r="B17" i="28"/>
  <c r="C16" i="28"/>
  <c r="B16" i="28"/>
  <c r="C15" i="28"/>
  <c r="B15" i="28"/>
  <c r="C14" i="28"/>
  <c r="B14" i="28"/>
  <c r="C13" i="28"/>
  <c r="B13" i="28"/>
  <c r="C12" i="28"/>
  <c r="B12" i="28"/>
  <c r="C11" i="28"/>
  <c r="B11" i="28"/>
  <c r="C10" i="28"/>
  <c r="B10" i="28"/>
  <c r="C9" i="28"/>
  <c r="B9" i="28"/>
  <c r="C8" i="28"/>
  <c r="B8" i="28"/>
  <c r="C7" i="28"/>
  <c r="B7" i="28"/>
  <c r="C6" i="28"/>
  <c r="B6" i="28"/>
  <c r="C5" i="28"/>
  <c r="B5" i="28"/>
  <c r="C4" i="28"/>
  <c r="B4" i="28"/>
  <c r="C3" i="28"/>
  <c r="B3" i="28"/>
  <c r="C2" i="28"/>
  <c r="B2" i="28"/>
  <c r="C1" i="28"/>
  <c r="B1" i="28"/>
  <c r="C20" i="27"/>
  <c r="B20" i="27"/>
  <c r="C19" i="27"/>
  <c r="B19" i="27"/>
  <c r="C18" i="27"/>
  <c r="B18" i="27"/>
  <c r="C17" i="27"/>
  <c r="B17" i="27"/>
  <c r="C16" i="27"/>
  <c r="B16" i="27"/>
  <c r="C15" i="27"/>
  <c r="B15" i="27"/>
  <c r="C14" i="27"/>
  <c r="B14" i="27"/>
  <c r="C13" i="27"/>
  <c r="B13" i="27"/>
  <c r="C12" i="27"/>
  <c r="B12" i="27"/>
  <c r="C11" i="27"/>
  <c r="B11" i="27"/>
  <c r="C10" i="27"/>
  <c r="B10" i="27"/>
  <c r="C9" i="27"/>
  <c r="B9" i="27"/>
  <c r="C8" i="27"/>
  <c r="B8" i="27"/>
  <c r="C7" i="27"/>
  <c r="B7" i="27"/>
  <c r="C6" i="27"/>
  <c r="B6" i="27"/>
  <c r="C5" i="27"/>
  <c r="B5" i="27"/>
  <c r="C4" i="27"/>
  <c r="B4" i="27"/>
  <c r="C3" i="27"/>
  <c r="B3" i="27"/>
  <c r="C2" i="27"/>
  <c r="B2" i="27"/>
  <c r="C1" i="27"/>
  <c r="B1" i="27"/>
  <c r="C20" i="26"/>
  <c r="B20" i="26"/>
  <c r="C19" i="26"/>
  <c r="B19" i="26"/>
  <c r="C18" i="26"/>
  <c r="B18" i="26"/>
  <c r="C17" i="26"/>
  <c r="B17" i="26"/>
  <c r="C16" i="26"/>
  <c r="B16" i="26"/>
  <c r="C15" i="26"/>
  <c r="B15" i="26"/>
  <c r="C14" i="26"/>
  <c r="B14" i="26"/>
  <c r="C13" i="26"/>
  <c r="B13" i="26"/>
  <c r="C12" i="26"/>
  <c r="B12" i="26"/>
  <c r="C11" i="26"/>
  <c r="B11" i="26"/>
  <c r="C10" i="26"/>
  <c r="B10" i="26"/>
  <c r="C9" i="26"/>
  <c r="B9" i="26"/>
  <c r="C8" i="26"/>
  <c r="B8" i="26"/>
  <c r="C7" i="26"/>
  <c r="B7" i="26"/>
  <c r="C6" i="26"/>
  <c r="B6" i="26"/>
  <c r="C5" i="26"/>
  <c r="C4" i="26"/>
  <c r="B4" i="26"/>
  <c r="C3" i="26"/>
  <c r="B3" i="26"/>
  <c r="C2" i="26"/>
  <c r="B2" i="26"/>
  <c r="C1" i="26"/>
  <c r="B1" i="26"/>
  <c r="C20" i="25"/>
  <c r="B20" i="25"/>
  <c r="C19" i="25"/>
  <c r="B19" i="25"/>
  <c r="C18" i="25"/>
  <c r="B18" i="25"/>
  <c r="C17" i="25"/>
  <c r="B17" i="25"/>
  <c r="C16" i="25"/>
  <c r="B16" i="25"/>
  <c r="C15" i="25"/>
  <c r="B15" i="25"/>
  <c r="C14" i="25"/>
  <c r="B14" i="25"/>
  <c r="C13" i="25"/>
  <c r="B13" i="25"/>
  <c r="C12" i="25"/>
  <c r="B12" i="25"/>
  <c r="B11" i="25"/>
  <c r="C10" i="25"/>
  <c r="B10" i="25"/>
  <c r="C9" i="25"/>
  <c r="B9" i="25"/>
  <c r="C8" i="25"/>
  <c r="B8" i="25"/>
  <c r="C7" i="25"/>
  <c r="B7" i="25"/>
  <c r="C6" i="25"/>
  <c r="B6" i="25"/>
  <c r="C5" i="25"/>
  <c r="B5" i="25"/>
  <c r="C4" i="25"/>
  <c r="B4" i="25"/>
  <c r="C3" i="25"/>
  <c r="B3" i="25"/>
  <c r="C2" i="25"/>
  <c r="B2" i="25"/>
  <c r="C1" i="25"/>
  <c r="B1" i="25"/>
  <c r="C20" i="24"/>
  <c r="B20" i="24"/>
  <c r="C19" i="24"/>
  <c r="B19" i="24"/>
  <c r="C18" i="24"/>
  <c r="B18" i="24"/>
  <c r="C17" i="24"/>
  <c r="B17" i="24"/>
  <c r="C16" i="24"/>
  <c r="B16" i="24"/>
  <c r="C15" i="24"/>
  <c r="B15" i="24"/>
  <c r="C14" i="24"/>
  <c r="B14" i="24"/>
  <c r="C13" i="24"/>
  <c r="B13" i="24"/>
  <c r="C12" i="24"/>
  <c r="B12" i="24"/>
  <c r="C11" i="24"/>
  <c r="B11" i="24"/>
  <c r="C10" i="24"/>
  <c r="B10" i="24"/>
  <c r="C9" i="24"/>
  <c r="B9" i="24"/>
  <c r="C8" i="24"/>
  <c r="B8" i="24"/>
  <c r="C7" i="24"/>
  <c r="C6" i="24"/>
  <c r="B6" i="24"/>
  <c r="C5" i="24"/>
  <c r="B5" i="24"/>
  <c r="C4" i="24"/>
  <c r="B4" i="24"/>
  <c r="C3" i="24"/>
  <c r="B3" i="24"/>
  <c r="C2" i="24"/>
  <c r="B2" i="24"/>
  <c r="C1" i="24"/>
  <c r="B1" i="24"/>
  <c r="C20" i="23"/>
  <c r="B20" i="23"/>
  <c r="C19" i="23"/>
  <c r="B19" i="23"/>
  <c r="C18" i="23"/>
  <c r="B18" i="23"/>
  <c r="C17" i="23"/>
  <c r="B17" i="23"/>
  <c r="C16" i="23"/>
  <c r="B16" i="23"/>
  <c r="C15" i="23"/>
  <c r="B15" i="23"/>
  <c r="C14" i="23"/>
  <c r="B14" i="23"/>
  <c r="C13" i="23"/>
  <c r="B13" i="23"/>
  <c r="C12" i="23"/>
  <c r="B12" i="23"/>
  <c r="C11" i="23"/>
  <c r="B11" i="23"/>
  <c r="C10" i="23"/>
  <c r="B10" i="23"/>
  <c r="C9" i="23"/>
  <c r="B9" i="23"/>
  <c r="C8" i="23"/>
  <c r="B8" i="23"/>
  <c r="C7" i="23"/>
  <c r="B7" i="23"/>
  <c r="C6" i="23"/>
  <c r="B6" i="23"/>
  <c r="C5" i="23"/>
  <c r="B5" i="23"/>
  <c r="C4" i="23"/>
  <c r="B4" i="23"/>
  <c r="C3" i="23"/>
  <c r="B3" i="23"/>
  <c r="C2" i="23"/>
  <c r="B2" i="23"/>
  <c r="C1" i="23"/>
  <c r="B1" i="23"/>
  <c r="C22" i="22"/>
  <c r="C20" i="22"/>
  <c r="C19" i="22"/>
  <c r="C18" i="22"/>
  <c r="C17" i="22"/>
  <c r="C16" i="22"/>
  <c r="C15" i="22"/>
  <c r="C14" i="22"/>
  <c r="C13" i="22"/>
  <c r="C12" i="22"/>
  <c r="C11" i="22"/>
  <c r="C10" i="22"/>
  <c r="C9" i="22"/>
  <c r="C8" i="22"/>
  <c r="C7" i="22"/>
  <c r="C6" i="22"/>
  <c r="B6" i="22"/>
  <c r="C5" i="22"/>
  <c r="B5" i="22"/>
  <c r="C4" i="22"/>
  <c r="B4" i="22"/>
  <c r="C3" i="22"/>
  <c r="B3" i="22"/>
  <c r="C2" i="22"/>
  <c r="B2" i="22"/>
  <c r="C1" i="22"/>
  <c r="B1" i="22"/>
  <c r="C20" i="21"/>
  <c r="C19" i="21"/>
  <c r="C18" i="21"/>
  <c r="C17" i="21"/>
  <c r="C16" i="21"/>
  <c r="C15" i="21"/>
  <c r="C14" i="21"/>
  <c r="C13" i="21"/>
  <c r="C12" i="21"/>
  <c r="C11" i="21"/>
  <c r="C10" i="21"/>
  <c r="B10" i="21"/>
  <c r="C9" i="21"/>
  <c r="B9" i="21"/>
  <c r="C8" i="21"/>
  <c r="B8" i="21"/>
  <c r="C7" i="21"/>
  <c r="B7" i="21"/>
  <c r="C6" i="21"/>
  <c r="B6" i="21"/>
  <c r="C5" i="21"/>
  <c r="B5" i="21"/>
  <c r="C4" i="21"/>
  <c r="B4" i="21"/>
  <c r="C3" i="21"/>
  <c r="B3" i="21"/>
  <c r="C2" i="21"/>
  <c r="B2" i="21"/>
  <c r="C1" i="21"/>
  <c r="B1" i="21"/>
  <c r="C20" i="20"/>
  <c r="B20" i="20"/>
  <c r="C19" i="20"/>
  <c r="B19" i="20"/>
  <c r="C18" i="20"/>
  <c r="B18" i="20"/>
  <c r="C17" i="20"/>
  <c r="B17" i="20"/>
  <c r="C16" i="20"/>
  <c r="B16" i="20"/>
  <c r="C15" i="20"/>
  <c r="B15" i="20"/>
  <c r="C14" i="20"/>
  <c r="B14" i="20"/>
  <c r="C13" i="20"/>
  <c r="B13" i="20"/>
  <c r="C12" i="20"/>
  <c r="B12" i="20"/>
  <c r="C11" i="20"/>
  <c r="B11" i="20"/>
  <c r="C10" i="20"/>
  <c r="B10" i="20"/>
  <c r="C9" i="20"/>
  <c r="B9" i="20"/>
  <c r="C8" i="20"/>
  <c r="B8" i="20"/>
  <c r="C7" i="20"/>
  <c r="B7" i="20"/>
  <c r="C6" i="20"/>
  <c r="B6" i="20"/>
  <c r="B5" i="20"/>
  <c r="C4" i="20"/>
  <c r="B4" i="20"/>
  <c r="C3" i="20"/>
  <c r="B3" i="20"/>
  <c r="C2" i="20"/>
  <c r="B2" i="20"/>
  <c r="C1" i="20"/>
  <c r="B1" i="20"/>
  <c r="B20" i="19"/>
  <c r="B19" i="19"/>
  <c r="B18" i="19"/>
  <c r="B17" i="19"/>
  <c r="B16" i="19"/>
  <c r="B15" i="19"/>
  <c r="B14" i="19"/>
  <c r="B13" i="19"/>
  <c r="C12" i="19"/>
  <c r="B12" i="19"/>
  <c r="B11" i="19"/>
  <c r="C10" i="19"/>
  <c r="B10" i="19"/>
  <c r="C9" i="19"/>
  <c r="B9" i="19"/>
  <c r="C8" i="19"/>
  <c r="B8" i="19"/>
  <c r="C7" i="19"/>
  <c r="B7" i="19"/>
  <c r="C6" i="19"/>
  <c r="B6" i="19"/>
  <c r="C5" i="19"/>
  <c r="B5" i="19"/>
  <c r="C4" i="19"/>
  <c r="B4" i="19"/>
  <c r="C3" i="19"/>
  <c r="B3" i="19"/>
  <c r="C2" i="19"/>
  <c r="B2" i="19"/>
  <c r="C1" i="19"/>
  <c r="B1" i="19"/>
  <c r="C20" i="18"/>
  <c r="B20" i="18"/>
  <c r="C19" i="18"/>
  <c r="B19" i="18"/>
  <c r="C18" i="18"/>
  <c r="B18" i="18"/>
  <c r="C17" i="18"/>
  <c r="B17" i="18"/>
  <c r="C16" i="18"/>
  <c r="B16" i="18"/>
  <c r="C15" i="18"/>
  <c r="B15" i="18"/>
  <c r="C14" i="18"/>
  <c r="B14" i="18"/>
  <c r="C13" i="18"/>
  <c r="B13" i="18"/>
  <c r="C12" i="18"/>
  <c r="B12" i="18"/>
  <c r="C11" i="18"/>
  <c r="B11" i="18"/>
  <c r="C10" i="18"/>
  <c r="B10" i="18"/>
  <c r="C9" i="18"/>
  <c r="B9" i="18"/>
  <c r="C8" i="18"/>
  <c r="B8" i="18"/>
  <c r="C7" i="18"/>
  <c r="B7" i="18"/>
  <c r="C6" i="18"/>
  <c r="B6" i="18"/>
  <c r="C5" i="18"/>
  <c r="B5" i="18"/>
  <c r="C4" i="18"/>
  <c r="B4" i="18"/>
  <c r="C3" i="18"/>
  <c r="B3" i="18"/>
  <c r="C2" i="18"/>
  <c r="B2" i="18"/>
  <c r="C1" i="18"/>
  <c r="B1" i="18"/>
  <c r="C20" i="16"/>
  <c r="B20" i="16"/>
  <c r="C19" i="16"/>
  <c r="B19" i="16"/>
  <c r="C18" i="16"/>
  <c r="B18" i="16"/>
  <c r="C17" i="16"/>
  <c r="B17" i="16"/>
  <c r="C16" i="16"/>
  <c r="B16" i="16"/>
  <c r="C15" i="16"/>
  <c r="B15" i="16"/>
  <c r="C14" i="16"/>
  <c r="B14" i="16"/>
  <c r="C13" i="16"/>
  <c r="B13" i="16"/>
  <c r="C12" i="16"/>
  <c r="B12" i="16"/>
  <c r="C11" i="16"/>
  <c r="B11" i="16"/>
  <c r="C10" i="16"/>
  <c r="B10" i="16"/>
  <c r="C9" i="16"/>
  <c r="B9" i="16"/>
  <c r="C8" i="16"/>
  <c r="B8" i="16"/>
  <c r="C7" i="16"/>
  <c r="B7" i="16"/>
  <c r="C6" i="16"/>
  <c r="B6" i="16"/>
  <c r="C5" i="16"/>
  <c r="B5" i="16"/>
  <c r="C4" i="16"/>
  <c r="B4" i="16"/>
  <c r="C3" i="16"/>
  <c r="B3" i="16"/>
  <c r="C2" i="16"/>
  <c r="B2" i="16"/>
  <c r="C1" i="16"/>
  <c r="B1" i="16"/>
  <c r="C20" i="15"/>
  <c r="B20" i="15"/>
  <c r="C19" i="15"/>
  <c r="B19" i="15"/>
  <c r="C18" i="15"/>
  <c r="B18" i="15"/>
  <c r="C17" i="15"/>
  <c r="B17" i="15"/>
  <c r="C16" i="15"/>
  <c r="B16" i="15"/>
  <c r="C15" i="15"/>
  <c r="B15" i="15"/>
  <c r="C14" i="15"/>
  <c r="B14" i="15"/>
  <c r="C13" i="15"/>
  <c r="B13" i="15"/>
  <c r="C12" i="15"/>
  <c r="B12" i="15"/>
  <c r="C11" i="15"/>
  <c r="B11" i="15"/>
  <c r="C10" i="15"/>
  <c r="B10" i="15"/>
  <c r="C9" i="15"/>
  <c r="B9" i="15"/>
  <c r="C8" i="15"/>
  <c r="B8" i="15"/>
  <c r="C7" i="15"/>
  <c r="B7" i="15"/>
  <c r="C6" i="15"/>
  <c r="B6" i="15"/>
  <c r="C5" i="15"/>
  <c r="C4" i="15"/>
  <c r="B4" i="15"/>
  <c r="C3" i="15"/>
  <c r="B3" i="15"/>
  <c r="C2" i="15"/>
  <c r="B2" i="15"/>
  <c r="C1" i="15"/>
  <c r="B1" i="15"/>
  <c r="C20" i="14"/>
  <c r="B20" i="14"/>
  <c r="C19" i="14"/>
  <c r="B19" i="14"/>
  <c r="C18" i="14"/>
  <c r="B18" i="14"/>
  <c r="C17" i="14"/>
  <c r="B17" i="14"/>
  <c r="C16" i="14"/>
  <c r="B16" i="14"/>
  <c r="C15" i="14"/>
  <c r="B15" i="14"/>
  <c r="C14" i="14"/>
  <c r="B14" i="14"/>
  <c r="C13" i="14"/>
  <c r="B13" i="14"/>
  <c r="C12" i="14"/>
  <c r="B12" i="14"/>
  <c r="C11" i="14"/>
  <c r="B11" i="14"/>
  <c r="C10" i="14"/>
  <c r="B10" i="14"/>
  <c r="C9" i="14"/>
  <c r="B9" i="14"/>
  <c r="C8" i="14"/>
  <c r="B8" i="14"/>
  <c r="C7" i="14"/>
  <c r="B7" i="14"/>
  <c r="C6" i="14"/>
  <c r="B6" i="14"/>
  <c r="C5" i="14"/>
  <c r="B5" i="14"/>
  <c r="C4" i="14"/>
  <c r="B4" i="14"/>
  <c r="C3" i="14"/>
  <c r="B3" i="14"/>
  <c r="C2" i="14"/>
  <c r="B2" i="14"/>
  <c r="C1" i="14"/>
  <c r="B1" i="14"/>
  <c r="C20" i="13"/>
  <c r="B20" i="13"/>
  <c r="C19" i="13"/>
  <c r="B19" i="13"/>
  <c r="C18" i="13"/>
  <c r="B18" i="13"/>
  <c r="C17" i="13"/>
  <c r="B17" i="13"/>
  <c r="C16" i="13"/>
  <c r="B16" i="13"/>
  <c r="C15" i="13"/>
  <c r="B15" i="13"/>
  <c r="C14" i="13"/>
  <c r="B14" i="13"/>
  <c r="C13" i="13"/>
  <c r="B13" i="13"/>
  <c r="C12" i="13"/>
  <c r="B12" i="13"/>
  <c r="C11" i="13"/>
  <c r="B11" i="13"/>
  <c r="C10" i="13"/>
  <c r="B10" i="13"/>
  <c r="C9" i="13"/>
  <c r="B9" i="13"/>
  <c r="C8" i="13"/>
  <c r="B8" i="13"/>
  <c r="C7" i="13"/>
  <c r="B7" i="13"/>
  <c r="C6" i="13"/>
  <c r="B6" i="13"/>
  <c r="C5" i="13"/>
  <c r="B5" i="13"/>
  <c r="C4" i="13"/>
  <c r="B4" i="13"/>
  <c r="C3" i="13"/>
  <c r="B3" i="13"/>
  <c r="C2" i="13"/>
  <c r="B2" i="13"/>
  <c r="C1" i="13"/>
  <c r="B1" i="13"/>
  <c r="B22" i="12"/>
  <c r="C20" i="12"/>
  <c r="B20" i="12"/>
  <c r="C19" i="12"/>
  <c r="B19" i="12"/>
  <c r="C18" i="12"/>
  <c r="B18" i="12"/>
  <c r="C17" i="12"/>
  <c r="B17" i="12"/>
  <c r="C16" i="12"/>
  <c r="B16" i="12"/>
  <c r="C15" i="12"/>
  <c r="B15" i="12"/>
  <c r="C14" i="12"/>
  <c r="B14" i="12"/>
  <c r="C13" i="12"/>
  <c r="B13" i="12"/>
  <c r="C12" i="12"/>
  <c r="B12" i="12"/>
  <c r="C11" i="12"/>
  <c r="B11" i="12"/>
  <c r="C10" i="12"/>
  <c r="B10" i="12"/>
  <c r="C9" i="12"/>
  <c r="B9" i="12"/>
  <c r="C8" i="12"/>
  <c r="B8" i="12"/>
  <c r="C7" i="12"/>
  <c r="B7" i="12"/>
  <c r="C6" i="12"/>
  <c r="B6" i="12"/>
  <c r="C5" i="12"/>
  <c r="B5" i="12"/>
  <c r="C4" i="12"/>
  <c r="B4" i="12"/>
  <c r="C3" i="12"/>
  <c r="B3" i="12"/>
  <c r="C2" i="12"/>
  <c r="B2" i="12"/>
  <c r="C1" i="12"/>
  <c r="B1" i="12"/>
  <c r="C20" i="11"/>
  <c r="B20" i="11"/>
  <c r="C19" i="11"/>
  <c r="B19" i="11"/>
  <c r="C18" i="11"/>
  <c r="B18" i="11"/>
  <c r="C17" i="11"/>
  <c r="B17" i="11"/>
  <c r="C16" i="11"/>
  <c r="B16" i="11"/>
  <c r="C15" i="11"/>
  <c r="B15" i="11"/>
  <c r="C14" i="11"/>
  <c r="B14" i="11"/>
  <c r="C13" i="11"/>
  <c r="B13" i="11"/>
  <c r="C12" i="11"/>
  <c r="B12" i="11"/>
  <c r="C11" i="11"/>
  <c r="B11" i="11"/>
  <c r="C10" i="11"/>
  <c r="B10" i="11"/>
  <c r="C9" i="11"/>
  <c r="B9" i="11"/>
  <c r="C8" i="11"/>
  <c r="B8" i="11"/>
  <c r="C7" i="11"/>
  <c r="B7" i="11"/>
  <c r="C6" i="11"/>
  <c r="B6" i="11"/>
  <c r="C5" i="11"/>
  <c r="B5" i="11"/>
  <c r="C4" i="11"/>
  <c r="B4" i="11"/>
  <c r="C3" i="11"/>
  <c r="B3" i="11"/>
  <c r="C2" i="11"/>
  <c r="B2" i="11"/>
  <c r="C1" i="11"/>
  <c r="B1" i="11"/>
  <c r="C20" i="10"/>
  <c r="B20" i="10"/>
  <c r="C19" i="10"/>
  <c r="B19" i="10"/>
  <c r="C18" i="10"/>
  <c r="B18" i="10"/>
  <c r="C17" i="10"/>
  <c r="B17" i="10"/>
  <c r="C16" i="10"/>
  <c r="B16" i="10"/>
  <c r="C15" i="10"/>
  <c r="B15" i="10"/>
  <c r="C14" i="10"/>
  <c r="B14" i="10"/>
  <c r="C13" i="10"/>
  <c r="B13" i="10"/>
  <c r="C12" i="10"/>
  <c r="B12" i="10"/>
  <c r="C11" i="10"/>
  <c r="B11" i="10"/>
  <c r="C10" i="10"/>
  <c r="B10" i="10"/>
  <c r="C9" i="10"/>
  <c r="B9" i="10"/>
  <c r="C8" i="10"/>
  <c r="B8" i="10"/>
  <c r="C7" i="10"/>
  <c r="B7" i="10"/>
  <c r="C6" i="10"/>
  <c r="B6" i="10"/>
  <c r="C5" i="10"/>
  <c r="B5" i="10"/>
  <c r="C4" i="10"/>
  <c r="B4" i="10"/>
  <c r="C3" i="10"/>
  <c r="B3" i="10"/>
  <c r="C2" i="10"/>
  <c r="B2" i="10"/>
  <c r="C1" i="10"/>
  <c r="B1" i="10"/>
  <c r="C20" i="9"/>
  <c r="B20" i="9"/>
  <c r="C19" i="9"/>
  <c r="B19" i="9"/>
  <c r="C18" i="9"/>
  <c r="B18" i="9"/>
  <c r="C17" i="9"/>
  <c r="B17" i="9"/>
  <c r="C16" i="9"/>
  <c r="B16" i="9"/>
  <c r="C15" i="9"/>
  <c r="B15" i="9"/>
  <c r="C14" i="9"/>
  <c r="B14" i="9"/>
  <c r="C13" i="9"/>
  <c r="B13" i="9"/>
  <c r="C12" i="9"/>
  <c r="B12" i="9"/>
  <c r="C11" i="9"/>
  <c r="B11" i="9"/>
  <c r="C10" i="9"/>
  <c r="B10" i="9"/>
  <c r="C9" i="9"/>
  <c r="B9" i="9"/>
  <c r="C8" i="9"/>
  <c r="B8" i="9"/>
  <c r="C7" i="9"/>
  <c r="B7" i="9"/>
  <c r="C6" i="9"/>
  <c r="B6" i="9"/>
  <c r="C5" i="9"/>
  <c r="B5" i="9"/>
  <c r="C4" i="9"/>
  <c r="B4" i="9"/>
  <c r="C3" i="9"/>
  <c r="B3" i="9"/>
  <c r="C2" i="9"/>
  <c r="B2" i="9"/>
  <c r="C1" i="9"/>
  <c r="B1" i="9"/>
  <c r="C20" i="8"/>
  <c r="B20" i="8"/>
  <c r="C19" i="8"/>
  <c r="B19" i="8"/>
  <c r="C18" i="8"/>
  <c r="B18" i="8"/>
  <c r="C17" i="8"/>
  <c r="B17" i="8"/>
  <c r="C16" i="8"/>
  <c r="B16" i="8"/>
  <c r="C15" i="8"/>
  <c r="B15" i="8"/>
  <c r="C14" i="8"/>
  <c r="B14" i="8"/>
  <c r="C13" i="8"/>
  <c r="B13" i="8"/>
  <c r="C12" i="8"/>
  <c r="B12" i="8"/>
  <c r="C11" i="8"/>
  <c r="B11" i="8"/>
  <c r="C10" i="8"/>
  <c r="B10" i="8"/>
  <c r="C9" i="8"/>
  <c r="B9" i="8"/>
  <c r="C8" i="8"/>
  <c r="B8" i="8"/>
  <c r="C7" i="8"/>
  <c r="B7" i="8"/>
  <c r="C6" i="8"/>
  <c r="B6" i="8"/>
  <c r="C5" i="8"/>
  <c r="B5" i="8"/>
  <c r="C4" i="8"/>
  <c r="B4" i="8"/>
  <c r="C3" i="8"/>
  <c r="B3" i="8"/>
  <c r="C2" i="8"/>
  <c r="B2" i="8"/>
  <c r="C1" i="8"/>
  <c r="B1" i="8"/>
  <c r="C20" i="7"/>
  <c r="B20" i="7"/>
  <c r="C19" i="7"/>
  <c r="B19" i="7"/>
  <c r="C18" i="7"/>
  <c r="B18" i="7"/>
  <c r="C17" i="7"/>
  <c r="B17" i="7"/>
  <c r="C16" i="7"/>
  <c r="B16" i="7"/>
  <c r="C15" i="7"/>
  <c r="B15" i="7"/>
  <c r="C14" i="7"/>
  <c r="B14" i="7"/>
  <c r="C13" i="7"/>
  <c r="B13" i="7"/>
  <c r="C12" i="7"/>
  <c r="B12" i="7"/>
  <c r="C11" i="7"/>
  <c r="B11" i="7"/>
  <c r="C10" i="7"/>
  <c r="B10" i="7"/>
  <c r="C9" i="7"/>
  <c r="B9" i="7"/>
  <c r="C8" i="7"/>
  <c r="B8" i="7"/>
  <c r="C7" i="7"/>
  <c r="B7" i="7"/>
  <c r="C6" i="7"/>
  <c r="B6" i="7"/>
  <c r="C5" i="7"/>
  <c r="C4" i="7"/>
  <c r="B4" i="7"/>
  <c r="C3" i="7"/>
  <c r="B3" i="7"/>
  <c r="C2" i="7"/>
  <c r="B2" i="7"/>
  <c r="C1" i="7"/>
  <c r="B1" i="7"/>
  <c r="C20" i="6"/>
  <c r="B20" i="6"/>
  <c r="C19" i="6"/>
  <c r="B19" i="6"/>
  <c r="C18" i="6"/>
  <c r="B18" i="6"/>
  <c r="C17" i="6"/>
  <c r="B17" i="6"/>
  <c r="C16" i="6"/>
  <c r="B16" i="6"/>
  <c r="C15" i="6"/>
  <c r="B15" i="6"/>
  <c r="C14" i="6"/>
  <c r="B14" i="6"/>
  <c r="C13" i="6"/>
  <c r="B13" i="6"/>
  <c r="C12" i="6"/>
  <c r="B12" i="6"/>
  <c r="C11" i="6"/>
  <c r="B11" i="6"/>
  <c r="C10" i="6"/>
  <c r="B10" i="6"/>
  <c r="C9" i="6"/>
  <c r="B9" i="6"/>
  <c r="C8" i="6"/>
  <c r="B8" i="6"/>
  <c r="C7" i="6"/>
  <c r="B7" i="6"/>
  <c r="C6" i="6"/>
  <c r="B6" i="6"/>
  <c r="B5" i="6"/>
  <c r="C4" i="6"/>
  <c r="B4" i="6"/>
  <c r="C3" i="6"/>
  <c r="B3" i="6"/>
  <c r="C2" i="6"/>
  <c r="B2" i="6"/>
  <c r="C1" i="6"/>
  <c r="B1" i="6"/>
  <c r="C20" i="5"/>
  <c r="B20" i="5"/>
  <c r="C19" i="5"/>
  <c r="B19" i="5"/>
  <c r="C18" i="5"/>
  <c r="B18" i="5"/>
  <c r="C17" i="5"/>
  <c r="B17" i="5"/>
  <c r="C16" i="5"/>
  <c r="B16" i="5"/>
  <c r="C15" i="5"/>
  <c r="B15" i="5"/>
  <c r="C14" i="5"/>
  <c r="B14" i="5"/>
  <c r="C13" i="5"/>
  <c r="B13" i="5"/>
  <c r="C12" i="5"/>
  <c r="B12" i="5"/>
  <c r="C11" i="5"/>
  <c r="B11" i="5"/>
  <c r="C10" i="5"/>
  <c r="B10" i="5"/>
  <c r="C9" i="5"/>
  <c r="B9" i="5"/>
  <c r="C8" i="5"/>
  <c r="B8" i="5"/>
  <c r="C7" i="5"/>
  <c r="B7" i="5"/>
  <c r="C6" i="5"/>
  <c r="B6" i="5"/>
  <c r="C5" i="5"/>
  <c r="C4" i="5"/>
  <c r="B4" i="5"/>
  <c r="C3" i="5"/>
  <c r="B3" i="5"/>
  <c r="C2" i="5"/>
  <c r="B2" i="5"/>
  <c r="C1" i="5"/>
  <c r="B1" i="5"/>
  <c r="B20" i="4"/>
  <c r="B19" i="4"/>
  <c r="C18" i="4"/>
  <c r="B18" i="4"/>
  <c r="C17" i="4"/>
  <c r="B17" i="4"/>
  <c r="C16" i="4"/>
  <c r="B16" i="4"/>
  <c r="C15" i="4"/>
  <c r="B15" i="4"/>
  <c r="C14" i="4"/>
  <c r="B14" i="4"/>
  <c r="C13" i="4"/>
  <c r="B13" i="4"/>
  <c r="C12" i="4"/>
  <c r="B12" i="4"/>
  <c r="C11" i="4"/>
  <c r="B11" i="4"/>
  <c r="C10" i="4"/>
  <c r="B10" i="4"/>
  <c r="C9" i="4"/>
  <c r="B9" i="4"/>
  <c r="C8" i="4"/>
  <c r="B8" i="4"/>
  <c r="C7" i="4"/>
  <c r="B7" i="4"/>
  <c r="C6" i="4"/>
  <c r="B6" i="4"/>
  <c r="C5" i="4"/>
  <c r="B5" i="4"/>
  <c r="C4" i="4"/>
  <c r="B4" i="4"/>
  <c r="C3" i="4"/>
  <c r="B3" i="4"/>
  <c r="C2" i="4"/>
  <c r="B2" i="4"/>
  <c r="C1" i="4"/>
  <c r="B1" i="4"/>
  <c r="C20" i="3"/>
  <c r="B20" i="3"/>
  <c r="C19" i="3"/>
  <c r="B19" i="3"/>
  <c r="C18" i="3"/>
  <c r="B18" i="3"/>
  <c r="C17" i="3"/>
  <c r="B17" i="3"/>
  <c r="C16" i="3"/>
  <c r="B16" i="3"/>
  <c r="C15" i="3"/>
  <c r="B15" i="3"/>
  <c r="C14" i="3"/>
  <c r="B14" i="3"/>
  <c r="C13" i="3"/>
  <c r="B13" i="3"/>
  <c r="C12" i="3"/>
  <c r="B12" i="3"/>
  <c r="C11" i="3"/>
  <c r="B11" i="3"/>
  <c r="C10" i="3"/>
  <c r="B10" i="3"/>
  <c r="C9" i="3"/>
  <c r="B9" i="3"/>
  <c r="C8" i="3"/>
  <c r="B8" i="3"/>
  <c r="C7" i="3"/>
  <c r="B7" i="3"/>
  <c r="C6" i="3"/>
  <c r="B6" i="3"/>
  <c r="C5" i="3"/>
  <c r="B5" i="3"/>
  <c r="C4" i="3"/>
  <c r="B4" i="3"/>
  <c r="C3" i="3"/>
  <c r="B3" i="3"/>
  <c r="C2" i="3"/>
  <c r="B2" i="3"/>
  <c r="C1" i="3"/>
  <c r="B1" i="3"/>
  <c r="C22" i="2"/>
  <c r="B22" i="2"/>
  <c r="C20" i="2"/>
  <c r="B20" i="2"/>
  <c r="C19" i="2"/>
  <c r="B19" i="2"/>
  <c r="C18" i="2"/>
  <c r="B18" i="2"/>
  <c r="C17" i="2"/>
  <c r="B17" i="2"/>
  <c r="C16" i="2"/>
  <c r="B16" i="2"/>
  <c r="C15" i="2"/>
  <c r="B15" i="2"/>
  <c r="C14" i="2"/>
  <c r="B14" i="2"/>
  <c r="C13" i="2"/>
  <c r="B13" i="2"/>
  <c r="C12" i="2"/>
  <c r="B12" i="2"/>
  <c r="C11" i="2"/>
  <c r="B11" i="2"/>
  <c r="C10" i="2"/>
  <c r="B10" i="2"/>
  <c r="C9" i="2"/>
  <c r="B9" i="2"/>
  <c r="C8" i="2"/>
  <c r="B8" i="2"/>
  <c r="C7" i="2"/>
  <c r="B7" i="2"/>
  <c r="C6" i="2"/>
  <c r="B6" i="2"/>
  <c r="C5" i="2"/>
  <c r="B5" i="2"/>
  <c r="C4" i="2"/>
  <c r="B4" i="2"/>
  <c r="C3" i="2"/>
  <c r="B3" i="2"/>
  <c r="C2" i="2"/>
  <c r="B2" i="2"/>
  <c r="C1" i="2"/>
  <c r="B1" i="2"/>
</calcChain>
</file>

<file path=xl/sharedStrings.xml><?xml version="1.0" encoding="utf-8"?>
<sst xmlns="http://schemas.openxmlformats.org/spreadsheetml/2006/main" count="2168" uniqueCount="75">
  <si>
    <t>Who dat 2?</t>
  </si>
  <si>
    <t>Who dat 3?</t>
  </si>
  <si>
    <t>Gene location
  Start and Stop 
 FOR or REV</t>
  </si>
  <si>
    <t>Gene number
  In DNA Master
 On Phamerator map</t>
  </si>
  <si>
    <t>Pham number and date</t>
  </si>
  <si>
    <t>Homologous gene(s) in related phage(s) (phage name and gene number)</t>
  </si>
  <si>
    <t>Glimmer and GeneMark Support
  Did both programs call this gene?
 indicate whether the Glimmer or GeneMark call, or both, or neither, was chosen</t>
  </si>
  <si>
    <t>GeneMark coding potential
  does this gene have coding potential?
 is all coding potential included with this start? If not, why not?</t>
  </si>
  <si>
    <t>Is this the longest possible ORF? 
  If No, why not?</t>
  </si>
  <si>
    <t>Gap or overlap with previous gene 
  number of nucleotides, gap or overlap
 if large overlap is chosen, provide rationale</t>
  </si>
  <si>
    <t>Ribosome binding site (SD) score 
  record the Z score and final score for the chosen start site – best score?
 list scores for any other starts being considered</t>
  </si>
  <si>
    <t>NCBI BLAST-start 
  what was/were the best hit(s)? (phage, gene #, % identity, e value)
 indicate the start for the query and subject/target (e.g. q1:s1)</t>
  </si>
  <si>
    <t>Starterator
  Is the start conserved in all members of this pham?
 How often has it been called when present?</t>
  </si>
  <si>
    <t>Start changed? 
  Yes or No, rationale for start choice
   If gene should be deleted, explain rationale here</t>
  </si>
  <si>
    <t>Function in phagesdb blast match(es)
  phage name, gene number, e value</t>
  </si>
  <si>
    <t>Function for homologous gene(s)
  phage(s), gene #(s)</t>
  </si>
  <si>
    <t>Synteny
  Would this function be expected in this part of the genome?
 What genes are adjacent?</t>
  </si>
  <si>
    <t>HHPred 
  description, probability, % alignment of query
 % alignment of target
 Is the functional domain in the target part of the alignment?
 Indicate whether these matches need further exploration</t>
  </si>
  <si>
    <t>Conserved domain
  functional domain identified?</t>
  </si>
  <si>
    <t>TMHMM – membrane protein
  number of predicted TMH
 confirmed by SOSUI?</t>
  </si>
  <si>
    <t>Final Function Call and rationale</t>
  </si>
  <si>
    <t>Additional notes about this gene:</t>
  </si>
  <si>
    <t>Done in class</t>
  </si>
  <si>
    <t>10722 - 12194, forward</t>
  </si>
  <si>
    <t>16 on both, also 16 on phagesdb</t>
  </si>
  <si>
    <t>130463 2/5/25</t>
  </si>
  <si>
    <t>Edmundo 16
Kovu 17</t>
  </si>
  <si>
    <t>both called 10722</t>
  </si>
  <si>
    <t>good potential, captures all potential</t>
  </si>
  <si>
    <t>no. another start at 10647</t>
  </si>
  <si>
    <t>7nt overlap. Moving to previous start makes overlap bigger. Next start introduces a gap.</t>
  </si>
  <si>
    <t>Good z score for current start. Previous start also has good Z. later starts not so good.</t>
  </si>
  <si>
    <t>Kovu portal protein gene 17, e=0, 95% identical,
Start 1 in Apokipo, 1 in kovu</t>
  </si>
  <si>
    <t>Called in Kovu, but not other AL cluster phages. Others call a start not in Apokipo.</t>
  </si>
  <si>
    <t>NO</t>
  </si>
  <si>
    <t>match to Kovu_17 (e=0)
Laroye_16 (e=0)</t>
  </si>
  <si>
    <t>Portal protein</t>
  </si>
  <si>
    <t>found in same genetic environment as Kovu</t>
  </si>
  <si>
    <t>Portal protein; G20C, portal protein, bacteriophage, transport protein; 1.9A {Thermus phage P7426
100% probability
% align of Q: 76%
% align of T: 89%
Fxnal domain in target part of alignment: yes</t>
  </si>
  <si>
    <t>CD DUF - no fxn listed</t>
  </si>
  <si>
    <t>No</t>
  </si>
  <si>
    <t>Portal Protein
Call supported by Blastp, HHpred, fxnl domain of T present in Q, evidence in other phages</t>
  </si>
  <si>
    <t>28697 - 29095, forward</t>
  </si>
  <si>
    <t>47 in DNAM
48 in phamerator and phagesdb</t>
  </si>
  <si>
    <t>209786 2/10/25</t>
  </si>
  <si>
    <t>orphan</t>
  </si>
  <si>
    <t>both called 28697</t>
  </si>
  <si>
    <t>good coding potential in self and host, selected start gets all potential</t>
  </si>
  <si>
    <t>longest</t>
  </si>
  <si>
    <t>186 bp gap</t>
  </si>
  <si>
    <t>excellent z</t>
  </si>
  <si>
    <t>not helpful</t>
  </si>
  <si>
    <t>Match to Kovu_50 (5e-08), but small segment</t>
  </si>
  <si>
    <t>unknown fxn</t>
  </si>
  <si>
    <t>for kovu this gene is in similar area</t>
  </si>
  <si>
    <t>no good hits to mention</t>
  </si>
  <si>
    <t>no</t>
  </si>
  <si>
    <t>Hypothetical Protein</t>
  </si>
  <si>
    <t>55680-55979
forward</t>
  </si>
  <si>
    <t>94 DNAM
95 phamerator, phagesdb</t>
  </si>
  <si>
    <t>89027 2/17/25</t>
  </si>
  <si>
    <t>Kovu 93</t>
  </si>
  <si>
    <t>GeneMark calls 
Glimmer does not call</t>
  </si>
  <si>
    <t>good coding potential for first ¾ of gene. Last ¼ not so good.
GMS called start misses some coding potential.</t>
  </si>
  <si>
    <t>not longest</t>
  </si>
  <si>
    <t>6nt overlap
or 21 nt gap in phamerator</t>
  </si>
  <si>
    <t>RBS z = 1.675
other starts worse</t>
  </si>
  <si>
    <t>Start 1 in Kovu matches Start at 55653
e=0</t>
  </si>
  <si>
    <t>not conserved. 
Kovu uses earlier start found in ApoKipo.</t>
  </si>
  <si>
    <t>55653 should be the start.</t>
  </si>
  <si>
    <t>match to Kovu 93 (e=0) and LiSara 90</t>
  </si>
  <si>
    <t>WhiB family TF</t>
  </si>
  <si>
    <t>WhiB3 bound to SigmaAr4-RNAP Beta flap tip chimera and DNA
% alignment of query; 60%
% alignment of target: 63%
Fxnal domain in target alignment area - Yes</t>
  </si>
  <si>
    <t>Yes</t>
  </si>
  <si>
    <t>WhiB family transcription factor
Support from BLASTp, HHpred, functional domain of T present in Q</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</si>
</sst>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x14ac:knownFonts="1">
    <font>
      <sz val="10"/>
      <color rgb="FF000000"/>
      <name val="Arial"/>
      <scheme val="minor"/>
    </font>
    <font>
      <sz val="11"/>
      <color theme="1"/>
      <name val="Arial"/>
    </font>
    <font>
      <b/>
      <u/>
      <sz val="14"/>
      <color theme="1"/>
      <name val="Arial"/>
    </font>
    <font>
      <b/>
      <u/>
      <sz val="14"/>
      <color theme="1"/>
      <name val="Arial"/>
    </font>
    <font>
      <b/>
      <u/>
      <sz val="14"/>
      <color theme="1"/>
      <name val="Arial"/>
    </font>
    <font>
      <sz val="11"/>
      <color theme="1"/>
      <name val="Calibri"/>
    </font>
    <font>
      <sz val="10"/>
      <color theme="1"/>
      <name val="Arial"/>
      <scheme val="minor"/>
    </font>
    <font>
      <b/>
      <u/>
      <sz val="14"/>
      <color theme="1"/>
      <name val="Arial"/>
    </font>
    <font>
      <b/>
      <u/>
      <sz val="14"/>
      <color theme="1"/>
      <name val="Arial"/>
    </font>
    <font>
      <b/>
      <u/>
      <sz val="14"/>
      <color theme="1"/>
      <name val="Arial"/>
    </font>
    <font>
      <b/>
      <sz val="14"/>
      <color theme="1"/>
      <name val="Arial"/>
      <scheme val="minor"/>
    </font>
    <font>
      <sz val="11"/>
      <color rgb="FF000000"/>
      <name val="Arial"/>
    </font>
    <font>
      <sz val="10"/>
      <color rgb="FF212529"/>
      <name val="Verdana"/>
    </font>
    <font>
      <sz val="11"/>
      <color theme="1"/>
      <name val="Arial"/>
      <scheme val="minor"/>
    </font>
    <font>
      <sz val="10"/>
      <color rgb="FF555555"/>
      <name val="Arial"/>
    </font>
    <font>
      <sz val="10"/>
      <color rgb="FF000000"/>
      <name val="Arial"/>
    </font>
    <font>
      <b/>
      <u/>
      <sz val="14"/>
      <color theme="1"/>
      <name val="Arial"/>
    </font>
    <font>
      <sz val="14"/>
      <color rgb="FF333333"/>
      <name val="Arial"/>
    </font>
    <font>
      <b/>
      <sz val="14"/>
      <color theme="1"/>
      <name val="Arial"/>
    </font>
  </fonts>
  <fills count="4">
    <fill>
      <patternFill patternType="none"/>
    </fill>
    <fill>
      <patternFill patternType="gray125"/>
    </fill>
    <fill>
      <patternFill patternType="solid">
        <fgColor rgb="FFD9EAD3"/>
        <bgColor rgb="FFD9EAD3"/>
      </patternFill>
    </fill>
    <fill>
      <patternFill patternType="solid">
        <fgColor rgb="FFFFFFFF"/>
        <bgColor rgb="FFFFFFFF"/>
      </patternFill>
    </fill>
  </fills>
  <borders count="5">
    <border>
      <left/>
      <right/>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s>
  <cellStyleXfs count="1">
    <xf numFmtId="0" fontId="0" fillId="0" borderId="0"/>
  </cellStyleXfs>
  <cellXfs count="34">
    <xf numFmtId="0" fontId="0" fillId="0" borderId="0" xfId="0"/>
    <xf numFmtId="0" fontId="1" fillId="0" borderId="0" xfId="0" applyFont="1" applyAlignment="1">
      <alignment horizontal="left" vertical="top"/>
    </xf>
    <xf numFmtId="0" fontId="2" fillId="0" borderId="0" xfId="0" applyFont="1" applyAlignment="1">
      <alignment horizontal="left" vertical="top"/>
    </xf>
    <xf numFmtId="0" fontId="1" fillId="0" borderId="1" xfId="0" applyFont="1" applyBorder="1" applyAlignment="1">
      <alignment horizontal="left" vertical="top"/>
    </xf>
    <xf numFmtId="0" fontId="3" fillId="0" borderId="2" xfId="0" applyFont="1" applyBorder="1" applyAlignment="1">
      <alignment horizontal="left" vertical="top"/>
    </xf>
    <xf numFmtId="0" fontId="1" fillId="0" borderId="3" xfId="0" applyFont="1" applyBorder="1" applyAlignment="1">
      <alignment horizontal="left" vertical="top"/>
    </xf>
    <xf numFmtId="0" fontId="4" fillId="0" borderId="4" xfId="0" applyFont="1" applyBorder="1" applyAlignment="1">
      <alignment horizontal="left" vertical="top"/>
    </xf>
    <xf numFmtId="0" fontId="5" fillId="0" borderId="0" xfId="0" applyFont="1" applyAlignment="1">
      <alignment horizontal="left"/>
    </xf>
    <xf numFmtId="0" fontId="6" fillId="0" borderId="0" xfId="0" applyFont="1" applyAlignment="1">
      <alignment horizontal="left"/>
    </xf>
    <xf numFmtId="0" fontId="1" fillId="0" borderId="0" xfId="0" applyFont="1" applyAlignment="1">
      <alignment horizontal="left"/>
    </xf>
    <xf numFmtId="0" fontId="6" fillId="0" borderId="0" xfId="0" applyFont="1"/>
    <xf numFmtId="0" fontId="1" fillId="0" borderId="0" xfId="0" applyFont="1" applyAlignment="1">
      <alignment horizontal="left" vertical="top" wrapText="1"/>
    </xf>
    <xf numFmtId="0" fontId="7" fillId="0" borderId="0" xfId="0" applyFont="1" applyAlignment="1">
      <alignment horizontal="left" vertical="top" wrapText="1"/>
    </xf>
    <xf numFmtId="0" fontId="6" fillId="0" borderId="0" xfId="0" applyFont="1" applyAlignment="1">
      <alignment wrapText="1"/>
    </xf>
    <xf numFmtId="0" fontId="1" fillId="0" borderId="1" xfId="0" applyFont="1" applyBorder="1" applyAlignment="1">
      <alignment horizontal="left" vertical="top" wrapText="1"/>
    </xf>
    <xf numFmtId="0" fontId="8" fillId="0" borderId="2" xfId="0" applyFont="1" applyBorder="1" applyAlignment="1">
      <alignment horizontal="left" vertical="top" wrapText="1"/>
    </xf>
    <xf numFmtId="0" fontId="1" fillId="0" borderId="3" xfId="0" applyFont="1" applyBorder="1" applyAlignment="1">
      <alignment horizontal="left" vertical="top" wrapText="1"/>
    </xf>
    <xf numFmtId="0" fontId="9" fillId="0" borderId="4" xfId="0" applyFont="1" applyBorder="1" applyAlignment="1">
      <alignment horizontal="left" vertical="top" wrapText="1"/>
    </xf>
    <xf numFmtId="0" fontId="5" fillId="0" borderId="0" xfId="0" applyFont="1" applyAlignment="1">
      <alignment horizontal="left" wrapText="1"/>
    </xf>
    <xf numFmtId="0" fontId="6" fillId="0" borderId="0" xfId="0" applyFont="1" applyAlignment="1">
      <alignment horizontal="left" wrapText="1"/>
    </xf>
    <xf numFmtId="0" fontId="1" fillId="0" borderId="0" xfId="0" applyFont="1" applyAlignment="1">
      <alignment horizontal="left" wrapText="1"/>
    </xf>
    <xf numFmtId="0" fontId="10" fillId="0" borderId="0" xfId="0" applyFont="1" applyAlignment="1">
      <alignment wrapText="1"/>
    </xf>
    <xf numFmtId="0" fontId="10" fillId="0" borderId="0" xfId="0" applyFont="1"/>
    <xf numFmtId="0" fontId="10" fillId="0" borderId="1" xfId="0" applyFont="1" applyBorder="1"/>
    <xf numFmtId="0" fontId="11" fillId="0" borderId="1" xfId="0" applyFont="1" applyBorder="1" applyAlignment="1">
      <alignment horizontal="left" wrapText="1"/>
    </xf>
    <xf numFmtId="0" fontId="6" fillId="0" borderId="1" xfId="0" applyFont="1" applyBorder="1" applyAlignment="1">
      <alignment horizontal="left" vertical="top" wrapText="1"/>
    </xf>
    <xf numFmtId="0" fontId="12" fillId="0" borderId="1" xfId="0" applyFont="1" applyBorder="1" applyAlignment="1">
      <alignment horizontal="left" wrapText="1"/>
    </xf>
    <xf numFmtId="0" fontId="6" fillId="2" borderId="0" xfId="0" applyFont="1" applyFill="1"/>
    <xf numFmtId="0" fontId="13" fillId="0" borderId="0" xfId="0" applyFont="1"/>
    <xf numFmtId="0" fontId="14" fillId="0" borderId="1" xfId="0" applyFont="1" applyBorder="1" applyAlignment="1">
      <alignment horizontal="left" wrapText="1"/>
    </xf>
    <xf numFmtId="0" fontId="15" fillId="3" borderId="1" xfId="0" applyFont="1" applyFill="1" applyBorder="1" applyAlignment="1">
      <alignment horizontal="left" wrapText="1"/>
    </xf>
    <xf numFmtId="0" fontId="16" fillId="0" borderId="4" xfId="0" applyFont="1" applyBorder="1" applyAlignment="1">
      <alignment horizontal="left" vertical="top" wrapText="1"/>
    </xf>
    <xf numFmtId="0" fontId="17" fillId="0" borderId="1" xfId="0" applyFont="1" applyBorder="1" applyAlignment="1">
      <alignment horizontal="left" wrapText="1"/>
    </xf>
    <xf numFmtId="0" fontId="18" fillId="0" borderId="0" xfId="0" applyFont="1" applyAlignment="1">
      <alignment horizontal="left" vertical="top"/>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theme" Target="theme/theme1.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outlinePr summaryBelow="0" summaryRight="0"/>
  </sheetPr>
  <dimension ref="A1:Z997"/>
  <sheetViews>
    <sheetView workbookViewId="0">
      <selection activeCell="C14" sqref="C14"/>
    </sheetView>
  </sheetViews>
  <sheetFormatPr baseColWidth="10" defaultColWidth="12.6640625" defaultRowHeight="15.75" customHeight="1" x14ac:dyDescent="0.15"/>
  <cols>
    <col min="1" max="1" width="71.5" customWidth="1"/>
    <col min="2" max="4" width="37.6640625" customWidth="1"/>
  </cols>
  <sheetData>
    <row r="1" spans="1:26" ht="15.75" customHeight="1" x14ac:dyDescent="0.15">
      <c r="A1" s="11"/>
      <c r="B1" s="10" t="str">
        <f ca="1">IFERROR(__xludf.DUMMYFUNCTION("IMPORTRANGE(""https://docs.google.com/spreadsheets/u/0/d/1tjgC5crHxYL6PIwdjQvl-Lz18xb2WRifl2-5aQ8KGT8"", ""A1!B1:B22"")"),"Jake Stafford")</f>
        <v>Jake Stafford</v>
      </c>
      <c r="C1" s="10" t="str">
        <f ca="1">IFERROR(__xludf.DUMMYFUNCTION("IMPORTRANGE(""https://docs.google.com/spreadsheets/u/0/d/1QLAeYl5D81_Myo-agZdCgYFm7rliPzxg4xkt-QHL9OA"", ""A1!B1:B22"")"),"Rin Godfrey")</f>
        <v>Rin Godfrey</v>
      </c>
      <c r="D1" s="12" t="s">
        <v>1</v>
      </c>
      <c r="E1" s="13"/>
      <c r="F1" s="13"/>
      <c r="G1" s="13"/>
      <c r="H1" s="13"/>
      <c r="I1" s="13"/>
      <c r="J1" s="13"/>
      <c r="K1" s="13"/>
      <c r="L1" s="13"/>
      <c r="M1" s="13"/>
      <c r="N1" s="13"/>
      <c r="O1" s="13"/>
      <c r="P1" s="13"/>
      <c r="Q1" s="13"/>
      <c r="R1" s="13"/>
      <c r="S1" s="13"/>
      <c r="T1" s="13"/>
      <c r="U1" s="13"/>
      <c r="V1" s="13"/>
      <c r="W1" s="13"/>
      <c r="X1" s="13"/>
      <c r="Y1" s="13"/>
      <c r="Z1" s="13"/>
    </row>
    <row r="2" spans="1:26" ht="15.75" customHeight="1" x14ac:dyDescent="0.15">
      <c r="A2" s="14" t="s">
        <v>2</v>
      </c>
      <c r="B2" s="15" t="str">
        <f ca="1">IFERROR(__xludf.DUMMYFUNCTION("""COMPUTED_VALUE"""),"Start: 230 Stop: 1426 Forward")</f>
        <v>Start: 230 Stop: 1426 Forward</v>
      </c>
      <c r="C2" s="15" t="str">
        <f ca="1">IFERROR(__xludf.DUMMYFUNCTION("""COMPUTED_VALUE"""),"Start: 230
Stop: 1426 FOR")</f>
        <v>Start: 230
Stop: 1426 FOR</v>
      </c>
      <c r="D2" s="15"/>
      <c r="E2" s="13"/>
      <c r="F2" s="13"/>
      <c r="G2" s="13"/>
      <c r="H2" s="13"/>
      <c r="I2" s="13"/>
      <c r="J2" s="13"/>
      <c r="K2" s="13"/>
      <c r="L2" s="13"/>
      <c r="M2" s="13"/>
      <c r="N2" s="13"/>
      <c r="O2" s="13"/>
      <c r="P2" s="13"/>
      <c r="Q2" s="13"/>
      <c r="R2" s="13"/>
      <c r="S2" s="13"/>
      <c r="T2" s="13"/>
      <c r="U2" s="13"/>
      <c r="V2" s="13"/>
      <c r="W2" s="13"/>
      <c r="X2" s="13"/>
      <c r="Y2" s="13"/>
      <c r="Z2" s="13"/>
    </row>
    <row r="3" spans="1:26" ht="15.75" customHeight="1" x14ac:dyDescent="0.15">
      <c r="A3" s="16" t="s">
        <v>3</v>
      </c>
      <c r="B3" s="17" t="str">
        <f ca="1">IFERROR(__xludf.DUMMYFUNCTION("""COMPUTED_VALUE"""),"Gene#1 in both programs")</f>
        <v>Gene#1 in both programs</v>
      </c>
      <c r="C3" s="17" t="str">
        <f ca="1">IFERROR(__xludf.DUMMYFUNCTION("""COMPUTED_VALUE"""),"1 for both")</f>
        <v>1 for both</v>
      </c>
      <c r="D3" s="17"/>
      <c r="E3" s="13"/>
      <c r="F3" s="13"/>
      <c r="G3" s="13"/>
      <c r="H3" s="13"/>
      <c r="I3" s="13"/>
      <c r="J3" s="13"/>
      <c r="K3" s="13"/>
      <c r="L3" s="13"/>
      <c r="M3" s="13"/>
      <c r="N3" s="13"/>
      <c r="O3" s="13"/>
      <c r="P3" s="13"/>
      <c r="Q3" s="13"/>
      <c r="R3" s="13"/>
      <c r="S3" s="13"/>
      <c r="T3" s="13"/>
      <c r="U3" s="13"/>
      <c r="V3" s="13"/>
      <c r="W3" s="13"/>
      <c r="X3" s="13"/>
      <c r="Y3" s="13"/>
      <c r="Z3" s="13"/>
    </row>
    <row r="4" spans="1:26" ht="15.75" customHeight="1" x14ac:dyDescent="0.15">
      <c r="A4" s="16" t="s">
        <v>4</v>
      </c>
      <c r="B4" s="17" t="str">
        <f ca="1">IFERROR(__xludf.DUMMYFUNCTION("""COMPUTED_VALUE"""),"pham# 6106 2/25/25")</f>
        <v>pham# 6106 2/25/25</v>
      </c>
      <c r="C4" s="17" t="str">
        <f ca="1">IFERROR(__xludf.DUMMYFUNCTION("""COMPUTED_VALUE"""),"6106 2/26/25")</f>
        <v>6106 2/26/25</v>
      </c>
      <c r="D4" s="17"/>
      <c r="E4" s="13"/>
      <c r="F4" s="13"/>
      <c r="G4" s="13"/>
      <c r="H4" s="13"/>
      <c r="I4" s="13"/>
      <c r="J4" s="13"/>
      <c r="K4" s="13"/>
      <c r="L4" s="13"/>
      <c r="M4" s="13"/>
      <c r="N4" s="13"/>
      <c r="O4" s="13"/>
      <c r="P4" s="13"/>
      <c r="Q4" s="13"/>
      <c r="R4" s="13"/>
      <c r="S4" s="13"/>
      <c r="T4" s="13"/>
      <c r="U4" s="13"/>
      <c r="V4" s="13"/>
      <c r="W4" s="13"/>
      <c r="X4" s="13"/>
      <c r="Y4" s="13"/>
      <c r="Z4" s="13"/>
    </row>
    <row r="5" spans="1:26" ht="15.75" customHeight="1" x14ac:dyDescent="0.15">
      <c r="A5" s="16" t="s">
        <v>5</v>
      </c>
      <c r="B5" s="17" t="str">
        <f ca="1">IFERROR(__xludf.DUMMYFUNCTION("""COMPUTED_VALUE"""),"Edmundo-1 Kovu-1")</f>
        <v>Edmundo-1 Kovu-1</v>
      </c>
      <c r="C5" s="17" t="str">
        <f ca="1">IFERROR(__xludf.DUMMYFUNCTION("""COMPUTED_VALUE"""),"Kovu 1, Edmundo 1")</f>
        <v>Kovu 1, Edmundo 1</v>
      </c>
      <c r="D5" s="17"/>
      <c r="E5" s="13"/>
      <c r="F5" s="13"/>
      <c r="G5" s="13"/>
      <c r="H5" s="13"/>
      <c r="I5" s="13"/>
      <c r="J5" s="13"/>
      <c r="K5" s="13"/>
      <c r="L5" s="13"/>
      <c r="M5" s="13"/>
      <c r="N5" s="13"/>
      <c r="O5" s="13"/>
      <c r="P5" s="13"/>
      <c r="Q5" s="13"/>
      <c r="R5" s="13"/>
      <c r="S5" s="13"/>
      <c r="T5" s="13"/>
      <c r="U5" s="13"/>
      <c r="V5" s="13"/>
      <c r="W5" s="13"/>
      <c r="X5" s="13"/>
      <c r="Y5" s="13"/>
      <c r="Z5" s="13"/>
    </row>
    <row r="6" spans="1:26" ht="15.75" customHeight="1" x14ac:dyDescent="0.15">
      <c r="A6" s="16" t="s">
        <v>6</v>
      </c>
      <c r="B6" s="17" t="str">
        <f ca="1">IFERROR(__xludf.DUMMYFUNCTION("""COMPUTED_VALUE"""),"Both Called 230")</f>
        <v>Both Called 230</v>
      </c>
      <c r="C6" s="17" t="str">
        <f ca="1">IFERROR(__xludf.DUMMYFUNCTION("""COMPUTED_VALUE"""),"Both called bp 230 
strength 16.68")</f>
        <v>Both called bp 230 
strength 16.68</v>
      </c>
      <c r="D6" s="17"/>
      <c r="E6" s="13"/>
      <c r="F6" s="13"/>
      <c r="G6" s="13"/>
      <c r="H6" s="13"/>
      <c r="I6" s="13"/>
      <c r="J6" s="13"/>
      <c r="K6" s="13"/>
      <c r="L6" s="13"/>
      <c r="M6" s="13"/>
      <c r="N6" s="13"/>
      <c r="O6" s="13"/>
      <c r="P6" s="13"/>
      <c r="Q6" s="13"/>
      <c r="R6" s="13"/>
      <c r="S6" s="13"/>
      <c r="T6" s="13"/>
      <c r="U6" s="13"/>
      <c r="V6" s="13"/>
      <c r="W6" s="13"/>
      <c r="X6" s="13"/>
      <c r="Y6" s="13"/>
      <c r="Z6" s="13"/>
    </row>
    <row r="7" spans="1:26" ht="15.75" customHeight="1" x14ac:dyDescent="0.15">
      <c r="A7" s="16" t="s">
        <v>7</v>
      </c>
      <c r="B7" s="17" t="str">
        <f ca="1">IFERROR(__xludf.DUMMYFUNCTION("""COMPUTED_VALUE"""),"good potential, all is included")</f>
        <v>good potential, all is included</v>
      </c>
      <c r="C7" s="17" t="str">
        <f ca="1">IFERROR(__xludf.DUMMYFUNCTION("""COMPUTED_VALUE"""),"It has all of the coding potential. Very good.")</f>
        <v>It has all of the coding potential. Very good.</v>
      </c>
      <c r="D7" s="17"/>
      <c r="E7" s="13"/>
      <c r="F7" s="13"/>
      <c r="G7" s="13"/>
      <c r="H7" s="13"/>
      <c r="I7" s="13"/>
      <c r="J7" s="13"/>
      <c r="K7" s="13"/>
      <c r="L7" s="13"/>
      <c r="M7" s="13"/>
      <c r="N7" s="13"/>
      <c r="O7" s="13"/>
      <c r="P7" s="13"/>
      <c r="Q7" s="13"/>
      <c r="R7" s="13"/>
      <c r="S7" s="13"/>
      <c r="T7" s="13"/>
      <c r="U7" s="13"/>
      <c r="V7" s="13"/>
      <c r="W7" s="13"/>
      <c r="X7" s="13"/>
      <c r="Y7" s="13"/>
      <c r="Z7" s="13"/>
    </row>
    <row r="8" spans="1:26" ht="15.75" customHeight="1" x14ac:dyDescent="0.15">
      <c r="A8" s="16" t="s">
        <v>8</v>
      </c>
      <c r="B8" s="17" t="str">
        <f ca="1">IFERROR(__xludf.DUMMYFUNCTION("""COMPUTED_VALUE"""),"Yes")</f>
        <v>Yes</v>
      </c>
      <c r="C8" s="17" t="str">
        <f ca="1">IFERROR(__xludf.DUMMYFUNCTION("""COMPUTED_VALUE"""),"Yes it calls until right next gene is there. In captures all potential.")</f>
        <v>Yes it calls until right next gene is there. In captures all potential.</v>
      </c>
      <c r="D8" s="17"/>
      <c r="E8" s="13"/>
      <c r="F8" s="13"/>
      <c r="G8" s="13"/>
      <c r="H8" s="13"/>
      <c r="I8" s="13"/>
      <c r="J8" s="13"/>
      <c r="K8" s="13"/>
      <c r="L8" s="13"/>
      <c r="M8" s="13"/>
      <c r="N8" s="13"/>
      <c r="O8" s="13"/>
      <c r="P8" s="13"/>
      <c r="Q8" s="13"/>
      <c r="R8" s="13"/>
      <c r="S8" s="13"/>
      <c r="T8" s="13"/>
      <c r="U8" s="13"/>
      <c r="V8" s="13"/>
      <c r="W8" s="13"/>
      <c r="X8" s="13"/>
      <c r="Y8" s="13"/>
      <c r="Z8" s="13"/>
    </row>
    <row r="9" spans="1:26" ht="15.75" customHeight="1" x14ac:dyDescent="0.15">
      <c r="A9" s="16" t="s">
        <v>9</v>
      </c>
      <c r="B9" s="17" t="str">
        <f ca="1">IFERROR(__xludf.DUMMYFUNCTION("""COMPUTED_VALUE"""),"No Previous gene")</f>
        <v>No Previous gene</v>
      </c>
      <c r="C9" s="17" t="str">
        <f ca="1">IFERROR(__xludf.DUMMYFUNCTION("""COMPUTED_VALUE"""),"there is the smallest overlap with gene 2 with gene 1 ending with 1426 and gene 2 starting with 1426.")</f>
        <v>there is the smallest overlap with gene 2 with gene 1 ending with 1426 and gene 2 starting with 1426.</v>
      </c>
      <c r="D9" s="17"/>
      <c r="E9" s="13"/>
      <c r="F9" s="13"/>
      <c r="G9" s="13"/>
      <c r="H9" s="13"/>
      <c r="I9" s="13"/>
      <c r="J9" s="13"/>
      <c r="K9" s="13"/>
      <c r="L9" s="13"/>
      <c r="M9" s="13"/>
      <c r="N9" s="13"/>
      <c r="O9" s="13"/>
      <c r="P9" s="13"/>
      <c r="Q9" s="13"/>
      <c r="R9" s="13"/>
      <c r="S9" s="13"/>
      <c r="T9" s="13"/>
      <c r="U9" s="13"/>
      <c r="V9" s="13"/>
      <c r="W9" s="13"/>
      <c r="X9" s="13"/>
      <c r="Y9" s="13"/>
      <c r="Z9" s="13"/>
    </row>
    <row r="10" spans="1:26" ht="15.75" customHeight="1" x14ac:dyDescent="0.15">
      <c r="A10" s="16" t="s">
        <v>10</v>
      </c>
      <c r="B10" s="17" t="str">
        <f ca="1">IFERROR(__xludf.DUMMYFUNCTION("""COMPUTED_VALUE"""),"z-score: 2.488 Final: -3.593 Best")</f>
        <v>z-score: 2.488 Final: -3.593 Best</v>
      </c>
      <c r="C10" s="17" t="str">
        <f ca="1">IFERROR(__xludf.DUMMYFUNCTION("""COMPUTED_VALUE"""),"The z-score is 2.488 and final score is 3.593. It is the best score given.")</f>
        <v>The z-score is 2.488 and final score is 3.593. It is the best score given.</v>
      </c>
      <c r="D10" s="17"/>
      <c r="E10" s="13"/>
      <c r="F10" s="13"/>
      <c r="G10" s="13"/>
      <c r="H10" s="13"/>
      <c r="I10" s="13"/>
      <c r="J10" s="13"/>
      <c r="K10" s="13"/>
      <c r="L10" s="13"/>
      <c r="M10" s="13"/>
      <c r="N10" s="13"/>
      <c r="O10" s="13"/>
      <c r="P10" s="13"/>
      <c r="Q10" s="13"/>
      <c r="R10" s="13"/>
      <c r="S10" s="13"/>
      <c r="T10" s="13"/>
      <c r="U10" s="13"/>
      <c r="V10" s="13"/>
      <c r="W10" s="13"/>
      <c r="X10" s="13"/>
      <c r="Y10" s="13"/>
      <c r="Z10" s="13"/>
    </row>
    <row r="11" spans="1:26" ht="15.75" customHeight="1" x14ac:dyDescent="0.15">
      <c r="A11" s="16" t="s">
        <v>11</v>
      </c>
      <c r="B11" s="17" t="str">
        <f ca="1">IFERROR(__xludf.DUMMYFUNCTION("""COMPUTED_VALUE"""),"Kovu, 88.72%, e val: 0 ")</f>
        <v xml:space="preserve">Kovu, 88.72%, e val: 0 </v>
      </c>
      <c r="C11" s="17" t="str">
        <f ca="1">IFERROR(__xludf.DUMMYFUNCTION("""COMPUTED_VALUE"""),"Apokipo 1 88.72% identity, 0.0e, q1,t1")</f>
        <v>Apokipo 1 88.72% identity, 0.0e, q1,t1</v>
      </c>
      <c r="D11" s="17"/>
      <c r="E11" s="13"/>
      <c r="F11" s="13"/>
      <c r="G11" s="13"/>
      <c r="H11" s="13"/>
      <c r="I11" s="13"/>
      <c r="J11" s="13"/>
      <c r="K11" s="13"/>
      <c r="L11" s="13"/>
      <c r="M11" s="13"/>
      <c r="N11" s="13"/>
      <c r="O11" s="13"/>
      <c r="P11" s="13"/>
      <c r="Q11" s="13"/>
      <c r="R11" s="13"/>
      <c r="S11" s="13"/>
      <c r="T11" s="13"/>
      <c r="U11" s="13"/>
      <c r="V11" s="13"/>
      <c r="W11" s="13"/>
      <c r="X11" s="13"/>
      <c r="Y11" s="13"/>
      <c r="Z11" s="13"/>
    </row>
    <row r="12" spans="1:26" ht="15.75" customHeight="1" x14ac:dyDescent="0.15">
      <c r="A12" s="16" t="s">
        <v>12</v>
      </c>
      <c r="B12" s="17" t="str">
        <f ca="1">IFERROR(__xludf.DUMMYFUNCTION("""COMPUTED_VALUE"""),"Start conserved im 9/11, called 100% of the time when present")</f>
        <v>Start conserved im 9/11, called 100% of the time when present</v>
      </c>
      <c r="C12" s="17" t="str">
        <f ca="1">IFERROR(__xludf.DUMMYFUNCTION("""COMPUTED_VALUE"""),"Both us and Kove 1 start on 4 with a 100% called.")</f>
        <v>Both us and Kove 1 start on 4 with a 100% called.</v>
      </c>
      <c r="D12" s="17"/>
      <c r="E12" s="13"/>
      <c r="F12" s="13"/>
      <c r="G12" s="13"/>
      <c r="H12" s="13"/>
      <c r="I12" s="13"/>
      <c r="J12" s="13"/>
      <c r="K12" s="13"/>
      <c r="L12" s="13"/>
      <c r="M12" s="13"/>
      <c r="N12" s="13"/>
      <c r="O12" s="13"/>
      <c r="P12" s="13"/>
      <c r="Q12" s="13"/>
      <c r="R12" s="13"/>
      <c r="S12" s="13"/>
      <c r="T12" s="13"/>
      <c r="U12" s="13"/>
      <c r="V12" s="13"/>
      <c r="W12" s="13"/>
      <c r="X12" s="13"/>
      <c r="Y12" s="13"/>
      <c r="Z12" s="13"/>
    </row>
    <row r="13" spans="1:26" ht="15.75" customHeight="1" x14ac:dyDescent="0.15">
      <c r="A13" s="16" t="s">
        <v>13</v>
      </c>
      <c r="B13" s="17" t="str">
        <f ca="1">IFERROR(__xludf.DUMMYFUNCTION("""COMPUTED_VALUE"""),"No, both programs called, good scores. No gaps or overlaps")</f>
        <v>No, both programs called, good scores. No gaps or overlaps</v>
      </c>
      <c r="C13" s="17" t="str">
        <f ca="1">IFERROR(__xludf.DUMMYFUNCTION("""COMPUTED_VALUE"""),"No do not change the start. It has no other option and the z-scoreis good as well as the blast and is very similar to Kove 1.")</f>
        <v>No do not change the start. It has no other option and the z-scoreis good as well as the blast and is very similar to Kove 1.</v>
      </c>
      <c r="D13" s="17"/>
      <c r="E13" s="13"/>
      <c r="F13" s="13"/>
      <c r="G13" s="13"/>
      <c r="H13" s="13"/>
      <c r="I13" s="13"/>
      <c r="J13" s="13"/>
      <c r="K13" s="13"/>
      <c r="L13" s="13"/>
      <c r="M13" s="13"/>
      <c r="N13" s="13"/>
      <c r="O13" s="13"/>
      <c r="P13" s="13"/>
      <c r="Q13" s="13"/>
      <c r="R13" s="13"/>
      <c r="S13" s="13"/>
      <c r="T13" s="13"/>
      <c r="U13" s="13"/>
      <c r="V13" s="13"/>
      <c r="W13" s="13"/>
      <c r="X13" s="13"/>
      <c r="Y13" s="13"/>
      <c r="Z13" s="13"/>
    </row>
    <row r="14" spans="1:26" ht="15.75" customHeight="1" x14ac:dyDescent="0.15">
      <c r="A14" s="16" t="s">
        <v>14</v>
      </c>
      <c r="B14" s="17" t="str">
        <f ca="1">IFERROR(__xludf.DUMMYFUNCTION("""COMPUTED_VALUE"""),"Kovu_1 E=0.0 ")</f>
        <v xml:space="preserve">Kovu_1 E=0.0 </v>
      </c>
      <c r="C14" s="17" t="str">
        <f ca="1">IFERROR(__xludf.DUMMYFUNCTION("""COMPUTED_VALUE"""),"Kovu_1 0.0e ")</f>
        <v xml:space="preserve">Kovu_1 0.0e </v>
      </c>
      <c r="D14" s="17"/>
      <c r="E14" s="13"/>
      <c r="F14" s="13"/>
      <c r="G14" s="13"/>
      <c r="H14" s="13"/>
      <c r="I14" s="13"/>
      <c r="J14" s="13"/>
      <c r="K14" s="13"/>
      <c r="L14" s="13"/>
      <c r="M14" s="13"/>
      <c r="N14" s="13"/>
      <c r="O14" s="13"/>
      <c r="P14" s="13"/>
      <c r="Q14" s="13"/>
      <c r="R14" s="13"/>
      <c r="S14" s="13"/>
      <c r="T14" s="13"/>
      <c r="U14" s="13"/>
      <c r="V14" s="13"/>
      <c r="W14" s="13"/>
      <c r="X14" s="13"/>
      <c r="Y14" s="13"/>
      <c r="Z14" s="13"/>
    </row>
    <row r="15" spans="1:26" ht="15.75" customHeight="1" x14ac:dyDescent="0.15">
      <c r="A15" s="16" t="s">
        <v>15</v>
      </c>
      <c r="B15" s="17" t="str">
        <f ca="1">IFERROR(__xludf.DUMMYFUNCTION("""COMPUTED_VALUE"""),"Kovu_1 ParB like Nuclease like gene protien ")</f>
        <v xml:space="preserve">Kovu_1 ParB like Nuclease like gene protien </v>
      </c>
      <c r="C15" s="17" t="str">
        <f ca="1">IFERROR(__xludf.DUMMYFUNCTION("""COMPUTED_VALUE"""),"ParB-like nuclease domain protein")</f>
        <v>ParB-like nuclease domain protein</v>
      </c>
      <c r="D15" s="17"/>
      <c r="E15" s="13"/>
      <c r="F15" s="13"/>
      <c r="G15" s="13"/>
      <c r="H15" s="13"/>
      <c r="I15" s="13"/>
      <c r="J15" s="13"/>
      <c r="K15" s="13"/>
      <c r="L15" s="13"/>
      <c r="M15" s="13"/>
      <c r="N15" s="13"/>
      <c r="O15" s="13"/>
      <c r="P15" s="13"/>
      <c r="Q15" s="13"/>
      <c r="R15" s="13"/>
      <c r="S15" s="13"/>
      <c r="T15" s="13"/>
      <c r="U15" s="13"/>
      <c r="V15" s="13"/>
      <c r="W15" s="13"/>
      <c r="X15" s="13"/>
      <c r="Y15" s="13"/>
      <c r="Z15" s="13"/>
    </row>
    <row r="16" spans="1:26" ht="15.75" customHeight="1" x14ac:dyDescent="0.15">
      <c r="A16" s="16" t="s">
        <v>16</v>
      </c>
      <c r="B16" s="17" t="str">
        <f ca="1">IFERROR(__xludf.DUMMYFUNCTION("""COMPUTED_VALUE"""),"In a similar area in Kovu")</f>
        <v>In a similar area in Kovu</v>
      </c>
      <c r="C16" s="17" t="str">
        <f ca="1">IFERROR(__xludf.DUMMYFUNCTION("""COMPUTED_VALUE"""),"Kovu and us both have similar syntenys")</f>
        <v>Kovu and us both have similar syntenys</v>
      </c>
      <c r="D16" s="17"/>
      <c r="E16" s="13"/>
      <c r="F16" s="13"/>
      <c r="G16" s="13"/>
      <c r="H16" s="13"/>
      <c r="I16" s="13"/>
      <c r="J16" s="13"/>
      <c r="K16" s="13"/>
      <c r="L16" s="13"/>
      <c r="M16" s="13"/>
      <c r="N16" s="13"/>
      <c r="O16" s="13"/>
      <c r="P16" s="13"/>
      <c r="Q16" s="13"/>
      <c r="R16" s="13"/>
      <c r="S16" s="13"/>
      <c r="T16" s="13"/>
      <c r="U16" s="13"/>
      <c r="V16" s="13"/>
      <c r="W16" s="13"/>
      <c r="X16" s="13"/>
      <c r="Y16" s="13"/>
      <c r="Z16" s="13"/>
    </row>
    <row r="17" spans="1:26" ht="15.75" customHeight="1" x14ac:dyDescent="0.15">
      <c r="A17" s="16" t="s">
        <v>17</v>
      </c>
      <c r="B17" s="17" t="str">
        <f ca="1">IFERROR(__xludf.DUMMYFUNCTION("""COMPUTED_VALUE"""),"7BNR_B , ParB, Noc_N, SpoOJ,ParB family protein; DNA-binding protein, CTP, Myxococcus, DNA-segregation, DNA BINDING PROTEIN; HET: UFQ, GOL; 1.7A {My , 99.26% , 30%, 56%.  No, Not within the alignment sequence. ")</f>
        <v xml:space="preserve">7BNR_B , ParB, Noc_N, SpoOJ,ParB family protein; DNA-binding protein, CTP, Myxococcus, DNA-segregation, DNA BINDING PROTEIN; HET: UFQ, GOL; 1.7A {My , 99.26% , 30%, 56%.  No, Not within the alignment sequence. </v>
      </c>
      <c r="C17" s="17" t="str">
        <f ca="1">IFERROR(__xludf.DUMMYFUNCTION("""COMPUTED_VALUE"""),"7BNR_B ParkB family protien; DNA-binding protein, CTP, Myxococcus, DNA-segregation, DNA BIN GOL; 1.7A
Query: 30%
Target: 56%
Yes the function domain is in the taget alignment")</f>
        <v>7BNR_B ParkB family protien; DNA-binding protein, CTP, Myxococcus, DNA-segregation, DNA BIN GOL; 1.7A
Query: 30%
Target: 56%
Yes the function domain is in the taget alignment</v>
      </c>
      <c r="D17" s="17"/>
      <c r="E17" s="13"/>
      <c r="F17" s="13"/>
      <c r="G17" s="13"/>
      <c r="H17" s="13"/>
      <c r="I17" s="13"/>
      <c r="J17" s="13"/>
      <c r="K17" s="13"/>
      <c r="L17" s="13"/>
      <c r="M17" s="13"/>
      <c r="N17" s="13"/>
      <c r="O17" s="13"/>
      <c r="P17" s="13"/>
      <c r="Q17" s="13"/>
      <c r="R17" s="13"/>
      <c r="S17" s="13"/>
      <c r="T17" s="13"/>
      <c r="U17" s="13"/>
      <c r="V17" s="13"/>
      <c r="W17" s="13"/>
      <c r="X17" s="13"/>
      <c r="Y17" s="13"/>
      <c r="Z17" s="13"/>
    </row>
    <row r="18" spans="1:26" ht="15.75" customHeight="1" x14ac:dyDescent="0.15">
      <c r="A18" s="16" t="s">
        <v>18</v>
      </c>
      <c r="B18" s="17" t="str">
        <f ca="1">IFERROR(__xludf.DUMMYFUNCTION("""COMPUTED_VALUE"""),"yes")</f>
        <v>yes</v>
      </c>
      <c r="C18" s="17" t="str">
        <f ca="1">IFERROR(__xludf.DUMMYFUNCTION("""COMPUTED_VALUE"""),"There are ParB, Noc_N, Spo0J, ParB_N_like_MT
SPO0J_N, ParB_N_like_MT ,ParB_N_like_MT, 
ParBc")</f>
        <v>There are ParB, Noc_N, Spo0J, ParB_N_like_MT
SPO0J_N, ParB_N_like_MT ,ParB_N_like_MT, 
ParBc</v>
      </c>
      <c r="D18" s="17"/>
      <c r="E18" s="13"/>
      <c r="F18" s="13"/>
      <c r="G18" s="13"/>
      <c r="H18" s="13"/>
      <c r="I18" s="13"/>
      <c r="J18" s="13"/>
      <c r="K18" s="13"/>
      <c r="L18" s="13"/>
      <c r="M18" s="13"/>
      <c r="N18" s="13"/>
      <c r="O18" s="13"/>
      <c r="P18" s="13"/>
      <c r="Q18" s="13"/>
      <c r="R18" s="13"/>
      <c r="S18" s="13"/>
      <c r="T18" s="13"/>
      <c r="U18" s="13"/>
      <c r="V18" s="13"/>
      <c r="W18" s="13"/>
      <c r="X18" s="13"/>
      <c r="Y18" s="13"/>
      <c r="Z18" s="13"/>
    </row>
    <row r="19" spans="1:26" ht="15.75" customHeight="1" x14ac:dyDescent="0.15">
      <c r="A19" s="16" t="s">
        <v>19</v>
      </c>
      <c r="B19" s="17" t="str">
        <f ca="1">IFERROR(__xludf.DUMMYFUNCTION("""COMPUTED_VALUE"""),"No")</f>
        <v>No</v>
      </c>
      <c r="C19" s="17" t="str">
        <f ca="1">IFERROR(__xludf.DUMMYFUNCTION("""COMPUTED_VALUE"""),"none")</f>
        <v>none</v>
      </c>
      <c r="D19" s="17"/>
      <c r="E19" s="13"/>
      <c r="F19" s="13"/>
      <c r="G19" s="13"/>
      <c r="H19" s="13"/>
      <c r="I19" s="13"/>
      <c r="J19" s="13"/>
      <c r="K19" s="13"/>
      <c r="L19" s="13"/>
      <c r="M19" s="13"/>
      <c r="N19" s="13"/>
      <c r="O19" s="13"/>
      <c r="P19" s="13"/>
      <c r="Q19" s="13"/>
      <c r="R19" s="13"/>
      <c r="S19" s="13"/>
      <c r="T19" s="13"/>
      <c r="U19" s="13"/>
      <c r="V19" s="13"/>
      <c r="W19" s="13"/>
      <c r="X19" s="13"/>
      <c r="Y19" s="13"/>
      <c r="Z19" s="13"/>
    </row>
    <row r="20" spans="1:26" ht="15.75" customHeight="1" x14ac:dyDescent="0.15">
      <c r="A20" s="16" t="s">
        <v>20</v>
      </c>
      <c r="B20" s="17" t="str">
        <f ca="1">IFERROR(__xludf.DUMMYFUNCTION("""COMPUTED_VALUE"""),"I think its a ParB-like nuclease Domain protein, It matches up well with genes with high relation")</f>
        <v>I think its a ParB-like nuclease Domain protein, It matches up well with genes with high relation</v>
      </c>
      <c r="C20" s="17" t="str">
        <f ca="1">IFERROR(__xludf.DUMMYFUNCTION("""COMPUTED_VALUE"""),"ParB-like dsDNA partitioning protein")</f>
        <v>ParB-like dsDNA partitioning protein</v>
      </c>
      <c r="D20" s="17"/>
      <c r="E20" s="13"/>
      <c r="F20" s="13"/>
      <c r="G20" s="13"/>
      <c r="H20" s="13"/>
      <c r="I20" s="13"/>
      <c r="J20" s="13"/>
      <c r="K20" s="13"/>
      <c r="L20" s="13"/>
      <c r="M20" s="13"/>
      <c r="N20" s="13"/>
      <c r="O20" s="13"/>
      <c r="P20" s="13"/>
      <c r="Q20" s="13"/>
      <c r="R20" s="13"/>
      <c r="S20" s="13"/>
      <c r="T20" s="13"/>
      <c r="U20" s="13"/>
      <c r="V20" s="13"/>
      <c r="W20" s="13"/>
      <c r="X20" s="13"/>
      <c r="Y20" s="13"/>
      <c r="Z20" s="13"/>
    </row>
    <row r="21" spans="1:26" x14ac:dyDescent="0.2">
      <c r="A21" s="18"/>
      <c r="B21" s="19"/>
      <c r="C21" s="19"/>
      <c r="D21" s="19"/>
      <c r="E21" s="13"/>
      <c r="F21" s="13"/>
      <c r="G21" s="13"/>
      <c r="H21" s="13"/>
      <c r="I21" s="13"/>
      <c r="J21" s="13"/>
      <c r="K21" s="13"/>
      <c r="L21" s="13"/>
      <c r="M21" s="13"/>
      <c r="N21" s="13"/>
      <c r="O21" s="13"/>
      <c r="P21" s="13"/>
      <c r="Q21" s="13"/>
      <c r="R21" s="13"/>
      <c r="S21" s="13"/>
      <c r="T21" s="13"/>
      <c r="U21" s="13"/>
      <c r="V21" s="13"/>
      <c r="W21" s="13"/>
      <c r="X21" s="13"/>
      <c r="Y21" s="13"/>
      <c r="Z21" s="13"/>
    </row>
    <row r="22" spans="1:26" ht="15.75" customHeight="1" x14ac:dyDescent="0.15">
      <c r="A22" s="20" t="s">
        <v>21</v>
      </c>
      <c r="B22" s="19" t="str">
        <f ca="1">IFERROR(__xludf.DUMMYFUNCTION("""COMPUTED_VALUE"""),"May have a previous gene.")</f>
        <v>May have a previous gene.</v>
      </c>
      <c r="C22" s="19" t="str">
        <f ca="1">IFERROR(__xludf.DUMMYFUNCTION("""COMPUTED_VALUE"""),"If you look at the HHPred you can find that it has a ParkB Family protein but the target and query are not the best. But overall I still think that this gene is in the ParB Family.")</f>
        <v>If you look at the HHPred you can find that it has a ParkB Family protein but the target and query are not the best. But overall I still think that this gene is in the ParB Family.</v>
      </c>
      <c r="D22" s="19"/>
      <c r="E22" s="13"/>
      <c r="F22" s="13"/>
      <c r="G22" s="13"/>
      <c r="H22" s="13"/>
      <c r="I22" s="13"/>
      <c r="J22" s="13"/>
      <c r="K22" s="13"/>
      <c r="L22" s="13"/>
      <c r="M22" s="13"/>
      <c r="N22" s="13"/>
      <c r="O22" s="13"/>
      <c r="P22" s="13"/>
      <c r="Q22" s="13"/>
      <c r="R22" s="13"/>
      <c r="S22" s="13"/>
      <c r="T22" s="13"/>
      <c r="U22" s="13"/>
      <c r="V22" s="13"/>
      <c r="W22" s="13"/>
      <c r="X22" s="13"/>
      <c r="Y22" s="13"/>
      <c r="Z22" s="13"/>
    </row>
    <row r="23" spans="1:26" ht="15.75" customHeight="1" x14ac:dyDescent="0.15">
      <c r="A23" s="13"/>
      <c r="B23" s="13"/>
      <c r="C23" s="13"/>
      <c r="D23" s="13"/>
      <c r="E23" s="13"/>
      <c r="F23" s="13"/>
      <c r="G23" s="13"/>
      <c r="H23" s="13"/>
      <c r="I23" s="13"/>
      <c r="J23" s="13"/>
      <c r="K23" s="13"/>
      <c r="L23" s="13"/>
      <c r="M23" s="13"/>
      <c r="N23" s="13"/>
      <c r="O23" s="13"/>
      <c r="P23" s="13"/>
      <c r="Q23" s="13"/>
      <c r="R23" s="13"/>
      <c r="S23" s="13"/>
      <c r="T23" s="13"/>
      <c r="U23" s="13"/>
      <c r="V23" s="13"/>
      <c r="W23" s="13"/>
      <c r="X23" s="13"/>
      <c r="Y23" s="13"/>
      <c r="Z23" s="13"/>
    </row>
    <row r="24" spans="1:26" ht="15.75" customHeight="1" x14ac:dyDescent="0.15">
      <c r="A24" s="13"/>
      <c r="B24" s="13"/>
      <c r="C24" s="13"/>
      <c r="D24" s="13"/>
      <c r="E24" s="13"/>
      <c r="F24" s="13"/>
      <c r="G24" s="13"/>
      <c r="H24" s="13"/>
      <c r="I24" s="13"/>
      <c r="J24" s="13"/>
      <c r="K24" s="13"/>
      <c r="L24" s="13"/>
      <c r="M24" s="13"/>
      <c r="N24" s="13"/>
      <c r="O24" s="13"/>
      <c r="P24" s="13"/>
      <c r="Q24" s="13"/>
      <c r="R24" s="13"/>
      <c r="S24" s="13"/>
      <c r="T24" s="13"/>
      <c r="U24" s="13"/>
      <c r="V24" s="13"/>
      <c r="W24" s="13"/>
      <c r="X24" s="13"/>
      <c r="Y24" s="13"/>
      <c r="Z24" s="13"/>
    </row>
    <row r="25" spans="1:26" ht="15.75" customHeight="1" x14ac:dyDescent="0.15">
      <c r="A25" s="13"/>
      <c r="B25" s="13"/>
      <c r="C25" s="13"/>
      <c r="D25" s="13"/>
      <c r="E25" s="13"/>
      <c r="F25" s="13"/>
      <c r="G25" s="13"/>
      <c r="H25" s="13"/>
      <c r="I25" s="13"/>
      <c r="J25" s="13"/>
      <c r="K25" s="13"/>
      <c r="L25" s="13"/>
      <c r="M25" s="13"/>
      <c r="N25" s="13"/>
      <c r="O25" s="13"/>
      <c r="P25" s="13"/>
      <c r="Q25" s="13"/>
      <c r="R25" s="13"/>
      <c r="S25" s="13"/>
      <c r="T25" s="13"/>
      <c r="U25" s="13"/>
      <c r="V25" s="13"/>
      <c r="W25" s="13"/>
      <c r="X25" s="13"/>
      <c r="Y25" s="13"/>
      <c r="Z25" s="13"/>
    </row>
    <row r="26" spans="1:26" ht="15.75" customHeight="1" x14ac:dyDescent="0.15">
      <c r="A26" s="13"/>
      <c r="B26" s="13"/>
      <c r="C26" s="13"/>
      <c r="D26" s="13"/>
      <c r="E26" s="13"/>
      <c r="F26" s="13"/>
      <c r="G26" s="13"/>
      <c r="H26" s="13"/>
      <c r="I26" s="13"/>
      <c r="J26" s="13"/>
      <c r="K26" s="13"/>
      <c r="L26" s="13"/>
      <c r="M26" s="13"/>
      <c r="N26" s="13"/>
      <c r="O26" s="13"/>
      <c r="P26" s="13"/>
      <c r="Q26" s="13"/>
      <c r="R26" s="13"/>
      <c r="S26" s="13"/>
      <c r="T26" s="13"/>
      <c r="U26" s="13"/>
      <c r="V26" s="13"/>
      <c r="W26" s="13"/>
      <c r="X26" s="13"/>
      <c r="Y26" s="13"/>
      <c r="Z26" s="13"/>
    </row>
    <row r="27" spans="1:26" ht="15.75" customHeight="1" x14ac:dyDescent="0.15">
      <c r="A27" s="13"/>
      <c r="B27" s="13"/>
      <c r="C27" s="13"/>
      <c r="D27" s="13"/>
      <c r="E27" s="13"/>
      <c r="F27" s="13"/>
      <c r="G27" s="13"/>
      <c r="H27" s="13"/>
      <c r="I27" s="13"/>
      <c r="J27" s="13"/>
      <c r="K27" s="13"/>
      <c r="L27" s="13"/>
      <c r="M27" s="13"/>
      <c r="N27" s="13"/>
      <c r="O27" s="13"/>
      <c r="P27" s="13"/>
      <c r="Q27" s="13"/>
      <c r="R27" s="13"/>
      <c r="S27" s="13"/>
      <c r="T27" s="13"/>
      <c r="U27" s="13"/>
      <c r="V27" s="13"/>
      <c r="W27" s="13"/>
      <c r="X27" s="13"/>
      <c r="Y27" s="13"/>
      <c r="Z27" s="13"/>
    </row>
    <row r="28" spans="1:26" ht="15.75" customHeight="1" x14ac:dyDescent="0.15">
      <c r="A28" s="13"/>
      <c r="B28" s="13"/>
      <c r="C28" s="13"/>
      <c r="D28" s="13"/>
      <c r="E28" s="13"/>
      <c r="F28" s="13"/>
      <c r="G28" s="13"/>
      <c r="H28" s="13"/>
      <c r="I28" s="13"/>
      <c r="J28" s="13"/>
      <c r="K28" s="13"/>
      <c r="L28" s="13"/>
      <c r="M28" s="13"/>
      <c r="N28" s="13"/>
      <c r="O28" s="13"/>
      <c r="P28" s="13"/>
      <c r="Q28" s="13"/>
      <c r="R28" s="13"/>
      <c r="S28" s="13"/>
      <c r="T28" s="13"/>
      <c r="U28" s="13"/>
      <c r="V28" s="13"/>
      <c r="W28" s="13"/>
      <c r="X28" s="13"/>
      <c r="Y28" s="13"/>
      <c r="Z28" s="13"/>
    </row>
    <row r="29" spans="1:26" ht="15.75" customHeight="1" x14ac:dyDescent="0.15">
      <c r="A29" s="13"/>
      <c r="B29" s="13"/>
      <c r="C29" s="13"/>
      <c r="D29" s="13"/>
      <c r="E29" s="13"/>
      <c r="F29" s="13"/>
      <c r="G29" s="13"/>
      <c r="H29" s="13"/>
      <c r="I29" s="13"/>
      <c r="J29" s="13"/>
      <c r="K29" s="13"/>
      <c r="L29" s="13"/>
      <c r="M29" s="13"/>
      <c r="N29" s="13"/>
      <c r="O29" s="13"/>
      <c r="P29" s="13"/>
      <c r="Q29" s="13"/>
      <c r="R29" s="13"/>
      <c r="S29" s="13"/>
      <c r="T29" s="13"/>
      <c r="U29" s="13"/>
      <c r="V29" s="13"/>
      <c r="W29" s="13"/>
      <c r="X29" s="13"/>
      <c r="Y29" s="13"/>
      <c r="Z29" s="13"/>
    </row>
    <row r="30" spans="1:26" ht="15.75" customHeight="1" x14ac:dyDescent="0.15">
      <c r="A30" s="13"/>
      <c r="B30" s="13"/>
      <c r="C30" s="13"/>
      <c r="D30" s="13"/>
      <c r="E30" s="13"/>
      <c r="F30" s="13"/>
      <c r="G30" s="13"/>
      <c r="H30" s="13"/>
      <c r="I30" s="13"/>
      <c r="J30" s="13"/>
      <c r="K30" s="13"/>
      <c r="L30" s="13"/>
      <c r="M30" s="13"/>
      <c r="N30" s="13"/>
      <c r="O30" s="13"/>
      <c r="P30" s="13"/>
      <c r="Q30" s="13"/>
      <c r="R30" s="13"/>
      <c r="S30" s="13"/>
      <c r="T30" s="13"/>
      <c r="U30" s="13"/>
      <c r="V30" s="13"/>
      <c r="W30" s="13"/>
      <c r="X30" s="13"/>
      <c r="Y30" s="13"/>
      <c r="Z30" s="13"/>
    </row>
    <row r="31" spans="1:26" ht="15.75" customHeight="1" x14ac:dyDescent="0.15">
      <c r="A31" s="13"/>
      <c r="B31" s="13"/>
      <c r="C31" s="13"/>
      <c r="D31" s="13"/>
      <c r="E31" s="13"/>
      <c r="F31" s="13"/>
      <c r="G31" s="13"/>
      <c r="H31" s="13"/>
      <c r="I31" s="13"/>
      <c r="J31" s="13"/>
      <c r="K31" s="13"/>
      <c r="L31" s="13"/>
      <c r="M31" s="13"/>
      <c r="N31" s="13"/>
      <c r="O31" s="13"/>
      <c r="P31" s="13"/>
      <c r="Q31" s="13"/>
      <c r="R31" s="13"/>
      <c r="S31" s="13"/>
      <c r="T31" s="13"/>
      <c r="U31" s="13"/>
      <c r="V31" s="13"/>
      <c r="W31" s="13"/>
      <c r="X31" s="13"/>
      <c r="Y31" s="13"/>
      <c r="Z31" s="13"/>
    </row>
    <row r="32" spans="1:26" ht="15.75" customHeight="1" x14ac:dyDescent="0.15">
      <c r="A32" s="13"/>
      <c r="B32" s="13"/>
      <c r="C32" s="13"/>
      <c r="D32" s="13"/>
      <c r="E32" s="13"/>
      <c r="F32" s="13"/>
      <c r="G32" s="13"/>
      <c r="H32" s="13"/>
      <c r="I32" s="13"/>
      <c r="J32" s="13"/>
      <c r="K32" s="13"/>
      <c r="L32" s="13"/>
      <c r="M32" s="13"/>
      <c r="N32" s="13"/>
      <c r="O32" s="13"/>
      <c r="P32" s="13"/>
      <c r="Q32" s="13"/>
      <c r="R32" s="13"/>
      <c r="S32" s="13"/>
      <c r="T32" s="13"/>
      <c r="U32" s="13"/>
      <c r="V32" s="13"/>
      <c r="W32" s="13"/>
      <c r="X32" s="13"/>
      <c r="Y32" s="13"/>
      <c r="Z32" s="13"/>
    </row>
    <row r="33" spans="1:26" ht="15.75" customHeight="1" x14ac:dyDescent="0.15">
      <c r="A33" s="13"/>
      <c r="B33" s="13"/>
      <c r="C33" s="13"/>
      <c r="D33" s="13"/>
      <c r="E33" s="13"/>
      <c r="F33" s="13"/>
      <c r="G33" s="13"/>
      <c r="H33" s="13"/>
      <c r="I33" s="13"/>
      <c r="J33" s="13"/>
      <c r="K33" s="13"/>
      <c r="L33" s="13"/>
      <c r="M33" s="13"/>
      <c r="N33" s="13"/>
      <c r="O33" s="13"/>
      <c r="P33" s="13"/>
      <c r="Q33" s="13"/>
      <c r="R33" s="13"/>
      <c r="S33" s="13"/>
      <c r="T33" s="13"/>
      <c r="U33" s="13"/>
      <c r="V33" s="13"/>
      <c r="W33" s="13"/>
      <c r="X33" s="13"/>
      <c r="Y33" s="13"/>
      <c r="Z33" s="13"/>
    </row>
    <row r="34" spans="1:26" ht="15.75" customHeight="1" x14ac:dyDescent="0.15">
      <c r="A34" s="13"/>
      <c r="B34" s="13"/>
      <c r="C34" s="13"/>
      <c r="D34" s="13"/>
      <c r="E34" s="13"/>
      <c r="F34" s="13"/>
      <c r="G34" s="13"/>
      <c r="H34" s="13"/>
      <c r="I34" s="13"/>
      <c r="J34" s="13"/>
      <c r="K34" s="13"/>
      <c r="L34" s="13"/>
      <c r="M34" s="13"/>
      <c r="N34" s="13"/>
      <c r="O34" s="13"/>
      <c r="P34" s="13"/>
      <c r="Q34" s="13"/>
      <c r="R34" s="13"/>
      <c r="S34" s="13"/>
      <c r="T34" s="13"/>
      <c r="U34" s="13"/>
      <c r="V34" s="13"/>
      <c r="W34" s="13"/>
      <c r="X34" s="13"/>
      <c r="Y34" s="13"/>
      <c r="Z34" s="13"/>
    </row>
    <row r="35" spans="1:26" ht="15.75" customHeight="1" x14ac:dyDescent="0.15">
      <c r="A35" s="13"/>
      <c r="B35" s="13"/>
      <c r="C35" s="13"/>
      <c r="D35" s="13"/>
      <c r="E35" s="13"/>
      <c r="F35" s="13"/>
      <c r="G35" s="13"/>
      <c r="H35" s="13"/>
      <c r="I35" s="13"/>
      <c r="J35" s="13"/>
      <c r="K35" s="13"/>
      <c r="L35" s="13"/>
      <c r="M35" s="13"/>
      <c r="N35" s="13"/>
      <c r="O35" s="13"/>
      <c r="P35" s="13"/>
      <c r="Q35" s="13"/>
      <c r="R35" s="13"/>
      <c r="S35" s="13"/>
      <c r="T35" s="13"/>
      <c r="U35" s="13"/>
      <c r="V35" s="13"/>
      <c r="W35" s="13"/>
      <c r="X35" s="13"/>
      <c r="Y35" s="13"/>
      <c r="Z35" s="13"/>
    </row>
    <row r="36" spans="1:26" ht="15.75" customHeight="1" x14ac:dyDescent="0.15">
      <c r="A36" s="13"/>
      <c r="B36" s="13"/>
      <c r="C36" s="13"/>
      <c r="D36" s="13"/>
      <c r="E36" s="13"/>
      <c r="F36" s="13"/>
      <c r="G36" s="13"/>
      <c r="H36" s="13"/>
      <c r="I36" s="13"/>
      <c r="J36" s="13"/>
      <c r="K36" s="13"/>
      <c r="L36" s="13"/>
      <c r="M36" s="13"/>
      <c r="N36" s="13"/>
      <c r="O36" s="13"/>
      <c r="P36" s="13"/>
      <c r="Q36" s="13"/>
      <c r="R36" s="13"/>
      <c r="S36" s="13"/>
      <c r="T36" s="13"/>
      <c r="U36" s="13"/>
      <c r="V36" s="13"/>
      <c r="W36" s="13"/>
      <c r="X36" s="13"/>
      <c r="Y36" s="13"/>
      <c r="Z36" s="13"/>
    </row>
    <row r="37" spans="1:26" ht="15.75" customHeight="1" x14ac:dyDescent="0.15">
      <c r="A37" s="13"/>
      <c r="B37" s="13"/>
      <c r="C37" s="13"/>
      <c r="D37" s="13"/>
      <c r="E37" s="13"/>
      <c r="F37" s="13"/>
      <c r="G37" s="13"/>
      <c r="H37" s="13"/>
      <c r="I37" s="13"/>
      <c r="J37" s="13"/>
      <c r="K37" s="13"/>
      <c r="L37" s="13"/>
      <c r="M37" s="13"/>
      <c r="N37" s="13"/>
      <c r="O37" s="13"/>
      <c r="P37" s="13"/>
      <c r="Q37" s="13"/>
      <c r="R37" s="13"/>
      <c r="S37" s="13"/>
      <c r="T37" s="13"/>
      <c r="U37" s="13"/>
      <c r="V37" s="13"/>
      <c r="W37" s="13"/>
      <c r="X37" s="13"/>
      <c r="Y37" s="13"/>
      <c r="Z37" s="13"/>
    </row>
    <row r="38" spans="1:26" ht="15.75" customHeight="1" x14ac:dyDescent="0.15">
      <c r="A38" s="13"/>
      <c r="B38" s="13"/>
      <c r="C38" s="13"/>
      <c r="D38" s="13"/>
      <c r="E38" s="13"/>
      <c r="F38" s="13"/>
      <c r="G38" s="13"/>
      <c r="H38" s="13"/>
      <c r="I38" s="13"/>
      <c r="J38" s="13"/>
      <c r="K38" s="13"/>
      <c r="L38" s="13"/>
      <c r="M38" s="13"/>
      <c r="N38" s="13"/>
      <c r="O38" s="13"/>
      <c r="P38" s="13"/>
      <c r="Q38" s="13"/>
      <c r="R38" s="13"/>
      <c r="S38" s="13"/>
      <c r="T38" s="13"/>
      <c r="U38" s="13"/>
      <c r="V38" s="13"/>
      <c r="W38" s="13"/>
      <c r="X38" s="13"/>
      <c r="Y38" s="13"/>
      <c r="Z38" s="13"/>
    </row>
    <row r="39" spans="1:26" ht="13" x14ac:dyDescent="0.15">
      <c r="A39" s="13"/>
      <c r="B39" s="13"/>
      <c r="C39" s="13"/>
      <c r="D39" s="13"/>
      <c r="E39" s="13"/>
      <c r="F39" s="13"/>
      <c r="G39" s="13"/>
      <c r="H39" s="13"/>
      <c r="I39" s="13"/>
      <c r="J39" s="13"/>
      <c r="K39" s="13"/>
      <c r="L39" s="13"/>
      <c r="M39" s="13"/>
      <c r="N39" s="13"/>
      <c r="O39" s="13"/>
      <c r="P39" s="13"/>
      <c r="Q39" s="13"/>
      <c r="R39" s="13"/>
      <c r="S39" s="13"/>
      <c r="T39" s="13"/>
      <c r="U39" s="13"/>
      <c r="V39" s="13"/>
      <c r="W39" s="13"/>
      <c r="X39" s="13"/>
      <c r="Y39" s="13"/>
      <c r="Z39" s="13"/>
    </row>
    <row r="40" spans="1:26" ht="13" x14ac:dyDescent="0.15">
      <c r="A40" s="13"/>
      <c r="B40" s="13"/>
      <c r="C40" s="13"/>
      <c r="D40" s="13"/>
      <c r="E40" s="13"/>
      <c r="F40" s="13"/>
      <c r="G40" s="13"/>
      <c r="H40" s="13"/>
      <c r="I40" s="13"/>
      <c r="J40" s="13"/>
      <c r="K40" s="13"/>
      <c r="L40" s="13"/>
      <c r="M40" s="13"/>
      <c r="N40" s="13"/>
      <c r="O40" s="13"/>
      <c r="P40" s="13"/>
      <c r="Q40" s="13"/>
      <c r="R40" s="13"/>
      <c r="S40" s="13"/>
      <c r="T40" s="13"/>
      <c r="U40" s="13"/>
      <c r="V40" s="13"/>
      <c r="W40" s="13"/>
      <c r="X40" s="13"/>
      <c r="Y40" s="13"/>
      <c r="Z40" s="13"/>
    </row>
    <row r="41" spans="1:26" ht="13" x14ac:dyDescent="0.15">
      <c r="A41" s="13"/>
      <c r="B41" s="13"/>
      <c r="C41" s="13"/>
      <c r="D41" s="13"/>
      <c r="E41" s="13"/>
      <c r="F41" s="13"/>
      <c r="G41" s="13"/>
      <c r="H41" s="13"/>
      <c r="I41" s="13"/>
      <c r="J41" s="13"/>
      <c r="K41" s="13"/>
      <c r="L41" s="13"/>
      <c r="M41" s="13"/>
      <c r="N41" s="13"/>
      <c r="O41" s="13"/>
      <c r="P41" s="13"/>
      <c r="Q41" s="13"/>
      <c r="R41" s="13"/>
      <c r="S41" s="13"/>
      <c r="T41" s="13"/>
      <c r="U41" s="13"/>
      <c r="V41" s="13"/>
      <c r="W41" s="13"/>
      <c r="X41" s="13"/>
      <c r="Y41" s="13"/>
      <c r="Z41" s="13"/>
    </row>
    <row r="42" spans="1:26" ht="13" x14ac:dyDescent="0.15">
      <c r="A42" s="13"/>
      <c r="B42" s="13"/>
      <c r="C42" s="13"/>
      <c r="D42" s="13"/>
      <c r="E42" s="13"/>
      <c r="F42" s="13"/>
      <c r="G42" s="13"/>
      <c r="H42" s="13"/>
      <c r="I42" s="13"/>
      <c r="J42" s="13"/>
      <c r="K42" s="13"/>
      <c r="L42" s="13"/>
      <c r="M42" s="13"/>
      <c r="N42" s="13"/>
      <c r="O42" s="13"/>
      <c r="P42" s="13"/>
      <c r="Q42" s="13"/>
      <c r="R42" s="13"/>
      <c r="S42" s="13"/>
      <c r="T42" s="13"/>
      <c r="U42" s="13"/>
      <c r="V42" s="13"/>
      <c r="W42" s="13"/>
      <c r="X42" s="13"/>
      <c r="Y42" s="13"/>
      <c r="Z42" s="13"/>
    </row>
    <row r="43" spans="1:26" ht="13" x14ac:dyDescent="0.15">
      <c r="A43" s="13"/>
      <c r="B43" s="13"/>
      <c r="C43" s="13"/>
      <c r="D43" s="13"/>
      <c r="E43" s="13"/>
      <c r="F43" s="13"/>
      <c r="G43" s="13"/>
      <c r="H43" s="13"/>
      <c r="I43" s="13"/>
      <c r="J43" s="13"/>
      <c r="K43" s="13"/>
      <c r="L43" s="13"/>
      <c r="M43" s="13"/>
      <c r="N43" s="13"/>
      <c r="O43" s="13"/>
      <c r="P43" s="13"/>
      <c r="Q43" s="13"/>
      <c r="R43" s="13"/>
      <c r="S43" s="13"/>
      <c r="T43" s="13"/>
      <c r="U43" s="13"/>
      <c r="V43" s="13"/>
      <c r="W43" s="13"/>
      <c r="X43" s="13"/>
      <c r="Y43" s="13"/>
      <c r="Z43" s="13"/>
    </row>
    <row r="44" spans="1:26" ht="13" x14ac:dyDescent="0.15">
      <c r="A44" s="13"/>
      <c r="B44" s="13"/>
      <c r="C44" s="13"/>
      <c r="D44" s="13"/>
      <c r="E44" s="13"/>
      <c r="F44" s="13"/>
      <c r="G44" s="13"/>
      <c r="H44" s="13"/>
      <c r="I44" s="13"/>
      <c r="J44" s="13"/>
      <c r="K44" s="13"/>
      <c r="L44" s="13"/>
      <c r="M44" s="13"/>
      <c r="N44" s="13"/>
      <c r="O44" s="13"/>
      <c r="P44" s="13"/>
      <c r="Q44" s="13"/>
      <c r="R44" s="13"/>
      <c r="S44" s="13"/>
      <c r="T44" s="13"/>
      <c r="U44" s="13"/>
      <c r="V44" s="13"/>
      <c r="W44" s="13"/>
      <c r="X44" s="13"/>
      <c r="Y44" s="13"/>
      <c r="Z44" s="13"/>
    </row>
    <row r="45" spans="1:26" ht="13" x14ac:dyDescent="0.15">
      <c r="A45" s="13"/>
      <c r="B45" s="13"/>
      <c r="C45" s="13"/>
      <c r="D45" s="13"/>
      <c r="E45" s="13"/>
      <c r="F45" s="13"/>
      <c r="G45" s="13"/>
      <c r="H45" s="13"/>
      <c r="I45" s="13"/>
      <c r="J45" s="13"/>
      <c r="K45" s="13"/>
      <c r="L45" s="13"/>
      <c r="M45" s="13"/>
      <c r="N45" s="13"/>
      <c r="O45" s="13"/>
      <c r="P45" s="13"/>
      <c r="Q45" s="13"/>
      <c r="R45" s="13"/>
      <c r="S45" s="13"/>
      <c r="T45" s="13"/>
      <c r="U45" s="13"/>
      <c r="V45" s="13"/>
      <c r="W45" s="13"/>
      <c r="X45" s="13"/>
      <c r="Y45" s="13"/>
      <c r="Z45" s="13"/>
    </row>
    <row r="46" spans="1:26" ht="13" x14ac:dyDescent="0.15">
      <c r="A46" s="13"/>
      <c r="B46" s="13"/>
      <c r="C46" s="13"/>
      <c r="D46" s="13"/>
      <c r="E46" s="13"/>
      <c r="F46" s="13"/>
      <c r="G46" s="13"/>
      <c r="H46" s="13"/>
      <c r="I46" s="13"/>
      <c r="J46" s="13"/>
      <c r="K46" s="13"/>
      <c r="L46" s="13"/>
      <c r="M46" s="13"/>
      <c r="N46" s="13"/>
      <c r="O46" s="13"/>
      <c r="P46" s="13"/>
      <c r="Q46" s="13"/>
      <c r="R46" s="13"/>
      <c r="S46" s="13"/>
      <c r="T46" s="13"/>
      <c r="U46" s="13"/>
      <c r="V46" s="13"/>
      <c r="W46" s="13"/>
      <c r="X46" s="13"/>
      <c r="Y46" s="13"/>
      <c r="Z46" s="13"/>
    </row>
    <row r="47" spans="1:26" ht="13" x14ac:dyDescent="0.15">
      <c r="A47" s="13"/>
      <c r="B47" s="13"/>
      <c r="C47" s="13"/>
      <c r="D47" s="13"/>
      <c r="E47" s="13"/>
      <c r="F47" s="13"/>
      <c r="G47" s="13"/>
      <c r="H47" s="13"/>
      <c r="I47" s="13"/>
      <c r="J47" s="13"/>
      <c r="K47" s="13"/>
      <c r="L47" s="13"/>
      <c r="M47" s="13"/>
      <c r="N47" s="13"/>
      <c r="O47" s="13"/>
      <c r="P47" s="13"/>
      <c r="Q47" s="13"/>
      <c r="R47" s="13"/>
      <c r="S47" s="13"/>
      <c r="T47" s="13"/>
      <c r="U47" s="13"/>
      <c r="V47" s="13"/>
      <c r="W47" s="13"/>
      <c r="X47" s="13"/>
      <c r="Y47" s="13"/>
      <c r="Z47" s="13"/>
    </row>
    <row r="48" spans="1:26" ht="13" x14ac:dyDescent="0.1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row>
    <row r="49" spans="1:26" ht="13" x14ac:dyDescent="0.15">
      <c r="A49" s="13"/>
      <c r="B49" s="13"/>
      <c r="C49" s="13"/>
      <c r="D49" s="13"/>
      <c r="E49" s="13"/>
      <c r="F49" s="13"/>
      <c r="G49" s="13"/>
      <c r="H49" s="13"/>
      <c r="I49" s="13"/>
      <c r="J49" s="13"/>
      <c r="K49" s="13"/>
      <c r="L49" s="13"/>
      <c r="M49" s="13"/>
      <c r="N49" s="13"/>
      <c r="O49" s="13"/>
      <c r="P49" s="13"/>
      <c r="Q49" s="13"/>
      <c r="R49" s="13"/>
      <c r="S49" s="13"/>
      <c r="T49" s="13"/>
      <c r="U49" s="13"/>
      <c r="V49" s="13"/>
      <c r="W49" s="13"/>
      <c r="X49" s="13"/>
      <c r="Y49" s="13"/>
      <c r="Z49" s="13"/>
    </row>
    <row r="50" spans="1:26" ht="13" x14ac:dyDescent="0.15">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row>
    <row r="51" spans="1:26" ht="13" x14ac:dyDescent="0.15">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row>
    <row r="52" spans="1:26" ht="13" x14ac:dyDescent="0.15">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row>
    <row r="53" spans="1:26" ht="13" x14ac:dyDescent="0.15">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row>
    <row r="54" spans="1:26" ht="13" x14ac:dyDescent="0.15">
      <c r="A54" s="13"/>
      <c r="B54" s="13"/>
      <c r="C54" s="13"/>
      <c r="D54" s="13"/>
      <c r="E54" s="13"/>
      <c r="F54" s="13"/>
      <c r="G54" s="13"/>
      <c r="H54" s="13"/>
      <c r="I54" s="13"/>
      <c r="J54" s="13"/>
      <c r="K54" s="13"/>
      <c r="L54" s="13"/>
      <c r="M54" s="13"/>
      <c r="N54" s="13"/>
      <c r="O54" s="13"/>
      <c r="P54" s="13"/>
      <c r="Q54" s="13"/>
      <c r="R54" s="13"/>
      <c r="S54" s="13"/>
      <c r="T54" s="13"/>
      <c r="U54" s="13"/>
      <c r="V54" s="13"/>
      <c r="W54" s="13"/>
      <c r="X54" s="13"/>
      <c r="Y54" s="13"/>
      <c r="Z54" s="13"/>
    </row>
    <row r="55" spans="1:26" ht="13" x14ac:dyDescent="0.15">
      <c r="A55" s="13"/>
      <c r="B55" s="13"/>
      <c r="C55" s="13"/>
      <c r="D55" s="13"/>
      <c r="E55" s="13"/>
      <c r="F55" s="13"/>
      <c r="G55" s="13"/>
      <c r="H55" s="13"/>
      <c r="I55" s="13"/>
      <c r="J55" s="13"/>
      <c r="K55" s="13"/>
      <c r="L55" s="13"/>
      <c r="M55" s="13"/>
      <c r="N55" s="13"/>
      <c r="O55" s="13"/>
      <c r="P55" s="13"/>
      <c r="Q55" s="13"/>
      <c r="R55" s="13"/>
      <c r="S55" s="13"/>
      <c r="T55" s="13"/>
      <c r="U55" s="13"/>
      <c r="V55" s="13"/>
      <c r="W55" s="13"/>
      <c r="X55" s="13"/>
      <c r="Y55" s="13"/>
      <c r="Z55" s="13"/>
    </row>
    <row r="56" spans="1:26" ht="13" x14ac:dyDescent="0.15">
      <c r="A56" s="13"/>
      <c r="B56" s="13"/>
      <c r="C56" s="13"/>
      <c r="D56" s="13"/>
      <c r="E56" s="13"/>
      <c r="F56" s="13"/>
      <c r="G56" s="13"/>
      <c r="H56" s="13"/>
      <c r="I56" s="13"/>
      <c r="J56" s="13"/>
      <c r="K56" s="13"/>
      <c r="L56" s="13"/>
      <c r="M56" s="13"/>
      <c r="N56" s="13"/>
      <c r="O56" s="13"/>
      <c r="P56" s="13"/>
      <c r="Q56" s="13"/>
      <c r="R56" s="13"/>
      <c r="S56" s="13"/>
      <c r="T56" s="13"/>
      <c r="U56" s="13"/>
      <c r="V56" s="13"/>
      <c r="W56" s="13"/>
      <c r="X56" s="13"/>
      <c r="Y56" s="13"/>
      <c r="Z56" s="13"/>
    </row>
    <row r="57" spans="1:26" ht="13" x14ac:dyDescent="0.15">
      <c r="A57" s="13"/>
      <c r="B57" s="13"/>
      <c r="C57" s="13"/>
      <c r="D57" s="13"/>
      <c r="E57" s="13"/>
      <c r="F57" s="13"/>
      <c r="G57" s="13"/>
      <c r="H57" s="13"/>
      <c r="I57" s="13"/>
      <c r="J57" s="13"/>
      <c r="K57" s="13"/>
      <c r="L57" s="13"/>
      <c r="M57" s="13"/>
      <c r="N57" s="13"/>
      <c r="O57" s="13"/>
      <c r="P57" s="13"/>
      <c r="Q57" s="13"/>
      <c r="R57" s="13"/>
      <c r="S57" s="13"/>
      <c r="T57" s="13"/>
      <c r="U57" s="13"/>
      <c r="V57" s="13"/>
      <c r="W57" s="13"/>
      <c r="X57" s="13"/>
      <c r="Y57" s="13"/>
      <c r="Z57" s="13"/>
    </row>
    <row r="58" spans="1:26" ht="13" x14ac:dyDescent="0.15">
      <c r="A58" s="13"/>
      <c r="B58" s="13"/>
      <c r="C58" s="13"/>
      <c r="D58" s="13"/>
      <c r="E58" s="13"/>
      <c r="F58" s="13"/>
      <c r="G58" s="13"/>
      <c r="H58" s="13"/>
      <c r="I58" s="13"/>
      <c r="J58" s="13"/>
      <c r="K58" s="13"/>
      <c r="L58" s="13"/>
      <c r="M58" s="13"/>
      <c r="N58" s="13"/>
      <c r="O58" s="13"/>
      <c r="P58" s="13"/>
      <c r="Q58" s="13"/>
      <c r="R58" s="13"/>
      <c r="S58" s="13"/>
      <c r="T58" s="13"/>
      <c r="U58" s="13"/>
      <c r="V58" s="13"/>
      <c r="W58" s="13"/>
      <c r="X58" s="13"/>
      <c r="Y58" s="13"/>
      <c r="Z58" s="13"/>
    </row>
    <row r="59" spans="1:26" ht="13" x14ac:dyDescent="0.15">
      <c r="A59" s="13"/>
      <c r="B59" s="13"/>
      <c r="C59" s="13"/>
      <c r="D59" s="13"/>
      <c r="E59" s="13"/>
      <c r="F59" s="13"/>
      <c r="G59" s="13"/>
      <c r="H59" s="13"/>
      <c r="I59" s="13"/>
      <c r="J59" s="13"/>
      <c r="K59" s="13"/>
      <c r="L59" s="13"/>
      <c r="M59" s="13"/>
      <c r="N59" s="13"/>
      <c r="O59" s="13"/>
      <c r="P59" s="13"/>
      <c r="Q59" s="13"/>
      <c r="R59" s="13"/>
      <c r="S59" s="13"/>
      <c r="T59" s="13"/>
      <c r="U59" s="13"/>
      <c r="V59" s="13"/>
      <c r="W59" s="13"/>
      <c r="X59" s="13"/>
      <c r="Y59" s="13"/>
      <c r="Z59" s="13"/>
    </row>
    <row r="60" spans="1:26" ht="13" x14ac:dyDescent="0.15">
      <c r="A60" s="13"/>
      <c r="B60" s="13"/>
      <c r="C60" s="13"/>
      <c r="D60" s="13"/>
      <c r="E60" s="13"/>
      <c r="F60" s="13"/>
      <c r="G60" s="13"/>
      <c r="H60" s="13"/>
      <c r="I60" s="13"/>
      <c r="J60" s="13"/>
      <c r="K60" s="13"/>
      <c r="L60" s="13"/>
      <c r="M60" s="13"/>
      <c r="N60" s="13"/>
      <c r="O60" s="13"/>
      <c r="P60" s="13"/>
      <c r="Q60" s="13"/>
      <c r="R60" s="13"/>
      <c r="S60" s="13"/>
      <c r="T60" s="13"/>
      <c r="U60" s="13"/>
      <c r="V60" s="13"/>
      <c r="W60" s="13"/>
      <c r="X60" s="13"/>
      <c r="Y60" s="13"/>
      <c r="Z60" s="13"/>
    </row>
    <row r="61" spans="1:26" ht="13" x14ac:dyDescent="0.15">
      <c r="A61" s="13"/>
      <c r="B61" s="13"/>
      <c r="C61" s="13"/>
      <c r="D61" s="13"/>
      <c r="E61" s="13"/>
      <c r="F61" s="13"/>
      <c r="G61" s="13"/>
      <c r="H61" s="13"/>
      <c r="I61" s="13"/>
      <c r="J61" s="13"/>
      <c r="K61" s="13"/>
      <c r="L61" s="13"/>
      <c r="M61" s="13"/>
      <c r="N61" s="13"/>
      <c r="O61" s="13"/>
      <c r="P61" s="13"/>
      <c r="Q61" s="13"/>
      <c r="R61" s="13"/>
      <c r="S61" s="13"/>
      <c r="T61" s="13"/>
      <c r="U61" s="13"/>
      <c r="V61" s="13"/>
      <c r="W61" s="13"/>
      <c r="X61" s="13"/>
      <c r="Y61" s="13"/>
      <c r="Z61" s="13"/>
    </row>
    <row r="62" spans="1:26" ht="13" x14ac:dyDescent="0.15">
      <c r="A62" s="13"/>
      <c r="B62" s="13"/>
      <c r="C62" s="13"/>
      <c r="D62" s="13"/>
      <c r="E62" s="13"/>
      <c r="F62" s="13"/>
      <c r="G62" s="13"/>
      <c r="H62" s="13"/>
      <c r="I62" s="13"/>
      <c r="J62" s="13"/>
      <c r="K62" s="13"/>
      <c r="L62" s="13"/>
      <c r="M62" s="13"/>
      <c r="N62" s="13"/>
      <c r="O62" s="13"/>
      <c r="P62" s="13"/>
      <c r="Q62" s="13"/>
      <c r="R62" s="13"/>
      <c r="S62" s="13"/>
      <c r="T62" s="13"/>
      <c r="U62" s="13"/>
      <c r="V62" s="13"/>
      <c r="W62" s="13"/>
      <c r="X62" s="13"/>
      <c r="Y62" s="13"/>
      <c r="Z62" s="13"/>
    </row>
    <row r="63" spans="1:26" ht="13" x14ac:dyDescent="0.15">
      <c r="A63" s="13"/>
      <c r="B63" s="13"/>
      <c r="C63" s="13"/>
      <c r="D63" s="13"/>
      <c r="E63" s="13"/>
      <c r="F63" s="13"/>
      <c r="G63" s="13"/>
      <c r="H63" s="13"/>
      <c r="I63" s="13"/>
      <c r="J63" s="13"/>
      <c r="K63" s="13"/>
      <c r="L63" s="13"/>
      <c r="M63" s="13"/>
      <c r="N63" s="13"/>
      <c r="O63" s="13"/>
      <c r="P63" s="13"/>
      <c r="Q63" s="13"/>
      <c r="R63" s="13"/>
      <c r="S63" s="13"/>
      <c r="T63" s="13"/>
      <c r="U63" s="13"/>
      <c r="V63" s="13"/>
      <c r="W63" s="13"/>
      <c r="X63" s="13"/>
      <c r="Y63" s="13"/>
      <c r="Z63" s="13"/>
    </row>
    <row r="64" spans="1:26" ht="13" x14ac:dyDescent="0.15">
      <c r="A64" s="13"/>
      <c r="B64" s="13"/>
      <c r="C64" s="13"/>
      <c r="D64" s="13"/>
      <c r="E64" s="13"/>
      <c r="F64" s="13"/>
      <c r="G64" s="13"/>
      <c r="H64" s="13"/>
      <c r="I64" s="13"/>
      <c r="J64" s="13"/>
      <c r="K64" s="13"/>
      <c r="L64" s="13"/>
      <c r="M64" s="13"/>
      <c r="N64" s="13"/>
      <c r="O64" s="13"/>
      <c r="P64" s="13"/>
      <c r="Q64" s="13"/>
      <c r="R64" s="13"/>
      <c r="S64" s="13"/>
      <c r="T64" s="13"/>
      <c r="U64" s="13"/>
      <c r="V64" s="13"/>
      <c r="W64" s="13"/>
      <c r="X64" s="13"/>
      <c r="Y64" s="13"/>
      <c r="Z64" s="13"/>
    </row>
    <row r="65" spans="1:26" ht="13" x14ac:dyDescent="0.15">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row>
    <row r="66" spans="1:26" ht="13" x14ac:dyDescent="0.15">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row>
    <row r="67" spans="1:26" ht="13" x14ac:dyDescent="0.15">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row>
    <row r="68" spans="1:26" ht="13" x14ac:dyDescent="0.15">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row>
    <row r="69" spans="1:26" ht="13" x14ac:dyDescent="0.15">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row>
    <row r="70" spans="1:26" ht="13" x14ac:dyDescent="0.15">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row>
    <row r="71" spans="1:26" ht="13" x14ac:dyDescent="0.15">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row>
    <row r="72" spans="1:26" ht="13" x14ac:dyDescent="0.15">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row>
    <row r="73" spans="1:26" ht="13" x14ac:dyDescent="0.15">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row>
    <row r="74" spans="1:26" ht="13" x14ac:dyDescent="0.15">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row>
    <row r="75" spans="1:26" ht="13" x14ac:dyDescent="0.15">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row>
    <row r="76" spans="1:26" ht="13" x14ac:dyDescent="0.15">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row>
    <row r="77" spans="1:26" ht="13" x14ac:dyDescent="0.15">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row>
    <row r="78" spans="1:26" ht="13" x14ac:dyDescent="0.15">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row>
    <row r="79" spans="1:26" ht="13" x14ac:dyDescent="0.15">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ht="13" x14ac:dyDescent="0.15">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ht="13" x14ac:dyDescent="0.15">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row>
    <row r="82" spans="1:26" ht="13" x14ac:dyDescent="0.15">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row>
    <row r="83" spans="1:26" ht="13" x14ac:dyDescent="0.15">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ht="13" x14ac:dyDescent="0.15">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ht="13" x14ac:dyDescent="0.15">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ht="13" x14ac:dyDescent="0.15">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ht="13" x14ac:dyDescent="0.1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ht="13" x14ac:dyDescent="0.1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ht="13" x14ac:dyDescent="0.1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ht="13" x14ac:dyDescent="0.1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ht="13" x14ac:dyDescent="0.1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ht="13" x14ac:dyDescent="0.1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ht="13" x14ac:dyDescent="0.1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ht="13" x14ac:dyDescent="0.1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ht="13" x14ac:dyDescent="0.1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ht="13" x14ac:dyDescent="0.1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ht="13" x14ac:dyDescent="0.1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ht="13" x14ac:dyDescent="0.1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ht="13" x14ac:dyDescent="0.1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ht="13" x14ac:dyDescent="0.1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3" x14ac:dyDescent="0.1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3" x14ac:dyDescent="0.1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3" x14ac:dyDescent="0.1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3" x14ac:dyDescent="0.1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3" x14ac:dyDescent="0.1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3" x14ac:dyDescent="0.15">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3" x14ac:dyDescent="0.15">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3" x14ac:dyDescent="0.15">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3" x14ac:dyDescent="0.15">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3" x14ac:dyDescent="0.15">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3" x14ac:dyDescent="0.15">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3" x14ac:dyDescent="0.15">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3" x14ac:dyDescent="0.15">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3" x14ac:dyDescent="0.15">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3" x14ac:dyDescent="0.15">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3" x14ac:dyDescent="0.15">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3" x14ac:dyDescent="0.15">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3" x14ac:dyDescent="0.15">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3" x14ac:dyDescent="0.15">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3" x14ac:dyDescent="0.15">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3" x14ac:dyDescent="0.15">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3" x14ac:dyDescent="0.15">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3" x14ac:dyDescent="0.15">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3" x14ac:dyDescent="0.15">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3" x14ac:dyDescent="0.15">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3" x14ac:dyDescent="0.15">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3" x14ac:dyDescent="0.15">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3" x14ac:dyDescent="0.15">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3" x14ac:dyDescent="0.15">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3" x14ac:dyDescent="0.15">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3" x14ac:dyDescent="0.15">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3" x14ac:dyDescent="0.15">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3" x14ac:dyDescent="0.15">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3" x14ac:dyDescent="0.15">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3" x14ac:dyDescent="0.15">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3" x14ac:dyDescent="0.15">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3" x14ac:dyDescent="0.15">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3" x14ac:dyDescent="0.15">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3" x14ac:dyDescent="0.15">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3" x14ac:dyDescent="0.15">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3" x14ac:dyDescent="0.15">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3" x14ac:dyDescent="0.15">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3" x14ac:dyDescent="0.15">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3" x14ac:dyDescent="0.15">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3" x14ac:dyDescent="0.15">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3" x14ac:dyDescent="0.15">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3" x14ac:dyDescent="0.15">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3" x14ac:dyDescent="0.15">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3" x14ac:dyDescent="0.15">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3" x14ac:dyDescent="0.15">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3" x14ac:dyDescent="0.15">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3" x14ac:dyDescent="0.15">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3" x14ac:dyDescent="0.15">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3" x14ac:dyDescent="0.15">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3" x14ac:dyDescent="0.15">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3" x14ac:dyDescent="0.15">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3" x14ac:dyDescent="0.15">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3" x14ac:dyDescent="0.15">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3" x14ac:dyDescent="0.15">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3" x14ac:dyDescent="0.15">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3" x14ac:dyDescent="0.15">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3" x14ac:dyDescent="0.15">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3" x14ac:dyDescent="0.15">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3" x14ac:dyDescent="0.15">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3" x14ac:dyDescent="0.15">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3" x14ac:dyDescent="0.15">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3" x14ac:dyDescent="0.15">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3" x14ac:dyDescent="0.15">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3" x14ac:dyDescent="0.15">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3" x14ac:dyDescent="0.15">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3" x14ac:dyDescent="0.15">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3" x14ac:dyDescent="0.15">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3" x14ac:dyDescent="0.15">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3" x14ac:dyDescent="0.15">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3" x14ac:dyDescent="0.15">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3" x14ac:dyDescent="0.15">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3" x14ac:dyDescent="0.15">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3" x14ac:dyDescent="0.15">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3" x14ac:dyDescent="0.15">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3" x14ac:dyDescent="0.15">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3" x14ac:dyDescent="0.15">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3" x14ac:dyDescent="0.15">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3" x14ac:dyDescent="0.15">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3" x14ac:dyDescent="0.15">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3" x14ac:dyDescent="0.15">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3" x14ac:dyDescent="0.15">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3" x14ac:dyDescent="0.15">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3" x14ac:dyDescent="0.15">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3" x14ac:dyDescent="0.15">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3" x14ac:dyDescent="0.15">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3" x14ac:dyDescent="0.15">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3" x14ac:dyDescent="0.15">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3" x14ac:dyDescent="0.15">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3" x14ac:dyDescent="0.15">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3" x14ac:dyDescent="0.15">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3" x14ac:dyDescent="0.15">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3" x14ac:dyDescent="0.15">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3" x14ac:dyDescent="0.15">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3" x14ac:dyDescent="0.15">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3" x14ac:dyDescent="0.15">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3" x14ac:dyDescent="0.15">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3" x14ac:dyDescent="0.15">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3" x14ac:dyDescent="0.15">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3" x14ac:dyDescent="0.15">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3" x14ac:dyDescent="0.15">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3" x14ac:dyDescent="0.15">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3" x14ac:dyDescent="0.15">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3" x14ac:dyDescent="0.15">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3" x14ac:dyDescent="0.15">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3" x14ac:dyDescent="0.15">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3" x14ac:dyDescent="0.15">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3" x14ac:dyDescent="0.15">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3" x14ac:dyDescent="0.15">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3" x14ac:dyDescent="0.15">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3" x14ac:dyDescent="0.15">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3" x14ac:dyDescent="0.15">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3" x14ac:dyDescent="0.15">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3" x14ac:dyDescent="0.15">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3" x14ac:dyDescent="0.15">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3" x14ac:dyDescent="0.15">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3" x14ac:dyDescent="0.15">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3" x14ac:dyDescent="0.15">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3" x14ac:dyDescent="0.15">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3" x14ac:dyDescent="0.15">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3" x14ac:dyDescent="0.15">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3" x14ac:dyDescent="0.15">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3" x14ac:dyDescent="0.15">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3" x14ac:dyDescent="0.15">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3" x14ac:dyDescent="0.15">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3" x14ac:dyDescent="0.15">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3" x14ac:dyDescent="0.15">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3" x14ac:dyDescent="0.15">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3" x14ac:dyDescent="0.15">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3" x14ac:dyDescent="0.15">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3" x14ac:dyDescent="0.15">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3" x14ac:dyDescent="0.15">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3" x14ac:dyDescent="0.15">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3" x14ac:dyDescent="0.15">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3" x14ac:dyDescent="0.15">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3" x14ac:dyDescent="0.15">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3" x14ac:dyDescent="0.1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3" x14ac:dyDescent="0.1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3" x14ac:dyDescent="0.1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3" x14ac:dyDescent="0.1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3" x14ac:dyDescent="0.1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3" x14ac:dyDescent="0.1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3" x14ac:dyDescent="0.1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3" x14ac:dyDescent="0.1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3" x14ac:dyDescent="0.1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3" x14ac:dyDescent="0.1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3" x14ac:dyDescent="0.1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3" x14ac:dyDescent="0.1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3" x14ac:dyDescent="0.1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3" x14ac:dyDescent="0.1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3" x14ac:dyDescent="0.1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3" x14ac:dyDescent="0.1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3" x14ac:dyDescent="0.1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3" x14ac:dyDescent="0.1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3" x14ac:dyDescent="0.1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3" x14ac:dyDescent="0.1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ht="13" x14ac:dyDescent="0.1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ht="13" x14ac:dyDescent="0.1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ht="13" x14ac:dyDescent="0.1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row>
    <row r="264" spans="1:26" ht="13" x14ac:dyDescent="0.1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row>
    <row r="265" spans="1:26" ht="13" x14ac:dyDescent="0.1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row>
    <row r="266" spans="1:26" ht="13" x14ac:dyDescent="0.1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row>
    <row r="267" spans="1:26" ht="13" x14ac:dyDescent="0.1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row>
    <row r="268" spans="1:26" ht="13" x14ac:dyDescent="0.1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row>
    <row r="269" spans="1:26" ht="13" x14ac:dyDescent="0.1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row>
    <row r="270" spans="1:26" ht="13" x14ac:dyDescent="0.1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row>
    <row r="271" spans="1:26" ht="13" x14ac:dyDescent="0.1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row>
    <row r="272" spans="1:26" ht="13" x14ac:dyDescent="0.1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row>
    <row r="273" spans="1:26" ht="13" x14ac:dyDescent="0.1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row>
    <row r="274" spans="1:26" ht="13" x14ac:dyDescent="0.1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row>
    <row r="275" spans="1:26" ht="13" x14ac:dyDescent="0.1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row>
    <row r="276" spans="1:26" ht="13" x14ac:dyDescent="0.1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row>
    <row r="277" spans="1:26" ht="13" x14ac:dyDescent="0.1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row>
    <row r="278" spans="1:26" ht="13" x14ac:dyDescent="0.1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row>
    <row r="279" spans="1:26" ht="13" x14ac:dyDescent="0.1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row>
    <row r="280" spans="1:26" ht="13" x14ac:dyDescent="0.1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row>
    <row r="281" spans="1:26" ht="13" x14ac:dyDescent="0.1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row>
    <row r="282" spans="1:26" ht="13" x14ac:dyDescent="0.1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row>
    <row r="283" spans="1:26" ht="13" x14ac:dyDescent="0.1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row>
    <row r="284" spans="1:26" ht="13" x14ac:dyDescent="0.1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row>
    <row r="285" spans="1:26" ht="13" x14ac:dyDescent="0.1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row>
    <row r="286" spans="1:26" ht="13" x14ac:dyDescent="0.1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row>
    <row r="287" spans="1:26" ht="13" x14ac:dyDescent="0.1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row>
    <row r="288" spans="1:26" ht="13" x14ac:dyDescent="0.1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row>
    <row r="289" spans="1:26" ht="13" x14ac:dyDescent="0.1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row>
    <row r="290" spans="1:26" ht="13" x14ac:dyDescent="0.1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3" x14ac:dyDescent="0.1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3" x14ac:dyDescent="0.1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3" x14ac:dyDescent="0.1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3" x14ac:dyDescent="0.1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3" x14ac:dyDescent="0.1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3" x14ac:dyDescent="0.1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3" x14ac:dyDescent="0.1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3" x14ac:dyDescent="0.1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3" x14ac:dyDescent="0.1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3" x14ac:dyDescent="0.1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3" x14ac:dyDescent="0.1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3" x14ac:dyDescent="0.1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3" x14ac:dyDescent="0.1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3" x14ac:dyDescent="0.1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3" x14ac:dyDescent="0.1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3" x14ac:dyDescent="0.1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3" x14ac:dyDescent="0.1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3" x14ac:dyDescent="0.1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3" x14ac:dyDescent="0.1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3" x14ac:dyDescent="0.1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3" x14ac:dyDescent="0.1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3" x14ac:dyDescent="0.1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3" x14ac:dyDescent="0.1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3" x14ac:dyDescent="0.1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3" x14ac:dyDescent="0.1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3" x14ac:dyDescent="0.1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3" x14ac:dyDescent="0.1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3" x14ac:dyDescent="0.1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3" x14ac:dyDescent="0.1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3" x14ac:dyDescent="0.1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3" x14ac:dyDescent="0.1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3" x14ac:dyDescent="0.1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3" x14ac:dyDescent="0.1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3" x14ac:dyDescent="0.1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3" x14ac:dyDescent="0.1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3" x14ac:dyDescent="0.1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3" x14ac:dyDescent="0.1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3" x14ac:dyDescent="0.1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3" x14ac:dyDescent="0.1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3" x14ac:dyDescent="0.1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3" x14ac:dyDescent="0.1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3" x14ac:dyDescent="0.1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3" x14ac:dyDescent="0.1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3" x14ac:dyDescent="0.1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3" x14ac:dyDescent="0.1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3" x14ac:dyDescent="0.1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3" x14ac:dyDescent="0.1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3" x14ac:dyDescent="0.1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3" x14ac:dyDescent="0.1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3" x14ac:dyDescent="0.1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3" x14ac:dyDescent="0.1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3" x14ac:dyDescent="0.1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3" x14ac:dyDescent="0.1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3" x14ac:dyDescent="0.1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3" x14ac:dyDescent="0.1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3" x14ac:dyDescent="0.1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3" x14ac:dyDescent="0.1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3" x14ac:dyDescent="0.1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3" x14ac:dyDescent="0.1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3" x14ac:dyDescent="0.1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3" x14ac:dyDescent="0.1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3" x14ac:dyDescent="0.1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3" x14ac:dyDescent="0.1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3" x14ac:dyDescent="0.1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3" x14ac:dyDescent="0.1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3" x14ac:dyDescent="0.1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3" x14ac:dyDescent="0.1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3" x14ac:dyDescent="0.1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3" x14ac:dyDescent="0.1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3" x14ac:dyDescent="0.1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3" x14ac:dyDescent="0.1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3" x14ac:dyDescent="0.1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3" x14ac:dyDescent="0.1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3" x14ac:dyDescent="0.1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3" x14ac:dyDescent="0.1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3" x14ac:dyDescent="0.1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3" x14ac:dyDescent="0.1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3" x14ac:dyDescent="0.1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3" x14ac:dyDescent="0.1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3" x14ac:dyDescent="0.1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3" x14ac:dyDescent="0.1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3" x14ac:dyDescent="0.1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3" x14ac:dyDescent="0.1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3" x14ac:dyDescent="0.1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3" x14ac:dyDescent="0.1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3" x14ac:dyDescent="0.1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3" x14ac:dyDescent="0.1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3" x14ac:dyDescent="0.1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3" x14ac:dyDescent="0.1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3" x14ac:dyDescent="0.1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3" x14ac:dyDescent="0.1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3" x14ac:dyDescent="0.1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3" x14ac:dyDescent="0.1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3" x14ac:dyDescent="0.1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3" x14ac:dyDescent="0.1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3" x14ac:dyDescent="0.1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3" x14ac:dyDescent="0.1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3" x14ac:dyDescent="0.1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3" x14ac:dyDescent="0.1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3" x14ac:dyDescent="0.1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3" x14ac:dyDescent="0.1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3" x14ac:dyDescent="0.1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3" x14ac:dyDescent="0.1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3" x14ac:dyDescent="0.1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3" x14ac:dyDescent="0.1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3" x14ac:dyDescent="0.1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3" x14ac:dyDescent="0.1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3" x14ac:dyDescent="0.1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3" x14ac:dyDescent="0.1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3" x14ac:dyDescent="0.1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3" x14ac:dyDescent="0.1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3" x14ac:dyDescent="0.1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3" x14ac:dyDescent="0.1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3" x14ac:dyDescent="0.1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3" x14ac:dyDescent="0.1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3" x14ac:dyDescent="0.1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3" x14ac:dyDescent="0.1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3" x14ac:dyDescent="0.1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3" x14ac:dyDescent="0.1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3" x14ac:dyDescent="0.1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3" x14ac:dyDescent="0.1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3" x14ac:dyDescent="0.1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3" x14ac:dyDescent="0.1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3" x14ac:dyDescent="0.1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3" x14ac:dyDescent="0.1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3" x14ac:dyDescent="0.1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3" x14ac:dyDescent="0.1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3" x14ac:dyDescent="0.1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3" x14ac:dyDescent="0.1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3" x14ac:dyDescent="0.1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3" x14ac:dyDescent="0.1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3" x14ac:dyDescent="0.1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3" x14ac:dyDescent="0.1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3" x14ac:dyDescent="0.1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3" x14ac:dyDescent="0.1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3" x14ac:dyDescent="0.1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3" x14ac:dyDescent="0.1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3" x14ac:dyDescent="0.1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3" x14ac:dyDescent="0.1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3" x14ac:dyDescent="0.1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3" x14ac:dyDescent="0.1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3" x14ac:dyDescent="0.1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3" x14ac:dyDescent="0.1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3" x14ac:dyDescent="0.1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3" x14ac:dyDescent="0.1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3" x14ac:dyDescent="0.1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3" x14ac:dyDescent="0.1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3" x14ac:dyDescent="0.1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3" x14ac:dyDescent="0.1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3" x14ac:dyDescent="0.1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3" x14ac:dyDescent="0.1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3" x14ac:dyDescent="0.1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3" x14ac:dyDescent="0.1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3" x14ac:dyDescent="0.1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3" x14ac:dyDescent="0.1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3" x14ac:dyDescent="0.1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3" x14ac:dyDescent="0.1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3" x14ac:dyDescent="0.1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3" x14ac:dyDescent="0.1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3" x14ac:dyDescent="0.1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3" x14ac:dyDescent="0.1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3" x14ac:dyDescent="0.1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3" x14ac:dyDescent="0.1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3" x14ac:dyDescent="0.1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3" x14ac:dyDescent="0.1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3" x14ac:dyDescent="0.1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3" x14ac:dyDescent="0.1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3" x14ac:dyDescent="0.1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3" x14ac:dyDescent="0.1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3" x14ac:dyDescent="0.1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3" x14ac:dyDescent="0.1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3" x14ac:dyDescent="0.1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3" x14ac:dyDescent="0.1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3" x14ac:dyDescent="0.1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3" x14ac:dyDescent="0.1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3" x14ac:dyDescent="0.1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3" x14ac:dyDescent="0.1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3" x14ac:dyDescent="0.1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3" x14ac:dyDescent="0.1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3" x14ac:dyDescent="0.1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3" x14ac:dyDescent="0.1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3" x14ac:dyDescent="0.1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3" x14ac:dyDescent="0.1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3" x14ac:dyDescent="0.1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3" x14ac:dyDescent="0.1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3" x14ac:dyDescent="0.1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3" x14ac:dyDescent="0.1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3" x14ac:dyDescent="0.1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3" x14ac:dyDescent="0.1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3" x14ac:dyDescent="0.1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3" x14ac:dyDescent="0.1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3" x14ac:dyDescent="0.1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3" x14ac:dyDescent="0.1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3" x14ac:dyDescent="0.1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3" x14ac:dyDescent="0.1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3" x14ac:dyDescent="0.1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3" x14ac:dyDescent="0.1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3" x14ac:dyDescent="0.1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3" x14ac:dyDescent="0.1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3" x14ac:dyDescent="0.1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row>
    <row r="491" spans="1:26" ht="13" x14ac:dyDescent="0.1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row>
    <row r="492" spans="1:26" ht="13" x14ac:dyDescent="0.1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row>
    <row r="493" spans="1:26" ht="13" x14ac:dyDescent="0.1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row>
    <row r="494" spans="1:26" ht="13" x14ac:dyDescent="0.1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row>
    <row r="495" spans="1:26" ht="13" x14ac:dyDescent="0.1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row>
    <row r="496" spans="1:26" ht="13" x14ac:dyDescent="0.1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row>
    <row r="497" spans="1:26" ht="13" x14ac:dyDescent="0.1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row>
    <row r="498" spans="1:26" ht="13" x14ac:dyDescent="0.1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row>
    <row r="499" spans="1:26" ht="13" x14ac:dyDescent="0.1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row>
    <row r="500" spans="1:26" ht="13" x14ac:dyDescent="0.1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row>
    <row r="501" spans="1:26" ht="13" x14ac:dyDescent="0.1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row>
    <row r="502" spans="1:26" ht="13" x14ac:dyDescent="0.1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row>
    <row r="503" spans="1:26" ht="13" x14ac:dyDescent="0.1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row>
    <row r="504" spans="1:26" ht="13" x14ac:dyDescent="0.1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row>
    <row r="505" spans="1:26" ht="13" x14ac:dyDescent="0.1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row>
    <row r="506" spans="1:26" ht="13" x14ac:dyDescent="0.1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row>
    <row r="507" spans="1:26" ht="13" x14ac:dyDescent="0.1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row>
    <row r="508" spans="1:26" ht="13" x14ac:dyDescent="0.1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row>
    <row r="509" spans="1:26" ht="13" x14ac:dyDescent="0.1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row>
    <row r="510" spans="1:26" ht="13" x14ac:dyDescent="0.1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row>
    <row r="511" spans="1:26" ht="13" x14ac:dyDescent="0.1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row>
    <row r="512" spans="1:26" ht="13" x14ac:dyDescent="0.1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row>
    <row r="513" spans="1:26" ht="13" x14ac:dyDescent="0.1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row>
    <row r="514" spans="1:26" ht="13" x14ac:dyDescent="0.1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row>
    <row r="515" spans="1:26" ht="13" x14ac:dyDescent="0.1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row>
    <row r="516" spans="1:26" ht="13" x14ac:dyDescent="0.1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row>
    <row r="517" spans="1:26" ht="13" x14ac:dyDescent="0.1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row>
    <row r="518" spans="1:26" ht="13" x14ac:dyDescent="0.1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row>
    <row r="519" spans="1:26" ht="13" x14ac:dyDescent="0.1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row>
    <row r="520" spans="1:26" ht="13" x14ac:dyDescent="0.1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row>
    <row r="521" spans="1:26" ht="13" x14ac:dyDescent="0.1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row>
    <row r="522" spans="1:26" ht="13" x14ac:dyDescent="0.1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row>
    <row r="523" spans="1:26" ht="13" x14ac:dyDescent="0.1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row>
    <row r="524" spans="1:26" ht="13" x14ac:dyDescent="0.1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row>
    <row r="525" spans="1:26" ht="13" x14ac:dyDescent="0.1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row>
    <row r="526" spans="1:26" ht="13" x14ac:dyDescent="0.1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row>
    <row r="527" spans="1:26" ht="13" x14ac:dyDescent="0.1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row>
    <row r="528" spans="1:26" ht="13" x14ac:dyDescent="0.1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row>
    <row r="529" spans="1:26" ht="13" x14ac:dyDescent="0.1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row>
    <row r="530" spans="1:26" ht="13" x14ac:dyDescent="0.1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row>
    <row r="531" spans="1:26" ht="13" x14ac:dyDescent="0.1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row>
    <row r="532" spans="1:26" ht="13" x14ac:dyDescent="0.1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row>
    <row r="533" spans="1:26" ht="13" x14ac:dyDescent="0.1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row>
    <row r="534" spans="1:26" ht="13" x14ac:dyDescent="0.1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row>
    <row r="535" spans="1:26" ht="13" x14ac:dyDescent="0.1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row>
    <row r="536" spans="1:26" ht="13" x14ac:dyDescent="0.1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row>
    <row r="537" spans="1:26" ht="13" x14ac:dyDescent="0.1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row>
    <row r="538" spans="1:26" ht="13" x14ac:dyDescent="0.1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row>
    <row r="539" spans="1:26" ht="13" x14ac:dyDescent="0.1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row>
    <row r="540" spans="1:26" ht="13" x14ac:dyDescent="0.1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row>
    <row r="541" spans="1:26" ht="13" x14ac:dyDescent="0.1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row>
    <row r="542" spans="1:26" ht="13" x14ac:dyDescent="0.1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row>
    <row r="543" spans="1:26" ht="13" x14ac:dyDescent="0.1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row>
    <row r="544" spans="1:26" ht="13" x14ac:dyDescent="0.1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row>
    <row r="545" spans="1:26" ht="13" x14ac:dyDescent="0.1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row>
    <row r="546" spans="1:26" ht="13" x14ac:dyDescent="0.1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row>
    <row r="547" spans="1:26" ht="13" x14ac:dyDescent="0.1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row>
    <row r="548" spans="1:26" ht="13" x14ac:dyDescent="0.1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row>
    <row r="549" spans="1:26" ht="13" x14ac:dyDescent="0.1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row>
    <row r="550" spans="1:26" ht="13" x14ac:dyDescent="0.1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row>
    <row r="551" spans="1:26" ht="13" x14ac:dyDescent="0.1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row>
    <row r="552" spans="1:26" ht="13" x14ac:dyDescent="0.1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row>
    <row r="553" spans="1:26" ht="13" x14ac:dyDescent="0.1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row>
    <row r="554" spans="1:26" ht="13" x14ac:dyDescent="0.1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row>
    <row r="555" spans="1:26" ht="13" x14ac:dyDescent="0.1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row>
    <row r="556" spans="1:26" ht="13" x14ac:dyDescent="0.1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row>
    <row r="557" spans="1:26" ht="13" x14ac:dyDescent="0.1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row>
    <row r="558" spans="1:26" ht="13" x14ac:dyDescent="0.1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row>
    <row r="559" spans="1:26" ht="13" x14ac:dyDescent="0.1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row>
    <row r="560" spans="1:26" ht="13" x14ac:dyDescent="0.1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row>
    <row r="561" spans="1:26" ht="13" x14ac:dyDescent="0.1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row>
    <row r="562" spans="1:26" ht="13" x14ac:dyDescent="0.1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row>
    <row r="563" spans="1:26" ht="13" x14ac:dyDescent="0.1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row>
    <row r="564" spans="1:26" ht="13" x14ac:dyDescent="0.1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row>
    <row r="565" spans="1:26" ht="13" x14ac:dyDescent="0.1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row>
    <row r="566" spans="1:26" ht="13" x14ac:dyDescent="0.1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row>
    <row r="567" spans="1:26" ht="13" x14ac:dyDescent="0.1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row>
    <row r="568" spans="1:26" ht="13" x14ac:dyDescent="0.1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row>
    <row r="569" spans="1:26" ht="13" x14ac:dyDescent="0.1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row>
    <row r="570" spans="1:26" ht="13" x14ac:dyDescent="0.1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row>
    <row r="571" spans="1:26" ht="13" x14ac:dyDescent="0.1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row>
    <row r="572" spans="1:26" ht="13" x14ac:dyDescent="0.1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row>
    <row r="573" spans="1:26" ht="13" x14ac:dyDescent="0.1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row>
    <row r="574" spans="1:26" ht="13" x14ac:dyDescent="0.1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row>
    <row r="575" spans="1:26" ht="13" x14ac:dyDescent="0.1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row>
    <row r="576" spans="1:26" ht="13" x14ac:dyDescent="0.1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row>
    <row r="577" spans="1:26" ht="13" x14ac:dyDescent="0.1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row>
    <row r="578" spans="1:26" ht="13" x14ac:dyDescent="0.1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row>
    <row r="579" spans="1:26" ht="13" x14ac:dyDescent="0.1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row>
    <row r="580" spans="1:26" ht="13" x14ac:dyDescent="0.1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row>
    <row r="581" spans="1:26" ht="13" x14ac:dyDescent="0.1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row>
    <row r="582" spans="1:26" ht="13" x14ac:dyDescent="0.1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row>
    <row r="583" spans="1:26" ht="13" x14ac:dyDescent="0.1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row>
    <row r="584" spans="1:26" ht="13" x14ac:dyDescent="0.1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row>
    <row r="585" spans="1:26" ht="13" x14ac:dyDescent="0.1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row>
    <row r="586" spans="1:26" ht="13" x14ac:dyDescent="0.1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row>
    <row r="587" spans="1:26" ht="13" x14ac:dyDescent="0.1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row>
    <row r="588" spans="1:26" ht="13" x14ac:dyDescent="0.1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row>
    <row r="589" spans="1:26" ht="13" x14ac:dyDescent="0.1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row>
    <row r="590" spans="1:26" ht="13" x14ac:dyDescent="0.1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row>
    <row r="591" spans="1:26" ht="13" x14ac:dyDescent="0.1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row>
    <row r="592" spans="1:26" ht="13" x14ac:dyDescent="0.1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row>
    <row r="593" spans="1:26" ht="13" x14ac:dyDescent="0.1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row>
    <row r="594" spans="1:26" ht="13" x14ac:dyDescent="0.1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row>
    <row r="595" spans="1:26" ht="13" x14ac:dyDescent="0.1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row>
    <row r="596" spans="1:26" ht="13" x14ac:dyDescent="0.1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row>
    <row r="597" spans="1:26" ht="13" x14ac:dyDescent="0.1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row>
    <row r="598" spans="1:26" ht="13" x14ac:dyDescent="0.1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row>
    <row r="599" spans="1:26" ht="13" x14ac:dyDescent="0.1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row>
    <row r="600" spans="1:26" ht="13" x14ac:dyDescent="0.1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row>
    <row r="601" spans="1:26" ht="13" x14ac:dyDescent="0.1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row>
    <row r="602" spans="1:26" ht="13" x14ac:dyDescent="0.1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row>
    <row r="603" spans="1:26" ht="13" x14ac:dyDescent="0.1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row>
    <row r="604" spans="1:26" ht="13" x14ac:dyDescent="0.1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row>
    <row r="605" spans="1:26" ht="13" x14ac:dyDescent="0.1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row>
    <row r="606" spans="1:26" ht="13" x14ac:dyDescent="0.1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row>
    <row r="607" spans="1:26" ht="13" x14ac:dyDescent="0.1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row>
    <row r="608" spans="1:26" ht="13" x14ac:dyDescent="0.1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row>
    <row r="609" spans="1:26" ht="13" x14ac:dyDescent="0.1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row>
    <row r="610" spans="1:26" ht="13" x14ac:dyDescent="0.1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row>
    <row r="611" spans="1:26" ht="13" x14ac:dyDescent="0.1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row>
    <row r="612" spans="1:26" ht="13" x14ac:dyDescent="0.1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row>
    <row r="613" spans="1:26" ht="13" x14ac:dyDescent="0.1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row>
    <row r="614" spans="1:26" ht="13" x14ac:dyDescent="0.1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row>
    <row r="615" spans="1:26" ht="13" x14ac:dyDescent="0.1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row>
    <row r="616" spans="1:26" ht="13" x14ac:dyDescent="0.1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row>
    <row r="617" spans="1:26" ht="13" x14ac:dyDescent="0.1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row>
    <row r="618" spans="1:26" ht="13" x14ac:dyDescent="0.1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row>
    <row r="619" spans="1:26" ht="13" x14ac:dyDescent="0.1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row>
    <row r="620" spans="1:26" ht="13" x14ac:dyDescent="0.1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row>
    <row r="621" spans="1:26" ht="13" x14ac:dyDescent="0.1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row>
    <row r="622" spans="1:26" ht="13" x14ac:dyDescent="0.1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row>
    <row r="623" spans="1:26" ht="13" x14ac:dyDescent="0.1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row>
    <row r="624" spans="1:26" ht="13" x14ac:dyDescent="0.1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row>
    <row r="625" spans="1:26" ht="13" x14ac:dyDescent="0.1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row>
    <row r="626" spans="1:26" ht="13" x14ac:dyDescent="0.1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row>
    <row r="627" spans="1:26" ht="13" x14ac:dyDescent="0.1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row>
    <row r="628" spans="1:26" ht="13" x14ac:dyDescent="0.1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row>
    <row r="629" spans="1:26" ht="13" x14ac:dyDescent="0.1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row>
    <row r="630" spans="1:26" ht="13" x14ac:dyDescent="0.1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row>
    <row r="631" spans="1:26" ht="13" x14ac:dyDescent="0.1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row>
    <row r="632" spans="1:26" ht="13" x14ac:dyDescent="0.1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row>
    <row r="633" spans="1:26" ht="13" x14ac:dyDescent="0.1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row>
    <row r="634" spans="1:26" ht="13" x14ac:dyDescent="0.1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row>
    <row r="635" spans="1:26" ht="13" x14ac:dyDescent="0.1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row>
    <row r="636" spans="1:26" ht="13" x14ac:dyDescent="0.1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row>
    <row r="637" spans="1:26" ht="13" x14ac:dyDescent="0.1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row>
    <row r="638" spans="1:26" ht="13" x14ac:dyDescent="0.1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row>
    <row r="639" spans="1:26" ht="13" x14ac:dyDescent="0.1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row>
    <row r="640" spans="1:26" ht="13" x14ac:dyDescent="0.1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row>
    <row r="641" spans="1:26" ht="13" x14ac:dyDescent="0.1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row>
    <row r="642" spans="1:26" ht="13" x14ac:dyDescent="0.1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row>
    <row r="643" spans="1:26" ht="13" x14ac:dyDescent="0.1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row>
    <row r="644" spans="1:26" ht="13" x14ac:dyDescent="0.1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row>
    <row r="645" spans="1:26" ht="13" x14ac:dyDescent="0.1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row>
    <row r="646" spans="1:26" ht="13" x14ac:dyDescent="0.1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row>
    <row r="647" spans="1:26" ht="13" x14ac:dyDescent="0.1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row>
    <row r="648" spans="1:26" ht="13" x14ac:dyDescent="0.1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row>
    <row r="649" spans="1:26" ht="13" x14ac:dyDescent="0.1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row>
    <row r="650" spans="1:26" ht="13" x14ac:dyDescent="0.1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row>
    <row r="651" spans="1:26" ht="13" x14ac:dyDescent="0.1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row>
    <row r="652" spans="1:26" ht="13" x14ac:dyDescent="0.1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row>
    <row r="653" spans="1:26" ht="13" x14ac:dyDescent="0.1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row>
    <row r="654" spans="1:26" ht="13" x14ac:dyDescent="0.1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row>
    <row r="655" spans="1:26" ht="13" x14ac:dyDescent="0.1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row>
    <row r="656" spans="1:26" ht="13" x14ac:dyDescent="0.1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row>
    <row r="657" spans="1:26" ht="13" x14ac:dyDescent="0.1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row>
    <row r="658" spans="1:26" ht="13" x14ac:dyDescent="0.1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row>
    <row r="659" spans="1:26" ht="13" x14ac:dyDescent="0.1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row>
    <row r="660" spans="1:26" ht="13" x14ac:dyDescent="0.1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row>
    <row r="661" spans="1:26" ht="13" x14ac:dyDescent="0.1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row>
    <row r="662" spans="1:26" ht="13" x14ac:dyDescent="0.1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row>
    <row r="663" spans="1:26" ht="13" x14ac:dyDescent="0.1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row>
    <row r="664" spans="1:26" ht="13" x14ac:dyDescent="0.1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row>
    <row r="665" spans="1:26" ht="13" x14ac:dyDescent="0.1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row>
    <row r="666" spans="1:26" ht="13" x14ac:dyDescent="0.1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row>
    <row r="667" spans="1:26" ht="13" x14ac:dyDescent="0.1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row>
    <row r="668" spans="1:26" ht="13" x14ac:dyDescent="0.1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row>
    <row r="669" spans="1:26" ht="13" x14ac:dyDescent="0.1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row>
    <row r="670" spans="1:26" ht="13" x14ac:dyDescent="0.1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row>
    <row r="671" spans="1:26" ht="13" x14ac:dyDescent="0.1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row>
    <row r="672" spans="1:26" ht="13" x14ac:dyDescent="0.1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row>
    <row r="673" spans="1:26" ht="13" x14ac:dyDescent="0.1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row>
    <row r="674" spans="1:26" ht="13" x14ac:dyDescent="0.1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row>
    <row r="675" spans="1:26" ht="13" x14ac:dyDescent="0.1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row>
    <row r="676" spans="1:26" ht="13" x14ac:dyDescent="0.1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row>
    <row r="677" spans="1:26" ht="13" x14ac:dyDescent="0.1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row>
    <row r="678" spans="1:26" ht="13" x14ac:dyDescent="0.1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row>
    <row r="679" spans="1:26" ht="13" x14ac:dyDescent="0.1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row>
    <row r="680" spans="1:26" ht="13" x14ac:dyDescent="0.1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row>
    <row r="681" spans="1:26" ht="13" x14ac:dyDescent="0.1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row>
    <row r="682" spans="1:26" ht="13" x14ac:dyDescent="0.1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row>
    <row r="683" spans="1:26" ht="13" x14ac:dyDescent="0.1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row>
    <row r="684" spans="1:26" ht="13" x14ac:dyDescent="0.1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row>
    <row r="685" spans="1:26" ht="13" x14ac:dyDescent="0.1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row>
    <row r="686" spans="1:26" ht="13" x14ac:dyDescent="0.1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row>
    <row r="687" spans="1:26" ht="13" x14ac:dyDescent="0.1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row>
    <row r="688" spans="1:26" ht="13" x14ac:dyDescent="0.1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row>
    <row r="689" spans="1:26" ht="13" x14ac:dyDescent="0.1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row>
    <row r="690" spans="1:26" ht="13" x14ac:dyDescent="0.1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row>
    <row r="691" spans="1:26" ht="13" x14ac:dyDescent="0.1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row>
    <row r="692" spans="1:26" ht="13" x14ac:dyDescent="0.1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row>
    <row r="693" spans="1:26" ht="13" x14ac:dyDescent="0.1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row>
    <row r="694" spans="1:26" ht="13" x14ac:dyDescent="0.1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row>
    <row r="695" spans="1:26" ht="13" x14ac:dyDescent="0.1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row>
    <row r="696" spans="1:26" ht="13" x14ac:dyDescent="0.1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row>
    <row r="697" spans="1:26" ht="13" x14ac:dyDescent="0.1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row>
    <row r="698" spans="1:26" ht="13" x14ac:dyDescent="0.1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row>
    <row r="699" spans="1:26" ht="13" x14ac:dyDescent="0.1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row>
    <row r="700" spans="1:26" ht="13" x14ac:dyDescent="0.1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row>
    <row r="701" spans="1:26" ht="13" x14ac:dyDescent="0.1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row>
    <row r="702" spans="1:26" ht="13" x14ac:dyDescent="0.1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row>
    <row r="703" spans="1:26" ht="13" x14ac:dyDescent="0.1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row>
    <row r="704" spans="1:26" ht="13" x14ac:dyDescent="0.1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row>
    <row r="705" spans="1:26" ht="13" x14ac:dyDescent="0.1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row>
    <row r="706" spans="1:26" ht="13" x14ac:dyDescent="0.1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row>
    <row r="707" spans="1:26" ht="13" x14ac:dyDescent="0.1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row>
    <row r="708" spans="1:26" ht="13" x14ac:dyDescent="0.1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row>
    <row r="709" spans="1:26" ht="13" x14ac:dyDescent="0.1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row>
    <row r="710" spans="1:26" ht="13" x14ac:dyDescent="0.1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row>
    <row r="711" spans="1:26" ht="13" x14ac:dyDescent="0.1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row>
    <row r="712" spans="1:26" ht="13" x14ac:dyDescent="0.1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row>
    <row r="713" spans="1:26" ht="13" x14ac:dyDescent="0.1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row>
    <row r="714" spans="1:26" ht="13" x14ac:dyDescent="0.1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row>
    <row r="715" spans="1:26" ht="13" x14ac:dyDescent="0.1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row>
    <row r="716" spans="1:26" ht="13" x14ac:dyDescent="0.1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row>
    <row r="717" spans="1:26" ht="13" x14ac:dyDescent="0.1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row>
    <row r="718" spans="1:26" ht="13" x14ac:dyDescent="0.1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row>
    <row r="719" spans="1:26" ht="13" x14ac:dyDescent="0.1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row>
    <row r="720" spans="1:26" ht="13" x14ac:dyDescent="0.1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row>
    <row r="721" spans="1:26" ht="13" x14ac:dyDescent="0.1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row>
    <row r="722" spans="1:26" ht="13" x14ac:dyDescent="0.1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row>
    <row r="723" spans="1:26" ht="13" x14ac:dyDescent="0.1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row>
    <row r="724" spans="1:26" ht="13" x14ac:dyDescent="0.1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row>
    <row r="725" spans="1:26" ht="13" x14ac:dyDescent="0.1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row>
    <row r="726" spans="1:26" ht="13" x14ac:dyDescent="0.1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row>
    <row r="727" spans="1:26" ht="13" x14ac:dyDescent="0.1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row>
    <row r="728" spans="1:26" ht="13" x14ac:dyDescent="0.1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row>
    <row r="729" spans="1:26" ht="13" x14ac:dyDescent="0.1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row>
    <row r="730" spans="1:26" ht="13" x14ac:dyDescent="0.1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row>
    <row r="731" spans="1:26" ht="13" x14ac:dyDescent="0.1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row>
    <row r="732" spans="1:26" ht="13" x14ac:dyDescent="0.1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row>
    <row r="733" spans="1:26" ht="13" x14ac:dyDescent="0.1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row>
    <row r="734" spans="1:26" ht="13" x14ac:dyDescent="0.1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row>
    <row r="735" spans="1:26" ht="13" x14ac:dyDescent="0.1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row>
    <row r="736" spans="1:26" ht="13" x14ac:dyDescent="0.1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row>
    <row r="737" spans="1:26" ht="13" x14ac:dyDescent="0.1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row>
    <row r="738" spans="1:26" ht="13" x14ac:dyDescent="0.1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row>
    <row r="739" spans="1:26" ht="13" x14ac:dyDescent="0.1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row>
    <row r="740" spans="1:26" ht="13" x14ac:dyDescent="0.1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row>
    <row r="741" spans="1:26" ht="13" x14ac:dyDescent="0.1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row>
    <row r="742" spans="1:26" ht="13" x14ac:dyDescent="0.1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row>
    <row r="743" spans="1:26" ht="13" x14ac:dyDescent="0.1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row>
    <row r="744" spans="1:26" ht="13" x14ac:dyDescent="0.1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row>
    <row r="745" spans="1:26" ht="13" x14ac:dyDescent="0.1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row>
    <row r="746" spans="1:26" ht="13" x14ac:dyDescent="0.1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row>
    <row r="747" spans="1:26" ht="13" x14ac:dyDescent="0.1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row>
    <row r="748" spans="1:26" ht="13" x14ac:dyDescent="0.1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row>
    <row r="749" spans="1:26" ht="13" x14ac:dyDescent="0.1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row>
    <row r="750" spans="1:26" ht="13" x14ac:dyDescent="0.1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row>
    <row r="751" spans="1:26" ht="13" x14ac:dyDescent="0.1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row>
    <row r="752" spans="1:26" ht="13" x14ac:dyDescent="0.1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row>
    <row r="753" spans="1:26" ht="13" x14ac:dyDescent="0.1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row>
    <row r="754" spans="1:26" ht="13" x14ac:dyDescent="0.1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row>
    <row r="755" spans="1:26" ht="13" x14ac:dyDescent="0.1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row>
    <row r="756" spans="1:26" ht="13" x14ac:dyDescent="0.1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row>
    <row r="757" spans="1:26" ht="13" x14ac:dyDescent="0.1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row>
    <row r="758" spans="1:26" ht="13" x14ac:dyDescent="0.1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row>
    <row r="759" spans="1:26" ht="13" x14ac:dyDescent="0.1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row>
    <row r="760" spans="1:26" ht="13" x14ac:dyDescent="0.1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row>
    <row r="761" spans="1:26" ht="13" x14ac:dyDescent="0.1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row>
    <row r="762" spans="1:26" ht="13" x14ac:dyDescent="0.1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row>
    <row r="763" spans="1:26" ht="13" x14ac:dyDescent="0.1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row>
    <row r="764" spans="1:26" ht="13" x14ac:dyDescent="0.1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row>
    <row r="765" spans="1:26" ht="13" x14ac:dyDescent="0.1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row>
    <row r="766" spans="1:26" ht="13" x14ac:dyDescent="0.1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row>
    <row r="767" spans="1:26" ht="13" x14ac:dyDescent="0.1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row>
    <row r="768" spans="1:26" ht="13" x14ac:dyDescent="0.1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row>
    <row r="769" spans="1:26" ht="13" x14ac:dyDescent="0.1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row>
    <row r="770" spans="1:26" ht="13" x14ac:dyDescent="0.1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row>
    <row r="771" spans="1:26" ht="13" x14ac:dyDescent="0.1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row>
    <row r="772" spans="1:26" ht="13" x14ac:dyDescent="0.1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row>
    <row r="773" spans="1:26" ht="13" x14ac:dyDescent="0.1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row>
    <row r="774" spans="1:26" ht="13" x14ac:dyDescent="0.1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row>
    <row r="775" spans="1:26" ht="13" x14ac:dyDescent="0.1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row>
    <row r="776" spans="1:26" ht="13" x14ac:dyDescent="0.1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row>
    <row r="777" spans="1:26" ht="13" x14ac:dyDescent="0.1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row>
    <row r="778" spans="1:26" ht="13" x14ac:dyDescent="0.1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row>
    <row r="779" spans="1:26" ht="13" x14ac:dyDescent="0.1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row>
    <row r="780" spans="1:26" ht="13" x14ac:dyDescent="0.1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row>
    <row r="781" spans="1:26" ht="13" x14ac:dyDescent="0.1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row>
    <row r="782" spans="1:26" ht="13" x14ac:dyDescent="0.1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row>
    <row r="783" spans="1:26" ht="13" x14ac:dyDescent="0.1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row>
    <row r="784" spans="1:26" ht="13" x14ac:dyDescent="0.1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row>
    <row r="785" spans="1:26" ht="13" x14ac:dyDescent="0.1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row>
    <row r="786" spans="1:26" ht="13" x14ac:dyDescent="0.1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row>
    <row r="787" spans="1:26" ht="13" x14ac:dyDescent="0.1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row>
    <row r="788" spans="1:26" ht="13" x14ac:dyDescent="0.1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row>
    <row r="789" spans="1:26" ht="13" x14ac:dyDescent="0.1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row>
    <row r="790" spans="1:26" ht="13" x14ac:dyDescent="0.1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row>
    <row r="791" spans="1:26" ht="13" x14ac:dyDescent="0.1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row>
    <row r="792" spans="1:26" ht="13" x14ac:dyDescent="0.1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row>
    <row r="793" spans="1:26" ht="13" x14ac:dyDescent="0.1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row>
    <row r="794" spans="1:26" ht="13" x14ac:dyDescent="0.1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row>
    <row r="795" spans="1:26" ht="13" x14ac:dyDescent="0.1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row>
    <row r="796" spans="1:26" ht="13" x14ac:dyDescent="0.1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row>
    <row r="797" spans="1:26" ht="13" x14ac:dyDescent="0.1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row>
    <row r="798" spans="1:26" ht="13" x14ac:dyDescent="0.1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row>
    <row r="799" spans="1:26" ht="13" x14ac:dyDescent="0.1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row>
    <row r="800" spans="1:26" ht="13" x14ac:dyDescent="0.1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row>
    <row r="801" spans="1:26" ht="13" x14ac:dyDescent="0.1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row>
    <row r="802" spans="1:26" ht="13" x14ac:dyDescent="0.1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row>
    <row r="803" spans="1:26" ht="13" x14ac:dyDescent="0.1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row>
    <row r="804" spans="1:26" ht="13" x14ac:dyDescent="0.1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row>
    <row r="805" spans="1:26" ht="13" x14ac:dyDescent="0.1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row>
    <row r="806" spans="1:26" ht="13" x14ac:dyDescent="0.1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row>
    <row r="807" spans="1:26" ht="13" x14ac:dyDescent="0.1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row>
    <row r="808" spans="1:26" ht="13" x14ac:dyDescent="0.1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row>
    <row r="809" spans="1:26" ht="13" x14ac:dyDescent="0.1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row>
    <row r="810" spans="1:26" ht="13" x14ac:dyDescent="0.1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row>
    <row r="811" spans="1:26" ht="13" x14ac:dyDescent="0.1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row>
    <row r="812" spans="1:26" ht="13" x14ac:dyDescent="0.1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row>
    <row r="813" spans="1:26" ht="13" x14ac:dyDescent="0.1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row>
    <row r="814" spans="1:26" ht="13" x14ac:dyDescent="0.1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row>
    <row r="815" spans="1:26" ht="13" x14ac:dyDescent="0.1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row>
    <row r="816" spans="1:26" ht="13" x14ac:dyDescent="0.1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row>
    <row r="817" spans="1:26" ht="13" x14ac:dyDescent="0.1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row>
    <row r="818" spans="1:26" ht="13" x14ac:dyDescent="0.1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row>
    <row r="819" spans="1:26" ht="13" x14ac:dyDescent="0.1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row>
    <row r="820" spans="1:26" ht="13" x14ac:dyDescent="0.1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row>
    <row r="821" spans="1:26" ht="13" x14ac:dyDescent="0.1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row>
    <row r="822" spans="1:26" ht="13" x14ac:dyDescent="0.1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row>
    <row r="823" spans="1:26" ht="13" x14ac:dyDescent="0.1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row>
    <row r="824" spans="1:26" ht="13" x14ac:dyDescent="0.1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row>
    <row r="825" spans="1:26" ht="13" x14ac:dyDescent="0.1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row>
    <row r="826" spans="1:26" ht="13" x14ac:dyDescent="0.1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row>
    <row r="827" spans="1:26" ht="13" x14ac:dyDescent="0.1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row>
    <row r="828" spans="1:26" ht="13" x14ac:dyDescent="0.1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row>
    <row r="829" spans="1:26" ht="13" x14ac:dyDescent="0.1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row>
    <row r="830" spans="1:26" ht="13" x14ac:dyDescent="0.1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row>
    <row r="831" spans="1:26" ht="13" x14ac:dyDescent="0.1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row>
    <row r="832" spans="1:26" ht="13" x14ac:dyDescent="0.1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row>
    <row r="833" spans="1:26" ht="13" x14ac:dyDescent="0.1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row>
    <row r="834" spans="1:26" ht="13" x14ac:dyDescent="0.1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row>
    <row r="835" spans="1:26" ht="13" x14ac:dyDescent="0.1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row>
    <row r="836" spans="1:26" ht="13" x14ac:dyDescent="0.1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row>
    <row r="837" spans="1:26" ht="13" x14ac:dyDescent="0.1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row>
    <row r="838" spans="1:26" ht="13" x14ac:dyDescent="0.1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row>
    <row r="839" spans="1:26" ht="13" x14ac:dyDescent="0.1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row>
    <row r="840" spans="1:26" ht="13" x14ac:dyDescent="0.1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row>
    <row r="841" spans="1:26" ht="13" x14ac:dyDescent="0.1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row>
    <row r="842" spans="1:26" ht="13" x14ac:dyDescent="0.1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row>
    <row r="843" spans="1:26" ht="13" x14ac:dyDescent="0.1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row>
    <row r="844" spans="1:26" ht="13" x14ac:dyDescent="0.1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row>
    <row r="845" spans="1:26" ht="13" x14ac:dyDescent="0.1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row>
    <row r="846" spans="1:26" ht="13" x14ac:dyDescent="0.1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row>
    <row r="847" spans="1:26" ht="13" x14ac:dyDescent="0.1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row>
    <row r="848" spans="1:26" ht="13" x14ac:dyDescent="0.1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row>
    <row r="849" spans="1:26" ht="13" x14ac:dyDescent="0.1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row>
    <row r="850" spans="1:26" ht="13" x14ac:dyDescent="0.1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row>
    <row r="851" spans="1:26" ht="13" x14ac:dyDescent="0.1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row>
    <row r="852" spans="1:26" ht="13" x14ac:dyDescent="0.1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row>
    <row r="853" spans="1:26" ht="13" x14ac:dyDescent="0.1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row>
    <row r="854" spans="1:26" ht="13" x14ac:dyDescent="0.1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row>
    <row r="855" spans="1:26" ht="13" x14ac:dyDescent="0.1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row>
    <row r="856" spans="1:26" ht="13" x14ac:dyDescent="0.1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row>
    <row r="857" spans="1:26" ht="13" x14ac:dyDescent="0.1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row>
    <row r="858" spans="1:26" ht="13" x14ac:dyDescent="0.1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row>
    <row r="859" spans="1:26" ht="13" x14ac:dyDescent="0.1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row>
    <row r="860" spans="1:26" ht="13" x14ac:dyDescent="0.1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row>
    <row r="861" spans="1:26" ht="13" x14ac:dyDescent="0.1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row>
    <row r="862" spans="1:26" ht="13" x14ac:dyDescent="0.1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row>
    <row r="863" spans="1:26" ht="13" x14ac:dyDescent="0.1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row>
    <row r="864" spans="1:26" ht="13" x14ac:dyDescent="0.1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row>
    <row r="865" spans="1:26" ht="13" x14ac:dyDescent="0.1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row>
    <row r="866" spans="1:26" ht="13" x14ac:dyDescent="0.1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row>
    <row r="867" spans="1:26" ht="13" x14ac:dyDescent="0.1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row>
    <row r="868" spans="1:26" ht="13" x14ac:dyDescent="0.1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row>
    <row r="869" spans="1:26" ht="13" x14ac:dyDescent="0.1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row>
    <row r="870" spans="1:26" ht="13" x14ac:dyDescent="0.1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row>
    <row r="871" spans="1:26" ht="13" x14ac:dyDescent="0.1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row>
    <row r="872" spans="1:26" ht="13" x14ac:dyDescent="0.1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row>
    <row r="873" spans="1:26" ht="13" x14ac:dyDescent="0.1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row>
    <row r="874" spans="1:26" ht="13" x14ac:dyDescent="0.1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row>
    <row r="875" spans="1:26" ht="13" x14ac:dyDescent="0.1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row>
    <row r="876" spans="1:26" ht="13" x14ac:dyDescent="0.1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row>
    <row r="877" spans="1:26" ht="13" x14ac:dyDescent="0.1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row>
    <row r="878" spans="1:26" ht="13" x14ac:dyDescent="0.1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row>
    <row r="879" spans="1:26" ht="13" x14ac:dyDescent="0.1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row>
    <row r="880" spans="1:26" ht="13" x14ac:dyDescent="0.1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row>
    <row r="881" spans="1:26" ht="13" x14ac:dyDescent="0.1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row>
    <row r="882" spans="1:26" ht="13" x14ac:dyDescent="0.1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row>
    <row r="883" spans="1:26" ht="13" x14ac:dyDescent="0.1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row>
    <row r="884" spans="1:26" ht="13" x14ac:dyDescent="0.1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row>
    <row r="885" spans="1:26" ht="13" x14ac:dyDescent="0.1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row>
    <row r="886" spans="1:26" ht="13" x14ac:dyDescent="0.1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row>
    <row r="887" spans="1:26" ht="13" x14ac:dyDescent="0.1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row>
    <row r="888" spans="1:26" ht="13" x14ac:dyDescent="0.1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row>
    <row r="889" spans="1:26" ht="13" x14ac:dyDescent="0.1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row>
    <row r="890" spans="1:26" ht="13" x14ac:dyDescent="0.1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row>
    <row r="891" spans="1:26" ht="13" x14ac:dyDescent="0.1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row>
    <row r="892" spans="1:26" ht="13" x14ac:dyDescent="0.1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row>
    <row r="893" spans="1:26" ht="13" x14ac:dyDescent="0.1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row>
    <row r="894" spans="1:26" ht="13" x14ac:dyDescent="0.1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row>
    <row r="895" spans="1:26" ht="13" x14ac:dyDescent="0.1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row>
    <row r="896" spans="1:26" ht="13" x14ac:dyDescent="0.1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row>
    <row r="897" spans="1:26" ht="13" x14ac:dyDescent="0.1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row>
    <row r="898" spans="1:26" ht="13" x14ac:dyDescent="0.1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row>
    <row r="899" spans="1:26" ht="13" x14ac:dyDescent="0.1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row>
    <row r="900" spans="1:26" ht="13" x14ac:dyDescent="0.1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row>
    <row r="901" spans="1:26" ht="13" x14ac:dyDescent="0.1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row>
    <row r="902" spans="1:26" ht="13" x14ac:dyDescent="0.1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row>
    <row r="903" spans="1:26" ht="13" x14ac:dyDescent="0.1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row>
    <row r="904" spans="1:26" ht="13" x14ac:dyDescent="0.1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row>
    <row r="905" spans="1:26" ht="13" x14ac:dyDescent="0.1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row>
    <row r="906" spans="1:26" ht="13" x14ac:dyDescent="0.1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row>
    <row r="907" spans="1:26" ht="13" x14ac:dyDescent="0.1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row>
    <row r="908" spans="1:26" ht="13" x14ac:dyDescent="0.1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row>
    <row r="909" spans="1:26" ht="13" x14ac:dyDescent="0.1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row>
    <row r="910" spans="1:26" ht="13" x14ac:dyDescent="0.1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row>
    <row r="911" spans="1:26" ht="13" x14ac:dyDescent="0.1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row>
    <row r="912" spans="1:26" ht="13" x14ac:dyDescent="0.1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row>
    <row r="913" spans="1:26" ht="13" x14ac:dyDescent="0.1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row>
    <row r="914" spans="1:26" ht="13" x14ac:dyDescent="0.1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row>
    <row r="915" spans="1:26" ht="13" x14ac:dyDescent="0.1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row>
    <row r="916" spans="1:26" ht="13" x14ac:dyDescent="0.1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row>
    <row r="917" spans="1:26" ht="13" x14ac:dyDescent="0.1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row>
    <row r="918" spans="1:26" ht="13" x14ac:dyDescent="0.1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row>
    <row r="919" spans="1:26" ht="13" x14ac:dyDescent="0.1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row>
    <row r="920" spans="1:26" ht="13" x14ac:dyDescent="0.1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row>
    <row r="921" spans="1:26" ht="13" x14ac:dyDescent="0.1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row>
    <row r="922" spans="1:26" ht="13" x14ac:dyDescent="0.1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row>
    <row r="923" spans="1:26" ht="13" x14ac:dyDescent="0.1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row>
    <row r="924" spans="1:26" ht="13" x14ac:dyDescent="0.1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row>
    <row r="925" spans="1:26" ht="13" x14ac:dyDescent="0.1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row>
    <row r="926" spans="1:26" ht="13" x14ac:dyDescent="0.1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row>
    <row r="927" spans="1:26" ht="13" x14ac:dyDescent="0.1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row>
    <row r="928" spans="1:26" ht="13" x14ac:dyDescent="0.1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row>
    <row r="929" spans="1:26" ht="13" x14ac:dyDescent="0.1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row>
    <row r="930" spans="1:26" ht="13" x14ac:dyDescent="0.1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row>
    <row r="931" spans="1:26" ht="13" x14ac:dyDescent="0.1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row>
    <row r="932" spans="1:26" ht="13" x14ac:dyDescent="0.1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row>
    <row r="933" spans="1:26" ht="13" x14ac:dyDescent="0.1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row>
    <row r="934" spans="1:26" ht="13" x14ac:dyDescent="0.1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row>
    <row r="935" spans="1:26" ht="13" x14ac:dyDescent="0.1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row>
    <row r="936" spans="1:26" ht="13" x14ac:dyDescent="0.1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row>
    <row r="937" spans="1:26" ht="13" x14ac:dyDescent="0.1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row>
    <row r="938" spans="1:26" ht="13" x14ac:dyDescent="0.1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row>
    <row r="939" spans="1:26" ht="13" x14ac:dyDescent="0.1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row>
    <row r="940" spans="1:26" ht="13" x14ac:dyDescent="0.1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row>
    <row r="941" spans="1:26" ht="13" x14ac:dyDescent="0.1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row>
    <row r="942" spans="1:26" ht="13" x14ac:dyDescent="0.1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row>
    <row r="943" spans="1:26" ht="13" x14ac:dyDescent="0.1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row>
    <row r="944" spans="1:26" ht="13" x14ac:dyDescent="0.1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row>
    <row r="945" spans="1:26" ht="13" x14ac:dyDescent="0.1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row>
    <row r="946" spans="1:26" ht="13" x14ac:dyDescent="0.1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row>
    <row r="947" spans="1:26" ht="13" x14ac:dyDescent="0.1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row>
    <row r="948" spans="1:26" ht="13" x14ac:dyDescent="0.1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row>
    <row r="949" spans="1:26" ht="13" x14ac:dyDescent="0.1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row>
    <row r="950" spans="1:26" ht="13" x14ac:dyDescent="0.1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row>
    <row r="951" spans="1:26" ht="13" x14ac:dyDescent="0.1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row>
    <row r="952" spans="1:26" ht="13" x14ac:dyDescent="0.1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row>
    <row r="953" spans="1:26" ht="13" x14ac:dyDescent="0.1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row>
    <row r="954" spans="1:26" ht="13" x14ac:dyDescent="0.1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row>
    <row r="955" spans="1:26" ht="13" x14ac:dyDescent="0.1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row>
    <row r="956" spans="1:26" ht="13" x14ac:dyDescent="0.1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row>
    <row r="957" spans="1:26" ht="13" x14ac:dyDescent="0.1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row>
    <row r="958" spans="1:26" ht="13" x14ac:dyDescent="0.1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row>
    <row r="959" spans="1:26" ht="13" x14ac:dyDescent="0.1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row>
    <row r="960" spans="1:26" ht="13" x14ac:dyDescent="0.1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row>
    <row r="961" spans="1:26" ht="13" x14ac:dyDescent="0.1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row>
    <row r="962" spans="1:26" ht="13" x14ac:dyDescent="0.1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row>
    <row r="963" spans="1:26" ht="13" x14ac:dyDescent="0.1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row>
    <row r="964" spans="1:26" ht="13" x14ac:dyDescent="0.1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row>
    <row r="965" spans="1:26" ht="13" x14ac:dyDescent="0.1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row>
    <row r="966" spans="1:26" ht="13" x14ac:dyDescent="0.1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row>
    <row r="967" spans="1:26" ht="13" x14ac:dyDescent="0.1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row>
    <row r="968" spans="1:26" ht="13" x14ac:dyDescent="0.1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row>
    <row r="969" spans="1:26" ht="13" x14ac:dyDescent="0.1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row>
    <row r="970" spans="1:26" ht="13" x14ac:dyDescent="0.1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row>
    <row r="971" spans="1:26" ht="13" x14ac:dyDescent="0.1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row>
    <row r="972" spans="1:26" ht="13" x14ac:dyDescent="0.1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row>
    <row r="973" spans="1:26" ht="13" x14ac:dyDescent="0.1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row>
    <row r="974" spans="1:26" ht="13" x14ac:dyDescent="0.1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row>
    <row r="975" spans="1:26" ht="13" x14ac:dyDescent="0.1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row>
    <row r="976" spans="1:26" ht="13" x14ac:dyDescent="0.1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row>
    <row r="977" spans="1:26" ht="13" x14ac:dyDescent="0.1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row>
    <row r="978" spans="1:26" ht="13" x14ac:dyDescent="0.1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row>
    <row r="979" spans="1:26" ht="13" x14ac:dyDescent="0.1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row>
    <row r="980" spans="1:26" ht="13" x14ac:dyDescent="0.1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row>
    <row r="981" spans="1:26" ht="13" x14ac:dyDescent="0.1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row>
    <row r="982" spans="1:26" ht="13" x14ac:dyDescent="0.1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row>
    <row r="983" spans="1:26" ht="13" x14ac:dyDescent="0.1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row>
    <row r="984" spans="1:26" ht="13" x14ac:dyDescent="0.1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row>
    <row r="985" spans="1:26" ht="13" x14ac:dyDescent="0.1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row>
    <row r="986" spans="1:26" ht="13" x14ac:dyDescent="0.1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row>
    <row r="987" spans="1:26" ht="13" x14ac:dyDescent="0.1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row>
    <row r="988" spans="1:26" ht="13" x14ac:dyDescent="0.1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row>
    <row r="989" spans="1:26" ht="13" x14ac:dyDescent="0.1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row>
    <row r="990" spans="1:26" ht="13" x14ac:dyDescent="0.1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row>
    <row r="991" spans="1:26" ht="13" x14ac:dyDescent="0.1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row>
    <row r="992" spans="1:26" ht="13" x14ac:dyDescent="0.1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row>
    <row r="993" spans="1:26" ht="13" x14ac:dyDescent="0.1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row>
    <row r="994" spans="1:26" ht="13" x14ac:dyDescent="0.1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row>
    <row r="995" spans="1:26" ht="13" x14ac:dyDescent="0.1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row>
    <row r="996" spans="1:26" ht="13" x14ac:dyDescent="0.1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row>
    <row r="997" spans="1:26" ht="13" x14ac:dyDescent="0.1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sheetPr>
  <dimension ref="A1:D997"/>
  <sheetViews>
    <sheetView workbookViewId="0"/>
  </sheetViews>
  <sheetFormatPr baseColWidth="10" defaultColWidth="12.6640625" defaultRowHeight="15.75" customHeight="1" x14ac:dyDescent="0.15"/>
  <cols>
    <col min="1" max="1" width="71.5" customWidth="1"/>
    <col min="2" max="4" width="37.6640625" customWidth="1"/>
  </cols>
  <sheetData>
    <row r="1" spans="1:4" x14ac:dyDescent="0.2">
      <c r="A1" s="1"/>
      <c r="B1" s="21" t="str">
        <f ca="1">IFERROR(__xludf.DUMMYFUNCTION("IMPORTRANGE(""https://docs.google.com/spreadsheets/u/0/d/1_NcUY7_L0-VKMwwoDwesshr7eGsHFBVPNg4YI6jkjhk"", ""A10!B1:B22"")"),"Noelle Labadens")</f>
        <v>Noelle Labadens</v>
      </c>
      <c r="C1" s="10" t="str">
        <f ca="1">IFERROR(__xludf.DUMMYFUNCTION("IMPORTRANGE(""https://docs.google.com/spreadsheets/u/0/d/1DTeUShR903oScgwuFGuA8V8JqIoXmME8W-T3lNP0oHM"", ""A10!B1:B22"")"),"McKinzie Novak")</f>
        <v>McKinzie Novak</v>
      </c>
      <c r="D1" s="2" t="s">
        <v>1</v>
      </c>
    </row>
    <row r="2" spans="1:4" ht="15.75" customHeight="1" x14ac:dyDescent="0.15">
      <c r="A2" s="3" t="s">
        <v>2</v>
      </c>
      <c r="B2" s="15" t="str">
        <f ca="1">IFERROR(__xludf.DUMMYFUNCTION("""COMPUTED_VALUE"""),"8402-8785 (phamerator); Forward")</f>
        <v>8402-8785 (phamerator); Forward</v>
      </c>
      <c r="C2" s="15" t="str">
        <f ca="1">IFERROR(__xludf.DUMMYFUNCTION("""COMPUTED_VALUE"""),"START: 8402
STOP: 8785
FORWARD")</f>
        <v>START: 8402
STOP: 8785
FORWARD</v>
      </c>
      <c r="D2" s="4"/>
    </row>
    <row r="3" spans="1:4" ht="15.75" customHeight="1" x14ac:dyDescent="0.15">
      <c r="A3" s="5" t="s">
        <v>3</v>
      </c>
      <c r="B3" s="17" t="str">
        <f ca="1">IFERROR(__xludf.DUMMYFUNCTION("""COMPUTED_VALUE"""),"DNA Master: ; Phamerator: 10")</f>
        <v>DNA Master: ; Phamerator: 10</v>
      </c>
      <c r="C3" s="17" t="str">
        <f ca="1">IFERROR(__xludf.DUMMYFUNCTION("""COMPUTED_VALUE"""),"DNAM: 10 
PHAM: 10
Phagesdb: 10")</f>
        <v>DNAM: 10 
PHAM: 10
Phagesdb: 10</v>
      </c>
      <c r="D3" s="6"/>
    </row>
    <row r="4" spans="1:4" ht="15.75" customHeight="1" x14ac:dyDescent="0.15">
      <c r="A4" s="5" t="s">
        <v>4</v>
      </c>
      <c r="B4" s="17" t="str">
        <f ca="1">IFERROR(__xludf.DUMMYFUNCTION("""COMPUTED_VALUE"""),"7151 2/27/2025")</f>
        <v>7151 2/27/2025</v>
      </c>
      <c r="C4" s="17" t="str">
        <f ca="1">IFERROR(__xludf.DUMMYFUNCTION("""COMPUTED_VALUE"""),"# 7151 3/4/25")</f>
        <v># 7151 3/4/25</v>
      </c>
      <c r="D4" s="6"/>
    </row>
    <row r="5" spans="1:4" ht="15.75" customHeight="1" x14ac:dyDescent="0.15">
      <c r="A5" s="5" t="s">
        <v>5</v>
      </c>
      <c r="B5" s="17" t="str">
        <f ca="1">IFERROR(__xludf.DUMMYFUNCTION("""COMPUTED_VALUE"""),"Kovu_11, Edmundo_11, Laroye_11 (9 total)")</f>
        <v>Kovu_11, Edmundo_11, Laroye_11 (9 total)</v>
      </c>
      <c r="C5" s="17" t="str">
        <f ca="1">IFERROR(__xludf.DUMMYFUNCTION("""COMPUTED_VALUE"""),"Kovu #11 and Waltz #11")</f>
        <v>Kovu #11 and Waltz #11</v>
      </c>
      <c r="D5" s="6"/>
    </row>
    <row r="6" spans="1:4" ht="15.75" customHeight="1" x14ac:dyDescent="0.15">
      <c r="A6" s="5" t="s">
        <v>6</v>
      </c>
      <c r="B6" s="17" t="str">
        <f ca="1">IFERROR(__xludf.DUMMYFUNCTION("""COMPUTED_VALUE"""),"DNA Master ")</f>
        <v xml:space="preserve">DNA Master </v>
      </c>
      <c r="C6" s="17" t="str">
        <f ca="1">IFERROR(__xludf.DUMMYFUNCTION("""COMPUTED_VALUE"""),"Both Glimmer and Genemark call the start 8402")</f>
        <v>Both Glimmer and Genemark call the start 8402</v>
      </c>
      <c r="D6" s="6"/>
    </row>
    <row r="7" spans="1:4" ht="15.75" customHeight="1" x14ac:dyDescent="0.15">
      <c r="A7" s="5" t="s">
        <v>7</v>
      </c>
      <c r="B7" s="17" t="str">
        <f ca="1">IFERROR(__xludf.DUMMYFUNCTION("""COMPUTED_VALUE"""),"great coding potential; captures all potential")</f>
        <v>great coding potential; captures all potential</v>
      </c>
      <c r="C7" s="17" t="str">
        <f ca="1">IFERROR(__xludf.DUMMYFUNCTION("""COMPUTED_VALUE"""),"Yes, there is good coding potential, and the start catches all of it.")</f>
        <v>Yes, there is good coding potential, and the start catches all of it.</v>
      </c>
      <c r="D7" s="6"/>
    </row>
    <row r="8" spans="1:4" ht="15.75" customHeight="1" x14ac:dyDescent="0.15">
      <c r="A8" s="5" t="s">
        <v>8</v>
      </c>
      <c r="B8" s="17" t="str">
        <f ca="1">IFERROR(__xludf.DUMMYFUNCTION("""COMPUTED_VALUE"""),"no, there is one before it but it has a worse z score and creates an overlap")</f>
        <v>no, there is one before it but it has a worse z score and creates an overlap</v>
      </c>
      <c r="C8" s="17" t="str">
        <f ca="1">IFERROR(__xludf.DUMMYFUNCTION("""COMPUTED_VALUE"""),"Yes, it is the earliest possible ORF")</f>
        <v>Yes, it is the earliest possible ORF</v>
      </c>
      <c r="D8" s="6"/>
    </row>
    <row r="9" spans="1:4" ht="15.75" customHeight="1" x14ac:dyDescent="0.15">
      <c r="A9" s="5" t="s">
        <v>9</v>
      </c>
      <c r="B9" s="17" t="str">
        <f ca="1">IFERROR(__xludf.DUMMYFUNCTION("""COMPUTED_VALUE"""),"117 nt gap")</f>
        <v>117 nt gap</v>
      </c>
      <c r="C9" s="17" t="str">
        <f ca="1">IFERROR(__xludf.DUMMYFUNCTION("""COMPUTED_VALUE"""),"There is an 87 base pair gap between genes 9 and 10")</f>
        <v>There is an 87 base pair gap between genes 9 and 10</v>
      </c>
      <c r="D9" s="6"/>
    </row>
    <row r="10" spans="1:4" ht="15.75" customHeight="1" x14ac:dyDescent="0.15">
      <c r="A10" s="5" t="s">
        <v>10</v>
      </c>
      <c r="B10" s="17" t="str">
        <f ca="1">IFERROR(__xludf.DUMMYFUNCTION("""COMPUTED_VALUE"""),"raw SD: 1.748; Z score: 2.957")</f>
        <v>raw SD: 1.748; Z score: 2.957</v>
      </c>
      <c r="C10" s="17" t="str">
        <f ca="1">IFERROR(__xludf.DUMMYFUNCTION("""COMPUTED_VALUE"""),"Start: 8402   z-score: 2.957 RBS:-2.505")</f>
        <v>Start: 8402   z-score: 2.957 RBS:-2.505</v>
      </c>
      <c r="D10" s="6"/>
    </row>
    <row r="11" spans="1:4" ht="15.75" customHeight="1" x14ac:dyDescent="0.15">
      <c r="A11" s="5" t="s">
        <v>11</v>
      </c>
      <c r="B11" s="17" t="str">
        <f ca="1">IFERROR(__xludf.DUMMYFUNCTION("""COMPUTED_VALUE"""),"Kovu_11, 79%, 1e-49; q:1 s:1")</f>
        <v>Kovu_11, 79%, 1e-49; q:1 s:1</v>
      </c>
      <c r="C11" s="17" t="str">
        <f ca="1">IFERROR(__xludf.DUMMYFUNCTION("""COMPUTED_VALUE"""),"Kovu #11 %ID: 79.53 e-val: 0.0E0 
Q:1 S:1 
Waltz #11 %ID: 54.5 e-val:1.1E-31
Q:25 S:10")</f>
        <v>Kovu #11 %ID: 79.53 e-val: 0.0E0 
Q:1 S:1 
Waltz #11 %ID: 54.5 e-val:1.1E-31
Q:25 S:10</v>
      </c>
      <c r="D11" s="6"/>
    </row>
    <row r="12" spans="1:4" ht="15.75" customHeight="1" x14ac:dyDescent="0.15">
      <c r="A12" s="5" t="s">
        <v>12</v>
      </c>
      <c r="B12" s="17" t="str">
        <f ca="1">IFERROR(__xludf.DUMMYFUNCTION("""COMPUTED_VALUE"""),"found in 88.9% of the genes in pham; called 87.5% when present")</f>
        <v>found in 88.9% of the genes in pham; called 87.5% when present</v>
      </c>
      <c r="C12" s="17" t="str">
        <f ca="1">IFERROR(__xludf.DUMMYFUNCTION("""COMPUTED_VALUE"""),"Only one phage does not have the start, the rest do and they all call start 7 with ApoKipo except for edmundo so it is called 88.9% of the time.")</f>
        <v>Only one phage does not have the start, the rest do and they all call start 7 with ApoKipo except for edmundo so it is called 88.9% of the time.</v>
      </c>
      <c r="D12" s="6"/>
    </row>
    <row r="13" spans="1:4" ht="15.75" customHeight="1" x14ac:dyDescent="0.15">
      <c r="A13" s="5" t="s">
        <v>13</v>
      </c>
      <c r="B13" s="17" t="str">
        <f ca="1">IFERROR(__xludf.DUMMYFUNCTION("""COMPUTED_VALUE"""),"no, because there is no compelling evidence to change it. the gap cannot be fixed because the only other start has a worse Z score, it has great coding potential, and it's called most of the time it's present")</f>
        <v>no, because there is no compelling evidence to change it. the gap cannot be fixed because the only other start has a worse Z score, it has great coding potential, and it's called most of the time it's present</v>
      </c>
      <c r="C13" s="17" t="str">
        <f ca="1">IFERROR(__xludf.DUMMYFUNCTION("""COMPUTED_VALUE"""),"No, this start is well conserved and moving it way back would create a significant overlap for no reason.")</f>
        <v>No, this start is well conserved and moving it way back would create a significant overlap for no reason.</v>
      </c>
      <c r="D13" s="6"/>
    </row>
    <row r="14" spans="1:4" ht="15.75" customHeight="1" x14ac:dyDescent="0.15">
      <c r="A14" s="5" t="s">
        <v>14</v>
      </c>
      <c r="B14" s="17" t="str">
        <f ca="1">IFERROR(__xludf.DUMMYFUNCTION("""COMPUTED_VALUE"""),"Kovu_11, 1e-49; Waltz_11, 1e-27")</f>
        <v>Kovu_11, 1e-49; Waltz_11, 1e-27</v>
      </c>
      <c r="C14" s="17" t="str">
        <f ca="1">IFERROR(__xludf.DUMMYFUNCTION("""COMPUTED_VALUE"""),"Kovu #11 e-val: 0.0E0 and Waltz #11 e-val: 1.1E-31")</f>
        <v>Kovu #11 e-val: 0.0E0 and Waltz #11 e-val: 1.1E-31</v>
      </c>
      <c r="D14" s="6"/>
    </row>
    <row r="15" spans="1:4" ht="15.75" customHeight="1" x14ac:dyDescent="0.15">
      <c r="A15" s="5" t="s">
        <v>15</v>
      </c>
      <c r="B15" s="17" t="str">
        <f ca="1">IFERROR(__xludf.DUMMYFUNCTION("""COMPUTED_VALUE"""),"Function Unknown")</f>
        <v>Function Unknown</v>
      </c>
      <c r="C15" s="17" t="str">
        <f ca="1">IFERROR(__xludf.DUMMYFUNCTION("""COMPUTED_VALUE"""),"Kovu #11 Waltz #11 both ""hypothetical proteins""")</f>
        <v>Kovu #11 Waltz #11 both "hypothetical proteins"</v>
      </c>
      <c r="D15" s="6"/>
    </row>
    <row r="16" spans="1:4" ht="15.75" customHeight="1" x14ac:dyDescent="0.15">
      <c r="A16" s="5" t="s">
        <v>16</v>
      </c>
      <c r="B16" s="17" t="str">
        <f ca="1">IFERROR(__xludf.DUMMYFUNCTION("""COMPUTED_VALUE"""),"yes, has similar genetic environment to Kovu, similar genes adjacent")</f>
        <v>yes, has similar genetic environment to Kovu, similar genes adjacent</v>
      </c>
      <c r="C16" s="17" t="str">
        <f ca="1">IFERROR(__xludf.DUMMYFUNCTION("""COMPUTED_VALUE"""),"Yes the gene matches its genetic environment, adjacent genes align very well, #11 is unkown, but to the left #9 is a terminase large subunit")</f>
        <v>Yes the gene matches its genetic environment, adjacent genes align very well, #11 is unkown, but to the left #9 is a terminase large subunit</v>
      </c>
      <c r="D16" s="6"/>
    </row>
    <row r="17" spans="1:4" ht="15.75" customHeight="1" x14ac:dyDescent="0.15">
      <c r="A17" s="5" t="s">
        <v>17</v>
      </c>
      <c r="B17" s="17" t="str">
        <f ca="1">IFERROR(__xludf.DUMMYFUNCTION("""COMPUTED_VALUE"""),"nothing of value!! it's all below 90% probability")</f>
        <v>nothing of value!! it's all below 90% probability</v>
      </c>
      <c r="C17" s="17" t="str">
        <f ca="1">IFERROR(__xludf.DUMMYFUNCTION("""COMPUTED_VALUE"""),"Highest probability is to protein with DUF %68.9
DUF6881 ; Domain of unknown function (DUF6881)
%ALNQ: 20.5 %ALNT: 28.9
Needs further exploration due to there being no domain")</f>
        <v>Highest probability is to protein with DUF %68.9
DUF6881 ; Domain of unknown function (DUF6881)
%ALNQ: 20.5 %ALNT: 28.9
Needs further exploration due to there being no domain</v>
      </c>
      <c r="D17" s="6"/>
    </row>
    <row r="18" spans="1:4" ht="15.75" customHeight="1" x14ac:dyDescent="0.15">
      <c r="A18" s="5" t="s">
        <v>18</v>
      </c>
      <c r="B18" s="17" t="str">
        <f ca="1">IFERROR(__xludf.DUMMYFUNCTION("""COMPUTED_VALUE"""),"no")</f>
        <v>no</v>
      </c>
      <c r="C18" s="17" t="str">
        <f ca="1">IFERROR(__xludf.DUMMYFUNCTION("""COMPUTED_VALUE"""),"DUF - No")</f>
        <v>DUF - No</v>
      </c>
      <c r="D18" s="6"/>
    </row>
    <row r="19" spans="1:4" ht="15.75" customHeight="1" x14ac:dyDescent="0.15">
      <c r="A19" s="5" t="s">
        <v>19</v>
      </c>
      <c r="B19" s="17" t="str">
        <f ca="1">IFERROR(__xludf.DUMMYFUNCTION("""COMPUTED_VALUE"""),"none")</f>
        <v>none</v>
      </c>
      <c r="C19" s="17" t="str">
        <f ca="1">IFERROR(__xludf.DUMMYFUNCTION("""COMPUTED_VALUE"""),"None")</f>
        <v>None</v>
      </c>
      <c r="D19" s="6"/>
    </row>
    <row r="20" spans="1:4" ht="15.75" customHeight="1" x14ac:dyDescent="0.15">
      <c r="A20" s="5" t="s">
        <v>20</v>
      </c>
      <c r="B20" s="17" t="str">
        <f ca="1">IFERROR(__xludf.DUMMYFUNCTION("""COMPUTED_VALUE"""),"Function Unknown")</f>
        <v>Function Unknown</v>
      </c>
      <c r="C20" s="17" t="str">
        <f ca="1">IFERROR(__xludf.DUMMYFUNCTION("""COMPUTED_VALUE"""),"Hypothetical protein (DUF)")</f>
        <v>Hypothetical protein (DUF)</v>
      </c>
      <c r="D20" s="6"/>
    </row>
    <row r="21" spans="1:4" x14ac:dyDescent="0.2">
      <c r="A21" s="7"/>
      <c r="B21" s="19"/>
      <c r="C21" s="19"/>
      <c r="D21" s="8"/>
    </row>
    <row r="22" spans="1:4" ht="15.75" customHeight="1" x14ac:dyDescent="0.15">
      <c r="A22" s="9" t="s">
        <v>21</v>
      </c>
      <c r="B22" s="19"/>
      <c r="C22" s="19"/>
      <c r="D22" s="8"/>
    </row>
    <row r="23" spans="1:4" ht="15.75" customHeight="1" x14ac:dyDescent="0.15">
      <c r="A23" s="10"/>
      <c r="B23" s="13"/>
      <c r="C23" s="13"/>
    </row>
    <row r="24" spans="1:4" ht="15.75" customHeight="1" x14ac:dyDescent="0.15">
      <c r="A24" s="10"/>
      <c r="B24" s="13"/>
      <c r="C24" s="13"/>
    </row>
    <row r="25" spans="1:4" ht="15.75" customHeight="1" x14ac:dyDescent="0.15">
      <c r="A25" s="10"/>
      <c r="B25" s="13"/>
      <c r="C25" s="13"/>
    </row>
    <row r="26" spans="1:4" ht="15.75" customHeight="1" x14ac:dyDescent="0.15">
      <c r="A26" s="10"/>
      <c r="B26" s="13"/>
      <c r="C26" s="13"/>
    </row>
    <row r="27" spans="1:4" ht="15.75" customHeight="1" x14ac:dyDescent="0.15">
      <c r="A27" s="10"/>
      <c r="B27" s="13"/>
      <c r="C27" s="13"/>
    </row>
    <row r="28" spans="1:4" ht="15.75" customHeight="1" x14ac:dyDescent="0.15">
      <c r="A28" s="10"/>
      <c r="B28" s="13"/>
      <c r="C28" s="13"/>
    </row>
    <row r="29" spans="1:4" ht="15.75" customHeight="1" x14ac:dyDescent="0.15">
      <c r="A29" s="10"/>
      <c r="B29" s="13"/>
      <c r="C29" s="13"/>
    </row>
    <row r="30" spans="1:4" ht="15.75" customHeight="1" x14ac:dyDescent="0.15">
      <c r="A30" s="10"/>
      <c r="B30" s="13"/>
      <c r="C30" s="13"/>
    </row>
    <row r="31" spans="1:4" ht="15.75" customHeight="1" x14ac:dyDescent="0.15">
      <c r="A31" s="10"/>
      <c r="B31" s="13"/>
      <c r="C31" s="13"/>
    </row>
    <row r="32" spans="1:4" ht="15.75" customHeight="1" x14ac:dyDescent="0.15">
      <c r="A32" s="10"/>
      <c r="B32" s="13"/>
      <c r="C32" s="13"/>
    </row>
    <row r="33" spans="1:3" ht="15.75" customHeight="1" x14ac:dyDescent="0.15">
      <c r="A33" s="10"/>
      <c r="B33" s="13"/>
      <c r="C33" s="13"/>
    </row>
    <row r="34" spans="1:3" ht="15.75" customHeight="1" x14ac:dyDescent="0.15">
      <c r="A34" s="10"/>
      <c r="B34" s="13"/>
      <c r="C34" s="13"/>
    </row>
    <row r="35" spans="1:3" ht="15.75" customHeight="1" x14ac:dyDescent="0.15">
      <c r="A35" s="10"/>
      <c r="B35" s="13"/>
      <c r="C35" s="13"/>
    </row>
    <row r="36" spans="1:3" ht="15.75" customHeight="1" x14ac:dyDescent="0.15">
      <c r="A36" s="10"/>
      <c r="B36" s="13"/>
      <c r="C36" s="13"/>
    </row>
    <row r="37" spans="1:3" ht="15.75" customHeight="1" x14ac:dyDescent="0.15">
      <c r="A37" s="10"/>
      <c r="B37" s="13"/>
      <c r="C37" s="13"/>
    </row>
    <row r="38" spans="1:3" ht="15.75" customHeight="1" x14ac:dyDescent="0.15">
      <c r="A38" s="10"/>
      <c r="B38" s="13"/>
      <c r="C38" s="13"/>
    </row>
    <row r="39" spans="1:3" ht="13" x14ac:dyDescent="0.15">
      <c r="A39" s="10"/>
      <c r="B39" s="13"/>
      <c r="C39" s="13"/>
    </row>
    <row r="40" spans="1:3" ht="13" x14ac:dyDescent="0.15">
      <c r="A40" s="10"/>
      <c r="B40" s="13"/>
      <c r="C40" s="13"/>
    </row>
    <row r="41" spans="1:3" ht="13" x14ac:dyDescent="0.15">
      <c r="A41" s="10"/>
      <c r="B41" s="13"/>
      <c r="C41" s="13"/>
    </row>
    <row r="42" spans="1:3" ht="13" x14ac:dyDescent="0.15">
      <c r="A42" s="10"/>
      <c r="B42" s="13"/>
      <c r="C42" s="13"/>
    </row>
    <row r="43" spans="1:3" ht="13" x14ac:dyDescent="0.15">
      <c r="A43" s="10"/>
      <c r="B43" s="13"/>
      <c r="C43" s="13"/>
    </row>
    <row r="44" spans="1:3" ht="13" x14ac:dyDescent="0.15">
      <c r="A44" s="10"/>
      <c r="B44" s="13"/>
      <c r="C44" s="13"/>
    </row>
    <row r="45" spans="1:3" ht="13" x14ac:dyDescent="0.15">
      <c r="A45" s="10"/>
      <c r="B45" s="13"/>
      <c r="C45" s="13"/>
    </row>
    <row r="46" spans="1:3" ht="13" x14ac:dyDescent="0.15">
      <c r="A46" s="10"/>
      <c r="B46" s="13"/>
      <c r="C46" s="13"/>
    </row>
    <row r="47" spans="1:3" ht="13" x14ac:dyDescent="0.15">
      <c r="A47" s="10"/>
      <c r="B47" s="13"/>
      <c r="C47" s="13"/>
    </row>
    <row r="48" spans="1:3" ht="13" x14ac:dyDescent="0.15">
      <c r="A48" s="10"/>
      <c r="B48" s="13"/>
      <c r="C48" s="13"/>
    </row>
    <row r="49" spans="1:3" ht="13" x14ac:dyDescent="0.15">
      <c r="A49" s="10"/>
      <c r="B49" s="13"/>
      <c r="C49" s="13"/>
    </row>
    <row r="50" spans="1:3" ht="13" x14ac:dyDescent="0.15">
      <c r="A50" s="10"/>
      <c r="B50" s="13"/>
      <c r="C50" s="13"/>
    </row>
    <row r="51" spans="1:3" ht="13" x14ac:dyDescent="0.15">
      <c r="A51" s="10"/>
      <c r="B51" s="13"/>
      <c r="C51" s="13"/>
    </row>
    <row r="52" spans="1:3" ht="13" x14ac:dyDescent="0.15">
      <c r="A52" s="10"/>
      <c r="B52" s="13"/>
      <c r="C52" s="13"/>
    </row>
    <row r="53" spans="1:3" ht="13" x14ac:dyDescent="0.15">
      <c r="A53" s="10"/>
      <c r="B53" s="13"/>
      <c r="C53" s="13"/>
    </row>
    <row r="54" spans="1:3" ht="13" x14ac:dyDescent="0.15">
      <c r="A54" s="10"/>
      <c r="B54" s="13"/>
      <c r="C54" s="13"/>
    </row>
    <row r="55" spans="1:3" ht="13" x14ac:dyDescent="0.15">
      <c r="A55" s="10"/>
      <c r="B55" s="13"/>
      <c r="C55" s="13"/>
    </row>
    <row r="56" spans="1:3" ht="13" x14ac:dyDescent="0.15">
      <c r="A56" s="10"/>
      <c r="B56" s="13"/>
      <c r="C56" s="13"/>
    </row>
    <row r="57" spans="1:3" ht="13" x14ac:dyDescent="0.15">
      <c r="A57" s="10"/>
      <c r="B57" s="13"/>
      <c r="C57" s="13"/>
    </row>
    <row r="58" spans="1:3" ht="13" x14ac:dyDescent="0.15">
      <c r="A58" s="10"/>
      <c r="B58" s="13"/>
      <c r="C58" s="13"/>
    </row>
    <row r="59" spans="1:3" ht="13" x14ac:dyDescent="0.15">
      <c r="A59" s="10"/>
      <c r="B59" s="13"/>
      <c r="C59" s="13"/>
    </row>
    <row r="60" spans="1:3" ht="13" x14ac:dyDescent="0.15">
      <c r="A60" s="10"/>
      <c r="B60" s="13"/>
      <c r="C60" s="13"/>
    </row>
    <row r="61" spans="1:3" ht="13" x14ac:dyDescent="0.15">
      <c r="A61" s="10"/>
      <c r="B61" s="13"/>
      <c r="C61" s="13"/>
    </row>
    <row r="62" spans="1:3" ht="13" x14ac:dyDescent="0.15">
      <c r="A62" s="10"/>
      <c r="B62" s="13"/>
      <c r="C62" s="13"/>
    </row>
    <row r="63" spans="1:3" ht="13" x14ac:dyDescent="0.15">
      <c r="A63" s="10"/>
      <c r="B63" s="13"/>
      <c r="C63" s="13"/>
    </row>
    <row r="64" spans="1:3" ht="13" x14ac:dyDescent="0.15">
      <c r="A64" s="10"/>
      <c r="B64" s="13"/>
      <c r="C64" s="13"/>
    </row>
    <row r="65" spans="1:3" ht="13" x14ac:dyDescent="0.15">
      <c r="A65" s="10"/>
      <c r="B65" s="13"/>
      <c r="C65" s="13"/>
    </row>
    <row r="66" spans="1:3" ht="13" x14ac:dyDescent="0.15">
      <c r="A66" s="10"/>
      <c r="B66" s="13"/>
      <c r="C66" s="13"/>
    </row>
    <row r="67" spans="1:3" ht="13" x14ac:dyDescent="0.15">
      <c r="A67" s="10"/>
      <c r="B67" s="13"/>
      <c r="C67" s="13"/>
    </row>
    <row r="68" spans="1:3" ht="13" x14ac:dyDescent="0.15">
      <c r="A68" s="10"/>
      <c r="B68" s="13"/>
      <c r="C68" s="13"/>
    </row>
    <row r="69" spans="1:3" ht="13" x14ac:dyDescent="0.15">
      <c r="A69" s="10"/>
      <c r="B69" s="13"/>
      <c r="C69" s="13"/>
    </row>
    <row r="70" spans="1:3" ht="13" x14ac:dyDescent="0.15">
      <c r="A70" s="10"/>
      <c r="B70" s="13"/>
      <c r="C70" s="13"/>
    </row>
    <row r="71" spans="1:3" ht="13" x14ac:dyDescent="0.15">
      <c r="A71" s="10"/>
      <c r="B71" s="13"/>
      <c r="C71" s="13"/>
    </row>
    <row r="72" spans="1:3" ht="13" x14ac:dyDescent="0.15">
      <c r="A72" s="10"/>
      <c r="B72" s="13"/>
      <c r="C72" s="13"/>
    </row>
    <row r="73" spans="1:3" ht="13" x14ac:dyDescent="0.15">
      <c r="A73" s="10"/>
      <c r="B73" s="13"/>
      <c r="C73" s="13"/>
    </row>
    <row r="74" spans="1:3" ht="13" x14ac:dyDescent="0.15">
      <c r="A74" s="10"/>
      <c r="B74" s="13"/>
      <c r="C74" s="13"/>
    </row>
    <row r="75" spans="1:3" ht="13" x14ac:dyDescent="0.15">
      <c r="A75" s="10"/>
      <c r="B75" s="13"/>
      <c r="C75" s="13"/>
    </row>
    <row r="76" spans="1:3" ht="13" x14ac:dyDescent="0.15">
      <c r="A76" s="10"/>
      <c r="B76" s="13"/>
      <c r="C76" s="13"/>
    </row>
    <row r="77" spans="1:3" ht="13" x14ac:dyDescent="0.15">
      <c r="A77" s="10"/>
      <c r="B77" s="13"/>
      <c r="C77" s="13"/>
    </row>
    <row r="78" spans="1:3" ht="13" x14ac:dyDescent="0.15">
      <c r="A78" s="10"/>
      <c r="B78" s="13"/>
      <c r="C78" s="13"/>
    </row>
    <row r="79" spans="1:3" ht="13" x14ac:dyDescent="0.15">
      <c r="A79" s="10"/>
      <c r="B79" s="13"/>
      <c r="C79" s="13"/>
    </row>
    <row r="80" spans="1:3" ht="13" x14ac:dyDescent="0.15">
      <c r="A80" s="10"/>
      <c r="B80" s="13"/>
      <c r="C80" s="13"/>
    </row>
    <row r="81" spans="1:3" ht="13" x14ac:dyDescent="0.15">
      <c r="A81" s="10"/>
      <c r="B81" s="13"/>
      <c r="C81" s="13"/>
    </row>
    <row r="82" spans="1:3" ht="13" x14ac:dyDescent="0.15">
      <c r="A82" s="10"/>
      <c r="B82" s="13"/>
      <c r="C82" s="13"/>
    </row>
    <row r="83" spans="1:3" ht="13" x14ac:dyDescent="0.15">
      <c r="A83" s="10"/>
      <c r="B83" s="13"/>
      <c r="C83" s="13"/>
    </row>
    <row r="84" spans="1:3" ht="13" x14ac:dyDescent="0.15">
      <c r="A84" s="10"/>
      <c r="B84" s="13"/>
      <c r="C84" s="13"/>
    </row>
    <row r="85" spans="1:3" ht="13" x14ac:dyDescent="0.15">
      <c r="A85" s="10"/>
      <c r="B85" s="13"/>
      <c r="C85" s="13"/>
    </row>
    <row r="86" spans="1:3" ht="13" x14ac:dyDescent="0.15">
      <c r="A86" s="10"/>
      <c r="B86" s="13"/>
      <c r="C86" s="13"/>
    </row>
    <row r="87" spans="1:3" ht="13" x14ac:dyDescent="0.15">
      <c r="A87" s="10"/>
      <c r="B87" s="13"/>
      <c r="C87" s="13"/>
    </row>
    <row r="88" spans="1:3" ht="13" x14ac:dyDescent="0.15">
      <c r="A88" s="10"/>
      <c r="B88" s="13"/>
      <c r="C88" s="13"/>
    </row>
    <row r="89" spans="1:3" ht="13" x14ac:dyDescent="0.15">
      <c r="A89" s="10"/>
      <c r="B89" s="13"/>
      <c r="C89" s="13"/>
    </row>
    <row r="90" spans="1:3" ht="13" x14ac:dyDescent="0.15">
      <c r="A90" s="10"/>
      <c r="B90" s="13"/>
      <c r="C90" s="13"/>
    </row>
    <row r="91" spans="1:3" ht="13" x14ac:dyDescent="0.15">
      <c r="A91" s="10"/>
      <c r="B91" s="13"/>
      <c r="C91" s="13"/>
    </row>
    <row r="92" spans="1:3" ht="13" x14ac:dyDescent="0.15">
      <c r="A92" s="10"/>
      <c r="B92" s="13"/>
      <c r="C92" s="13"/>
    </row>
    <row r="93" spans="1:3" ht="13" x14ac:dyDescent="0.15">
      <c r="A93" s="10"/>
      <c r="B93" s="13"/>
      <c r="C93" s="13"/>
    </row>
    <row r="94" spans="1:3" ht="13" x14ac:dyDescent="0.15">
      <c r="A94" s="10"/>
      <c r="B94" s="13"/>
      <c r="C94" s="13"/>
    </row>
    <row r="95" spans="1:3" ht="13" x14ac:dyDescent="0.15">
      <c r="A95" s="10"/>
      <c r="B95" s="13"/>
      <c r="C95" s="13"/>
    </row>
    <row r="96" spans="1:3" ht="13" x14ac:dyDescent="0.15">
      <c r="A96" s="10"/>
      <c r="B96" s="13"/>
      <c r="C96" s="13"/>
    </row>
    <row r="97" spans="1:3" ht="13" x14ac:dyDescent="0.15">
      <c r="A97" s="10"/>
      <c r="B97" s="13"/>
      <c r="C97" s="13"/>
    </row>
    <row r="98" spans="1:3" ht="13" x14ac:dyDescent="0.15">
      <c r="A98" s="10"/>
      <c r="B98" s="13"/>
      <c r="C98" s="13"/>
    </row>
    <row r="99" spans="1:3" ht="13" x14ac:dyDescent="0.15">
      <c r="A99" s="10"/>
      <c r="B99" s="13"/>
      <c r="C99" s="13"/>
    </row>
    <row r="100" spans="1:3" ht="13" x14ac:dyDescent="0.15">
      <c r="A100" s="10"/>
      <c r="B100" s="13"/>
      <c r="C100" s="13"/>
    </row>
    <row r="101" spans="1:3" ht="13" x14ac:dyDescent="0.15">
      <c r="A101" s="10"/>
      <c r="B101" s="13"/>
      <c r="C101" s="13"/>
    </row>
    <row r="102" spans="1:3" ht="13" x14ac:dyDescent="0.15">
      <c r="A102" s="10"/>
      <c r="B102" s="13"/>
      <c r="C102" s="13"/>
    </row>
    <row r="103" spans="1:3" ht="13" x14ac:dyDescent="0.15">
      <c r="A103" s="10"/>
      <c r="B103" s="13"/>
      <c r="C103" s="13"/>
    </row>
    <row r="104" spans="1:3" ht="13" x14ac:dyDescent="0.15">
      <c r="A104" s="10"/>
      <c r="B104" s="13"/>
      <c r="C104" s="13"/>
    </row>
    <row r="105" spans="1:3" ht="13" x14ac:dyDescent="0.15">
      <c r="A105" s="10"/>
      <c r="B105" s="13"/>
      <c r="C105" s="13"/>
    </row>
    <row r="106" spans="1:3" ht="13" x14ac:dyDescent="0.15">
      <c r="A106" s="10"/>
      <c r="B106" s="13"/>
      <c r="C106" s="13"/>
    </row>
    <row r="107" spans="1:3" ht="13" x14ac:dyDescent="0.15">
      <c r="A107" s="10"/>
      <c r="B107" s="13"/>
      <c r="C107" s="13"/>
    </row>
    <row r="108" spans="1:3" ht="13" x14ac:dyDescent="0.15">
      <c r="A108" s="10"/>
      <c r="B108" s="13"/>
      <c r="C108" s="13"/>
    </row>
    <row r="109" spans="1:3" ht="13" x14ac:dyDescent="0.15">
      <c r="A109" s="10"/>
      <c r="B109" s="13"/>
      <c r="C109" s="13"/>
    </row>
    <row r="110" spans="1:3" ht="13" x14ac:dyDescent="0.15">
      <c r="A110" s="10"/>
      <c r="B110" s="13"/>
      <c r="C110" s="13"/>
    </row>
    <row r="111" spans="1:3" ht="13" x14ac:dyDescent="0.15">
      <c r="A111" s="10"/>
      <c r="B111" s="13"/>
      <c r="C111" s="13"/>
    </row>
    <row r="112" spans="1:3" ht="13" x14ac:dyDescent="0.15">
      <c r="A112" s="10"/>
      <c r="B112" s="13"/>
      <c r="C112" s="13"/>
    </row>
    <row r="113" spans="1:3" ht="13" x14ac:dyDescent="0.15">
      <c r="A113" s="10"/>
      <c r="B113" s="13"/>
      <c r="C113" s="13"/>
    </row>
    <row r="114" spans="1:3" ht="13" x14ac:dyDescent="0.15">
      <c r="A114" s="10"/>
      <c r="B114" s="13"/>
      <c r="C114" s="13"/>
    </row>
    <row r="115" spans="1:3" ht="13" x14ac:dyDescent="0.15">
      <c r="A115" s="10"/>
      <c r="B115" s="13"/>
      <c r="C115" s="13"/>
    </row>
    <row r="116" spans="1:3" ht="13" x14ac:dyDescent="0.15">
      <c r="A116" s="10"/>
      <c r="B116" s="13"/>
      <c r="C116" s="13"/>
    </row>
    <row r="117" spans="1:3" ht="13" x14ac:dyDescent="0.15">
      <c r="A117" s="10"/>
      <c r="B117" s="13"/>
      <c r="C117" s="13"/>
    </row>
    <row r="118" spans="1:3" ht="13" x14ac:dyDescent="0.15">
      <c r="A118" s="10"/>
      <c r="B118" s="13"/>
      <c r="C118" s="13"/>
    </row>
    <row r="119" spans="1:3" ht="13" x14ac:dyDescent="0.15">
      <c r="A119" s="10"/>
      <c r="B119" s="13"/>
      <c r="C119" s="13"/>
    </row>
    <row r="120" spans="1:3" ht="13" x14ac:dyDescent="0.15">
      <c r="A120" s="10"/>
      <c r="B120" s="13"/>
      <c r="C120" s="13"/>
    </row>
    <row r="121" spans="1:3" ht="13" x14ac:dyDescent="0.15">
      <c r="A121" s="10"/>
      <c r="B121" s="13"/>
      <c r="C121" s="13"/>
    </row>
    <row r="122" spans="1:3" ht="13" x14ac:dyDescent="0.15">
      <c r="A122" s="10"/>
      <c r="B122" s="13"/>
      <c r="C122" s="13"/>
    </row>
    <row r="123" spans="1:3" ht="13" x14ac:dyDescent="0.15">
      <c r="A123" s="10"/>
      <c r="B123" s="13"/>
      <c r="C123" s="13"/>
    </row>
    <row r="124" spans="1:3" ht="13" x14ac:dyDescent="0.15">
      <c r="A124" s="10"/>
      <c r="B124" s="13"/>
      <c r="C124" s="13"/>
    </row>
    <row r="125" spans="1:3" ht="13" x14ac:dyDescent="0.15">
      <c r="A125" s="10"/>
      <c r="B125" s="13"/>
      <c r="C125" s="13"/>
    </row>
    <row r="126" spans="1:3" ht="13" x14ac:dyDescent="0.15">
      <c r="A126" s="10"/>
      <c r="B126" s="13"/>
      <c r="C126" s="13"/>
    </row>
    <row r="127" spans="1:3" ht="13" x14ac:dyDescent="0.15">
      <c r="A127" s="10"/>
      <c r="B127" s="13"/>
      <c r="C127" s="13"/>
    </row>
    <row r="128" spans="1:3" ht="13" x14ac:dyDescent="0.15">
      <c r="A128" s="10"/>
      <c r="B128" s="13"/>
      <c r="C128" s="13"/>
    </row>
    <row r="129" spans="1:3" ht="13" x14ac:dyDescent="0.15">
      <c r="A129" s="10"/>
      <c r="B129" s="13"/>
      <c r="C129" s="13"/>
    </row>
    <row r="130" spans="1:3" ht="13" x14ac:dyDescent="0.15">
      <c r="A130" s="10"/>
      <c r="B130" s="13"/>
      <c r="C130" s="13"/>
    </row>
    <row r="131" spans="1:3" ht="13" x14ac:dyDescent="0.15">
      <c r="A131" s="10"/>
      <c r="B131" s="13"/>
      <c r="C131" s="13"/>
    </row>
    <row r="132" spans="1:3" ht="13" x14ac:dyDescent="0.15">
      <c r="A132" s="10"/>
      <c r="B132" s="13"/>
      <c r="C132" s="13"/>
    </row>
    <row r="133" spans="1:3" ht="13" x14ac:dyDescent="0.15">
      <c r="A133" s="10"/>
      <c r="B133" s="13"/>
      <c r="C133" s="13"/>
    </row>
    <row r="134" spans="1:3" ht="13" x14ac:dyDescent="0.15">
      <c r="A134" s="10"/>
      <c r="B134" s="13"/>
      <c r="C134" s="13"/>
    </row>
    <row r="135" spans="1:3" ht="13" x14ac:dyDescent="0.15">
      <c r="A135" s="10"/>
      <c r="B135" s="13"/>
      <c r="C135" s="13"/>
    </row>
    <row r="136" spans="1:3" ht="13" x14ac:dyDescent="0.15">
      <c r="A136" s="10"/>
      <c r="B136" s="13"/>
      <c r="C136" s="13"/>
    </row>
    <row r="137" spans="1:3" ht="13" x14ac:dyDescent="0.15">
      <c r="A137" s="10"/>
      <c r="B137" s="13"/>
      <c r="C137" s="13"/>
    </row>
    <row r="138" spans="1:3" ht="13" x14ac:dyDescent="0.15">
      <c r="A138" s="10"/>
      <c r="B138" s="13"/>
      <c r="C138" s="13"/>
    </row>
    <row r="139" spans="1:3" ht="13" x14ac:dyDescent="0.15">
      <c r="A139" s="10"/>
      <c r="B139" s="13"/>
      <c r="C139" s="13"/>
    </row>
    <row r="140" spans="1:3" ht="13" x14ac:dyDescent="0.15">
      <c r="A140" s="10"/>
      <c r="B140" s="13"/>
      <c r="C140" s="13"/>
    </row>
    <row r="141" spans="1:3" ht="13" x14ac:dyDescent="0.15">
      <c r="A141" s="10"/>
      <c r="B141" s="13"/>
      <c r="C141" s="13"/>
    </row>
    <row r="142" spans="1:3" ht="13" x14ac:dyDescent="0.15">
      <c r="A142" s="10"/>
      <c r="B142" s="13"/>
      <c r="C142" s="13"/>
    </row>
    <row r="143" spans="1:3" ht="13" x14ac:dyDescent="0.15">
      <c r="A143" s="10"/>
      <c r="B143" s="13"/>
      <c r="C143" s="13"/>
    </row>
    <row r="144" spans="1:3" ht="13" x14ac:dyDescent="0.15">
      <c r="A144" s="10"/>
      <c r="B144" s="13"/>
      <c r="C144" s="13"/>
    </row>
    <row r="145" spans="1:3" ht="13" x14ac:dyDescent="0.15">
      <c r="A145" s="10"/>
      <c r="B145" s="13"/>
      <c r="C145" s="13"/>
    </row>
    <row r="146" spans="1:3" ht="13" x14ac:dyDescent="0.15">
      <c r="A146" s="10"/>
      <c r="B146" s="13"/>
      <c r="C146" s="13"/>
    </row>
    <row r="147" spans="1:3" ht="13" x14ac:dyDescent="0.15">
      <c r="A147" s="10"/>
      <c r="B147" s="13"/>
      <c r="C147" s="13"/>
    </row>
    <row r="148" spans="1:3" ht="13" x14ac:dyDescent="0.15">
      <c r="A148" s="10"/>
      <c r="B148" s="13"/>
      <c r="C148" s="13"/>
    </row>
    <row r="149" spans="1:3" ht="13" x14ac:dyDescent="0.15">
      <c r="A149" s="10"/>
      <c r="B149" s="13"/>
      <c r="C149" s="13"/>
    </row>
    <row r="150" spans="1:3" ht="13" x14ac:dyDescent="0.15">
      <c r="A150" s="10"/>
      <c r="B150" s="13"/>
      <c r="C150" s="13"/>
    </row>
    <row r="151" spans="1:3" ht="13" x14ac:dyDescent="0.15">
      <c r="A151" s="10"/>
      <c r="B151" s="13"/>
      <c r="C151" s="13"/>
    </row>
    <row r="152" spans="1:3" ht="13" x14ac:dyDescent="0.15">
      <c r="A152" s="10"/>
      <c r="B152" s="13"/>
      <c r="C152" s="13"/>
    </row>
    <row r="153" spans="1:3" ht="13" x14ac:dyDescent="0.15">
      <c r="A153" s="10"/>
      <c r="B153" s="13"/>
      <c r="C153" s="13"/>
    </row>
    <row r="154" spans="1:3" ht="13" x14ac:dyDescent="0.15">
      <c r="A154" s="10"/>
      <c r="B154" s="13"/>
      <c r="C154" s="13"/>
    </row>
    <row r="155" spans="1:3" ht="13" x14ac:dyDescent="0.15">
      <c r="A155" s="10"/>
      <c r="B155" s="13"/>
      <c r="C155" s="13"/>
    </row>
    <row r="156" spans="1:3" ht="13" x14ac:dyDescent="0.15">
      <c r="A156" s="10"/>
      <c r="B156" s="13"/>
      <c r="C156" s="13"/>
    </row>
    <row r="157" spans="1:3" ht="13" x14ac:dyDescent="0.15">
      <c r="A157" s="10"/>
      <c r="B157" s="13"/>
      <c r="C157" s="13"/>
    </row>
    <row r="158" spans="1:3" ht="13" x14ac:dyDescent="0.15">
      <c r="A158" s="10"/>
      <c r="B158" s="13"/>
      <c r="C158" s="13"/>
    </row>
    <row r="159" spans="1:3" ht="13" x14ac:dyDescent="0.15">
      <c r="A159" s="10"/>
      <c r="B159" s="13"/>
      <c r="C159" s="13"/>
    </row>
    <row r="160" spans="1:3" ht="13" x14ac:dyDescent="0.15">
      <c r="A160" s="10"/>
      <c r="B160" s="13"/>
      <c r="C160" s="13"/>
    </row>
    <row r="161" spans="1:3" ht="13" x14ac:dyDescent="0.15">
      <c r="A161" s="10"/>
      <c r="B161" s="13"/>
      <c r="C161" s="13"/>
    </row>
    <row r="162" spans="1:3" ht="13" x14ac:dyDescent="0.15">
      <c r="A162" s="10"/>
      <c r="B162" s="13"/>
      <c r="C162" s="13"/>
    </row>
    <row r="163" spans="1:3" ht="13" x14ac:dyDescent="0.15">
      <c r="A163" s="10"/>
      <c r="B163" s="13"/>
      <c r="C163" s="13"/>
    </row>
    <row r="164" spans="1:3" ht="13" x14ac:dyDescent="0.15">
      <c r="A164" s="10"/>
      <c r="B164" s="13"/>
      <c r="C164" s="13"/>
    </row>
    <row r="165" spans="1:3" ht="13" x14ac:dyDescent="0.15">
      <c r="A165" s="10"/>
      <c r="B165" s="13"/>
      <c r="C165" s="13"/>
    </row>
    <row r="166" spans="1:3" ht="13" x14ac:dyDescent="0.15">
      <c r="A166" s="10"/>
      <c r="B166" s="13"/>
      <c r="C166" s="13"/>
    </row>
    <row r="167" spans="1:3" ht="13" x14ac:dyDescent="0.15">
      <c r="A167" s="10"/>
      <c r="B167" s="13"/>
      <c r="C167" s="13"/>
    </row>
    <row r="168" spans="1:3" ht="13" x14ac:dyDescent="0.15">
      <c r="A168" s="10"/>
      <c r="B168" s="13"/>
      <c r="C168" s="13"/>
    </row>
    <row r="169" spans="1:3" ht="13" x14ac:dyDescent="0.15">
      <c r="A169" s="10"/>
      <c r="B169" s="13"/>
      <c r="C169" s="13"/>
    </row>
    <row r="170" spans="1:3" ht="13" x14ac:dyDescent="0.15">
      <c r="A170" s="10"/>
      <c r="B170" s="13"/>
      <c r="C170" s="13"/>
    </row>
    <row r="171" spans="1:3" ht="13" x14ac:dyDescent="0.15">
      <c r="A171" s="10"/>
      <c r="B171" s="13"/>
      <c r="C171" s="13"/>
    </row>
    <row r="172" spans="1:3" ht="13" x14ac:dyDescent="0.15">
      <c r="A172" s="10"/>
      <c r="B172" s="13"/>
      <c r="C172" s="13"/>
    </row>
    <row r="173" spans="1:3" ht="13" x14ac:dyDescent="0.15">
      <c r="A173" s="10"/>
      <c r="B173" s="13"/>
      <c r="C173" s="13"/>
    </row>
    <row r="174" spans="1:3" ht="13" x14ac:dyDescent="0.15">
      <c r="A174" s="10"/>
      <c r="B174" s="13"/>
      <c r="C174" s="13"/>
    </row>
    <row r="175" spans="1:3" ht="13" x14ac:dyDescent="0.15">
      <c r="A175" s="10"/>
      <c r="B175" s="13"/>
      <c r="C175" s="13"/>
    </row>
    <row r="176" spans="1:3" ht="13" x14ac:dyDescent="0.15">
      <c r="A176" s="10"/>
      <c r="B176" s="13"/>
      <c r="C176" s="13"/>
    </row>
    <row r="177" spans="1:3" ht="13" x14ac:dyDescent="0.15">
      <c r="A177" s="10"/>
      <c r="B177" s="13"/>
      <c r="C177" s="13"/>
    </row>
    <row r="178" spans="1:3" ht="13" x14ac:dyDescent="0.15">
      <c r="A178" s="10"/>
      <c r="B178" s="13"/>
      <c r="C178" s="13"/>
    </row>
    <row r="179" spans="1:3" ht="13" x14ac:dyDescent="0.15">
      <c r="A179" s="10"/>
      <c r="B179" s="13"/>
      <c r="C179" s="13"/>
    </row>
    <row r="180" spans="1:3" ht="13" x14ac:dyDescent="0.15">
      <c r="A180" s="10"/>
      <c r="B180" s="13"/>
      <c r="C180" s="13"/>
    </row>
    <row r="181" spans="1:3" ht="13" x14ac:dyDescent="0.15">
      <c r="A181" s="10"/>
      <c r="B181" s="13"/>
      <c r="C181" s="13"/>
    </row>
    <row r="182" spans="1:3" ht="13" x14ac:dyDescent="0.15">
      <c r="A182" s="10"/>
      <c r="B182" s="13"/>
      <c r="C182" s="13"/>
    </row>
    <row r="183" spans="1:3" ht="13" x14ac:dyDescent="0.15">
      <c r="A183" s="10"/>
      <c r="B183" s="13"/>
      <c r="C183" s="13"/>
    </row>
    <row r="184" spans="1:3" ht="13" x14ac:dyDescent="0.15">
      <c r="A184" s="10"/>
      <c r="B184" s="13"/>
      <c r="C184" s="13"/>
    </row>
    <row r="185" spans="1:3" ht="13" x14ac:dyDescent="0.15">
      <c r="A185" s="10"/>
      <c r="B185" s="13"/>
      <c r="C185" s="13"/>
    </row>
    <row r="186" spans="1:3" ht="13" x14ac:dyDescent="0.15">
      <c r="A186" s="10"/>
      <c r="B186" s="13"/>
      <c r="C186" s="13"/>
    </row>
    <row r="187" spans="1:3" ht="13" x14ac:dyDescent="0.15">
      <c r="A187" s="10"/>
      <c r="B187" s="13"/>
      <c r="C187" s="13"/>
    </row>
    <row r="188" spans="1:3" ht="13" x14ac:dyDescent="0.15">
      <c r="A188" s="10"/>
      <c r="B188" s="13"/>
      <c r="C188" s="13"/>
    </row>
    <row r="189" spans="1:3" ht="13" x14ac:dyDescent="0.15">
      <c r="A189" s="10"/>
      <c r="B189" s="13"/>
      <c r="C189" s="13"/>
    </row>
    <row r="190" spans="1:3" ht="13" x14ac:dyDescent="0.15">
      <c r="A190" s="10"/>
      <c r="B190" s="13"/>
      <c r="C190" s="13"/>
    </row>
    <row r="191" spans="1:3" ht="13" x14ac:dyDescent="0.15">
      <c r="A191" s="10"/>
      <c r="B191" s="13"/>
      <c r="C191" s="13"/>
    </row>
    <row r="192" spans="1:3" ht="13" x14ac:dyDescent="0.15">
      <c r="A192" s="10"/>
      <c r="B192" s="13"/>
      <c r="C192" s="13"/>
    </row>
    <row r="193" spans="1:3" ht="13" x14ac:dyDescent="0.15">
      <c r="A193" s="10"/>
      <c r="B193" s="13"/>
      <c r="C193" s="13"/>
    </row>
    <row r="194" spans="1:3" ht="13" x14ac:dyDescent="0.15">
      <c r="A194" s="10"/>
      <c r="B194" s="13"/>
      <c r="C194" s="13"/>
    </row>
    <row r="195" spans="1:3" ht="13" x14ac:dyDescent="0.15">
      <c r="A195" s="10"/>
      <c r="B195" s="13"/>
      <c r="C195" s="13"/>
    </row>
    <row r="196" spans="1:3" ht="13" x14ac:dyDescent="0.15">
      <c r="A196" s="10"/>
      <c r="B196" s="13"/>
      <c r="C196" s="13"/>
    </row>
    <row r="197" spans="1:3" ht="13" x14ac:dyDescent="0.15">
      <c r="A197" s="10"/>
      <c r="B197" s="13"/>
      <c r="C197" s="13"/>
    </row>
    <row r="198" spans="1:3" ht="13" x14ac:dyDescent="0.15">
      <c r="A198" s="10"/>
      <c r="B198" s="13"/>
      <c r="C198" s="13"/>
    </row>
    <row r="199" spans="1:3" ht="13" x14ac:dyDescent="0.15">
      <c r="A199" s="10"/>
      <c r="B199" s="13"/>
      <c r="C199" s="13"/>
    </row>
    <row r="200" spans="1:3" ht="13" x14ac:dyDescent="0.15">
      <c r="A200" s="10"/>
      <c r="B200" s="13"/>
      <c r="C200" s="13"/>
    </row>
    <row r="201" spans="1:3" ht="13" x14ac:dyDescent="0.15">
      <c r="A201" s="10"/>
      <c r="B201" s="13"/>
      <c r="C201" s="13"/>
    </row>
    <row r="202" spans="1:3" ht="13" x14ac:dyDescent="0.15">
      <c r="A202" s="10"/>
      <c r="B202" s="13"/>
      <c r="C202" s="13"/>
    </row>
    <row r="203" spans="1:3" ht="13" x14ac:dyDescent="0.15">
      <c r="A203" s="10"/>
      <c r="B203" s="13"/>
      <c r="C203" s="13"/>
    </row>
    <row r="204" spans="1:3" ht="13" x14ac:dyDescent="0.15">
      <c r="A204" s="10"/>
      <c r="B204" s="13"/>
      <c r="C204" s="13"/>
    </row>
    <row r="205" spans="1:3" ht="13" x14ac:dyDescent="0.15">
      <c r="A205" s="10"/>
      <c r="B205" s="13"/>
      <c r="C205" s="13"/>
    </row>
    <row r="206" spans="1:3" ht="13" x14ac:dyDescent="0.15">
      <c r="A206" s="10"/>
      <c r="B206" s="13"/>
      <c r="C206" s="13"/>
    </row>
    <row r="207" spans="1:3" ht="13" x14ac:dyDescent="0.15">
      <c r="A207" s="10"/>
      <c r="B207" s="13"/>
      <c r="C207" s="13"/>
    </row>
    <row r="208" spans="1:3" ht="13" x14ac:dyDescent="0.15">
      <c r="A208" s="10"/>
      <c r="B208" s="13"/>
      <c r="C208" s="13"/>
    </row>
    <row r="209" spans="1:3" ht="13" x14ac:dyDescent="0.15">
      <c r="A209" s="10"/>
      <c r="B209" s="13"/>
      <c r="C209" s="13"/>
    </row>
    <row r="210" spans="1:3" ht="13" x14ac:dyDescent="0.15">
      <c r="A210" s="10"/>
      <c r="B210" s="13"/>
      <c r="C210" s="13"/>
    </row>
    <row r="211" spans="1:3" ht="13" x14ac:dyDescent="0.15">
      <c r="A211" s="10"/>
      <c r="B211" s="13"/>
      <c r="C211" s="13"/>
    </row>
    <row r="212" spans="1:3" ht="13" x14ac:dyDescent="0.15">
      <c r="A212" s="10"/>
      <c r="B212" s="13"/>
      <c r="C212" s="13"/>
    </row>
    <row r="213" spans="1:3" ht="13" x14ac:dyDescent="0.15">
      <c r="A213" s="10"/>
      <c r="B213" s="13"/>
      <c r="C213" s="13"/>
    </row>
    <row r="214" spans="1:3" ht="13" x14ac:dyDescent="0.15">
      <c r="A214" s="10"/>
      <c r="B214" s="13"/>
      <c r="C214" s="13"/>
    </row>
    <row r="215" spans="1:3" ht="13" x14ac:dyDescent="0.15">
      <c r="A215" s="10"/>
      <c r="B215" s="13"/>
      <c r="C215" s="13"/>
    </row>
    <row r="216" spans="1:3" ht="13" x14ac:dyDescent="0.15">
      <c r="A216" s="10"/>
      <c r="B216" s="13"/>
      <c r="C216" s="13"/>
    </row>
    <row r="217" spans="1:3" ht="13" x14ac:dyDescent="0.15">
      <c r="A217" s="10"/>
      <c r="B217" s="13"/>
      <c r="C217" s="13"/>
    </row>
    <row r="218" spans="1:3" ht="13" x14ac:dyDescent="0.15">
      <c r="A218" s="10"/>
      <c r="B218" s="13"/>
      <c r="C218" s="13"/>
    </row>
    <row r="219" spans="1:3" ht="13" x14ac:dyDescent="0.15">
      <c r="A219" s="10"/>
      <c r="B219" s="13"/>
      <c r="C219" s="13"/>
    </row>
    <row r="220" spans="1:3" ht="13" x14ac:dyDescent="0.15">
      <c r="A220" s="10"/>
      <c r="B220" s="13"/>
      <c r="C220" s="13"/>
    </row>
    <row r="221" spans="1:3" ht="13" x14ac:dyDescent="0.15">
      <c r="A221" s="10"/>
      <c r="B221" s="13"/>
      <c r="C221" s="13"/>
    </row>
    <row r="222" spans="1:3" ht="13" x14ac:dyDescent="0.15">
      <c r="A222" s="10"/>
      <c r="B222" s="13"/>
      <c r="C222" s="13"/>
    </row>
    <row r="223" spans="1:3" ht="13" x14ac:dyDescent="0.15">
      <c r="A223" s="10"/>
      <c r="B223" s="13"/>
      <c r="C223" s="13"/>
    </row>
    <row r="224" spans="1:3" ht="13" x14ac:dyDescent="0.15">
      <c r="A224" s="10"/>
      <c r="B224" s="13"/>
      <c r="C224" s="13"/>
    </row>
    <row r="225" spans="1:3" ht="13" x14ac:dyDescent="0.15">
      <c r="A225" s="10"/>
      <c r="B225" s="13"/>
      <c r="C225" s="13"/>
    </row>
    <row r="226" spans="1:3" ht="13" x14ac:dyDescent="0.15">
      <c r="A226" s="10"/>
      <c r="B226" s="13"/>
      <c r="C226" s="13"/>
    </row>
    <row r="227" spans="1:3" ht="13" x14ac:dyDescent="0.15">
      <c r="A227" s="10"/>
      <c r="B227" s="13"/>
      <c r="C227" s="13"/>
    </row>
    <row r="228" spans="1:3" ht="13" x14ac:dyDescent="0.15">
      <c r="A228" s="10"/>
      <c r="B228" s="13"/>
      <c r="C228" s="13"/>
    </row>
    <row r="229" spans="1:3" ht="13" x14ac:dyDescent="0.15">
      <c r="A229" s="10"/>
      <c r="B229" s="13"/>
      <c r="C229" s="13"/>
    </row>
    <row r="230" spans="1:3" ht="13" x14ac:dyDescent="0.15">
      <c r="A230" s="10"/>
      <c r="B230" s="13"/>
      <c r="C230" s="13"/>
    </row>
    <row r="231" spans="1:3" ht="13" x14ac:dyDescent="0.15">
      <c r="A231" s="10"/>
      <c r="B231" s="13"/>
      <c r="C231" s="13"/>
    </row>
    <row r="232" spans="1:3" ht="13" x14ac:dyDescent="0.15">
      <c r="A232" s="10"/>
      <c r="B232" s="13"/>
      <c r="C232" s="13"/>
    </row>
    <row r="233" spans="1:3" ht="13" x14ac:dyDescent="0.15">
      <c r="A233" s="10"/>
      <c r="B233" s="13"/>
      <c r="C233" s="13"/>
    </row>
    <row r="234" spans="1:3" ht="13" x14ac:dyDescent="0.15">
      <c r="A234" s="10"/>
      <c r="B234" s="13"/>
      <c r="C234" s="13"/>
    </row>
    <row r="235" spans="1:3" ht="13" x14ac:dyDescent="0.15">
      <c r="A235" s="10"/>
      <c r="B235" s="13"/>
      <c r="C235" s="13"/>
    </row>
    <row r="236" spans="1:3" ht="13" x14ac:dyDescent="0.15">
      <c r="A236" s="10"/>
      <c r="B236" s="13"/>
      <c r="C236" s="13"/>
    </row>
    <row r="237" spans="1:3" ht="13" x14ac:dyDescent="0.15">
      <c r="A237" s="10"/>
      <c r="B237" s="13"/>
      <c r="C237" s="13"/>
    </row>
    <row r="238" spans="1:3" ht="13" x14ac:dyDescent="0.15">
      <c r="A238" s="10"/>
      <c r="B238" s="13"/>
      <c r="C238" s="13"/>
    </row>
    <row r="239" spans="1:3" ht="13" x14ac:dyDescent="0.15">
      <c r="A239" s="10"/>
      <c r="B239" s="13"/>
      <c r="C239" s="13"/>
    </row>
    <row r="240" spans="1:3" ht="13" x14ac:dyDescent="0.15">
      <c r="A240" s="10"/>
      <c r="B240" s="13"/>
      <c r="C240" s="13"/>
    </row>
    <row r="241" spans="1:3" ht="13" x14ac:dyDescent="0.15">
      <c r="A241" s="10"/>
      <c r="B241" s="13"/>
      <c r="C241" s="13"/>
    </row>
    <row r="242" spans="1:3" ht="13" x14ac:dyDescent="0.15">
      <c r="A242" s="10"/>
      <c r="B242" s="13"/>
      <c r="C242" s="13"/>
    </row>
    <row r="243" spans="1:3" ht="13" x14ac:dyDescent="0.15">
      <c r="A243" s="10"/>
      <c r="B243" s="13"/>
      <c r="C243" s="13"/>
    </row>
    <row r="244" spans="1:3" ht="13" x14ac:dyDescent="0.15">
      <c r="A244" s="10"/>
      <c r="B244" s="13"/>
      <c r="C244" s="13"/>
    </row>
    <row r="245" spans="1:3" ht="13" x14ac:dyDescent="0.15">
      <c r="A245" s="10"/>
      <c r="B245" s="13"/>
      <c r="C245" s="13"/>
    </row>
    <row r="246" spans="1:3" ht="13" x14ac:dyDescent="0.15">
      <c r="A246" s="10"/>
      <c r="B246" s="13"/>
      <c r="C246" s="13"/>
    </row>
    <row r="247" spans="1:3" ht="13" x14ac:dyDescent="0.15">
      <c r="A247" s="10"/>
      <c r="B247" s="13"/>
      <c r="C247" s="13"/>
    </row>
    <row r="248" spans="1:3" ht="13" x14ac:dyDescent="0.15">
      <c r="A248" s="10"/>
      <c r="B248" s="13"/>
      <c r="C248" s="13"/>
    </row>
    <row r="249" spans="1:3" ht="13" x14ac:dyDescent="0.15">
      <c r="A249" s="10"/>
      <c r="B249" s="13"/>
      <c r="C249" s="13"/>
    </row>
    <row r="250" spans="1:3" ht="13" x14ac:dyDescent="0.15">
      <c r="A250" s="10"/>
      <c r="B250" s="13"/>
      <c r="C250" s="13"/>
    </row>
    <row r="251" spans="1:3" ht="13" x14ac:dyDescent="0.15">
      <c r="A251" s="10"/>
      <c r="B251" s="13"/>
      <c r="C251" s="13"/>
    </row>
    <row r="252" spans="1:3" ht="13" x14ac:dyDescent="0.15">
      <c r="A252" s="10"/>
      <c r="B252" s="13"/>
      <c r="C252" s="13"/>
    </row>
    <row r="253" spans="1:3" ht="13" x14ac:dyDescent="0.15">
      <c r="A253" s="10"/>
      <c r="B253" s="13"/>
      <c r="C253" s="13"/>
    </row>
    <row r="254" spans="1:3" ht="13" x14ac:dyDescent="0.15">
      <c r="A254" s="10"/>
      <c r="B254" s="13"/>
      <c r="C254" s="13"/>
    </row>
    <row r="255" spans="1:3" ht="13" x14ac:dyDescent="0.15">
      <c r="A255" s="10"/>
      <c r="B255" s="13"/>
      <c r="C255" s="13"/>
    </row>
    <row r="256" spans="1:3" ht="13" x14ac:dyDescent="0.15">
      <c r="A256" s="10"/>
      <c r="B256" s="13"/>
      <c r="C256" s="13"/>
    </row>
    <row r="257" spans="1:3" ht="13" x14ac:dyDescent="0.15">
      <c r="A257" s="10"/>
      <c r="B257" s="13"/>
      <c r="C257" s="13"/>
    </row>
    <row r="258" spans="1:3" ht="13" x14ac:dyDescent="0.15">
      <c r="A258" s="10"/>
      <c r="B258" s="13"/>
      <c r="C258" s="13"/>
    </row>
    <row r="259" spans="1:3" ht="13" x14ac:dyDescent="0.15">
      <c r="A259" s="10"/>
      <c r="B259" s="13"/>
      <c r="C259" s="13"/>
    </row>
    <row r="260" spans="1:3" ht="13" x14ac:dyDescent="0.15">
      <c r="A260" s="10"/>
      <c r="B260" s="13"/>
      <c r="C260" s="13"/>
    </row>
    <row r="261" spans="1:3" ht="13" x14ac:dyDescent="0.15">
      <c r="A261" s="10"/>
      <c r="B261" s="13"/>
      <c r="C261" s="13"/>
    </row>
    <row r="262" spans="1:3" ht="13" x14ac:dyDescent="0.15">
      <c r="A262" s="10"/>
      <c r="B262" s="13"/>
      <c r="C262" s="13"/>
    </row>
    <row r="263" spans="1:3" ht="13" x14ac:dyDescent="0.15">
      <c r="A263" s="10"/>
      <c r="B263" s="13"/>
      <c r="C263" s="13"/>
    </row>
    <row r="264" spans="1:3" ht="13" x14ac:dyDescent="0.15">
      <c r="A264" s="10"/>
      <c r="B264" s="13"/>
      <c r="C264" s="13"/>
    </row>
    <row r="265" spans="1:3" ht="13" x14ac:dyDescent="0.15">
      <c r="A265" s="10"/>
      <c r="B265" s="13"/>
      <c r="C265" s="13"/>
    </row>
    <row r="266" spans="1:3" ht="13" x14ac:dyDescent="0.15">
      <c r="A266" s="10"/>
      <c r="B266" s="13"/>
      <c r="C266" s="13"/>
    </row>
    <row r="267" spans="1:3" ht="13" x14ac:dyDescent="0.15">
      <c r="A267" s="10"/>
      <c r="B267" s="13"/>
      <c r="C267" s="13"/>
    </row>
    <row r="268" spans="1:3" ht="13" x14ac:dyDescent="0.15">
      <c r="A268" s="10"/>
      <c r="B268" s="13"/>
      <c r="C268" s="13"/>
    </row>
    <row r="269" spans="1:3" ht="13" x14ac:dyDescent="0.15">
      <c r="A269" s="10"/>
      <c r="B269" s="13"/>
      <c r="C269" s="13"/>
    </row>
    <row r="270" spans="1:3" ht="13" x14ac:dyDescent="0.15">
      <c r="A270" s="10"/>
      <c r="B270" s="13"/>
      <c r="C270" s="13"/>
    </row>
    <row r="271" spans="1:3" ht="13" x14ac:dyDescent="0.15">
      <c r="A271" s="10"/>
      <c r="B271" s="13"/>
      <c r="C271" s="13"/>
    </row>
    <row r="272" spans="1:3" ht="13" x14ac:dyDescent="0.15">
      <c r="A272" s="10"/>
      <c r="B272" s="13"/>
      <c r="C272" s="13"/>
    </row>
    <row r="273" spans="1:3" ht="13" x14ac:dyDescent="0.15">
      <c r="A273" s="10"/>
      <c r="B273" s="13"/>
      <c r="C273" s="13"/>
    </row>
    <row r="274" spans="1:3" ht="13" x14ac:dyDescent="0.15">
      <c r="A274" s="10"/>
      <c r="B274" s="13"/>
      <c r="C274" s="13"/>
    </row>
    <row r="275" spans="1:3" ht="13" x14ac:dyDescent="0.15">
      <c r="A275" s="10"/>
      <c r="B275" s="13"/>
      <c r="C275" s="13"/>
    </row>
    <row r="276" spans="1:3" ht="13" x14ac:dyDescent="0.15">
      <c r="A276" s="10"/>
      <c r="B276" s="13"/>
      <c r="C276" s="13"/>
    </row>
    <row r="277" spans="1:3" ht="13" x14ac:dyDescent="0.15">
      <c r="A277" s="10"/>
      <c r="B277" s="13"/>
      <c r="C277" s="13"/>
    </row>
    <row r="278" spans="1:3" ht="13" x14ac:dyDescent="0.15">
      <c r="A278" s="10"/>
      <c r="B278" s="13"/>
      <c r="C278" s="13"/>
    </row>
    <row r="279" spans="1:3" ht="13" x14ac:dyDescent="0.15">
      <c r="A279" s="10"/>
      <c r="B279" s="13"/>
      <c r="C279" s="13"/>
    </row>
    <row r="280" spans="1:3" ht="13" x14ac:dyDescent="0.15">
      <c r="A280" s="10"/>
      <c r="B280" s="13"/>
      <c r="C280" s="13"/>
    </row>
    <row r="281" spans="1:3" ht="13" x14ac:dyDescent="0.15">
      <c r="A281" s="10"/>
      <c r="B281" s="13"/>
      <c r="C281" s="13"/>
    </row>
    <row r="282" spans="1:3" ht="13" x14ac:dyDescent="0.15">
      <c r="A282" s="10"/>
      <c r="B282" s="13"/>
      <c r="C282" s="13"/>
    </row>
    <row r="283" spans="1:3" ht="13" x14ac:dyDescent="0.15">
      <c r="A283" s="10"/>
      <c r="B283" s="13"/>
      <c r="C283" s="13"/>
    </row>
    <row r="284" spans="1:3" ht="13" x14ac:dyDescent="0.15">
      <c r="A284" s="10"/>
      <c r="B284" s="13"/>
      <c r="C284" s="13"/>
    </row>
    <row r="285" spans="1:3" ht="13" x14ac:dyDescent="0.15">
      <c r="A285" s="10"/>
      <c r="B285" s="13"/>
      <c r="C285" s="13"/>
    </row>
    <row r="286" spans="1:3" ht="13" x14ac:dyDescent="0.15">
      <c r="A286" s="10"/>
      <c r="B286" s="13"/>
      <c r="C286" s="13"/>
    </row>
    <row r="287" spans="1:3" ht="13" x14ac:dyDescent="0.15">
      <c r="A287" s="10"/>
      <c r="B287" s="13"/>
      <c r="C287" s="13"/>
    </row>
    <row r="288" spans="1:3" ht="13" x14ac:dyDescent="0.15">
      <c r="A288" s="10"/>
      <c r="B288" s="13"/>
      <c r="C288" s="13"/>
    </row>
    <row r="289" spans="1:3" ht="13" x14ac:dyDescent="0.15">
      <c r="A289" s="10"/>
      <c r="B289" s="13"/>
      <c r="C289" s="13"/>
    </row>
    <row r="290" spans="1:3" ht="13" x14ac:dyDescent="0.15">
      <c r="A290" s="10"/>
      <c r="B290" s="13"/>
      <c r="C290" s="13"/>
    </row>
    <row r="291" spans="1:3" ht="13" x14ac:dyDescent="0.15">
      <c r="A291" s="10"/>
      <c r="B291" s="13"/>
      <c r="C291" s="13"/>
    </row>
    <row r="292" spans="1:3" ht="13" x14ac:dyDescent="0.15">
      <c r="A292" s="10"/>
      <c r="B292" s="13"/>
      <c r="C292" s="13"/>
    </row>
    <row r="293" spans="1:3" ht="13" x14ac:dyDescent="0.15">
      <c r="A293" s="10"/>
      <c r="B293" s="13"/>
      <c r="C293" s="13"/>
    </row>
    <row r="294" spans="1:3" ht="13" x14ac:dyDescent="0.15">
      <c r="A294" s="10"/>
      <c r="B294" s="13"/>
      <c r="C294" s="13"/>
    </row>
    <row r="295" spans="1:3" ht="13" x14ac:dyDescent="0.15">
      <c r="A295" s="10"/>
      <c r="B295" s="13"/>
      <c r="C295" s="13"/>
    </row>
    <row r="296" spans="1:3" ht="13" x14ac:dyDescent="0.15">
      <c r="A296" s="10"/>
      <c r="B296" s="13"/>
      <c r="C296" s="13"/>
    </row>
    <row r="297" spans="1:3" ht="13" x14ac:dyDescent="0.15">
      <c r="A297" s="10"/>
      <c r="B297" s="13"/>
      <c r="C297" s="13"/>
    </row>
    <row r="298" spans="1:3" ht="13" x14ac:dyDescent="0.15">
      <c r="A298" s="10"/>
      <c r="B298" s="13"/>
      <c r="C298" s="13"/>
    </row>
    <row r="299" spans="1:3" ht="13" x14ac:dyDescent="0.15">
      <c r="A299" s="10"/>
      <c r="B299" s="13"/>
      <c r="C299" s="13"/>
    </row>
    <row r="300" spans="1:3" ht="13" x14ac:dyDescent="0.15">
      <c r="A300" s="10"/>
      <c r="B300" s="13"/>
      <c r="C300" s="13"/>
    </row>
    <row r="301" spans="1:3" ht="13" x14ac:dyDescent="0.15">
      <c r="A301" s="10"/>
      <c r="B301" s="13"/>
      <c r="C301" s="13"/>
    </row>
    <row r="302" spans="1:3" ht="13" x14ac:dyDescent="0.15">
      <c r="A302" s="10"/>
      <c r="B302" s="13"/>
      <c r="C302" s="13"/>
    </row>
    <row r="303" spans="1:3" ht="13" x14ac:dyDescent="0.15">
      <c r="A303" s="10"/>
      <c r="B303" s="13"/>
      <c r="C303" s="13"/>
    </row>
    <row r="304" spans="1:3" ht="13" x14ac:dyDescent="0.15">
      <c r="A304" s="10"/>
      <c r="B304" s="13"/>
      <c r="C304" s="13"/>
    </row>
    <row r="305" spans="1:3" ht="13" x14ac:dyDescent="0.15">
      <c r="A305" s="10"/>
      <c r="B305" s="13"/>
      <c r="C305" s="13"/>
    </row>
    <row r="306" spans="1:3" ht="13" x14ac:dyDescent="0.15">
      <c r="A306" s="10"/>
      <c r="B306" s="13"/>
      <c r="C306" s="13"/>
    </row>
    <row r="307" spans="1:3" ht="13" x14ac:dyDescent="0.15">
      <c r="A307" s="10"/>
      <c r="B307" s="13"/>
      <c r="C307" s="13"/>
    </row>
    <row r="308" spans="1:3" ht="13" x14ac:dyDescent="0.15">
      <c r="A308" s="10"/>
      <c r="B308" s="13"/>
      <c r="C308" s="13"/>
    </row>
    <row r="309" spans="1:3" ht="13" x14ac:dyDescent="0.15">
      <c r="A309" s="10"/>
      <c r="B309" s="13"/>
      <c r="C309" s="13"/>
    </row>
    <row r="310" spans="1:3" ht="13" x14ac:dyDescent="0.15">
      <c r="A310" s="10"/>
      <c r="B310" s="13"/>
      <c r="C310" s="13"/>
    </row>
    <row r="311" spans="1:3" ht="13" x14ac:dyDescent="0.15">
      <c r="A311" s="10"/>
      <c r="B311" s="13"/>
      <c r="C311" s="13"/>
    </row>
    <row r="312" spans="1:3" ht="13" x14ac:dyDescent="0.15">
      <c r="A312" s="10"/>
      <c r="B312" s="13"/>
      <c r="C312" s="13"/>
    </row>
    <row r="313" spans="1:3" ht="13" x14ac:dyDescent="0.15">
      <c r="A313" s="10"/>
      <c r="B313" s="13"/>
      <c r="C313" s="13"/>
    </row>
    <row r="314" spans="1:3" ht="13" x14ac:dyDescent="0.15">
      <c r="A314" s="10"/>
      <c r="B314" s="13"/>
      <c r="C314" s="13"/>
    </row>
    <row r="315" spans="1:3" ht="13" x14ac:dyDescent="0.15">
      <c r="A315" s="10"/>
      <c r="B315" s="13"/>
      <c r="C315" s="13"/>
    </row>
    <row r="316" spans="1:3" ht="13" x14ac:dyDescent="0.15">
      <c r="A316" s="10"/>
      <c r="B316" s="13"/>
      <c r="C316" s="13"/>
    </row>
    <row r="317" spans="1:3" ht="13" x14ac:dyDescent="0.15">
      <c r="A317" s="10"/>
      <c r="B317" s="13"/>
      <c r="C317" s="13"/>
    </row>
    <row r="318" spans="1:3" ht="13" x14ac:dyDescent="0.15">
      <c r="A318" s="10"/>
      <c r="B318" s="13"/>
      <c r="C318" s="13"/>
    </row>
    <row r="319" spans="1:3" ht="13" x14ac:dyDescent="0.15">
      <c r="A319" s="10"/>
      <c r="B319" s="13"/>
      <c r="C319" s="13"/>
    </row>
    <row r="320" spans="1:3" ht="13" x14ac:dyDescent="0.15">
      <c r="A320" s="10"/>
      <c r="B320" s="13"/>
      <c r="C320" s="13"/>
    </row>
    <row r="321" spans="1:3" ht="13" x14ac:dyDescent="0.15">
      <c r="A321" s="10"/>
      <c r="B321" s="13"/>
      <c r="C321" s="13"/>
    </row>
    <row r="322" spans="1:3" ht="13" x14ac:dyDescent="0.15">
      <c r="A322" s="10"/>
      <c r="B322" s="13"/>
      <c r="C322" s="13"/>
    </row>
    <row r="323" spans="1:3" ht="13" x14ac:dyDescent="0.15">
      <c r="A323" s="10"/>
      <c r="B323" s="13"/>
      <c r="C323" s="13"/>
    </row>
    <row r="324" spans="1:3" ht="13" x14ac:dyDescent="0.15">
      <c r="A324" s="10"/>
      <c r="B324" s="13"/>
      <c r="C324" s="13"/>
    </row>
    <row r="325" spans="1:3" ht="13" x14ac:dyDescent="0.15">
      <c r="A325" s="10"/>
      <c r="B325" s="13"/>
      <c r="C325" s="13"/>
    </row>
    <row r="326" spans="1:3" ht="13" x14ac:dyDescent="0.15">
      <c r="A326" s="10"/>
      <c r="B326" s="13"/>
      <c r="C326" s="13"/>
    </row>
    <row r="327" spans="1:3" ht="13" x14ac:dyDescent="0.15">
      <c r="A327" s="10"/>
      <c r="B327" s="13"/>
      <c r="C327" s="13"/>
    </row>
    <row r="328" spans="1:3" ht="13" x14ac:dyDescent="0.15">
      <c r="A328" s="10"/>
      <c r="B328" s="13"/>
      <c r="C328" s="13"/>
    </row>
    <row r="329" spans="1:3" ht="13" x14ac:dyDescent="0.15">
      <c r="A329" s="10"/>
      <c r="B329" s="13"/>
      <c r="C329" s="13"/>
    </row>
    <row r="330" spans="1:3" ht="13" x14ac:dyDescent="0.15">
      <c r="A330" s="10"/>
      <c r="B330" s="13"/>
      <c r="C330" s="13"/>
    </row>
    <row r="331" spans="1:3" ht="13" x14ac:dyDescent="0.15">
      <c r="A331" s="10"/>
      <c r="B331" s="13"/>
      <c r="C331" s="13"/>
    </row>
    <row r="332" spans="1:3" ht="13" x14ac:dyDescent="0.15">
      <c r="A332" s="10"/>
      <c r="B332" s="13"/>
      <c r="C332" s="13"/>
    </row>
    <row r="333" spans="1:3" ht="13" x14ac:dyDescent="0.15">
      <c r="A333" s="10"/>
      <c r="B333" s="13"/>
      <c r="C333" s="13"/>
    </row>
    <row r="334" spans="1:3" ht="13" x14ac:dyDescent="0.15">
      <c r="A334" s="10"/>
      <c r="B334" s="13"/>
      <c r="C334" s="13"/>
    </row>
    <row r="335" spans="1:3" ht="13" x14ac:dyDescent="0.15">
      <c r="A335" s="10"/>
      <c r="B335" s="13"/>
      <c r="C335" s="13"/>
    </row>
    <row r="336" spans="1:3" ht="13" x14ac:dyDescent="0.15">
      <c r="A336" s="10"/>
      <c r="B336" s="13"/>
      <c r="C336" s="13"/>
    </row>
    <row r="337" spans="1:3" ht="13" x14ac:dyDescent="0.15">
      <c r="A337" s="10"/>
      <c r="B337" s="13"/>
      <c r="C337" s="13"/>
    </row>
    <row r="338" spans="1:3" ht="13" x14ac:dyDescent="0.15">
      <c r="A338" s="10"/>
      <c r="B338" s="13"/>
      <c r="C338" s="13"/>
    </row>
    <row r="339" spans="1:3" ht="13" x14ac:dyDescent="0.15">
      <c r="A339" s="10"/>
      <c r="B339" s="13"/>
      <c r="C339" s="13"/>
    </row>
    <row r="340" spans="1:3" ht="13" x14ac:dyDescent="0.15">
      <c r="A340" s="10"/>
      <c r="B340" s="13"/>
      <c r="C340" s="13"/>
    </row>
    <row r="341" spans="1:3" ht="13" x14ac:dyDescent="0.15">
      <c r="A341" s="10"/>
      <c r="B341" s="13"/>
      <c r="C341" s="13"/>
    </row>
    <row r="342" spans="1:3" ht="13" x14ac:dyDescent="0.15">
      <c r="A342" s="10"/>
      <c r="B342" s="13"/>
      <c r="C342" s="13"/>
    </row>
    <row r="343" spans="1:3" ht="13" x14ac:dyDescent="0.15">
      <c r="A343" s="10"/>
      <c r="B343" s="13"/>
      <c r="C343" s="13"/>
    </row>
    <row r="344" spans="1:3" ht="13" x14ac:dyDescent="0.15">
      <c r="A344" s="10"/>
      <c r="B344" s="13"/>
      <c r="C344" s="13"/>
    </row>
    <row r="345" spans="1:3" ht="13" x14ac:dyDescent="0.15">
      <c r="A345" s="10"/>
      <c r="B345" s="13"/>
      <c r="C345" s="13"/>
    </row>
    <row r="346" spans="1:3" ht="13" x14ac:dyDescent="0.15">
      <c r="A346" s="10"/>
      <c r="B346" s="13"/>
      <c r="C346" s="13"/>
    </row>
    <row r="347" spans="1:3" ht="13" x14ac:dyDescent="0.15">
      <c r="A347" s="10"/>
      <c r="B347" s="13"/>
      <c r="C347" s="13"/>
    </row>
    <row r="348" spans="1:3" ht="13" x14ac:dyDescent="0.15">
      <c r="A348" s="10"/>
      <c r="B348" s="13"/>
      <c r="C348" s="13"/>
    </row>
    <row r="349" spans="1:3" ht="13" x14ac:dyDescent="0.15">
      <c r="A349" s="10"/>
      <c r="B349" s="13"/>
      <c r="C349" s="13"/>
    </row>
    <row r="350" spans="1:3" ht="13" x14ac:dyDescent="0.15">
      <c r="A350" s="10"/>
      <c r="B350" s="13"/>
      <c r="C350" s="13"/>
    </row>
    <row r="351" spans="1:3" ht="13" x14ac:dyDescent="0.15">
      <c r="A351" s="10"/>
      <c r="B351" s="13"/>
      <c r="C351" s="13"/>
    </row>
    <row r="352" spans="1:3" ht="13" x14ac:dyDescent="0.15">
      <c r="A352" s="10"/>
      <c r="B352" s="13"/>
      <c r="C352" s="13"/>
    </row>
    <row r="353" spans="1:3" ht="13" x14ac:dyDescent="0.15">
      <c r="A353" s="10"/>
      <c r="B353" s="13"/>
      <c r="C353" s="13"/>
    </row>
    <row r="354" spans="1:3" ht="13" x14ac:dyDescent="0.15">
      <c r="A354" s="10"/>
      <c r="B354" s="13"/>
      <c r="C354" s="13"/>
    </row>
    <row r="355" spans="1:3" ht="13" x14ac:dyDescent="0.15">
      <c r="A355" s="10"/>
      <c r="B355" s="13"/>
      <c r="C355" s="13"/>
    </row>
    <row r="356" spans="1:3" ht="13" x14ac:dyDescent="0.15">
      <c r="A356" s="10"/>
      <c r="B356" s="13"/>
      <c r="C356" s="13"/>
    </row>
    <row r="357" spans="1:3" ht="13" x14ac:dyDescent="0.15">
      <c r="A357" s="10"/>
      <c r="B357" s="13"/>
      <c r="C357" s="13"/>
    </row>
    <row r="358" spans="1:3" ht="13" x14ac:dyDescent="0.15">
      <c r="A358" s="10"/>
      <c r="B358" s="13"/>
      <c r="C358" s="13"/>
    </row>
    <row r="359" spans="1:3" ht="13" x14ac:dyDescent="0.15">
      <c r="A359" s="10"/>
      <c r="B359" s="13"/>
      <c r="C359" s="13"/>
    </row>
    <row r="360" spans="1:3" ht="13" x14ac:dyDescent="0.15">
      <c r="A360" s="10"/>
      <c r="B360" s="13"/>
      <c r="C360" s="13"/>
    </row>
    <row r="361" spans="1:3" ht="13" x14ac:dyDescent="0.15">
      <c r="A361" s="10"/>
      <c r="B361" s="13"/>
      <c r="C361" s="13"/>
    </row>
    <row r="362" spans="1:3" ht="13" x14ac:dyDescent="0.15">
      <c r="A362" s="10"/>
      <c r="B362" s="13"/>
      <c r="C362" s="13"/>
    </row>
    <row r="363" spans="1:3" ht="13" x14ac:dyDescent="0.15">
      <c r="A363" s="10"/>
      <c r="B363" s="13"/>
      <c r="C363" s="13"/>
    </row>
    <row r="364" spans="1:3" ht="13" x14ac:dyDescent="0.15">
      <c r="A364" s="10"/>
      <c r="B364" s="13"/>
      <c r="C364" s="13"/>
    </row>
    <row r="365" spans="1:3" ht="13" x14ac:dyDescent="0.15">
      <c r="A365" s="10"/>
      <c r="B365" s="13"/>
      <c r="C365" s="13"/>
    </row>
    <row r="366" spans="1:3" ht="13" x14ac:dyDescent="0.15">
      <c r="A366" s="10"/>
      <c r="B366" s="13"/>
      <c r="C366" s="13"/>
    </row>
    <row r="367" spans="1:3" ht="13" x14ac:dyDescent="0.15">
      <c r="A367" s="10"/>
      <c r="B367" s="13"/>
      <c r="C367" s="13"/>
    </row>
    <row r="368" spans="1:3" ht="13" x14ac:dyDescent="0.15">
      <c r="A368" s="10"/>
      <c r="B368" s="13"/>
      <c r="C368" s="13"/>
    </row>
    <row r="369" spans="1:3" ht="13" x14ac:dyDescent="0.15">
      <c r="A369" s="10"/>
      <c r="B369" s="13"/>
      <c r="C369" s="13"/>
    </row>
    <row r="370" spans="1:3" ht="13" x14ac:dyDescent="0.15">
      <c r="A370" s="10"/>
      <c r="B370" s="13"/>
      <c r="C370" s="13"/>
    </row>
    <row r="371" spans="1:3" ht="13" x14ac:dyDescent="0.15">
      <c r="A371" s="10"/>
      <c r="B371" s="13"/>
      <c r="C371" s="13"/>
    </row>
    <row r="372" spans="1:3" ht="13" x14ac:dyDescent="0.15">
      <c r="A372" s="10"/>
      <c r="B372" s="13"/>
      <c r="C372" s="13"/>
    </row>
    <row r="373" spans="1:3" ht="13" x14ac:dyDescent="0.15">
      <c r="A373" s="10"/>
      <c r="B373" s="13"/>
      <c r="C373" s="13"/>
    </row>
    <row r="374" spans="1:3" ht="13" x14ac:dyDescent="0.15">
      <c r="A374" s="10"/>
      <c r="B374" s="13"/>
      <c r="C374" s="13"/>
    </row>
    <row r="375" spans="1:3" ht="13" x14ac:dyDescent="0.15">
      <c r="A375" s="10"/>
      <c r="B375" s="13"/>
      <c r="C375" s="13"/>
    </row>
    <row r="376" spans="1:3" ht="13" x14ac:dyDescent="0.15">
      <c r="A376" s="10"/>
      <c r="B376" s="13"/>
      <c r="C376" s="13"/>
    </row>
    <row r="377" spans="1:3" ht="13" x14ac:dyDescent="0.15">
      <c r="A377" s="10"/>
      <c r="B377" s="13"/>
      <c r="C377" s="13"/>
    </row>
    <row r="378" spans="1:3" ht="13" x14ac:dyDescent="0.15">
      <c r="A378" s="10"/>
      <c r="B378" s="13"/>
      <c r="C378" s="13"/>
    </row>
    <row r="379" spans="1:3" ht="13" x14ac:dyDescent="0.15">
      <c r="A379" s="10"/>
      <c r="B379" s="13"/>
      <c r="C379" s="13"/>
    </row>
    <row r="380" spans="1:3" ht="13" x14ac:dyDescent="0.15">
      <c r="A380" s="10"/>
      <c r="B380" s="13"/>
      <c r="C380" s="13"/>
    </row>
    <row r="381" spans="1:3" ht="13" x14ac:dyDescent="0.15">
      <c r="A381" s="10"/>
      <c r="B381" s="13"/>
      <c r="C381" s="13"/>
    </row>
    <row r="382" spans="1:3" ht="13" x14ac:dyDescent="0.15">
      <c r="A382" s="10"/>
      <c r="B382" s="13"/>
      <c r="C382" s="13"/>
    </row>
    <row r="383" spans="1:3" ht="13" x14ac:dyDescent="0.15">
      <c r="A383" s="10"/>
      <c r="B383" s="13"/>
      <c r="C383" s="13"/>
    </row>
    <row r="384" spans="1:3" ht="13" x14ac:dyDescent="0.15">
      <c r="A384" s="10"/>
      <c r="B384" s="13"/>
      <c r="C384" s="13"/>
    </row>
    <row r="385" spans="1:3" ht="13" x14ac:dyDescent="0.15">
      <c r="A385" s="10"/>
      <c r="B385" s="13"/>
      <c r="C385" s="13"/>
    </row>
    <row r="386" spans="1:3" ht="13" x14ac:dyDescent="0.15">
      <c r="A386" s="10"/>
      <c r="B386" s="13"/>
      <c r="C386" s="13"/>
    </row>
    <row r="387" spans="1:3" ht="13" x14ac:dyDescent="0.15">
      <c r="A387" s="10"/>
      <c r="B387" s="13"/>
      <c r="C387" s="13"/>
    </row>
    <row r="388" spans="1:3" ht="13" x14ac:dyDescent="0.15">
      <c r="A388" s="10"/>
      <c r="B388" s="13"/>
      <c r="C388" s="13"/>
    </row>
    <row r="389" spans="1:3" ht="13" x14ac:dyDescent="0.15">
      <c r="A389" s="10"/>
      <c r="B389" s="13"/>
      <c r="C389" s="13"/>
    </row>
    <row r="390" spans="1:3" ht="13" x14ac:dyDescent="0.15">
      <c r="A390" s="10"/>
      <c r="B390" s="13"/>
      <c r="C390" s="13"/>
    </row>
    <row r="391" spans="1:3" ht="13" x14ac:dyDescent="0.15">
      <c r="A391" s="10"/>
      <c r="B391" s="13"/>
      <c r="C391" s="13"/>
    </row>
    <row r="392" spans="1:3" ht="13" x14ac:dyDescent="0.15">
      <c r="A392" s="10"/>
      <c r="B392" s="13"/>
      <c r="C392" s="13"/>
    </row>
    <row r="393" spans="1:3" ht="13" x14ac:dyDescent="0.15">
      <c r="A393" s="10"/>
      <c r="B393" s="13"/>
      <c r="C393" s="13"/>
    </row>
    <row r="394" spans="1:3" ht="13" x14ac:dyDescent="0.15">
      <c r="A394" s="10"/>
      <c r="B394" s="13"/>
      <c r="C394" s="13"/>
    </row>
    <row r="395" spans="1:3" ht="13" x14ac:dyDescent="0.15">
      <c r="A395" s="10"/>
      <c r="B395" s="13"/>
      <c r="C395" s="13"/>
    </row>
    <row r="396" spans="1:3" ht="13" x14ac:dyDescent="0.15">
      <c r="A396" s="10"/>
      <c r="B396" s="13"/>
      <c r="C396" s="13"/>
    </row>
    <row r="397" spans="1:3" ht="13" x14ac:dyDescent="0.15">
      <c r="A397" s="10"/>
      <c r="B397" s="13"/>
      <c r="C397" s="13"/>
    </row>
    <row r="398" spans="1:3" ht="13" x14ac:dyDescent="0.15">
      <c r="A398" s="10"/>
      <c r="B398" s="13"/>
      <c r="C398" s="13"/>
    </row>
    <row r="399" spans="1:3" ht="13" x14ac:dyDescent="0.15">
      <c r="A399" s="10"/>
      <c r="B399" s="13"/>
      <c r="C399" s="13"/>
    </row>
    <row r="400" spans="1:3" ht="13" x14ac:dyDescent="0.15">
      <c r="A400" s="10"/>
      <c r="B400" s="13"/>
      <c r="C400" s="13"/>
    </row>
    <row r="401" spans="1:3" ht="13" x14ac:dyDescent="0.15">
      <c r="A401" s="10"/>
      <c r="B401" s="13"/>
      <c r="C401" s="13"/>
    </row>
    <row r="402" spans="1:3" ht="13" x14ac:dyDescent="0.15">
      <c r="A402" s="10"/>
      <c r="B402" s="13"/>
      <c r="C402" s="13"/>
    </row>
    <row r="403" spans="1:3" ht="13" x14ac:dyDescent="0.15">
      <c r="A403" s="10"/>
      <c r="B403" s="13"/>
      <c r="C403" s="13"/>
    </row>
    <row r="404" spans="1:3" ht="13" x14ac:dyDescent="0.15">
      <c r="A404" s="10"/>
      <c r="B404" s="13"/>
      <c r="C404" s="13"/>
    </row>
    <row r="405" spans="1:3" ht="13" x14ac:dyDescent="0.15">
      <c r="A405" s="10"/>
      <c r="B405" s="13"/>
      <c r="C405" s="13"/>
    </row>
    <row r="406" spans="1:3" ht="13" x14ac:dyDescent="0.15">
      <c r="A406" s="10"/>
      <c r="B406" s="13"/>
      <c r="C406" s="13"/>
    </row>
    <row r="407" spans="1:3" ht="13" x14ac:dyDescent="0.15">
      <c r="A407" s="10"/>
      <c r="B407" s="13"/>
      <c r="C407" s="13"/>
    </row>
    <row r="408" spans="1:3" ht="13" x14ac:dyDescent="0.15">
      <c r="A408" s="10"/>
      <c r="B408" s="13"/>
      <c r="C408" s="13"/>
    </row>
    <row r="409" spans="1:3" ht="13" x14ac:dyDescent="0.15">
      <c r="A409" s="10"/>
      <c r="B409" s="13"/>
      <c r="C409" s="13"/>
    </row>
    <row r="410" spans="1:3" ht="13" x14ac:dyDescent="0.15">
      <c r="A410" s="10"/>
      <c r="B410" s="13"/>
      <c r="C410" s="13"/>
    </row>
    <row r="411" spans="1:3" ht="13" x14ac:dyDescent="0.15">
      <c r="A411" s="10"/>
      <c r="B411" s="13"/>
      <c r="C411" s="13"/>
    </row>
    <row r="412" spans="1:3" ht="13" x14ac:dyDescent="0.15">
      <c r="A412" s="10"/>
      <c r="B412" s="13"/>
      <c r="C412" s="13"/>
    </row>
    <row r="413" spans="1:3" ht="13" x14ac:dyDescent="0.15">
      <c r="A413" s="10"/>
      <c r="B413" s="13"/>
      <c r="C413" s="13"/>
    </row>
    <row r="414" spans="1:3" ht="13" x14ac:dyDescent="0.15">
      <c r="A414" s="10"/>
      <c r="B414" s="13"/>
      <c r="C414" s="13"/>
    </row>
    <row r="415" spans="1:3" ht="13" x14ac:dyDescent="0.15">
      <c r="A415" s="10"/>
      <c r="B415" s="13"/>
      <c r="C415" s="13"/>
    </row>
    <row r="416" spans="1:3" ht="13" x14ac:dyDescent="0.15">
      <c r="A416" s="10"/>
      <c r="B416" s="13"/>
      <c r="C416" s="13"/>
    </row>
    <row r="417" spans="1:3" ht="13" x14ac:dyDescent="0.15">
      <c r="A417" s="10"/>
      <c r="B417" s="13"/>
      <c r="C417" s="13"/>
    </row>
    <row r="418" spans="1:3" ht="13" x14ac:dyDescent="0.15">
      <c r="A418" s="10"/>
      <c r="B418" s="13"/>
      <c r="C418" s="13"/>
    </row>
    <row r="419" spans="1:3" ht="13" x14ac:dyDescent="0.15">
      <c r="A419" s="10"/>
      <c r="B419" s="13"/>
      <c r="C419" s="13"/>
    </row>
    <row r="420" spans="1:3" ht="13" x14ac:dyDescent="0.15">
      <c r="A420" s="10"/>
      <c r="B420" s="13"/>
      <c r="C420" s="13"/>
    </row>
    <row r="421" spans="1:3" ht="13" x14ac:dyDescent="0.15">
      <c r="A421" s="10"/>
      <c r="B421" s="13"/>
      <c r="C421" s="13"/>
    </row>
    <row r="422" spans="1:3" ht="13" x14ac:dyDescent="0.15">
      <c r="A422" s="10"/>
      <c r="B422" s="13"/>
      <c r="C422" s="13"/>
    </row>
    <row r="423" spans="1:3" ht="13" x14ac:dyDescent="0.15">
      <c r="A423" s="10"/>
      <c r="B423" s="13"/>
      <c r="C423" s="13"/>
    </row>
    <row r="424" spans="1:3" ht="13" x14ac:dyDescent="0.15">
      <c r="A424" s="10"/>
      <c r="B424" s="13"/>
      <c r="C424" s="13"/>
    </row>
    <row r="425" spans="1:3" ht="13" x14ac:dyDescent="0.15">
      <c r="A425" s="10"/>
      <c r="B425" s="13"/>
      <c r="C425" s="13"/>
    </row>
    <row r="426" spans="1:3" ht="13" x14ac:dyDescent="0.15">
      <c r="A426" s="10"/>
      <c r="B426" s="13"/>
      <c r="C426" s="13"/>
    </row>
    <row r="427" spans="1:3" ht="13" x14ac:dyDescent="0.15">
      <c r="A427" s="10"/>
      <c r="B427" s="13"/>
      <c r="C427" s="13"/>
    </row>
    <row r="428" spans="1:3" ht="13" x14ac:dyDescent="0.15">
      <c r="A428" s="10"/>
      <c r="B428" s="13"/>
      <c r="C428" s="13"/>
    </row>
    <row r="429" spans="1:3" ht="13" x14ac:dyDescent="0.15">
      <c r="A429" s="10"/>
      <c r="B429" s="13"/>
      <c r="C429" s="13"/>
    </row>
    <row r="430" spans="1:3" ht="13" x14ac:dyDescent="0.15">
      <c r="A430" s="10"/>
      <c r="B430" s="13"/>
      <c r="C430" s="13"/>
    </row>
    <row r="431" spans="1:3" ht="13" x14ac:dyDescent="0.15">
      <c r="A431" s="10"/>
      <c r="B431" s="13"/>
      <c r="C431" s="13"/>
    </row>
    <row r="432" spans="1:3" ht="13" x14ac:dyDescent="0.15">
      <c r="A432" s="10"/>
      <c r="B432" s="13"/>
      <c r="C432" s="13"/>
    </row>
    <row r="433" spans="1:3" ht="13" x14ac:dyDescent="0.15">
      <c r="A433" s="10"/>
      <c r="B433" s="13"/>
      <c r="C433" s="13"/>
    </row>
    <row r="434" spans="1:3" ht="13" x14ac:dyDescent="0.15">
      <c r="A434" s="10"/>
      <c r="B434" s="13"/>
      <c r="C434" s="13"/>
    </row>
    <row r="435" spans="1:3" ht="13" x14ac:dyDescent="0.15">
      <c r="A435" s="10"/>
      <c r="B435" s="13"/>
      <c r="C435" s="13"/>
    </row>
    <row r="436" spans="1:3" ht="13" x14ac:dyDescent="0.15">
      <c r="A436" s="10"/>
      <c r="B436" s="13"/>
      <c r="C436" s="13"/>
    </row>
    <row r="437" spans="1:3" ht="13" x14ac:dyDescent="0.15">
      <c r="A437" s="10"/>
      <c r="B437" s="13"/>
      <c r="C437" s="13"/>
    </row>
    <row r="438" spans="1:3" ht="13" x14ac:dyDescent="0.15">
      <c r="A438" s="10"/>
      <c r="B438" s="13"/>
      <c r="C438" s="13"/>
    </row>
    <row r="439" spans="1:3" ht="13" x14ac:dyDescent="0.15">
      <c r="A439" s="10"/>
      <c r="B439" s="13"/>
      <c r="C439" s="13"/>
    </row>
    <row r="440" spans="1:3" ht="13" x14ac:dyDescent="0.15">
      <c r="A440" s="10"/>
      <c r="B440" s="13"/>
      <c r="C440" s="13"/>
    </row>
    <row r="441" spans="1:3" ht="13" x14ac:dyDescent="0.15">
      <c r="A441" s="10"/>
      <c r="B441" s="13"/>
      <c r="C441" s="13"/>
    </row>
    <row r="442" spans="1:3" ht="13" x14ac:dyDescent="0.15">
      <c r="A442" s="10"/>
      <c r="B442" s="13"/>
      <c r="C442" s="13"/>
    </row>
    <row r="443" spans="1:3" ht="13" x14ac:dyDescent="0.15">
      <c r="A443" s="10"/>
      <c r="B443" s="13"/>
      <c r="C443" s="13"/>
    </row>
    <row r="444" spans="1:3" ht="13" x14ac:dyDescent="0.15">
      <c r="A444" s="10"/>
      <c r="B444" s="13"/>
      <c r="C444" s="13"/>
    </row>
    <row r="445" spans="1:3" ht="13" x14ac:dyDescent="0.15">
      <c r="A445" s="10"/>
      <c r="B445" s="13"/>
      <c r="C445" s="13"/>
    </row>
    <row r="446" spans="1:3" ht="13" x14ac:dyDescent="0.15">
      <c r="A446" s="10"/>
      <c r="B446" s="13"/>
      <c r="C446" s="13"/>
    </row>
    <row r="447" spans="1:3" ht="13" x14ac:dyDescent="0.15">
      <c r="A447" s="10"/>
      <c r="B447" s="13"/>
      <c r="C447" s="13"/>
    </row>
    <row r="448" spans="1:3" ht="13" x14ac:dyDescent="0.15">
      <c r="A448" s="10"/>
      <c r="B448" s="13"/>
      <c r="C448" s="13"/>
    </row>
    <row r="449" spans="1:3" ht="13" x14ac:dyDescent="0.15">
      <c r="A449" s="10"/>
      <c r="B449" s="13"/>
      <c r="C449" s="13"/>
    </row>
    <row r="450" spans="1:3" ht="13" x14ac:dyDescent="0.15">
      <c r="A450" s="10"/>
      <c r="B450" s="13"/>
      <c r="C450" s="13"/>
    </row>
    <row r="451" spans="1:3" ht="13" x14ac:dyDescent="0.15">
      <c r="A451" s="10"/>
      <c r="B451" s="13"/>
      <c r="C451" s="13"/>
    </row>
    <row r="452" spans="1:3" ht="13" x14ac:dyDescent="0.15">
      <c r="A452" s="10"/>
      <c r="B452" s="13"/>
      <c r="C452" s="13"/>
    </row>
    <row r="453" spans="1:3" ht="13" x14ac:dyDescent="0.15">
      <c r="A453" s="10"/>
      <c r="B453" s="13"/>
      <c r="C453" s="13"/>
    </row>
    <row r="454" spans="1:3" ht="13" x14ac:dyDescent="0.15">
      <c r="A454" s="10"/>
      <c r="B454" s="13"/>
      <c r="C454" s="13"/>
    </row>
    <row r="455" spans="1:3" ht="13" x14ac:dyDescent="0.15">
      <c r="A455" s="10"/>
      <c r="B455" s="13"/>
      <c r="C455" s="13"/>
    </row>
    <row r="456" spans="1:3" ht="13" x14ac:dyDescent="0.15">
      <c r="A456" s="10"/>
      <c r="B456" s="13"/>
      <c r="C456" s="13"/>
    </row>
    <row r="457" spans="1:3" ht="13" x14ac:dyDescent="0.15">
      <c r="A457" s="10"/>
      <c r="B457" s="13"/>
      <c r="C457" s="13"/>
    </row>
    <row r="458" spans="1:3" ht="13" x14ac:dyDescent="0.15">
      <c r="A458" s="10"/>
      <c r="B458" s="13"/>
      <c r="C458" s="13"/>
    </row>
    <row r="459" spans="1:3" ht="13" x14ac:dyDescent="0.15">
      <c r="A459" s="10"/>
      <c r="B459" s="13"/>
      <c r="C459" s="13"/>
    </row>
    <row r="460" spans="1:3" ht="13" x14ac:dyDescent="0.15">
      <c r="A460" s="10"/>
      <c r="B460" s="13"/>
      <c r="C460" s="13"/>
    </row>
    <row r="461" spans="1:3" ht="13" x14ac:dyDescent="0.15">
      <c r="A461" s="10"/>
      <c r="B461" s="13"/>
      <c r="C461" s="13"/>
    </row>
    <row r="462" spans="1:3" ht="13" x14ac:dyDescent="0.15">
      <c r="A462" s="10"/>
      <c r="B462" s="13"/>
      <c r="C462" s="13"/>
    </row>
    <row r="463" spans="1:3" ht="13" x14ac:dyDescent="0.15">
      <c r="A463" s="10"/>
      <c r="B463" s="13"/>
      <c r="C463" s="13"/>
    </row>
    <row r="464" spans="1:3" ht="13" x14ac:dyDescent="0.15">
      <c r="A464" s="10"/>
      <c r="B464" s="13"/>
      <c r="C464" s="13"/>
    </row>
    <row r="465" spans="1:3" ht="13" x14ac:dyDescent="0.15">
      <c r="A465" s="10"/>
      <c r="B465" s="13"/>
      <c r="C465" s="13"/>
    </row>
    <row r="466" spans="1:3" ht="13" x14ac:dyDescent="0.15">
      <c r="A466" s="10"/>
      <c r="B466" s="13"/>
      <c r="C466" s="13"/>
    </row>
    <row r="467" spans="1:3" ht="13" x14ac:dyDescent="0.15">
      <c r="A467" s="10"/>
      <c r="B467" s="13"/>
      <c r="C467" s="13"/>
    </row>
    <row r="468" spans="1:3" ht="13" x14ac:dyDescent="0.15">
      <c r="A468" s="10"/>
      <c r="B468" s="13"/>
      <c r="C468" s="13"/>
    </row>
    <row r="469" spans="1:3" ht="13" x14ac:dyDescent="0.15">
      <c r="A469" s="10"/>
      <c r="B469" s="13"/>
      <c r="C469" s="13"/>
    </row>
    <row r="470" spans="1:3" ht="13" x14ac:dyDescent="0.15">
      <c r="A470" s="10"/>
      <c r="B470" s="13"/>
      <c r="C470" s="13"/>
    </row>
    <row r="471" spans="1:3" ht="13" x14ac:dyDescent="0.15">
      <c r="A471" s="10"/>
      <c r="B471" s="13"/>
      <c r="C471" s="13"/>
    </row>
    <row r="472" spans="1:3" ht="13" x14ac:dyDescent="0.15">
      <c r="A472" s="10"/>
      <c r="B472" s="13"/>
      <c r="C472" s="13"/>
    </row>
    <row r="473" spans="1:3" ht="13" x14ac:dyDescent="0.15">
      <c r="A473" s="10"/>
      <c r="B473" s="13"/>
      <c r="C473" s="13"/>
    </row>
    <row r="474" spans="1:3" ht="13" x14ac:dyDescent="0.15">
      <c r="A474" s="10"/>
      <c r="B474" s="13"/>
      <c r="C474" s="13"/>
    </row>
    <row r="475" spans="1:3" ht="13" x14ac:dyDescent="0.15">
      <c r="A475" s="10"/>
      <c r="B475" s="13"/>
      <c r="C475" s="13"/>
    </row>
    <row r="476" spans="1:3" ht="13" x14ac:dyDescent="0.15">
      <c r="A476" s="10"/>
      <c r="B476" s="13"/>
      <c r="C476" s="13"/>
    </row>
    <row r="477" spans="1:3" ht="13" x14ac:dyDescent="0.15">
      <c r="A477" s="10"/>
      <c r="B477" s="13"/>
      <c r="C477" s="13"/>
    </row>
    <row r="478" spans="1:3" ht="13" x14ac:dyDescent="0.15">
      <c r="A478" s="10"/>
      <c r="B478" s="13"/>
      <c r="C478" s="13"/>
    </row>
    <row r="479" spans="1:3" ht="13" x14ac:dyDescent="0.15">
      <c r="A479" s="10"/>
      <c r="B479" s="13"/>
      <c r="C479" s="13"/>
    </row>
    <row r="480" spans="1:3" ht="13" x14ac:dyDescent="0.15">
      <c r="A480" s="10"/>
      <c r="B480" s="13"/>
      <c r="C480" s="13"/>
    </row>
    <row r="481" spans="1:3" ht="13" x14ac:dyDescent="0.15">
      <c r="A481" s="10"/>
      <c r="B481" s="13"/>
      <c r="C481" s="13"/>
    </row>
    <row r="482" spans="1:3" ht="13" x14ac:dyDescent="0.15">
      <c r="A482" s="10"/>
      <c r="B482" s="13"/>
      <c r="C482" s="13"/>
    </row>
    <row r="483" spans="1:3" ht="13" x14ac:dyDescent="0.15">
      <c r="A483" s="10"/>
      <c r="B483" s="13"/>
      <c r="C483" s="13"/>
    </row>
    <row r="484" spans="1:3" ht="13" x14ac:dyDescent="0.15">
      <c r="A484" s="10"/>
      <c r="B484" s="13"/>
      <c r="C484" s="13"/>
    </row>
    <row r="485" spans="1:3" ht="13" x14ac:dyDescent="0.15">
      <c r="A485" s="10"/>
      <c r="B485" s="13"/>
      <c r="C485" s="13"/>
    </row>
    <row r="486" spans="1:3" ht="13" x14ac:dyDescent="0.15">
      <c r="A486" s="10"/>
      <c r="B486" s="13"/>
      <c r="C486" s="13"/>
    </row>
    <row r="487" spans="1:3" ht="13" x14ac:dyDescent="0.15">
      <c r="A487" s="10"/>
      <c r="B487" s="13"/>
      <c r="C487" s="13"/>
    </row>
    <row r="488" spans="1:3" ht="13" x14ac:dyDescent="0.15">
      <c r="A488" s="10"/>
      <c r="B488" s="13"/>
      <c r="C488" s="13"/>
    </row>
    <row r="489" spans="1:3" ht="13" x14ac:dyDescent="0.15">
      <c r="A489" s="10"/>
      <c r="B489" s="13"/>
      <c r="C489" s="13"/>
    </row>
    <row r="490" spans="1:3" ht="13" x14ac:dyDescent="0.15">
      <c r="A490" s="10"/>
      <c r="B490" s="13"/>
      <c r="C490" s="13"/>
    </row>
    <row r="491" spans="1:3" ht="13" x14ac:dyDescent="0.15">
      <c r="A491" s="10"/>
      <c r="B491" s="13"/>
      <c r="C491" s="13"/>
    </row>
    <row r="492" spans="1:3" ht="13" x14ac:dyDescent="0.15">
      <c r="A492" s="10"/>
      <c r="B492" s="13"/>
      <c r="C492" s="13"/>
    </row>
    <row r="493" spans="1:3" ht="13" x14ac:dyDescent="0.15">
      <c r="A493" s="10"/>
      <c r="B493" s="13"/>
      <c r="C493" s="13"/>
    </row>
    <row r="494" spans="1:3" ht="13" x14ac:dyDescent="0.15">
      <c r="A494" s="10"/>
      <c r="B494" s="13"/>
      <c r="C494" s="13"/>
    </row>
    <row r="495" spans="1:3" ht="13" x14ac:dyDescent="0.15">
      <c r="A495" s="10"/>
      <c r="B495" s="13"/>
      <c r="C495" s="13"/>
    </row>
    <row r="496" spans="1:3" ht="13" x14ac:dyDescent="0.15">
      <c r="A496" s="10"/>
      <c r="B496" s="13"/>
      <c r="C496" s="13"/>
    </row>
    <row r="497" spans="1:3" ht="13" x14ac:dyDescent="0.15">
      <c r="A497" s="10"/>
      <c r="B497" s="13"/>
      <c r="C497" s="13"/>
    </row>
    <row r="498" spans="1:3" ht="13" x14ac:dyDescent="0.15">
      <c r="A498" s="10"/>
      <c r="B498" s="13"/>
      <c r="C498" s="13"/>
    </row>
    <row r="499" spans="1:3" ht="13" x14ac:dyDescent="0.15">
      <c r="A499" s="10"/>
      <c r="B499" s="13"/>
      <c r="C499" s="13"/>
    </row>
    <row r="500" spans="1:3" ht="13" x14ac:dyDescent="0.15">
      <c r="A500" s="10"/>
      <c r="B500" s="13"/>
      <c r="C500" s="13"/>
    </row>
    <row r="501" spans="1:3" ht="13" x14ac:dyDescent="0.15">
      <c r="A501" s="10"/>
      <c r="B501" s="13"/>
      <c r="C501" s="13"/>
    </row>
    <row r="502" spans="1:3" ht="13" x14ac:dyDescent="0.15">
      <c r="A502" s="10"/>
      <c r="B502" s="13"/>
      <c r="C502" s="13"/>
    </row>
    <row r="503" spans="1:3" ht="13" x14ac:dyDescent="0.15">
      <c r="A503" s="10"/>
      <c r="B503" s="13"/>
      <c r="C503" s="13"/>
    </row>
    <row r="504" spans="1:3" ht="13" x14ac:dyDescent="0.15">
      <c r="A504" s="10"/>
      <c r="B504" s="13"/>
      <c r="C504" s="13"/>
    </row>
    <row r="505" spans="1:3" ht="13" x14ac:dyDescent="0.15">
      <c r="A505" s="10"/>
      <c r="B505" s="13"/>
      <c r="C505" s="13"/>
    </row>
    <row r="506" spans="1:3" ht="13" x14ac:dyDescent="0.15">
      <c r="A506" s="10"/>
      <c r="B506" s="13"/>
      <c r="C506" s="13"/>
    </row>
    <row r="507" spans="1:3" ht="13" x14ac:dyDescent="0.15">
      <c r="A507" s="10"/>
      <c r="B507" s="13"/>
      <c r="C507" s="13"/>
    </row>
    <row r="508" spans="1:3" ht="13" x14ac:dyDescent="0.15">
      <c r="A508" s="10"/>
      <c r="B508" s="13"/>
      <c r="C508" s="13"/>
    </row>
    <row r="509" spans="1:3" ht="13" x14ac:dyDescent="0.15">
      <c r="A509" s="10"/>
      <c r="B509" s="13"/>
      <c r="C509" s="13"/>
    </row>
    <row r="510" spans="1:3" ht="13" x14ac:dyDescent="0.15">
      <c r="A510" s="10"/>
      <c r="B510" s="13"/>
      <c r="C510" s="13"/>
    </row>
    <row r="511" spans="1:3" ht="13" x14ac:dyDescent="0.15">
      <c r="A511" s="10"/>
      <c r="B511" s="13"/>
      <c r="C511" s="13"/>
    </row>
    <row r="512" spans="1:3" ht="13" x14ac:dyDescent="0.15">
      <c r="A512" s="10"/>
      <c r="B512" s="13"/>
      <c r="C512" s="13"/>
    </row>
    <row r="513" spans="1:3" ht="13" x14ac:dyDescent="0.15">
      <c r="A513" s="10"/>
      <c r="B513" s="13"/>
      <c r="C513" s="13"/>
    </row>
    <row r="514" spans="1:3" ht="13" x14ac:dyDescent="0.15">
      <c r="A514" s="10"/>
      <c r="B514" s="13"/>
      <c r="C514" s="13"/>
    </row>
    <row r="515" spans="1:3" ht="13" x14ac:dyDescent="0.15">
      <c r="A515" s="10"/>
      <c r="B515" s="13"/>
      <c r="C515" s="13"/>
    </row>
    <row r="516" spans="1:3" ht="13" x14ac:dyDescent="0.15">
      <c r="A516" s="10"/>
      <c r="B516" s="13"/>
      <c r="C516" s="13"/>
    </row>
    <row r="517" spans="1:3" ht="13" x14ac:dyDescent="0.15">
      <c r="A517" s="10"/>
      <c r="B517" s="13"/>
      <c r="C517" s="13"/>
    </row>
    <row r="518" spans="1:3" ht="13" x14ac:dyDescent="0.15">
      <c r="A518" s="10"/>
      <c r="B518" s="13"/>
      <c r="C518" s="13"/>
    </row>
    <row r="519" spans="1:3" ht="13" x14ac:dyDescent="0.15">
      <c r="A519" s="10"/>
      <c r="B519" s="13"/>
      <c r="C519" s="13"/>
    </row>
    <row r="520" spans="1:3" ht="13" x14ac:dyDescent="0.15">
      <c r="A520" s="10"/>
      <c r="B520" s="13"/>
      <c r="C520" s="13"/>
    </row>
    <row r="521" spans="1:3" ht="13" x14ac:dyDescent="0.15">
      <c r="A521" s="10"/>
      <c r="B521" s="13"/>
      <c r="C521" s="13"/>
    </row>
    <row r="522" spans="1:3" ht="13" x14ac:dyDescent="0.15">
      <c r="A522" s="10"/>
      <c r="B522" s="13"/>
      <c r="C522" s="13"/>
    </row>
    <row r="523" spans="1:3" ht="13" x14ac:dyDescent="0.15">
      <c r="A523" s="10"/>
      <c r="B523" s="13"/>
      <c r="C523" s="13"/>
    </row>
    <row r="524" spans="1:3" ht="13" x14ac:dyDescent="0.15">
      <c r="A524" s="10"/>
      <c r="B524" s="13"/>
      <c r="C524" s="13"/>
    </row>
    <row r="525" spans="1:3" ht="13" x14ac:dyDescent="0.15">
      <c r="A525" s="10"/>
      <c r="B525" s="13"/>
      <c r="C525" s="13"/>
    </row>
    <row r="526" spans="1:3" ht="13" x14ac:dyDescent="0.15">
      <c r="A526" s="10"/>
      <c r="B526" s="13"/>
      <c r="C526" s="13"/>
    </row>
    <row r="527" spans="1:3" ht="13" x14ac:dyDescent="0.15">
      <c r="A527" s="10"/>
      <c r="B527" s="13"/>
      <c r="C527" s="13"/>
    </row>
    <row r="528" spans="1:3" ht="13" x14ac:dyDescent="0.15">
      <c r="A528" s="10"/>
      <c r="B528" s="13"/>
      <c r="C528" s="13"/>
    </row>
    <row r="529" spans="1:3" ht="13" x14ac:dyDescent="0.15">
      <c r="A529" s="10"/>
      <c r="B529" s="13"/>
      <c r="C529" s="13"/>
    </row>
    <row r="530" spans="1:3" ht="13" x14ac:dyDescent="0.15">
      <c r="A530" s="10"/>
      <c r="B530" s="13"/>
      <c r="C530" s="13"/>
    </row>
    <row r="531" spans="1:3" ht="13" x14ac:dyDescent="0.15">
      <c r="A531" s="10"/>
      <c r="B531" s="13"/>
      <c r="C531" s="13"/>
    </row>
    <row r="532" spans="1:3" ht="13" x14ac:dyDescent="0.15">
      <c r="A532" s="10"/>
      <c r="B532" s="13"/>
      <c r="C532" s="13"/>
    </row>
    <row r="533" spans="1:3" ht="13" x14ac:dyDescent="0.15">
      <c r="A533" s="10"/>
      <c r="B533" s="13"/>
      <c r="C533" s="13"/>
    </row>
    <row r="534" spans="1:3" ht="13" x14ac:dyDescent="0.15">
      <c r="A534" s="10"/>
      <c r="B534" s="13"/>
      <c r="C534" s="13"/>
    </row>
    <row r="535" spans="1:3" ht="13" x14ac:dyDescent="0.15">
      <c r="A535" s="10"/>
      <c r="B535" s="13"/>
      <c r="C535" s="13"/>
    </row>
    <row r="536" spans="1:3" ht="13" x14ac:dyDescent="0.15">
      <c r="A536" s="10"/>
      <c r="B536" s="13"/>
      <c r="C536" s="13"/>
    </row>
    <row r="537" spans="1:3" ht="13" x14ac:dyDescent="0.15">
      <c r="A537" s="10"/>
      <c r="B537" s="13"/>
      <c r="C537" s="13"/>
    </row>
    <row r="538" spans="1:3" ht="13" x14ac:dyDescent="0.15">
      <c r="A538" s="10"/>
      <c r="B538" s="13"/>
      <c r="C538" s="13"/>
    </row>
    <row r="539" spans="1:3" ht="13" x14ac:dyDescent="0.15">
      <c r="A539" s="10"/>
      <c r="B539" s="13"/>
      <c r="C539" s="13"/>
    </row>
    <row r="540" spans="1:3" ht="13" x14ac:dyDescent="0.15">
      <c r="A540" s="10"/>
      <c r="B540" s="13"/>
      <c r="C540" s="13"/>
    </row>
    <row r="541" spans="1:3" ht="13" x14ac:dyDescent="0.15">
      <c r="A541" s="10"/>
      <c r="B541" s="13"/>
      <c r="C541" s="13"/>
    </row>
    <row r="542" spans="1:3" ht="13" x14ac:dyDescent="0.15">
      <c r="A542" s="10"/>
      <c r="B542" s="13"/>
      <c r="C542" s="13"/>
    </row>
    <row r="543" spans="1:3" ht="13" x14ac:dyDescent="0.15">
      <c r="A543" s="10"/>
      <c r="B543" s="13"/>
      <c r="C543" s="13"/>
    </row>
    <row r="544" spans="1:3" ht="13" x14ac:dyDescent="0.15">
      <c r="A544" s="10"/>
      <c r="B544" s="13"/>
      <c r="C544" s="13"/>
    </row>
    <row r="545" spans="1:3" ht="13" x14ac:dyDescent="0.15">
      <c r="A545" s="10"/>
      <c r="B545" s="13"/>
      <c r="C545" s="13"/>
    </row>
    <row r="546" spans="1:3" ht="13" x14ac:dyDescent="0.15">
      <c r="A546" s="10"/>
      <c r="B546" s="13"/>
      <c r="C546" s="13"/>
    </row>
    <row r="547" spans="1:3" ht="13" x14ac:dyDescent="0.15">
      <c r="A547" s="10"/>
      <c r="B547" s="13"/>
      <c r="C547" s="13"/>
    </row>
    <row r="548" spans="1:3" ht="13" x14ac:dyDescent="0.15">
      <c r="A548" s="10"/>
      <c r="B548" s="13"/>
      <c r="C548" s="13"/>
    </row>
    <row r="549" spans="1:3" ht="13" x14ac:dyDescent="0.15">
      <c r="A549" s="10"/>
      <c r="B549" s="13"/>
      <c r="C549" s="13"/>
    </row>
    <row r="550" spans="1:3" ht="13" x14ac:dyDescent="0.15">
      <c r="A550" s="10"/>
      <c r="B550" s="13"/>
      <c r="C550" s="13"/>
    </row>
    <row r="551" spans="1:3" ht="13" x14ac:dyDescent="0.15">
      <c r="A551" s="10"/>
      <c r="B551" s="13"/>
      <c r="C551" s="13"/>
    </row>
    <row r="552" spans="1:3" ht="13" x14ac:dyDescent="0.15">
      <c r="A552" s="10"/>
      <c r="B552" s="13"/>
      <c r="C552" s="13"/>
    </row>
    <row r="553" spans="1:3" ht="13" x14ac:dyDescent="0.15">
      <c r="A553" s="10"/>
      <c r="B553" s="13"/>
      <c r="C553" s="13"/>
    </row>
    <row r="554" spans="1:3" ht="13" x14ac:dyDescent="0.15">
      <c r="A554" s="10"/>
      <c r="B554" s="13"/>
      <c r="C554" s="13"/>
    </row>
    <row r="555" spans="1:3" ht="13" x14ac:dyDescent="0.15">
      <c r="A555" s="10"/>
      <c r="B555" s="13"/>
      <c r="C555" s="13"/>
    </row>
    <row r="556" spans="1:3" ht="13" x14ac:dyDescent="0.15">
      <c r="A556" s="10"/>
      <c r="B556" s="13"/>
      <c r="C556" s="13"/>
    </row>
    <row r="557" spans="1:3" ht="13" x14ac:dyDescent="0.15">
      <c r="A557" s="10"/>
      <c r="B557" s="13"/>
      <c r="C557" s="13"/>
    </row>
    <row r="558" spans="1:3" ht="13" x14ac:dyDescent="0.15">
      <c r="A558" s="10"/>
      <c r="B558" s="13"/>
      <c r="C558" s="13"/>
    </row>
    <row r="559" spans="1:3" ht="13" x14ac:dyDescent="0.15">
      <c r="A559" s="10"/>
      <c r="B559" s="13"/>
      <c r="C559" s="13"/>
    </row>
    <row r="560" spans="1:3" ht="13" x14ac:dyDescent="0.15">
      <c r="A560" s="10"/>
      <c r="B560" s="13"/>
      <c r="C560" s="13"/>
    </row>
    <row r="561" spans="1:3" ht="13" x14ac:dyDescent="0.15">
      <c r="A561" s="10"/>
      <c r="B561" s="13"/>
      <c r="C561" s="13"/>
    </row>
    <row r="562" spans="1:3" ht="13" x14ac:dyDescent="0.15">
      <c r="A562" s="10"/>
      <c r="B562" s="13"/>
      <c r="C562" s="13"/>
    </row>
    <row r="563" spans="1:3" ht="13" x14ac:dyDescent="0.15">
      <c r="A563" s="10"/>
      <c r="B563" s="13"/>
      <c r="C563" s="13"/>
    </row>
    <row r="564" spans="1:3" ht="13" x14ac:dyDescent="0.15">
      <c r="A564" s="10"/>
      <c r="B564" s="13"/>
      <c r="C564" s="13"/>
    </row>
    <row r="565" spans="1:3" ht="13" x14ac:dyDescent="0.15">
      <c r="A565" s="10"/>
      <c r="B565" s="13"/>
      <c r="C565" s="13"/>
    </row>
    <row r="566" spans="1:3" ht="13" x14ac:dyDescent="0.15">
      <c r="A566" s="10"/>
      <c r="B566" s="13"/>
      <c r="C566" s="13"/>
    </row>
    <row r="567" spans="1:3" ht="13" x14ac:dyDescent="0.15">
      <c r="A567" s="10"/>
      <c r="B567" s="13"/>
      <c r="C567" s="13"/>
    </row>
    <row r="568" spans="1:3" ht="13" x14ac:dyDescent="0.15">
      <c r="A568" s="10"/>
      <c r="B568" s="13"/>
      <c r="C568" s="13"/>
    </row>
    <row r="569" spans="1:3" ht="13" x14ac:dyDescent="0.15">
      <c r="A569" s="10"/>
      <c r="B569" s="13"/>
      <c r="C569" s="13"/>
    </row>
    <row r="570" spans="1:3" ht="13" x14ac:dyDescent="0.15">
      <c r="A570" s="10"/>
      <c r="B570" s="13"/>
      <c r="C570" s="13"/>
    </row>
    <row r="571" spans="1:3" ht="13" x14ac:dyDescent="0.15">
      <c r="A571" s="10"/>
      <c r="B571" s="13"/>
      <c r="C571" s="13"/>
    </row>
    <row r="572" spans="1:3" ht="13" x14ac:dyDescent="0.15">
      <c r="A572" s="10"/>
      <c r="B572" s="13"/>
      <c r="C572" s="13"/>
    </row>
    <row r="573" spans="1:3" ht="13" x14ac:dyDescent="0.15">
      <c r="A573" s="10"/>
      <c r="B573" s="13"/>
      <c r="C573" s="13"/>
    </row>
    <row r="574" spans="1:3" ht="13" x14ac:dyDescent="0.15">
      <c r="A574" s="10"/>
      <c r="B574" s="13"/>
      <c r="C574" s="13"/>
    </row>
    <row r="575" spans="1:3" ht="13" x14ac:dyDescent="0.15">
      <c r="A575" s="10"/>
      <c r="B575" s="13"/>
      <c r="C575" s="13"/>
    </row>
    <row r="576" spans="1:3" ht="13" x14ac:dyDescent="0.15">
      <c r="A576" s="10"/>
      <c r="B576" s="13"/>
      <c r="C576" s="13"/>
    </row>
    <row r="577" spans="1:3" ht="13" x14ac:dyDescent="0.15">
      <c r="A577" s="10"/>
      <c r="B577" s="13"/>
      <c r="C577" s="13"/>
    </row>
    <row r="578" spans="1:3" ht="13" x14ac:dyDescent="0.15">
      <c r="A578" s="10"/>
      <c r="B578" s="13"/>
      <c r="C578" s="13"/>
    </row>
    <row r="579" spans="1:3" ht="13" x14ac:dyDescent="0.15">
      <c r="A579" s="10"/>
      <c r="B579" s="13"/>
      <c r="C579" s="13"/>
    </row>
    <row r="580" spans="1:3" ht="13" x14ac:dyDescent="0.15">
      <c r="A580" s="10"/>
      <c r="B580" s="13"/>
      <c r="C580" s="13"/>
    </row>
    <row r="581" spans="1:3" ht="13" x14ac:dyDescent="0.15">
      <c r="A581" s="10"/>
      <c r="B581" s="13"/>
      <c r="C581" s="13"/>
    </row>
    <row r="582" spans="1:3" ht="13" x14ac:dyDescent="0.15">
      <c r="A582" s="10"/>
      <c r="B582" s="13"/>
      <c r="C582" s="13"/>
    </row>
    <row r="583" spans="1:3" ht="13" x14ac:dyDescent="0.15">
      <c r="A583" s="10"/>
      <c r="B583" s="13"/>
      <c r="C583" s="13"/>
    </row>
    <row r="584" spans="1:3" ht="13" x14ac:dyDescent="0.15">
      <c r="A584" s="10"/>
      <c r="B584" s="13"/>
      <c r="C584" s="13"/>
    </row>
    <row r="585" spans="1:3" ht="13" x14ac:dyDescent="0.15">
      <c r="A585" s="10"/>
      <c r="B585" s="13"/>
      <c r="C585" s="13"/>
    </row>
    <row r="586" spans="1:3" ht="13" x14ac:dyDescent="0.15">
      <c r="A586" s="10"/>
      <c r="B586" s="13"/>
      <c r="C586" s="13"/>
    </row>
    <row r="587" spans="1:3" ht="13" x14ac:dyDescent="0.15">
      <c r="A587" s="10"/>
      <c r="B587" s="13"/>
      <c r="C587" s="13"/>
    </row>
    <row r="588" spans="1:3" ht="13" x14ac:dyDescent="0.15">
      <c r="A588" s="10"/>
      <c r="B588" s="13"/>
      <c r="C588" s="13"/>
    </row>
    <row r="589" spans="1:3" ht="13" x14ac:dyDescent="0.15">
      <c r="A589" s="10"/>
      <c r="B589" s="13"/>
      <c r="C589" s="13"/>
    </row>
    <row r="590" spans="1:3" ht="13" x14ac:dyDescent="0.15">
      <c r="A590" s="10"/>
      <c r="B590" s="13"/>
      <c r="C590" s="13"/>
    </row>
    <row r="591" spans="1:3" ht="13" x14ac:dyDescent="0.15">
      <c r="A591" s="10"/>
      <c r="B591" s="13"/>
      <c r="C591" s="13"/>
    </row>
    <row r="592" spans="1:3" ht="13" x14ac:dyDescent="0.15">
      <c r="A592" s="10"/>
      <c r="B592" s="13"/>
      <c r="C592" s="13"/>
    </row>
    <row r="593" spans="1:3" ht="13" x14ac:dyDescent="0.15">
      <c r="A593" s="10"/>
      <c r="B593" s="13"/>
      <c r="C593" s="13"/>
    </row>
    <row r="594" spans="1:3" ht="13" x14ac:dyDescent="0.15">
      <c r="A594" s="10"/>
      <c r="B594" s="13"/>
      <c r="C594" s="13"/>
    </row>
    <row r="595" spans="1:3" ht="13" x14ac:dyDescent="0.15">
      <c r="A595" s="10"/>
      <c r="B595" s="13"/>
      <c r="C595" s="13"/>
    </row>
    <row r="596" spans="1:3" ht="13" x14ac:dyDescent="0.15">
      <c r="A596" s="10"/>
      <c r="B596" s="13"/>
      <c r="C596" s="13"/>
    </row>
    <row r="597" spans="1:3" ht="13" x14ac:dyDescent="0.15">
      <c r="A597" s="10"/>
      <c r="B597" s="13"/>
      <c r="C597" s="13"/>
    </row>
    <row r="598" spans="1:3" ht="13" x14ac:dyDescent="0.15">
      <c r="A598" s="10"/>
      <c r="B598" s="13"/>
      <c r="C598" s="13"/>
    </row>
    <row r="599" spans="1:3" ht="13" x14ac:dyDescent="0.15">
      <c r="A599" s="10"/>
      <c r="B599" s="13"/>
      <c r="C599" s="13"/>
    </row>
    <row r="600" spans="1:3" ht="13" x14ac:dyDescent="0.15">
      <c r="A600" s="10"/>
      <c r="B600" s="13"/>
      <c r="C600" s="13"/>
    </row>
    <row r="601" spans="1:3" ht="13" x14ac:dyDescent="0.15">
      <c r="A601" s="10"/>
      <c r="B601" s="13"/>
      <c r="C601" s="13"/>
    </row>
    <row r="602" spans="1:3" ht="13" x14ac:dyDescent="0.15">
      <c r="A602" s="10"/>
      <c r="B602" s="13"/>
      <c r="C602" s="13"/>
    </row>
    <row r="603" spans="1:3" ht="13" x14ac:dyDescent="0.15">
      <c r="A603" s="10"/>
      <c r="B603" s="13"/>
      <c r="C603" s="13"/>
    </row>
    <row r="604" spans="1:3" ht="13" x14ac:dyDescent="0.15">
      <c r="A604" s="10"/>
      <c r="B604" s="13"/>
      <c r="C604" s="13"/>
    </row>
    <row r="605" spans="1:3" ht="13" x14ac:dyDescent="0.15">
      <c r="A605" s="10"/>
      <c r="B605" s="13"/>
      <c r="C605" s="13"/>
    </row>
    <row r="606" spans="1:3" ht="13" x14ac:dyDescent="0.15">
      <c r="A606" s="10"/>
      <c r="B606" s="13"/>
      <c r="C606" s="13"/>
    </row>
    <row r="607" spans="1:3" ht="13" x14ac:dyDescent="0.15">
      <c r="A607" s="10"/>
      <c r="B607" s="13"/>
      <c r="C607" s="13"/>
    </row>
    <row r="608" spans="1:3" ht="13" x14ac:dyDescent="0.15">
      <c r="A608" s="10"/>
      <c r="B608" s="13"/>
      <c r="C608" s="13"/>
    </row>
    <row r="609" spans="1:3" ht="13" x14ac:dyDescent="0.15">
      <c r="A609" s="10"/>
      <c r="B609" s="13"/>
      <c r="C609" s="13"/>
    </row>
    <row r="610" spans="1:3" ht="13" x14ac:dyDescent="0.15">
      <c r="A610" s="10"/>
      <c r="B610" s="13"/>
      <c r="C610" s="13"/>
    </row>
    <row r="611" spans="1:3" ht="13" x14ac:dyDescent="0.15">
      <c r="A611" s="10"/>
      <c r="B611" s="13"/>
      <c r="C611" s="13"/>
    </row>
    <row r="612" spans="1:3" ht="13" x14ac:dyDescent="0.15">
      <c r="A612" s="10"/>
      <c r="B612" s="13"/>
      <c r="C612" s="13"/>
    </row>
    <row r="613" spans="1:3" ht="13" x14ac:dyDescent="0.15">
      <c r="A613" s="10"/>
      <c r="B613" s="13"/>
      <c r="C613" s="13"/>
    </row>
    <row r="614" spans="1:3" ht="13" x14ac:dyDescent="0.15">
      <c r="A614" s="10"/>
      <c r="B614" s="13"/>
      <c r="C614" s="13"/>
    </row>
    <row r="615" spans="1:3" ht="13" x14ac:dyDescent="0.15">
      <c r="A615" s="10"/>
      <c r="B615" s="13"/>
      <c r="C615" s="13"/>
    </row>
    <row r="616" spans="1:3" ht="13" x14ac:dyDescent="0.15">
      <c r="A616" s="10"/>
      <c r="B616" s="13"/>
      <c r="C616" s="13"/>
    </row>
    <row r="617" spans="1:3" ht="13" x14ac:dyDescent="0.15">
      <c r="A617" s="10"/>
      <c r="B617" s="13"/>
      <c r="C617" s="13"/>
    </row>
    <row r="618" spans="1:3" ht="13" x14ac:dyDescent="0.15">
      <c r="A618" s="10"/>
      <c r="B618" s="13"/>
      <c r="C618" s="13"/>
    </row>
    <row r="619" spans="1:3" ht="13" x14ac:dyDescent="0.15">
      <c r="A619" s="10"/>
      <c r="B619" s="13"/>
      <c r="C619" s="13"/>
    </row>
    <row r="620" spans="1:3" ht="13" x14ac:dyDescent="0.15">
      <c r="A620" s="10"/>
      <c r="B620" s="13"/>
      <c r="C620" s="13"/>
    </row>
    <row r="621" spans="1:3" ht="13" x14ac:dyDescent="0.15">
      <c r="A621" s="10"/>
      <c r="B621" s="13"/>
      <c r="C621" s="13"/>
    </row>
    <row r="622" spans="1:3" ht="13" x14ac:dyDescent="0.15">
      <c r="A622" s="10"/>
      <c r="B622" s="13"/>
      <c r="C622" s="13"/>
    </row>
    <row r="623" spans="1:3" ht="13" x14ac:dyDescent="0.15">
      <c r="A623" s="10"/>
      <c r="B623" s="13"/>
      <c r="C623" s="13"/>
    </row>
    <row r="624" spans="1:3" ht="13" x14ac:dyDescent="0.15">
      <c r="A624" s="10"/>
      <c r="B624" s="13"/>
      <c r="C624" s="13"/>
    </row>
    <row r="625" spans="1:3" ht="13" x14ac:dyDescent="0.15">
      <c r="A625" s="10"/>
      <c r="B625" s="13"/>
      <c r="C625" s="13"/>
    </row>
    <row r="626" spans="1:3" ht="13" x14ac:dyDescent="0.15">
      <c r="A626" s="10"/>
      <c r="B626" s="13"/>
      <c r="C626" s="13"/>
    </row>
    <row r="627" spans="1:3" ht="13" x14ac:dyDescent="0.15">
      <c r="A627" s="10"/>
      <c r="B627" s="13"/>
      <c r="C627" s="13"/>
    </row>
    <row r="628" spans="1:3" ht="13" x14ac:dyDescent="0.15">
      <c r="A628" s="10"/>
      <c r="B628" s="13"/>
      <c r="C628" s="13"/>
    </row>
    <row r="629" spans="1:3" ht="13" x14ac:dyDescent="0.15">
      <c r="A629" s="10"/>
      <c r="B629" s="13"/>
      <c r="C629" s="13"/>
    </row>
    <row r="630" spans="1:3" ht="13" x14ac:dyDescent="0.15">
      <c r="A630" s="10"/>
      <c r="B630" s="13"/>
      <c r="C630" s="13"/>
    </row>
    <row r="631" spans="1:3" ht="13" x14ac:dyDescent="0.15">
      <c r="A631" s="10"/>
      <c r="B631" s="13"/>
      <c r="C631" s="13"/>
    </row>
    <row r="632" spans="1:3" ht="13" x14ac:dyDescent="0.15">
      <c r="A632" s="10"/>
      <c r="B632" s="13"/>
      <c r="C632" s="13"/>
    </row>
    <row r="633" spans="1:3" ht="13" x14ac:dyDescent="0.15">
      <c r="A633" s="10"/>
      <c r="B633" s="13"/>
      <c r="C633" s="13"/>
    </row>
    <row r="634" spans="1:3" ht="13" x14ac:dyDescent="0.15">
      <c r="A634" s="10"/>
      <c r="B634" s="13"/>
      <c r="C634" s="13"/>
    </row>
    <row r="635" spans="1:3" ht="13" x14ac:dyDescent="0.15">
      <c r="A635" s="10"/>
      <c r="B635" s="13"/>
      <c r="C635" s="13"/>
    </row>
    <row r="636" spans="1:3" ht="13" x14ac:dyDescent="0.15">
      <c r="A636" s="10"/>
      <c r="B636" s="13"/>
      <c r="C636" s="13"/>
    </row>
    <row r="637" spans="1:3" ht="13" x14ac:dyDescent="0.15">
      <c r="A637" s="10"/>
      <c r="B637" s="13"/>
      <c r="C637" s="13"/>
    </row>
    <row r="638" spans="1:3" ht="13" x14ac:dyDescent="0.15">
      <c r="A638" s="10"/>
      <c r="B638" s="13"/>
      <c r="C638" s="13"/>
    </row>
    <row r="639" spans="1:3" ht="13" x14ac:dyDescent="0.15">
      <c r="A639" s="10"/>
      <c r="B639" s="13"/>
      <c r="C639" s="13"/>
    </row>
    <row r="640" spans="1:3" ht="13" x14ac:dyDescent="0.15">
      <c r="A640" s="10"/>
      <c r="B640" s="13"/>
      <c r="C640" s="13"/>
    </row>
    <row r="641" spans="1:3" ht="13" x14ac:dyDescent="0.15">
      <c r="A641" s="10"/>
      <c r="B641" s="13"/>
      <c r="C641" s="13"/>
    </row>
    <row r="642" spans="1:3" ht="13" x14ac:dyDescent="0.15">
      <c r="A642" s="10"/>
      <c r="B642" s="13"/>
      <c r="C642" s="13"/>
    </row>
    <row r="643" spans="1:3" ht="13" x14ac:dyDescent="0.15">
      <c r="A643" s="10"/>
      <c r="B643" s="13"/>
      <c r="C643" s="13"/>
    </row>
    <row r="644" spans="1:3" ht="13" x14ac:dyDescent="0.15">
      <c r="A644" s="10"/>
      <c r="B644" s="13"/>
      <c r="C644" s="13"/>
    </row>
    <row r="645" spans="1:3" ht="13" x14ac:dyDescent="0.15">
      <c r="A645" s="10"/>
      <c r="B645" s="13"/>
      <c r="C645" s="13"/>
    </row>
    <row r="646" spans="1:3" ht="13" x14ac:dyDescent="0.15">
      <c r="A646" s="10"/>
      <c r="B646" s="13"/>
      <c r="C646" s="13"/>
    </row>
    <row r="647" spans="1:3" ht="13" x14ac:dyDescent="0.15">
      <c r="A647" s="10"/>
      <c r="B647" s="13"/>
      <c r="C647" s="13"/>
    </row>
    <row r="648" spans="1:3" ht="13" x14ac:dyDescent="0.15">
      <c r="A648" s="10"/>
      <c r="B648" s="13"/>
      <c r="C648" s="13"/>
    </row>
    <row r="649" spans="1:3" ht="13" x14ac:dyDescent="0.15">
      <c r="A649" s="10"/>
      <c r="B649" s="13"/>
      <c r="C649" s="13"/>
    </row>
    <row r="650" spans="1:3" ht="13" x14ac:dyDescent="0.15">
      <c r="A650" s="10"/>
      <c r="B650" s="13"/>
      <c r="C650" s="13"/>
    </row>
    <row r="651" spans="1:3" ht="13" x14ac:dyDescent="0.15">
      <c r="A651" s="10"/>
      <c r="B651" s="13"/>
      <c r="C651" s="13"/>
    </row>
    <row r="652" spans="1:3" ht="13" x14ac:dyDescent="0.15">
      <c r="A652" s="10"/>
      <c r="B652" s="13"/>
      <c r="C652" s="13"/>
    </row>
    <row r="653" spans="1:3" ht="13" x14ac:dyDescent="0.15">
      <c r="A653" s="10"/>
      <c r="B653" s="13"/>
      <c r="C653" s="13"/>
    </row>
    <row r="654" spans="1:3" ht="13" x14ac:dyDescent="0.15">
      <c r="A654" s="10"/>
      <c r="B654" s="13"/>
      <c r="C654" s="13"/>
    </row>
    <row r="655" spans="1:3" ht="13" x14ac:dyDescent="0.15">
      <c r="A655" s="10"/>
      <c r="B655" s="13"/>
      <c r="C655" s="13"/>
    </row>
    <row r="656" spans="1:3" ht="13" x14ac:dyDescent="0.15">
      <c r="A656" s="10"/>
      <c r="B656" s="13"/>
      <c r="C656" s="13"/>
    </row>
    <row r="657" spans="1:3" ht="13" x14ac:dyDescent="0.15">
      <c r="A657" s="10"/>
      <c r="B657" s="13"/>
      <c r="C657" s="13"/>
    </row>
    <row r="658" spans="1:3" ht="13" x14ac:dyDescent="0.15">
      <c r="A658" s="10"/>
      <c r="B658" s="13"/>
      <c r="C658" s="13"/>
    </row>
    <row r="659" spans="1:3" ht="13" x14ac:dyDescent="0.15">
      <c r="A659" s="10"/>
      <c r="B659" s="13"/>
      <c r="C659" s="13"/>
    </row>
    <row r="660" spans="1:3" ht="13" x14ac:dyDescent="0.15">
      <c r="A660" s="10"/>
      <c r="B660" s="13"/>
      <c r="C660" s="13"/>
    </row>
    <row r="661" spans="1:3" ht="13" x14ac:dyDescent="0.15">
      <c r="A661" s="10"/>
      <c r="B661" s="13"/>
      <c r="C661" s="13"/>
    </row>
    <row r="662" spans="1:3" ht="13" x14ac:dyDescent="0.15">
      <c r="A662" s="10"/>
      <c r="B662" s="13"/>
      <c r="C662" s="13"/>
    </row>
    <row r="663" spans="1:3" ht="13" x14ac:dyDescent="0.15">
      <c r="A663" s="10"/>
      <c r="B663" s="13"/>
      <c r="C663" s="13"/>
    </row>
    <row r="664" spans="1:3" ht="13" x14ac:dyDescent="0.15">
      <c r="A664" s="10"/>
      <c r="B664" s="13"/>
      <c r="C664" s="13"/>
    </row>
    <row r="665" spans="1:3" ht="13" x14ac:dyDescent="0.15">
      <c r="A665" s="10"/>
      <c r="B665" s="13"/>
      <c r="C665" s="13"/>
    </row>
    <row r="666" spans="1:3" ht="13" x14ac:dyDescent="0.15">
      <c r="A666" s="10"/>
      <c r="B666" s="13"/>
      <c r="C666" s="13"/>
    </row>
    <row r="667" spans="1:3" ht="13" x14ac:dyDescent="0.15">
      <c r="A667" s="10"/>
      <c r="B667" s="13"/>
      <c r="C667" s="13"/>
    </row>
    <row r="668" spans="1:3" ht="13" x14ac:dyDescent="0.15">
      <c r="A668" s="10"/>
      <c r="B668" s="13"/>
      <c r="C668" s="13"/>
    </row>
    <row r="669" spans="1:3" ht="13" x14ac:dyDescent="0.15">
      <c r="A669" s="10"/>
      <c r="B669" s="13"/>
      <c r="C669" s="13"/>
    </row>
    <row r="670" spans="1:3" ht="13" x14ac:dyDescent="0.15">
      <c r="A670" s="10"/>
      <c r="B670" s="13"/>
      <c r="C670" s="13"/>
    </row>
    <row r="671" spans="1:3" ht="13" x14ac:dyDescent="0.15">
      <c r="A671" s="10"/>
      <c r="B671" s="13"/>
      <c r="C671" s="13"/>
    </row>
    <row r="672" spans="1:3" ht="13" x14ac:dyDescent="0.15">
      <c r="A672" s="10"/>
      <c r="B672" s="13"/>
      <c r="C672" s="13"/>
    </row>
    <row r="673" spans="1:3" ht="13" x14ac:dyDescent="0.15">
      <c r="A673" s="10"/>
      <c r="B673" s="13"/>
      <c r="C673" s="13"/>
    </row>
    <row r="674" spans="1:3" ht="13" x14ac:dyDescent="0.15">
      <c r="A674" s="10"/>
      <c r="B674" s="13"/>
      <c r="C674" s="13"/>
    </row>
    <row r="675" spans="1:3" ht="13" x14ac:dyDescent="0.15">
      <c r="A675" s="10"/>
      <c r="B675" s="13"/>
      <c r="C675" s="13"/>
    </row>
    <row r="676" spans="1:3" ht="13" x14ac:dyDescent="0.15">
      <c r="A676" s="10"/>
      <c r="B676" s="13"/>
      <c r="C676" s="13"/>
    </row>
    <row r="677" spans="1:3" ht="13" x14ac:dyDescent="0.15">
      <c r="A677" s="10"/>
      <c r="B677" s="13"/>
      <c r="C677" s="13"/>
    </row>
    <row r="678" spans="1:3" ht="13" x14ac:dyDescent="0.15">
      <c r="A678" s="10"/>
      <c r="B678" s="13"/>
      <c r="C678" s="13"/>
    </row>
    <row r="679" spans="1:3" ht="13" x14ac:dyDescent="0.15">
      <c r="A679" s="10"/>
      <c r="B679" s="13"/>
      <c r="C679" s="13"/>
    </row>
    <row r="680" spans="1:3" ht="13" x14ac:dyDescent="0.15">
      <c r="A680" s="10"/>
      <c r="B680" s="13"/>
      <c r="C680" s="13"/>
    </row>
    <row r="681" spans="1:3" ht="13" x14ac:dyDescent="0.15">
      <c r="A681" s="10"/>
      <c r="B681" s="13"/>
      <c r="C681" s="13"/>
    </row>
    <row r="682" spans="1:3" ht="13" x14ac:dyDescent="0.15">
      <c r="A682" s="10"/>
      <c r="B682" s="13"/>
      <c r="C682" s="13"/>
    </row>
    <row r="683" spans="1:3" ht="13" x14ac:dyDescent="0.15">
      <c r="A683" s="10"/>
      <c r="B683" s="13"/>
      <c r="C683" s="13"/>
    </row>
    <row r="684" spans="1:3" ht="13" x14ac:dyDescent="0.15">
      <c r="A684" s="10"/>
      <c r="B684" s="13"/>
      <c r="C684" s="13"/>
    </row>
    <row r="685" spans="1:3" ht="13" x14ac:dyDescent="0.15">
      <c r="A685" s="10"/>
      <c r="B685" s="13"/>
      <c r="C685" s="13"/>
    </row>
    <row r="686" spans="1:3" ht="13" x14ac:dyDescent="0.15">
      <c r="A686" s="10"/>
      <c r="B686" s="13"/>
      <c r="C686" s="13"/>
    </row>
    <row r="687" spans="1:3" ht="13" x14ac:dyDescent="0.15">
      <c r="A687" s="10"/>
      <c r="B687" s="13"/>
      <c r="C687" s="13"/>
    </row>
    <row r="688" spans="1:3" ht="13" x14ac:dyDescent="0.15">
      <c r="A688" s="10"/>
      <c r="B688" s="13"/>
      <c r="C688" s="13"/>
    </row>
    <row r="689" spans="1:3" ht="13" x14ac:dyDescent="0.15">
      <c r="A689" s="10"/>
      <c r="B689" s="13"/>
      <c r="C689" s="13"/>
    </row>
    <row r="690" spans="1:3" ht="13" x14ac:dyDescent="0.15">
      <c r="A690" s="10"/>
      <c r="B690" s="13"/>
      <c r="C690" s="13"/>
    </row>
    <row r="691" spans="1:3" ht="13" x14ac:dyDescent="0.15">
      <c r="A691" s="10"/>
      <c r="B691" s="13"/>
      <c r="C691" s="13"/>
    </row>
    <row r="692" spans="1:3" ht="13" x14ac:dyDescent="0.15">
      <c r="A692" s="10"/>
      <c r="B692" s="13"/>
      <c r="C692" s="13"/>
    </row>
    <row r="693" spans="1:3" ht="13" x14ac:dyDescent="0.15">
      <c r="A693" s="10"/>
      <c r="B693" s="13"/>
      <c r="C693" s="13"/>
    </row>
    <row r="694" spans="1:3" ht="13" x14ac:dyDescent="0.15">
      <c r="A694" s="10"/>
      <c r="B694" s="13"/>
      <c r="C694" s="13"/>
    </row>
    <row r="695" spans="1:3" ht="13" x14ac:dyDescent="0.15">
      <c r="A695" s="10"/>
      <c r="B695" s="13"/>
      <c r="C695" s="13"/>
    </row>
    <row r="696" spans="1:3" ht="13" x14ac:dyDescent="0.15">
      <c r="A696" s="10"/>
      <c r="B696" s="13"/>
      <c r="C696" s="13"/>
    </row>
    <row r="697" spans="1:3" ht="13" x14ac:dyDescent="0.15">
      <c r="A697" s="10"/>
      <c r="B697" s="13"/>
      <c r="C697" s="13"/>
    </row>
    <row r="698" spans="1:3" ht="13" x14ac:dyDescent="0.15">
      <c r="A698" s="10"/>
      <c r="B698" s="13"/>
      <c r="C698" s="13"/>
    </row>
    <row r="699" spans="1:3" ht="13" x14ac:dyDescent="0.15">
      <c r="A699" s="10"/>
      <c r="B699" s="13"/>
      <c r="C699" s="13"/>
    </row>
    <row r="700" spans="1:3" ht="13" x14ac:dyDescent="0.15">
      <c r="A700" s="10"/>
      <c r="B700" s="13"/>
      <c r="C700" s="13"/>
    </row>
    <row r="701" spans="1:3" ht="13" x14ac:dyDescent="0.15">
      <c r="A701" s="10"/>
      <c r="B701" s="13"/>
      <c r="C701" s="13"/>
    </row>
    <row r="702" spans="1:3" ht="13" x14ac:dyDescent="0.15">
      <c r="A702" s="10"/>
      <c r="B702" s="13"/>
      <c r="C702" s="13"/>
    </row>
    <row r="703" spans="1:3" ht="13" x14ac:dyDescent="0.15">
      <c r="A703" s="10"/>
      <c r="B703" s="13"/>
      <c r="C703" s="13"/>
    </row>
    <row r="704" spans="1:3" ht="13" x14ac:dyDescent="0.15">
      <c r="A704" s="10"/>
      <c r="B704" s="13"/>
      <c r="C704" s="13"/>
    </row>
    <row r="705" spans="1:3" ht="13" x14ac:dyDescent="0.15">
      <c r="A705" s="10"/>
      <c r="B705" s="13"/>
      <c r="C705" s="13"/>
    </row>
    <row r="706" spans="1:3" ht="13" x14ac:dyDescent="0.15">
      <c r="A706" s="10"/>
      <c r="B706" s="13"/>
      <c r="C706" s="13"/>
    </row>
    <row r="707" spans="1:3" ht="13" x14ac:dyDescent="0.15">
      <c r="A707" s="10"/>
      <c r="B707" s="13"/>
      <c r="C707" s="13"/>
    </row>
    <row r="708" spans="1:3" ht="13" x14ac:dyDescent="0.15">
      <c r="A708" s="10"/>
      <c r="B708" s="13"/>
      <c r="C708" s="13"/>
    </row>
    <row r="709" spans="1:3" ht="13" x14ac:dyDescent="0.15">
      <c r="A709" s="10"/>
      <c r="B709" s="13"/>
      <c r="C709" s="13"/>
    </row>
    <row r="710" spans="1:3" ht="13" x14ac:dyDescent="0.15">
      <c r="A710" s="10"/>
      <c r="B710" s="13"/>
      <c r="C710" s="13"/>
    </row>
    <row r="711" spans="1:3" ht="13" x14ac:dyDescent="0.15">
      <c r="A711" s="10"/>
      <c r="B711" s="13"/>
      <c r="C711" s="13"/>
    </row>
    <row r="712" spans="1:3" ht="13" x14ac:dyDescent="0.15">
      <c r="A712" s="10"/>
      <c r="B712" s="13"/>
      <c r="C712" s="13"/>
    </row>
    <row r="713" spans="1:3" ht="13" x14ac:dyDescent="0.15">
      <c r="A713" s="10"/>
      <c r="B713" s="13"/>
      <c r="C713" s="13"/>
    </row>
    <row r="714" spans="1:3" ht="13" x14ac:dyDescent="0.15">
      <c r="A714" s="10"/>
      <c r="B714" s="13"/>
      <c r="C714" s="13"/>
    </row>
    <row r="715" spans="1:3" ht="13" x14ac:dyDescent="0.15">
      <c r="A715" s="10"/>
      <c r="B715" s="13"/>
      <c r="C715" s="13"/>
    </row>
    <row r="716" spans="1:3" ht="13" x14ac:dyDescent="0.15">
      <c r="A716" s="10"/>
      <c r="B716" s="13"/>
      <c r="C716" s="13"/>
    </row>
    <row r="717" spans="1:3" ht="13" x14ac:dyDescent="0.15">
      <c r="A717" s="10"/>
      <c r="B717" s="13"/>
      <c r="C717" s="13"/>
    </row>
    <row r="718" spans="1:3" ht="13" x14ac:dyDescent="0.15">
      <c r="A718" s="10"/>
      <c r="B718" s="13"/>
      <c r="C718" s="13"/>
    </row>
    <row r="719" spans="1:3" ht="13" x14ac:dyDescent="0.15">
      <c r="A719" s="10"/>
      <c r="B719" s="13"/>
      <c r="C719" s="13"/>
    </row>
    <row r="720" spans="1:3" ht="13" x14ac:dyDescent="0.15">
      <c r="A720" s="10"/>
      <c r="B720" s="13"/>
      <c r="C720" s="13"/>
    </row>
    <row r="721" spans="1:3" ht="13" x14ac:dyDescent="0.15">
      <c r="A721" s="10"/>
      <c r="B721" s="13"/>
      <c r="C721" s="13"/>
    </row>
    <row r="722" spans="1:3" ht="13" x14ac:dyDescent="0.15">
      <c r="A722" s="10"/>
      <c r="B722" s="13"/>
      <c r="C722" s="13"/>
    </row>
    <row r="723" spans="1:3" ht="13" x14ac:dyDescent="0.15">
      <c r="A723" s="10"/>
      <c r="B723" s="13"/>
      <c r="C723" s="13"/>
    </row>
    <row r="724" spans="1:3" ht="13" x14ac:dyDescent="0.15">
      <c r="A724" s="10"/>
      <c r="B724" s="13"/>
      <c r="C724" s="13"/>
    </row>
    <row r="725" spans="1:3" ht="13" x14ac:dyDescent="0.15">
      <c r="A725" s="10"/>
      <c r="B725" s="13"/>
      <c r="C725" s="13"/>
    </row>
    <row r="726" spans="1:3" ht="13" x14ac:dyDescent="0.15">
      <c r="A726" s="10"/>
      <c r="B726" s="13"/>
      <c r="C726" s="13"/>
    </row>
    <row r="727" spans="1:3" ht="13" x14ac:dyDescent="0.15">
      <c r="A727" s="10"/>
      <c r="B727" s="13"/>
      <c r="C727" s="13"/>
    </row>
    <row r="728" spans="1:3" ht="13" x14ac:dyDescent="0.15">
      <c r="A728" s="10"/>
      <c r="B728" s="13"/>
      <c r="C728" s="13"/>
    </row>
    <row r="729" spans="1:3" ht="13" x14ac:dyDescent="0.15">
      <c r="A729" s="10"/>
      <c r="B729" s="13"/>
      <c r="C729" s="13"/>
    </row>
    <row r="730" spans="1:3" ht="13" x14ac:dyDescent="0.15">
      <c r="A730" s="10"/>
      <c r="B730" s="13"/>
      <c r="C730" s="13"/>
    </row>
    <row r="731" spans="1:3" ht="13" x14ac:dyDescent="0.15">
      <c r="A731" s="10"/>
      <c r="B731" s="13"/>
      <c r="C731" s="13"/>
    </row>
    <row r="732" spans="1:3" ht="13" x14ac:dyDescent="0.15">
      <c r="A732" s="10"/>
      <c r="B732" s="13"/>
      <c r="C732" s="13"/>
    </row>
    <row r="733" spans="1:3" ht="13" x14ac:dyDescent="0.15">
      <c r="A733" s="10"/>
      <c r="B733" s="13"/>
      <c r="C733" s="13"/>
    </row>
    <row r="734" spans="1:3" ht="13" x14ac:dyDescent="0.15">
      <c r="A734" s="10"/>
      <c r="B734" s="13"/>
      <c r="C734" s="13"/>
    </row>
    <row r="735" spans="1:3" ht="13" x14ac:dyDescent="0.15">
      <c r="A735" s="10"/>
      <c r="B735" s="13"/>
      <c r="C735" s="13"/>
    </row>
    <row r="736" spans="1:3" ht="13" x14ac:dyDescent="0.15">
      <c r="A736" s="10"/>
      <c r="B736" s="13"/>
      <c r="C736" s="13"/>
    </row>
    <row r="737" spans="1:3" ht="13" x14ac:dyDescent="0.15">
      <c r="A737" s="10"/>
      <c r="B737" s="13"/>
      <c r="C737" s="13"/>
    </row>
    <row r="738" spans="1:3" ht="13" x14ac:dyDescent="0.15">
      <c r="A738" s="10"/>
      <c r="B738" s="13"/>
      <c r="C738" s="13"/>
    </row>
    <row r="739" spans="1:3" ht="13" x14ac:dyDescent="0.15">
      <c r="A739" s="10"/>
      <c r="B739" s="13"/>
      <c r="C739" s="13"/>
    </row>
    <row r="740" spans="1:3" ht="13" x14ac:dyDescent="0.15">
      <c r="A740" s="10"/>
      <c r="B740" s="13"/>
      <c r="C740" s="13"/>
    </row>
    <row r="741" spans="1:3" ht="13" x14ac:dyDescent="0.15">
      <c r="A741" s="10"/>
      <c r="B741" s="13"/>
      <c r="C741" s="13"/>
    </row>
    <row r="742" spans="1:3" ht="13" x14ac:dyDescent="0.15">
      <c r="A742" s="10"/>
      <c r="B742" s="13"/>
      <c r="C742" s="13"/>
    </row>
    <row r="743" spans="1:3" ht="13" x14ac:dyDescent="0.15">
      <c r="A743" s="10"/>
      <c r="B743" s="13"/>
      <c r="C743" s="13"/>
    </row>
    <row r="744" spans="1:3" ht="13" x14ac:dyDescent="0.15">
      <c r="A744" s="10"/>
      <c r="B744" s="13"/>
      <c r="C744" s="13"/>
    </row>
    <row r="745" spans="1:3" ht="13" x14ac:dyDescent="0.15">
      <c r="A745" s="10"/>
      <c r="B745" s="13"/>
      <c r="C745" s="13"/>
    </row>
    <row r="746" spans="1:3" ht="13" x14ac:dyDescent="0.15">
      <c r="A746" s="10"/>
      <c r="B746" s="13"/>
      <c r="C746" s="13"/>
    </row>
    <row r="747" spans="1:3" ht="13" x14ac:dyDescent="0.15">
      <c r="A747" s="10"/>
      <c r="B747" s="13"/>
      <c r="C747" s="13"/>
    </row>
    <row r="748" spans="1:3" ht="13" x14ac:dyDescent="0.15">
      <c r="A748" s="10"/>
      <c r="B748" s="13"/>
      <c r="C748" s="13"/>
    </row>
    <row r="749" spans="1:3" ht="13" x14ac:dyDescent="0.15">
      <c r="A749" s="10"/>
      <c r="B749" s="13"/>
      <c r="C749" s="13"/>
    </row>
    <row r="750" spans="1:3" ht="13" x14ac:dyDescent="0.15">
      <c r="A750" s="10"/>
      <c r="B750" s="13"/>
      <c r="C750" s="13"/>
    </row>
    <row r="751" spans="1:3" ht="13" x14ac:dyDescent="0.15">
      <c r="A751" s="10"/>
      <c r="B751" s="13"/>
      <c r="C751" s="13"/>
    </row>
    <row r="752" spans="1:3" ht="13" x14ac:dyDescent="0.15">
      <c r="A752" s="10"/>
      <c r="B752" s="13"/>
      <c r="C752" s="13"/>
    </row>
    <row r="753" spans="1:3" ht="13" x14ac:dyDescent="0.15">
      <c r="A753" s="10"/>
      <c r="B753" s="13"/>
      <c r="C753" s="13"/>
    </row>
    <row r="754" spans="1:3" ht="13" x14ac:dyDescent="0.15">
      <c r="A754" s="10"/>
      <c r="B754" s="13"/>
      <c r="C754" s="13"/>
    </row>
    <row r="755" spans="1:3" ht="13" x14ac:dyDescent="0.15">
      <c r="A755" s="10"/>
      <c r="B755" s="13"/>
      <c r="C755" s="13"/>
    </row>
    <row r="756" spans="1:3" ht="13" x14ac:dyDescent="0.15">
      <c r="A756" s="10"/>
      <c r="B756" s="13"/>
      <c r="C756" s="13"/>
    </row>
    <row r="757" spans="1:3" ht="13" x14ac:dyDescent="0.15">
      <c r="A757" s="10"/>
      <c r="B757" s="13"/>
      <c r="C757" s="13"/>
    </row>
    <row r="758" spans="1:3" ht="13" x14ac:dyDescent="0.15">
      <c r="A758" s="10"/>
      <c r="B758" s="13"/>
      <c r="C758" s="13"/>
    </row>
    <row r="759" spans="1:3" ht="13" x14ac:dyDescent="0.15">
      <c r="A759" s="10"/>
      <c r="B759" s="13"/>
      <c r="C759" s="13"/>
    </row>
    <row r="760" spans="1:3" ht="13" x14ac:dyDescent="0.15">
      <c r="A760" s="10"/>
      <c r="B760" s="13"/>
      <c r="C760" s="13"/>
    </row>
    <row r="761" spans="1:3" ht="13" x14ac:dyDescent="0.15">
      <c r="A761" s="10"/>
      <c r="B761" s="13"/>
      <c r="C761" s="13"/>
    </row>
    <row r="762" spans="1:3" ht="13" x14ac:dyDescent="0.15">
      <c r="A762" s="10"/>
      <c r="B762" s="13"/>
      <c r="C762" s="13"/>
    </row>
    <row r="763" spans="1:3" ht="13" x14ac:dyDescent="0.15">
      <c r="A763" s="10"/>
      <c r="B763" s="13"/>
      <c r="C763" s="13"/>
    </row>
    <row r="764" spans="1:3" ht="13" x14ac:dyDescent="0.15">
      <c r="A764" s="10"/>
      <c r="B764" s="13"/>
      <c r="C764" s="13"/>
    </row>
    <row r="765" spans="1:3" ht="13" x14ac:dyDescent="0.15">
      <c r="A765" s="10"/>
      <c r="B765" s="13"/>
      <c r="C765" s="13"/>
    </row>
    <row r="766" spans="1:3" ht="13" x14ac:dyDescent="0.15">
      <c r="A766" s="10"/>
      <c r="B766" s="13"/>
      <c r="C766" s="13"/>
    </row>
    <row r="767" spans="1:3" ht="13" x14ac:dyDescent="0.15">
      <c r="A767" s="10"/>
      <c r="B767" s="13"/>
      <c r="C767" s="13"/>
    </row>
    <row r="768" spans="1:3" ht="13" x14ac:dyDescent="0.15">
      <c r="A768" s="10"/>
      <c r="B768" s="13"/>
      <c r="C768" s="13"/>
    </row>
    <row r="769" spans="1:3" ht="13" x14ac:dyDescent="0.15">
      <c r="A769" s="10"/>
      <c r="B769" s="13"/>
      <c r="C769" s="13"/>
    </row>
    <row r="770" spans="1:3" ht="13" x14ac:dyDescent="0.15">
      <c r="A770" s="10"/>
      <c r="B770" s="13"/>
      <c r="C770" s="13"/>
    </row>
    <row r="771" spans="1:3" ht="13" x14ac:dyDescent="0.15">
      <c r="A771" s="10"/>
      <c r="B771" s="13"/>
      <c r="C771" s="13"/>
    </row>
    <row r="772" spans="1:3" ht="13" x14ac:dyDescent="0.15">
      <c r="A772" s="10"/>
      <c r="B772" s="13"/>
      <c r="C772" s="13"/>
    </row>
    <row r="773" spans="1:3" ht="13" x14ac:dyDescent="0.15">
      <c r="A773" s="10"/>
      <c r="B773" s="13"/>
      <c r="C773" s="13"/>
    </row>
    <row r="774" spans="1:3" ht="13" x14ac:dyDescent="0.15">
      <c r="A774" s="10"/>
      <c r="B774" s="13"/>
      <c r="C774" s="13"/>
    </row>
    <row r="775" spans="1:3" ht="13" x14ac:dyDescent="0.15">
      <c r="A775" s="10"/>
      <c r="B775" s="13"/>
      <c r="C775" s="13"/>
    </row>
    <row r="776" spans="1:3" ht="13" x14ac:dyDescent="0.15">
      <c r="A776" s="10"/>
      <c r="B776" s="13"/>
      <c r="C776" s="13"/>
    </row>
    <row r="777" spans="1:3" ht="13" x14ac:dyDescent="0.15">
      <c r="A777" s="10"/>
      <c r="B777" s="13"/>
      <c r="C777" s="13"/>
    </row>
    <row r="778" spans="1:3" ht="13" x14ac:dyDescent="0.15">
      <c r="A778" s="10"/>
      <c r="B778" s="13"/>
      <c r="C778" s="13"/>
    </row>
    <row r="779" spans="1:3" ht="13" x14ac:dyDescent="0.15">
      <c r="A779" s="10"/>
      <c r="B779" s="13"/>
      <c r="C779" s="13"/>
    </row>
    <row r="780" spans="1:3" ht="13" x14ac:dyDescent="0.15">
      <c r="A780" s="10"/>
      <c r="B780" s="13"/>
      <c r="C780" s="13"/>
    </row>
    <row r="781" spans="1:3" ht="13" x14ac:dyDescent="0.15">
      <c r="A781" s="10"/>
      <c r="B781" s="13"/>
      <c r="C781" s="13"/>
    </row>
    <row r="782" spans="1:3" ht="13" x14ac:dyDescent="0.15">
      <c r="A782" s="10"/>
      <c r="B782" s="13"/>
      <c r="C782" s="13"/>
    </row>
    <row r="783" spans="1:3" ht="13" x14ac:dyDescent="0.15">
      <c r="A783" s="10"/>
      <c r="B783" s="13"/>
      <c r="C783" s="13"/>
    </row>
    <row r="784" spans="1:3" ht="13" x14ac:dyDescent="0.15">
      <c r="A784" s="10"/>
      <c r="B784" s="13"/>
      <c r="C784" s="13"/>
    </row>
    <row r="785" spans="1:3" ht="13" x14ac:dyDescent="0.15">
      <c r="A785" s="10"/>
      <c r="B785" s="13"/>
      <c r="C785" s="13"/>
    </row>
    <row r="786" spans="1:3" ht="13" x14ac:dyDescent="0.15">
      <c r="A786" s="10"/>
      <c r="B786" s="13"/>
      <c r="C786" s="13"/>
    </row>
    <row r="787" spans="1:3" ht="13" x14ac:dyDescent="0.15">
      <c r="A787" s="10"/>
      <c r="B787" s="13"/>
      <c r="C787" s="13"/>
    </row>
    <row r="788" spans="1:3" ht="13" x14ac:dyDescent="0.15">
      <c r="A788" s="10"/>
      <c r="B788" s="13"/>
      <c r="C788" s="13"/>
    </row>
    <row r="789" spans="1:3" ht="13" x14ac:dyDescent="0.15">
      <c r="A789" s="10"/>
      <c r="B789" s="13"/>
      <c r="C789" s="13"/>
    </row>
    <row r="790" spans="1:3" ht="13" x14ac:dyDescent="0.15">
      <c r="A790" s="10"/>
      <c r="B790" s="13"/>
      <c r="C790" s="13"/>
    </row>
    <row r="791" spans="1:3" ht="13" x14ac:dyDescent="0.15">
      <c r="A791" s="10"/>
      <c r="B791" s="13"/>
      <c r="C791" s="13"/>
    </row>
    <row r="792" spans="1:3" ht="13" x14ac:dyDescent="0.15">
      <c r="A792" s="10"/>
      <c r="B792" s="13"/>
      <c r="C792" s="13"/>
    </row>
    <row r="793" spans="1:3" ht="13" x14ac:dyDescent="0.15">
      <c r="A793" s="10"/>
      <c r="B793" s="13"/>
      <c r="C793" s="13"/>
    </row>
    <row r="794" spans="1:3" ht="13" x14ac:dyDescent="0.15">
      <c r="A794" s="10"/>
      <c r="B794" s="13"/>
      <c r="C794" s="13"/>
    </row>
    <row r="795" spans="1:3" ht="13" x14ac:dyDescent="0.15">
      <c r="A795" s="10"/>
      <c r="B795" s="13"/>
      <c r="C795" s="13"/>
    </row>
    <row r="796" spans="1:3" ht="13" x14ac:dyDescent="0.15">
      <c r="A796" s="10"/>
      <c r="B796" s="13"/>
      <c r="C796" s="13"/>
    </row>
    <row r="797" spans="1:3" ht="13" x14ac:dyDescent="0.15">
      <c r="A797" s="10"/>
      <c r="B797" s="13"/>
      <c r="C797" s="13"/>
    </row>
    <row r="798" spans="1:3" ht="13" x14ac:dyDescent="0.15">
      <c r="A798" s="10"/>
      <c r="B798" s="13"/>
      <c r="C798" s="13"/>
    </row>
    <row r="799" spans="1:3" ht="13" x14ac:dyDescent="0.15">
      <c r="A799" s="10"/>
      <c r="B799" s="13"/>
      <c r="C799" s="13"/>
    </row>
    <row r="800" spans="1:3" ht="13" x14ac:dyDescent="0.15">
      <c r="A800" s="10"/>
      <c r="B800" s="13"/>
      <c r="C800" s="13"/>
    </row>
    <row r="801" spans="1:3" ht="13" x14ac:dyDescent="0.15">
      <c r="A801" s="10"/>
      <c r="B801" s="13"/>
      <c r="C801" s="13"/>
    </row>
    <row r="802" spans="1:3" ht="13" x14ac:dyDescent="0.15">
      <c r="A802" s="10"/>
      <c r="B802" s="13"/>
      <c r="C802" s="13"/>
    </row>
    <row r="803" spans="1:3" ht="13" x14ac:dyDescent="0.15">
      <c r="A803" s="10"/>
      <c r="B803" s="13"/>
      <c r="C803" s="13"/>
    </row>
    <row r="804" spans="1:3" ht="13" x14ac:dyDescent="0.15">
      <c r="A804" s="10"/>
      <c r="B804" s="13"/>
      <c r="C804" s="13"/>
    </row>
    <row r="805" spans="1:3" ht="13" x14ac:dyDescent="0.15">
      <c r="A805" s="10"/>
      <c r="B805" s="13"/>
      <c r="C805" s="13"/>
    </row>
    <row r="806" spans="1:3" ht="13" x14ac:dyDescent="0.15">
      <c r="A806" s="10"/>
      <c r="B806" s="13"/>
      <c r="C806" s="13"/>
    </row>
    <row r="807" spans="1:3" ht="13" x14ac:dyDescent="0.15">
      <c r="A807" s="10"/>
      <c r="B807" s="13"/>
      <c r="C807" s="13"/>
    </row>
    <row r="808" spans="1:3" ht="13" x14ac:dyDescent="0.15">
      <c r="A808" s="10"/>
      <c r="B808" s="13"/>
      <c r="C808" s="13"/>
    </row>
    <row r="809" spans="1:3" ht="13" x14ac:dyDescent="0.15">
      <c r="A809" s="10"/>
      <c r="B809" s="13"/>
      <c r="C809" s="13"/>
    </row>
    <row r="810" spans="1:3" ht="13" x14ac:dyDescent="0.15">
      <c r="A810" s="10"/>
      <c r="B810" s="13"/>
      <c r="C810" s="13"/>
    </row>
    <row r="811" spans="1:3" ht="13" x14ac:dyDescent="0.15">
      <c r="A811" s="10"/>
      <c r="B811" s="13"/>
      <c r="C811" s="13"/>
    </row>
    <row r="812" spans="1:3" ht="13" x14ac:dyDescent="0.15">
      <c r="A812" s="10"/>
      <c r="B812" s="13"/>
      <c r="C812" s="13"/>
    </row>
    <row r="813" spans="1:3" ht="13" x14ac:dyDescent="0.15">
      <c r="A813" s="10"/>
      <c r="B813" s="13"/>
      <c r="C813" s="13"/>
    </row>
    <row r="814" spans="1:3" ht="13" x14ac:dyDescent="0.15">
      <c r="A814" s="10"/>
      <c r="B814" s="13"/>
      <c r="C814" s="13"/>
    </row>
    <row r="815" spans="1:3" ht="13" x14ac:dyDescent="0.15">
      <c r="A815" s="10"/>
      <c r="B815" s="13"/>
      <c r="C815" s="13"/>
    </row>
    <row r="816" spans="1:3" ht="13" x14ac:dyDescent="0.15">
      <c r="A816" s="10"/>
      <c r="B816" s="13"/>
      <c r="C816" s="13"/>
    </row>
    <row r="817" spans="1:3" ht="13" x14ac:dyDescent="0.15">
      <c r="A817" s="10"/>
      <c r="B817" s="13"/>
      <c r="C817" s="13"/>
    </row>
    <row r="818" spans="1:3" ht="13" x14ac:dyDescent="0.15">
      <c r="A818" s="10"/>
      <c r="B818" s="13"/>
      <c r="C818" s="13"/>
    </row>
    <row r="819" spans="1:3" ht="13" x14ac:dyDescent="0.15">
      <c r="A819" s="10"/>
      <c r="B819" s="13"/>
      <c r="C819" s="13"/>
    </row>
    <row r="820" spans="1:3" ht="13" x14ac:dyDescent="0.15">
      <c r="A820" s="10"/>
      <c r="B820" s="13"/>
      <c r="C820" s="13"/>
    </row>
    <row r="821" spans="1:3" ht="13" x14ac:dyDescent="0.15">
      <c r="A821" s="10"/>
      <c r="B821" s="13"/>
      <c r="C821" s="13"/>
    </row>
    <row r="822" spans="1:3" ht="13" x14ac:dyDescent="0.15">
      <c r="A822" s="10"/>
      <c r="B822" s="13"/>
      <c r="C822" s="13"/>
    </row>
    <row r="823" spans="1:3" ht="13" x14ac:dyDescent="0.15">
      <c r="A823" s="10"/>
      <c r="B823" s="13"/>
      <c r="C823" s="13"/>
    </row>
    <row r="824" spans="1:3" ht="13" x14ac:dyDescent="0.15">
      <c r="A824" s="10"/>
      <c r="B824" s="13"/>
      <c r="C824" s="13"/>
    </row>
    <row r="825" spans="1:3" ht="13" x14ac:dyDescent="0.15">
      <c r="A825" s="10"/>
      <c r="B825" s="13"/>
      <c r="C825" s="13"/>
    </row>
    <row r="826" spans="1:3" ht="13" x14ac:dyDescent="0.15">
      <c r="A826" s="10"/>
      <c r="B826" s="13"/>
      <c r="C826" s="13"/>
    </row>
    <row r="827" spans="1:3" ht="13" x14ac:dyDescent="0.15">
      <c r="A827" s="10"/>
      <c r="B827" s="13"/>
      <c r="C827" s="13"/>
    </row>
    <row r="828" spans="1:3" ht="13" x14ac:dyDescent="0.15">
      <c r="A828" s="10"/>
      <c r="B828" s="13"/>
      <c r="C828" s="13"/>
    </row>
    <row r="829" spans="1:3" ht="13" x14ac:dyDescent="0.15">
      <c r="A829" s="10"/>
      <c r="B829" s="13"/>
      <c r="C829" s="13"/>
    </row>
    <row r="830" spans="1:3" ht="13" x14ac:dyDescent="0.15">
      <c r="A830" s="10"/>
      <c r="B830" s="13"/>
      <c r="C830" s="13"/>
    </row>
    <row r="831" spans="1:3" ht="13" x14ac:dyDescent="0.15">
      <c r="A831" s="10"/>
      <c r="B831" s="13"/>
      <c r="C831" s="13"/>
    </row>
    <row r="832" spans="1:3" ht="13" x14ac:dyDescent="0.15">
      <c r="A832" s="10"/>
      <c r="B832" s="13"/>
      <c r="C832" s="13"/>
    </row>
    <row r="833" spans="1:3" ht="13" x14ac:dyDescent="0.15">
      <c r="A833" s="10"/>
      <c r="B833" s="13"/>
      <c r="C833" s="13"/>
    </row>
    <row r="834" spans="1:3" ht="13" x14ac:dyDescent="0.15">
      <c r="A834" s="10"/>
      <c r="B834" s="13"/>
      <c r="C834" s="13"/>
    </row>
    <row r="835" spans="1:3" ht="13" x14ac:dyDescent="0.15">
      <c r="A835" s="10"/>
      <c r="B835" s="13"/>
      <c r="C835" s="13"/>
    </row>
    <row r="836" spans="1:3" ht="13" x14ac:dyDescent="0.15">
      <c r="A836" s="10"/>
      <c r="B836" s="13"/>
      <c r="C836" s="13"/>
    </row>
    <row r="837" spans="1:3" ht="13" x14ac:dyDescent="0.15">
      <c r="A837" s="10"/>
      <c r="B837" s="13"/>
      <c r="C837" s="13"/>
    </row>
    <row r="838" spans="1:3" ht="13" x14ac:dyDescent="0.15">
      <c r="A838" s="10"/>
      <c r="B838" s="13"/>
      <c r="C838" s="13"/>
    </row>
    <row r="839" spans="1:3" ht="13" x14ac:dyDescent="0.15">
      <c r="A839" s="10"/>
      <c r="B839" s="13"/>
      <c r="C839" s="13"/>
    </row>
    <row r="840" spans="1:3" ht="13" x14ac:dyDescent="0.15">
      <c r="A840" s="10"/>
      <c r="B840" s="13"/>
      <c r="C840" s="13"/>
    </row>
    <row r="841" spans="1:3" ht="13" x14ac:dyDescent="0.15">
      <c r="A841" s="10"/>
      <c r="B841" s="13"/>
      <c r="C841" s="13"/>
    </row>
    <row r="842" spans="1:3" ht="13" x14ac:dyDescent="0.15">
      <c r="A842" s="10"/>
      <c r="B842" s="13"/>
      <c r="C842" s="13"/>
    </row>
    <row r="843" spans="1:3" ht="13" x14ac:dyDescent="0.15">
      <c r="A843" s="10"/>
      <c r="B843" s="13"/>
      <c r="C843" s="13"/>
    </row>
    <row r="844" spans="1:3" ht="13" x14ac:dyDescent="0.15">
      <c r="A844" s="10"/>
      <c r="B844" s="13"/>
      <c r="C844" s="13"/>
    </row>
    <row r="845" spans="1:3" ht="13" x14ac:dyDescent="0.15">
      <c r="A845" s="10"/>
      <c r="B845" s="13"/>
      <c r="C845" s="13"/>
    </row>
    <row r="846" spans="1:3" ht="13" x14ac:dyDescent="0.15">
      <c r="A846" s="10"/>
      <c r="B846" s="13"/>
      <c r="C846" s="13"/>
    </row>
    <row r="847" spans="1:3" ht="13" x14ac:dyDescent="0.15">
      <c r="A847" s="10"/>
      <c r="B847" s="13"/>
      <c r="C847" s="13"/>
    </row>
    <row r="848" spans="1:3" ht="13" x14ac:dyDescent="0.15">
      <c r="A848" s="10"/>
      <c r="B848" s="13"/>
      <c r="C848" s="13"/>
    </row>
    <row r="849" spans="1:3" ht="13" x14ac:dyDescent="0.15">
      <c r="A849" s="10"/>
      <c r="B849" s="13"/>
      <c r="C849" s="13"/>
    </row>
    <row r="850" spans="1:3" ht="13" x14ac:dyDescent="0.15">
      <c r="A850" s="10"/>
      <c r="B850" s="13"/>
      <c r="C850" s="13"/>
    </row>
    <row r="851" spans="1:3" ht="13" x14ac:dyDescent="0.15">
      <c r="A851" s="10"/>
      <c r="B851" s="13"/>
      <c r="C851" s="13"/>
    </row>
    <row r="852" spans="1:3" ht="13" x14ac:dyDescent="0.15">
      <c r="A852" s="10"/>
      <c r="B852" s="13"/>
      <c r="C852" s="13"/>
    </row>
    <row r="853" spans="1:3" ht="13" x14ac:dyDescent="0.15">
      <c r="A853" s="10"/>
      <c r="B853" s="13"/>
      <c r="C853" s="13"/>
    </row>
    <row r="854" spans="1:3" ht="13" x14ac:dyDescent="0.15">
      <c r="A854" s="10"/>
      <c r="B854" s="13"/>
      <c r="C854" s="13"/>
    </row>
    <row r="855" spans="1:3" ht="13" x14ac:dyDescent="0.15">
      <c r="A855" s="10"/>
      <c r="B855" s="13"/>
      <c r="C855" s="13"/>
    </row>
    <row r="856" spans="1:3" ht="13" x14ac:dyDescent="0.15">
      <c r="A856" s="10"/>
      <c r="B856" s="13"/>
      <c r="C856" s="13"/>
    </row>
    <row r="857" spans="1:3" ht="13" x14ac:dyDescent="0.15">
      <c r="A857" s="10"/>
      <c r="B857" s="13"/>
      <c r="C857" s="13"/>
    </row>
    <row r="858" spans="1:3" ht="13" x14ac:dyDescent="0.15">
      <c r="A858" s="10"/>
      <c r="B858" s="13"/>
      <c r="C858" s="13"/>
    </row>
    <row r="859" spans="1:3" ht="13" x14ac:dyDescent="0.15">
      <c r="A859" s="10"/>
      <c r="B859" s="13"/>
      <c r="C859" s="13"/>
    </row>
    <row r="860" spans="1:3" ht="13" x14ac:dyDescent="0.15">
      <c r="A860" s="10"/>
      <c r="B860" s="13"/>
      <c r="C860" s="13"/>
    </row>
    <row r="861" spans="1:3" ht="13" x14ac:dyDescent="0.15">
      <c r="A861" s="10"/>
      <c r="B861" s="13"/>
      <c r="C861" s="13"/>
    </row>
    <row r="862" spans="1:3" ht="13" x14ac:dyDescent="0.15">
      <c r="A862" s="10"/>
      <c r="B862" s="13"/>
      <c r="C862" s="13"/>
    </row>
    <row r="863" spans="1:3" ht="13" x14ac:dyDescent="0.15">
      <c r="A863" s="10"/>
      <c r="B863" s="13"/>
      <c r="C863" s="13"/>
    </row>
    <row r="864" spans="1:3" ht="13" x14ac:dyDescent="0.15">
      <c r="A864" s="10"/>
      <c r="B864" s="13"/>
      <c r="C864" s="13"/>
    </row>
    <row r="865" spans="1:3" ht="13" x14ac:dyDescent="0.15">
      <c r="A865" s="10"/>
      <c r="B865" s="13"/>
      <c r="C865" s="13"/>
    </row>
    <row r="866" spans="1:3" ht="13" x14ac:dyDescent="0.15">
      <c r="A866" s="10"/>
      <c r="B866" s="13"/>
      <c r="C866" s="13"/>
    </row>
    <row r="867" spans="1:3" ht="13" x14ac:dyDescent="0.15">
      <c r="A867" s="10"/>
      <c r="B867" s="13"/>
      <c r="C867" s="13"/>
    </row>
    <row r="868" spans="1:3" ht="13" x14ac:dyDescent="0.15">
      <c r="A868" s="10"/>
      <c r="B868" s="13"/>
      <c r="C868" s="13"/>
    </row>
    <row r="869" spans="1:3" ht="13" x14ac:dyDescent="0.15">
      <c r="A869" s="10"/>
      <c r="B869" s="13"/>
      <c r="C869" s="13"/>
    </row>
    <row r="870" spans="1:3" ht="13" x14ac:dyDescent="0.15">
      <c r="A870" s="10"/>
      <c r="B870" s="13"/>
      <c r="C870" s="13"/>
    </row>
    <row r="871" spans="1:3" ht="13" x14ac:dyDescent="0.15">
      <c r="A871" s="10"/>
      <c r="B871" s="13"/>
      <c r="C871" s="13"/>
    </row>
    <row r="872" spans="1:3" ht="13" x14ac:dyDescent="0.15">
      <c r="A872" s="10"/>
      <c r="B872" s="13"/>
      <c r="C872" s="13"/>
    </row>
    <row r="873" spans="1:3" ht="13" x14ac:dyDescent="0.15">
      <c r="A873" s="10"/>
      <c r="B873" s="13"/>
      <c r="C873" s="13"/>
    </row>
    <row r="874" spans="1:3" ht="13" x14ac:dyDescent="0.15">
      <c r="A874" s="10"/>
      <c r="B874" s="13"/>
      <c r="C874" s="13"/>
    </row>
    <row r="875" spans="1:3" ht="13" x14ac:dyDescent="0.15">
      <c r="A875" s="10"/>
      <c r="B875" s="13"/>
      <c r="C875" s="13"/>
    </row>
    <row r="876" spans="1:3" ht="13" x14ac:dyDescent="0.15">
      <c r="A876" s="10"/>
      <c r="B876" s="13"/>
      <c r="C876" s="13"/>
    </row>
    <row r="877" spans="1:3" ht="13" x14ac:dyDescent="0.15">
      <c r="A877" s="10"/>
      <c r="B877" s="13"/>
      <c r="C877" s="13"/>
    </row>
    <row r="878" spans="1:3" ht="13" x14ac:dyDescent="0.15">
      <c r="A878" s="10"/>
      <c r="B878" s="13"/>
      <c r="C878" s="13"/>
    </row>
    <row r="879" spans="1:3" ht="13" x14ac:dyDescent="0.15">
      <c r="A879" s="10"/>
      <c r="B879" s="13"/>
      <c r="C879" s="13"/>
    </row>
    <row r="880" spans="1:3" ht="13" x14ac:dyDescent="0.15">
      <c r="A880" s="10"/>
      <c r="B880" s="13"/>
      <c r="C880" s="13"/>
    </row>
    <row r="881" spans="1:3" ht="13" x14ac:dyDescent="0.15">
      <c r="A881" s="10"/>
      <c r="B881" s="13"/>
      <c r="C881" s="13"/>
    </row>
    <row r="882" spans="1:3" ht="13" x14ac:dyDescent="0.15">
      <c r="A882" s="10"/>
      <c r="B882" s="13"/>
      <c r="C882" s="13"/>
    </row>
    <row r="883" spans="1:3" ht="13" x14ac:dyDescent="0.15">
      <c r="A883" s="10"/>
      <c r="B883" s="13"/>
      <c r="C883" s="13"/>
    </row>
    <row r="884" spans="1:3" ht="13" x14ac:dyDescent="0.15">
      <c r="A884" s="10"/>
      <c r="B884" s="13"/>
      <c r="C884" s="13"/>
    </row>
    <row r="885" spans="1:3" ht="13" x14ac:dyDescent="0.15">
      <c r="A885" s="10"/>
      <c r="B885" s="13"/>
      <c r="C885" s="13"/>
    </row>
    <row r="886" spans="1:3" ht="13" x14ac:dyDescent="0.15">
      <c r="A886" s="10"/>
      <c r="B886" s="13"/>
      <c r="C886" s="13"/>
    </row>
    <row r="887" spans="1:3" ht="13" x14ac:dyDescent="0.15">
      <c r="A887" s="10"/>
      <c r="B887" s="13"/>
      <c r="C887" s="13"/>
    </row>
    <row r="888" spans="1:3" ht="13" x14ac:dyDescent="0.15">
      <c r="A888" s="10"/>
      <c r="B888" s="13"/>
      <c r="C888" s="13"/>
    </row>
    <row r="889" spans="1:3" ht="13" x14ac:dyDescent="0.15">
      <c r="A889" s="10"/>
      <c r="B889" s="13"/>
      <c r="C889" s="13"/>
    </row>
    <row r="890" spans="1:3" ht="13" x14ac:dyDescent="0.15">
      <c r="A890" s="10"/>
      <c r="B890" s="13"/>
      <c r="C890" s="13"/>
    </row>
    <row r="891" spans="1:3" ht="13" x14ac:dyDescent="0.15">
      <c r="A891" s="10"/>
      <c r="B891" s="13"/>
      <c r="C891" s="13"/>
    </row>
    <row r="892" spans="1:3" ht="13" x14ac:dyDescent="0.15">
      <c r="A892" s="10"/>
      <c r="B892" s="13"/>
      <c r="C892" s="13"/>
    </row>
    <row r="893" spans="1:3" ht="13" x14ac:dyDescent="0.15">
      <c r="A893" s="10"/>
      <c r="B893" s="13"/>
      <c r="C893" s="13"/>
    </row>
    <row r="894" spans="1:3" ht="13" x14ac:dyDescent="0.15">
      <c r="A894" s="10"/>
      <c r="B894" s="13"/>
      <c r="C894" s="13"/>
    </row>
    <row r="895" spans="1:3" ht="13" x14ac:dyDescent="0.15">
      <c r="A895" s="10"/>
      <c r="B895" s="13"/>
      <c r="C895" s="13"/>
    </row>
    <row r="896" spans="1:3" ht="13" x14ac:dyDescent="0.15">
      <c r="A896" s="10"/>
      <c r="B896" s="13"/>
      <c r="C896" s="13"/>
    </row>
    <row r="897" spans="1:3" ht="13" x14ac:dyDescent="0.15">
      <c r="A897" s="10"/>
      <c r="B897" s="13"/>
      <c r="C897" s="13"/>
    </row>
    <row r="898" spans="1:3" ht="13" x14ac:dyDescent="0.15">
      <c r="A898" s="10"/>
      <c r="B898" s="13"/>
      <c r="C898" s="13"/>
    </row>
    <row r="899" spans="1:3" ht="13" x14ac:dyDescent="0.15">
      <c r="A899" s="10"/>
      <c r="B899" s="13"/>
      <c r="C899" s="13"/>
    </row>
    <row r="900" spans="1:3" ht="13" x14ac:dyDescent="0.15">
      <c r="A900" s="10"/>
      <c r="B900" s="13"/>
      <c r="C900" s="13"/>
    </row>
    <row r="901" spans="1:3" ht="13" x14ac:dyDescent="0.15">
      <c r="A901" s="10"/>
      <c r="B901" s="13"/>
      <c r="C901" s="13"/>
    </row>
    <row r="902" spans="1:3" ht="13" x14ac:dyDescent="0.15">
      <c r="A902" s="10"/>
      <c r="B902" s="13"/>
      <c r="C902" s="13"/>
    </row>
    <row r="903" spans="1:3" ht="13" x14ac:dyDescent="0.15">
      <c r="A903" s="10"/>
      <c r="B903" s="13"/>
      <c r="C903" s="13"/>
    </row>
    <row r="904" spans="1:3" ht="13" x14ac:dyDescent="0.15">
      <c r="A904" s="10"/>
      <c r="B904" s="13"/>
      <c r="C904" s="13"/>
    </row>
    <row r="905" spans="1:3" ht="13" x14ac:dyDescent="0.15">
      <c r="A905" s="10"/>
      <c r="B905" s="13"/>
      <c r="C905" s="13"/>
    </row>
    <row r="906" spans="1:3" ht="13" x14ac:dyDescent="0.15">
      <c r="A906" s="10"/>
      <c r="B906" s="13"/>
      <c r="C906" s="13"/>
    </row>
    <row r="907" spans="1:3" ht="13" x14ac:dyDescent="0.15">
      <c r="A907" s="10"/>
      <c r="B907" s="13"/>
      <c r="C907" s="13"/>
    </row>
    <row r="908" spans="1:3" ht="13" x14ac:dyDescent="0.15">
      <c r="A908" s="10"/>
      <c r="B908" s="13"/>
      <c r="C908" s="13"/>
    </row>
    <row r="909" spans="1:3" ht="13" x14ac:dyDescent="0.15">
      <c r="A909" s="10"/>
      <c r="B909" s="13"/>
      <c r="C909" s="13"/>
    </row>
    <row r="910" spans="1:3" ht="13" x14ac:dyDescent="0.15">
      <c r="A910" s="10"/>
      <c r="B910" s="13"/>
      <c r="C910" s="13"/>
    </row>
    <row r="911" spans="1:3" ht="13" x14ac:dyDescent="0.15">
      <c r="A911" s="10"/>
      <c r="B911" s="13"/>
      <c r="C911" s="13"/>
    </row>
    <row r="912" spans="1:3" ht="13" x14ac:dyDescent="0.15">
      <c r="A912" s="10"/>
      <c r="B912" s="13"/>
      <c r="C912" s="13"/>
    </row>
    <row r="913" spans="1:3" ht="13" x14ac:dyDescent="0.15">
      <c r="A913" s="10"/>
      <c r="B913" s="13"/>
      <c r="C913" s="13"/>
    </row>
    <row r="914" spans="1:3" ht="13" x14ac:dyDescent="0.15">
      <c r="A914" s="10"/>
      <c r="B914" s="13"/>
      <c r="C914" s="13"/>
    </row>
    <row r="915" spans="1:3" ht="13" x14ac:dyDescent="0.15">
      <c r="A915" s="10"/>
      <c r="B915" s="13"/>
      <c r="C915" s="13"/>
    </row>
    <row r="916" spans="1:3" ht="13" x14ac:dyDescent="0.15">
      <c r="A916" s="10"/>
      <c r="B916" s="13"/>
      <c r="C916" s="13"/>
    </row>
    <row r="917" spans="1:3" ht="13" x14ac:dyDescent="0.15">
      <c r="A917" s="10"/>
      <c r="B917" s="13"/>
      <c r="C917" s="13"/>
    </row>
    <row r="918" spans="1:3" ht="13" x14ac:dyDescent="0.15">
      <c r="A918" s="10"/>
      <c r="B918" s="13"/>
      <c r="C918" s="13"/>
    </row>
    <row r="919" spans="1:3" ht="13" x14ac:dyDescent="0.15">
      <c r="A919" s="10"/>
      <c r="B919" s="13"/>
      <c r="C919" s="13"/>
    </row>
    <row r="920" spans="1:3" ht="13" x14ac:dyDescent="0.15">
      <c r="A920" s="10"/>
      <c r="B920" s="13"/>
      <c r="C920" s="13"/>
    </row>
    <row r="921" spans="1:3" ht="13" x14ac:dyDescent="0.15">
      <c r="A921" s="10"/>
      <c r="B921" s="13"/>
      <c r="C921" s="13"/>
    </row>
    <row r="922" spans="1:3" ht="13" x14ac:dyDescent="0.15">
      <c r="A922" s="10"/>
      <c r="B922" s="13"/>
      <c r="C922" s="13"/>
    </row>
    <row r="923" spans="1:3" ht="13" x14ac:dyDescent="0.15">
      <c r="A923" s="10"/>
      <c r="B923" s="13"/>
      <c r="C923" s="13"/>
    </row>
    <row r="924" spans="1:3" ht="13" x14ac:dyDescent="0.15">
      <c r="A924" s="10"/>
      <c r="B924" s="13"/>
      <c r="C924" s="13"/>
    </row>
    <row r="925" spans="1:3" ht="13" x14ac:dyDescent="0.15">
      <c r="A925" s="10"/>
      <c r="B925" s="13"/>
      <c r="C925" s="13"/>
    </row>
    <row r="926" spans="1:3" ht="13" x14ac:dyDescent="0.15">
      <c r="A926" s="10"/>
      <c r="B926" s="13"/>
      <c r="C926" s="13"/>
    </row>
    <row r="927" spans="1:3" ht="13" x14ac:dyDescent="0.15">
      <c r="A927" s="10"/>
      <c r="B927" s="13"/>
      <c r="C927" s="13"/>
    </row>
    <row r="928" spans="1:3" ht="13" x14ac:dyDescent="0.15">
      <c r="A928" s="10"/>
      <c r="B928" s="13"/>
      <c r="C928" s="13"/>
    </row>
    <row r="929" spans="1:3" ht="13" x14ac:dyDescent="0.15">
      <c r="A929" s="10"/>
      <c r="B929" s="13"/>
      <c r="C929" s="13"/>
    </row>
    <row r="930" spans="1:3" ht="13" x14ac:dyDescent="0.15">
      <c r="A930" s="10"/>
      <c r="B930" s="13"/>
      <c r="C930" s="13"/>
    </row>
    <row r="931" spans="1:3" ht="13" x14ac:dyDescent="0.15">
      <c r="A931" s="10"/>
      <c r="B931" s="13"/>
      <c r="C931" s="13"/>
    </row>
    <row r="932" spans="1:3" ht="13" x14ac:dyDescent="0.15">
      <c r="A932" s="10"/>
      <c r="B932" s="13"/>
      <c r="C932" s="13"/>
    </row>
    <row r="933" spans="1:3" ht="13" x14ac:dyDescent="0.15">
      <c r="A933" s="10"/>
      <c r="B933" s="13"/>
      <c r="C933" s="13"/>
    </row>
    <row r="934" spans="1:3" ht="13" x14ac:dyDescent="0.15">
      <c r="A934" s="10"/>
      <c r="B934" s="13"/>
      <c r="C934" s="13"/>
    </row>
    <row r="935" spans="1:3" ht="13" x14ac:dyDescent="0.15">
      <c r="A935" s="10"/>
      <c r="B935" s="13"/>
      <c r="C935" s="13"/>
    </row>
    <row r="936" spans="1:3" ht="13" x14ac:dyDescent="0.15">
      <c r="A936" s="10"/>
      <c r="B936" s="13"/>
      <c r="C936" s="13"/>
    </row>
    <row r="937" spans="1:3" ht="13" x14ac:dyDescent="0.15">
      <c r="A937" s="10"/>
      <c r="B937" s="13"/>
      <c r="C937" s="13"/>
    </row>
    <row r="938" spans="1:3" ht="13" x14ac:dyDescent="0.15">
      <c r="A938" s="10"/>
      <c r="B938" s="13"/>
      <c r="C938" s="13"/>
    </row>
    <row r="939" spans="1:3" ht="13" x14ac:dyDescent="0.15">
      <c r="A939" s="10"/>
      <c r="B939" s="13"/>
      <c r="C939" s="13"/>
    </row>
    <row r="940" spans="1:3" ht="13" x14ac:dyDescent="0.15">
      <c r="A940" s="10"/>
      <c r="B940" s="13"/>
      <c r="C940" s="13"/>
    </row>
    <row r="941" spans="1:3" ht="13" x14ac:dyDescent="0.15">
      <c r="A941" s="10"/>
      <c r="B941" s="13"/>
      <c r="C941" s="13"/>
    </row>
    <row r="942" spans="1:3" ht="13" x14ac:dyDescent="0.15">
      <c r="A942" s="10"/>
      <c r="B942" s="13"/>
      <c r="C942" s="13"/>
    </row>
    <row r="943" spans="1:3" ht="13" x14ac:dyDescent="0.15">
      <c r="A943" s="10"/>
      <c r="B943" s="13"/>
      <c r="C943" s="13"/>
    </row>
    <row r="944" spans="1:3" ht="13" x14ac:dyDescent="0.15">
      <c r="A944" s="10"/>
      <c r="B944" s="13"/>
      <c r="C944" s="13"/>
    </row>
    <row r="945" spans="1:3" ht="13" x14ac:dyDescent="0.15">
      <c r="A945" s="10"/>
      <c r="B945" s="13"/>
      <c r="C945" s="13"/>
    </row>
    <row r="946" spans="1:3" ht="13" x14ac:dyDescent="0.15">
      <c r="A946" s="10"/>
      <c r="B946" s="13"/>
      <c r="C946" s="13"/>
    </row>
    <row r="947" spans="1:3" ht="13" x14ac:dyDescent="0.15">
      <c r="A947" s="10"/>
      <c r="B947" s="13"/>
      <c r="C947" s="13"/>
    </row>
    <row r="948" spans="1:3" ht="13" x14ac:dyDescent="0.15">
      <c r="A948" s="10"/>
      <c r="B948" s="13"/>
      <c r="C948" s="13"/>
    </row>
    <row r="949" spans="1:3" ht="13" x14ac:dyDescent="0.15">
      <c r="A949" s="10"/>
      <c r="B949" s="13"/>
      <c r="C949" s="13"/>
    </row>
    <row r="950" spans="1:3" ht="13" x14ac:dyDescent="0.15">
      <c r="A950" s="10"/>
      <c r="B950" s="13"/>
      <c r="C950" s="13"/>
    </row>
    <row r="951" spans="1:3" ht="13" x14ac:dyDescent="0.15">
      <c r="A951" s="10"/>
      <c r="B951" s="13"/>
      <c r="C951" s="13"/>
    </row>
    <row r="952" spans="1:3" ht="13" x14ac:dyDescent="0.15">
      <c r="A952" s="10"/>
      <c r="B952" s="13"/>
      <c r="C952" s="13"/>
    </row>
    <row r="953" spans="1:3" ht="13" x14ac:dyDescent="0.15">
      <c r="A953" s="10"/>
      <c r="B953" s="13"/>
      <c r="C953" s="13"/>
    </row>
    <row r="954" spans="1:3" ht="13" x14ac:dyDescent="0.15">
      <c r="A954" s="10"/>
      <c r="B954" s="13"/>
      <c r="C954" s="13"/>
    </row>
    <row r="955" spans="1:3" ht="13" x14ac:dyDescent="0.15">
      <c r="A955" s="10"/>
      <c r="B955" s="13"/>
      <c r="C955" s="13"/>
    </row>
    <row r="956" spans="1:3" ht="13" x14ac:dyDescent="0.15">
      <c r="A956" s="10"/>
      <c r="B956" s="13"/>
      <c r="C956" s="13"/>
    </row>
    <row r="957" spans="1:3" ht="13" x14ac:dyDescent="0.15">
      <c r="A957" s="10"/>
      <c r="B957" s="13"/>
      <c r="C957" s="13"/>
    </row>
    <row r="958" spans="1:3" ht="13" x14ac:dyDescent="0.15">
      <c r="A958" s="10"/>
      <c r="B958" s="13"/>
      <c r="C958" s="13"/>
    </row>
    <row r="959" spans="1:3" ht="13" x14ac:dyDescent="0.15">
      <c r="A959" s="10"/>
      <c r="B959" s="13"/>
      <c r="C959" s="13"/>
    </row>
    <row r="960" spans="1:3" ht="13" x14ac:dyDescent="0.15">
      <c r="A960" s="10"/>
      <c r="B960" s="13"/>
      <c r="C960" s="13"/>
    </row>
    <row r="961" spans="1:3" ht="13" x14ac:dyDescent="0.15">
      <c r="A961" s="10"/>
      <c r="B961" s="13"/>
      <c r="C961" s="13"/>
    </row>
    <row r="962" spans="1:3" ht="13" x14ac:dyDescent="0.15">
      <c r="A962" s="10"/>
      <c r="B962" s="13"/>
      <c r="C962" s="13"/>
    </row>
    <row r="963" spans="1:3" ht="13" x14ac:dyDescent="0.15">
      <c r="A963" s="10"/>
      <c r="B963" s="13"/>
      <c r="C963" s="13"/>
    </row>
    <row r="964" spans="1:3" ht="13" x14ac:dyDescent="0.15">
      <c r="A964" s="10"/>
      <c r="B964" s="13"/>
      <c r="C964" s="13"/>
    </row>
    <row r="965" spans="1:3" ht="13" x14ac:dyDescent="0.15">
      <c r="A965" s="10"/>
      <c r="B965" s="13"/>
      <c r="C965" s="13"/>
    </row>
    <row r="966" spans="1:3" ht="13" x14ac:dyDescent="0.15">
      <c r="A966" s="10"/>
      <c r="B966" s="13"/>
      <c r="C966" s="13"/>
    </row>
    <row r="967" spans="1:3" ht="13" x14ac:dyDescent="0.15">
      <c r="A967" s="10"/>
      <c r="B967" s="13"/>
      <c r="C967" s="13"/>
    </row>
    <row r="968" spans="1:3" ht="13" x14ac:dyDescent="0.15">
      <c r="A968" s="10"/>
      <c r="B968" s="13"/>
      <c r="C968" s="13"/>
    </row>
    <row r="969" spans="1:3" ht="13" x14ac:dyDescent="0.15">
      <c r="A969" s="10"/>
      <c r="B969" s="13"/>
      <c r="C969" s="13"/>
    </row>
    <row r="970" spans="1:3" ht="13" x14ac:dyDescent="0.15">
      <c r="A970" s="10"/>
      <c r="B970" s="13"/>
      <c r="C970" s="13"/>
    </row>
    <row r="971" spans="1:3" ht="13" x14ac:dyDescent="0.15">
      <c r="A971" s="10"/>
      <c r="B971" s="13"/>
      <c r="C971" s="13"/>
    </row>
    <row r="972" spans="1:3" ht="13" x14ac:dyDescent="0.15">
      <c r="A972" s="10"/>
      <c r="B972" s="13"/>
      <c r="C972" s="13"/>
    </row>
    <row r="973" spans="1:3" ht="13" x14ac:dyDescent="0.15">
      <c r="A973" s="10"/>
      <c r="B973" s="13"/>
      <c r="C973" s="13"/>
    </row>
    <row r="974" spans="1:3" ht="13" x14ac:dyDescent="0.15">
      <c r="A974" s="10"/>
      <c r="B974" s="13"/>
      <c r="C974" s="13"/>
    </row>
    <row r="975" spans="1:3" ht="13" x14ac:dyDescent="0.15">
      <c r="A975" s="10"/>
      <c r="B975" s="13"/>
      <c r="C975" s="13"/>
    </row>
    <row r="976" spans="1:3" ht="13" x14ac:dyDescent="0.15">
      <c r="A976" s="10"/>
      <c r="B976" s="13"/>
      <c r="C976" s="13"/>
    </row>
    <row r="977" spans="1:3" ht="13" x14ac:dyDescent="0.15">
      <c r="A977" s="10"/>
      <c r="B977" s="13"/>
      <c r="C977" s="13"/>
    </row>
    <row r="978" spans="1:3" ht="13" x14ac:dyDescent="0.15">
      <c r="A978" s="10"/>
      <c r="B978" s="13"/>
      <c r="C978" s="13"/>
    </row>
    <row r="979" spans="1:3" ht="13" x14ac:dyDescent="0.15">
      <c r="A979" s="10"/>
      <c r="B979" s="13"/>
      <c r="C979" s="13"/>
    </row>
    <row r="980" spans="1:3" ht="13" x14ac:dyDescent="0.15">
      <c r="A980" s="10"/>
      <c r="B980" s="13"/>
      <c r="C980" s="13"/>
    </row>
    <row r="981" spans="1:3" ht="13" x14ac:dyDescent="0.15">
      <c r="A981" s="10"/>
      <c r="B981" s="13"/>
      <c r="C981" s="13"/>
    </row>
    <row r="982" spans="1:3" ht="13" x14ac:dyDescent="0.15">
      <c r="A982" s="10"/>
      <c r="B982" s="13"/>
      <c r="C982" s="13"/>
    </row>
    <row r="983" spans="1:3" ht="13" x14ac:dyDescent="0.15">
      <c r="A983" s="10"/>
      <c r="B983" s="13"/>
      <c r="C983" s="13"/>
    </row>
    <row r="984" spans="1:3" ht="13" x14ac:dyDescent="0.15">
      <c r="A984" s="10"/>
      <c r="B984" s="13"/>
      <c r="C984" s="13"/>
    </row>
    <row r="985" spans="1:3" ht="13" x14ac:dyDescent="0.15">
      <c r="A985" s="10"/>
      <c r="B985" s="13"/>
      <c r="C985" s="13"/>
    </row>
    <row r="986" spans="1:3" ht="13" x14ac:dyDescent="0.15">
      <c r="A986" s="10"/>
      <c r="B986" s="13"/>
      <c r="C986" s="13"/>
    </row>
    <row r="987" spans="1:3" ht="13" x14ac:dyDescent="0.15">
      <c r="A987" s="10"/>
      <c r="B987" s="13"/>
      <c r="C987" s="13"/>
    </row>
    <row r="988" spans="1:3" ht="13" x14ac:dyDescent="0.15">
      <c r="A988" s="10"/>
      <c r="B988" s="13"/>
      <c r="C988" s="13"/>
    </row>
    <row r="989" spans="1:3" ht="13" x14ac:dyDescent="0.15">
      <c r="A989" s="10"/>
      <c r="B989" s="13"/>
      <c r="C989" s="13"/>
    </row>
    <row r="990" spans="1:3" ht="13" x14ac:dyDescent="0.15">
      <c r="A990" s="10"/>
      <c r="B990" s="13"/>
      <c r="C990" s="13"/>
    </row>
    <row r="991" spans="1:3" ht="13" x14ac:dyDescent="0.15">
      <c r="A991" s="10"/>
      <c r="B991" s="13"/>
      <c r="C991" s="13"/>
    </row>
    <row r="992" spans="1:3" ht="13" x14ac:dyDescent="0.15">
      <c r="A992" s="10"/>
      <c r="B992" s="13"/>
      <c r="C992" s="13"/>
    </row>
    <row r="993" spans="1:3" ht="13" x14ac:dyDescent="0.15">
      <c r="A993" s="10"/>
      <c r="B993" s="13"/>
      <c r="C993" s="13"/>
    </row>
    <row r="994" spans="1:3" ht="13" x14ac:dyDescent="0.15">
      <c r="A994" s="10"/>
      <c r="B994" s="13"/>
      <c r="C994" s="13"/>
    </row>
    <row r="995" spans="1:3" ht="13" x14ac:dyDescent="0.15">
      <c r="A995" s="10"/>
      <c r="B995" s="13"/>
      <c r="C995" s="13"/>
    </row>
    <row r="996" spans="1:3" ht="13" x14ac:dyDescent="0.15">
      <c r="A996" s="10"/>
      <c r="B996" s="13"/>
      <c r="C996" s="13"/>
    </row>
    <row r="997" spans="1:3" ht="13" x14ac:dyDescent="0.15">
      <c r="A997" s="10"/>
      <c r="B997" s="13"/>
      <c r="C997" s="13"/>
    </row>
  </sheetData>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outlinePr summaryBelow="0" summaryRight="0"/>
  </sheetPr>
  <dimension ref="A1:Z997"/>
  <sheetViews>
    <sheetView workbookViewId="0"/>
  </sheetViews>
  <sheetFormatPr baseColWidth="10" defaultColWidth="12.6640625" defaultRowHeight="15.75" customHeight="1" x14ac:dyDescent="0.15"/>
  <cols>
    <col min="1" max="1" width="71.5" customWidth="1"/>
    <col min="2" max="4" width="37.6640625" customWidth="1"/>
  </cols>
  <sheetData>
    <row r="1" spans="1:26" x14ac:dyDescent="0.2">
      <c r="A1" s="33"/>
      <c r="B1" s="12" t="str">
        <f ca="1">IFERROR(__xludf.DUMMYFUNCTION("IMPORTRANGE(""https://docs.google.com/spreadsheets/d/1Eq2M_a4_TeZImjU1FJcBSaIp6Xib8-RIHm3cQ24mbRI"", ""A100!B1:B22"")
"),"Zachary Edwards")</f>
        <v>Zachary Edwards</v>
      </c>
      <c r="C1" s="22" t="str">
        <f ca="1">IFERROR(__xludf.DUMMYFUNCTION("IMPORTRANGE(""https://docs.google.com/spreadsheets/u/0/d/1tjgC5crHxYL6PIwdjQvl-Lz18xb2WRifl2-5aQ8KGT8"", ""A100!B1:B22"")"),"Jake Stafford")</f>
        <v>Jake Stafford</v>
      </c>
      <c r="D1" s="2" t="s">
        <v>1</v>
      </c>
      <c r="E1" s="22"/>
      <c r="F1" s="22"/>
      <c r="G1" s="22"/>
      <c r="H1" s="22"/>
      <c r="I1" s="22"/>
      <c r="J1" s="22"/>
      <c r="K1" s="22"/>
      <c r="L1" s="22"/>
      <c r="M1" s="22"/>
      <c r="N1" s="22"/>
      <c r="O1" s="22"/>
      <c r="P1" s="22"/>
      <c r="Q1" s="22"/>
      <c r="R1" s="22"/>
      <c r="S1" s="22"/>
      <c r="T1" s="22"/>
      <c r="U1" s="22"/>
      <c r="V1" s="22"/>
      <c r="W1" s="22"/>
      <c r="X1" s="22"/>
      <c r="Y1" s="22"/>
      <c r="Z1" s="22"/>
    </row>
    <row r="2" spans="1:26" ht="15.75" customHeight="1" x14ac:dyDescent="0.15">
      <c r="A2" s="3" t="s">
        <v>2</v>
      </c>
      <c r="B2" s="15" t="str">
        <f ca="1">IFERROR(__xludf.DUMMYFUNCTION("""COMPUTED_VALUE"""),"PHAM Start:60124 Stop:60942
DNAM Start:60124 Stop:60942")</f>
        <v>PHAM Start:60124 Stop:60942
DNAM Start:60124 Stop:60942</v>
      </c>
      <c r="C2" s="15" t="str">
        <f ca="1">IFERROR(__xludf.DUMMYFUNCTION("""COMPUTED_VALUE"""),"Start: 60124 Stop: 60942 FOR")</f>
        <v>Start: 60124 Stop: 60942 FOR</v>
      </c>
      <c r="D2" s="4"/>
    </row>
    <row r="3" spans="1:26" ht="15.75" customHeight="1" x14ac:dyDescent="0.15">
      <c r="A3" s="5" t="s">
        <v>3</v>
      </c>
      <c r="B3" s="17" t="str">
        <f ca="1">IFERROR(__xludf.DUMMYFUNCTION("""COMPUTED_VALUE"""),"PHAM:100
DNAM:99")</f>
        <v>PHAM:100
DNAM:99</v>
      </c>
      <c r="C3" s="17" t="str">
        <f ca="1">IFERROR(__xludf.DUMMYFUNCTION("""COMPUTED_VALUE"""),"100 in pham, 99 in DNAM")</f>
        <v>100 in pham, 99 in DNAM</v>
      </c>
      <c r="D3" s="6"/>
    </row>
    <row r="4" spans="1:26" ht="15.75" customHeight="1" x14ac:dyDescent="0.15">
      <c r="A4" s="5" t="s">
        <v>4</v>
      </c>
      <c r="B4" s="17" t="str">
        <f ca="1">IFERROR(__xludf.DUMMYFUNCTION("""COMPUTED_VALUE"""),"5929 3/19/25")</f>
        <v>5929 3/19/25</v>
      </c>
      <c r="C4" s="17" t="str">
        <f ca="1">IFERROR(__xludf.DUMMYFUNCTION("""COMPUTED_VALUE"""),"5929 3/17/25")</f>
        <v>5929 3/17/25</v>
      </c>
      <c r="D4" s="6"/>
    </row>
    <row r="5" spans="1:26" ht="15.75" customHeight="1" x14ac:dyDescent="0.15">
      <c r="A5" s="5" t="s">
        <v>5</v>
      </c>
      <c r="B5" s="17" t="str">
        <f ca="1">IFERROR(__xludf.DUMMYFUNCTION("""COMPUTED_VALUE"""),"Kovu_98 3/19/25")</f>
        <v>Kovu_98 3/19/25</v>
      </c>
      <c r="C5" s="17" t="str">
        <f ca="1">IFERROR(__xludf.DUMMYFUNCTION("""COMPUTED_VALUE"""),"Edmundo_98, Kovu_98")</f>
        <v>Edmundo_98, Kovu_98</v>
      </c>
      <c r="D5" s="6"/>
    </row>
    <row r="6" spans="1:26" ht="15.75" customHeight="1" x14ac:dyDescent="0.15">
      <c r="A6" s="5" t="s">
        <v>6</v>
      </c>
      <c r="B6" s="17" t="str">
        <f ca="1">IFERROR(__xludf.DUMMYFUNCTION("""COMPUTED_VALUE"""),"Both Call it a gene")</f>
        <v>Both Call it a gene</v>
      </c>
      <c r="C6" s="17" t="str">
        <f ca="1">IFERROR(__xludf.DUMMYFUNCTION("""COMPUTED_VALUE"""),"glimmer called at 60968, Genemark called at 2?")</f>
        <v>glimmer called at 60968, Genemark called at 2?</v>
      </c>
      <c r="D6" s="6"/>
    </row>
    <row r="7" spans="1:26" ht="15.75" customHeight="1" x14ac:dyDescent="0.15">
      <c r="A7" s="5" t="s">
        <v>7</v>
      </c>
      <c r="B7" s="17" t="str">
        <f ca="1">IFERROR(__xludf.DUMMYFUNCTION("""COMPUTED_VALUE"""),"Yes")</f>
        <v>Yes</v>
      </c>
      <c r="C7" s="17" t="str">
        <f ca="1">IFERROR(__xludf.DUMMYFUNCTION("""COMPUTED_VALUE"""),"has coding potential, all potential is included")</f>
        <v>has coding potential, all potential is included</v>
      </c>
      <c r="D7" s="6"/>
    </row>
    <row r="8" spans="1:26" ht="15.75" customHeight="1" x14ac:dyDescent="0.15">
      <c r="A8" s="5" t="s">
        <v>8</v>
      </c>
      <c r="B8" s="17" t="str">
        <f ca="1">IFERROR(__xludf.DUMMYFUNCTION("""COMPUTED_VALUE"""),"Yes")</f>
        <v>Yes</v>
      </c>
      <c r="C8" s="17" t="str">
        <f ca="1">IFERROR(__xludf.DUMMYFUNCTION("""COMPUTED_VALUE"""),"Yes")</f>
        <v>Yes</v>
      </c>
      <c r="D8" s="6"/>
    </row>
    <row r="9" spans="1:26" ht="15.75" customHeight="1" x14ac:dyDescent="0.15">
      <c r="A9" s="5" t="s">
        <v>9</v>
      </c>
      <c r="B9" s="17" t="str">
        <f ca="1">IFERROR(__xludf.DUMMYFUNCTION("""COMPUTED_VALUE"""),"112 Gap")</f>
        <v>112 Gap</v>
      </c>
      <c r="C9" s="17" t="str">
        <f ca="1">IFERROR(__xludf.DUMMYFUNCTION("""COMPUTED_VALUE"""),"gap of 112 nucleotides, no previous starts")</f>
        <v>gap of 112 nucleotides, no previous starts</v>
      </c>
      <c r="D9" s="6"/>
    </row>
    <row r="10" spans="1:26" ht="15.75" customHeight="1" x14ac:dyDescent="0.15">
      <c r="A10" s="5" t="s">
        <v>10</v>
      </c>
      <c r="B10" s="17" t="str">
        <f ca="1">IFERROR(__xludf.DUMMYFUNCTION("""COMPUTED_VALUE"""),"Current: 3.110 (60124). Current best.")</f>
        <v>Current: 3.110 (60124). Current best.</v>
      </c>
      <c r="C10" s="17" t="str">
        <f ca="1">IFERROR(__xludf.DUMMYFUNCTION("""COMPUTED_VALUE"""),"start#1 zscore: 3.110 Best score")</f>
        <v>start#1 zscore: 3.110 Best score</v>
      </c>
      <c r="D10" s="6"/>
    </row>
    <row r="11" spans="1:26" ht="15.75" customHeight="1" x14ac:dyDescent="0.15">
      <c r="A11" s="5" t="s">
        <v>11</v>
      </c>
      <c r="B11" s="17" t="str">
        <f ca="1">IFERROR(__xludf.DUMMYFUNCTION("""COMPUTED_VALUE"""),"Kovu_98
E: 0
%ID: 87.01
1:1")</f>
        <v>Kovu_98
E: 0
%ID: 87.01
1:1</v>
      </c>
      <c r="C11" s="17" t="str">
        <f ca="1">IFERROR(__xludf.DUMMYFUNCTION("""COMPUTED_VALUE"""),"Kovu_98, 86.19% Identity, 2e-159, Laroye_99, 70.08% Identity, 5e-130")</f>
        <v>Kovu_98, 86.19% Identity, 2e-159, Laroye_99, 70.08% Identity, 5e-130</v>
      </c>
      <c r="D11" s="6"/>
    </row>
    <row r="12" spans="1:26" ht="15.75" customHeight="1" x14ac:dyDescent="0.15">
      <c r="A12" s="5" t="s">
        <v>12</v>
      </c>
      <c r="B12" s="17" t="str">
        <f ca="1">IFERROR(__xludf.DUMMYFUNCTION("""COMPUTED_VALUE"""),"10 of 11 called current start")</f>
        <v>10 of 11 called current start</v>
      </c>
      <c r="C12" s="17" t="str">
        <f ca="1">IFERROR(__xludf.DUMMYFUNCTION("""COMPUTED_VALUE"""),"Is conserved in 10/11 of genes, called 100%")</f>
        <v>Is conserved in 10/11 of genes, called 100%</v>
      </c>
      <c r="D12" s="6"/>
    </row>
    <row r="13" spans="1:26" ht="15.75" customHeight="1" x14ac:dyDescent="0.15">
      <c r="A13" s="5" t="s">
        <v>13</v>
      </c>
      <c r="B13" s="17" t="str">
        <f ca="1">IFERROR(__xludf.DUMMYFUNCTION("""COMPUTED_VALUE"""),"No")</f>
        <v>No</v>
      </c>
      <c r="C13" s="17" t="str">
        <f ca="1">IFERROR(__xludf.DUMMYFUNCTION("""COMPUTED_VALUE"""),"No, best OBS score, conserved in most members of pham and called 100% of the time.")</f>
        <v>No, best OBS score, conserved in most members of pham and called 100% of the time.</v>
      </c>
      <c r="D13" s="6"/>
    </row>
    <row r="14" spans="1:26" ht="15.75" customHeight="1" x14ac:dyDescent="0.15">
      <c r="A14" s="5" t="s">
        <v>14</v>
      </c>
      <c r="B14" s="17" t="str">
        <f ca="1">IFERROR(__xludf.DUMMYFUNCTION("""COMPUTED_VALUE"""),"Kovu_98 E: e-131")</f>
        <v>Kovu_98 E: e-131</v>
      </c>
      <c r="C14" s="17" t="str">
        <f ca="1">IFERROR(__xludf.DUMMYFUNCTION("""COMPUTED_VALUE"""),"Kovu_98 2e-131, Wheelbite_94 2e-107")</f>
        <v>Kovu_98 2e-131, Wheelbite_94 2e-107</v>
      </c>
      <c r="D14" s="6"/>
    </row>
    <row r="15" spans="1:26" ht="15.75" customHeight="1" x14ac:dyDescent="0.15">
      <c r="A15" s="5" t="s">
        <v>15</v>
      </c>
      <c r="B15" s="17" t="str">
        <f ca="1">IFERROR(__xludf.DUMMYFUNCTION("""COMPUTED_VALUE"""),"glutaime amdotransferase domain protein")</f>
        <v>glutaime amdotransferase domain protein</v>
      </c>
      <c r="C15" s="17" t="str">
        <f ca="1">IFERROR(__xludf.DUMMYFUNCTION("""COMPUTED_VALUE"""),"Kovu_98 (glutamine amidotransferase domain protein) Wheelbite_94 (glutamine amidotransferase domain protein)")</f>
        <v>Kovu_98 (glutamine amidotransferase domain protein) Wheelbite_94 (glutamine amidotransferase domain protein)</v>
      </c>
      <c r="D15" s="6"/>
    </row>
    <row r="16" spans="1:26" ht="15.75" customHeight="1" x14ac:dyDescent="0.15">
      <c r="A16" s="5" t="s">
        <v>16</v>
      </c>
      <c r="B16" s="17" t="str">
        <f ca="1">IFERROR(__xludf.DUMMYFUNCTION("""COMPUTED_VALUE"""),"Same Genetic enviornement as Kovu")</f>
        <v>Same Genetic enviornement as Kovu</v>
      </c>
      <c r="C16" s="17" t="str">
        <f ca="1">IFERROR(__xludf.DUMMYFUNCTION("""COMPUTED_VALUE"""),"yes, adjacent in Kovu since gene 89")</f>
        <v>yes, adjacent in Kovu since gene 89</v>
      </c>
      <c r="D16" s="6"/>
    </row>
    <row r="17" spans="1:4" ht="15.75" customHeight="1" x14ac:dyDescent="0.15">
      <c r="A17" s="5" t="s">
        <v>17</v>
      </c>
      <c r="B17" s="17" t="str">
        <f ca="1">IFERROR(__xludf.DUMMYFUNCTION("""COMPUTED_VALUE"""),"1AO0_B GLUTAMINE PHOSPHORIBOSYLPYROPHOSPHATE AMIDOTRANSFERASE; TRANSFERASE, GLUTAMINE AMIDOTRANSFERASE, PRTASE, PURINE BIOSYNTHESIS, PHOSPHORIBOSYLTRANSFERASE, GLYCOSYLTRANSFERASE; HET: SF4, ADP, 5GP; 2.8A {Bacillus subtilis} SCOP: d.153.1.1, c.61.1.1
Pro"&amp;"bability: 99.88%,
Align Q: 79.41%
Align T: 47.06%")</f>
        <v>1AO0_B GLUTAMINE PHOSPHORIBOSYLPYROPHOSPHATE AMIDOTRANSFERASE; TRANSFERASE, GLUTAMINE AMIDOTRANSFERASE, PRTASE, PURINE BIOSYNTHESIS, PHOSPHORIBOSYLTRANSFERASE, GLYCOSYLTRANSFERASE; HET: SF4, ADP, 5GP; 2.8A {Bacillus subtilis} SCOP: d.153.1.1, c.61.1.1
Probability: 99.88%,
Align Q: 79.41%
Align T: 47.06%</v>
      </c>
      <c r="C17" s="17" t="str">
        <f ca="1">IFERROR(__xludf.DUMMYFUNCTION("""COMPUTED_VALUE"""),"GLUTAMINE PHOSPHORIBOSYLPYROPHOSPHATE AMIDOTRANSFERASE; TRANSFERASE, GLUTAMINE AMIDOTRANSFERASE, PRTASE, PURINE BIOSYNTH, 99.88% identity, 79.41%allq, 47.06%allt, The functional domain is in the target part of the alignment.")</f>
        <v>GLUTAMINE PHOSPHORIBOSYLPYROPHOSPHATE AMIDOTRANSFERASE; TRANSFERASE, GLUTAMINE AMIDOTRANSFERASE, PRTASE, PURINE BIOSYNTH, 99.88% identity, 79.41%allq, 47.06%allt, The functional domain is in the target part of the alignment.</v>
      </c>
      <c r="D17" s="6"/>
    </row>
    <row r="18" spans="1:4" ht="15.75" customHeight="1" x14ac:dyDescent="0.15">
      <c r="A18" s="5" t="s">
        <v>18</v>
      </c>
      <c r="B18" s="17" t="str">
        <f ca="1">IFERROR(__xludf.DUMMYFUNCTION("""COMPUTED_VALUE"""),"Gn_AT_II
GFAT
GATase_7
PTZ00295
GlmS
GATase_6
PurF
PRK00331
PLN02981
YafJ")</f>
        <v>Gn_AT_II
GFAT
GATase_7
PTZ00295
GlmS
GATase_6
PurF
PRK00331
PLN02981
YafJ</v>
      </c>
      <c r="C18" s="17" t="str">
        <f ca="1">IFERROR(__xludf.DUMMYFUNCTION("""COMPUTED_VALUE"""),"many, PRKoo331, PurF, PLNo2981....")</f>
        <v>many, PRKoo331, PurF, PLNo2981....</v>
      </c>
      <c r="D18" s="6"/>
    </row>
    <row r="19" spans="1:4" ht="15.75" customHeight="1" x14ac:dyDescent="0.15">
      <c r="A19" s="5" t="s">
        <v>19</v>
      </c>
      <c r="B19" s="17" t="str">
        <f ca="1">IFERROR(__xludf.DUMMYFUNCTION("""COMPUTED_VALUE"""),"NO")</f>
        <v>NO</v>
      </c>
      <c r="C19" s="17" t="str">
        <f ca="1">IFERROR(__xludf.DUMMYFUNCTION("""COMPUTED_VALUE"""),"none")</f>
        <v>none</v>
      </c>
      <c r="D19" s="6"/>
    </row>
    <row r="20" spans="1:4" ht="15.75" customHeight="1" x14ac:dyDescent="0.15">
      <c r="A20" s="5" t="s">
        <v>20</v>
      </c>
      <c r="B20" s="17" t="str">
        <f ca="1">IFERROR(__xludf.DUMMYFUNCTION("""COMPUTED_VALUE"""),"glutaime amdotransferase domain protein, almost everything being compared to this amino acid sequence is this function")</f>
        <v>glutaime amdotransferase domain protein, almost everything being compared to this amino acid sequence is this function</v>
      </c>
      <c r="C20" s="17" t="str">
        <f ca="1">IFERROR(__xludf.DUMMYFUNCTION("""COMPUTED_VALUE"""),"I think the function of this gene is a         
glutamine amidotransferase domain. Homologous genes such as Kovu_98 and Wheelbite_94 share this function. Findings in HHpred further supports this claim.")</f>
        <v>I think the function of this gene is a         
glutamine amidotransferase domain. Homologous genes such as Kovu_98 and Wheelbite_94 share this function. Findings in HHpred further supports this claim.</v>
      </c>
      <c r="D20" s="6"/>
    </row>
    <row r="21" spans="1:4" x14ac:dyDescent="0.2">
      <c r="A21" s="7"/>
      <c r="B21" s="19"/>
      <c r="C21" s="19"/>
      <c r="D21" s="8"/>
    </row>
    <row r="22" spans="1:4" ht="15.75" customHeight="1" x14ac:dyDescent="0.15">
      <c r="A22" s="9" t="s">
        <v>21</v>
      </c>
      <c r="B22" s="19"/>
      <c r="C22" s="19"/>
      <c r="D22" s="8"/>
    </row>
    <row r="23" spans="1:4" ht="15.75" customHeight="1" x14ac:dyDescent="0.15">
      <c r="A23" s="10"/>
      <c r="B23" s="13"/>
      <c r="C23" s="13"/>
    </row>
    <row r="24" spans="1:4" ht="15.75" customHeight="1" x14ac:dyDescent="0.15">
      <c r="A24" s="10"/>
      <c r="B24" s="13"/>
      <c r="C24" s="13"/>
    </row>
    <row r="25" spans="1:4" ht="15.75" customHeight="1" x14ac:dyDescent="0.15">
      <c r="A25" s="10"/>
      <c r="B25" s="13"/>
      <c r="C25" s="13"/>
    </row>
    <row r="26" spans="1:4" ht="15.75" customHeight="1" x14ac:dyDescent="0.15">
      <c r="A26" s="10"/>
      <c r="B26" s="13"/>
      <c r="C26" s="13"/>
    </row>
    <row r="27" spans="1:4" ht="15.75" customHeight="1" x14ac:dyDescent="0.15">
      <c r="A27" s="10"/>
      <c r="B27" s="13"/>
      <c r="C27" s="13"/>
    </row>
    <row r="28" spans="1:4" ht="15.75" customHeight="1" x14ac:dyDescent="0.15">
      <c r="A28" s="10"/>
      <c r="B28" s="13"/>
      <c r="C28" s="13"/>
    </row>
    <row r="29" spans="1:4" ht="15.75" customHeight="1" x14ac:dyDescent="0.15">
      <c r="A29" s="10"/>
      <c r="B29" s="13"/>
      <c r="C29" s="13"/>
    </row>
    <row r="30" spans="1:4" ht="15.75" customHeight="1" x14ac:dyDescent="0.15">
      <c r="A30" s="10"/>
      <c r="B30" s="13"/>
      <c r="C30" s="13"/>
    </row>
    <row r="31" spans="1:4" ht="15.75" customHeight="1" x14ac:dyDescent="0.15">
      <c r="A31" s="10"/>
      <c r="B31" s="13"/>
      <c r="C31" s="13"/>
    </row>
    <row r="32" spans="1:4" ht="15.75" customHeight="1" x14ac:dyDescent="0.15">
      <c r="A32" s="10"/>
      <c r="B32" s="13"/>
      <c r="C32" s="13"/>
    </row>
    <row r="33" spans="1:3" ht="15.75" customHeight="1" x14ac:dyDescent="0.15">
      <c r="A33" s="10"/>
      <c r="B33" s="13"/>
      <c r="C33" s="13"/>
    </row>
    <row r="34" spans="1:3" ht="15.75" customHeight="1" x14ac:dyDescent="0.15">
      <c r="A34" s="10"/>
      <c r="B34" s="13"/>
      <c r="C34" s="13"/>
    </row>
    <row r="35" spans="1:3" ht="15.75" customHeight="1" x14ac:dyDescent="0.15">
      <c r="A35" s="10"/>
      <c r="B35" s="13"/>
      <c r="C35" s="13"/>
    </row>
    <row r="36" spans="1:3" ht="15.75" customHeight="1" x14ac:dyDescent="0.15">
      <c r="A36" s="10"/>
      <c r="B36" s="13"/>
      <c r="C36" s="13"/>
    </row>
    <row r="37" spans="1:3" ht="15.75" customHeight="1" x14ac:dyDescent="0.15">
      <c r="A37" s="10"/>
      <c r="B37" s="13"/>
      <c r="C37" s="13"/>
    </row>
    <row r="38" spans="1:3" ht="15.75" customHeight="1" x14ac:dyDescent="0.15">
      <c r="A38" s="10"/>
      <c r="B38" s="13"/>
      <c r="C38" s="13"/>
    </row>
    <row r="39" spans="1:3" ht="13" x14ac:dyDescent="0.15">
      <c r="A39" s="10"/>
      <c r="B39" s="13"/>
      <c r="C39" s="13"/>
    </row>
    <row r="40" spans="1:3" ht="13" x14ac:dyDescent="0.15">
      <c r="A40" s="10"/>
      <c r="B40" s="13"/>
      <c r="C40" s="13"/>
    </row>
    <row r="41" spans="1:3" ht="13" x14ac:dyDescent="0.15">
      <c r="A41" s="10"/>
      <c r="B41" s="13"/>
      <c r="C41" s="13"/>
    </row>
    <row r="42" spans="1:3" ht="13" x14ac:dyDescent="0.15">
      <c r="A42" s="10"/>
      <c r="B42" s="13"/>
      <c r="C42" s="13"/>
    </row>
    <row r="43" spans="1:3" ht="13" x14ac:dyDescent="0.15">
      <c r="A43" s="10"/>
      <c r="B43" s="13"/>
      <c r="C43" s="13"/>
    </row>
    <row r="44" spans="1:3" ht="13" x14ac:dyDescent="0.15">
      <c r="A44" s="10"/>
      <c r="B44" s="13"/>
      <c r="C44" s="13"/>
    </row>
    <row r="45" spans="1:3" ht="13" x14ac:dyDescent="0.15">
      <c r="A45" s="10"/>
      <c r="B45" s="13"/>
      <c r="C45" s="13"/>
    </row>
    <row r="46" spans="1:3" ht="13" x14ac:dyDescent="0.15">
      <c r="A46" s="10"/>
      <c r="B46" s="13"/>
      <c r="C46" s="13"/>
    </row>
    <row r="47" spans="1:3" ht="13" x14ac:dyDescent="0.15">
      <c r="A47" s="10"/>
      <c r="B47" s="13"/>
      <c r="C47" s="13"/>
    </row>
    <row r="48" spans="1:3" ht="13" x14ac:dyDescent="0.15">
      <c r="A48" s="10"/>
      <c r="B48" s="13"/>
      <c r="C48" s="13"/>
    </row>
    <row r="49" spans="1:3" ht="13" x14ac:dyDescent="0.15">
      <c r="A49" s="10"/>
      <c r="B49" s="13"/>
      <c r="C49" s="13"/>
    </row>
    <row r="50" spans="1:3" ht="13" x14ac:dyDescent="0.15">
      <c r="A50" s="10"/>
      <c r="B50" s="13"/>
      <c r="C50" s="13"/>
    </row>
    <row r="51" spans="1:3" ht="13" x14ac:dyDescent="0.15">
      <c r="A51" s="10"/>
      <c r="B51" s="13"/>
      <c r="C51" s="13"/>
    </row>
    <row r="52" spans="1:3" ht="13" x14ac:dyDescent="0.15">
      <c r="A52" s="10"/>
      <c r="B52" s="13"/>
      <c r="C52" s="13"/>
    </row>
    <row r="53" spans="1:3" ht="13" x14ac:dyDescent="0.15">
      <c r="A53" s="10"/>
      <c r="B53" s="13"/>
      <c r="C53" s="13"/>
    </row>
    <row r="54" spans="1:3" ht="13" x14ac:dyDescent="0.15">
      <c r="A54" s="10"/>
      <c r="B54" s="13"/>
      <c r="C54" s="13"/>
    </row>
    <row r="55" spans="1:3" ht="13" x14ac:dyDescent="0.15">
      <c r="A55" s="10"/>
      <c r="B55" s="13"/>
      <c r="C55" s="13"/>
    </row>
    <row r="56" spans="1:3" ht="13" x14ac:dyDescent="0.15">
      <c r="A56" s="10"/>
      <c r="B56" s="13"/>
      <c r="C56" s="13"/>
    </row>
    <row r="57" spans="1:3" ht="13" x14ac:dyDescent="0.15">
      <c r="A57" s="10"/>
      <c r="B57" s="13"/>
      <c r="C57" s="13"/>
    </row>
    <row r="58" spans="1:3" ht="13" x14ac:dyDescent="0.15">
      <c r="A58" s="10"/>
      <c r="B58" s="13"/>
      <c r="C58" s="13"/>
    </row>
    <row r="59" spans="1:3" ht="13" x14ac:dyDescent="0.15">
      <c r="A59" s="10"/>
      <c r="B59" s="13"/>
      <c r="C59" s="13"/>
    </row>
    <row r="60" spans="1:3" ht="13" x14ac:dyDescent="0.15">
      <c r="A60" s="10"/>
      <c r="B60" s="13"/>
      <c r="C60" s="13"/>
    </row>
    <row r="61" spans="1:3" ht="13" x14ac:dyDescent="0.15">
      <c r="A61" s="10"/>
      <c r="B61" s="13"/>
      <c r="C61" s="13"/>
    </row>
    <row r="62" spans="1:3" ht="13" x14ac:dyDescent="0.15">
      <c r="A62" s="10"/>
      <c r="B62" s="13"/>
      <c r="C62" s="13"/>
    </row>
    <row r="63" spans="1:3" ht="13" x14ac:dyDescent="0.15">
      <c r="A63" s="10"/>
      <c r="B63" s="13"/>
      <c r="C63" s="13"/>
    </row>
    <row r="64" spans="1:3" ht="13" x14ac:dyDescent="0.15">
      <c r="A64" s="10"/>
      <c r="B64" s="13"/>
      <c r="C64" s="13"/>
    </row>
    <row r="65" spans="1:3" ht="13" x14ac:dyDescent="0.15">
      <c r="A65" s="10"/>
      <c r="B65" s="13"/>
      <c r="C65" s="13"/>
    </row>
    <row r="66" spans="1:3" ht="13" x14ac:dyDescent="0.15">
      <c r="A66" s="10"/>
      <c r="B66" s="13"/>
      <c r="C66" s="13"/>
    </row>
    <row r="67" spans="1:3" ht="13" x14ac:dyDescent="0.15">
      <c r="A67" s="10"/>
      <c r="B67" s="13"/>
      <c r="C67" s="13"/>
    </row>
    <row r="68" spans="1:3" ht="13" x14ac:dyDescent="0.15">
      <c r="A68" s="10"/>
      <c r="B68" s="13"/>
      <c r="C68" s="13"/>
    </row>
    <row r="69" spans="1:3" ht="13" x14ac:dyDescent="0.15">
      <c r="A69" s="10"/>
      <c r="B69" s="13"/>
      <c r="C69" s="13"/>
    </row>
    <row r="70" spans="1:3" ht="13" x14ac:dyDescent="0.15">
      <c r="A70" s="10"/>
      <c r="B70" s="13"/>
      <c r="C70" s="13"/>
    </row>
    <row r="71" spans="1:3" ht="13" x14ac:dyDescent="0.15">
      <c r="A71" s="10"/>
      <c r="B71" s="13"/>
      <c r="C71" s="13"/>
    </row>
    <row r="72" spans="1:3" ht="13" x14ac:dyDescent="0.15">
      <c r="A72" s="10"/>
      <c r="B72" s="13"/>
      <c r="C72" s="13"/>
    </row>
    <row r="73" spans="1:3" ht="13" x14ac:dyDescent="0.15">
      <c r="A73" s="10"/>
      <c r="B73" s="13"/>
      <c r="C73" s="13"/>
    </row>
    <row r="74" spans="1:3" ht="13" x14ac:dyDescent="0.15">
      <c r="A74" s="10"/>
      <c r="B74" s="13"/>
      <c r="C74" s="13"/>
    </row>
    <row r="75" spans="1:3" ht="13" x14ac:dyDescent="0.15">
      <c r="A75" s="10"/>
      <c r="B75" s="13"/>
      <c r="C75" s="13"/>
    </row>
    <row r="76" spans="1:3" ht="13" x14ac:dyDescent="0.15">
      <c r="A76" s="10"/>
      <c r="B76" s="13"/>
      <c r="C76" s="13"/>
    </row>
    <row r="77" spans="1:3" ht="13" x14ac:dyDescent="0.15">
      <c r="A77" s="10"/>
      <c r="B77" s="13"/>
      <c r="C77" s="13"/>
    </row>
    <row r="78" spans="1:3" ht="13" x14ac:dyDescent="0.15">
      <c r="A78" s="10"/>
      <c r="B78" s="13"/>
      <c r="C78" s="13"/>
    </row>
    <row r="79" spans="1:3" ht="13" x14ac:dyDescent="0.15">
      <c r="A79" s="10"/>
      <c r="B79" s="13"/>
      <c r="C79" s="13"/>
    </row>
    <row r="80" spans="1:3" ht="13" x14ac:dyDescent="0.15">
      <c r="A80" s="10"/>
      <c r="B80" s="13"/>
      <c r="C80" s="13"/>
    </row>
    <row r="81" spans="1:3" ht="13" x14ac:dyDescent="0.15">
      <c r="A81" s="10"/>
      <c r="B81" s="13"/>
      <c r="C81" s="13"/>
    </row>
    <row r="82" spans="1:3" ht="13" x14ac:dyDescent="0.15">
      <c r="A82" s="10"/>
      <c r="B82" s="13"/>
      <c r="C82" s="13"/>
    </row>
    <row r="83" spans="1:3" ht="13" x14ac:dyDescent="0.15">
      <c r="A83" s="10"/>
      <c r="B83" s="13"/>
      <c r="C83" s="13"/>
    </row>
    <row r="84" spans="1:3" ht="13" x14ac:dyDescent="0.15">
      <c r="A84" s="10"/>
      <c r="B84" s="13"/>
      <c r="C84" s="13"/>
    </row>
    <row r="85" spans="1:3" ht="13" x14ac:dyDescent="0.15">
      <c r="A85" s="10"/>
      <c r="B85" s="13"/>
      <c r="C85" s="13"/>
    </row>
    <row r="86" spans="1:3" ht="13" x14ac:dyDescent="0.15">
      <c r="A86" s="10"/>
      <c r="B86" s="13"/>
      <c r="C86" s="13"/>
    </row>
    <row r="87" spans="1:3" ht="13" x14ac:dyDescent="0.15">
      <c r="A87" s="10"/>
      <c r="B87" s="13"/>
      <c r="C87" s="13"/>
    </row>
    <row r="88" spans="1:3" ht="13" x14ac:dyDescent="0.15">
      <c r="A88" s="10"/>
      <c r="B88" s="13"/>
      <c r="C88" s="13"/>
    </row>
    <row r="89" spans="1:3" ht="13" x14ac:dyDescent="0.15">
      <c r="A89" s="10"/>
      <c r="B89" s="13"/>
      <c r="C89" s="13"/>
    </row>
    <row r="90" spans="1:3" ht="13" x14ac:dyDescent="0.15">
      <c r="A90" s="10"/>
      <c r="B90" s="13"/>
      <c r="C90" s="13"/>
    </row>
    <row r="91" spans="1:3" ht="13" x14ac:dyDescent="0.15">
      <c r="A91" s="10"/>
      <c r="B91" s="13"/>
      <c r="C91" s="13"/>
    </row>
    <row r="92" spans="1:3" ht="13" x14ac:dyDescent="0.15">
      <c r="A92" s="10"/>
      <c r="B92" s="13"/>
      <c r="C92" s="13"/>
    </row>
    <row r="93" spans="1:3" ht="13" x14ac:dyDescent="0.15">
      <c r="A93" s="10"/>
      <c r="B93" s="13"/>
      <c r="C93" s="13"/>
    </row>
    <row r="94" spans="1:3" ht="13" x14ac:dyDescent="0.15">
      <c r="A94" s="10"/>
      <c r="B94" s="13"/>
      <c r="C94" s="13"/>
    </row>
    <row r="95" spans="1:3" ht="13" x14ac:dyDescent="0.15">
      <c r="A95" s="10"/>
      <c r="B95" s="13"/>
      <c r="C95" s="13"/>
    </row>
    <row r="96" spans="1:3" ht="13" x14ac:dyDescent="0.15">
      <c r="A96" s="10"/>
      <c r="B96" s="13"/>
      <c r="C96" s="13"/>
    </row>
    <row r="97" spans="1:3" ht="13" x14ac:dyDescent="0.15">
      <c r="A97" s="10"/>
      <c r="B97" s="13"/>
      <c r="C97" s="13"/>
    </row>
    <row r="98" spans="1:3" ht="13" x14ac:dyDescent="0.15">
      <c r="A98" s="10"/>
      <c r="B98" s="13"/>
      <c r="C98" s="13"/>
    </row>
    <row r="99" spans="1:3" ht="13" x14ac:dyDescent="0.15">
      <c r="A99" s="10"/>
      <c r="B99" s="13"/>
      <c r="C99" s="13"/>
    </row>
    <row r="100" spans="1:3" ht="13" x14ac:dyDescent="0.15">
      <c r="A100" s="10"/>
      <c r="B100" s="13"/>
      <c r="C100" s="13"/>
    </row>
    <row r="101" spans="1:3" ht="13" x14ac:dyDescent="0.15">
      <c r="A101" s="10"/>
      <c r="B101" s="13"/>
      <c r="C101" s="13"/>
    </row>
    <row r="102" spans="1:3" ht="13" x14ac:dyDescent="0.15">
      <c r="A102" s="10"/>
      <c r="B102" s="13"/>
      <c r="C102" s="13"/>
    </row>
    <row r="103" spans="1:3" ht="13" x14ac:dyDescent="0.15">
      <c r="A103" s="10"/>
      <c r="B103" s="13"/>
      <c r="C103" s="13"/>
    </row>
    <row r="104" spans="1:3" ht="13" x14ac:dyDescent="0.15">
      <c r="A104" s="10"/>
      <c r="B104" s="13"/>
      <c r="C104" s="13"/>
    </row>
    <row r="105" spans="1:3" ht="13" x14ac:dyDescent="0.15">
      <c r="A105" s="10"/>
      <c r="B105" s="13"/>
      <c r="C105" s="13"/>
    </row>
    <row r="106" spans="1:3" ht="13" x14ac:dyDescent="0.15">
      <c r="A106" s="10"/>
      <c r="B106" s="13"/>
      <c r="C106" s="13"/>
    </row>
    <row r="107" spans="1:3" ht="13" x14ac:dyDescent="0.15">
      <c r="A107" s="10"/>
      <c r="B107" s="13"/>
      <c r="C107" s="13"/>
    </row>
    <row r="108" spans="1:3" ht="13" x14ac:dyDescent="0.15">
      <c r="A108" s="10"/>
      <c r="B108" s="13"/>
      <c r="C108" s="13"/>
    </row>
    <row r="109" spans="1:3" ht="13" x14ac:dyDescent="0.15">
      <c r="A109" s="10"/>
      <c r="B109" s="13"/>
      <c r="C109" s="13"/>
    </row>
    <row r="110" spans="1:3" ht="13" x14ac:dyDescent="0.15">
      <c r="A110" s="10"/>
      <c r="B110" s="13"/>
      <c r="C110" s="13"/>
    </row>
    <row r="111" spans="1:3" ht="13" x14ac:dyDescent="0.15">
      <c r="A111" s="10"/>
      <c r="B111" s="13"/>
      <c r="C111" s="13"/>
    </row>
    <row r="112" spans="1:3" ht="13" x14ac:dyDescent="0.15">
      <c r="A112" s="10"/>
      <c r="B112" s="13"/>
      <c r="C112" s="13"/>
    </row>
    <row r="113" spans="1:3" ht="13" x14ac:dyDescent="0.15">
      <c r="A113" s="10"/>
      <c r="B113" s="13"/>
      <c r="C113" s="13"/>
    </row>
    <row r="114" spans="1:3" ht="13" x14ac:dyDescent="0.15">
      <c r="A114" s="10"/>
      <c r="B114" s="13"/>
      <c r="C114" s="13"/>
    </row>
    <row r="115" spans="1:3" ht="13" x14ac:dyDescent="0.15">
      <c r="A115" s="10"/>
      <c r="B115" s="13"/>
      <c r="C115" s="13"/>
    </row>
    <row r="116" spans="1:3" ht="13" x14ac:dyDescent="0.15">
      <c r="A116" s="10"/>
      <c r="B116" s="13"/>
      <c r="C116" s="13"/>
    </row>
    <row r="117" spans="1:3" ht="13" x14ac:dyDescent="0.15">
      <c r="A117" s="10"/>
      <c r="B117" s="13"/>
      <c r="C117" s="13"/>
    </row>
    <row r="118" spans="1:3" ht="13" x14ac:dyDescent="0.15">
      <c r="A118" s="10"/>
      <c r="B118" s="13"/>
      <c r="C118" s="13"/>
    </row>
    <row r="119" spans="1:3" ht="13" x14ac:dyDescent="0.15">
      <c r="A119" s="10"/>
      <c r="B119" s="13"/>
      <c r="C119" s="13"/>
    </row>
    <row r="120" spans="1:3" ht="13" x14ac:dyDescent="0.15">
      <c r="A120" s="10"/>
      <c r="B120" s="13"/>
      <c r="C120" s="13"/>
    </row>
    <row r="121" spans="1:3" ht="13" x14ac:dyDescent="0.15">
      <c r="A121" s="10"/>
      <c r="B121" s="13"/>
      <c r="C121" s="13"/>
    </row>
    <row r="122" spans="1:3" ht="13" x14ac:dyDescent="0.15">
      <c r="A122" s="10"/>
      <c r="B122" s="13"/>
      <c r="C122" s="13"/>
    </row>
    <row r="123" spans="1:3" ht="13" x14ac:dyDescent="0.15">
      <c r="A123" s="10"/>
      <c r="B123" s="13"/>
      <c r="C123" s="13"/>
    </row>
    <row r="124" spans="1:3" ht="13" x14ac:dyDescent="0.15">
      <c r="A124" s="10"/>
      <c r="B124" s="13"/>
      <c r="C124" s="13"/>
    </row>
    <row r="125" spans="1:3" ht="13" x14ac:dyDescent="0.15">
      <c r="A125" s="10"/>
      <c r="B125" s="13"/>
      <c r="C125" s="13"/>
    </row>
    <row r="126" spans="1:3" ht="13" x14ac:dyDescent="0.15">
      <c r="A126" s="10"/>
      <c r="B126" s="13"/>
      <c r="C126" s="13"/>
    </row>
    <row r="127" spans="1:3" ht="13" x14ac:dyDescent="0.15">
      <c r="A127" s="10"/>
      <c r="B127" s="13"/>
      <c r="C127" s="13"/>
    </row>
    <row r="128" spans="1:3" ht="13" x14ac:dyDescent="0.15">
      <c r="A128" s="10"/>
      <c r="B128" s="13"/>
      <c r="C128" s="13"/>
    </row>
    <row r="129" spans="1:3" ht="13" x14ac:dyDescent="0.15">
      <c r="A129" s="10"/>
      <c r="B129" s="13"/>
      <c r="C129" s="13"/>
    </row>
    <row r="130" spans="1:3" ht="13" x14ac:dyDescent="0.15">
      <c r="A130" s="10"/>
      <c r="B130" s="13"/>
      <c r="C130" s="13"/>
    </row>
    <row r="131" spans="1:3" ht="13" x14ac:dyDescent="0.15">
      <c r="A131" s="10"/>
      <c r="B131" s="13"/>
      <c r="C131" s="13"/>
    </row>
    <row r="132" spans="1:3" ht="13" x14ac:dyDescent="0.15">
      <c r="A132" s="10"/>
      <c r="B132" s="13"/>
      <c r="C132" s="13"/>
    </row>
    <row r="133" spans="1:3" ht="13" x14ac:dyDescent="0.15">
      <c r="A133" s="10"/>
      <c r="B133" s="13"/>
      <c r="C133" s="13"/>
    </row>
    <row r="134" spans="1:3" ht="13" x14ac:dyDescent="0.15">
      <c r="A134" s="10"/>
      <c r="B134" s="13"/>
      <c r="C134" s="13"/>
    </row>
    <row r="135" spans="1:3" ht="13" x14ac:dyDescent="0.15">
      <c r="A135" s="10"/>
      <c r="B135" s="13"/>
      <c r="C135" s="13"/>
    </row>
    <row r="136" spans="1:3" ht="13" x14ac:dyDescent="0.15">
      <c r="A136" s="10"/>
      <c r="B136" s="13"/>
      <c r="C136" s="13"/>
    </row>
    <row r="137" spans="1:3" ht="13" x14ac:dyDescent="0.15">
      <c r="A137" s="10"/>
      <c r="B137" s="13"/>
      <c r="C137" s="13"/>
    </row>
    <row r="138" spans="1:3" ht="13" x14ac:dyDescent="0.15">
      <c r="A138" s="10"/>
      <c r="B138" s="13"/>
      <c r="C138" s="13"/>
    </row>
    <row r="139" spans="1:3" ht="13" x14ac:dyDescent="0.15">
      <c r="A139" s="10"/>
      <c r="B139" s="13"/>
      <c r="C139" s="13"/>
    </row>
    <row r="140" spans="1:3" ht="13" x14ac:dyDescent="0.15">
      <c r="A140" s="10"/>
      <c r="B140" s="13"/>
      <c r="C140" s="13"/>
    </row>
    <row r="141" spans="1:3" ht="13" x14ac:dyDescent="0.15">
      <c r="A141" s="10"/>
      <c r="B141" s="13"/>
      <c r="C141" s="13"/>
    </row>
    <row r="142" spans="1:3" ht="13" x14ac:dyDescent="0.15">
      <c r="A142" s="10"/>
      <c r="B142" s="13"/>
      <c r="C142" s="13"/>
    </row>
    <row r="143" spans="1:3" ht="13" x14ac:dyDescent="0.15">
      <c r="A143" s="10"/>
      <c r="B143" s="13"/>
      <c r="C143" s="13"/>
    </row>
    <row r="144" spans="1:3" ht="13" x14ac:dyDescent="0.15">
      <c r="A144" s="10"/>
      <c r="B144" s="13"/>
      <c r="C144" s="13"/>
    </row>
    <row r="145" spans="1:3" ht="13" x14ac:dyDescent="0.15">
      <c r="A145" s="10"/>
      <c r="B145" s="13"/>
      <c r="C145" s="13"/>
    </row>
    <row r="146" spans="1:3" ht="13" x14ac:dyDescent="0.15">
      <c r="A146" s="10"/>
      <c r="B146" s="13"/>
      <c r="C146" s="13"/>
    </row>
    <row r="147" spans="1:3" ht="13" x14ac:dyDescent="0.15">
      <c r="A147" s="10"/>
      <c r="B147" s="13"/>
      <c r="C147" s="13"/>
    </row>
    <row r="148" spans="1:3" ht="13" x14ac:dyDescent="0.15">
      <c r="A148" s="10"/>
      <c r="B148" s="13"/>
      <c r="C148" s="13"/>
    </row>
    <row r="149" spans="1:3" ht="13" x14ac:dyDescent="0.15">
      <c r="A149" s="10"/>
      <c r="B149" s="13"/>
      <c r="C149" s="13"/>
    </row>
    <row r="150" spans="1:3" ht="13" x14ac:dyDescent="0.15">
      <c r="A150" s="10"/>
      <c r="B150" s="13"/>
      <c r="C150" s="13"/>
    </row>
    <row r="151" spans="1:3" ht="13" x14ac:dyDescent="0.15">
      <c r="A151" s="10"/>
      <c r="B151" s="13"/>
      <c r="C151" s="13"/>
    </row>
    <row r="152" spans="1:3" ht="13" x14ac:dyDescent="0.15">
      <c r="A152" s="10"/>
      <c r="B152" s="13"/>
      <c r="C152" s="13"/>
    </row>
    <row r="153" spans="1:3" ht="13" x14ac:dyDescent="0.15">
      <c r="A153" s="10"/>
      <c r="B153" s="13"/>
      <c r="C153" s="13"/>
    </row>
    <row r="154" spans="1:3" ht="13" x14ac:dyDescent="0.15">
      <c r="A154" s="10"/>
      <c r="B154" s="13"/>
      <c r="C154" s="13"/>
    </row>
    <row r="155" spans="1:3" ht="13" x14ac:dyDescent="0.15">
      <c r="A155" s="10"/>
      <c r="B155" s="13"/>
      <c r="C155" s="13"/>
    </row>
    <row r="156" spans="1:3" ht="13" x14ac:dyDescent="0.15">
      <c r="A156" s="10"/>
      <c r="B156" s="13"/>
      <c r="C156" s="13"/>
    </row>
    <row r="157" spans="1:3" ht="13" x14ac:dyDescent="0.15">
      <c r="A157" s="10"/>
      <c r="B157" s="13"/>
      <c r="C157" s="13"/>
    </row>
    <row r="158" spans="1:3" ht="13" x14ac:dyDescent="0.15">
      <c r="A158" s="10"/>
      <c r="B158" s="13"/>
      <c r="C158" s="13"/>
    </row>
    <row r="159" spans="1:3" ht="13" x14ac:dyDescent="0.15">
      <c r="A159" s="10"/>
      <c r="B159" s="13"/>
      <c r="C159" s="13"/>
    </row>
    <row r="160" spans="1:3" ht="13" x14ac:dyDescent="0.15">
      <c r="A160" s="10"/>
      <c r="B160" s="13"/>
      <c r="C160" s="13"/>
    </row>
    <row r="161" spans="1:3" ht="13" x14ac:dyDescent="0.15">
      <c r="A161" s="10"/>
      <c r="B161" s="13"/>
      <c r="C161" s="13"/>
    </row>
    <row r="162" spans="1:3" ht="13" x14ac:dyDescent="0.15">
      <c r="A162" s="10"/>
      <c r="B162" s="13"/>
      <c r="C162" s="13"/>
    </row>
    <row r="163" spans="1:3" ht="13" x14ac:dyDescent="0.15">
      <c r="A163" s="10"/>
      <c r="B163" s="13"/>
      <c r="C163" s="13"/>
    </row>
    <row r="164" spans="1:3" ht="13" x14ac:dyDescent="0.15">
      <c r="A164" s="10"/>
      <c r="B164" s="13"/>
      <c r="C164" s="13"/>
    </row>
    <row r="165" spans="1:3" ht="13" x14ac:dyDescent="0.15">
      <c r="A165" s="10"/>
      <c r="B165" s="13"/>
      <c r="C165" s="13"/>
    </row>
    <row r="166" spans="1:3" ht="13" x14ac:dyDescent="0.15">
      <c r="A166" s="10"/>
      <c r="B166" s="13"/>
      <c r="C166" s="13"/>
    </row>
    <row r="167" spans="1:3" ht="13" x14ac:dyDescent="0.15">
      <c r="A167" s="10"/>
      <c r="B167" s="13"/>
      <c r="C167" s="13"/>
    </row>
    <row r="168" spans="1:3" ht="13" x14ac:dyDescent="0.15">
      <c r="A168" s="10"/>
      <c r="B168" s="13"/>
      <c r="C168" s="13"/>
    </row>
    <row r="169" spans="1:3" ht="13" x14ac:dyDescent="0.15">
      <c r="A169" s="10"/>
      <c r="B169" s="13"/>
      <c r="C169" s="13"/>
    </row>
    <row r="170" spans="1:3" ht="13" x14ac:dyDescent="0.15">
      <c r="A170" s="10"/>
      <c r="B170" s="13"/>
      <c r="C170" s="13"/>
    </row>
    <row r="171" spans="1:3" ht="13" x14ac:dyDescent="0.15">
      <c r="A171" s="10"/>
      <c r="B171" s="13"/>
      <c r="C171" s="13"/>
    </row>
    <row r="172" spans="1:3" ht="13" x14ac:dyDescent="0.15">
      <c r="A172" s="10"/>
      <c r="B172" s="13"/>
      <c r="C172" s="13"/>
    </row>
    <row r="173" spans="1:3" ht="13" x14ac:dyDescent="0.15">
      <c r="A173" s="10"/>
      <c r="B173" s="13"/>
      <c r="C173" s="13"/>
    </row>
    <row r="174" spans="1:3" ht="13" x14ac:dyDescent="0.15">
      <c r="A174" s="10"/>
      <c r="B174" s="13"/>
      <c r="C174" s="13"/>
    </row>
    <row r="175" spans="1:3" ht="13" x14ac:dyDescent="0.15">
      <c r="A175" s="10"/>
      <c r="B175" s="13"/>
      <c r="C175" s="13"/>
    </row>
    <row r="176" spans="1:3" ht="13" x14ac:dyDescent="0.15">
      <c r="A176" s="10"/>
      <c r="B176" s="13"/>
      <c r="C176" s="13"/>
    </row>
    <row r="177" spans="1:3" ht="13" x14ac:dyDescent="0.15">
      <c r="A177" s="10"/>
      <c r="B177" s="13"/>
      <c r="C177" s="13"/>
    </row>
    <row r="178" spans="1:3" ht="13" x14ac:dyDescent="0.15">
      <c r="A178" s="10"/>
      <c r="B178" s="13"/>
      <c r="C178" s="13"/>
    </row>
    <row r="179" spans="1:3" ht="13" x14ac:dyDescent="0.15">
      <c r="A179" s="10"/>
      <c r="B179" s="13"/>
      <c r="C179" s="13"/>
    </row>
    <row r="180" spans="1:3" ht="13" x14ac:dyDescent="0.15">
      <c r="A180" s="10"/>
      <c r="B180" s="13"/>
      <c r="C180" s="13"/>
    </row>
    <row r="181" spans="1:3" ht="13" x14ac:dyDescent="0.15">
      <c r="A181" s="10"/>
      <c r="B181" s="13"/>
      <c r="C181" s="13"/>
    </row>
    <row r="182" spans="1:3" ht="13" x14ac:dyDescent="0.15">
      <c r="A182" s="10"/>
      <c r="B182" s="13"/>
      <c r="C182" s="13"/>
    </row>
    <row r="183" spans="1:3" ht="13" x14ac:dyDescent="0.15">
      <c r="A183" s="10"/>
      <c r="B183" s="13"/>
      <c r="C183" s="13"/>
    </row>
    <row r="184" spans="1:3" ht="13" x14ac:dyDescent="0.15">
      <c r="A184" s="10"/>
      <c r="B184" s="13"/>
      <c r="C184" s="13"/>
    </row>
    <row r="185" spans="1:3" ht="13" x14ac:dyDescent="0.15">
      <c r="A185" s="10"/>
      <c r="B185" s="13"/>
      <c r="C185" s="13"/>
    </row>
    <row r="186" spans="1:3" ht="13" x14ac:dyDescent="0.15">
      <c r="A186" s="10"/>
      <c r="B186" s="13"/>
      <c r="C186" s="13"/>
    </row>
    <row r="187" spans="1:3" ht="13" x14ac:dyDescent="0.15">
      <c r="A187" s="10"/>
      <c r="B187" s="13"/>
      <c r="C187" s="13"/>
    </row>
    <row r="188" spans="1:3" ht="13" x14ac:dyDescent="0.15">
      <c r="A188" s="10"/>
      <c r="B188" s="13"/>
      <c r="C188" s="13"/>
    </row>
    <row r="189" spans="1:3" ht="13" x14ac:dyDescent="0.15">
      <c r="A189" s="10"/>
      <c r="B189" s="13"/>
      <c r="C189" s="13"/>
    </row>
    <row r="190" spans="1:3" ht="13" x14ac:dyDescent="0.15">
      <c r="A190" s="10"/>
      <c r="B190" s="13"/>
      <c r="C190" s="13"/>
    </row>
    <row r="191" spans="1:3" ht="13" x14ac:dyDescent="0.15">
      <c r="A191" s="10"/>
      <c r="B191" s="13"/>
      <c r="C191" s="13"/>
    </row>
    <row r="192" spans="1:3" ht="13" x14ac:dyDescent="0.15">
      <c r="A192" s="10"/>
      <c r="B192" s="13"/>
      <c r="C192" s="13"/>
    </row>
    <row r="193" spans="1:3" ht="13" x14ac:dyDescent="0.15">
      <c r="A193" s="10"/>
      <c r="B193" s="13"/>
      <c r="C193" s="13"/>
    </row>
    <row r="194" spans="1:3" ht="13" x14ac:dyDescent="0.15">
      <c r="A194" s="10"/>
      <c r="B194" s="13"/>
      <c r="C194" s="13"/>
    </row>
    <row r="195" spans="1:3" ht="13" x14ac:dyDescent="0.15">
      <c r="A195" s="10"/>
      <c r="B195" s="13"/>
      <c r="C195" s="13"/>
    </row>
    <row r="196" spans="1:3" ht="13" x14ac:dyDescent="0.15">
      <c r="A196" s="10"/>
      <c r="B196" s="13"/>
      <c r="C196" s="13"/>
    </row>
    <row r="197" spans="1:3" ht="13" x14ac:dyDescent="0.15">
      <c r="A197" s="10"/>
      <c r="B197" s="13"/>
      <c r="C197" s="13"/>
    </row>
    <row r="198" spans="1:3" ht="13" x14ac:dyDescent="0.15">
      <c r="A198" s="10"/>
      <c r="B198" s="13"/>
      <c r="C198" s="13"/>
    </row>
    <row r="199" spans="1:3" ht="13" x14ac:dyDescent="0.15">
      <c r="A199" s="10"/>
      <c r="B199" s="13"/>
      <c r="C199" s="13"/>
    </row>
    <row r="200" spans="1:3" ht="13" x14ac:dyDescent="0.15">
      <c r="A200" s="10"/>
      <c r="B200" s="13"/>
      <c r="C200" s="13"/>
    </row>
    <row r="201" spans="1:3" ht="13" x14ac:dyDescent="0.15">
      <c r="A201" s="10"/>
      <c r="B201" s="13"/>
      <c r="C201" s="13"/>
    </row>
    <row r="202" spans="1:3" ht="13" x14ac:dyDescent="0.15">
      <c r="A202" s="10"/>
      <c r="B202" s="13"/>
      <c r="C202" s="13"/>
    </row>
    <row r="203" spans="1:3" ht="13" x14ac:dyDescent="0.15">
      <c r="A203" s="10"/>
      <c r="B203" s="13"/>
      <c r="C203" s="13"/>
    </row>
    <row r="204" spans="1:3" ht="13" x14ac:dyDescent="0.15">
      <c r="A204" s="10"/>
      <c r="B204" s="13"/>
      <c r="C204" s="13"/>
    </row>
    <row r="205" spans="1:3" ht="13" x14ac:dyDescent="0.15">
      <c r="A205" s="10"/>
      <c r="B205" s="13"/>
      <c r="C205" s="13"/>
    </row>
    <row r="206" spans="1:3" ht="13" x14ac:dyDescent="0.15">
      <c r="A206" s="10"/>
      <c r="B206" s="13"/>
      <c r="C206" s="13"/>
    </row>
    <row r="207" spans="1:3" ht="13" x14ac:dyDescent="0.15">
      <c r="A207" s="10"/>
      <c r="B207" s="13"/>
      <c r="C207" s="13"/>
    </row>
    <row r="208" spans="1:3" ht="13" x14ac:dyDescent="0.15">
      <c r="A208" s="10"/>
      <c r="B208" s="13"/>
      <c r="C208" s="13"/>
    </row>
    <row r="209" spans="1:3" ht="13" x14ac:dyDescent="0.15">
      <c r="A209" s="10"/>
      <c r="B209" s="13"/>
      <c r="C209" s="13"/>
    </row>
    <row r="210" spans="1:3" ht="13" x14ac:dyDescent="0.15">
      <c r="A210" s="10"/>
      <c r="B210" s="13"/>
      <c r="C210" s="13"/>
    </row>
    <row r="211" spans="1:3" ht="13" x14ac:dyDescent="0.15">
      <c r="A211" s="10"/>
      <c r="B211" s="13"/>
      <c r="C211" s="13"/>
    </row>
    <row r="212" spans="1:3" ht="13" x14ac:dyDescent="0.15">
      <c r="A212" s="10"/>
      <c r="B212" s="13"/>
      <c r="C212" s="13"/>
    </row>
    <row r="213" spans="1:3" ht="13" x14ac:dyDescent="0.15">
      <c r="A213" s="10"/>
      <c r="B213" s="13"/>
      <c r="C213" s="13"/>
    </row>
    <row r="214" spans="1:3" ht="13" x14ac:dyDescent="0.15">
      <c r="A214" s="10"/>
      <c r="B214" s="13"/>
      <c r="C214" s="13"/>
    </row>
    <row r="215" spans="1:3" ht="13" x14ac:dyDescent="0.15">
      <c r="A215" s="10"/>
      <c r="B215" s="13"/>
      <c r="C215" s="13"/>
    </row>
    <row r="216" spans="1:3" ht="13" x14ac:dyDescent="0.15">
      <c r="A216" s="10"/>
      <c r="B216" s="13"/>
      <c r="C216" s="13"/>
    </row>
    <row r="217" spans="1:3" ht="13" x14ac:dyDescent="0.15">
      <c r="A217" s="10"/>
      <c r="B217" s="13"/>
      <c r="C217" s="13"/>
    </row>
    <row r="218" spans="1:3" ht="13" x14ac:dyDescent="0.15">
      <c r="A218" s="10"/>
      <c r="B218" s="13"/>
      <c r="C218" s="13"/>
    </row>
    <row r="219" spans="1:3" ht="13" x14ac:dyDescent="0.15">
      <c r="A219" s="10"/>
      <c r="B219" s="13"/>
      <c r="C219" s="13"/>
    </row>
    <row r="220" spans="1:3" ht="13" x14ac:dyDescent="0.15">
      <c r="A220" s="10"/>
      <c r="B220" s="13"/>
      <c r="C220" s="13"/>
    </row>
    <row r="221" spans="1:3" ht="13" x14ac:dyDescent="0.15">
      <c r="A221" s="10"/>
      <c r="B221" s="13"/>
      <c r="C221" s="13"/>
    </row>
    <row r="222" spans="1:3" ht="13" x14ac:dyDescent="0.15">
      <c r="A222" s="10"/>
      <c r="B222" s="13"/>
      <c r="C222" s="13"/>
    </row>
    <row r="223" spans="1:3" ht="13" x14ac:dyDescent="0.15">
      <c r="A223" s="10"/>
      <c r="B223" s="13"/>
      <c r="C223" s="13"/>
    </row>
    <row r="224" spans="1:3" ht="13" x14ac:dyDescent="0.15">
      <c r="A224" s="10"/>
      <c r="B224" s="13"/>
      <c r="C224" s="13"/>
    </row>
    <row r="225" spans="1:3" ht="13" x14ac:dyDescent="0.15">
      <c r="A225" s="10"/>
      <c r="B225" s="13"/>
      <c r="C225" s="13"/>
    </row>
    <row r="226" spans="1:3" ht="13" x14ac:dyDescent="0.15">
      <c r="A226" s="10"/>
      <c r="B226" s="13"/>
      <c r="C226" s="13"/>
    </row>
    <row r="227" spans="1:3" ht="13" x14ac:dyDescent="0.15">
      <c r="A227" s="10"/>
      <c r="B227" s="13"/>
      <c r="C227" s="13"/>
    </row>
    <row r="228" spans="1:3" ht="13" x14ac:dyDescent="0.15">
      <c r="A228" s="10"/>
      <c r="B228" s="13"/>
      <c r="C228" s="13"/>
    </row>
    <row r="229" spans="1:3" ht="13" x14ac:dyDescent="0.15">
      <c r="A229" s="10"/>
      <c r="B229" s="13"/>
      <c r="C229" s="13"/>
    </row>
    <row r="230" spans="1:3" ht="13" x14ac:dyDescent="0.15">
      <c r="A230" s="10"/>
      <c r="B230" s="13"/>
      <c r="C230" s="13"/>
    </row>
    <row r="231" spans="1:3" ht="13" x14ac:dyDescent="0.15">
      <c r="A231" s="10"/>
      <c r="B231" s="13"/>
      <c r="C231" s="13"/>
    </row>
    <row r="232" spans="1:3" ht="13" x14ac:dyDescent="0.15">
      <c r="A232" s="10"/>
      <c r="B232" s="13"/>
      <c r="C232" s="13"/>
    </row>
    <row r="233" spans="1:3" ht="13" x14ac:dyDescent="0.15">
      <c r="A233" s="10"/>
      <c r="B233" s="13"/>
      <c r="C233" s="13"/>
    </row>
    <row r="234" spans="1:3" ht="13" x14ac:dyDescent="0.15">
      <c r="A234" s="10"/>
      <c r="B234" s="13"/>
      <c r="C234" s="13"/>
    </row>
    <row r="235" spans="1:3" ht="13" x14ac:dyDescent="0.15">
      <c r="A235" s="10"/>
      <c r="B235" s="13"/>
      <c r="C235" s="13"/>
    </row>
    <row r="236" spans="1:3" ht="13" x14ac:dyDescent="0.15">
      <c r="A236" s="10"/>
      <c r="B236" s="13"/>
      <c r="C236" s="13"/>
    </row>
    <row r="237" spans="1:3" ht="13" x14ac:dyDescent="0.15">
      <c r="A237" s="10"/>
      <c r="B237" s="13"/>
      <c r="C237" s="13"/>
    </row>
    <row r="238" spans="1:3" ht="13" x14ac:dyDescent="0.15">
      <c r="A238" s="10"/>
      <c r="B238" s="13"/>
      <c r="C238" s="13"/>
    </row>
    <row r="239" spans="1:3" ht="13" x14ac:dyDescent="0.15">
      <c r="A239" s="10"/>
      <c r="B239" s="13"/>
      <c r="C239" s="13"/>
    </row>
    <row r="240" spans="1:3" ht="13" x14ac:dyDescent="0.15">
      <c r="A240" s="10"/>
      <c r="B240" s="13"/>
      <c r="C240" s="13"/>
    </row>
    <row r="241" spans="1:3" ht="13" x14ac:dyDescent="0.15">
      <c r="A241" s="10"/>
      <c r="B241" s="13"/>
      <c r="C241" s="13"/>
    </row>
    <row r="242" spans="1:3" ht="13" x14ac:dyDescent="0.15">
      <c r="A242" s="10"/>
      <c r="B242" s="13"/>
      <c r="C242" s="13"/>
    </row>
    <row r="243" spans="1:3" ht="13" x14ac:dyDescent="0.15">
      <c r="A243" s="10"/>
      <c r="B243" s="13"/>
      <c r="C243" s="13"/>
    </row>
    <row r="244" spans="1:3" ht="13" x14ac:dyDescent="0.15">
      <c r="A244" s="10"/>
      <c r="B244" s="13"/>
      <c r="C244" s="13"/>
    </row>
    <row r="245" spans="1:3" ht="13" x14ac:dyDescent="0.15">
      <c r="A245" s="10"/>
      <c r="B245" s="13"/>
      <c r="C245" s="13"/>
    </row>
    <row r="246" spans="1:3" ht="13" x14ac:dyDescent="0.15">
      <c r="A246" s="10"/>
      <c r="B246" s="13"/>
      <c r="C246" s="13"/>
    </row>
    <row r="247" spans="1:3" ht="13" x14ac:dyDescent="0.15">
      <c r="A247" s="10"/>
      <c r="B247" s="13"/>
      <c r="C247" s="13"/>
    </row>
    <row r="248" spans="1:3" ht="13" x14ac:dyDescent="0.15">
      <c r="A248" s="10"/>
      <c r="B248" s="13"/>
      <c r="C248" s="13"/>
    </row>
    <row r="249" spans="1:3" ht="13" x14ac:dyDescent="0.15">
      <c r="A249" s="10"/>
      <c r="B249" s="13"/>
      <c r="C249" s="13"/>
    </row>
    <row r="250" spans="1:3" ht="13" x14ac:dyDescent="0.15">
      <c r="A250" s="10"/>
      <c r="B250" s="13"/>
      <c r="C250" s="13"/>
    </row>
    <row r="251" spans="1:3" ht="13" x14ac:dyDescent="0.15">
      <c r="A251" s="10"/>
      <c r="B251" s="13"/>
      <c r="C251" s="13"/>
    </row>
    <row r="252" spans="1:3" ht="13" x14ac:dyDescent="0.15">
      <c r="A252" s="10"/>
      <c r="B252" s="13"/>
      <c r="C252" s="13"/>
    </row>
    <row r="253" spans="1:3" ht="13" x14ac:dyDescent="0.15">
      <c r="A253" s="10"/>
      <c r="B253" s="13"/>
      <c r="C253" s="13"/>
    </row>
    <row r="254" spans="1:3" ht="13" x14ac:dyDescent="0.15">
      <c r="A254" s="10"/>
      <c r="B254" s="13"/>
      <c r="C254" s="13"/>
    </row>
    <row r="255" spans="1:3" ht="13" x14ac:dyDescent="0.15">
      <c r="A255" s="10"/>
      <c r="B255" s="13"/>
      <c r="C255" s="13"/>
    </row>
    <row r="256" spans="1:3" ht="13" x14ac:dyDescent="0.15">
      <c r="A256" s="10"/>
      <c r="B256" s="13"/>
      <c r="C256" s="13"/>
    </row>
    <row r="257" spans="1:3" ht="13" x14ac:dyDescent="0.15">
      <c r="A257" s="10"/>
      <c r="B257" s="13"/>
      <c r="C257" s="13"/>
    </row>
    <row r="258" spans="1:3" ht="13" x14ac:dyDescent="0.15">
      <c r="A258" s="10"/>
      <c r="B258" s="13"/>
      <c r="C258" s="13"/>
    </row>
    <row r="259" spans="1:3" ht="13" x14ac:dyDescent="0.15">
      <c r="A259" s="10"/>
      <c r="B259" s="13"/>
      <c r="C259" s="13"/>
    </row>
    <row r="260" spans="1:3" ht="13" x14ac:dyDescent="0.15">
      <c r="A260" s="10"/>
      <c r="B260" s="13"/>
      <c r="C260" s="13"/>
    </row>
    <row r="261" spans="1:3" ht="13" x14ac:dyDescent="0.15">
      <c r="A261" s="10"/>
      <c r="B261" s="13"/>
      <c r="C261" s="13"/>
    </row>
    <row r="262" spans="1:3" ht="13" x14ac:dyDescent="0.15">
      <c r="A262" s="10"/>
      <c r="B262" s="13"/>
      <c r="C262" s="13"/>
    </row>
    <row r="263" spans="1:3" ht="13" x14ac:dyDescent="0.15">
      <c r="A263" s="10"/>
      <c r="B263" s="13"/>
      <c r="C263" s="13"/>
    </row>
    <row r="264" spans="1:3" ht="13" x14ac:dyDescent="0.15">
      <c r="A264" s="10"/>
      <c r="B264" s="13"/>
      <c r="C264" s="13"/>
    </row>
    <row r="265" spans="1:3" ht="13" x14ac:dyDescent="0.15">
      <c r="A265" s="10"/>
      <c r="B265" s="13"/>
      <c r="C265" s="13"/>
    </row>
    <row r="266" spans="1:3" ht="13" x14ac:dyDescent="0.15">
      <c r="A266" s="10"/>
      <c r="B266" s="13"/>
      <c r="C266" s="13"/>
    </row>
    <row r="267" spans="1:3" ht="13" x14ac:dyDescent="0.15">
      <c r="A267" s="10"/>
      <c r="B267" s="13"/>
      <c r="C267" s="13"/>
    </row>
    <row r="268" spans="1:3" ht="13" x14ac:dyDescent="0.15">
      <c r="A268" s="10"/>
      <c r="B268" s="13"/>
      <c r="C268" s="13"/>
    </row>
    <row r="269" spans="1:3" ht="13" x14ac:dyDescent="0.15">
      <c r="A269" s="10"/>
      <c r="B269" s="13"/>
      <c r="C269" s="13"/>
    </row>
    <row r="270" spans="1:3" ht="13" x14ac:dyDescent="0.15">
      <c r="A270" s="10"/>
      <c r="B270" s="13"/>
      <c r="C270" s="13"/>
    </row>
    <row r="271" spans="1:3" ht="13" x14ac:dyDescent="0.15">
      <c r="A271" s="10"/>
      <c r="B271" s="13"/>
      <c r="C271" s="13"/>
    </row>
    <row r="272" spans="1:3" ht="13" x14ac:dyDescent="0.15">
      <c r="A272" s="10"/>
      <c r="B272" s="13"/>
      <c r="C272" s="13"/>
    </row>
    <row r="273" spans="1:3" ht="13" x14ac:dyDescent="0.15">
      <c r="A273" s="10"/>
      <c r="B273" s="13"/>
      <c r="C273" s="13"/>
    </row>
    <row r="274" spans="1:3" ht="13" x14ac:dyDescent="0.15">
      <c r="A274" s="10"/>
      <c r="B274" s="13"/>
      <c r="C274" s="13"/>
    </row>
    <row r="275" spans="1:3" ht="13" x14ac:dyDescent="0.15">
      <c r="A275" s="10"/>
      <c r="B275" s="13"/>
      <c r="C275" s="13"/>
    </row>
    <row r="276" spans="1:3" ht="13" x14ac:dyDescent="0.15">
      <c r="A276" s="10"/>
      <c r="B276" s="13"/>
      <c r="C276" s="13"/>
    </row>
    <row r="277" spans="1:3" ht="13" x14ac:dyDescent="0.15">
      <c r="A277" s="10"/>
      <c r="B277" s="13"/>
      <c r="C277" s="13"/>
    </row>
    <row r="278" spans="1:3" ht="13" x14ac:dyDescent="0.15">
      <c r="A278" s="10"/>
      <c r="B278" s="13"/>
      <c r="C278" s="13"/>
    </row>
    <row r="279" spans="1:3" ht="13" x14ac:dyDescent="0.15">
      <c r="A279" s="10"/>
      <c r="B279" s="13"/>
      <c r="C279" s="13"/>
    </row>
    <row r="280" spans="1:3" ht="13" x14ac:dyDescent="0.15">
      <c r="A280" s="10"/>
      <c r="B280" s="13"/>
      <c r="C280" s="13"/>
    </row>
    <row r="281" spans="1:3" ht="13" x14ac:dyDescent="0.15">
      <c r="A281" s="10"/>
      <c r="B281" s="13"/>
      <c r="C281" s="13"/>
    </row>
    <row r="282" spans="1:3" ht="13" x14ac:dyDescent="0.15">
      <c r="A282" s="10"/>
      <c r="B282" s="13"/>
      <c r="C282" s="13"/>
    </row>
    <row r="283" spans="1:3" ht="13" x14ac:dyDescent="0.15">
      <c r="A283" s="10"/>
      <c r="B283" s="13"/>
      <c r="C283" s="13"/>
    </row>
    <row r="284" spans="1:3" ht="13" x14ac:dyDescent="0.15">
      <c r="A284" s="10"/>
      <c r="B284" s="13"/>
      <c r="C284" s="13"/>
    </row>
    <row r="285" spans="1:3" ht="13" x14ac:dyDescent="0.15">
      <c r="A285" s="10"/>
      <c r="B285" s="13"/>
      <c r="C285" s="13"/>
    </row>
    <row r="286" spans="1:3" ht="13" x14ac:dyDescent="0.15">
      <c r="A286" s="10"/>
      <c r="B286" s="13"/>
      <c r="C286" s="13"/>
    </row>
    <row r="287" spans="1:3" ht="13" x14ac:dyDescent="0.15">
      <c r="A287" s="10"/>
      <c r="B287" s="13"/>
      <c r="C287" s="13"/>
    </row>
    <row r="288" spans="1:3" ht="13" x14ac:dyDescent="0.15">
      <c r="A288" s="10"/>
      <c r="B288" s="13"/>
      <c r="C288" s="13"/>
    </row>
    <row r="289" spans="1:3" ht="13" x14ac:dyDescent="0.15">
      <c r="A289" s="10"/>
      <c r="B289" s="13"/>
      <c r="C289" s="13"/>
    </row>
    <row r="290" spans="1:3" ht="13" x14ac:dyDescent="0.15">
      <c r="A290" s="10"/>
      <c r="B290" s="13"/>
      <c r="C290" s="13"/>
    </row>
    <row r="291" spans="1:3" ht="13" x14ac:dyDescent="0.15">
      <c r="A291" s="10"/>
      <c r="B291" s="13"/>
      <c r="C291" s="13"/>
    </row>
    <row r="292" spans="1:3" ht="13" x14ac:dyDescent="0.15">
      <c r="A292" s="10"/>
      <c r="B292" s="13"/>
      <c r="C292" s="13"/>
    </row>
    <row r="293" spans="1:3" ht="13" x14ac:dyDescent="0.15">
      <c r="A293" s="10"/>
      <c r="B293" s="13"/>
      <c r="C293" s="13"/>
    </row>
    <row r="294" spans="1:3" ht="13" x14ac:dyDescent="0.15">
      <c r="A294" s="10"/>
      <c r="B294" s="13"/>
      <c r="C294" s="13"/>
    </row>
    <row r="295" spans="1:3" ht="13" x14ac:dyDescent="0.15">
      <c r="A295" s="10"/>
      <c r="B295" s="13"/>
      <c r="C295" s="13"/>
    </row>
    <row r="296" spans="1:3" ht="13" x14ac:dyDescent="0.15">
      <c r="A296" s="10"/>
      <c r="B296" s="13"/>
      <c r="C296" s="13"/>
    </row>
    <row r="297" spans="1:3" ht="13" x14ac:dyDescent="0.15">
      <c r="A297" s="10"/>
      <c r="B297" s="13"/>
      <c r="C297" s="13"/>
    </row>
    <row r="298" spans="1:3" ht="13" x14ac:dyDescent="0.15">
      <c r="A298" s="10"/>
      <c r="B298" s="13"/>
      <c r="C298" s="13"/>
    </row>
    <row r="299" spans="1:3" ht="13" x14ac:dyDescent="0.15">
      <c r="A299" s="10"/>
      <c r="B299" s="13"/>
      <c r="C299" s="13"/>
    </row>
    <row r="300" spans="1:3" ht="13" x14ac:dyDescent="0.15">
      <c r="A300" s="10"/>
      <c r="B300" s="13"/>
      <c r="C300" s="13"/>
    </row>
    <row r="301" spans="1:3" ht="13" x14ac:dyDescent="0.15">
      <c r="A301" s="10"/>
      <c r="B301" s="13"/>
      <c r="C301" s="13"/>
    </row>
    <row r="302" spans="1:3" ht="13" x14ac:dyDescent="0.15">
      <c r="A302" s="10"/>
      <c r="B302" s="13"/>
      <c r="C302" s="13"/>
    </row>
    <row r="303" spans="1:3" ht="13" x14ac:dyDescent="0.15">
      <c r="A303" s="10"/>
      <c r="B303" s="13"/>
      <c r="C303" s="13"/>
    </row>
    <row r="304" spans="1:3" ht="13" x14ac:dyDescent="0.15">
      <c r="A304" s="10"/>
      <c r="B304" s="13"/>
      <c r="C304" s="13"/>
    </row>
    <row r="305" spans="1:3" ht="13" x14ac:dyDescent="0.15">
      <c r="A305" s="10"/>
      <c r="B305" s="13"/>
      <c r="C305" s="13"/>
    </row>
    <row r="306" spans="1:3" ht="13" x14ac:dyDescent="0.15">
      <c r="A306" s="10"/>
      <c r="B306" s="13"/>
      <c r="C306" s="13"/>
    </row>
    <row r="307" spans="1:3" ht="13" x14ac:dyDescent="0.15">
      <c r="A307" s="10"/>
      <c r="B307" s="13"/>
      <c r="C307" s="13"/>
    </row>
    <row r="308" spans="1:3" ht="13" x14ac:dyDescent="0.15">
      <c r="A308" s="10"/>
      <c r="B308" s="13"/>
      <c r="C308" s="13"/>
    </row>
    <row r="309" spans="1:3" ht="13" x14ac:dyDescent="0.15">
      <c r="A309" s="10"/>
      <c r="B309" s="13"/>
      <c r="C309" s="13"/>
    </row>
    <row r="310" spans="1:3" ht="13" x14ac:dyDescent="0.15">
      <c r="A310" s="10"/>
      <c r="B310" s="13"/>
      <c r="C310" s="13"/>
    </row>
    <row r="311" spans="1:3" ht="13" x14ac:dyDescent="0.15">
      <c r="A311" s="10"/>
      <c r="B311" s="13"/>
      <c r="C311" s="13"/>
    </row>
    <row r="312" spans="1:3" ht="13" x14ac:dyDescent="0.15">
      <c r="A312" s="10"/>
      <c r="B312" s="13"/>
      <c r="C312" s="13"/>
    </row>
    <row r="313" spans="1:3" ht="13" x14ac:dyDescent="0.15">
      <c r="A313" s="10"/>
      <c r="B313" s="13"/>
      <c r="C313" s="13"/>
    </row>
    <row r="314" spans="1:3" ht="13" x14ac:dyDescent="0.15">
      <c r="A314" s="10"/>
      <c r="B314" s="13"/>
      <c r="C314" s="13"/>
    </row>
    <row r="315" spans="1:3" ht="13" x14ac:dyDescent="0.15">
      <c r="A315" s="10"/>
      <c r="B315" s="13"/>
      <c r="C315" s="13"/>
    </row>
    <row r="316" spans="1:3" ht="13" x14ac:dyDescent="0.15">
      <c r="A316" s="10"/>
      <c r="B316" s="13"/>
      <c r="C316" s="13"/>
    </row>
    <row r="317" spans="1:3" ht="13" x14ac:dyDescent="0.15">
      <c r="A317" s="10"/>
      <c r="B317" s="13"/>
      <c r="C317" s="13"/>
    </row>
    <row r="318" spans="1:3" ht="13" x14ac:dyDescent="0.15">
      <c r="A318" s="10"/>
      <c r="B318" s="13"/>
      <c r="C318" s="13"/>
    </row>
    <row r="319" spans="1:3" ht="13" x14ac:dyDescent="0.15">
      <c r="A319" s="10"/>
      <c r="B319" s="13"/>
      <c r="C319" s="13"/>
    </row>
    <row r="320" spans="1:3" ht="13" x14ac:dyDescent="0.15">
      <c r="A320" s="10"/>
      <c r="B320" s="13"/>
      <c r="C320" s="13"/>
    </row>
    <row r="321" spans="1:3" ht="13" x14ac:dyDescent="0.15">
      <c r="A321" s="10"/>
      <c r="B321" s="13"/>
      <c r="C321" s="13"/>
    </row>
    <row r="322" spans="1:3" ht="13" x14ac:dyDescent="0.15">
      <c r="A322" s="10"/>
      <c r="B322" s="13"/>
      <c r="C322" s="13"/>
    </row>
    <row r="323" spans="1:3" ht="13" x14ac:dyDescent="0.15">
      <c r="A323" s="10"/>
      <c r="B323" s="13"/>
      <c r="C323" s="13"/>
    </row>
    <row r="324" spans="1:3" ht="13" x14ac:dyDescent="0.15">
      <c r="A324" s="10"/>
      <c r="B324" s="13"/>
      <c r="C324" s="13"/>
    </row>
    <row r="325" spans="1:3" ht="13" x14ac:dyDescent="0.15">
      <c r="A325" s="10"/>
      <c r="B325" s="13"/>
      <c r="C325" s="13"/>
    </row>
    <row r="326" spans="1:3" ht="13" x14ac:dyDescent="0.15">
      <c r="A326" s="10"/>
      <c r="B326" s="13"/>
      <c r="C326" s="13"/>
    </row>
    <row r="327" spans="1:3" ht="13" x14ac:dyDescent="0.15">
      <c r="A327" s="10"/>
      <c r="B327" s="13"/>
      <c r="C327" s="13"/>
    </row>
    <row r="328" spans="1:3" ht="13" x14ac:dyDescent="0.15">
      <c r="A328" s="10"/>
      <c r="B328" s="13"/>
      <c r="C328" s="13"/>
    </row>
    <row r="329" spans="1:3" ht="13" x14ac:dyDescent="0.15">
      <c r="A329" s="10"/>
      <c r="B329" s="13"/>
      <c r="C329" s="13"/>
    </row>
    <row r="330" spans="1:3" ht="13" x14ac:dyDescent="0.15">
      <c r="A330" s="10"/>
      <c r="B330" s="13"/>
      <c r="C330" s="13"/>
    </row>
    <row r="331" spans="1:3" ht="13" x14ac:dyDescent="0.15">
      <c r="A331" s="10"/>
      <c r="B331" s="13"/>
      <c r="C331" s="13"/>
    </row>
    <row r="332" spans="1:3" ht="13" x14ac:dyDescent="0.15">
      <c r="A332" s="10"/>
      <c r="B332" s="13"/>
      <c r="C332" s="13"/>
    </row>
    <row r="333" spans="1:3" ht="13" x14ac:dyDescent="0.15">
      <c r="A333" s="10"/>
      <c r="B333" s="13"/>
      <c r="C333" s="13"/>
    </row>
    <row r="334" spans="1:3" ht="13" x14ac:dyDescent="0.15">
      <c r="A334" s="10"/>
      <c r="B334" s="13"/>
      <c r="C334" s="13"/>
    </row>
    <row r="335" spans="1:3" ht="13" x14ac:dyDescent="0.15">
      <c r="A335" s="10"/>
      <c r="B335" s="13"/>
      <c r="C335" s="13"/>
    </row>
    <row r="336" spans="1:3" ht="13" x14ac:dyDescent="0.15">
      <c r="A336" s="10"/>
      <c r="B336" s="13"/>
      <c r="C336" s="13"/>
    </row>
    <row r="337" spans="1:3" ht="13" x14ac:dyDescent="0.15">
      <c r="A337" s="10"/>
      <c r="B337" s="13"/>
      <c r="C337" s="13"/>
    </row>
    <row r="338" spans="1:3" ht="13" x14ac:dyDescent="0.15">
      <c r="A338" s="10"/>
      <c r="B338" s="13"/>
      <c r="C338" s="13"/>
    </row>
    <row r="339" spans="1:3" ht="13" x14ac:dyDescent="0.15">
      <c r="A339" s="10"/>
      <c r="B339" s="13"/>
      <c r="C339" s="13"/>
    </row>
    <row r="340" spans="1:3" ht="13" x14ac:dyDescent="0.15">
      <c r="A340" s="10"/>
      <c r="B340" s="13"/>
      <c r="C340" s="13"/>
    </row>
    <row r="341" spans="1:3" ht="13" x14ac:dyDescent="0.15">
      <c r="A341" s="10"/>
      <c r="B341" s="13"/>
      <c r="C341" s="13"/>
    </row>
    <row r="342" spans="1:3" ht="13" x14ac:dyDescent="0.15">
      <c r="A342" s="10"/>
      <c r="B342" s="13"/>
      <c r="C342" s="13"/>
    </row>
    <row r="343" spans="1:3" ht="13" x14ac:dyDescent="0.15">
      <c r="A343" s="10"/>
      <c r="B343" s="13"/>
      <c r="C343" s="13"/>
    </row>
    <row r="344" spans="1:3" ht="13" x14ac:dyDescent="0.15">
      <c r="A344" s="10"/>
      <c r="B344" s="13"/>
      <c r="C344" s="13"/>
    </row>
    <row r="345" spans="1:3" ht="13" x14ac:dyDescent="0.15">
      <c r="A345" s="10"/>
      <c r="B345" s="13"/>
      <c r="C345" s="13"/>
    </row>
    <row r="346" spans="1:3" ht="13" x14ac:dyDescent="0.15">
      <c r="A346" s="10"/>
      <c r="B346" s="13"/>
      <c r="C346" s="13"/>
    </row>
    <row r="347" spans="1:3" ht="13" x14ac:dyDescent="0.15">
      <c r="A347" s="10"/>
      <c r="B347" s="13"/>
      <c r="C347" s="13"/>
    </row>
    <row r="348" spans="1:3" ht="13" x14ac:dyDescent="0.15">
      <c r="A348" s="10"/>
      <c r="B348" s="13"/>
      <c r="C348" s="13"/>
    </row>
    <row r="349" spans="1:3" ht="13" x14ac:dyDescent="0.15">
      <c r="A349" s="10"/>
      <c r="B349" s="13"/>
      <c r="C349" s="13"/>
    </row>
    <row r="350" spans="1:3" ht="13" x14ac:dyDescent="0.15">
      <c r="A350" s="10"/>
      <c r="B350" s="13"/>
      <c r="C350" s="13"/>
    </row>
    <row r="351" spans="1:3" ht="13" x14ac:dyDescent="0.15">
      <c r="A351" s="10"/>
      <c r="B351" s="13"/>
      <c r="C351" s="13"/>
    </row>
    <row r="352" spans="1:3" ht="13" x14ac:dyDescent="0.15">
      <c r="A352" s="10"/>
      <c r="B352" s="13"/>
      <c r="C352" s="13"/>
    </row>
    <row r="353" spans="1:3" ht="13" x14ac:dyDescent="0.15">
      <c r="A353" s="10"/>
      <c r="B353" s="13"/>
      <c r="C353" s="13"/>
    </row>
    <row r="354" spans="1:3" ht="13" x14ac:dyDescent="0.15">
      <c r="A354" s="10"/>
      <c r="B354" s="13"/>
      <c r="C354" s="13"/>
    </row>
    <row r="355" spans="1:3" ht="13" x14ac:dyDescent="0.15">
      <c r="A355" s="10"/>
      <c r="B355" s="13"/>
      <c r="C355" s="13"/>
    </row>
    <row r="356" spans="1:3" ht="13" x14ac:dyDescent="0.15">
      <c r="A356" s="10"/>
      <c r="B356" s="13"/>
      <c r="C356" s="13"/>
    </row>
    <row r="357" spans="1:3" ht="13" x14ac:dyDescent="0.15">
      <c r="A357" s="10"/>
      <c r="B357" s="13"/>
      <c r="C357" s="13"/>
    </row>
    <row r="358" spans="1:3" ht="13" x14ac:dyDescent="0.15">
      <c r="A358" s="10"/>
      <c r="B358" s="13"/>
      <c r="C358" s="13"/>
    </row>
    <row r="359" spans="1:3" ht="13" x14ac:dyDescent="0.15">
      <c r="A359" s="10"/>
      <c r="B359" s="13"/>
      <c r="C359" s="13"/>
    </row>
    <row r="360" spans="1:3" ht="13" x14ac:dyDescent="0.15">
      <c r="A360" s="10"/>
      <c r="B360" s="13"/>
      <c r="C360" s="13"/>
    </row>
    <row r="361" spans="1:3" ht="13" x14ac:dyDescent="0.15">
      <c r="A361" s="10"/>
      <c r="B361" s="13"/>
      <c r="C361" s="13"/>
    </row>
    <row r="362" spans="1:3" ht="13" x14ac:dyDescent="0.15">
      <c r="A362" s="10"/>
      <c r="B362" s="13"/>
      <c r="C362" s="13"/>
    </row>
    <row r="363" spans="1:3" ht="13" x14ac:dyDescent="0.15">
      <c r="A363" s="10"/>
      <c r="B363" s="13"/>
      <c r="C363" s="13"/>
    </row>
    <row r="364" spans="1:3" ht="13" x14ac:dyDescent="0.15">
      <c r="A364" s="10"/>
      <c r="B364" s="13"/>
      <c r="C364" s="13"/>
    </row>
    <row r="365" spans="1:3" ht="13" x14ac:dyDescent="0.15">
      <c r="A365" s="10"/>
      <c r="B365" s="13"/>
      <c r="C365" s="13"/>
    </row>
    <row r="366" spans="1:3" ht="13" x14ac:dyDescent="0.15">
      <c r="A366" s="10"/>
      <c r="B366" s="13"/>
      <c r="C366" s="13"/>
    </row>
    <row r="367" spans="1:3" ht="13" x14ac:dyDescent="0.15">
      <c r="A367" s="10"/>
      <c r="B367" s="13"/>
      <c r="C367" s="13"/>
    </row>
    <row r="368" spans="1:3" ht="13" x14ac:dyDescent="0.15">
      <c r="A368" s="10"/>
      <c r="B368" s="13"/>
      <c r="C368" s="13"/>
    </row>
    <row r="369" spans="1:3" ht="13" x14ac:dyDescent="0.15">
      <c r="A369" s="10"/>
      <c r="B369" s="13"/>
      <c r="C369" s="13"/>
    </row>
    <row r="370" spans="1:3" ht="13" x14ac:dyDescent="0.15">
      <c r="A370" s="10"/>
      <c r="B370" s="13"/>
      <c r="C370" s="13"/>
    </row>
    <row r="371" spans="1:3" ht="13" x14ac:dyDescent="0.15">
      <c r="A371" s="10"/>
      <c r="B371" s="13"/>
      <c r="C371" s="13"/>
    </row>
    <row r="372" spans="1:3" ht="13" x14ac:dyDescent="0.15">
      <c r="A372" s="10"/>
      <c r="B372" s="13"/>
      <c r="C372" s="13"/>
    </row>
    <row r="373" spans="1:3" ht="13" x14ac:dyDescent="0.15">
      <c r="A373" s="10"/>
      <c r="B373" s="13"/>
      <c r="C373" s="13"/>
    </row>
    <row r="374" spans="1:3" ht="13" x14ac:dyDescent="0.15">
      <c r="A374" s="10"/>
      <c r="B374" s="13"/>
      <c r="C374" s="13"/>
    </row>
    <row r="375" spans="1:3" ht="13" x14ac:dyDescent="0.15">
      <c r="A375" s="10"/>
      <c r="B375" s="13"/>
      <c r="C375" s="13"/>
    </row>
    <row r="376" spans="1:3" ht="13" x14ac:dyDescent="0.15">
      <c r="A376" s="10"/>
      <c r="B376" s="13"/>
      <c r="C376" s="13"/>
    </row>
    <row r="377" spans="1:3" ht="13" x14ac:dyDescent="0.15">
      <c r="A377" s="10"/>
      <c r="B377" s="13"/>
      <c r="C377" s="13"/>
    </row>
    <row r="378" spans="1:3" ht="13" x14ac:dyDescent="0.15">
      <c r="A378" s="10"/>
      <c r="B378" s="13"/>
      <c r="C378" s="13"/>
    </row>
    <row r="379" spans="1:3" ht="13" x14ac:dyDescent="0.15">
      <c r="A379" s="10"/>
      <c r="B379" s="13"/>
      <c r="C379" s="13"/>
    </row>
    <row r="380" spans="1:3" ht="13" x14ac:dyDescent="0.15">
      <c r="A380" s="10"/>
      <c r="B380" s="13"/>
      <c r="C380" s="13"/>
    </row>
    <row r="381" spans="1:3" ht="13" x14ac:dyDescent="0.15">
      <c r="A381" s="10"/>
      <c r="B381" s="13"/>
      <c r="C381" s="13"/>
    </row>
    <row r="382" spans="1:3" ht="13" x14ac:dyDescent="0.15">
      <c r="A382" s="10"/>
      <c r="B382" s="13"/>
      <c r="C382" s="13"/>
    </row>
    <row r="383" spans="1:3" ht="13" x14ac:dyDescent="0.15">
      <c r="A383" s="10"/>
      <c r="B383" s="13"/>
      <c r="C383" s="13"/>
    </row>
    <row r="384" spans="1:3" ht="13" x14ac:dyDescent="0.15">
      <c r="A384" s="10"/>
      <c r="B384" s="13"/>
      <c r="C384" s="13"/>
    </row>
    <row r="385" spans="1:3" ht="13" x14ac:dyDescent="0.15">
      <c r="A385" s="10"/>
      <c r="B385" s="13"/>
      <c r="C385" s="13"/>
    </row>
    <row r="386" spans="1:3" ht="13" x14ac:dyDescent="0.15">
      <c r="A386" s="10"/>
      <c r="B386" s="13"/>
      <c r="C386" s="13"/>
    </row>
    <row r="387" spans="1:3" ht="13" x14ac:dyDescent="0.15">
      <c r="A387" s="10"/>
      <c r="B387" s="13"/>
      <c r="C387" s="13"/>
    </row>
    <row r="388" spans="1:3" ht="13" x14ac:dyDescent="0.15">
      <c r="A388" s="10"/>
      <c r="B388" s="13"/>
      <c r="C388" s="13"/>
    </row>
    <row r="389" spans="1:3" ht="13" x14ac:dyDescent="0.15">
      <c r="A389" s="10"/>
      <c r="B389" s="13"/>
      <c r="C389" s="13"/>
    </row>
    <row r="390" spans="1:3" ht="13" x14ac:dyDescent="0.15">
      <c r="A390" s="10"/>
      <c r="B390" s="13"/>
      <c r="C390" s="13"/>
    </row>
    <row r="391" spans="1:3" ht="13" x14ac:dyDescent="0.15">
      <c r="A391" s="10"/>
      <c r="B391" s="13"/>
      <c r="C391" s="13"/>
    </row>
    <row r="392" spans="1:3" ht="13" x14ac:dyDescent="0.15">
      <c r="A392" s="10"/>
      <c r="B392" s="13"/>
      <c r="C392" s="13"/>
    </row>
    <row r="393" spans="1:3" ht="13" x14ac:dyDescent="0.15">
      <c r="A393" s="10"/>
      <c r="B393" s="13"/>
      <c r="C393" s="13"/>
    </row>
    <row r="394" spans="1:3" ht="13" x14ac:dyDescent="0.15">
      <c r="A394" s="10"/>
      <c r="B394" s="13"/>
      <c r="C394" s="13"/>
    </row>
    <row r="395" spans="1:3" ht="13" x14ac:dyDescent="0.15">
      <c r="A395" s="10"/>
      <c r="B395" s="13"/>
      <c r="C395" s="13"/>
    </row>
    <row r="396" spans="1:3" ht="13" x14ac:dyDescent="0.15">
      <c r="A396" s="10"/>
      <c r="B396" s="13"/>
      <c r="C396" s="13"/>
    </row>
    <row r="397" spans="1:3" ht="13" x14ac:dyDescent="0.15">
      <c r="A397" s="10"/>
      <c r="B397" s="13"/>
      <c r="C397" s="13"/>
    </row>
    <row r="398" spans="1:3" ht="13" x14ac:dyDescent="0.15">
      <c r="A398" s="10"/>
      <c r="B398" s="13"/>
      <c r="C398" s="13"/>
    </row>
    <row r="399" spans="1:3" ht="13" x14ac:dyDescent="0.15">
      <c r="A399" s="10"/>
      <c r="B399" s="13"/>
      <c r="C399" s="13"/>
    </row>
    <row r="400" spans="1:3" ht="13" x14ac:dyDescent="0.15">
      <c r="A400" s="10"/>
      <c r="B400" s="13"/>
      <c r="C400" s="13"/>
    </row>
    <row r="401" spans="1:3" ht="13" x14ac:dyDescent="0.15">
      <c r="A401" s="10"/>
      <c r="B401" s="13"/>
      <c r="C401" s="13"/>
    </row>
    <row r="402" spans="1:3" ht="13" x14ac:dyDescent="0.15">
      <c r="A402" s="10"/>
      <c r="B402" s="13"/>
      <c r="C402" s="13"/>
    </row>
    <row r="403" spans="1:3" ht="13" x14ac:dyDescent="0.15">
      <c r="A403" s="10"/>
      <c r="B403" s="13"/>
      <c r="C403" s="13"/>
    </row>
    <row r="404" spans="1:3" ht="13" x14ac:dyDescent="0.15">
      <c r="A404" s="10"/>
      <c r="B404" s="13"/>
      <c r="C404" s="13"/>
    </row>
    <row r="405" spans="1:3" ht="13" x14ac:dyDescent="0.15">
      <c r="A405" s="10"/>
      <c r="B405" s="13"/>
      <c r="C405" s="13"/>
    </row>
    <row r="406" spans="1:3" ht="13" x14ac:dyDescent="0.15">
      <c r="A406" s="10"/>
      <c r="B406" s="13"/>
      <c r="C406" s="13"/>
    </row>
    <row r="407" spans="1:3" ht="13" x14ac:dyDescent="0.15">
      <c r="A407" s="10"/>
      <c r="B407" s="13"/>
      <c r="C407" s="13"/>
    </row>
    <row r="408" spans="1:3" ht="13" x14ac:dyDescent="0.15">
      <c r="A408" s="10"/>
      <c r="B408" s="13"/>
      <c r="C408" s="13"/>
    </row>
    <row r="409" spans="1:3" ht="13" x14ac:dyDescent="0.15">
      <c r="A409" s="10"/>
      <c r="B409" s="13"/>
      <c r="C409" s="13"/>
    </row>
    <row r="410" spans="1:3" ht="13" x14ac:dyDescent="0.15">
      <c r="A410" s="10"/>
      <c r="B410" s="13"/>
      <c r="C410" s="13"/>
    </row>
    <row r="411" spans="1:3" ht="13" x14ac:dyDescent="0.15">
      <c r="A411" s="10"/>
      <c r="B411" s="13"/>
      <c r="C411" s="13"/>
    </row>
    <row r="412" spans="1:3" ht="13" x14ac:dyDescent="0.15">
      <c r="A412" s="10"/>
      <c r="B412" s="13"/>
      <c r="C412" s="13"/>
    </row>
    <row r="413" spans="1:3" ht="13" x14ac:dyDescent="0.15">
      <c r="A413" s="10"/>
      <c r="B413" s="13"/>
      <c r="C413" s="13"/>
    </row>
    <row r="414" spans="1:3" ht="13" x14ac:dyDescent="0.15">
      <c r="A414" s="10"/>
      <c r="B414" s="13"/>
      <c r="C414" s="13"/>
    </row>
    <row r="415" spans="1:3" ht="13" x14ac:dyDescent="0.15">
      <c r="A415" s="10"/>
      <c r="B415" s="13"/>
      <c r="C415" s="13"/>
    </row>
    <row r="416" spans="1:3" ht="13" x14ac:dyDescent="0.15">
      <c r="A416" s="10"/>
      <c r="B416" s="13"/>
      <c r="C416" s="13"/>
    </row>
    <row r="417" spans="1:3" ht="13" x14ac:dyDescent="0.15">
      <c r="A417" s="10"/>
      <c r="B417" s="13"/>
      <c r="C417" s="13"/>
    </row>
    <row r="418" spans="1:3" ht="13" x14ac:dyDescent="0.15">
      <c r="A418" s="10"/>
      <c r="B418" s="13"/>
      <c r="C418" s="13"/>
    </row>
    <row r="419" spans="1:3" ht="13" x14ac:dyDescent="0.15">
      <c r="A419" s="10"/>
      <c r="B419" s="13"/>
      <c r="C419" s="13"/>
    </row>
    <row r="420" spans="1:3" ht="13" x14ac:dyDescent="0.15">
      <c r="A420" s="10"/>
      <c r="B420" s="13"/>
      <c r="C420" s="13"/>
    </row>
    <row r="421" spans="1:3" ht="13" x14ac:dyDescent="0.15">
      <c r="A421" s="10"/>
      <c r="B421" s="13"/>
      <c r="C421" s="13"/>
    </row>
    <row r="422" spans="1:3" ht="13" x14ac:dyDescent="0.15">
      <c r="A422" s="10"/>
      <c r="B422" s="13"/>
      <c r="C422" s="13"/>
    </row>
    <row r="423" spans="1:3" ht="13" x14ac:dyDescent="0.15">
      <c r="A423" s="10"/>
      <c r="B423" s="13"/>
      <c r="C423" s="13"/>
    </row>
    <row r="424" spans="1:3" ht="13" x14ac:dyDescent="0.15">
      <c r="A424" s="10"/>
      <c r="B424" s="13"/>
      <c r="C424" s="13"/>
    </row>
    <row r="425" spans="1:3" ht="13" x14ac:dyDescent="0.15">
      <c r="A425" s="10"/>
      <c r="B425" s="13"/>
      <c r="C425" s="13"/>
    </row>
    <row r="426" spans="1:3" ht="13" x14ac:dyDescent="0.15">
      <c r="A426" s="10"/>
      <c r="B426" s="13"/>
      <c r="C426" s="13"/>
    </row>
    <row r="427" spans="1:3" ht="13" x14ac:dyDescent="0.15">
      <c r="A427" s="10"/>
      <c r="B427" s="13"/>
      <c r="C427" s="13"/>
    </row>
    <row r="428" spans="1:3" ht="13" x14ac:dyDescent="0.15">
      <c r="A428" s="10"/>
      <c r="B428" s="13"/>
      <c r="C428" s="13"/>
    </row>
    <row r="429" spans="1:3" ht="13" x14ac:dyDescent="0.15">
      <c r="A429" s="10"/>
      <c r="B429" s="13"/>
      <c r="C429" s="13"/>
    </row>
    <row r="430" spans="1:3" ht="13" x14ac:dyDescent="0.15">
      <c r="A430" s="10"/>
      <c r="B430" s="13"/>
      <c r="C430" s="13"/>
    </row>
    <row r="431" spans="1:3" ht="13" x14ac:dyDescent="0.15">
      <c r="A431" s="10"/>
      <c r="B431" s="13"/>
      <c r="C431" s="13"/>
    </row>
    <row r="432" spans="1:3" ht="13" x14ac:dyDescent="0.15">
      <c r="A432" s="10"/>
      <c r="B432" s="13"/>
      <c r="C432" s="13"/>
    </row>
    <row r="433" spans="1:3" ht="13" x14ac:dyDescent="0.15">
      <c r="A433" s="10"/>
      <c r="B433" s="13"/>
      <c r="C433" s="13"/>
    </row>
    <row r="434" spans="1:3" ht="13" x14ac:dyDescent="0.15">
      <c r="A434" s="10"/>
      <c r="B434" s="13"/>
      <c r="C434" s="13"/>
    </row>
    <row r="435" spans="1:3" ht="13" x14ac:dyDescent="0.15">
      <c r="A435" s="10"/>
      <c r="B435" s="13"/>
      <c r="C435" s="13"/>
    </row>
    <row r="436" spans="1:3" ht="13" x14ac:dyDescent="0.15">
      <c r="A436" s="10"/>
      <c r="B436" s="13"/>
      <c r="C436" s="13"/>
    </row>
    <row r="437" spans="1:3" ht="13" x14ac:dyDescent="0.15">
      <c r="A437" s="10"/>
      <c r="B437" s="13"/>
      <c r="C437" s="13"/>
    </row>
    <row r="438" spans="1:3" ht="13" x14ac:dyDescent="0.15">
      <c r="A438" s="10"/>
      <c r="B438" s="13"/>
      <c r="C438" s="13"/>
    </row>
    <row r="439" spans="1:3" ht="13" x14ac:dyDescent="0.15">
      <c r="A439" s="10"/>
      <c r="B439" s="13"/>
      <c r="C439" s="13"/>
    </row>
    <row r="440" spans="1:3" ht="13" x14ac:dyDescent="0.15">
      <c r="A440" s="10"/>
      <c r="B440" s="13"/>
      <c r="C440" s="13"/>
    </row>
    <row r="441" spans="1:3" ht="13" x14ac:dyDescent="0.15">
      <c r="A441" s="10"/>
      <c r="B441" s="13"/>
      <c r="C441" s="13"/>
    </row>
    <row r="442" spans="1:3" ht="13" x14ac:dyDescent="0.15">
      <c r="A442" s="10"/>
      <c r="B442" s="13"/>
      <c r="C442" s="13"/>
    </row>
    <row r="443" spans="1:3" ht="13" x14ac:dyDescent="0.15">
      <c r="A443" s="10"/>
      <c r="B443" s="13"/>
      <c r="C443" s="13"/>
    </row>
    <row r="444" spans="1:3" ht="13" x14ac:dyDescent="0.15">
      <c r="A444" s="10"/>
      <c r="B444" s="13"/>
      <c r="C444" s="13"/>
    </row>
    <row r="445" spans="1:3" ht="13" x14ac:dyDescent="0.15">
      <c r="A445" s="10"/>
      <c r="B445" s="13"/>
      <c r="C445" s="13"/>
    </row>
    <row r="446" spans="1:3" ht="13" x14ac:dyDescent="0.15">
      <c r="A446" s="10"/>
      <c r="B446" s="13"/>
      <c r="C446" s="13"/>
    </row>
    <row r="447" spans="1:3" ht="13" x14ac:dyDescent="0.15">
      <c r="A447" s="10"/>
      <c r="B447" s="13"/>
      <c r="C447" s="13"/>
    </row>
    <row r="448" spans="1:3" ht="13" x14ac:dyDescent="0.15">
      <c r="A448" s="10"/>
      <c r="B448" s="13"/>
      <c r="C448" s="13"/>
    </row>
    <row r="449" spans="1:3" ht="13" x14ac:dyDescent="0.15">
      <c r="A449" s="10"/>
      <c r="B449" s="13"/>
      <c r="C449" s="13"/>
    </row>
    <row r="450" spans="1:3" ht="13" x14ac:dyDescent="0.15">
      <c r="A450" s="10"/>
      <c r="B450" s="13"/>
      <c r="C450" s="13"/>
    </row>
    <row r="451" spans="1:3" ht="13" x14ac:dyDescent="0.15">
      <c r="A451" s="10"/>
      <c r="B451" s="13"/>
      <c r="C451" s="13"/>
    </row>
    <row r="452" spans="1:3" ht="13" x14ac:dyDescent="0.15">
      <c r="A452" s="10"/>
      <c r="B452" s="13"/>
      <c r="C452" s="13"/>
    </row>
    <row r="453" spans="1:3" ht="13" x14ac:dyDescent="0.15">
      <c r="A453" s="10"/>
      <c r="B453" s="13"/>
      <c r="C453" s="13"/>
    </row>
    <row r="454" spans="1:3" ht="13" x14ac:dyDescent="0.15">
      <c r="A454" s="10"/>
      <c r="B454" s="13"/>
      <c r="C454" s="13"/>
    </row>
    <row r="455" spans="1:3" ht="13" x14ac:dyDescent="0.15">
      <c r="A455" s="10"/>
      <c r="B455" s="13"/>
      <c r="C455" s="13"/>
    </row>
    <row r="456" spans="1:3" ht="13" x14ac:dyDescent="0.15">
      <c r="A456" s="10"/>
      <c r="B456" s="13"/>
      <c r="C456" s="13"/>
    </row>
    <row r="457" spans="1:3" ht="13" x14ac:dyDescent="0.15">
      <c r="A457" s="10"/>
      <c r="B457" s="13"/>
      <c r="C457" s="13"/>
    </row>
    <row r="458" spans="1:3" ht="13" x14ac:dyDescent="0.15">
      <c r="A458" s="10"/>
      <c r="B458" s="13"/>
      <c r="C458" s="13"/>
    </row>
    <row r="459" spans="1:3" ht="13" x14ac:dyDescent="0.15">
      <c r="A459" s="10"/>
      <c r="B459" s="13"/>
      <c r="C459" s="13"/>
    </row>
    <row r="460" spans="1:3" ht="13" x14ac:dyDescent="0.15">
      <c r="A460" s="10"/>
      <c r="B460" s="13"/>
      <c r="C460" s="13"/>
    </row>
    <row r="461" spans="1:3" ht="13" x14ac:dyDescent="0.15">
      <c r="A461" s="10"/>
      <c r="B461" s="13"/>
      <c r="C461" s="13"/>
    </row>
    <row r="462" spans="1:3" ht="13" x14ac:dyDescent="0.15">
      <c r="A462" s="10"/>
      <c r="B462" s="13"/>
      <c r="C462" s="13"/>
    </row>
    <row r="463" spans="1:3" ht="13" x14ac:dyDescent="0.15">
      <c r="A463" s="10"/>
      <c r="B463" s="13"/>
      <c r="C463" s="13"/>
    </row>
    <row r="464" spans="1:3" ht="13" x14ac:dyDescent="0.15">
      <c r="A464" s="10"/>
      <c r="B464" s="13"/>
      <c r="C464" s="13"/>
    </row>
    <row r="465" spans="1:3" ht="13" x14ac:dyDescent="0.15">
      <c r="A465" s="10"/>
      <c r="B465" s="13"/>
      <c r="C465" s="13"/>
    </row>
    <row r="466" spans="1:3" ht="13" x14ac:dyDescent="0.15">
      <c r="A466" s="10"/>
      <c r="B466" s="13"/>
      <c r="C466" s="13"/>
    </row>
    <row r="467" spans="1:3" ht="13" x14ac:dyDescent="0.15">
      <c r="A467" s="10"/>
      <c r="B467" s="13"/>
      <c r="C467" s="13"/>
    </row>
    <row r="468" spans="1:3" ht="13" x14ac:dyDescent="0.15">
      <c r="A468" s="10"/>
      <c r="B468" s="13"/>
      <c r="C468" s="13"/>
    </row>
    <row r="469" spans="1:3" ht="13" x14ac:dyDescent="0.15">
      <c r="A469" s="10"/>
      <c r="B469" s="13"/>
      <c r="C469" s="13"/>
    </row>
    <row r="470" spans="1:3" ht="13" x14ac:dyDescent="0.15">
      <c r="A470" s="10"/>
      <c r="B470" s="13"/>
      <c r="C470" s="13"/>
    </row>
    <row r="471" spans="1:3" ht="13" x14ac:dyDescent="0.15">
      <c r="A471" s="10"/>
      <c r="B471" s="13"/>
      <c r="C471" s="13"/>
    </row>
    <row r="472" spans="1:3" ht="13" x14ac:dyDescent="0.15">
      <c r="A472" s="10"/>
      <c r="B472" s="13"/>
      <c r="C472" s="13"/>
    </row>
    <row r="473" spans="1:3" ht="13" x14ac:dyDescent="0.15">
      <c r="A473" s="10"/>
      <c r="B473" s="13"/>
      <c r="C473" s="13"/>
    </row>
    <row r="474" spans="1:3" ht="13" x14ac:dyDescent="0.15">
      <c r="A474" s="10"/>
      <c r="B474" s="13"/>
      <c r="C474" s="13"/>
    </row>
    <row r="475" spans="1:3" ht="13" x14ac:dyDescent="0.15">
      <c r="A475" s="10"/>
      <c r="B475" s="13"/>
      <c r="C475" s="13"/>
    </row>
    <row r="476" spans="1:3" ht="13" x14ac:dyDescent="0.15">
      <c r="A476" s="10"/>
      <c r="B476" s="13"/>
      <c r="C476" s="13"/>
    </row>
    <row r="477" spans="1:3" ht="13" x14ac:dyDescent="0.15">
      <c r="A477" s="10"/>
      <c r="B477" s="13"/>
      <c r="C477" s="13"/>
    </row>
    <row r="478" spans="1:3" ht="13" x14ac:dyDescent="0.15">
      <c r="A478" s="10"/>
      <c r="B478" s="13"/>
      <c r="C478" s="13"/>
    </row>
    <row r="479" spans="1:3" ht="13" x14ac:dyDescent="0.15">
      <c r="A479" s="10"/>
      <c r="B479" s="13"/>
      <c r="C479" s="13"/>
    </row>
    <row r="480" spans="1:3" ht="13" x14ac:dyDescent="0.15">
      <c r="A480" s="10"/>
      <c r="B480" s="13"/>
      <c r="C480" s="13"/>
    </row>
    <row r="481" spans="1:3" ht="13" x14ac:dyDescent="0.15">
      <c r="A481" s="10"/>
      <c r="B481" s="13"/>
      <c r="C481" s="13"/>
    </row>
    <row r="482" spans="1:3" ht="13" x14ac:dyDescent="0.15">
      <c r="A482" s="10"/>
      <c r="B482" s="13"/>
      <c r="C482" s="13"/>
    </row>
    <row r="483" spans="1:3" ht="13" x14ac:dyDescent="0.15">
      <c r="A483" s="10"/>
      <c r="B483" s="13"/>
      <c r="C483" s="13"/>
    </row>
    <row r="484" spans="1:3" ht="13" x14ac:dyDescent="0.15">
      <c r="A484" s="10"/>
      <c r="B484" s="13"/>
      <c r="C484" s="13"/>
    </row>
    <row r="485" spans="1:3" ht="13" x14ac:dyDescent="0.15">
      <c r="A485" s="10"/>
      <c r="B485" s="13"/>
      <c r="C485" s="13"/>
    </row>
    <row r="486" spans="1:3" ht="13" x14ac:dyDescent="0.15">
      <c r="A486" s="10"/>
      <c r="B486" s="13"/>
      <c r="C486" s="13"/>
    </row>
    <row r="487" spans="1:3" ht="13" x14ac:dyDescent="0.15">
      <c r="A487" s="10"/>
      <c r="B487" s="13"/>
      <c r="C487" s="13"/>
    </row>
    <row r="488" spans="1:3" ht="13" x14ac:dyDescent="0.15">
      <c r="A488" s="10"/>
      <c r="B488" s="13"/>
      <c r="C488" s="13"/>
    </row>
    <row r="489" spans="1:3" ht="13" x14ac:dyDescent="0.15">
      <c r="A489" s="10"/>
      <c r="B489" s="13"/>
      <c r="C489" s="13"/>
    </row>
    <row r="490" spans="1:3" ht="13" x14ac:dyDescent="0.15">
      <c r="A490" s="10"/>
      <c r="B490" s="13"/>
      <c r="C490" s="13"/>
    </row>
    <row r="491" spans="1:3" ht="13" x14ac:dyDescent="0.15">
      <c r="A491" s="10"/>
      <c r="B491" s="13"/>
      <c r="C491" s="13"/>
    </row>
    <row r="492" spans="1:3" ht="13" x14ac:dyDescent="0.15">
      <c r="A492" s="10"/>
      <c r="B492" s="13"/>
      <c r="C492" s="13"/>
    </row>
    <row r="493" spans="1:3" ht="13" x14ac:dyDescent="0.15">
      <c r="A493" s="10"/>
      <c r="B493" s="13"/>
      <c r="C493" s="13"/>
    </row>
    <row r="494" spans="1:3" ht="13" x14ac:dyDescent="0.15">
      <c r="A494" s="10"/>
      <c r="B494" s="13"/>
      <c r="C494" s="13"/>
    </row>
    <row r="495" spans="1:3" ht="13" x14ac:dyDescent="0.15">
      <c r="A495" s="10"/>
      <c r="B495" s="13"/>
      <c r="C495" s="13"/>
    </row>
    <row r="496" spans="1:3" ht="13" x14ac:dyDescent="0.15">
      <c r="A496" s="10"/>
      <c r="B496" s="13"/>
      <c r="C496" s="13"/>
    </row>
    <row r="497" spans="1:3" ht="13" x14ac:dyDescent="0.15">
      <c r="A497" s="10"/>
      <c r="B497" s="13"/>
      <c r="C497" s="13"/>
    </row>
    <row r="498" spans="1:3" ht="13" x14ac:dyDescent="0.15">
      <c r="A498" s="10"/>
      <c r="B498" s="13"/>
      <c r="C498" s="13"/>
    </row>
    <row r="499" spans="1:3" ht="13" x14ac:dyDescent="0.15">
      <c r="A499" s="10"/>
      <c r="B499" s="13"/>
      <c r="C499" s="13"/>
    </row>
    <row r="500" spans="1:3" ht="13" x14ac:dyDescent="0.15">
      <c r="A500" s="10"/>
      <c r="B500" s="13"/>
      <c r="C500" s="13"/>
    </row>
    <row r="501" spans="1:3" ht="13" x14ac:dyDescent="0.15">
      <c r="A501" s="10"/>
      <c r="B501" s="13"/>
      <c r="C501" s="13"/>
    </row>
    <row r="502" spans="1:3" ht="13" x14ac:dyDescent="0.15">
      <c r="A502" s="10"/>
      <c r="B502" s="13"/>
      <c r="C502" s="13"/>
    </row>
    <row r="503" spans="1:3" ht="13" x14ac:dyDescent="0.15">
      <c r="A503" s="10"/>
      <c r="B503" s="13"/>
      <c r="C503" s="13"/>
    </row>
    <row r="504" spans="1:3" ht="13" x14ac:dyDescent="0.15">
      <c r="A504" s="10"/>
      <c r="B504" s="13"/>
      <c r="C504" s="13"/>
    </row>
    <row r="505" spans="1:3" ht="13" x14ac:dyDescent="0.15">
      <c r="A505" s="10"/>
      <c r="B505" s="13"/>
      <c r="C505" s="13"/>
    </row>
    <row r="506" spans="1:3" ht="13" x14ac:dyDescent="0.15">
      <c r="A506" s="10"/>
      <c r="B506" s="13"/>
      <c r="C506" s="13"/>
    </row>
    <row r="507" spans="1:3" ht="13" x14ac:dyDescent="0.15">
      <c r="A507" s="10"/>
      <c r="B507" s="13"/>
      <c r="C507" s="13"/>
    </row>
    <row r="508" spans="1:3" ht="13" x14ac:dyDescent="0.15">
      <c r="A508" s="10"/>
      <c r="B508" s="13"/>
      <c r="C508" s="13"/>
    </row>
    <row r="509" spans="1:3" ht="13" x14ac:dyDescent="0.15">
      <c r="A509" s="10"/>
      <c r="B509" s="13"/>
      <c r="C509" s="13"/>
    </row>
    <row r="510" spans="1:3" ht="13" x14ac:dyDescent="0.15">
      <c r="A510" s="10"/>
      <c r="B510" s="13"/>
      <c r="C510" s="13"/>
    </row>
    <row r="511" spans="1:3" ht="13" x14ac:dyDescent="0.15">
      <c r="A511" s="10"/>
      <c r="B511" s="13"/>
      <c r="C511" s="13"/>
    </row>
    <row r="512" spans="1:3" ht="13" x14ac:dyDescent="0.15">
      <c r="A512" s="10"/>
      <c r="B512" s="13"/>
      <c r="C512" s="13"/>
    </row>
    <row r="513" spans="1:3" ht="13" x14ac:dyDescent="0.15">
      <c r="A513" s="10"/>
      <c r="B513" s="13"/>
      <c r="C513" s="13"/>
    </row>
    <row r="514" spans="1:3" ht="13" x14ac:dyDescent="0.15">
      <c r="A514" s="10"/>
      <c r="B514" s="13"/>
      <c r="C514" s="13"/>
    </row>
    <row r="515" spans="1:3" ht="13" x14ac:dyDescent="0.15">
      <c r="A515" s="10"/>
      <c r="B515" s="13"/>
      <c r="C515" s="13"/>
    </row>
    <row r="516" spans="1:3" ht="13" x14ac:dyDescent="0.15">
      <c r="A516" s="10"/>
      <c r="B516" s="13"/>
      <c r="C516" s="13"/>
    </row>
    <row r="517" spans="1:3" ht="13" x14ac:dyDescent="0.15">
      <c r="A517" s="10"/>
      <c r="B517" s="13"/>
      <c r="C517" s="13"/>
    </row>
    <row r="518" spans="1:3" ht="13" x14ac:dyDescent="0.15">
      <c r="A518" s="10"/>
      <c r="B518" s="13"/>
      <c r="C518" s="13"/>
    </row>
    <row r="519" spans="1:3" ht="13" x14ac:dyDescent="0.15">
      <c r="A519" s="10"/>
      <c r="B519" s="13"/>
      <c r="C519" s="13"/>
    </row>
    <row r="520" spans="1:3" ht="13" x14ac:dyDescent="0.15">
      <c r="A520" s="10"/>
      <c r="B520" s="13"/>
      <c r="C520" s="13"/>
    </row>
    <row r="521" spans="1:3" ht="13" x14ac:dyDescent="0.15">
      <c r="A521" s="10"/>
      <c r="B521" s="13"/>
      <c r="C521" s="13"/>
    </row>
    <row r="522" spans="1:3" ht="13" x14ac:dyDescent="0.15">
      <c r="A522" s="10"/>
      <c r="B522" s="13"/>
      <c r="C522" s="13"/>
    </row>
    <row r="523" spans="1:3" ht="13" x14ac:dyDescent="0.15">
      <c r="A523" s="10"/>
      <c r="B523" s="13"/>
      <c r="C523" s="13"/>
    </row>
    <row r="524" spans="1:3" ht="13" x14ac:dyDescent="0.15">
      <c r="A524" s="10"/>
      <c r="B524" s="13"/>
      <c r="C524" s="13"/>
    </row>
    <row r="525" spans="1:3" ht="13" x14ac:dyDescent="0.15">
      <c r="A525" s="10"/>
      <c r="B525" s="13"/>
      <c r="C525" s="13"/>
    </row>
    <row r="526" spans="1:3" ht="13" x14ac:dyDescent="0.15">
      <c r="A526" s="10"/>
      <c r="B526" s="13"/>
      <c r="C526" s="13"/>
    </row>
    <row r="527" spans="1:3" ht="13" x14ac:dyDescent="0.15">
      <c r="A527" s="10"/>
      <c r="B527" s="13"/>
      <c r="C527" s="13"/>
    </row>
    <row r="528" spans="1:3" ht="13" x14ac:dyDescent="0.15">
      <c r="A528" s="10"/>
      <c r="B528" s="13"/>
      <c r="C528" s="13"/>
    </row>
    <row r="529" spans="1:3" ht="13" x14ac:dyDescent="0.15">
      <c r="A529" s="10"/>
      <c r="B529" s="13"/>
      <c r="C529" s="13"/>
    </row>
    <row r="530" spans="1:3" ht="13" x14ac:dyDescent="0.15">
      <c r="A530" s="10"/>
      <c r="B530" s="13"/>
      <c r="C530" s="13"/>
    </row>
    <row r="531" spans="1:3" ht="13" x14ac:dyDescent="0.15">
      <c r="A531" s="10"/>
      <c r="B531" s="13"/>
      <c r="C531" s="13"/>
    </row>
    <row r="532" spans="1:3" ht="13" x14ac:dyDescent="0.15">
      <c r="A532" s="10"/>
      <c r="B532" s="13"/>
      <c r="C532" s="13"/>
    </row>
    <row r="533" spans="1:3" ht="13" x14ac:dyDescent="0.15">
      <c r="A533" s="10"/>
      <c r="B533" s="13"/>
      <c r="C533" s="13"/>
    </row>
    <row r="534" spans="1:3" ht="13" x14ac:dyDescent="0.15">
      <c r="A534" s="10"/>
      <c r="B534" s="13"/>
      <c r="C534" s="13"/>
    </row>
    <row r="535" spans="1:3" ht="13" x14ac:dyDescent="0.15">
      <c r="A535" s="10"/>
      <c r="B535" s="13"/>
      <c r="C535" s="13"/>
    </row>
    <row r="536" spans="1:3" ht="13" x14ac:dyDescent="0.15">
      <c r="A536" s="10"/>
      <c r="B536" s="13"/>
      <c r="C536" s="13"/>
    </row>
    <row r="537" spans="1:3" ht="13" x14ac:dyDescent="0.15">
      <c r="A537" s="10"/>
      <c r="B537" s="13"/>
      <c r="C537" s="13"/>
    </row>
    <row r="538" spans="1:3" ht="13" x14ac:dyDescent="0.15">
      <c r="A538" s="10"/>
      <c r="B538" s="13"/>
      <c r="C538" s="13"/>
    </row>
    <row r="539" spans="1:3" ht="13" x14ac:dyDescent="0.15">
      <c r="A539" s="10"/>
      <c r="B539" s="13"/>
      <c r="C539" s="13"/>
    </row>
    <row r="540" spans="1:3" ht="13" x14ac:dyDescent="0.15">
      <c r="A540" s="10"/>
      <c r="B540" s="13"/>
      <c r="C540" s="13"/>
    </row>
    <row r="541" spans="1:3" ht="13" x14ac:dyDescent="0.15">
      <c r="A541" s="10"/>
      <c r="B541" s="13"/>
      <c r="C541" s="13"/>
    </row>
    <row r="542" spans="1:3" ht="13" x14ac:dyDescent="0.15">
      <c r="A542" s="10"/>
      <c r="B542" s="13"/>
      <c r="C542" s="13"/>
    </row>
    <row r="543" spans="1:3" ht="13" x14ac:dyDescent="0.15">
      <c r="A543" s="10"/>
      <c r="B543" s="13"/>
      <c r="C543" s="13"/>
    </row>
    <row r="544" spans="1:3" ht="13" x14ac:dyDescent="0.15">
      <c r="A544" s="10"/>
      <c r="B544" s="13"/>
      <c r="C544" s="13"/>
    </row>
    <row r="545" spans="1:3" ht="13" x14ac:dyDescent="0.15">
      <c r="A545" s="10"/>
      <c r="B545" s="13"/>
      <c r="C545" s="13"/>
    </row>
    <row r="546" spans="1:3" ht="13" x14ac:dyDescent="0.15">
      <c r="A546" s="10"/>
      <c r="B546" s="13"/>
      <c r="C546" s="13"/>
    </row>
    <row r="547" spans="1:3" ht="13" x14ac:dyDescent="0.15">
      <c r="A547" s="10"/>
      <c r="B547" s="13"/>
      <c r="C547" s="13"/>
    </row>
    <row r="548" spans="1:3" ht="13" x14ac:dyDescent="0.15">
      <c r="A548" s="10"/>
      <c r="B548" s="13"/>
      <c r="C548" s="13"/>
    </row>
    <row r="549" spans="1:3" ht="13" x14ac:dyDescent="0.15">
      <c r="A549" s="10"/>
      <c r="B549" s="13"/>
      <c r="C549" s="13"/>
    </row>
    <row r="550" spans="1:3" ht="13" x14ac:dyDescent="0.15">
      <c r="A550" s="10"/>
      <c r="B550" s="13"/>
      <c r="C550" s="13"/>
    </row>
    <row r="551" spans="1:3" ht="13" x14ac:dyDescent="0.15">
      <c r="A551" s="10"/>
      <c r="B551" s="13"/>
      <c r="C551" s="13"/>
    </row>
    <row r="552" spans="1:3" ht="13" x14ac:dyDescent="0.15">
      <c r="A552" s="10"/>
      <c r="B552" s="13"/>
      <c r="C552" s="13"/>
    </row>
    <row r="553" spans="1:3" ht="13" x14ac:dyDescent="0.15">
      <c r="A553" s="10"/>
      <c r="B553" s="13"/>
      <c r="C553" s="13"/>
    </row>
    <row r="554" spans="1:3" ht="13" x14ac:dyDescent="0.15">
      <c r="A554" s="10"/>
      <c r="B554" s="13"/>
      <c r="C554" s="13"/>
    </row>
    <row r="555" spans="1:3" ht="13" x14ac:dyDescent="0.15">
      <c r="A555" s="10"/>
      <c r="B555" s="13"/>
      <c r="C555" s="13"/>
    </row>
    <row r="556" spans="1:3" ht="13" x14ac:dyDescent="0.15">
      <c r="A556" s="10"/>
      <c r="B556" s="13"/>
      <c r="C556" s="13"/>
    </row>
    <row r="557" spans="1:3" ht="13" x14ac:dyDescent="0.15">
      <c r="A557" s="10"/>
      <c r="B557" s="13"/>
      <c r="C557" s="13"/>
    </row>
    <row r="558" spans="1:3" ht="13" x14ac:dyDescent="0.15">
      <c r="A558" s="10"/>
      <c r="B558" s="13"/>
      <c r="C558" s="13"/>
    </row>
    <row r="559" spans="1:3" ht="13" x14ac:dyDescent="0.15">
      <c r="A559" s="10"/>
      <c r="B559" s="13"/>
      <c r="C559" s="13"/>
    </row>
    <row r="560" spans="1:3" ht="13" x14ac:dyDescent="0.15">
      <c r="A560" s="10"/>
      <c r="B560" s="13"/>
      <c r="C560" s="13"/>
    </row>
    <row r="561" spans="1:3" ht="13" x14ac:dyDescent="0.15">
      <c r="A561" s="10"/>
      <c r="B561" s="13"/>
      <c r="C561" s="13"/>
    </row>
    <row r="562" spans="1:3" ht="13" x14ac:dyDescent="0.15">
      <c r="A562" s="10"/>
      <c r="B562" s="13"/>
      <c r="C562" s="13"/>
    </row>
    <row r="563" spans="1:3" ht="13" x14ac:dyDescent="0.15">
      <c r="A563" s="10"/>
      <c r="B563" s="13"/>
      <c r="C563" s="13"/>
    </row>
    <row r="564" spans="1:3" ht="13" x14ac:dyDescent="0.15">
      <c r="A564" s="10"/>
      <c r="B564" s="13"/>
      <c r="C564" s="13"/>
    </row>
    <row r="565" spans="1:3" ht="13" x14ac:dyDescent="0.15">
      <c r="A565" s="10"/>
      <c r="B565" s="13"/>
      <c r="C565" s="13"/>
    </row>
    <row r="566" spans="1:3" ht="13" x14ac:dyDescent="0.15">
      <c r="A566" s="10"/>
      <c r="B566" s="13"/>
      <c r="C566" s="13"/>
    </row>
    <row r="567" spans="1:3" ht="13" x14ac:dyDescent="0.15">
      <c r="A567" s="10"/>
      <c r="B567" s="13"/>
      <c r="C567" s="13"/>
    </row>
    <row r="568" spans="1:3" ht="13" x14ac:dyDescent="0.15">
      <c r="A568" s="10"/>
      <c r="B568" s="13"/>
      <c r="C568" s="13"/>
    </row>
    <row r="569" spans="1:3" ht="13" x14ac:dyDescent="0.15">
      <c r="A569" s="10"/>
      <c r="B569" s="13"/>
      <c r="C569" s="13"/>
    </row>
    <row r="570" spans="1:3" ht="13" x14ac:dyDescent="0.15">
      <c r="A570" s="10"/>
      <c r="B570" s="13"/>
      <c r="C570" s="13"/>
    </row>
    <row r="571" spans="1:3" ht="13" x14ac:dyDescent="0.15">
      <c r="A571" s="10"/>
      <c r="B571" s="13"/>
      <c r="C571" s="13"/>
    </row>
    <row r="572" spans="1:3" ht="13" x14ac:dyDescent="0.15">
      <c r="A572" s="10"/>
      <c r="B572" s="13"/>
      <c r="C572" s="13"/>
    </row>
    <row r="573" spans="1:3" ht="13" x14ac:dyDescent="0.15">
      <c r="A573" s="10"/>
      <c r="B573" s="13"/>
      <c r="C573" s="13"/>
    </row>
    <row r="574" spans="1:3" ht="13" x14ac:dyDescent="0.15">
      <c r="A574" s="10"/>
      <c r="B574" s="13"/>
      <c r="C574" s="13"/>
    </row>
    <row r="575" spans="1:3" ht="13" x14ac:dyDescent="0.15">
      <c r="A575" s="10"/>
      <c r="B575" s="13"/>
      <c r="C575" s="13"/>
    </row>
    <row r="576" spans="1:3" ht="13" x14ac:dyDescent="0.15">
      <c r="A576" s="10"/>
      <c r="B576" s="13"/>
      <c r="C576" s="13"/>
    </row>
    <row r="577" spans="1:3" ht="13" x14ac:dyDescent="0.15">
      <c r="A577" s="10"/>
      <c r="B577" s="13"/>
      <c r="C577" s="13"/>
    </row>
    <row r="578" spans="1:3" ht="13" x14ac:dyDescent="0.15">
      <c r="A578" s="10"/>
      <c r="B578" s="13"/>
      <c r="C578" s="13"/>
    </row>
    <row r="579" spans="1:3" ht="13" x14ac:dyDescent="0.15">
      <c r="A579" s="10"/>
      <c r="B579" s="13"/>
      <c r="C579" s="13"/>
    </row>
    <row r="580" spans="1:3" ht="13" x14ac:dyDescent="0.15">
      <c r="A580" s="10"/>
      <c r="B580" s="13"/>
      <c r="C580" s="13"/>
    </row>
    <row r="581" spans="1:3" ht="13" x14ac:dyDescent="0.15">
      <c r="A581" s="10"/>
      <c r="B581" s="13"/>
      <c r="C581" s="13"/>
    </row>
    <row r="582" spans="1:3" ht="13" x14ac:dyDescent="0.15">
      <c r="A582" s="10"/>
      <c r="B582" s="13"/>
      <c r="C582" s="13"/>
    </row>
    <row r="583" spans="1:3" ht="13" x14ac:dyDescent="0.15">
      <c r="A583" s="10"/>
      <c r="B583" s="13"/>
      <c r="C583" s="13"/>
    </row>
    <row r="584" spans="1:3" ht="13" x14ac:dyDescent="0.15">
      <c r="A584" s="10"/>
      <c r="B584" s="13"/>
      <c r="C584" s="13"/>
    </row>
    <row r="585" spans="1:3" ht="13" x14ac:dyDescent="0.15">
      <c r="A585" s="10"/>
      <c r="B585" s="13"/>
      <c r="C585" s="13"/>
    </row>
    <row r="586" spans="1:3" ht="13" x14ac:dyDescent="0.15">
      <c r="A586" s="10"/>
      <c r="B586" s="13"/>
      <c r="C586" s="13"/>
    </row>
    <row r="587" spans="1:3" ht="13" x14ac:dyDescent="0.15">
      <c r="A587" s="10"/>
      <c r="B587" s="13"/>
      <c r="C587" s="13"/>
    </row>
    <row r="588" spans="1:3" ht="13" x14ac:dyDescent="0.15">
      <c r="A588" s="10"/>
      <c r="B588" s="13"/>
      <c r="C588" s="13"/>
    </row>
    <row r="589" spans="1:3" ht="13" x14ac:dyDescent="0.15">
      <c r="A589" s="10"/>
      <c r="B589" s="13"/>
      <c r="C589" s="13"/>
    </row>
    <row r="590" spans="1:3" ht="13" x14ac:dyDescent="0.15">
      <c r="A590" s="10"/>
      <c r="B590" s="13"/>
      <c r="C590" s="13"/>
    </row>
    <row r="591" spans="1:3" ht="13" x14ac:dyDescent="0.15">
      <c r="A591" s="10"/>
      <c r="B591" s="13"/>
      <c r="C591" s="13"/>
    </row>
    <row r="592" spans="1:3" ht="13" x14ac:dyDescent="0.15">
      <c r="A592" s="10"/>
      <c r="B592" s="13"/>
      <c r="C592" s="13"/>
    </row>
    <row r="593" spans="1:3" ht="13" x14ac:dyDescent="0.15">
      <c r="A593" s="10"/>
      <c r="B593" s="13"/>
      <c r="C593" s="13"/>
    </row>
    <row r="594" spans="1:3" ht="13" x14ac:dyDescent="0.15">
      <c r="A594" s="10"/>
      <c r="B594" s="13"/>
      <c r="C594" s="13"/>
    </row>
    <row r="595" spans="1:3" ht="13" x14ac:dyDescent="0.15">
      <c r="A595" s="10"/>
      <c r="B595" s="13"/>
      <c r="C595" s="13"/>
    </row>
    <row r="596" spans="1:3" ht="13" x14ac:dyDescent="0.15">
      <c r="A596" s="10"/>
      <c r="B596" s="13"/>
      <c r="C596" s="13"/>
    </row>
    <row r="597" spans="1:3" ht="13" x14ac:dyDescent="0.15">
      <c r="A597" s="10"/>
      <c r="B597" s="13"/>
      <c r="C597" s="13"/>
    </row>
    <row r="598" spans="1:3" ht="13" x14ac:dyDescent="0.15">
      <c r="A598" s="10"/>
      <c r="B598" s="13"/>
      <c r="C598" s="13"/>
    </row>
    <row r="599" spans="1:3" ht="13" x14ac:dyDescent="0.15">
      <c r="A599" s="10"/>
      <c r="B599" s="13"/>
      <c r="C599" s="13"/>
    </row>
    <row r="600" spans="1:3" ht="13" x14ac:dyDescent="0.15">
      <c r="A600" s="10"/>
      <c r="B600" s="13"/>
      <c r="C600" s="13"/>
    </row>
    <row r="601" spans="1:3" ht="13" x14ac:dyDescent="0.15">
      <c r="A601" s="10"/>
      <c r="B601" s="13"/>
      <c r="C601" s="13"/>
    </row>
    <row r="602" spans="1:3" ht="13" x14ac:dyDescent="0.15">
      <c r="A602" s="10"/>
      <c r="B602" s="13"/>
      <c r="C602" s="13"/>
    </row>
    <row r="603" spans="1:3" ht="13" x14ac:dyDescent="0.15">
      <c r="A603" s="10"/>
      <c r="B603" s="13"/>
      <c r="C603" s="13"/>
    </row>
    <row r="604" spans="1:3" ht="13" x14ac:dyDescent="0.15">
      <c r="A604" s="10"/>
      <c r="B604" s="13"/>
      <c r="C604" s="13"/>
    </row>
    <row r="605" spans="1:3" ht="13" x14ac:dyDescent="0.15">
      <c r="A605" s="10"/>
      <c r="B605" s="13"/>
      <c r="C605" s="13"/>
    </row>
    <row r="606" spans="1:3" ht="13" x14ac:dyDescent="0.15">
      <c r="A606" s="10"/>
      <c r="B606" s="13"/>
      <c r="C606" s="13"/>
    </row>
    <row r="607" spans="1:3" ht="13" x14ac:dyDescent="0.15">
      <c r="A607" s="10"/>
      <c r="B607" s="13"/>
      <c r="C607" s="13"/>
    </row>
    <row r="608" spans="1:3" ht="13" x14ac:dyDescent="0.15">
      <c r="A608" s="10"/>
      <c r="B608" s="13"/>
      <c r="C608" s="13"/>
    </row>
    <row r="609" spans="1:3" ht="13" x14ac:dyDescent="0.15">
      <c r="A609" s="10"/>
      <c r="B609" s="13"/>
      <c r="C609" s="13"/>
    </row>
    <row r="610" spans="1:3" ht="13" x14ac:dyDescent="0.15">
      <c r="A610" s="10"/>
      <c r="B610" s="13"/>
      <c r="C610" s="13"/>
    </row>
    <row r="611" spans="1:3" ht="13" x14ac:dyDescent="0.15">
      <c r="A611" s="10"/>
      <c r="B611" s="13"/>
      <c r="C611" s="13"/>
    </row>
    <row r="612" spans="1:3" ht="13" x14ac:dyDescent="0.15">
      <c r="A612" s="10"/>
      <c r="B612" s="13"/>
      <c r="C612" s="13"/>
    </row>
    <row r="613" spans="1:3" ht="13" x14ac:dyDescent="0.15">
      <c r="A613" s="10"/>
      <c r="B613" s="13"/>
      <c r="C613" s="13"/>
    </row>
    <row r="614" spans="1:3" ht="13" x14ac:dyDescent="0.15">
      <c r="A614" s="10"/>
      <c r="B614" s="13"/>
      <c r="C614" s="13"/>
    </row>
    <row r="615" spans="1:3" ht="13" x14ac:dyDescent="0.15">
      <c r="A615" s="10"/>
      <c r="B615" s="13"/>
      <c r="C615" s="13"/>
    </row>
    <row r="616" spans="1:3" ht="13" x14ac:dyDescent="0.15">
      <c r="A616" s="10"/>
      <c r="B616" s="13"/>
      <c r="C616" s="13"/>
    </row>
    <row r="617" spans="1:3" ht="13" x14ac:dyDescent="0.15">
      <c r="A617" s="10"/>
      <c r="B617" s="13"/>
      <c r="C617" s="13"/>
    </row>
    <row r="618" spans="1:3" ht="13" x14ac:dyDescent="0.15">
      <c r="A618" s="10"/>
      <c r="B618" s="13"/>
      <c r="C618" s="13"/>
    </row>
    <row r="619" spans="1:3" ht="13" x14ac:dyDescent="0.15">
      <c r="A619" s="10"/>
      <c r="B619" s="13"/>
      <c r="C619" s="13"/>
    </row>
    <row r="620" spans="1:3" ht="13" x14ac:dyDescent="0.15">
      <c r="A620" s="10"/>
      <c r="B620" s="13"/>
      <c r="C620" s="13"/>
    </row>
    <row r="621" spans="1:3" ht="13" x14ac:dyDescent="0.15">
      <c r="A621" s="10"/>
      <c r="B621" s="13"/>
      <c r="C621" s="13"/>
    </row>
    <row r="622" spans="1:3" ht="13" x14ac:dyDescent="0.15">
      <c r="A622" s="10"/>
      <c r="B622" s="13"/>
      <c r="C622" s="13"/>
    </row>
    <row r="623" spans="1:3" ht="13" x14ac:dyDescent="0.15">
      <c r="A623" s="10"/>
      <c r="B623" s="13"/>
      <c r="C623" s="13"/>
    </row>
    <row r="624" spans="1:3" ht="13" x14ac:dyDescent="0.15">
      <c r="A624" s="10"/>
      <c r="B624" s="13"/>
      <c r="C624" s="13"/>
    </row>
    <row r="625" spans="1:3" ht="13" x14ac:dyDescent="0.15">
      <c r="A625" s="10"/>
      <c r="B625" s="13"/>
      <c r="C625" s="13"/>
    </row>
    <row r="626" spans="1:3" ht="13" x14ac:dyDescent="0.15">
      <c r="A626" s="10"/>
      <c r="B626" s="13"/>
      <c r="C626" s="13"/>
    </row>
    <row r="627" spans="1:3" ht="13" x14ac:dyDescent="0.15">
      <c r="A627" s="10"/>
      <c r="B627" s="13"/>
      <c r="C627" s="13"/>
    </row>
    <row r="628" spans="1:3" ht="13" x14ac:dyDescent="0.15">
      <c r="A628" s="10"/>
      <c r="B628" s="13"/>
      <c r="C628" s="13"/>
    </row>
    <row r="629" spans="1:3" ht="13" x14ac:dyDescent="0.15">
      <c r="A629" s="10"/>
      <c r="B629" s="13"/>
      <c r="C629" s="13"/>
    </row>
    <row r="630" spans="1:3" ht="13" x14ac:dyDescent="0.15">
      <c r="A630" s="10"/>
      <c r="B630" s="13"/>
      <c r="C630" s="13"/>
    </row>
    <row r="631" spans="1:3" ht="13" x14ac:dyDescent="0.15">
      <c r="A631" s="10"/>
      <c r="B631" s="13"/>
      <c r="C631" s="13"/>
    </row>
    <row r="632" spans="1:3" ht="13" x14ac:dyDescent="0.15">
      <c r="A632" s="10"/>
      <c r="B632" s="13"/>
      <c r="C632" s="13"/>
    </row>
    <row r="633" spans="1:3" ht="13" x14ac:dyDescent="0.15">
      <c r="A633" s="10"/>
      <c r="B633" s="13"/>
      <c r="C633" s="13"/>
    </row>
    <row r="634" spans="1:3" ht="13" x14ac:dyDescent="0.15">
      <c r="A634" s="10"/>
      <c r="B634" s="13"/>
      <c r="C634" s="13"/>
    </row>
    <row r="635" spans="1:3" ht="13" x14ac:dyDescent="0.15">
      <c r="A635" s="10"/>
      <c r="B635" s="13"/>
      <c r="C635" s="13"/>
    </row>
    <row r="636" spans="1:3" ht="13" x14ac:dyDescent="0.15">
      <c r="A636" s="10"/>
      <c r="B636" s="13"/>
      <c r="C636" s="13"/>
    </row>
    <row r="637" spans="1:3" ht="13" x14ac:dyDescent="0.15">
      <c r="A637" s="10"/>
      <c r="B637" s="13"/>
      <c r="C637" s="13"/>
    </row>
    <row r="638" spans="1:3" ht="13" x14ac:dyDescent="0.15">
      <c r="A638" s="10"/>
      <c r="B638" s="13"/>
      <c r="C638" s="13"/>
    </row>
    <row r="639" spans="1:3" ht="13" x14ac:dyDescent="0.15">
      <c r="A639" s="10"/>
      <c r="B639" s="13"/>
      <c r="C639" s="13"/>
    </row>
    <row r="640" spans="1:3" ht="13" x14ac:dyDescent="0.15">
      <c r="A640" s="10"/>
      <c r="B640" s="13"/>
      <c r="C640" s="13"/>
    </row>
    <row r="641" spans="1:3" ht="13" x14ac:dyDescent="0.15">
      <c r="A641" s="10"/>
      <c r="B641" s="13"/>
      <c r="C641" s="13"/>
    </row>
    <row r="642" spans="1:3" ht="13" x14ac:dyDescent="0.15">
      <c r="A642" s="10"/>
      <c r="B642" s="13"/>
      <c r="C642" s="13"/>
    </row>
    <row r="643" spans="1:3" ht="13" x14ac:dyDescent="0.15">
      <c r="A643" s="10"/>
      <c r="B643" s="13"/>
      <c r="C643" s="13"/>
    </row>
    <row r="644" spans="1:3" ht="13" x14ac:dyDescent="0.15">
      <c r="A644" s="10"/>
      <c r="B644" s="13"/>
      <c r="C644" s="13"/>
    </row>
    <row r="645" spans="1:3" ht="13" x14ac:dyDescent="0.15">
      <c r="A645" s="10"/>
      <c r="B645" s="13"/>
      <c r="C645" s="13"/>
    </row>
    <row r="646" spans="1:3" ht="13" x14ac:dyDescent="0.15">
      <c r="A646" s="10"/>
      <c r="B646" s="13"/>
      <c r="C646" s="13"/>
    </row>
    <row r="647" spans="1:3" ht="13" x14ac:dyDescent="0.15">
      <c r="A647" s="10"/>
      <c r="B647" s="13"/>
      <c r="C647" s="13"/>
    </row>
    <row r="648" spans="1:3" ht="13" x14ac:dyDescent="0.15">
      <c r="A648" s="10"/>
      <c r="B648" s="13"/>
      <c r="C648" s="13"/>
    </row>
    <row r="649" spans="1:3" ht="13" x14ac:dyDescent="0.15">
      <c r="A649" s="10"/>
      <c r="B649" s="13"/>
      <c r="C649" s="13"/>
    </row>
    <row r="650" spans="1:3" ht="13" x14ac:dyDescent="0.15">
      <c r="A650" s="10"/>
      <c r="B650" s="13"/>
      <c r="C650" s="13"/>
    </row>
    <row r="651" spans="1:3" ht="13" x14ac:dyDescent="0.15">
      <c r="A651" s="10"/>
      <c r="B651" s="13"/>
      <c r="C651" s="13"/>
    </row>
    <row r="652" spans="1:3" ht="13" x14ac:dyDescent="0.15">
      <c r="A652" s="10"/>
      <c r="B652" s="13"/>
      <c r="C652" s="13"/>
    </row>
    <row r="653" spans="1:3" ht="13" x14ac:dyDescent="0.15">
      <c r="A653" s="10"/>
      <c r="B653" s="13"/>
      <c r="C653" s="13"/>
    </row>
    <row r="654" spans="1:3" ht="13" x14ac:dyDescent="0.15">
      <c r="A654" s="10"/>
      <c r="B654" s="13"/>
      <c r="C654" s="13"/>
    </row>
    <row r="655" spans="1:3" ht="13" x14ac:dyDescent="0.15">
      <c r="A655" s="10"/>
      <c r="B655" s="13"/>
      <c r="C655" s="13"/>
    </row>
    <row r="656" spans="1:3" ht="13" x14ac:dyDescent="0.15">
      <c r="A656" s="10"/>
      <c r="B656" s="13"/>
      <c r="C656" s="13"/>
    </row>
    <row r="657" spans="1:3" ht="13" x14ac:dyDescent="0.15">
      <c r="A657" s="10"/>
      <c r="B657" s="13"/>
      <c r="C657" s="13"/>
    </row>
    <row r="658" spans="1:3" ht="13" x14ac:dyDescent="0.15">
      <c r="A658" s="10"/>
      <c r="B658" s="13"/>
      <c r="C658" s="13"/>
    </row>
    <row r="659" spans="1:3" ht="13" x14ac:dyDescent="0.15">
      <c r="A659" s="10"/>
      <c r="B659" s="13"/>
      <c r="C659" s="13"/>
    </row>
    <row r="660" spans="1:3" ht="13" x14ac:dyDescent="0.15">
      <c r="A660" s="10"/>
      <c r="B660" s="13"/>
      <c r="C660" s="13"/>
    </row>
    <row r="661" spans="1:3" ht="13" x14ac:dyDescent="0.15">
      <c r="A661" s="10"/>
      <c r="B661" s="13"/>
      <c r="C661" s="13"/>
    </row>
    <row r="662" spans="1:3" ht="13" x14ac:dyDescent="0.15">
      <c r="A662" s="10"/>
      <c r="B662" s="13"/>
      <c r="C662" s="13"/>
    </row>
    <row r="663" spans="1:3" ht="13" x14ac:dyDescent="0.15">
      <c r="A663" s="10"/>
      <c r="B663" s="13"/>
      <c r="C663" s="13"/>
    </row>
    <row r="664" spans="1:3" ht="13" x14ac:dyDescent="0.15">
      <c r="A664" s="10"/>
      <c r="B664" s="13"/>
      <c r="C664" s="13"/>
    </row>
    <row r="665" spans="1:3" ht="13" x14ac:dyDescent="0.15">
      <c r="A665" s="10"/>
      <c r="B665" s="13"/>
      <c r="C665" s="13"/>
    </row>
    <row r="666" spans="1:3" ht="13" x14ac:dyDescent="0.15">
      <c r="A666" s="10"/>
      <c r="B666" s="13"/>
      <c r="C666" s="13"/>
    </row>
    <row r="667" spans="1:3" ht="13" x14ac:dyDescent="0.15">
      <c r="A667" s="10"/>
      <c r="B667" s="13"/>
      <c r="C667" s="13"/>
    </row>
    <row r="668" spans="1:3" ht="13" x14ac:dyDescent="0.15">
      <c r="A668" s="10"/>
      <c r="B668" s="13"/>
      <c r="C668" s="13"/>
    </row>
    <row r="669" spans="1:3" ht="13" x14ac:dyDescent="0.15">
      <c r="A669" s="10"/>
      <c r="B669" s="13"/>
      <c r="C669" s="13"/>
    </row>
    <row r="670" spans="1:3" ht="13" x14ac:dyDescent="0.15">
      <c r="A670" s="10"/>
      <c r="B670" s="13"/>
      <c r="C670" s="13"/>
    </row>
    <row r="671" spans="1:3" ht="13" x14ac:dyDescent="0.15">
      <c r="A671" s="10"/>
      <c r="B671" s="13"/>
      <c r="C671" s="13"/>
    </row>
    <row r="672" spans="1:3" ht="13" x14ac:dyDescent="0.15">
      <c r="A672" s="10"/>
      <c r="B672" s="13"/>
      <c r="C672" s="13"/>
    </row>
    <row r="673" spans="1:3" ht="13" x14ac:dyDescent="0.15">
      <c r="A673" s="10"/>
      <c r="B673" s="13"/>
      <c r="C673" s="13"/>
    </row>
    <row r="674" spans="1:3" ht="13" x14ac:dyDescent="0.15">
      <c r="A674" s="10"/>
      <c r="B674" s="13"/>
      <c r="C674" s="13"/>
    </row>
    <row r="675" spans="1:3" ht="13" x14ac:dyDescent="0.15">
      <c r="A675" s="10"/>
      <c r="B675" s="13"/>
      <c r="C675" s="13"/>
    </row>
    <row r="676" spans="1:3" ht="13" x14ac:dyDescent="0.15">
      <c r="A676" s="10"/>
      <c r="B676" s="13"/>
      <c r="C676" s="13"/>
    </row>
    <row r="677" spans="1:3" ht="13" x14ac:dyDescent="0.15">
      <c r="A677" s="10"/>
      <c r="B677" s="13"/>
      <c r="C677" s="13"/>
    </row>
    <row r="678" spans="1:3" ht="13" x14ac:dyDescent="0.15">
      <c r="A678" s="10"/>
      <c r="B678" s="13"/>
      <c r="C678" s="13"/>
    </row>
    <row r="679" spans="1:3" ht="13" x14ac:dyDescent="0.15">
      <c r="A679" s="10"/>
      <c r="B679" s="13"/>
      <c r="C679" s="13"/>
    </row>
    <row r="680" spans="1:3" ht="13" x14ac:dyDescent="0.15">
      <c r="A680" s="10"/>
      <c r="B680" s="13"/>
      <c r="C680" s="13"/>
    </row>
    <row r="681" spans="1:3" ht="13" x14ac:dyDescent="0.15">
      <c r="A681" s="10"/>
      <c r="B681" s="13"/>
      <c r="C681" s="13"/>
    </row>
    <row r="682" spans="1:3" ht="13" x14ac:dyDescent="0.15">
      <c r="A682" s="10"/>
      <c r="B682" s="13"/>
      <c r="C682" s="13"/>
    </row>
    <row r="683" spans="1:3" ht="13" x14ac:dyDescent="0.15">
      <c r="A683" s="10"/>
      <c r="B683" s="13"/>
      <c r="C683" s="13"/>
    </row>
    <row r="684" spans="1:3" ht="13" x14ac:dyDescent="0.15">
      <c r="A684" s="10"/>
      <c r="B684" s="13"/>
      <c r="C684" s="13"/>
    </row>
    <row r="685" spans="1:3" ht="13" x14ac:dyDescent="0.15">
      <c r="A685" s="10"/>
      <c r="B685" s="13"/>
      <c r="C685" s="13"/>
    </row>
    <row r="686" spans="1:3" ht="13" x14ac:dyDescent="0.15">
      <c r="A686" s="10"/>
      <c r="B686" s="13"/>
      <c r="C686" s="13"/>
    </row>
    <row r="687" spans="1:3" ht="13" x14ac:dyDescent="0.15">
      <c r="A687" s="10"/>
      <c r="B687" s="13"/>
      <c r="C687" s="13"/>
    </row>
    <row r="688" spans="1:3" ht="13" x14ac:dyDescent="0.15">
      <c r="A688" s="10"/>
      <c r="B688" s="13"/>
      <c r="C688" s="13"/>
    </row>
    <row r="689" spans="1:3" ht="13" x14ac:dyDescent="0.15">
      <c r="A689" s="10"/>
      <c r="B689" s="13"/>
      <c r="C689" s="13"/>
    </row>
    <row r="690" spans="1:3" ht="13" x14ac:dyDescent="0.15">
      <c r="A690" s="10"/>
      <c r="B690" s="13"/>
      <c r="C690" s="13"/>
    </row>
    <row r="691" spans="1:3" ht="13" x14ac:dyDescent="0.15">
      <c r="A691" s="10"/>
      <c r="B691" s="13"/>
      <c r="C691" s="13"/>
    </row>
    <row r="692" spans="1:3" ht="13" x14ac:dyDescent="0.15">
      <c r="A692" s="10"/>
      <c r="B692" s="13"/>
      <c r="C692" s="13"/>
    </row>
    <row r="693" spans="1:3" ht="13" x14ac:dyDescent="0.15">
      <c r="A693" s="10"/>
      <c r="B693" s="13"/>
      <c r="C693" s="13"/>
    </row>
    <row r="694" spans="1:3" ht="13" x14ac:dyDescent="0.15">
      <c r="A694" s="10"/>
      <c r="B694" s="13"/>
      <c r="C694" s="13"/>
    </row>
    <row r="695" spans="1:3" ht="13" x14ac:dyDescent="0.15">
      <c r="A695" s="10"/>
      <c r="B695" s="13"/>
      <c r="C695" s="13"/>
    </row>
    <row r="696" spans="1:3" ht="13" x14ac:dyDescent="0.15">
      <c r="A696" s="10"/>
      <c r="B696" s="13"/>
      <c r="C696" s="13"/>
    </row>
    <row r="697" spans="1:3" ht="13" x14ac:dyDescent="0.15">
      <c r="A697" s="10"/>
      <c r="B697" s="13"/>
      <c r="C697" s="13"/>
    </row>
    <row r="698" spans="1:3" ht="13" x14ac:dyDescent="0.15">
      <c r="A698" s="10"/>
      <c r="B698" s="13"/>
      <c r="C698" s="13"/>
    </row>
    <row r="699" spans="1:3" ht="13" x14ac:dyDescent="0.15">
      <c r="A699" s="10"/>
      <c r="B699" s="13"/>
      <c r="C699" s="13"/>
    </row>
    <row r="700" spans="1:3" ht="13" x14ac:dyDescent="0.15">
      <c r="A700" s="10"/>
      <c r="B700" s="13"/>
      <c r="C700" s="13"/>
    </row>
    <row r="701" spans="1:3" ht="13" x14ac:dyDescent="0.15">
      <c r="A701" s="10"/>
      <c r="B701" s="13"/>
      <c r="C701" s="13"/>
    </row>
    <row r="702" spans="1:3" ht="13" x14ac:dyDescent="0.15">
      <c r="A702" s="10"/>
      <c r="B702" s="13"/>
      <c r="C702" s="13"/>
    </row>
    <row r="703" spans="1:3" ht="13" x14ac:dyDescent="0.15">
      <c r="A703" s="10"/>
      <c r="B703" s="13"/>
      <c r="C703" s="13"/>
    </row>
    <row r="704" spans="1:3" ht="13" x14ac:dyDescent="0.15">
      <c r="A704" s="10"/>
      <c r="B704" s="13"/>
      <c r="C704" s="13"/>
    </row>
    <row r="705" spans="1:3" ht="13" x14ac:dyDescent="0.15">
      <c r="A705" s="10"/>
      <c r="B705" s="13"/>
      <c r="C705" s="13"/>
    </row>
    <row r="706" spans="1:3" ht="13" x14ac:dyDescent="0.15">
      <c r="A706" s="10"/>
      <c r="B706" s="13"/>
      <c r="C706" s="13"/>
    </row>
    <row r="707" spans="1:3" ht="13" x14ac:dyDescent="0.15">
      <c r="A707" s="10"/>
      <c r="B707" s="13"/>
      <c r="C707" s="13"/>
    </row>
    <row r="708" spans="1:3" ht="13" x14ac:dyDescent="0.15">
      <c r="A708" s="10"/>
      <c r="B708" s="13"/>
      <c r="C708" s="13"/>
    </row>
    <row r="709" spans="1:3" ht="13" x14ac:dyDescent="0.15">
      <c r="A709" s="10"/>
      <c r="B709" s="13"/>
      <c r="C709" s="13"/>
    </row>
    <row r="710" spans="1:3" ht="13" x14ac:dyDescent="0.15">
      <c r="A710" s="10"/>
      <c r="B710" s="13"/>
      <c r="C710" s="13"/>
    </row>
    <row r="711" spans="1:3" ht="13" x14ac:dyDescent="0.15">
      <c r="A711" s="10"/>
      <c r="B711" s="13"/>
      <c r="C711" s="13"/>
    </row>
    <row r="712" spans="1:3" ht="13" x14ac:dyDescent="0.15">
      <c r="A712" s="10"/>
      <c r="B712" s="13"/>
      <c r="C712" s="13"/>
    </row>
    <row r="713" spans="1:3" ht="13" x14ac:dyDescent="0.15">
      <c r="A713" s="10"/>
      <c r="B713" s="13"/>
      <c r="C713" s="13"/>
    </row>
    <row r="714" spans="1:3" ht="13" x14ac:dyDescent="0.15">
      <c r="A714" s="10"/>
      <c r="B714" s="13"/>
      <c r="C714" s="13"/>
    </row>
    <row r="715" spans="1:3" ht="13" x14ac:dyDescent="0.15">
      <c r="A715" s="10"/>
      <c r="B715" s="13"/>
      <c r="C715" s="13"/>
    </row>
    <row r="716" spans="1:3" ht="13" x14ac:dyDescent="0.15">
      <c r="A716" s="10"/>
      <c r="B716" s="13"/>
      <c r="C716" s="13"/>
    </row>
    <row r="717" spans="1:3" ht="13" x14ac:dyDescent="0.15">
      <c r="A717" s="10"/>
      <c r="B717" s="13"/>
      <c r="C717" s="13"/>
    </row>
    <row r="718" spans="1:3" ht="13" x14ac:dyDescent="0.15">
      <c r="A718" s="10"/>
      <c r="B718" s="13"/>
      <c r="C718" s="13"/>
    </row>
    <row r="719" spans="1:3" ht="13" x14ac:dyDescent="0.15">
      <c r="A719" s="10"/>
      <c r="B719" s="13"/>
      <c r="C719" s="13"/>
    </row>
    <row r="720" spans="1:3" ht="13" x14ac:dyDescent="0.15">
      <c r="A720" s="10"/>
      <c r="B720" s="13"/>
      <c r="C720" s="13"/>
    </row>
    <row r="721" spans="1:3" ht="13" x14ac:dyDescent="0.15">
      <c r="A721" s="10"/>
      <c r="B721" s="13"/>
      <c r="C721" s="13"/>
    </row>
    <row r="722" spans="1:3" ht="13" x14ac:dyDescent="0.15">
      <c r="A722" s="10"/>
      <c r="B722" s="13"/>
      <c r="C722" s="13"/>
    </row>
    <row r="723" spans="1:3" ht="13" x14ac:dyDescent="0.15">
      <c r="A723" s="10"/>
      <c r="B723" s="13"/>
      <c r="C723" s="13"/>
    </row>
    <row r="724" spans="1:3" ht="13" x14ac:dyDescent="0.15">
      <c r="A724" s="10"/>
      <c r="B724" s="13"/>
      <c r="C724" s="13"/>
    </row>
    <row r="725" spans="1:3" ht="13" x14ac:dyDescent="0.15">
      <c r="A725" s="10"/>
      <c r="B725" s="13"/>
      <c r="C725" s="13"/>
    </row>
    <row r="726" spans="1:3" ht="13" x14ac:dyDescent="0.15">
      <c r="A726" s="10"/>
      <c r="B726" s="13"/>
      <c r="C726" s="13"/>
    </row>
    <row r="727" spans="1:3" ht="13" x14ac:dyDescent="0.15">
      <c r="A727" s="10"/>
      <c r="B727" s="13"/>
      <c r="C727" s="13"/>
    </row>
    <row r="728" spans="1:3" ht="13" x14ac:dyDescent="0.15">
      <c r="A728" s="10"/>
      <c r="B728" s="13"/>
      <c r="C728" s="13"/>
    </row>
    <row r="729" spans="1:3" ht="13" x14ac:dyDescent="0.15">
      <c r="A729" s="10"/>
      <c r="B729" s="13"/>
      <c r="C729" s="13"/>
    </row>
    <row r="730" spans="1:3" ht="13" x14ac:dyDescent="0.15">
      <c r="A730" s="10"/>
      <c r="B730" s="13"/>
      <c r="C730" s="13"/>
    </row>
    <row r="731" spans="1:3" ht="13" x14ac:dyDescent="0.15">
      <c r="A731" s="10"/>
      <c r="B731" s="13"/>
      <c r="C731" s="13"/>
    </row>
    <row r="732" spans="1:3" ht="13" x14ac:dyDescent="0.15">
      <c r="A732" s="10"/>
      <c r="B732" s="13"/>
      <c r="C732" s="13"/>
    </row>
    <row r="733" spans="1:3" ht="13" x14ac:dyDescent="0.15">
      <c r="A733" s="10"/>
      <c r="B733" s="13"/>
      <c r="C733" s="13"/>
    </row>
    <row r="734" spans="1:3" ht="13" x14ac:dyDescent="0.15">
      <c r="A734" s="10"/>
      <c r="B734" s="13"/>
      <c r="C734" s="13"/>
    </row>
    <row r="735" spans="1:3" ht="13" x14ac:dyDescent="0.15">
      <c r="A735" s="10"/>
      <c r="B735" s="13"/>
      <c r="C735" s="13"/>
    </row>
    <row r="736" spans="1:3" ht="13" x14ac:dyDescent="0.15">
      <c r="A736" s="10"/>
      <c r="B736" s="13"/>
      <c r="C736" s="13"/>
    </row>
    <row r="737" spans="1:3" ht="13" x14ac:dyDescent="0.15">
      <c r="A737" s="10"/>
      <c r="B737" s="13"/>
      <c r="C737" s="13"/>
    </row>
    <row r="738" spans="1:3" ht="13" x14ac:dyDescent="0.15">
      <c r="A738" s="10"/>
      <c r="B738" s="13"/>
      <c r="C738" s="13"/>
    </row>
    <row r="739" spans="1:3" ht="13" x14ac:dyDescent="0.15">
      <c r="A739" s="10"/>
      <c r="B739" s="13"/>
      <c r="C739" s="13"/>
    </row>
    <row r="740" spans="1:3" ht="13" x14ac:dyDescent="0.15">
      <c r="A740" s="10"/>
      <c r="B740" s="13"/>
      <c r="C740" s="13"/>
    </row>
    <row r="741" spans="1:3" ht="13" x14ac:dyDescent="0.15">
      <c r="A741" s="10"/>
      <c r="B741" s="13"/>
      <c r="C741" s="13"/>
    </row>
    <row r="742" spans="1:3" ht="13" x14ac:dyDescent="0.15">
      <c r="A742" s="10"/>
      <c r="B742" s="13"/>
      <c r="C742" s="13"/>
    </row>
    <row r="743" spans="1:3" ht="13" x14ac:dyDescent="0.15">
      <c r="A743" s="10"/>
      <c r="B743" s="13"/>
      <c r="C743" s="13"/>
    </row>
    <row r="744" spans="1:3" ht="13" x14ac:dyDescent="0.15">
      <c r="A744" s="10"/>
      <c r="B744" s="13"/>
      <c r="C744" s="13"/>
    </row>
    <row r="745" spans="1:3" ht="13" x14ac:dyDescent="0.15">
      <c r="A745" s="10"/>
      <c r="B745" s="13"/>
      <c r="C745" s="13"/>
    </row>
    <row r="746" spans="1:3" ht="13" x14ac:dyDescent="0.15">
      <c r="A746" s="10"/>
      <c r="B746" s="13"/>
      <c r="C746" s="13"/>
    </row>
    <row r="747" spans="1:3" ht="13" x14ac:dyDescent="0.15">
      <c r="A747" s="10"/>
      <c r="B747" s="13"/>
      <c r="C747" s="13"/>
    </row>
    <row r="748" spans="1:3" ht="13" x14ac:dyDescent="0.15">
      <c r="A748" s="10"/>
      <c r="B748" s="13"/>
      <c r="C748" s="13"/>
    </row>
    <row r="749" spans="1:3" ht="13" x14ac:dyDescent="0.15">
      <c r="A749" s="10"/>
      <c r="B749" s="13"/>
      <c r="C749" s="13"/>
    </row>
    <row r="750" spans="1:3" ht="13" x14ac:dyDescent="0.15">
      <c r="A750" s="10"/>
      <c r="B750" s="13"/>
      <c r="C750" s="13"/>
    </row>
    <row r="751" spans="1:3" ht="13" x14ac:dyDescent="0.15">
      <c r="A751" s="10"/>
      <c r="B751" s="13"/>
      <c r="C751" s="13"/>
    </row>
    <row r="752" spans="1:3" ht="13" x14ac:dyDescent="0.15">
      <c r="A752" s="10"/>
      <c r="B752" s="13"/>
      <c r="C752" s="13"/>
    </row>
    <row r="753" spans="1:3" ht="13" x14ac:dyDescent="0.15">
      <c r="A753" s="10"/>
      <c r="B753" s="13"/>
      <c r="C753" s="13"/>
    </row>
    <row r="754" spans="1:3" ht="13" x14ac:dyDescent="0.15">
      <c r="A754" s="10"/>
      <c r="B754" s="13"/>
      <c r="C754" s="13"/>
    </row>
    <row r="755" spans="1:3" ht="13" x14ac:dyDescent="0.15">
      <c r="A755" s="10"/>
      <c r="B755" s="13"/>
      <c r="C755" s="13"/>
    </row>
    <row r="756" spans="1:3" ht="13" x14ac:dyDescent="0.15">
      <c r="A756" s="10"/>
      <c r="B756" s="13"/>
      <c r="C756" s="13"/>
    </row>
    <row r="757" spans="1:3" ht="13" x14ac:dyDescent="0.15">
      <c r="A757" s="10"/>
      <c r="B757" s="13"/>
      <c r="C757" s="13"/>
    </row>
    <row r="758" spans="1:3" ht="13" x14ac:dyDescent="0.15">
      <c r="A758" s="10"/>
      <c r="B758" s="13"/>
      <c r="C758" s="13"/>
    </row>
    <row r="759" spans="1:3" ht="13" x14ac:dyDescent="0.15">
      <c r="A759" s="10"/>
      <c r="B759" s="13"/>
      <c r="C759" s="13"/>
    </row>
    <row r="760" spans="1:3" ht="13" x14ac:dyDescent="0.15">
      <c r="A760" s="10"/>
      <c r="B760" s="13"/>
      <c r="C760" s="13"/>
    </row>
    <row r="761" spans="1:3" ht="13" x14ac:dyDescent="0.15">
      <c r="A761" s="10"/>
      <c r="B761" s="13"/>
      <c r="C761" s="13"/>
    </row>
    <row r="762" spans="1:3" ht="13" x14ac:dyDescent="0.15">
      <c r="A762" s="10"/>
      <c r="B762" s="13"/>
      <c r="C762" s="13"/>
    </row>
    <row r="763" spans="1:3" ht="13" x14ac:dyDescent="0.15">
      <c r="A763" s="10"/>
      <c r="B763" s="13"/>
      <c r="C763" s="13"/>
    </row>
    <row r="764" spans="1:3" ht="13" x14ac:dyDescent="0.15">
      <c r="A764" s="10"/>
      <c r="B764" s="13"/>
      <c r="C764" s="13"/>
    </row>
    <row r="765" spans="1:3" ht="13" x14ac:dyDescent="0.15">
      <c r="A765" s="10"/>
      <c r="B765" s="13"/>
      <c r="C765" s="13"/>
    </row>
    <row r="766" spans="1:3" ht="13" x14ac:dyDescent="0.15">
      <c r="A766" s="10"/>
      <c r="B766" s="13"/>
      <c r="C766" s="13"/>
    </row>
    <row r="767" spans="1:3" ht="13" x14ac:dyDescent="0.15">
      <c r="A767" s="10"/>
      <c r="B767" s="13"/>
      <c r="C767" s="13"/>
    </row>
    <row r="768" spans="1:3" ht="13" x14ac:dyDescent="0.15">
      <c r="A768" s="10"/>
      <c r="B768" s="13"/>
      <c r="C768" s="13"/>
    </row>
    <row r="769" spans="1:3" ht="13" x14ac:dyDescent="0.15">
      <c r="A769" s="10"/>
      <c r="B769" s="13"/>
      <c r="C769" s="13"/>
    </row>
    <row r="770" spans="1:3" ht="13" x14ac:dyDescent="0.15">
      <c r="A770" s="10"/>
      <c r="B770" s="13"/>
      <c r="C770" s="13"/>
    </row>
    <row r="771" spans="1:3" ht="13" x14ac:dyDescent="0.15">
      <c r="A771" s="10"/>
      <c r="B771" s="13"/>
      <c r="C771" s="13"/>
    </row>
    <row r="772" spans="1:3" ht="13" x14ac:dyDescent="0.15">
      <c r="A772" s="10"/>
      <c r="B772" s="13"/>
      <c r="C772" s="13"/>
    </row>
    <row r="773" spans="1:3" ht="13" x14ac:dyDescent="0.15">
      <c r="A773" s="10"/>
      <c r="B773" s="13"/>
      <c r="C773" s="13"/>
    </row>
    <row r="774" spans="1:3" ht="13" x14ac:dyDescent="0.15">
      <c r="A774" s="10"/>
      <c r="B774" s="13"/>
      <c r="C774" s="13"/>
    </row>
    <row r="775" spans="1:3" ht="13" x14ac:dyDescent="0.15">
      <c r="A775" s="10"/>
      <c r="B775" s="13"/>
      <c r="C775" s="13"/>
    </row>
    <row r="776" spans="1:3" ht="13" x14ac:dyDescent="0.15">
      <c r="A776" s="10"/>
      <c r="B776" s="13"/>
      <c r="C776" s="13"/>
    </row>
    <row r="777" spans="1:3" ht="13" x14ac:dyDescent="0.15">
      <c r="A777" s="10"/>
      <c r="B777" s="13"/>
      <c r="C777" s="13"/>
    </row>
    <row r="778" spans="1:3" ht="13" x14ac:dyDescent="0.15">
      <c r="A778" s="10"/>
      <c r="B778" s="13"/>
      <c r="C778" s="13"/>
    </row>
    <row r="779" spans="1:3" ht="13" x14ac:dyDescent="0.15">
      <c r="A779" s="10"/>
      <c r="B779" s="13"/>
      <c r="C779" s="13"/>
    </row>
    <row r="780" spans="1:3" ht="13" x14ac:dyDescent="0.15">
      <c r="A780" s="10"/>
      <c r="B780" s="13"/>
      <c r="C780" s="13"/>
    </row>
    <row r="781" spans="1:3" ht="13" x14ac:dyDescent="0.15">
      <c r="A781" s="10"/>
      <c r="B781" s="13"/>
      <c r="C781" s="13"/>
    </row>
    <row r="782" spans="1:3" ht="13" x14ac:dyDescent="0.15">
      <c r="A782" s="10"/>
      <c r="B782" s="13"/>
      <c r="C782" s="13"/>
    </row>
    <row r="783" spans="1:3" ht="13" x14ac:dyDescent="0.15">
      <c r="A783" s="10"/>
      <c r="B783" s="13"/>
      <c r="C783" s="13"/>
    </row>
    <row r="784" spans="1:3" ht="13" x14ac:dyDescent="0.15">
      <c r="A784" s="10"/>
      <c r="B784" s="13"/>
      <c r="C784" s="13"/>
    </row>
    <row r="785" spans="1:3" ht="13" x14ac:dyDescent="0.15">
      <c r="A785" s="10"/>
      <c r="B785" s="13"/>
      <c r="C785" s="13"/>
    </row>
    <row r="786" spans="1:3" ht="13" x14ac:dyDescent="0.15">
      <c r="A786" s="10"/>
      <c r="B786" s="13"/>
      <c r="C786" s="13"/>
    </row>
    <row r="787" spans="1:3" ht="13" x14ac:dyDescent="0.15">
      <c r="A787" s="10"/>
      <c r="B787" s="13"/>
      <c r="C787" s="13"/>
    </row>
    <row r="788" spans="1:3" ht="13" x14ac:dyDescent="0.15">
      <c r="A788" s="10"/>
      <c r="B788" s="13"/>
      <c r="C788" s="13"/>
    </row>
    <row r="789" spans="1:3" ht="13" x14ac:dyDescent="0.15">
      <c r="A789" s="10"/>
      <c r="B789" s="13"/>
      <c r="C789" s="13"/>
    </row>
    <row r="790" spans="1:3" ht="13" x14ac:dyDescent="0.15">
      <c r="A790" s="10"/>
      <c r="B790" s="13"/>
      <c r="C790" s="13"/>
    </row>
    <row r="791" spans="1:3" ht="13" x14ac:dyDescent="0.15">
      <c r="A791" s="10"/>
      <c r="B791" s="13"/>
      <c r="C791" s="13"/>
    </row>
    <row r="792" spans="1:3" ht="13" x14ac:dyDescent="0.15">
      <c r="A792" s="10"/>
      <c r="B792" s="13"/>
      <c r="C792" s="13"/>
    </row>
    <row r="793" spans="1:3" ht="13" x14ac:dyDescent="0.15">
      <c r="A793" s="10"/>
      <c r="B793" s="13"/>
      <c r="C793" s="13"/>
    </row>
    <row r="794" spans="1:3" ht="13" x14ac:dyDescent="0.15">
      <c r="A794" s="10"/>
      <c r="B794" s="13"/>
      <c r="C794" s="13"/>
    </row>
    <row r="795" spans="1:3" ht="13" x14ac:dyDescent="0.15">
      <c r="A795" s="10"/>
      <c r="B795" s="13"/>
      <c r="C795" s="13"/>
    </row>
    <row r="796" spans="1:3" ht="13" x14ac:dyDescent="0.15">
      <c r="A796" s="10"/>
      <c r="B796" s="13"/>
      <c r="C796" s="13"/>
    </row>
    <row r="797" spans="1:3" ht="13" x14ac:dyDescent="0.15">
      <c r="A797" s="10"/>
      <c r="B797" s="13"/>
      <c r="C797" s="13"/>
    </row>
    <row r="798" spans="1:3" ht="13" x14ac:dyDescent="0.15">
      <c r="A798" s="10"/>
      <c r="B798" s="13"/>
      <c r="C798" s="13"/>
    </row>
    <row r="799" spans="1:3" ht="13" x14ac:dyDescent="0.15">
      <c r="A799" s="10"/>
      <c r="B799" s="13"/>
      <c r="C799" s="13"/>
    </row>
    <row r="800" spans="1:3" ht="13" x14ac:dyDescent="0.15">
      <c r="A800" s="10"/>
      <c r="B800" s="13"/>
      <c r="C800" s="13"/>
    </row>
    <row r="801" spans="1:3" ht="13" x14ac:dyDescent="0.15">
      <c r="A801" s="10"/>
      <c r="B801" s="13"/>
      <c r="C801" s="13"/>
    </row>
    <row r="802" spans="1:3" ht="13" x14ac:dyDescent="0.15">
      <c r="A802" s="10"/>
      <c r="B802" s="13"/>
      <c r="C802" s="13"/>
    </row>
    <row r="803" spans="1:3" ht="13" x14ac:dyDescent="0.15">
      <c r="A803" s="10"/>
      <c r="B803" s="13"/>
      <c r="C803" s="13"/>
    </row>
    <row r="804" spans="1:3" ht="13" x14ac:dyDescent="0.15">
      <c r="A804" s="10"/>
      <c r="B804" s="13"/>
      <c r="C804" s="13"/>
    </row>
    <row r="805" spans="1:3" ht="13" x14ac:dyDescent="0.15">
      <c r="A805" s="10"/>
      <c r="B805" s="13"/>
      <c r="C805" s="13"/>
    </row>
    <row r="806" spans="1:3" ht="13" x14ac:dyDescent="0.15">
      <c r="A806" s="10"/>
      <c r="B806" s="13"/>
      <c r="C806" s="13"/>
    </row>
    <row r="807" spans="1:3" ht="13" x14ac:dyDescent="0.15">
      <c r="A807" s="10"/>
      <c r="B807" s="13"/>
      <c r="C807" s="13"/>
    </row>
    <row r="808" spans="1:3" ht="13" x14ac:dyDescent="0.15">
      <c r="A808" s="10"/>
      <c r="B808" s="13"/>
      <c r="C808" s="13"/>
    </row>
    <row r="809" spans="1:3" ht="13" x14ac:dyDescent="0.15">
      <c r="A809" s="10"/>
      <c r="B809" s="13"/>
      <c r="C809" s="13"/>
    </row>
    <row r="810" spans="1:3" ht="13" x14ac:dyDescent="0.15">
      <c r="A810" s="10"/>
      <c r="B810" s="13"/>
      <c r="C810" s="13"/>
    </row>
    <row r="811" spans="1:3" ht="13" x14ac:dyDescent="0.15">
      <c r="A811" s="10"/>
      <c r="B811" s="13"/>
      <c r="C811" s="13"/>
    </row>
    <row r="812" spans="1:3" ht="13" x14ac:dyDescent="0.15">
      <c r="A812" s="10"/>
      <c r="B812" s="13"/>
      <c r="C812" s="13"/>
    </row>
    <row r="813" spans="1:3" ht="13" x14ac:dyDescent="0.15">
      <c r="A813" s="10"/>
      <c r="B813" s="13"/>
      <c r="C813" s="13"/>
    </row>
    <row r="814" spans="1:3" ht="13" x14ac:dyDescent="0.15">
      <c r="A814" s="10"/>
      <c r="B814" s="13"/>
      <c r="C814" s="13"/>
    </row>
    <row r="815" spans="1:3" ht="13" x14ac:dyDescent="0.15">
      <c r="A815" s="10"/>
      <c r="B815" s="13"/>
      <c r="C815" s="13"/>
    </row>
    <row r="816" spans="1:3" ht="13" x14ac:dyDescent="0.15">
      <c r="A816" s="10"/>
      <c r="B816" s="13"/>
      <c r="C816" s="13"/>
    </row>
    <row r="817" spans="1:3" ht="13" x14ac:dyDescent="0.15">
      <c r="A817" s="10"/>
      <c r="B817" s="13"/>
      <c r="C817" s="13"/>
    </row>
    <row r="818" spans="1:3" ht="13" x14ac:dyDescent="0.15">
      <c r="A818" s="10"/>
      <c r="B818" s="13"/>
      <c r="C818" s="13"/>
    </row>
    <row r="819" spans="1:3" ht="13" x14ac:dyDescent="0.15">
      <c r="A819" s="10"/>
      <c r="B819" s="13"/>
      <c r="C819" s="13"/>
    </row>
    <row r="820" spans="1:3" ht="13" x14ac:dyDescent="0.15">
      <c r="A820" s="10"/>
      <c r="B820" s="13"/>
      <c r="C820" s="13"/>
    </row>
    <row r="821" spans="1:3" ht="13" x14ac:dyDescent="0.15">
      <c r="A821" s="10"/>
      <c r="B821" s="13"/>
      <c r="C821" s="13"/>
    </row>
    <row r="822" spans="1:3" ht="13" x14ac:dyDescent="0.15">
      <c r="A822" s="10"/>
      <c r="B822" s="13"/>
      <c r="C822" s="13"/>
    </row>
    <row r="823" spans="1:3" ht="13" x14ac:dyDescent="0.15">
      <c r="A823" s="10"/>
      <c r="B823" s="13"/>
      <c r="C823" s="13"/>
    </row>
    <row r="824" spans="1:3" ht="13" x14ac:dyDescent="0.15">
      <c r="A824" s="10"/>
      <c r="B824" s="13"/>
      <c r="C824" s="13"/>
    </row>
    <row r="825" spans="1:3" ht="13" x14ac:dyDescent="0.15">
      <c r="A825" s="10"/>
      <c r="B825" s="13"/>
      <c r="C825" s="13"/>
    </row>
    <row r="826" spans="1:3" ht="13" x14ac:dyDescent="0.15">
      <c r="A826" s="10"/>
      <c r="B826" s="13"/>
      <c r="C826" s="13"/>
    </row>
    <row r="827" spans="1:3" ht="13" x14ac:dyDescent="0.15">
      <c r="A827" s="10"/>
      <c r="B827" s="13"/>
      <c r="C827" s="13"/>
    </row>
    <row r="828" spans="1:3" ht="13" x14ac:dyDescent="0.15">
      <c r="A828" s="10"/>
      <c r="B828" s="13"/>
      <c r="C828" s="13"/>
    </row>
    <row r="829" spans="1:3" ht="13" x14ac:dyDescent="0.15">
      <c r="A829" s="10"/>
      <c r="B829" s="13"/>
      <c r="C829" s="13"/>
    </row>
    <row r="830" spans="1:3" ht="13" x14ac:dyDescent="0.15">
      <c r="A830" s="10"/>
      <c r="B830" s="13"/>
      <c r="C830" s="13"/>
    </row>
    <row r="831" spans="1:3" ht="13" x14ac:dyDescent="0.15">
      <c r="A831" s="10"/>
      <c r="B831" s="13"/>
      <c r="C831" s="13"/>
    </row>
    <row r="832" spans="1:3" ht="13" x14ac:dyDescent="0.15">
      <c r="A832" s="10"/>
      <c r="B832" s="13"/>
      <c r="C832" s="13"/>
    </row>
    <row r="833" spans="1:3" ht="13" x14ac:dyDescent="0.15">
      <c r="A833" s="10"/>
      <c r="B833" s="13"/>
      <c r="C833" s="13"/>
    </row>
    <row r="834" spans="1:3" ht="13" x14ac:dyDescent="0.15">
      <c r="A834" s="10"/>
      <c r="B834" s="13"/>
      <c r="C834" s="13"/>
    </row>
    <row r="835" spans="1:3" ht="13" x14ac:dyDescent="0.15">
      <c r="A835" s="10"/>
      <c r="B835" s="13"/>
      <c r="C835" s="13"/>
    </row>
    <row r="836" spans="1:3" ht="13" x14ac:dyDescent="0.15">
      <c r="A836" s="10"/>
      <c r="B836" s="13"/>
      <c r="C836" s="13"/>
    </row>
    <row r="837" spans="1:3" ht="13" x14ac:dyDescent="0.15">
      <c r="A837" s="10"/>
      <c r="B837" s="13"/>
      <c r="C837" s="13"/>
    </row>
    <row r="838" spans="1:3" ht="13" x14ac:dyDescent="0.15">
      <c r="A838" s="10"/>
      <c r="B838" s="13"/>
      <c r="C838" s="13"/>
    </row>
    <row r="839" spans="1:3" ht="13" x14ac:dyDescent="0.15">
      <c r="A839" s="10"/>
      <c r="B839" s="13"/>
      <c r="C839" s="13"/>
    </row>
    <row r="840" spans="1:3" ht="13" x14ac:dyDescent="0.15">
      <c r="A840" s="10"/>
      <c r="B840" s="13"/>
      <c r="C840" s="13"/>
    </row>
    <row r="841" spans="1:3" ht="13" x14ac:dyDescent="0.15">
      <c r="A841" s="10"/>
      <c r="B841" s="13"/>
      <c r="C841" s="13"/>
    </row>
    <row r="842" spans="1:3" ht="13" x14ac:dyDescent="0.15">
      <c r="A842" s="10"/>
      <c r="B842" s="13"/>
      <c r="C842" s="13"/>
    </row>
    <row r="843" spans="1:3" ht="13" x14ac:dyDescent="0.15">
      <c r="A843" s="10"/>
      <c r="B843" s="13"/>
      <c r="C843" s="13"/>
    </row>
    <row r="844" spans="1:3" ht="13" x14ac:dyDescent="0.15">
      <c r="A844" s="10"/>
      <c r="B844" s="13"/>
      <c r="C844" s="13"/>
    </row>
    <row r="845" spans="1:3" ht="13" x14ac:dyDescent="0.15">
      <c r="A845" s="10"/>
      <c r="B845" s="13"/>
      <c r="C845" s="13"/>
    </row>
    <row r="846" spans="1:3" ht="13" x14ac:dyDescent="0.15">
      <c r="A846" s="10"/>
      <c r="B846" s="13"/>
      <c r="C846" s="13"/>
    </row>
    <row r="847" spans="1:3" ht="13" x14ac:dyDescent="0.15">
      <c r="A847" s="10"/>
      <c r="B847" s="13"/>
      <c r="C847" s="13"/>
    </row>
    <row r="848" spans="1:3" ht="13" x14ac:dyDescent="0.15">
      <c r="A848" s="10"/>
      <c r="B848" s="13"/>
      <c r="C848" s="13"/>
    </row>
    <row r="849" spans="1:3" ht="13" x14ac:dyDescent="0.15">
      <c r="A849" s="10"/>
      <c r="B849" s="13"/>
      <c r="C849" s="13"/>
    </row>
    <row r="850" spans="1:3" ht="13" x14ac:dyDescent="0.15">
      <c r="A850" s="10"/>
      <c r="B850" s="13"/>
      <c r="C850" s="13"/>
    </row>
    <row r="851" spans="1:3" ht="13" x14ac:dyDescent="0.15">
      <c r="A851" s="10"/>
      <c r="B851" s="13"/>
      <c r="C851" s="13"/>
    </row>
    <row r="852" spans="1:3" ht="13" x14ac:dyDescent="0.15">
      <c r="A852" s="10"/>
      <c r="B852" s="13"/>
      <c r="C852" s="13"/>
    </row>
    <row r="853" spans="1:3" ht="13" x14ac:dyDescent="0.15">
      <c r="A853" s="10"/>
      <c r="B853" s="13"/>
      <c r="C853" s="13"/>
    </row>
    <row r="854" spans="1:3" ht="13" x14ac:dyDescent="0.15">
      <c r="A854" s="10"/>
      <c r="B854" s="13"/>
      <c r="C854" s="13"/>
    </row>
    <row r="855" spans="1:3" ht="13" x14ac:dyDescent="0.15">
      <c r="A855" s="10"/>
      <c r="B855" s="13"/>
      <c r="C855" s="13"/>
    </row>
    <row r="856" spans="1:3" ht="13" x14ac:dyDescent="0.15">
      <c r="A856" s="10"/>
      <c r="B856" s="13"/>
      <c r="C856" s="13"/>
    </row>
    <row r="857" spans="1:3" ht="13" x14ac:dyDescent="0.15">
      <c r="A857" s="10"/>
      <c r="B857" s="13"/>
      <c r="C857" s="13"/>
    </row>
    <row r="858" spans="1:3" ht="13" x14ac:dyDescent="0.15">
      <c r="A858" s="10"/>
      <c r="B858" s="13"/>
      <c r="C858" s="13"/>
    </row>
    <row r="859" spans="1:3" ht="13" x14ac:dyDescent="0.15">
      <c r="A859" s="10"/>
      <c r="B859" s="13"/>
      <c r="C859" s="13"/>
    </row>
    <row r="860" spans="1:3" ht="13" x14ac:dyDescent="0.15">
      <c r="A860" s="10"/>
      <c r="B860" s="13"/>
      <c r="C860" s="13"/>
    </row>
    <row r="861" spans="1:3" ht="13" x14ac:dyDescent="0.15">
      <c r="A861" s="10"/>
      <c r="B861" s="13"/>
      <c r="C861" s="13"/>
    </row>
    <row r="862" spans="1:3" ht="13" x14ac:dyDescent="0.15">
      <c r="A862" s="10"/>
      <c r="B862" s="13"/>
      <c r="C862" s="13"/>
    </row>
    <row r="863" spans="1:3" ht="13" x14ac:dyDescent="0.15">
      <c r="A863" s="10"/>
      <c r="B863" s="13"/>
      <c r="C863" s="13"/>
    </row>
    <row r="864" spans="1:3" ht="13" x14ac:dyDescent="0.15">
      <c r="A864" s="10"/>
      <c r="B864" s="13"/>
      <c r="C864" s="13"/>
    </row>
    <row r="865" spans="1:3" ht="13" x14ac:dyDescent="0.15">
      <c r="A865" s="10"/>
      <c r="B865" s="13"/>
      <c r="C865" s="13"/>
    </row>
    <row r="866" spans="1:3" ht="13" x14ac:dyDescent="0.15">
      <c r="A866" s="10"/>
      <c r="B866" s="13"/>
      <c r="C866" s="13"/>
    </row>
    <row r="867" spans="1:3" ht="13" x14ac:dyDescent="0.15">
      <c r="A867" s="10"/>
      <c r="B867" s="13"/>
      <c r="C867" s="13"/>
    </row>
    <row r="868" spans="1:3" ht="13" x14ac:dyDescent="0.15">
      <c r="A868" s="10"/>
      <c r="B868" s="13"/>
      <c r="C868" s="13"/>
    </row>
    <row r="869" spans="1:3" ht="13" x14ac:dyDescent="0.15">
      <c r="A869" s="10"/>
      <c r="B869" s="13"/>
      <c r="C869" s="13"/>
    </row>
    <row r="870" spans="1:3" ht="13" x14ac:dyDescent="0.15">
      <c r="A870" s="10"/>
      <c r="B870" s="13"/>
      <c r="C870" s="13"/>
    </row>
    <row r="871" spans="1:3" ht="13" x14ac:dyDescent="0.15">
      <c r="A871" s="10"/>
      <c r="B871" s="13"/>
      <c r="C871" s="13"/>
    </row>
    <row r="872" spans="1:3" ht="13" x14ac:dyDescent="0.15">
      <c r="A872" s="10"/>
      <c r="B872" s="13"/>
      <c r="C872" s="13"/>
    </row>
    <row r="873" spans="1:3" ht="13" x14ac:dyDescent="0.15">
      <c r="A873" s="10"/>
      <c r="B873" s="13"/>
      <c r="C873" s="13"/>
    </row>
    <row r="874" spans="1:3" ht="13" x14ac:dyDescent="0.15">
      <c r="A874" s="10"/>
      <c r="B874" s="13"/>
      <c r="C874" s="13"/>
    </row>
    <row r="875" spans="1:3" ht="13" x14ac:dyDescent="0.15">
      <c r="A875" s="10"/>
      <c r="B875" s="13"/>
      <c r="C875" s="13"/>
    </row>
    <row r="876" spans="1:3" ht="13" x14ac:dyDescent="0.15">
      <c r="A876" s="10"/>
      <c r="B876" s="13"/>
      <c r="C876" s="13"/>
    </row>
    <row r="877" spans="1:3" ht="13" x14ac:dyDescent="0.15">
      <c r="A877" s="10"/>
      <c r="B877" s="13"/>
      <c r="C877" s="13"/>
    </row>
    <row r="878" spans="1:3" ht="13" x14ac:dyDescent="0.15">
      <c r="A878" s="10"/>
      <c r="B878" s="13"/>
      <c r="C878" s="13"/>
    </row>
    <row r="879" spans="1:3" ht="13" x14ac:dyDescent="0.15">
      <c r="A879" s="10"/>
      <c r="B879" s="13"/>
      <c r="C879" s="13"/>
    </row>
    <row r="880" spans="1:3" ht="13" x14ac:dyDescent="0.15">
      <c r="A880" s="10"/>
      <c r="B880" s="13"/>
      <c r="C880" s="13"/>
    </row>
    <row r="881" spans="1:3" ht="13" x14ac:dyDescent="0.15">
      <c r="A881" s="10"/>
      <c r="B881" s="13"/>
      <c r="C881" s="13"/>
    </row>
    <row r="882" spans="1:3" ht="13" x14ac:dyDescent="0.15">
      <c r="A882" s="10"/>
      <c r="B882" s="13"/>
      <c r="C882" s="13"/>
    </row>
    <row r="883" spans="1:3" ht="13" x14ac:dyDescent="0.15">
      <c r="A883" s="10"/>
      <c r="B883" s="13"/>
      <c r="C883" s="13"/>
    </row>
    <row r="884" spans="1:3" ht="13" x14ac:dyDescent="0.15">
      <c r="A884" s="10"/>
      <c r="B884" s="13"/>
      <c r="C884" s="13"/>
    </row>
    <row r="885" spans="1:3" ht="13" x14ac:dyDescent="0.15">
      <c r="A885" s="10"/>
      <c r="B885" s="13"/>
      <c r="C885" s="13"/>
    </row>
    <row r="886" spans="1:3" ht="13" x14ac:dyDescent="0.15">
      <c r="A886" s="10"/>
      <c r="B886" s="13"/>
      <c r="C886" s="13"/>
    </row>
    <row r="887" spans="1:3" ht="13" x14ac:dyDescent="0.15">
      <c r="A887" s="10"/>
      <c r="B887" s="13"/>
      <c r="C887" s="13"/>
    </row>
    <row r="888" spans="1:3" ht="13" x14ac:dyDescent="0.15">
      <c r="A888" s="10"/>
      <c r="B888" s="13"/>
      <c r="C888" s="13"/>
    </row>
    <row r="889" spans="1:3" ht="13" x14ac:dyDescent="0.15">
      <c r="A889" s="10"/>
      <c r="B889" s="13"/>
      <c r="C889" s="13"/>
    </row>
    <row r="890" spans="1:3" ht="13" x14ac:dyDescent="0.15">
      <c r="A890" s="10"/>
      <c r="B890" s="13"/>
      <c r="C890" s="13"/>
    </row>
    <row r="891" spans="1:3" ht="13" x14ac:dyDescent="0.15">
      <c r="A891" s="10"/>
      <c r="B891" s="13"/>
      <c r="C891" s="13"/>
    </row>
    <row r="892" spans="1:3" ht="13" x14ac:dyDescent="0.15">
      <c r="A892" s="10"/>
      <c r="B892" s="13"/>
      <c r="C892" s="13"/>
    </row>
    <row r="893" spans="1:3" ht="13" x14ac:dyDescent="0.15">
      <c r="A893" s="10"/>
      <c r="B893" s="13"/>
      <c r="C893" s="13"/>
    </row>
    <row r="894" spans="1:3" ht="13" x14ac:dyDescent="0.15">
      <c r="A894" s="10"/>
      <c r="B894" s="13"/>
      <c r="C894" s="13"/>
    </row>
    <row r="895" spans="1:3" ht="13" x14ac:dyDescent="0.15">
      <c r="A895" s="10"/>
      <c r="B895" s="13"/>
      <c r="C895" s="13"/>
    </row>
    <row r="896" spans="1:3" ht="13" x14ac:dyDescent="0.15">
      <c r="A896" s="10"/>
      <c r="B896" s="13"/>
      <c r="C896" s="13"/>
    </row>
    <row r="897" spans="1:3" ht="13" x14ac:dyDescent="0.15">
      <c r="A897" s="10"/>
      <c r="B897" s="13"/>
      <c r="C897" s="13"/>
    </row>
    <row r="898" spans="1:3" ht="13" x14ac:dyDescent="0.15">
      <c r="A898" s="10"/>
      <c r="B898" s="13"/>
      <c r="C898" s="13"/>
    </row>
    <row r="899" spans="1:3" ht="13" x14ac:dyDescent="0.15">
      <c r="A899" s="10"/>
      <c r="B899" s="13"/>
      <c r="C899" s="13"/>
    </row>
    <row r="900" spans="1:3" ht="13" x14ac:dyDescent="0.15">
      <c r="A900" s="10"/>
      <c r="B900" s="13"/>
      <c r="C900" s="13"/>
    </row>
    <row r="901" spans="1:3" ht="13" x14ac:dyDescent="0.15">
      <c r="A901" s="10"/>
      <c r="B901" s="13"/>
      <c r="C901" s="13"/>
    </row>
    <row r="902" spans="1:3" ht="13" x14ac:dyDescent="0.15">
      <c r="A902" s="10"/>
      <c r="B902" s="13"/>
      <c r="C902" s="13"/>
    </row>
    <row r="903" spans="1:3" ht="13" x14ac:dyDescent="0.15">
      <c r="A903" s="10"/>
      <c r="B903" s="13"/>
      <c r="C903" s="13"/>
    </row>
    <row r="904" spans="1:3" ht="13" x14ac:dyDescent="0.15">
      <c r="A904" s="10"/>
      <c r="B904" s="13"/>
      <c r="C904" s="13"/>
    </row>
    <row r="905" spans="1:3" ht="13" x14ac:dyDescent="0.15">
      <c r="A905" s="10"/>
      <c r="B905" s="13"/>
      <c r="C905" s="13"/>
    </row>
    <row r="906" spans="1:3" ht="13" x14ac:dyDescent="0.15">
      <c r="A906" s="10"/>
      <c r="B906" s="13"/>
      <c r="C906" s="13"/>
    </row>
    <row r="907" spans="1:3" ht="13" x14ac:dyDescent="0.15">
      <c r="A907" s="10"/>
      <c r="B907" s="13"/>
      <c r="C907" s="13"/>
    </row>
    <row r="908" spans="1:3" ht="13" x14ac:dyDescent="0.15">
      <c r="A908" s="10"/>
      <c r="B908" s="13"/>
      <c r="C908" s="13"/>
    </row>
    <row r="909" spans="1:3" ht="13" x14ac:dyDescent="0.15">
      <c r="A909" s="10"/>
      <c r="B909" s="13"/>
      <c r="C909" s="13"/>
    </row>
    <row r="910" spans="1:3" ht="13" x14ac:dyDescent="0.15">
      <c r="A910" s="10"/>
      <c r="B910" s="13"/>
      <c r="C910" s="13"/>
    </row>
    <row r="911" spans="1:3" ht="13" x14ac:dyDescent="0.15">
      <c r="A911" s="10"/>
      <c r="B911" s="13"/>
      <c r="C911" s="13"/>
    </row>
    <row r="912" spans="1:3" ht="13" x14ac:dyDescent="0.15">
      <c r="A912" s="10"/>
      <c r="B912" s="13"/>
      <c r="C912" s="13"/>
    </row>
    <row r="913" spans="1:3" ht="13" x14ac:dyDescent="0.15">
      <c r="A913" s="10"/>
      <c r="B913" s="13"/>
      <c r="C913" s="13"/>
    </row>
    <row r="914" spans="1:3" ht="13" x14ac:dyDescent="0.15">
      <c r="A914" s="10"/>
      <c r="B914" s="13"/>
      <c r="C914" s="13"/>
    </row>
    <row r="915" spans="1:3" ht="13" x14ac:dyDescent="0.15">
      <c r="A915" s="10"/>
      <c r="B915" s="13"/>
      <c r="C915" s="13"/>
    </row>
    <row r="916" spans="1:3" ht="13" x14ac:dyDescent="0.15">
      <c r="A916" s="10"/>
      <c r="B916" s="13"/>
      <c r="C916" s="13"/>
    </row>
    <row r="917" spans="1:3" ht="13" x14ac:dyDescent="0.15">
      <c r="A917" s="10"/>
      <c r="B917" s="13"/>
      <c r="C917" s="13"/>
    </row>
    <row r="918" spans="1:3" ht="13" x14ac:dyDescent="0.15">
      <c r="A918" s="10"/>
      <c r="B918" s="13"/>
      <c r="C918" s="13"/>
    </row>
    <row r="919" spans="1:3" ht="13" x14ac:dyDescent="0.15">
      <c r="A919" s="10"/>
      <c r="B919" s="13"/>
      <c r="C919" s="13"/>
    </row>
    <row r="920" spans="1:3" ht="13" x14ac:dyDescent="0.15">
      <c r="A920" s="10"/>
      <c r="B920" s="13"/>
      <c r="C920" s="13"/>
    </row>
    <row r="921" spans="1:3" ht="13" x14ac:dyDescent="0.15">
      <c r="A921" s="10"/>
      <c r="B921" s="13"/>
      <c r="C921" s="13"/>
    </row>
    <row r="922" spans="1:3" ht="13" x14ac:dyDescent="0.15">
      <c r="A922" s="10"/>
      <c r="B922" s="13"/>
      <c r="C922" s="13"/>
    </row>
    <row r="923" spans="1:3" ht="13" x14ac:dyDescent="0.15">
      <c r="A923" s="10"/>
      <c r="B923" s="13"/>
      <c r="C923" s="13"/>
    </row>
    <row r="924" spans="1:3" ht="13" x14ac:dyDescent="0.15">
      <c r="A924" s="10"/>
      <c r="B924" s="13"/>
      <c r="C924" s="13"/>
    </row>
    <row r="925" spans="1:3" ht="13" x14ac:dyDescent="0.15">
      <c r="A925" s="10"/>
      <c r="B925" s="13"/>
      <c r="C925" s="13"/>
    </row>
    <row r="926" spans="1:3" ht="13" x14ac:dyDescent="0.15">
      <c r="A926" s="10"/>
      <c r="B926" s="13"/>
      <c r="C926" s="13"/>
    </row>
    <row r="927" spans="1:3" ht="13" x14ac:dyDescent="0.15">
      <c r="A927" s="10"/>
      <c r="B927" s="13"/>
      <c r="C927" s="13"/>
    </row>
    <row r="928" spans="1:3" ht="13" x14ac:dyDescent="0.15">
      <c r="A928" s="10"/>
      <c r="B928" s="13"/>
      <c r="C928" s="13"/>
    </row>
    <row r="929" spans="1:3" ht="13" x14ac:dyDescent="0.15">
      <c r="A929" s="10"/>
      <c r="B929" s="13"/>
      <c r="C929" s="13"/>
    </row>
    <row r="930" spans="1:3" ht="13" x14ac:dyDescent="0.15">
      <c r="A930" s="10"/>
      <c r="B930" s="13"/>
      <c r="C930" s="13"/>
    </row>
    <row r="931" spans="1:3" ht="13" x14ac:dyDescent="0.15">
      <c r="A931" s="10"/>
      <c r="B931" s="13"/>
      <c r="C931" s="13"/>
    </row>
    <row r="932" spans="1:3" ht="13" x14ac:dyDescent="0.15">
      <c r="A932" s="10"/>
      <c r="B932" s="13"/>
      <c r="C932" s="13"/>
    </row>
    <row r="933" spans="1:3" ht="13" x14ac:dyDescent="0.15">
      <c r="A933" s="10"/>
      <c r="B933" s="13"/>
      <c r="C933" s="13"/>
    </row>
    <row r="934" spans="1:3" ht="13" x14ac:dyDescent="0.15">
      <c r="A934" s="10"/>
      <c r="B934" s="13"/>
      <c r="C934" s="13"/>
    </row>
    <row r="935" spans="1:3" ht="13" x14ac:dyDescent="0.15">
      <c r="A935" s="10"/>
      <c r="B935" s="13"/>
      <c r="C935" s="13"/>
    </row>
    <row r="936" spans="1:3" ht="13" x14ac:dyDescent="0.15">
      <c r="A936" s="10"/>
      <c r="B936" s="13"/>
      <c r="C936" s="13"/>
    </row>
    <row r="937" spans="1:3" ht="13" x14ac:dyDescent="0.15">
      <c r="A937" s="10"/>
      <c r="B937" s="13"/>
      <c r="C937" s="13"/>
    </row>
    <row r="938" spans="1:3" ht="13" x14ac:dyDescent="0.15">
      <c r="A938" s="10"/>
      <c r="B938" s="13"/>
      <c r="C938" s="13"/>
    </row>
    <row r="939" spans="1:3" ht="13" x14ac:dyDescent="0.15">
      <c r="A939" s="10"/>
      <c r="B939" s="13"/>
      <c r="C939" s="13"/>
    </row>
    <row r="940" spans="1:3" ht="13" x14ac:dyDescent="0.15">
      <c r="A940" s="10"/>
      <c r="B940" s="13"/>
      <c r="C940" s="13"/>
    </row>
    <row r="941" spans="1:3" ht="13" x14ac:dyDescent="0.15">
      <c r="A941" s="10"/>
      <c r="B941" s="13"/>
      <c r="C941" s="13"/>
    </row>
    <row r="942" spans="1:3" ht="13" x14ac:dyDescent="0.15">
      <c r="A942" s="10"/>
      <c r="B942" s="13"/>
      <c r="C942" s="13"/>
    </row>
    <row r="943" spans="1:3" ht="13" x14ac:dyDescent="0.15">
      <c r="A943" s="10"/>
      <c r="B943" s="13"/>
      <c r="C943" s="13"/>
    </row>
    <row r="944" spans="1:3" ht="13" x14ac:dyDescent="0.15">
      <c r="A944" s="10"/>
      <c r="B944" s="13"/>
      <c r="C944" s="13"/>
    </row>
    <row r="945" spans="1:3" ht="13" x14ac:dyDescent="0.15">
      <c r="A945" s="10"/>
      <c r="B945" s="13"/>
      <c r="C945" s="13"/>
    </row>
    <row r="946" spans="1:3" ht="13" x14ac:dyDescent="0.15">
      <c r="A946" s="10"/>
      <c r="B946" s="13"/>
      <c r="C946" s="13"/>
    </row>
    <row r="947" spans="1:3" ht="13" x14ac:dyDescent="0.15">
      <c r="A947" s="10"/>
      <c r="B947" s="13"/>
      <c r="C947" s="13"/>
    </row>
    <row r="948" spans="1:3" ht="13" x14ac:dyDescent="0.15">
      <c r="A948" s="10"/>
      <c r="B948" s="13"/>
      <c r="C948" s="13"/>
    </row>
    <row r="949" spans="1:3" ht="13" x14ac:dyDescent="0.15">
      <c r="A949" s="10"/>
      <c r="B949" s="13"/>
      <c r="C949" s="13"/>
    </row>
    <row r="950" spans="1:3" ht="13" x14ac:dyDescent="0.15">
      <c r="A950" s="10"/>
      <c r="B950" s="13"/>
      <c r="C950" s="13"/>
    </row>
    <row r="951" spans="1:3" ht="13" x14ac:dyDescent="0.15">
      <c r="A951" s="10"/>
      <c r="B951" s="13"/>
      <c r="C951" s="13"/>
    </row>
    <row r="952" spans="1:3" ht="13" x14ac:dyDescent="0.15">
      <c r="A952" s="10"/>
      <c r="B952" s="13"/>
      <c r="C952" s="13"/>
    </row>
    <row r="953" spans="1:3" ht="13" x14ac:dyDescent="0.15">
      <c r="A953" s="10"/>
      <c r="B953" s="13"/>
      <c r="C953" s="13"/>
    </row>
    <row r="954" spans="1:3" ht="13" x14ac:dyDescent="0.15">
      <c r="A954" s="10"/>
      <c r="B954" s="13"/>
      <c r="C954" s="13"/>
    </row>
    <row r="955" spans="1:3" ht="13" x14ac:dyDescent="0.15">
      <c r="A955" s="10"/>
      <c r="B955" s="13"/>
      <c r="C955" s="13"/>
    </row>
    <row r="956" spans="1:3" ht="13" x14ac:dyDescent="0.15">
      <c r="A956" s="10"/>
      <c r="B956" s="13"/>
      <c r="C956" s="13"/>
    </row>
    <row r="957" spans="1:3" ht="13" x14ac:dyDescent="0.15">
      <c r="A957" s="10"/>
      <c r="B957" s="13"/>
      <c r="C957" s="13"/>
    </row>
    <row r="958" spans="1:3" ht="13" x14ac:dyDescent="0.15">
      <c r="A958" s="10"/>
      <c r="B958" s="13"/>
      <c r="C958" s="13"/>
    </row>
    <row r="959" spans="1:3" ht="13" x14ac:dyDescent="0.15">
      <c r="A959" s="10"/>
      <c r="B959" s="13"/>
      <c r="C959" s="13"/>
    </row>
    <row r="960" spans="1:3" ht="13" x14ac:dyDescent="0.15">
      <c r="A960" s="10"/>
      <c r="B960" s="13"/>
      <c r="C960" s="13"/>
    </row>
    <row r="961" spans="1:3" ht="13" x14ac:dyDescent="0.15">
      <c r="A961" s="10"/>
      <c r="B961" s="13"/>
      <c r="C961" s="13"/>
    </row>
    <row r="962" spans="1:3" ht="13" x14ac:dyDescent="0.15">
      <c r="A962" s="10"/>
      <c r="B962" s="13"/>
      <c r="C962" s="13"/>
    </row>
    <row r="963" spans="1:3" ht="13" x14ac:dyDescent="0.15">
      <c r="A963" s="10"/>
      <c r="B963" s="13"/>
      <c r="C963" s="13"/>
    </row>
    <row r="964" spans="1:3" ht="13" x14ac:dyDescent="0.15">
      <c r="A964" s="10"/>
      <c r="B964" s="13"/>
      <c r="C964" s="13"/>
    </row>
    <row r="965" spans="1:3" ht="13" x14ac:dyDescent="0.15">
      <c r="A965" s="10"/>
      <c r="B965" s="13"/>
      <c r="C965" s="13"/>
    </row>
    <row r="966" spans="1:3" ht="13" x14ac:dyDescent="0.15">
      <c r="A966" s="10"/>
      <c r="B966" s="13"/>
      <c r="C966" s="13"/>
    </row>
    <row r="967" spans="1:3" ht="13" x14ac:dyDescent="0.15">
      <c r="A967" s="10"/>
      <c r="B967" s="13"/>
      <c r="C967" s="13"/>
    </row>
    <row r="968" spans="1:3" ht="13" x14ac:dyDescent="0.15">
      <c r="A968" s="10"/>
      <c r="B968" s="13"/>
      <c r="C968" s="13"/>
    </row>
    <row r="969" spans="1:3" ht="13" x14ac:dyDescent="0.15">
      <c r="A969" s="10"/>
      <c r="B969" s="13"/>
      <c r="C969" s="13"/>
    </row>
    <row r="970" spans="1:3" ht="13" x14ac:dyDescent="0.15">
      <c r="A970" s="10"/>
      <c r="B970" s="13"/>
      <c r="C970" s="13"/>
    </row>
    <row r="971" spans="1:3" ht="13" x14ac:dyDescent="0.15">
      <c r="A971" s="10"/>
      <c r="B971" s="13"/>
      <c r="C971" s="13"/>
    </row>
    <row r="972" spans="1:3" ht="13" x14ac:dyDescent="0.15">
      <c r="A972" s="10"/>
      <c r="B972" s="13"/>
      <c r="C972" s="13"/>
    </row>
    <row r="973" spans="1:3" ht="13" x14ac:dyDescent="0.15">
      <c r="A973" s="10"/>
      <c r="B973" s="13"/>
      <c r="C973" s="13"/>
    </row>
    <row r="974" spans="1:3" ht="13" x14ac:dyDescent="0.15">
      <c r="A974" s="10"/>
      <c r="B974" s="13"/>
      <c r="C974" s="13"/>
    </row>
    <row r="975" spans="1:3" ht="13" x14ac:dyDescent="0.15">
      <c r="A975" s="10"/>
      <c r="B975" s="13"/>
      <c r="C975" s="13"/>
    </row>
    <row r="976" spans="1:3" ht="13" x14ac:dyDescent="0.15">
      <c r="A976" s="10"/>
      <c r="B976" s="13"/>
      <c r="C976" s="13"/>
    </row>
    <row r="977" spans="1:3" ht="13" x14ac:dyDescent="0.15">
      <c r="A977" s="10"/>
      <c r="B977" s="13"/>
      <c r="C977" s="13"/>
    </row>
    <row r="978" spans="1:3" ht="13" x14ac:dyDescent="0.15">
      <c r="A978" s="10"/>
      <c r="B978" s="13"/>
      <c r="C978" s="13"/>
    </row>
    <row r="979" spans="1:3" ht="13" x14ac:dyDescent="0.15">
      <c r="A979" s="10"/>
      <c r="B979" s="13"/>
      <c r="C979" s="13"/>
    </row>
    <row r="980" spans="1:3" ht="13" x14ac:dyDescent="0.15">
      <c r="A980" s="10"/>
      <c r="B980" s="13"/>
      <c r="C980" s="13"/>
    </row>
    <row r="981" spans="1:3" ht="13" x14ac:dyDescent="0.15">
      <c r="A981" s="10"/>
      <c r="B981" s="13"/>
      <c r="C981" s="13"/>
    </row>
    <row r="982" spans="1:3" ht="13" x14ac:dyDescent="0.15">
      <c r="A982" s="10"/>
      <c r="B982" s="13"/>
      <c r="C982" s="13"/>
    </row>
    <row r="983" spans="1:3" ht="13" x14ac:dyDescent="0.15">
      <c r="A983" s="10"/>
      <c r="B983" s="13"/>
      <c r="C983" s="13"/>
    </row>
    <row r="984" spans="1:3" ht="13" x14ac:dyDescent="0.15">
      <c r="A984" s="10"/>
      <c r="B984" s="13"/>
      <c r="C984" s="13"/>
    </row>
    <row r="985" spans="1:3" ht="13" x14ac:dyDescent="0.15">
      <c r="A985" s="10"/>
      <c r="B985" s="13"/>
      <c r="C985" s="13"/>
    </row>
    <row r="986" spans="1:3" ht="13" x14ac:dyDescent="0.15">
      <c r="A986" s="10"/>
      <c r="B986" s="13"/>
      <c r="C986" s="13"/>
    </row>
    <row r="987" spans="1:3" ht="13" x14ac:dyDescent="0.15">
      <c r="A987" s="10"/>
      <c r="B987" s="13"/>
      <c r="C987" s="13"/>
    </row>
    <row r="988" spans="1:3" ht="13" x14ac:dyDescent="0.15">
      <c r="A988" s="10"/>
      <c r="B988" s="13"/>
      <c r="C988" s="13"/>
    </row>
    <row r="989" spans="1:3" ht="13" x14ac:dyDescent="0.15">
      <c r="A989" s="10"/>
      <c r="B989" s="13"/>
      <c r="C989" s="13"/>
    </row>
    <row r="990" spans="1:3" ht="13" x14ac:dyDescent="0.15">
      <c r="A990" s="10"/>
      <c r="B990" s="13"/>
      <c r="C990" s="13"/>
    </row>
    <row r="991" spans="1:3" ht="13" x14ac:dyDescent="0.15">
      <c r="A991" s="10"/>
      <c r="B991" s="13"/>
      <c r="C991" s="13"/>
    </row>
    <row r="992" spans="1:3" ht="13" x14ac:dyDescent="0.15">
      <c r="A992" s="10"/>
      <c r="B992" s="13"/>
      <c r="C992" s="13"/>
    </row>
    <row r="993" spans="1:3" ht="13" x14ac:dyDescent="0.15">
      <c r="A993" s="10"/>
      <c r="B993" s="13"/>
      <c r="C993" s="13"/>
    </row>
    <row r="994" spans="1:3" ht="13" x14ac:dyDescent="0.15">
      <c r="A994" s="10"/>
      <c r="B994" s="13"/>
      <c r="C994" s="13"/>
    </row>
    <row r="995" spans="1:3" ht="13" x14ac:dyDescent="0.15">
      <c r="A995" s="10"/>
      <c r="B995" s="13"/>
      <c r="C995" s="13"/>
    </row>
    <row r="996" spans="1:3" ht="13" x14ac:dyDescent="0.15">
      <c r="A996" s="10"/>
      <c r="B996" s="13"/>
      <c r="C996" s="13"/>
    </row>
    <row r="997" spans="1:3" ht="13" x14ac:dyDescent="0.15">
      <c r="A997" s="10"/>
      <c r="B997" s="13"/>
      <c r="C997" s="13"/>
    </row>
  </sheetData>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outlinePr summaryBelow="0" summaryRight="0"/>
  </sheetPr>
  <dimension ref="A1:Z997"/>
  <sheetViews>
    <sheetView tabSelected="1" workbookViewId="0"/>
  </sheetViews>
  <sheetFormatPr baseColWidth="10" defaultColWidth="12.6640625" defaultRowHeight="15.75" customHeight="1" x14ac:dyDescent="0.15"/>
  <cols>
    <col min="1" max="1" width="71.5" customWidth="1"/>
    <col min="2" max="4" width="37.6640625" customWidth="1"/>
  </cols>
  <sheetData>
    <row r="1" spans="1:26" x14ac:dyDescent="0.2">
      <c r="A1" s="33"/>
      <c r="B1" s="22" t="str">
        <f ca="1">IFERROR(__xludf.DUMMYFUNCTION("IMPORTRANGE(""https://docs.google.com/spreadsheets/u/0/d/1v3alDV9sI-Ng7OoZouCf4a0CI5tv_Xg2T3WprxxRGRs"", ""A101!B1:B22"")"),"Tyler")</f>
        <v>Tyler</v>
      </c>
      <c r="C1" s="12" t="str">
        <f ca="1">IFERROR(__xludf.DUMMYFUNCTION("IMPORTRANGE(""https://docs.google.com/spreadsheets/u/0/d/1e6QLf1_HeiTNz7JOFlwsfbt48UsSPCJuGTSppexqIJc"", ""101!B1:B22"")"),"Tyler Thibodeaux")</f>
        <v>Tyler Thibodeaux</v>
      </c>
      <c r="D1" s="2" t="s">
        <v>1</v>
      </c>
      <c r="E1" s="22"/>
      <c r="F1" s="22"/>
      <c r="G1" s="22"/>
      <c r="H1" s="22"/>
      <c r="I1" s="22"/>
      <c r="J1" s="22"/>
      <c r="K1" s="22"/>
      <c r="L1" s="22"/>
      <c r="M1" s="22"/>
      <c r="N1" s="22"/>
      <c r="O1" s="22"/>
      <c r="P1" s="22"/>
      <c r="Q1" s="22"/>
      <c r="R1" s="22"/>
      <c r="S1" s="22"/>
      <c r="T1" s="22"/>
      <c r="U1" s="22"/>
      <c r="V1" s="22"/>
      <c r="W1" s="22"/>
      <c r="X1" s="22"/>
      <c r="Y1" s="22"/>
      <c r="Z1" s="22"/>
    </row>
    <row r="2" spans="1:26" ht="15.75" customHeight="1" x14ac:dyDescent="0.15">
      <c r="A2" s="3" t="s">
        <v>2</v>
      </c>
      <c r="B2" s="15" t="str">
        <f ca="1">IFERROR(__xludf.DUMMYFUNCTION("""COMPUTED_VALUE"""),"60968 to 229 FOW")</f>
        <v>60968 to 229 FOW</v>
      </c>
      <c r="C2" s="15" t="str">
        <f ca="1">IFERROR(__xludf.DUMMYFUNCTION("""COMPUTED_VALUE"""),"60968 to 229 (Forward)")</f>
        <v>60968 to 229 (Forward)</v>
      </c>
      <c r="D2" s="4"/>
    </row>
    <row r="3" spans="1:26" ht="15.75" customHeight="1" x14ac:dyDescent="0.15">
      <c r="A3" s="5" t="s">
        <v>3</v>
      </c>
      <c r="B3" s="17" t="str">
        <f ca="1">IFERROR(__xludf.DUMMYFUNCTION("""COMPUTED_VALUE"""),"DNA Master_100
Phamerator
Phages db_101")</f>
        <v>DNA Master_100
Phamerator
Phages db_101</v>
      </c>
      <c r="C3" s="17" t="str">
        <f ca="1">IFERROR(__xludf.DUMMYFUNCTION("""COMPUTED_VALUE"""),"DNAm: 100, Phagesdb: 101")</f>
        <v>DNAm: 100, Phagesdb: 101</v>
      </c>
      <c r="D3" s="6"/>
    </row>
    <row r="4" spans="1:26" ht="15.75" customHeight="1" x14ac:dyDescent="0.15">
      <c r="A4" s="5" t="s">
        <v>4</v>
      </c>
      <c r="B4" s="17" t="str">
        <f ca="1">IFERROR(__xludf.DUMMYFUNCTION("""COMPUTED_VALUE"""),"100368 3/17/25")</f>
        <v>100368 3/17/25</v>
      </c>
      <c r="C4" s="17" t="str">
        <f ca="1">IFERROR(__xludf.DUMMYFUNCTION("""COMPUTED_VALUE"""),"No PHAM number")</f>
        <v>No PHAM number</v>
      </c>
      <c r="D4" s="6"/>
    </row>
    <row r="5" spans="1:26" ht="15.75" customHeight="1" x14ac:dyDescent="0.15">
      <c r="A5" s="5" t="s">
        <v>5</v>
      </c>
      <c r="B5" s="17" t="str">
        <f ca="1">IFERROR(__xludf.DUMMYFUNCTION("""COMPUTED_VALUE"""),"Kharcho_67 
Ottawa_67")</f>
        <v>Kharcho_67 
Ottawa_67</v>
      </c>
      <c r="C5" s="17" t="str">
        <f ca="1">IFERROR(__xludf.DUMMYFUNCTION("""COMPUTED_VALUE"""),"Otawa_67")</f>
        <v>Otawa_67</v>
      </c>
      <c r="D5" s="6"/>
    </row>
    <row r="6" spans="1:26" ht="15.75" customHeight="1" x14ac:dyDescent="0.15">
      <c r="A6" s="5" t="s">
        <v>6</v>
      </c>
      <c r="B6" s="17" t="str">
        <f ca="1">IFERROR(__xludf.DUMMYFUNCTION("""COMPUTED_VALUE"""),"glimmer calls @bp 60968 strength 862
GeneMark calls start at 2")</f>
        <v>glimmer calls @bp 60968 strength 862
GeneMark calls start at 2</v>
      </c>
      <c r="C6" s="17" t="str">
        <f ca="1">IFERROR(__xludf.DUMMYFUNCTION("""COMPUTED_VALUE"""),"Original Glimmer call @bp 60968. GeneMark calls start at 2")</f>
        <v>Original Glimmer call @bp 60968. GeneMark calls start at 2</v>
      </c>
      <c r="D6" s="6"/>
    </row>
    <row r="7" spans="1:26" ht="15.75" customHeight="1" x14ac:dyDescent="0.15">
      <c r="A7" s="5" t="s">
        <v>7</v>
      </c>
      <c r="B7" s="17" t="str">
        <f ca="1">IFERROR(__xludf.DUMMYFUNCTION("""COMPUTED_VALUE"""),"no coding potential ")</f>
        <v xml:space="preserve">no coding potential </v>
      </c>
      <c r="C7" s="17" t="str">
        <f ca="1">IFERROR(__xludf.DUMMYFUNCTION("""COMPUTED_VALUE"""),"No coding potential")</f>
        <v>No coding potential</v>
      </c>
      <c r="D7" s="6"/>
    </row>
    <row r="8" spans="1:26" ht="15.75" customHeight="1" x14ac:dyDescent="0.15">
      <c r="A8" s="5" t="s">
        <v>8</v>
      </c>
      <c r="B8" s="17" t="str">
        <f ca="1">IFERROR(__xludf.DUMMYFUNCTION("""COMPUTED_VALUE"""),"no there is one previous start ")</f>
        <v xml:space="preserve">no there is one previous start </v>
      </c>
      <c r="C8" s="17" t="str">
        <f ca="1">IFERROR(__xludf.DUMMYFUNCTION("""COMPUTED_VALUE"""),"It is not the longest possible ORF, There is one start before the selected one")</f>
        <v>It is not the longest possible ORF, There is one start before the selected one</v>
      </c>
      <c r="D8" s="6"/>
    </row>
    <row r="9" spans="1:26" ht="15.75" customHeight="1" x14ac:dyDescent="0.15">
      <c r="A9" s="5" t="s">
        <v>9</v>
      </c>
      <c r="B9" s="17" t="str">
        <f ca="1">IFERROR(__xludf.DUMMYFUNCTION("""COMPUTED_VALUE"""),"about 28 nt gap ")</f>
        <v xml:space="preserve">about 28 nt gap </v>
      </c>
      <c r="C9" s="17" t="str">
        <f ca="1">IFERROR(__xludf.DUMMYFUNCTION("""COMPUTED_VALUE"""),"50 gap")</f>
        <v>50 gap</v>
      </c>
      <c r="D9" s="6"/>
    </row>
    <row r="10" spans="1:26" ht="15.75" customHeight="1" x14ac:dyDescent="0.15">
      <c r="A10" s="5" t="s">
        <v>10</v>
      </c>
      <c r="B10" s="17" t="str">
        <f ca="1">IFERROR(__xludf.DUMMYFUNCTION("""COMPUTED_VALUE"""),"current start has best Z sore (2.545) previous start has an okay Z score (1.606)")</f>
        <v>current start has best Z sore (2.545) previous start has an okay Z score (1.606)</v>
      </c>
      <c r="C10" s="17" t="str">
        <f ca="1">IFERROR(__xludf.DUMMYFUNCTION("""COMPUTED_VALUE"""),"Zscore: 2.545, It is the best")</f>
        <v>Zscore: 2.545, It is the best</v>
      </c>
      <c r="D10" s="6"/>
    </row>
    <row r="11" spans="1:26" ht="15.75" customHeight="1" x14ac:dyDescent="0.15">
      <c r="A11" s="5" t="s">
        <v>11</v>
      </c>
      <c r="B11" s="17" t="str">
        <f ca="1">IFERROR(__xludf.DUMMYFUNCTION("""COMPUTED_VALUE"""),"Kharcho_67; 56.47% identity; 6.3E-22; Q:1 T:1
Shrooms_1; 79.55% identity; 6.8E-16; Q:40 T:1")</f>
        <v>Kharcho_67; 56.47% identity; 6.3E-22; Q:1 T:1
Shrooms_1; 79.55% identity; 6.8E-16; Q:40 T:1</v>
      </c>
      <c r="C11" s="17" t="str">
        <f ca="1">IFERROR(__xludf.DUMMYFUNCTION("""COMPUTED_VALUE"""),"hypothetical protein SEA_SHROOMS_1 [Arthrobacter phage Shrooms], %Identity=79%, e=7e-16, q40:s1")</f>
        <v>hypothetical protein SEA_SHROOMS_1 [Arthrobacter phage Shrooms], %Identity=79%, e=7e-16, q40:s1</v>
      </c>
      <c r="D11" s="6"/>
    </row>
    <row r="12" spans="1:26" ht="15.75" customHeight="1" x14ac:dyDescent="0.15">
      <c r="A12" s="5" t="s">
        <v>12</v>
      </c>
      <c r="B12" s="17" t="str">
        <f ca="1">IFERROR(__xludf.DUMMYFUNCTION("""COMPUTED_VALUE"""),"it does not have the most annotated start")</f>
        <v>it does not have the most annotated start</v>
      </c>
      <c r="C12" s="17" t="str">
        <f ca="1">IFERROR(__xludf.DUMMYFUNCTION("""COMPUTED_VALUE"""),"Start is only conserved in Apokipo, and it called 100 % of the time ")</f>
        <v xml:space="preserve">Start is only conserved in Apokipo, and it called 100 % of the time </v>
      </c>
      <c r="D12" s="6"/>
    </row>
    <row r="13" spans="1:26" ht="15.75" customHeight="1" x14ac:dyDescent="0.15">
      <c r="A13" s="5" t="s">
        <v>13</v>
      </c>
      <c r="B13" s="17" t="str">
        <f ca="1">IFERROR(__xludf.DUMMYFUNCTION("""COMPUTED_VALUE"""),"No ")</f>
        <v xml:space="preserve">No </v>
      </c>
      <c r="C13" s="17" t="str">
        <f ca="1">IFERROR(__xludf.DUMMYFUNCTION("""COMPUTED_VALUE"""),"No")</f>
        <v>No</v>
      </c>
      <c r="D13" s="6"/>
    </row>
    <row r="14" spans="1:26" ht="15.75" customHeight="1" x14ac:dyDescent="0.15">
      <c r="A14" s="5" t="s">
        <v>14</v>
      </c>
      <c r="B14" s="17" t="str">
        <f ca="1">IFERROR(__xludf.DUMMYFUNCTION("""COMPUTED_VALUE"""),"Ottawa_67 1e-18 
")</f>
        <v xml:space="preserve">Ottawa_67 1e-18 
</v>
      </c>
      <c r="C14" s="17" t="str">
        <f ca="1">IFERROR(__xludf.DUMMYFUNCTION("""COMPUTED_VALUE"""),"Ottawa_67, function unknown, e=e-18 ")</f>
        <v xml:space="preserve">Ottawa_67, function unknown, e=e-18 </v>
      </c>
      <c r="D14" s="6"/>
    </row>
    <row r="15" spans="1:26" ht="15.75" customHeight="1" x14ac:dyDescent="0.15">
      <c r="A15" s="5" t="s">
        <v>15</v>
      </c>
      <c r="B15" s="17" t="str">
        <f ca="1">IFERROR(__xludf.DUMMYFUNCTION("""COMPUTED_VALUE"""),"function unknown")</f>
        <v>function unknown</v>
      </c>
      <c r="C15" s="17" t="str">
        <f ca="1">IFERROR(__xludf.DUMMYFUNCTION("""COMPUTED_VALUE"""),"Ottawa_67, function unknown")</f>
        <v>Ottawa_67, function unknown</v>
      </c>
      <c r="D15" s="6"/>
    </row>
    <row r="16" spans="1:26" ht="15.75" customHeight="1" x14ac:dyDescent="0.15">
      <c r="A16" s="5" t="s">
        <v>16</v>
      </c>
      <c r="B16" s="17" t="str">
        <f ca="1">IFERROR(__xludf.DUMMYFUNCTION("""COMPUTED_VALUE"""),"gene not in Phamerator ")</f>
        <v xml:space="preserve">gene not in Phamerator </v>
      </c>
      <c r="C16" s="17" t="str">
        <f ca="1">IFERROR(__xludf.DUMMYFUNCTION("""COMPUTED_VALUE"""),"It is not found in the same genetic enviorment as kovu. ")</f>
        <v xml:space="preserve">It is not found in the same genetic enviorment as kovu. </v>
      </c>
      <c r="D16" s="6"/>
    </row>
    <row r="17" spans="1:4" ht="15.75" customHeight="1" x14ac:dyDescent="0.15">
      <c r="A17" s="5" t="s">
        <v>17</v>
      </c>
      <c r="B17" s="17" t="str">
        <f ca="1">IFERROR(__xludf.DUMMYFUNCTION("""COMPUTED_VALUE"""),"RNA polymerase-associated protein LEO1; SETD2, Transcription, H3K36me3, TRANSFERASE-RNA-DNA complex; HET: TPO, SEP; 3.1A {Sus scrofa}
probability: 77.91%
% alignment Q: 12.05%
% alignment T: 8.00%
")</f>
        <v xml:space="preserve">RNA polymerase-associated protein LEO1; SETD2, Transcription, H3K36me3, TRANSFERASE-RNA-DNA complex; HET: TPO, SEP; 3.1A {Sus scrofa}
probability: 77.91%
% alignment Q: 12.05%
% alignment T: 8.00%
</v>
      </c>
      <c r="C17" s="17" t="str">
        <f ca="1">IFERROR(__xludf.DUMMYFUNCTION("""COMPUTED_VALUE"""),"Hypothetical protein; a/b protein, Structural Genomics, %prob=57%, %Q=61%, %T=71%, functional domain is within the target alignment. ")</f>
        <v xml:space="preserve">Hypothetical protein; a/b protein, Structural Genomics, %prob=57%, %Q=61%, %T=71%, functional domain is within the target alignment. </v>
      </c>
      <c r="D17" s="6"/>
    </row>
    <row r="18" spans="1:4" ht="15.75" customHeight="1" x14ac:dyDescent="0.15">
      <c r="A18" s="5" t="s">
        <v>18</v>
      </c>
      <c r="B18" s="17" t="str">
        <f ca="1">IFERROR(__xludf.DUMMYFUNCTION("""COMPUTED_VALUE"""),"no")</f>
        <v>no</v>
      </c>
      <c r="C18" s="17" t="str">
        <f ca="1">IFERROR(__xludf.DUMMYFUNCTION("""COMPUTED_VALUE"""),"None ")</f>
        <v xml:space="preserve">None </v>
      </c>
      <c r="D18" s="6"/>
    </row>
    <row r="19" spans="1:4" ht="15.75" customHeight="1" x14ac:dyDescent="0.15">
      <c r="A19" s="5" t="s">
        <v>19</v>
      </c>
      <c r="B19" s="17" t="str">
        <f ca="1">IFERROR(__xludf.DUMMYFUNCTION("""COMPUTED_VALUE"""),"no")</f>
        <v>no</v>
      </c>
      <c r="C19" s="17" t="str">
        <f ca="1">IFERROR(__xludf.DUMMYFUNCTION("""COMPUTED_VALUE"""),"None ")</f>
        <v xml:space="preserve">None </v>
      </c>
      <c r="D19" s="6"/>
    </row>
    <row r="20" spans="1:4" ht="15.75" customHeight="1" x14ac:dyDescent="0.15">
      <c r="A20" s="5" t="s">
        <v>20</v>
      </c>
      <c r="B20" s="17" t="str">
        <f ca="1">IFERROR(__xludf.DUMMYFUNCTION("""COMPUTED_VALUE"""),"hypotheical protein ")</f>
        <v xml:space="preserve">hypotheical protein </v>
      </c>
      <c r="C20" s="17" t="str">
        <f ca="1">IFERROR(__xludf.DUMMYFUNCTION("""COMPUTED_VALUE"""),"Hypothetical Protein, This is due to the HHpred, NCBI blast, and Phagesdb blast. ")</f>
        <v xml:space="preserve">Hypothetical Protein, This is due to the HHpred, NCBI blast, and Phagesdb blast. </v>
      </c>
      <c r="D20" s="6"/>
    </row>
    <row r="21" spans="1:4" x14ac:dyDescent="0.2">
      <c r="A21" s="7"/>
      <c r="B21" s="19"/>
      <c r="C21" s="19"/>
      <c r="D21" s="8"/>
    </row>
    <row r="22" spans="1:4" ht="15.75" customHeight="1" x14ac:dyDescent="0.15">
      <c r="A22" s="9" t="s">
        <v>21</v>
      </c>
      <c r="B22" s="19"/>
      <c r="C22" s="19"/>
      <c r="D22" s="8"/>
    </row>
    <row r="23" spans="1:4" ht="15.75" customHeight="1" x14ac:dyDescent="0.15">
      <c r="A23" s="10"/>
      <c r="B23" s="13"/>
      <c r="C23" s="13"/>
    </row>
    <row r="24" spans="1:4" ht="15.75" customHeight="1" x14ac:dyDescent="0.15">
      <c r="A24" s="10"/>
      <c r="B24" s="13"/>
      <c r="C24" s="13"/>
    </row>
    <row r="25" spans="1:4" ht="15.75" customHeight="1" x14ac:dyDescent="0.15">
      <c r="A25" s="10"/>
      <c r="B25" s="13"/>
      <c r="C25" s="13"/>
    </row>
    <row r="26" spans="1:4" ht="15.75" customHeight="1" x14ac:dyDescent="0.15">
      <c r="A26" s="10"/>
      <c r="B26" s="13"/>
      <c r="C26" s="13"/>
    </row>
    <row r="27" spans="1:4" ht="15.75" customHeight="1" x14ac:dyDescent="0.15">
      <c r="A27" s="10"/>
      <c r="B27" s="13"/>
      <c r="C27" s="13"/>
    </row>
    <row r="28" spans="1:4" ht="15.75" customHeight="1" x14ac:dyDescent="0.15">
      <c r="A28" s="10"/>
      <c r="B28" s="13"/>
      <c r="C28" s="13"/>
    </row>
    <row r="29" spans="1:4" ht="15.75" customHeight="1" x14ac:dyDescent="0.15">
      <c r="A29" s="10"/>
      <c r="B29" s="13"/>
      <c r="C29" s="13"/>
    </row>
    <row r="30" spans="1:4" ht="15.75" customHeight="1" x14ac:dyDescent="0.15">
      <c r="A30" s="10"/>
      <c r="B30" s="13"/>
      <c r="C30" s="13"/>
    </row>
    <row r="31" spans="1:4" ht="15.75" customHeight="1" x14ac:dyDescent="0.15">
      <c r="A31" s="10"/>
      <c r="B31" s="13"/>
      <c r="C31" s="13"/>
    </row>
    <row r="32" spans="1:4" ht="15.75" customHeight="1" x14ac:dyDescent="0.15">
      <c r="A32" s="10"/>
      <c r="B32" s="13"/>
      <c r="C32" s="13"/>
    </row>
    <row r="33" spans="1:3" ht="15.75" customHeight="1" x14ac:dyDescent="0.15">
      <c r="A33" s="10"/>
      <c r="B33" s="13"/>
      <c r="C33" s="13"/>
    </row>
    <row r="34" spans="1:3" ht="15.75" customHeight="1" x14ac:dyDescent="0.15">
      <c r="A34" s="10"/>
      <c r="B34" s="13"/>
      <c r="C34" s="13"/>
    </row>
    <row r="35" spans="1:3" ht="15.75" customHeight="1" x14ac:dyDescent="0.15">
      <c r="A35" s="10"/>
      <c r="B35" s="13"/>
      <c r="C35" s="13"/>
    </row>
    <row r="36" spans="1:3" ht="15.75" customHeight="1" x14ac:dyDescent="0.15">
      <c r="A36" s="10"/>
      <c r="B36" s="13"/>
      <c r="C36" s="13"/>
    </row>
    <row r="37" spans="1:3" ht="15.75" customHeight="1" x14ac:dyDescent="0.15">
      <c r="A37" s="10"/>
      <c r="B37" s="13"/>
      <c r="C37" s="13"/>
    </row>
    <row r="38" spans="1:3" ht="15.75" customHeight="1" x14ac:dyDescent="0.15">
      <c r="A38" s="10"/>
      <c r="B38" s="13"/>
      <c r="C38" s="13"/>
    </row>
    <row r="39" spans="1:3" ht="13" x14ac:dyDescent="0.15">
      <c r="A39" s="10"/>
      <c r="B39" s="13"/>
      <c r="C39" s="13"/>
    </row>
    <row r="40" spans="1:3" ht="13" x14ac:dyDescent="0.15">
      <c r="A40" s="10"/>
      <c r="B40" s="13"/>
      <c r="C40" s="13"/>
    </row>
    <row r="41" spans="1:3" ht="13" x14ac:dyDescent="0.15">
      <c r="A41" s="10"/>
      <c r="B41" s="13"/>
      <c r="C41" s="13"/>
    </row>
    <row r="42" spans="1:3" ht="13" x14ac:dyDescent="0.15">
      <c r="A42" s="10"/>
      <c r="B42" s="13"/>
      <c r="C42" s="13"/>
    </row>
    <row r="43" spans="1:3" ht="13" x14ac:dyDescent="0.15">
      <c r="A43" s="10"/>
      <c r="B43" s="13"/>
      <c r="C43" s="13"/>
    </row>
    <row r="44" spans="1:3" ht="13" x14ac:dyDescent="0.15">
      <c r="A44" s="10"/>
      <c r="B44" s="13"/>
      <c r="C44" s="13"/>
    </row>
    <row r="45" spans="1:3" ht="13" x14ac:dyDescent="0.15">
      <c r="A45" s="10"/>
      <c r="B45" s="13"/>
      <c r="C45" s="13"/>
    </row>
    <row r="46" spans="1:3" ht="13" x14ac:dyDescent="0.15">
      <c r="A46" s="10"/>
      <c r="B46" s="13"/>
      <c r="C46" s="13"/>
    </row>
    <row r="47" spans="1:3" ht="13" x14ac:dyDescent="0.15">
      <c r="A47" s="10"/>
      <c r="B47" s="13"/>
      <c r="C47" s="13"/>
    </row>
    <row r="48" spans="1:3" ht="13" x14ac:dyDescent="0.15">
      <c r="A48" s="10"/>
      <c r="B48" s="13"/>
      <c r="C48" s="13"/>
    </row>
    <row r="49" spans="1:3" ht="13" x14ac:dyDescent="0.15">
      <c r="A49" s="10"/>
      <c r="B49" s="13"/>
      <c r="C49" s="13"/>
    </row>
    <row r="50" spans="1:3" ht="13" x14ac:dyDescent="0.15">
      <c r="A50" s="10"/>
      <c r="B50" s="13"/>
      <c r="C50" s="13"/>
    </row>
    <row r="51" spans="1:3" ht="13" x14ac:dyDescent="0.15">
      <c r="A51" s="10"/>
      <c r="B51" s="13"/>
      <c r="C51" s="13"/>
    </row>
    <row r="52" spans="1:3" ht="13" x14ac:dyDescent="0.15">
      <c r="A52" s="10"/>
      <c r="B52" s="13"/>
      <c r="C52" s="13"/>
    </row>
    <row r="53" spans="1:3" ht="13" x14ac:dyDescent="0.15">
      <c r="A53" s="10"/>
      <c r="B53" s="13"/>
      <c r="C53" s="13"/>
    </row>
    <row r="54" spans="1:3" ht="13" x14ac:dyDescent="0.15">
      <c r="A54" s="10"/>
      <c r="B54" s="13"/>
      <c r="C54" s="13"/>
    </row>
    <row r="55" spans="1:3" ht="13" x14ac:dyDescent="0.15">
      <c r="A55" s="10"/>
      <c r="B55" s="13"/>
      <c r="C55" s="13"/>
    </row>
    <row r="56" spans="1:3" ht="13" x14ac:dyDescent="0.15">
      <c r="A56" s="10"/>
      <c r="B56" s="13"/>
      <c r="C56" s="13"/>
    </row>
    <row r="57" spans="1:3" ht="13" x14ac:dyDescent="0.15">
      <c r="A57" s="10"/>
      <c r="B57" s="13"/>
      <c r="C57" s="13"/>
    </row>
    <row r="58" spans="1:3" ht="13" x14ac:dyDescent="0.15">
      <c r="A58" s="10"/>
      <c r="B58" s="13"/>
      <c r="C58" s="13"/>
    </row>
    <row r="59" spans="1:3" ht="13" x14ac:dyDescent="0.15">
      <c r="A59" s="10"/>
      <c r="B59" s="13"/>
      <c r="C59" s="13"/>
    </row>
    <row r="60" spans="1:3" ht="13" x14ac:dyDescent="0.15">
      <c r="A60" s="10"/>
      <c r="B60" s="13"/>
      <c r="C60" s="13"/>
    </row>
    <row r="61" spans="1:3" ht="13" x14ac:dyDescent="0.15">
      <c r="A61" s="10"/>
      <c r="B61" s="13"/>
      <c r="C61" s="13"/>
    </row>
    <row r="62" spans="1:3" ht="13" x14ac:dyDescent="0.15">
      <c r="A62" s="10"/>
      <c r="B62" s="13"/>
      <c r="C62" s="13"/>
    </row>
    <row r="63" spans="1:3" ht="13" x14ac:dyDescent="0.15">
      <c r="A63" s="10"/>
      <c r="B63" s="13"/>
      <c r="C63" s="13"/>
    </row>
    <row r="64" spans="1:3" ht="13" x14ac:dyDescent="0.15">
      <c r="A64" s="10"/>
      <c r="B64" s="13"/>
      <c r="C64" s="13"/>
    </row>
    <row r="65" spans="1:3" ht="13" x14ac:dyDescent="0.15">
      <c r="A65" s="10"/>
      <c r="B65" s="13"/>
      <c r="C65" s="13"/>
    </row>
    <row r="66" spans="1:3" ht="13" x14ac:dyDescent="0.15">
      <c r="A66" s="10"/>
      <c r="B66" s="13"/>
      <c r="C66" s="13"/>
    </row>
    <row r="67" spans="1:3" ht="13" x14ac:dyDescent="0.15">
      <c r="A67" s="10"/>
      <c r="B67" s="13"/>
      <c r="C67" s="13"/>
    </row>
    <row r="68" spans="1:3" ht="13" x14ac:dyDescent="0.15">
      <c r="A68" s="10"/>
      <c r="B68" s="13"/>
      <c r="C68" s="13"/>
    </row>
    <row r="69" spans="1:3" ht="13" x14ac:dyDescent="0.15">
      <c r="A69" s="10"/>
      <c r="B69" s="13"/>
      <c r="C69" s="13"/>
    </row>
    <row r="70" spans="1:3" ht="13" x14ac:dyDescent="0.15">
      <c r="A70" s="10"/>
      <c r="B70" s="13"/>
      <c r="C70" s="13"/>
    </row>
    <row r="71" spans="1:3" ht="13" x14ac:dyDescent="0.15">
      <c r="A71" s="10"/>
      <c r="B71" s="13"/>
      <c r="C71" s="13"/>
    </row>
    <row r="72" spans="1:3" ht="13" x14ac:dyDescent="0.15">
      <c r="A72" s="10"/>
      <c r="B72" s="13"/>
      <c r="C72" s="13"/>
    </row>
    <row r="73" spans="1:3" ht="13" x14ac:dyDescent="0.15">
      <c r="A73" s="10"/>
      <c r="B73" s="13"/>
      <c r="C73" s="13"/>
    </row>
    <row r="74" spans="1:3" ht="13" x14ac:dyDescent="0.15">
      <c r="A74" s="10"/>
      <c r="B74" s="13"/>
      <c r="C74" s="13"/>
    </row>
    <row r="75" spans="1:3" ht="13" x14ac:dyDescent="0.15">
      <c r="A75" s="10"/>
      <c r="B75" s="13"/>
      <c r="C75" s="13"/>
    </row>
    <row r="76" spans="1:3" ht="13" x14ac:dyDescent="0.15">
      <c r="A76" s="10"/>
      <c r="B76" s="13"/>
      <c r="C76" s="13"/>
    </row>
    <row r="77" spans="1:3" ht="13" x14ac:dyDescent="0.15">
      <c r="A77" s="10"/>
      <c r="B77" s="13"/>
      <c r="C77" s="13"/>
    </row>
    <row r="78" spans="1:3" ht="13" x14ac:dyDescent="0.15">
      <c r="A78" s="10"/>
      <c r="B78" s="13"/>
      <c r="C78" s="13"/>
    </row>
    <row r="79" spans="1:3" ht="13" x14ac:dyDescent="0.15">
      <c r="A79" s="10"/>
      <c r="B79" s="13"/>
      <c r="C79" s="13"/>
    </row>
    <row r="80" spans="1:3" ht="13" x14ac:dyDescent="0.15">
      <c r="A80" s="10"/>
      <c r="B80" s="13"/>
      <c r="C80" s="13"/>
    </row>
    <row r="81" spans="1:3" ht="13" x14ac:dyDescent="0.15">
      <c r="A81" s="10"/>
      <c r="B81" s="13"/>
      <c r="C81" s="13"/>
    </row>
    <row r="82" spans="1:3" ht="13" x14ac:dyDescent="0.15">
      <c r="A82" s="10"/>
      <c r="B82" s="13"/>
      <c r="C82" s="13"/>
    </row>
    <row r="83" spans="1:3" ht="13" x14ac:dyDescent="0.15">
      <c r="A83" s="10"/>
      <c r="B83" s="13"/>
      <c r="C83" s="13"/>
    </row>
    <row r="84" spans="1:3" ht="13" x14ac:dyDescent="0.15">
      <c r="A84" s="10"/>
      <c r="B84" s="13"/>
      <c r="C84" s="13"/>
    </row>
    <row r="85" spans="1:3" ht="13" x14ac:dyDescent="0.15">
      <c r="A85" s="10"/>
      <c r="B85" s="13"/>
      <c r="C85" s="13"/>
    </row>
    <row r="86" spans="1:3" ht="13" x14ac:dyDescent="0.15">
      <c r="A86" s="10"/>
      <c r="B86" s="13"/>
      <c r="C86" s="13"/>
    </row>
    <row r="87" spans="1:3" ht="13" x14ac:dyDescent="0.15">
      <c r="A87" s="10"/>
      <c r="B87" s="13"/>
      <c r="C87" s="13"/>
    </row>
    <row r="88" spans="1:3" ht="13" x14ac:dyDescent="0.15">
      <c r="A88" s="10"/>
      <c r="B88" s="13"/>
      <c r="C88" s="13"/>
    </row>
    <row r="89" spans="1:3" ht="13" x14ac:dyDescent="0.15">
      <c r="A89" s="10"/>
      <c r="B89" s="13"/>
      <c r="C89" s="13"/>
    </row>
    <row r="90" spans="1:3" ht="13" x14ac:dyDescent="0.15">
      <c r="A90" s="10"/>
      <c r="B90" s="13"/>
      <c r="C90" s="13"/>
    </row>
    <row r="91" spans="1:3" ht="13" x14ac:dyDescent="0.15">
      <c r="A91" s="10"/>
      <c r="B91" s="13"/>
      <c r="C91" s="13"/>
    </row>
    <row r="92" spans="1:3" ht="13" x14ac:dyDescent="0.15">
      <c r="A92" s="10"/>
      <c r="B92" s="13"/>
      <c r="C92" s="13"/>
    </row>
    <row r="93" spans="1:3" ht="13" x14ac:dyDescent="0.15">
      <c r="A93" s="10"/>
      <c r="B93" s="13"/>
      <c r="C93" s="13"/>
    </row>
    <row r="94" spans="1:3" ht="13" x14ac:dyDescent="0.15">
      <c r="A94" s="10"/>
      <c r="B94" s="13"/>
      <c r="C94" s="13"/>
    </row>
    <row r="95" spans="1:3" ht="13" x14ac:dyDescent="0.15">
      <c r="A95" s="10"/>
      <c r="B95" s="13"/>
      <c r="C95" s="13"/>
    </row>
    <row r="96" spans="1:3" ht="13" x14ac:dyDescent="0.15">
      <c r="A96" s="10"/>
      <c r="B96" s="13"/>
      <c r="C96" s="13"/>
    </row>
    <row r="97" spans="1:3" ht="13" x14ac:dyDescent="0.15">
      <c r="A97" s="10"/>
      <c r="B97" s="13"/>
      <c r="C97" s="13"/>
    </row>
    <row r="98" spans="1:3" ht="13" x14ac:dyDescent="0.15">
      <c r="A98" s="10"/>
      <c r="B98" s="13"/>
      <c r="C98" s="13"/>
    </row>
    <row r="99" spans="1:3" ht="13" x14ac:dyDescent="0.15">
      <c r="A99" s="10"/>
      <c r="B99" s="13"/>
      <c r="C99" s="13"/>
    </row>
    <row r="100" spans="1:3" ht="13" x14ac:dyDescent="0.15">
      <c r="A100" s="10"/>
      <c r="B100" s="13"/>
      <c r="C100" s="13"/>
    </row>
    <row r="101" spans="1:3" ht="13" x14ac:dyDescent="0.15">
      <c r="A101" s="10"/>
      <c r="B101" s="13"/>
      <c r="C101" s="13"/>
    </row>
    <row r="102" spans="1:3" ht="13" x14ac:dyDescent="0.15">
      <c r="A102" s="10"/>
      <c r="B102" s="13"/>
      <c r="C102" s="13"/>
    </row>
    <row r="103" spans="1:3" ht="13" x14ac:dyDescent="0.15">
      <c r="A103" s="10"/>
      <c r="B103" s="13"/>
      <c r="C103" s="13"/>
    </row>
    <row r="104" spans="1:3" ht="13" x14ac:dyDescent="0.15">
      <c r="A104" s="10"/>
      <c r="B104" s="13"/>
      <c r="C104" s="13"/>
    </row>
    <row r="105" spans="1:3" ht="13" x14ac:dyDescent="0.15">
      <c r="A105" s="10"/>
      <c r="B105" s="13"/>
      <c r="C105" s="13"/>
    </row>
    <row r="106" spans="1:3" ht="13" x14ac:dyDescent="0.15">
      <c r="A106" s="10"/>
      <c r="B106" s="13"/>
      <c r="C106" s="13"/>
    </row>
    <row r="107" spans="1:3" ht="13" x14ac:dyDescent="0.15">
      <c r="A107" s="10"/>
      <c r="B107" s="13"/>
      <c r="C107" s="13"/>
    </row>
    <row r="108" spans="1:3" ht="13" x14ac:dyDescent="0.15">
      <c r="A108" s="10"/>
      <c r="B108" s="13"/>
      <c r="C108" s="13"/>
    </row>
    <row r="109" spans="1:3" ht="13" x14ac:dyDescent="0.15">
      <c r="A109" s="10"/>
      <c r="B109" s="13"/>
      <c r="C109" s="13"/>
    </row>
    <row r="110" spans="1:3" ht="13" x14ac:dyDescent="0.15">
      <c r="A110" s="10"/>
      <c r="B110" s="13"/>
      <c r="C110" s="13"/>
    </row>
    <row r="111" spans="1:3" ht="13" x14ac:dyDescent="0.15">
      <c r="A111" s="10"/>
      <c r="B111" s="13"/>
      <c r="C111" s="13"/>
    </row>
    <row r="112" spans="1:3" ht="13" x14ac:dyDescent="0.15">
      <c r="A112" s="10"/>
      <c r="B112" s="13"/>
      <c r="C112" s="13"/>
    </row>
    <row r="113" spans="1:3" ht="13" x14ac:dyDescent="0.15">
      <c r="A113" s="10"/>
      <c r="B113" s="13"/>
      <c r="C113" s="13"/>
    </row>
    <row r="114" spans="1:3" ht="13" x14ac:dyDescent="0.15">
      <c r="A114" s="10"/>
      <c r="B114" s="13"/>
      <c r="C114" s="13"/>
    </row>
    <row r="115" spans="1:3" ht="13" x14ac:dyDescent="0.15">
      <c r="A115" s="10"/>
      <c r="B115" s="13"/>
      <c r="C115" s="13"/>
    </row>
    <row r="116" spans="1:3" ht="13" x14ac:dyDescent="0.15">
      <c r="A116" s="10"/>
      <c r="B116" s="13"/>
      <c r="C116" s="13"/>
    </row>
    <row r="117" spans="1:3" ht="13" x14ac:dyDescent="0.15">
      <c r="A117" s="10"/>
      <c r="B117" s="13"/>
      <c r="C117" s="13"/>
    </row>
    <row r="118" spans="1:3" ht="13" x14ac:dyDescent="0.15">
      <c r="A118" s="10"/>
      <c r="B118" s="13"/>
      <c r="C118" s="13"/>
    </row>
    <row r="119" spans="1:3" ht="13" x14ac:dyDescent="0.15">
      <c r="A119" s="10"/>
      <c r="B119" s="13"/>
      <c r="C119" s="13"/>
    </row>
    <row r="120" spans="1:3" ht="13" x14ac:dyDescent="0.15">
      <c r="A120" s="10"/>
      <c r="B120" s="13"/>
      <c r="C120" s="13"/>
    </row>
    <row r="121" spans="1:3" ht="13" x14ac:dyDescent="0.15">
      <c r="A121" s="10"/>
      <c r="B121" s="13"/>
      <c r="C121" s="13"/>
    </row>
    <row r="122" spans="1:3" ht="13" x14ac:dyDescent="0.15">
      <c r="A122" s="10"/>
      <c r="B122" s="13"/>
      <c r="C122" s="13"/>
    </row>
    <row r="123" spans="1:3" ht="13" x14ac:dyDescent="0.15">
      <c r="A123" s="10"/>
      <c r="B123" s="13"/>
      <c r="C123" s="13"/>
    </row>
    <row r="124" spans="1:3" ht="13" x14ac:dyDescent="0.15">
      <c r="A124" s="10"/>
      <c r="B124" s="13"/>
      <c r="C124" s="13"/>
    </row>
    <row r="125" spans="1:3" ht="13" x14ac:dyDescent="0.15">
      <c r="A125" s="10"/>
      <c r="B125" s="13"/>
      <c r="C125" s="13"/>
    </row>
    <row r="126" spans="1:3" ht="13" x14ac:dyDescent="0.15">
      <c r="A126" s="10"/>
      <c r="B126" s="13"/>
      <c r="C126" s="13"/>
    </row>
    <row r="127" spans="1:3" ht="13" x14ac:dyDescent="0.15">
      <c r="A127" s="10"/>
      <c r="B127" s="13"/>
      <c r="C127" s="13"/>
    </row>
    <row r="128" spans="1:3" ht="13" x14ac:dyDescent="0.15">
      <c r="A128" s="10"/>
      <c r="B128" s="13"/>
      <c r="C128" s="13"/>
    </row>
    <row r="129" spans="1:3" ht="13" x14ac:dyDescent="0.15">
      <c r="A129" s="10"/>
      <c r="B129" s="13"/>
      <c r="C129" s="13"/>
    </row>
    <row r="130" spans="1:3" ht="13" x14ac:dyDescent="0.15">
      <c r="A130" s="10"/>
      <c r="B130" s="13"/>
      <c r="C130" s="13"/>
    </row>
    <row r="131" spans="1:3" ht="13" x14ac:dyDescent="0.15">
      <c r="A131" s="10"/>
      <c r="B131" s="13"/>
      <c r="C131" s="13"/>
    </row>
    <row r="132" spans="1:3" ht="13" x14ac:dyDescent="0.15">
      <c r="A132" s="10"/>
      <c r="B132" s="13"/>
      <c r="C132" s="13"/>
    </row>
    <row r="133" spans="1:3" ht="13" x14ac:dyDescent="0.15">
      <c r="A133" s="10"/>
      <c r="B133" s="13"/>
      <c r="C133" s="13"/>
    </row>
    <row r="134" spans="1:3" ht="13" x14ac:dyDescent="0.15">
      <c r="A134" s="10"/>
      <c r="B134" s="13"/>
      <c r="C134" s="13"/>
    </row>
    <row r="135" spans="1:3" ht="13" x14ac:dyDescent="0.15">
      <c r="A135" s="10"/>
      <c r="B135" s="13"/>
      <c r="C135" s="13"/>
    </row>
    <row r="136" spans="1:3" ht="13" x14ac:dyDescent="0.15">
      <c r="A136" s="10"/>
      <c r="B136" s="13"/>
      <c r="C136" s="13"/>
    </row>
    <row r="137" spans="1:3" ht="13" x14ac:dyDescent="0.15">
      <c r="A137" s="10"/>
      <c r="B137" s="13"/>
      <c r="C137" s="13"/>
    </row>
    <row r="138" spans="1:3" ht="13" x14ac:dyDescent="0.15">
      <c r="A138" s="10"/>
      <c r="B138" s="13"/>
      <c r="C138" s="13"/>
    </row>
    <row r="139" spans="1:3" ht="13" x14ac:dyDescent="0.15">
      <c r="A139" s="10"/>
      <c r="B139" s="13"/>
      <c r="C139" s="13"/>
    </row>
    <row r="140" spans="1:3" ht="13" x14ac:dyDescent="0.15">
      <c r="A140" s="10"/>
      <c r="B140" s="13"/>
      <c r="C140" s="13"/>
    </row>
    <row r="141" spans="1:3" ht="13" x14ac:dyDescent="0.15">
      <c r="A141" s="10"/>
      <c r="B141" s="13"/>
      <c r="C141" s="13"/>
    </row>
    <row r="142" spans="1:3" ht="13" x14ac:dyDescent="0.15">
      <c r="A142" s="10"/>
      <c r="B142" s="13"/>
      <c r="C142" s="13"/>
    </row>
    <row r="143" spans="1:3" ht="13" x14ac:dyDescent="0.15">
      <c r="A143" s="10"/>
      <c r="B143" s="13"/>
      <c r="C143" s="13"/>
    </row>
    <row r="144" spans="1:3" ht="13" x14ac:dyDescent="0.15">
      <c r="A144" s="10"/>
      <c r="B144" s="13"/>
      <c r="C144" s="13"/>
    </row>
    <row r="145" spans="1:3" ht="13" x14ac:dyDescent="0.15">
      <c r="A145" s="10"/>
      <c r="B145" s="13"/>
      <c r="C145" s="13"/>
    </row>
    <row r="146" spans="1:3" ht="13" x14ac:dyDescent="0.15">
      <c r="A146" s="10"/>
      <c r="B146" s="13"/>
      <c r="C146" s="13"/>
    </row>
    <row r="147" spans="1:3" ht="13" x14ac:dyDescent="0.15">
      <c r="A147" s="10"/>
      <c r="B147" s="13"/>
      <c r="C147" s="13"/>
    </row>
    <row r="148" spans="1:3" ht="13" x14ac:dyDescent="0.15">
      <c r="A148" s="10"/>
      <c r="B148" s="13"/>
      <c r="C148" s="13"/>
    </row>
    <row r="149" spans="1:3" ht="13" x14ac:dyDescent="0.15">
      <c r="A149" s="10"/>
      <c r="B149" s="13"/>
      <c r="C149" s="13"/>
    </row>
    <row r="150" spans="1:3" ht="13" x14ac:dyDescent="0.15">
      <c r="A150" s="10"/>
      <c r="B150" s="13"/>
      <c r="C150" s="13"/>
    </row>
    <row r="151" spans="1:3" ht="13" x14ac:dyDescent="0.15">
      <c r="A151" s="10"/>
      <c r="B151" s="13"/>
      <c r="C151" s="13"/>
    </row>
    <row r="152" spans="1:3" ht="13" x14ac:dyDescent="0.15">
      <c r="A152" s="10"/>
      <c r="B152" s="13"/>
      <c r="C152" s="13"/>
    </row>
    <row r="153" spans="1:3" ht="13" x14ac:dyDescent="0.15">
      <c r="A153" s="10"/>
      <c r="B153" s="13"/>
      <c r="C153" s="13"/>
    </row>
    <row r="154" spans="1:3" ht="13" x14ac:dyDescent="0.15">
      <c r="A154" s="10"/>
      <c r="B154" s="13"/>
      <c r="C154" s="13"/>
    </row>
    <row r="155" spans="1:3" ht="13" x14ac:dyDescent="0.15">
      <c r="A155" s="10"/>
      <c r="B155" s="13"/>
      <c r="C155" s="13"/>
    </row>
    <row r="156" spans="1:3" ht="13" x14ac:dyDescent="0.15">
      <c r="A156" s="10"/>
      <c r="B156" s="13"/>
      <c r="C156" s="13"/>
    </row>
    <row r="157" spans="1:3" ht="13" x14ac:dyDescent="0.15">
      <c r="A157" s="10"/>
      <c r="B157" s="13"/>
      <c r="C157" s="13"/>
    </row>
    <row r="158" spans="1:3" ht="13" x14ac:dyDescent="0.15">
      <c r="A158" s="10"/>
      <c r="B158" s="13"/>
      <c r="C158" s="13"/>
    </row>
    <row r="159" spans="1:3" ht="13" x14ac:dyDescent="0.15">
      <c r="A159" s="10"/>
      <c r="B159" s="13"/>
      <c r="C159" s="13"/>
    </row>
    <row r="160" spans="1:3" ht="13" x14ac:dyDescent="0.15">
      <c r="A160" s="10"/>
      <c r="B160" s="13"/>
      <c r="C160" s="13"/>
    </row>
    <row r="161" spans="1:3" ht="13" x14ac:dyDescent="0.15">
      <c r="A161" s="10"/>
      <c r="B161" s="13"/>
      <c r="C161" s="13"/>
    </row>
    <row r="162" spans="1:3" ht="13" x14ac:dyDescent="0.15">
      <c r="A162" s="10"/>
      <c r="B162" s="13"/>
      <c r="C162" s="13"/>
    </row>
    <row r="163" spans="1:3" ht="13" x14ac:dyDescent="0.15">
      <c r="A163" s="10"/>
      <c r="B163" s="13"/>
      <c r="C163" s="13"/>
    </row>
    <row r="164" spans="1:3" ht="13" x14ac:dyDescent="0.15">
      <c r="A164" s="10"/>
      <c r="B164" s="13"/>
      <c r="C164" s="13"/>
    </row>
    <row r="165" spans="1:3" ht="13" x14ac:dyDescent="0.15">
      <c r="A165" s="10"/>
      <c r="B165" s="13"/>
      <c r="C165" s="13"/>
    </row>
    <row r="166" spans="1:3" ht="13" x14ac:dyDescent="0.15">
      <c r="A166" s="10"/>
      <c r="B166" s="13"/>
      <c r="C166" s="13"/>
    </row>
    <row r="167" spans="1:3" ht="13" x14ac:dyDescent="0.15">
      <c r="A167" s="10"/>
      <c r="B167" s="13"/>
      <c r="C167" s="13"/>
    </row>
    <row r="168" spans="1:3" ht="13" x14ac:dyDescent="0.15">
      <c r="A168" s="10"/>
      <c r="B168" s="13"/>
      <c r="C168" s="13"/>
    </row>
    <row r="169" spans="1:3" ht="13" x14ac:dyDescent="0.15">
      <c r="A169" s="10"/>
      <c r="B169" s="13"/>
      <c r="C169" s="13"/>
    </row>
    <row r="170" spans="1:3" ht="13" x14ac:dyDescent="0.15">
      <c r="A170" s="10"/>
      <c r="B170" s="13"/>
      <c r="C170" s="13"/>
    </row>
    <row r="171" spans="1:3" ht="13" x14ac:dyDescent="0.15">
      <c r="A171" s="10"/>
      <c r="B171" s="13"/>
      <c r="C171" s="13"/>
    </row>
    <row r="172" spans="1:3" ht="13" x14ac:dyDescent="0.15">
      <c r="A172" s="10"/>
      <c r="B172" s="13"/>
      <c r="C172" s="13"/>
    </row>
    <row r="173" spans="1:3" ht="13" x14ac:dyDescent="0.15">
      <c r="A173" s="10"/>
      <c r="B173" s="13"/>
      <c r="C173" s="13"/>
    </row>
    <row r="174" spans="1:3" ht="13" x14ac:dyDescent="0.15">
      <c r="A174" s="10"/>
      <c r="B174" s="13"/>
      <c r="C174" s="13"/>
    </row>
    <row r="175" spans="1:3" ht="13" x14ac:dyDescent="0.15">
      <c r="A175" s="10"/>
      <c r="B175" s="13"/>
      <c r="C175" s="13"/>
    </row>
    <row r="176" spans="1:3" ht="13" x14ac:dyDescent="0.15">
      <c r="A176" s="10"/>
      <c r="B176" s="13"/>
      <c r="C176" s="13"/>
    </row>
    <row r="177" spans="1:3" ht="13" x14ac:dyDescent="0.15">
      <c r="A177" s="10"/>
      <c r="B177" s="13"/>
      <c r="C177" s="13"/>
    </row>
    <row r="178" spans="1:3" ht="13" x14ac:dyDescent="0.15">
      <c r="A178" s="10"/>
      <c r="B178" s="13"/>
      <c r="C178" s="13"/>
    </row>
    <row r="179" spans="1:3" ht="13" x14ac:dyDescent="0.15">
      <c r="A179" s="10"/>
      <c r="B179" s="13"/>
      <c r="C179" s="13"/>
    </row>
    <row r="180" spans="1:3" ht="13" x14ac:dyDescent="0.15">
      <c r="A180" s="10"/>
      <c r="B180" s="13"/>
      <c r="C180" s="13"/>
    </row>
    <row r="181" spans="1:3" ht="13" x14ac:dyDescent="0.15">
      <c r="A181" s="10"/>
      <c r="B181" s="13"/>
      <c r="C181" s="13"/>
    </row>
    <row r="182" spans="1:3" ht="13" x14ac:dyDescent="0.15">
      <c r="A182" s="10"/>
      <c r="B182" s="13"/>
      <c r="C182" s="13"/>
    </row>
    <row r="183" spans="1:3" ht="13" x14ac:dyDescent="0.15">
      <c r="A183" s="10"/>
      <c r="B183" s="13"/>
      <c r="C183" s="13"/>
    </row>
    <row r="184" spans="1:3" ht="13" x14ac:dyDescent="0.15">
      <c r="A184" s="10"/>
      <c r="B184" s="13"/>
      <c r="C184" s="13"/>
    </row>
    <row r="185" spans="1:3" ht="13" x14ac:dyDescent="0.15">
      <c r="A185" s="10"/>
      <c r="B185" s="13"/>
      <c r="C185" s="13"/>
    </row>
    <row r="186" spans="1:3" ht="13" x14ac:dyDescent="0.15">
      <c r="A186" s="10"/>
      <c r="B186" s="13"/>
      <c r="C186" s="13"/>
    </row>
    <row r="187" spans="1:3" ht="13" x14ac:dyDescent="0.15">
      <c r="A187" s="10"/>
      <c r="B187" s="13"/>
      <c r="C187" s="13"/>
    </row>
    <row r="188" spans="1:3" ht="13" x14ac:dyDescent="0.15">
      <c r="A188" s="10"/>
      <c r="B188" s="13"/>
      <c r="C188" s="13"/>
    </row>
    <row r="189" spans="1:3" ht="13" x14ac:dyDescent="0.15">
      <c r="A189" s="10"/>
      <c r="B189" s="13"/>
      <c r="C189" s="13"/>
    </row>
    <row r="190" spans="1:3" ht="13" x14ac:dyDescent="0.15">
      <c r="A190" s="10"/>
      <c r="B190" s="13"/>
      <c r="C190" s="13"/>
    </row>
    <row r="191" spans="1:3" ht="13" x14ac:dyDescent="0.15">
      <c r="A191" s="10"/>
      <c r="B191" s="13"/>
      <c r="C191" s="13"/>
    </row>
    <row r="192" spans="1:3" ht="13" x14ac:dyDescent="0.15">
      <c r="A192" s="10"/>
      <c r="B192" s="13"/>
      <c r="C192" s="13"/>
    </row>
    <row r="193" spans="1:3" ht="13" x14ac:dyDescent="0.15">
      <c r="A193" s="10"/>
      <c r="B193" s="13"/>
      <c r="C193" s="13"/>
    </row>
    <row r="194" spans="1:3" ht="13" x14ac:dyDescent="0.15">
      <c r="A194" s="10"/>
      <c r="B194" s="13"/>
      <c r="C194" s="13"/>
    </row>
    <row r="195" spans="1:3" ht="13" x14ac:dyDescent="0.15">
      <c r="A195" s="10"/>
      <c r="B195" s="13"/>
      <c r="C195" s="13"/>
    </row>
    <row r="196" spans="1:3" ht="13" x14ac:dyDescent="0.15">
      <c r="A196" s="10"/>
      <c r="B196" s="13"/>
      <c r="C196" s="13"/>
    </row>
    <row r="197" spans="1:3" ht="13" x14ac:dyDescent="0.15">
      <c r="A197" s="10"/>
      <c r="B197" s="13"/>
      <c r="C197" s="13"/>
    </row>
    <row r="198" spans="1:3" ht="13" x14ac:dyDescent="0.15">
      <c r="A198" s="10"/>
      <c r="B198" s="13"/>
      <c r="C198" s="13"/>
    </row>
    <row r="199" spans="1:3" ht="13" x14ac:dyDescent="0.15">
      <c r="A199" s="10"/>
      <c r="B199" s="13"/>
      <c r="C199" s="13"/>
    </row>
    <row r="200" spans="1:3" ht="13" x14ac:dyDescent="0.15">
      <c r="A200" s="10"/>
      <c r="B200" s="13"/>
      <c r="C200" s="13"/>
    </row>
    <row r="201" spans="1:3" ht="13" x14ac:dyDescent="0.15">
      <c r="A201" s="10"/>
      <c r="B201" s="13"/>
      <c r="C201" s="13"/>
    </row>
    <row r="202" spans="1:3" ht="13" x14ac:dyDescent="0.15">
      <c r="A202" s="10"/>
      <c r="B202" s="13"/>
      <c r="C202" s="13"/>
    </row>
    <row r="203" spans="1:3" ht="13" x14ac:dyDescent="0.15">
      <c r="A203" s="10"/>
      <c r="B203" s="13"/>
      <c r="C203" s="13"/>
    </row>
    <row r="204" spans="1:3" ht="13" x14ac:dyDescent="0.15">
      <c r="A204" s="10"/>
      <c r="B204" s="13"/>
      <c r="C204" s="13"/>
    </row>
    <row r="205" spans="1:3" ht="13" x14ac:dyDescent="0.15">
      <c r="A205" s="10"/>
      <c r="B205" s="13"/>
      <c r="C205" s="13"/>
    </row>
    <row r="206" spans="1:3" ht="13" x14ac:dyDescent="0.15">
      <c r="A206" s="10"/>
      <c r="B206" s="13"/>
      <c r="C206" s="13"/>
    </row>
    <row r="207" spans="1:3" ht="13" x14ac:dyDescent="0.15">
      <c r="A207" s="10"/>
      <c r="B207" s="13"/>
      <c r="C207" s="13"/>
    </row>
    <row r="208" spans="1:3" ht="13" x14ac:dyDescent="0.15">
      <c r="A208" s="10"/>
      <c r="B208" s="13"/>
      <c r="C208" s="13"/>
    </row>
    <row r="209" spans="1:3" ht="13" x14ac:dyDescent="0.15">
      <c r="A209" s="10"/>
      <c r="B209" s="13"/>
      <c r="C209" s="13"/>
    </row>
    <row r="210" spans="1:3" ht="13" x14ac:dyDescent="0.15">
      <c r="A210" s="10"/>
      <c r="B210" s="13"/>
      <c r="C210" s="13"/>
    </row>
    <row r="211" spans="1:3" ht="13" x14ac:dyDescent="0.15">
      <c r="A211" s="10"/>
      <c r="B211" s="13"/>
      <c r="C211" s="13"/>
    </row>
    <row r="212" spans="1:3" ht="13" x14ac:dyDescent="0.15">
      <c r="A212" s="10"/>
      <c r="B212" s="13"/>
      <c r="C212" s="13"/>
    </row>
    <row r="213" spans="1:3" ht="13" x14ac:dyDescent="0.15">
      <c r="A213" s="10"/>
      <c r="B213" s="13"/>
      <c r="C213" s="13"/>
    </row>
    <row r="214" spans="1:3" ht="13" x14ac:dyDescent="0.15">
      <c r="A214" s="10"/>
      <c r="B214" s="13"/>
      <c r="C214" s="13"/>
    </row>
    <row r="215" spans="1:3" ht="13" x14ac:dyDescent="0.15">
      <c r="A215" s="10"/>
      <c r="B215" s="13"/>
      <c r="C215" s="13"/>
    </row>
    <row r="216" spans="1:3" ht="13" x14ac:dyDescent="0.15">
      <c r="A216" s="10"/>
      <c r="B216" s="13"/>
      <c r="C216" s="13"/>
    </row>
    <row r="217" spans="1:3" ht="13" x14ac:dyDescent="0.15">
      <c r="A217" s="10"/>
      <c r="B217" s="13"/>
      <c r="C217" s="13"/>
    </row>
    <row r="218" spans="1:3" ht="13" x14ac:dyDescent="0.15">
      <c r="A218" s="10"/>
      <c r="B218" s="13"/>
      <c r="C218" s="13"/>
    </row>
    <row r="219" spans="1:3" ht="13" x14ac:dyDescent="0.15">
      <c r="A219" s="10"/>
      <c r="B219" s="13"/>
      <c r="C219" s="13"/>
    </row>
    <row r="220" spans="1:3" ht="13" x14ac:dyDescent="0.15">
      <c r="A220" s="10"/>
      <c r="B220" s="13"/>
      <c r="C220" s="13"/>
    </row>
    <row r="221" spans="1:3" ht="13" x14ac:dyDescent="0.15">
      <c r="A221" s="10"/>
      <c r="B221" s="13"/>
      <c r="C221" s="13"/>
    </row>
    <row r="222" spans="1:3" ht="13" x14ac:dyDescent="0.15">
      <c r="A222" s="10"/>
      <c r="B222" s="13"/>
      <c r="C222" s="13"/>
    </row>
    <row r="223" spans="1:3" ht="13" x14ac:dyDescent="0.15">
      <c r="A223" s="10"/>
      <c r="B223" s="13"/>
      <c r="C223" s="13"/>
    </row>
    <row r="224" spans="1:3" ht="13" x14ac:dyDescent="0.15">
      <c r="A224" s="10"/>
      <c r="B224" s="13"/>
      <c r="C224" s="13"/>
    </row>
    <row r="225" spans="1:3" ht="13" x14ac:dyDescent="0.15">
      <c r="A225" s="10"/>
      <c r="B225" s="13"/>
      <c r="C225" s="13"/>
    </row>
    <row r="226" spans="1:3" ht="13" x14ac:dyDescent="0.15">
      <c r="A226" s="10"/>
      <c r="B226" s="13"/>
      <c r="C226" s="13"/>
    </row>
    <row r="227" spans="1:3" ht="13" x14ac:dyDescent="0.15">
      <c r="A227" s="10"/>
      <c r="B227" s="13"/>
      <c r="C227" s="13"/>
    </row>
    <row r="228" spans="1:3" ht="13" x14ac:dyDescent="0.15">
      <c r="A228" s="10"/>
      <c r="B228" s="13"/>
      <c r="C228" s="13"/>
    </row>
    <row r="229" spans="1:3" ht="13" x14ac:dyDescent="0.15">
      <c r="A229" s="10"/>
      <c r="B229" s="13"/>
      <c r="C229" s="13"/>
    </row>
    <row r="230" spans="1:3" ht="13" x14ac:dyDescent="0.15">
      <c r="A230" s="10"/>
      <c r="B230" s="13"/>
      <c r="C230" s="13"/>
    </row>
    <row r="231" spans="1:3" ht="13" x14ac:dyDescent="0.15">
      <c r="A231" s="10"/>
      <c r="B231" s="13"/>
      <c r="C231" s="13"/>
    </row>
    <row r="232" spans="1:3" ht="13" x14ac:dyDescent="0.15">
      <c r="A232" s="10"/>
      <c r="B232" s="13"/>
      <c r="C232" s="13"/>
    </row>
    <row r="233" spans="1:3" ht="13" x14ac:dyDescent="0.15">
      <c r="A233" s="10"/>
      <c r="B233" s="13"/>
      <c r="C233" s="13"/>
    </row>
    <row r="234" spans="1:3" ht="13" x14ac:dyDescent="0.15">
      <c r="A234" s="10"/>
      <c r="B234" s="13"/>
      <c r="C234" s="13"/>
    </row>
    <row r="235" spans="1:3" ht="13" x14ac:dyDescent="0.15">
      <c r="A235" s="10"/>
      <c r="B235" s="13"/>
      <c r="C235" s="13"/>
    </row>
    <row r="236" spans="1:3" ht="13" x14ac:dyDescent="0.15">
      <c r="A236" s="10"/>
      <c r="B236" s="13"/>
      <c r="C236" s="13"/>
    </row>
    <row r="237" spans="1:3" ht="13" x14ac:dyDescent="0.15">
      <c r="A237" s="10"/>
      <c r="B237" s="13"/>
      <c r="C237" s="13"/>
    </row>
    <row r="238" spans="1:3" ht="13" x14ac:dyDescent="0.15">
      <c r="A238" s="10"/>
      <c r="B238" s="13"/>
      <c r="C238" s="13"/>
    </row>
    <row r="239" spans="1:3" ht="13" x14ac:dyDescent="0.15">
      <c r="A239" s="10"/>
      <c r="B239" s="13"/>
      <c r="C239" s="13"/>
    </row>
    <row r="240" spans="1:3" ht="13" x14ac:dyDescent="0.15">
      <c r="A240" s="10"/>
      <c r="B240" s="13"/>
      <c r="C240" s="13"/>
    </row>
    <row r="241" spans="1:3" ht="13" x14ac:dyDescent="0.15">
      <c r="A241" s="10"/>
      <c r="B241" s="13"/>
      <c r="C241" s="13"/>
    </row>
    <row r="242" spans="1:3" ht="13" x14ac:dyDescent="0.15">
      <c r="A242" s="10"/>
      <c r="B242" s="13"/>
      <c r="C242" s="13"/>
    </row>
    <row r="243" spans="1:3" ht="13" x14ac:dyDescent="0.15">
      <c r="A243" s="10"/>
      <c r="B243" s="13"/>
      <c r="C243" s="13"/>
    </row>
    <row r="244" spans="1:3" ht="13" x14ac:dyDescent="0.15">
      <c r="A244" s="10"/>
      <c r="B244" s="13"/>
      <c r="C244" s="13"/>
    </row>
    <row r="245" spans="1:3" ht="13" x14ac:dyDescent="0.15">
      <c r="A245" s="10"/>
      <c r="B245" s="13"/>
      <c r="C245" s="13"/>
    </row>
    <row r="246" spans="1:3" ht="13" x14ac:dyDescent="0.15">
      <c r="A246" s="10"/>
      <c r="B246" s="13"/>
      <c r="C246" s="13"/>
    </row>
    <row r="247" spans="1:3" ht="13" x14ac:dyDescent="0.15">
      <c r="A247" s="10"/>
      <c r="B247" s="13"/>
      <c r="C247" s="13"/>
    </row>
    <row r="248" spans="1:3" ht="13" x14ac:dyDescent="0.15">
      <c r="A248" s="10"/>
      <c r="B248" s="13"/>
      <c r="C248" s="13"/>
    </row>
    <row r="249" spans="1:3" ht="13" x14ac:dyDescent="0.15">
      <c r="A249" s="10"/>
      <c r="B249" s="13"/>
      <c r="C249" s="13"/>
    </row>
    <row r="250" spans="1:3" ht="13" x14ac:dyDescent="0.15">
      <c r="A250" s="10"/>
      <c r="B250" s="13"/>
      <c r="C250" s="13"/>
    </row>
    <row r="251" spans="1:3" ht="13" x14ac:dyDescent="0.15">
      <c r="A251" s="10"/>
      <c r="B251" s="13"/>
      <c r="C251" s="13"/>
    </row>
    <row r="252" spans="1:3" ht="13" x14ac:dyDescent="0.15">
      <c r="A252" s="10"/>
      <c r="B252" s="13"/>
      <c r="C252" s="13"/>
    </row>
    <row r="253" spans="1:3" ht="13" x14ac:dyDescent="0.15">
      <c r="A253" s="10"/>
      <c r="B253" s="13"/>
      <c r="C253" s="13"/>
    </row>
    <row r="254" spans="1:3" ht="13" x14ac:dyDescent="0.15">
      <c r="A254" s="10"/>
      <c r="B254" s="13"/>
      <c r="C254" s="13"/>
    </row>
    <row r="255" spans="1:3" ht="13" x14ac:dyDescent="0.15">
      <c r="A255" s="10"/>
      <c r="B255" s="13"/>
      <c r="C255" s="13"/>
    </row>
    <row r="256" spans="1:3" ht="13" x14ac:dyDescent="0.15">
      <c r="A256" s="10"/>
      <c r="B256" s="13"/>
      <c r="C256" s="13"/>
    </row>
    <row r="257" spans="1:3" ht="13" x14ac:dyDescent="0.15">
      <c r="A257" s="10"/>
      <c r="B257" s="13"/>
      <c r="C257" s="13"/>
    </row>
    <row r="258" spans="1:3" ht="13" x14ac:dyDescent="0.15">
      <c r="A258" s="10"/>
      <c r="B258" s="13"/>
      <c r="C258" s="13"/>
    </row>
    <row r="259" spans="1:3" ht="13" x14ac:dyDescent="0.15">
      <c r="A259" s="10"/>
      <c r="B259" s="13"/>
      <c r="C259" s="13"/>
    </row>
    <row r="260" spans="1:3" ht="13" x14ac:dyDescent="0.15">
      <c r="A260" s="10"/>
      <c r="B260" s="13"/>
      <c r="C260" s="13"/>
    </row>
    <row r="261" spans="1:3" ht="13" x14ac:dyDescent="0.15">
      <c r="A261" s="10"/>
      <c r="B261" s="13"/>
      <c r="C261" s="13"/>
    </row>
    <row r="262" spans="1:3" ht="13" x14ac:dyDescent="0.15">
      <c r="A262" s="10"/>
      <c r="B262" s="13"/>
      <c r="C262" s="13"/>
    </row>
    <row r="263" spans="1:3" ht="13" x14ac:dyDescent="0.15">
      <c r="A263" s="10"/>
      <c r="B263" s="13"/>
      <c r="C263" s="13"/>
    </row>
    <row r="264" spans="1:3" ht="13" x14ac:dyDescent="0.15">
      <c r="A264" s="10"/>
      <c r="B264" s="13"/>
      <c r="C264" s="13"/>
    </row>
    <row r="265" spans="1:3" ht="13" x14ac:dyDescent="0.15">
      <c r="A265" s="10"/>
      <c r="B265" s="13"/>
      <c r="C265" s="13"/>
    </row>
    <row r="266" spans="1:3" ht="13" x14ac:dyDescent="0.15">
      <c r="A266" s="10"/>
      <c r="B266" s="13"/>
      <c r="C266" s="13"/>
    </row>
    <row r="267" spans="1:3" ht="13" x14ac:dyDescent="0.15">
      <c r="A267" s="10"/>
      <c r="B267" s="13"/>
      <c r="C267" s="13"/>
    </row>
    <row r="268" spans="1:3" ht="13" x14ac:dyDescent="0.15">
      <c r="A268" s="10"/>
      <c r="B268" s="13"/>
      <c r="C268" s="13"/>
    </row>
    <row r="269" spans="1:3" ht="13" x14ac:dyDescent="0.15">
      <c r="A269" s="10"/>
      <c r="B269" s="13"/>
      <c r="C269" s="13"/>
    </row>
    <row r="270" spans="1:3" ht="13" x14ac:dyDescent="0.15">
      <c r="A270" s="10"/>
      <c r="B270" s="13"/>
      <c r="C270" s="13"/>
    </row>
    <row r="271" spans="1:3" ht="13" x14ac:dyDescent="0.15">
      <c r="A271" s="10"/>
      <c r="B271" s="13"/>
      <c r="C271" s="13"/>
    </row>
    <row r="272" spans="1:3" ht="13" x14ac:dyDescent="0.15">
      <c r="A272" s="10"/>
      <c r="B272" s="13"/>
      <c r="C272" s="13"/>
    </row>
    <row r="273" spans="1:3" ht="13" x14ac:dyDescent="0.15">
      <c r="A273" s="10"/>
      <c r="B273" s="13"/>
      <c r="C273" s="13"/>
    </row>
    <row r="274" spans="1:3" ht="13" x14ac:dyDescent="0.15">
      <c r="A274" s="10"/>
      <c r="B274" s="13"/>
      <c r="C274" s="13"/>
    </row>
    <row r="275" spans="1:3" ht="13" x14ac:dyDescent="0.15">
      <c r="A275" s="10"/>
      <c r="B275" s="13"/>
      <c r="C275" s="13"/>
    </row>
    <row r="276" spans="1:3" ht="13" x14ac:dyDescent="0.15">
      <c r="A276" s="10"/>
      <c r="B276" s="13"/>
      <c r="C276" s="13"/>
    </row>
    <row r="277" spans="1:3" ht="13" x14ac:dyDescent="0.15">
      <c r="A277" s="10"/>
      <c r="B277" s="13"/>
      <c r="C277" s="13"/>
    </row>
    <row r="278" spans="1:3" ht="13" x14ac:dyDescent="0.15">
      <c r="A278" s="10"/>
      <c r="B278" s="13"/>
      <c r="C278" s="13"/>
    </row>
    <row r="279" spans="1:3" ht="13" x14ac:dyDescent="0.15">
      <c r="A279" s="10"/>
      <c r="B279" s="13"/>
      <c r="C279" s="13"/>
    </row>
    <row r="280" spans="1:3" ht="13" x14ac:dyDescent="0.15">
      <c r="A280" s="10"/>
      <c r="B280" s="13"/>
      <c r="C280" s="13"/>
    </row>
    <row r="281" spans="1:3" ht="13" x14ac:dyDescent="0.15">
      <c r="A281" s="10"/>
      <c r="B281" s="13"/>
      <c r="C281" s="13"/>
    </row>
    <row r="282" spans="1:3" ht="13" x14ac:dyDescent="0.15">
      <c r="A282" s="10"/>
      <c r="B282" s="13"/>
      <c r="C282" s="13"/>
    </row>
    <row r="283" spans="1:3" ht="13" x14ac:dyDescent="0.15">
      <c r="A283" s="10"/>
      <c r="B283" s="13"/>
      <c r="C283" s="13"/>
    </row>
    <row r="284" spans="1:3" ht="13" x14ac:dyDescent="0.15">
      <c r="A284" s="10"/>
      <c r="B284" s="13"/>
      <c r="C284" s="13"/>
    </row>
    <row r="285" spans="1:3" ht="13" x14ac:dyDescent="0.15">
      <c r="A285" s="10"/>
      <c r="B285" s="13"/>
      <c r="C285" s="13"/>
    </row>
    <row r="286" spans="1:3" ht="13" x14ac:dyDescent="0.15">
      <c r="A286" s="10"/>
      <c r="B286" s="13"/>
      <c r="C286" s="13"/>
    </row>
    <row r="287" spans="1:3" ht="13" x14ac:dyDescent="0.15">
      <c r="A287" s="10"/>
      <c r="B287" s="13"/>
      <c r="C287" s="13"/>
    </row>
    <row r="288" spans="1:3" ht="13" x14ac:dyDescent="0.15">
      <c r="A288" s="10"/>
      <c r="B288" s="13"/>
      <c r="C288" s="13"/>
    </row>
    <row r="289" spans="1:3" ht="13" x14ac:dyDescent="0.15">
      <c r="A289" s="10"/>
      <c r="B289" s="13"/>
      <c r="C289" s="13"/>
    </row>
    <row r="290" spans="1:3" ht="13" x14ac:dyDescent="0.15">
      <c r="A290" s="10"/>
      <c r="B290" s="13"/>
      <c r="C290" s="13"/>
    </row>
    <row r="291" spans="1:3" ht="13" x14ac:dyDescent="0.15">
      <c r="A291" s="10"/>
      <c r="B291" s="13"/>
      <c r="C291" s="13"/>
    </row>
    <row r="292" spans="1:3" ht="13" x14ac:dyDescent="0.15">
      <c r="A292" s="10"/>
      <c r="B292" s="13"/>
      <c r="C292" s="13"/>
    </row>
    <row r="293" spans="1:3" ht="13" x14ac:dyDescent="0.15">
      <c r="A293" s="10"/>
      <c r="B293" s="13"/>
      <c r="C293" s="13"/>
    </row>
    <row r="294" spans="1:3" ht="13" x14ac:dyDescent="0.15">
      <c r="A294" s="10"/>
      <c r="B294" s="13"/>
      <c r="C294" s="13"/>
    </row>
    <row r="295" spans="1:3" ht="13" x14ac:dyDescent="0.15">
      <c r="A295" s="10"/>
      <c r="B295" s="13"/>
      <c r="C295" s="13"/>
    </row>
    <row r="296" spans="1:3" ht="13" x14ac:dyDescent="0.15">
      <c r="A296" s="10"/>
      <c r="B296" s="13"/>
      <c r="C296" s="13"/>
    </row>
    <row r="297" spans="1:3" ht="13" x14ac:dyDescent="0.15">
      <c r="A297" s="10"/>
      <c r="B297" s="13"/>
      <c r="C297" s="13"/>
    </row>
    <row r="298" spans="1:3" ht="13" x14ac:dyDescent="0.15">
      <c r="A298" s="10"/>
      <c r="B298" s="13"/>
      <c r="C298" s="13"/>
    </row>
    <row r="299" spans="1:3" ht="13" x14ac:dyDescent="0.15">
      <c r="A299" s="10"/>
      <c r="B299" s="13"/>
      <c r="C299" s="13"/>
    </row>
    <row r="300" spans="1:3" ht="13" x14ac:dyDescent="0.15">
      <c r="A300" s="10"/>
      <c r="B300" s="13"/>
      <c r="C300" s="13"/>
    </row>
    <row r="301" spans="1:3" ht="13" x14ac:dyDescent="0.15">
      <c r="A301" s="10"/>
      <c r="B301" s="13"/>
      <c r="C301" s="13"/>
    </row>
    <row r="302" spans="1:3" ht="13" x14ac:dyDescent="0.15">
      <c r="A302" s="10"/>
      <c r="B302" s="13"/>
      <c r="C302" s="13"/>
    </row>
    <row r="303" spans="1:3" ht="13" x14ac:dyDescent="0.15">
      <c r="A303" s="10"/>
      <c r="B303" s="13"/>
      <c r="C303" s="13"/>
    </row>
    <row r="304" spans="1:3" ht="13" x14ac:dyDescent="0.15">
      <c r="A304" s="10"/>
      <c r="B304" s="13"/>
      <c r="C304" s="13"/>
    </row>
    <row r="305" spans="1:3" ht="13" x14ac:dyDescent="0.15">
      <c r="A305" s="10"/>
      <c r="B305" s="13"/>
      <c r="C305" s="13"/>
    </row>
    <row r="306" spans="1:3" ht="13" x14ac:dyDescent="0.15">
      <c r="A306" s="10"/>
      <c r="B306" s="13"/>
      <c r="C306" s="13"/>
    </row>
    <row r="307" spans="1:3" ht="13" x14ac:dyDescent="0.15">
      <c r="A307" s="10"/>
      <c r="B307" s="13"/>
      <c r="C307" s="13"/>
    </row>
    <row r="308" spans="1:3" ht="13" x14ac:dyDescent="0.15">
      <c r="A308" s="10"/>
      <c r="B308" s="13"/>
      <c r="C308" s="13"/>
    </row>
    <row r="309" spans="1:3" ht="13" x14ac:dyDescent="0.15">
      <c r="A309" s="10"/>
      <c r="B309" s="13"/>
      <c r="C309" s="13"/>
    </row>
    <row r="310" spans="1:3" ht="13" x14ac:dyDescent="0.15">
      <c r="A310" s="10"/>
      <c r="B310" s="13"/>
      <c r="C310" s="13"/>
    </row>
    <row r="311" spans="1:3" ht="13" x14ac:dyDescent="0.15">
      <c r="A311" s="10"/>
      <c r="B311" s="13"/>
      <c r="C311" s="13"/>
    </row>
    <row r="312" spans="1:3" ht="13" x14ac:dyDescent="0.15">
      <c r="A312" s="10"/>
      <c r="B312" s="13"/>
      <c r="C312" s="13"/>
    </row>
    <row r="313" spans="1:3" ht="13" x14ac:dyDescent="0.15">
      <c r="A313" s="10"/>
      <c r="B313" s="13"/>
      <c r="C313" s="13"/>
    </row>
    <row r="314" spans="1:3" ht="13" x14ac:dyDescent="0.15">
      <c r="A314" s="10"/>
      <c r="B314" s="13"/>
      <c r="C314" s="13"/>
    </row>
    <row r="315" spans="1:3" ht="13" x14ac:dyDescent="0.15">
      <c r="A315" s="10"/>
      <c r="B315" s="13"/>
      <c r="C315" s="13"/>
    </row>
    <row r="316" spans="1:3" ht="13" x14ac:dyDescent="0.15">
      <c r="A316" s="10"/>
      <c r="B316" s="13"/>
      <c r="C316" s="13"/>
    </row>
    <row r="317" spans="1:3" ht="13" x14ac:dyDescent="0.15">
      <c r="A317" s="10"/>
      <c r="B317" s="13"/>
      <c r="C317" s="13"/>
    </row>
    <row r="318" spans="1:3" ht="13" x14ac:dyDescent="0.15">
      <c r="A318" s="10"/>
      <c r="B318" s="13"/>
      <c r="C318" s="13"/>
    </row>
    <row r="319" spans="1:3" ht="13" x14ac:dyDescent="0.15">
      <c r="A319" s="10"/>
      <c r="B319" s="13"/>
      <c r="C319" s="13"/>
    </row>
    <row r="320" spans="1:3" ht="13" x14ac:dyDescent="0.15">
      <c r="A320" s="10"/>
      <c r="B320" s="13"/>
      <c r="C320" s="13"/>
    </row>
    <row r="321" spans="1:3" ht="13" x14ac:dyDescent="0.15">
      <c r="A321" s="10"/>
      <c r="B321" s="13"/>
      <c r="C321" s="13"/>
    </row>
    <row r="322" spans="1:3" ht="13" x14ac:dyDescent="0.15">
      <c r="A322" s="10"/>
      <c r="B322" s="13"/>
      <c r="C322" s="13"/>
    </row>
    <row r="323" spans="1:3" ht="13" x14ac:dyDescent="0.15">
      <c r="A323" s="10"/>
      <c r="B323" s="13"/>
      <c r="C323" s="13"/>
    </row>
    <row r="324" spans="1:3" ht="13" x14ac:dyDescent="0.15">
      <c r="A324" s="10"/>
      <c r="B324" s="13"/>
      <c r="C324" s="13"/>
    </row>
    <row r="325" spans="1:3" ht="13" x14ac:dyDescent="0.15">
      <c r="A325" s="10"/>
      <c r="B325" s="13"/>
      <c r="C325" s="13"/>
    </row>
    <row r="326" spans="1:3" ht="13" x14ac:dyDescent="0.15">
      <c r="A326" s="10"/>
      <c r="B326" s="13"/>
      <c r="C326" s="13"/>
    </row>
    <row r="327" spans="1:3" ht="13" x14ac:dyDescent="0.15">
      <c r="A327" s="10"/>
      <c r="B327" s="13"/>
      <c r="C327" s="13"/>
    </row>
    <row r="328" spans="1:3" ht="13" x14ac:dyDescent="0.15">
      <c r="A328" s="10"/>
      <c r="B328" s="13"/>
      <c r="C328" s="13"/>
    </row>
    <row r="329" spans="1:3" ht="13" x14ac:dyDescent="0.15">
      <c r="A329" s="10"/>
      <c r="B329" s="13"/>
      <c r="C329" s="13"/>
    </row>
    <row r="330" spans="1:3" ht="13" x14ac:dyDescent="0.15">
      <c r="A330" s="10"/>
      <c r="B330" s="13"/>
      <c r="C330" s="13"/>
    </row>
    <row r="331" spans="1:3" ht="13" x14ac:dyDescent="0.15">
      <c r="A331" s="10"/>
      <c r="B331" s="13"/>
      <c r="C331" s="13"/>
    </row>
    <row r="332" spans="1:3" ht="13" x14ac:dyDescent="0.15">
      <c r="A332" s="10"/>
      <c r="B332" s="13"/>
      <c r="C332" s="13"/>
    </row>
    <row r="333" spans="1:3" ht="13" x14ac:dyDescent="0.15">
      <c r="A333" s="10"/>
      <c r="B333" s="13"/>
      <c r="C333" s="13"/>
    </row>
    <row r="334" spans="1:3" ht="13" x14ac:dyDescent="0.15">
      <c r="A334" s="10"/>
      <c r="B334" s="13"/>
      <c r="C334" s="13"/>
    </row>
    <row r="335" spans="1:3" ht="13" x14ac:dyDescent="0.15">
      <c r="A335" s="10"/>
      <c r="B335" s="13"/>
      <c r="C335" s="13"/>
    </row>
    <row r="336" spans="1:3" ht="13" x14ac:dyDescent="0.15">
      <c r="A336" s="10"/>
      <c r="B336" s="13"/>
      <c r="C336" s="13"/>
    </row>
    <row r="337" spans="1:3" ht="13" x14ac:dyDescent="0.15">
      <c r="A337" s="10"/>
      <c r="B337" s="13"/>
      <c r="C337" s="13"/>
    </row>
    <row r="338" spans="1:3" ht="13" x14ac:dyDescent="0.15">
      <c r="A338" s="10"/>
      <c r="B338" s="13"/>
      <c r="C338" s="13"/>
    </row>
    <row r="339" spans="1:3" ht="13" x14ac:dyDescent="0.15">
      <c r="A339" s="10"/>
      <c r="B339" s="13"/>
      <c r="C339" s="13"/>
    </row>
    <row r="340" spans="1:3" ht="13" x14ac:dyDescent="0.15">
      <c r="A340" s="10"/>
      <c r="B340" s="13"/>
      <c r="C340" s="13"/>
    </row>
    <row r="341" spans="1:3" ht="13" x14ac:dyDescent="0.15">
      <c r="A341" s="10"/>
      <c r="B341" s="13"/>
      <c r="C341" s="13"/>
    </row>
    <row r="342" spans="1:3" ht="13" x14ac:dyDescent="0.15">
      <c r="A342" s="10"/>
      <c r="B342" s="13"/>
      <c r="C342" s="13"/>
    </row>
    <row r="343" spans="1:3" ht="13" x14ac:dyDescent="0.15">
      <c r="A343" s="10"/>
      <c r="B343" s="13"/>
      <c r="C343" s="13"/>
    </row>
    <row r="344" spans="1:3" ht="13" x14ac:dyDescent="0.15">
      <c r="A344" s="10"/>
      <c r="B344" s="13"/>
      <c r="C344" s="13"/>
    </row>
    <row r="345" spans="1:3" ht="13" x14ac:dyDescent="0.15">
      <c r="A345" s="10"/>
      <c r="B345" s="13"/>
      <c r="C345" s="13"/>
    </row>
    <row r="346" spans="1:3" ht="13" x14ac:dyDescent="0.15">
      <c r="A346" s="10"/>
      <c r="B346" s="13"/>
      <c r="C346" s="13"/>
    </row>
    <row r="347" spans="1:3" ht="13" x14ac:dyDescent="0.15">
      <c r="A347" s="10"/>
      <c r="B347" s="13"/>
      <c r="C347" s="13"/>
    </row>
    <row r="348" spans="1:3" ht="13" x14ac:dyDescent="0.15">
      <c r="A348" s="10"/>
      <c r="B348" s="13"/>
      <c r="C348" s="13"/>
    </row>
    <row r="349" spans="1:3" ht="13" x14ac:dyDescent="0.15">
      <c r="A349" s="10"/>
      <c r="B349" s="13"/>
      <c r="C349" s="13"/>
    </row>
    <row r="350" spans="1:3" ht="13" x14ac:dyDescent="0.15">
      <c r="A350" s="10"/>
      <c r="B350" s="13"/>
      <c r="C350" s="13"/>
    </row>
    <row r="351" spans="1:3" ht="13" x14ac:dyDescent="0.15">
      <c r="A351" s="10"/>
      <c r="B351" s="13"/>
      <c r="C351" s="13"/>
    </row>
    <row r="352" spans="1:3" ht="13" x14ac:dyDescent="0.15">
      <c r="A352" s="10"/>
      <c r="B352" s="13"/>
      <c r="C352" s="13"/>
    </row>
    <row r="353" spans="1:3" ht="13" x14ac:dyDescent="0.15">
      <c r="A353" s="10"/>
      <c r="B353" s="13"/>
      <c r="C353" s="13"/>
    </row>
    <row r="354" spans="1:3" ht="13" x14ac:dyDescent="0.15">
      <c r="A354" s="10"/>
      <c r="B354" s="13"/>
      <c r="C354" s="13"/>
    </row>
    <row r="355" spans="1:3" ht="13" x14ac:dyDescent="0.15">
      <c r="A355" s="10"/>
      <c r="B355" s="13"/>
      <c r="C355" s="13"/>
    </row>
    <row r="356" spans="1:3" ht="13" x14ac:dyDescent="0.15">
      <c r="A356" s="10"/>
      <c r="B356" s="13"/>
      <c r="C356" s="13"/>
    </row>
    <row r="357" spans="1:3" ht="13" x14ac:dyDescent="0.15">
      <c r="A357" s="10"/>
      <c r="B357" s="13"/>
      <c r="C357" s="13"/>
    </row>
    <row r="358" spans="1:3" ht="13" x14ac:dyDescent="0.15">
      <c r="A358" s="10"/>
      <c r="B358" s="13"/>
      <c r="C358" s="13"/>
    </row>
    <row r="359" spans="1:3" ht="13" x14ac:dyDescent="0.15">
      <c r="A359" s="10"/>
      <c r="B359" s="13"/>
      <c r="C359" s="13"/>
    </row>
    <row r="360" spans="1:3" ht="13" x14ac:dyDescent="0.15">
      <c r="A360" s="10"/>
      <c r="B360" s="13"/>
      <c r="C360" s="13"/>
    </row>
    <row r="361" spans="1:3" ht="13" x14ac:dyDescent="0.15">
      <c r="A361" s="10"/>
      <c r="B361" s="13"/>
      <c r="C361" s="13"/>
    </row>
    <row r="362" spans="1:3" ht="13" x14ac:dyDescent="0.15">
      <c r="A362" s="10"/>
      <c r="B362" s="13"/>
      <c r="C362" s="13"/>
    </row>
    <row r="363" spans="1:3" ht="13" x14ac:dyDescent="0.15">
      <c r="A363" s="10"/>
      <c r="B363" s="13"/>
      <c r="C363" s="13"/>
    </row>
    <row r="364" spans="1:3" ht="13" x14ac:dyDescent="0.15">
      <c r="A364" s="10"/>
      <c r="B364" s="13"/>
      <c r="C364" s="13"/>
    </row>
    <row r="365" spans="1:3" ht="13" x14ac:dyDescent="0.15">
      <c r="A365" s="10"/>
      <c r="B365" s="13"/>
      <c r="C365" s="13"/>
    </row>
    <row r="366" spans="1:3" ht="13" x14ac:dyDescent="0.15">
      <c r="A366" s="10"/>
      <c r="B366" s="13"/>
      <c r="C366" s="13"/>
    </row>
    <row r="367" spans="1:3" ht="13" x14ac:dyDescent="0.15">
      <c r="A367" s="10"/>
      <c r="B367" s="13"/>
      <c r="C367" s="13"/>
    </row>
    <row r="368" spans="1:3" ht="13" x14ac:dyDescent="0.15">
      <c r="A368" s="10"/>
      <c r="B368" s="13"/>
      <c r="C368" s="13"/>
    </row>
    <row r="369" spans="1:3" ht="13" x14ac:dyDescent="0.15">
      <c r="A369" s="10"/>
      <c r="B369" s="13"/>
      <c r="C369" s="13"/>
    </row>
    <row r="370" spans="1:3" ht="13" x14ac:dyDescent="0.15">
      <c r="A370" s="10"/>
      <c r="B370" s="13"/>
      <c r="C370" s="13"/>
    </row>
    <row r="371" spans="1:3" ht="13" x14ac:dyDescent="0.15">
      <c r="A371" s="10"/>
      <c r="B371" s="13"/>
      <c r="C371" s="13"/>
    </row>
    <row r="372" spans="1:3" ht="13" x14ac:dyDescent="0.15">
      <c r="A372" s="10"/>
      <c r="B372" s="13"/>
      <c r="C372" s="13"/>
    </row>
    <row r="373" spans="1:3" ht="13" x14ac:dyDescent="0.15">
      <c r="A373" s="10"/>
      <c r="B373" s="13"/>
      <c r="C373" s="13"/>
    </row>
    <row r="374" spans="1:3" ht="13" x14ac:dyDescent="0.15">
      <c r="A374" s="10"/>
      <c r="B374" s="13"/>
      <c r="C374" s="13"/>
    </row>
    <row r="375" spans="1:3" ht="13" x14ac:dyDescent="0.15">
      <c r="A375" s="10"/>
      <c r="B375" s="13"/>
      <c r="C375" s="13"/>
    </row>
    <row r="376" spans="1:3" ht="13" x14ac:dyDescent="0.15">
      <c r="A376" s="10"/>
      <c r="B376" s="13"/>
      <c r="C376" s="13"/>
    </row>
    <row r="377" spans="1:3" ht="13" x14ac:dyDescent="0.15">
      <c r="A377" s="10"/>
      <c r="B377" s="13"/>
      <c r="C377" s="13"/>
    </row>
    <row r="378" spans="1:3" ht="13" x14ac:dyDescent="0.15">
      <c r="A378" s="10"/>
      <c r="B378" s="13"/>
      <c r="C378" s="13"/>
    </row>
    <row r="379" spans="1:3" ht="13" x14ac:dyDescent="0.15">
      <c r="A379" s="10"/>
      <c r="B379" s="13"/>
      <c r="C379" s="13"/>
    </row>
    <row r="380" spans="1:3" ht="13" x14ac:dyDescent="0.15">
      <c r="A380" s="10"/>
      <c r="B380" s="13"/>
      <c r="C380" s="13"/>
    </row>
    <row r="381" spans="1:3" ht="13" x14ac:dyDescent="0.15">
      <c r="A381" s="10"/>
      <c r="B381" s="13"/>
      <c r="C381" s="13"/>
    </row>
    <row r="382" spans="1:3" ht="13" x14ac:dyDescent="0.15">
      <c r="A382" s="10"/>
      <c r="B382" s="13"/>
      <c r="C382" s="13"/>
    </row>
    <row r="383" spans="1:3" ht="13" x14ac:dyDescent="0.15">
      <c r="A383" s="10"/>
      <c r="B383" s="13"/>
      <c r="C383" s="13"/>
    </row>
    <row r="384" spans="1:3" ht="13" x14ac:dyDescent="0.15">
      <c r="A384" s="10"/>
      <c r="B384" s="13"/>
      <c r="C384" s="13"/>
    </row>
    <row r="385" spans="1:3" ht="13" x14ac:dyDescent="0.15">
      <c r="A385" s="10"/>
      <c r="B385" s="13"/>
      <c r="C385" s="13"/>
    </row>
    <row r="386" spans="1:3" ht="13" x14ac:dyDescent="0.15">
      <c r="A386" s="10"/>
      <c r="B386" s="13"/>
      <c r="C386" s="13"/>
    </row>
    <row r="387" spans="1:3" ht="13" x14ac:dyDescent="0.15">
      <c r="A387" s="10"/>
      <c r="B387" s="13"/>
      <c r="C387" s="13"/>
    </row>
    <row r="388" spans="1:3" ht="13" x14ac:dyDescent="0.15">
      <c r="A388" s="10"/>
      <c r="B388" s="13"/>
      <c r="C388" s="13"/>
    </row>
    <row r="389" spans="1:3" ht="13" x14ac:dyDescent="0.15">
      <c r="A389" s="10"/>
      <c r="B389" s="13"/>
      <c r="C389" s="13"/>
    </row>
    <row r="390" spans="1:3" ht="13" x14ac:dyDescent="0.15">
      <c r="A390" s="10"/>
      <c r="B390" s="13"/>
      <c r="C390" s="13"/>
    </row>
    <row r="391" spans="1:3" ht="13" x14ac:dyDescent="0.15">
      <c r="A391" s="10"/>
      <c r="B391" s="13"/>
      <c r="C391" s="13"/>
    </row>
    <row r="392" spans="1:3" ht="13" x14ac:dyDescent="0.15">
      <c r="A392" s="10"/>
      <c r="B392" s="13"/>
      <c r="C392" s="13"/>
    </row>
    <row r="393" spans="1:3" ht="13" x14ac:dyDescent="0.15">
      <c r="A393" s="10"/>
      <c r="B393" s="13"/>
      <c r="C393" s="13"/>
    </row>
    <row r="394" spans="1:3" ht="13" x14ac:dyDescent="0.15">
      <c r="A394" s="10"/>
      <c r="B394" s="13"/>
      <c r="C394" s="13"/>
    </row>
    <row r="395" spans="1:3" ht="13" x14ac:dyDescent="0.15">
      <c r="A395" s="10"/>
      <c r="B395" s="13"/>
      <c r="C395" s="13"/>
    </row>
    <row r="396" spans="1:3" ht="13" x14ac:dyDescent="0.15">
      <c r="A396" s="10"/>
      <c r="B396" s="13"/>
      <c r="C396" s="13"/>
    </row>
    <row r="397" spans="1:3" ht="13" x14ac:dyDescent="0.15">
      <c r="A397" s="10"/>
      <c r="B397" s="13"/>
      <c r="C397" s="13"/>
    </row>
    <row r="398" spans="1:3" ht="13" x14ac:dyDescent="0.15">
      <c r="A398" s="10"/>
      <c r="B398" s="13"/>
      <c r="C398" s="13"/>
    </row>
    <row r="399" spans="1:3" ht="13" x14ac:dyDescent="0.15">
      <c r="A399" s="10"/>
      <c r="B399" s="13"/>
      <c r="C399" s="13"/>
    </row>
    <row r="400" spans="1:3" ht="13" x14ac:dyDescent="0.15">
      <c r="A400" s="10"/>
      <c r="B400" s="13"/>
      <c r="C400" s="13"/>
    </row>
    <row r="401" spans="1:3" ht="13" x14ac:dyDescent="0.15">
      <c r="A401" s="10"/>
      <c r="B401" s="13"/>
      <c r="C401" s="13"/>
    </row>
    <row r="402" spans="1:3" ht="13" x14ac:dyDescent="0.15">
      <c r="A402" s="10"/>
      <c r="B402" s="13"/>
      <c r="C402" s="13"/>
    </row>
    <row r="403" spans="1:3" ht="13" x14ac:dyDescent="0.15">
      <c r="A403" s="10"/>
      <c r="B403" s="13"/>
      <c r="C403" s="13"/>
    </row>
    <row r="404" spans="1:3" ht="13" x14ac:dyDescent="0.15">
      <c r="A404" s="10"/>
      <c r="B404" s="13"/>
      <c r="C404" s="13"/>
    </row>
    <row r="405" spans="1:3" ht="13" x14ac:dyDescent="0.15">
      <c r="A405" s="10"/>
      <c r="B405" s="13"/>
      <c r="C405" s="13"/>
    </row>
    <row r="406" spans="1:3" ht="13" x14ac:dyDescent="0.15">
      <c r="A406" s="10"/>
      <c r="B406" s="13"/>
      <c r="C406" s="13"/>
    </row>
    <row r="407" spans="1:3" ht="13" x14ac:dyDescent="0.15">
      <c r="A407" s="10"/>
      <c r="B407" s="13"/>
      <c r="C407" s="13"/>
    </row>
    <row r="408" spans="1:3" ht="13" x14ac:dyDescent="0.15">
      <c r="A408" s="10"/>
      <c r="B408" s="13"/>
      <c r="C408" s="13"/>
    </row>
    <row r="409" spans="1:3" ht="13" x14ac:dyDescent="0.15">
      <c r="A409" s="10"/>
      <c r="B409" s="13"/>
      <c r="C409" s="13"/>
    </row>
    <row r="410" spans="1:3" ht="13" x14ac:dyDescent="0.15">
      <c r="A410" s="10"/>
      <c r="B410" s="13"/>
      <c r="C410" s="13"/>
    </row>
    <row r="411" spans="1:3" ht="13" x14ac:dyDescent="0.15">
      <c r="A411" s="10"/>
      <c r="B411" s="13"/>
      <c r="C411" s="13"/>
    </row>
    <row r="412" spans="1:3" ht="13" x14ac:dyDescent="0.15">
      <c r="A412" s="10"/>
      <c r="B412" s="13"/>
      <c r="C412" s="13"/>
    </row>
    <row r="413" spans="1:3" ht="13" x14ac:dyDescent="0.15">
      <c r="A413" s="10"/>
      <c r="B413" s="13"/>
      <c r="C413" s="13"/>
    </row>
    <row r="414" spans="1:3" ht="13" x14ac:dyDescent="0.15">
      <c r="A414" s="10"/>
      <c r="B414" s="13"/>
      <c r="C414" s="13"/>
    </row>
    <row r="415" spans="1:3" ht="13" x14ac:dyDescent="0.15">
      <c r="A415" s="10"/>
      <c r="B415" s="13"/>
      <c r="C415" s="13"/>
    </row>
    <row r="416" spans="1:3" ht="13" x14ac:dyDescent="0.15">
      <c r="A416" s="10"/>
      <c r="B416" s="13"/>
      <c r="C416" s="13"/>
    </row>
    <row r="417" spans="1:3" ht="13" x14ac:dyDescent="0.15">
      <c r="A417" s="10"/>
      <c r="B417" s="13"/>
      <c r="C417" s="13"/>
    </row>
    <row r="418" spans="1:3" ht="13" x14ac:dyDescent="0.15">
      <c r="A418" s="10"/>
      <c r="B418" s="13"/>
      <c r="C418" s="13"/>
    </row>
    <row r="419" spans="1:3" ht="13" x14ac:dyDescent="0.15">
      <c r="A419" s="10"/>
      <c r="B419" s="13"/>
      <c r="C419" s="13"/>
    </row>
    <row r="420" spans="1:3" ht="13" x14ac:dyDescent="0.15">
      <c r="A420" s="10"/>
      <c r="B420" s="13"/>
      <c r="C420" s="13"/>
    </row>
    <row r="421" spans="1:3" ht="13" x14ac:dyDescent="0.15">
      <c r="A421" s="10"/>
      <c r="B421" s="13"/>
      <c r="C421" s="13"/>
    </row>
    <row r="422" spans="1:3" ht="13" x14ac:dyDescent="0.15">
      <c r="A422" s="10"/>
      <c r="B422" s="13"/>
      <c r="C422" s="13"/>
    </row>
    <row r="423" spans="1:3" ht="13" x14ac:dyDescent="0.15">
      <c r="A423" s="10"/>
      <c r="B423" s="13"/>
      <c r="C423" s="13"/>
    </row>
    <row r="424" spans="1:3" ht="13" x14ac:dyDescent="0.15">
      <c r="A424" s="10"/>
      <c r="B424" s="13"/>
      <c r="C424" s="13"/>
    </row>
    <row r="425" spans="1:3" ht="13" x14ac:dyDescent="0.15">
      <c r="A425" s="10"/>
      <c r="B425" s="13"/>
      <c r="C425" s="13"/>
    </row>
    <row r="426" spans="1:3" ht="13" x14ac:dyDescent="0.15">
      <c r="A426" s="10"/>
      <c r="B426" s="13"/>
      <c r="C426" s="13"/>
    </row>
    <row r="427" spans="1:3" ht="13" x14ac:dyDescent="0.15">
      <c r="A427" s="10"/>
      <c r="B427" s="13"/>
      <c r="C427" s="13"/>
    </row>
    <row r="428" spans="1:3" ht="13" x14ac:dyDescent="0.15">
      <c r="A428" s="10"/>
      <c r="B428" s="13"/>
      <c r="C428" s="13"/>
    </row>
    <row r="429" spans="1:3" ht="13" x14ac:dyDescent="0.15">
      <c r="A429" s="10"/>
      <c r="B429" s="13"/>
      <c r="C429" s="13"/>
    </row>
    <row r="430" spans="1:3" ht="13" x14ac:dyDescent="0.15">
      <c r="A430" s="10"/>
      <c r="B430" s="13"/>
      <c r="C430" s="13"/>
    </row>
    <row r="431" spans="1:3" ht="13" x14ac:dyDescent="0.15">
      <c r="A431" s="10"/>
      <c r="B431" s="13"/>
      <c r="C431" s="13"/>
    </row>
    <row r="432" spans="1:3" ht="13" x14ac:dyDescent="0.15">
      <c r="A432" s="10"/>
      <c r="B432" s="13"/>
      <c r="C432" s="13"/>
    </row>
    <row r="433" spans="1:3" ht="13" x14ac:dyDescent="0.15">
      <c r="A433" s="10"/>
      <c r="B433" s="13"/>
      <c r="C433" s="13"/>
    </row>
    <row r="434" spans="1:3" ht="13" x14ac:dyDescent="0.15">
      <c r="A434" s="10"/>
      <c r="B434" s="13"/>
      <c r="C434" s="13"/>
    </row>
    <row r="435" spans="1:3" ht="13" x14ac:dyDescent="0.15">
      <c r="A435" s="10"/>
      <c r="B435" s="13"/>
      <c r="C435" s="13"/>
    </row>
    <row r="436" spans="1:3" ht="13" x14ac:dyDescent="0.15">
      <c r="A436" s="10"/>
      <c r="B436" s="13"/>
      <c r="C436" s="13"/>
    </row>
    <row r="437" spans="1:3" ht="13" x14ac:dyDescent="0.15">
      <c r="A437" s="10"/>
      <c r="B437" s="13"/>
      <c r="C437" s="13"/>
    </row>
    <row r="438" spans="1:3" ht="13" x14ac:dyDescent="0.15">
      <c r="A438" s="10"/>
      <c r="B438" s="13"/>
      <c r="C438" s="13"/>
    </row>
    <row r="439" spans="1:3" ht="13" x14ac:dyDescent="0.15">
      <c r="A439" s="10"/>
      <c r="B439" s="13"/>
      <c r="C439" s="13"/>
    </row>
    <row r="440" spans="1:3" ht="13" x14ac:dyDescent="0.15">
      <c r="A440" s="10"/>
      <c r="B440" s="13"/>
      <c r="C440" s="13"/>
    </row>
    <row r="441" spans="1:3" ht="13" x14ac:dyDescent="0.15">
      <c r="A441" s="10"/>
      <c r="B441" s="13"/>
      <c r="C441" s="13"/>
    </row>
    <row r="442" spans="1:3" ht="13" x14ac:dyDescent="0.15">
      <c r="A442" s="10"/>
      <c r="B442" s="13"/>
      <c r="C442" s="13"/>
    </row>
    <row r="443" spans="1:3" ht="13" x14ac:dyDescent="0.15">
      <c r="A443" s="10"/>
      <c r="B443" s="13"/>
      <c r="C443" s="13"/>
    </row>
    <row r="444" spans="1:3" ht="13" x14ac:dyDescent="0.15">
      <c r="A444" s="10"/>
      <c r="B444" s="13"/>
      <c r="C444" s="13"/>
    </row>
    <row r="445" spans="1:3" ht="13" x14ac:dyDescent="0.15">
      <c r="A445" s="10"/>
      <c r="B445" s="13"/>
      <c r="C445" s="13"/>
    </row>
    <row r="446" spans="1:3" ht="13" x14ac:dyDescent="0.15">
      <c r="A446" s="10"/>
      <c r="B446" s="13"/>
      <c r="C446" s="13"/>
    </row>
    <row r="447" spans="1:3" ht="13" x14ac:dyDescent="0.15">
      <c r="A447" s="10"/>
      <c r="B447" s="13"/>
      <c r="C447" s="13"/>
    </row>
    <row r="448" spans="1:3" ht="13" x14ac:dyDescent="0.15">
      <c r="A448" s="10"/>
      <c r="B448" s="13"/>
      <c r="C448" s="13"/>
    </row>
    <row r="449" spans="1:3" ht="13" x14ac:dyDescent="0.15">
      <c r="A449" s="10"/>
      <c r="B449" s="13"/>
      <c r="C449" s="13"/>
    </row>
    <row r="450" spans="1:3" ht="13" x14ac:dyDescent="0.15">
      <c r="A450" s="10"/>
      <c r="B450" s="13"/>
      <c r="C450" s="13"/>
    </row>
    <row r="451" spans="1:3" ht="13" x14ac:dyDescent="0.15">
      <c r="A451" s="10"/>
      <c r="B451" s="13"/>
      <c r="C451" s="13"/>
    </row>
    <row r="452" spans="1:3" ht="13" x14ac:dyDescent="0.15">
      <c r="A452" s="10"/>
      <c r="B452" s="13"/>
      <c r="C452" s="13"/>
    </row>
    <row r="453" spans="1:3" ht="13" x14ac:dyDescent="0.15">
      <c r="A453" s="10"/>
      <c r="B453" s="13"/>
      <c r="C453" s="13"/>
    </row>
    <row r="454" spans="1:3" ht="13" x14ac:dyDescent="0.15">
      <c r="A454" s="10"/>
      <c r="B454" s="13"/>
      <c r="C454" s="13"/>
    </row>
    <row r="455" spans="1:3" ht="13" x14ac:dyDescent="0.15">
      <c r="A455" s="10"/>
      <c r="B455" s="13"/>
      <c r="C455" s="13"/>
    </row>
    <row r="456" spans="1:3" ht="13" x14ac:dyDescent="0.15">
      <c r="A456" s="10"/>
      <c r="B456" s="13"/>
      <c r="C456" s="13"/>
    </row>
    <row r="457" spans="1:3" ht="13" x14ac:dyDescent="0.15">
      <c r="A457" s="10"/>
      <c r="B457" s="13"/>
      <c r="C457" s="13"/>
    </row>
    <row r="458" spans="1:3" ht="13" x14ac:dyDescent="0.15">
      <c r="A458" s="10"/>
      <c r="B458" s="13"/>
      <c r="C458" s="13"/>
    </row>
    <row r="459" spans="1:3" ht="13" x14ac:dyDescent="0.15">
      <c r="A459" s="10"/>
      <c r="B459" s="13"/>
      <c r="C459" s="13"/>
    </row>
    <row r="460" spans="1:3" ht="13" x14ac:dyDescent="0.15">
      <c r="A460" s="10"/>
      <c r="B460" s="13"/>
      <c r="C460" s="13"/>
    </row>
    <row r="461" spans="1:3" ht="13" x14ac:dyDescent="0.15">
      <c r="A461" s="10"/>
      <c r="B461" s="13"/>
      <c r="C461" s="13"/>
    </row>
    <row r="462" spans="1:3" ht="13" x14ac:dyDescent="0.15">
      <c r="A462" s="10"/>
      <c r="B462" s="13"/>
      <c r="C462" s="13"/>
    </row>
    <row r="463" spans="1:3" ht="13" x14ac:dyDescent="0.15">
      <c r="A463" s="10"/>
      <c r="B463" s="13"/>
      <c r="C463" s="13"/>
    </row>
    <row r="464" spans="1:3" ht="13" x14ac:dyDescent="0.15">
      <c r="A464" s="10"/>
      <c r="B464" s="13"/>
      <c r="C464" s="13"/>
    </row>
    <row r="465" spans="1:3" ht="13" x14ac:dyDescent="0.15">
      <c r="A465" s="10"/>
      <c r="B465" s="13"/>
      <c r="C465" s="13"/>
    </row>
    <row r="466" spans="1:3" ht="13" x14ac:dyDescent="0.15">
      <c r="A466" s="10"/>
      <c r="B466" s="13"/>
      <c r="C466" s="13"/>
    </row>
    <row r="467" spans="1:3" ht="13" x14ac:dyDescent="0.15">
      <c r="A467" s="10"/>
      <c r="B467" s="13"/>
      <c r="C467" s="13"/>
    </row>
    <row r="468" spans="1:3" ht="13" x14ac:dyDescent="0.15">
      <c r="A468" s="10"/>
      <c r="B468" s="13"/>
      <c r="C468" s="13"/>
    </row>
    <row r="469" spans="1:3" ht="13" x14ac:dyDescent="0.15">
      <c r="A469" s="10"/>
      <c r="B469" s="13"/>
      <c r="C469" s="13"/>
    </row>
    <row r="470" spans="1:3" ht="13" x14ac:dyDescent="0.15">
      <c r="A470" s="10"/>
      <c r="B470" s="13"/>
      <c r="C470" s="13"/>
    </row>
    <row r="471" spans="1:3" ht="13" x14ac:dyDescent="0.15">
      <c r="A471" s="10"/>
      <c r="B471" s="13"/>
      <c r="C471" s="13"/>
    </row>
    <row r="472" spans="1:3" ht="13" x14ac:dyDescent="0.15">
      <c r="A472" s="10"/>
      <c r="B472" s="13"/>
      <c r="C472" s="13"/>
    </row>
    <row r="473" spans="1:3" ht="13" x14ac:dyDescent="0.15">
      <c r="A473" s="10"/>
      <c r="B473" s="13"/>
      <c r="C473" s="13"/>
    </row>
    <row r="474" spans="1:3" ht="13" x14ac:dyDescent="0.15">
      <c r="A474" s="10"/>
      <c r="B474" s="13"/>
      <c r="C474" s="13"/>
    </row>
    <row r="475" spans="1:3" ht="13" x14ac:dyDescent="0.15">
      <c r="A475" s="10"/>
      <c r="B475" s="13"/>
      <c r="C475" s="13"/>
    </row>
    <row r="476" spans="1:3" ht="13" x14ac:dyDescent="0.15">
      <c r="A476" s="10"/>
      <c r="B476" s="13"/>
      <c r="C476" s="13"/>
    </row>
    <row r="477" spans="1:3" ht="13" x14ac:dyDescent="0.15">
      <c r="A477" s="10"/>
      <c r="B477" s="13"/>
      <c r="C477" s="13"/>
    </row>
    <row r="478" spans="1:3" ht="13" x14ac:dyDescent="0.15">
      <c r="A478" s="10"/>
      <c r="B478" s="13"/>
      <c r="C478" s="13"/>
    </row>
    <row r="479" spans="1:3" ht="13" x14ac:dyDescent="0.15">
      <c r="A479" s="10"/>
      <c r="B479" s="13"/>
      <c r="C479" s="13"/>
    </row>
    <row r="480" spans="1:3" ht="13" x14ac:dyDescent="0.15">
      <c r="A480" s="10"/>
      <c r="B480" s="13"/>
      <c r="C480" s="13"/>
    </row>
    <row r="481" spans="1:3" ht="13" x14ac:dyDescent="0.15">
      <c r="A481" s="10"/>
      <c r="B481" s="13"/>
      <c r="C481" s="13"/>
    </row>
    <row r="482" spans="1:3" ht="13" x14ac:dyDescent="0.15">
      <c r="A482" s="10"/>
      <c r="B482" s="13"/>
      <c r="C482" s="13"/>
    </row>
    <row r="483" spans="1:3" ht="13" x14ac:dyDescent="0.15">
      <c r="A483" s="10"/>
      <c r="B483" s="13"/>
      <c r="C483" s="13"/>
    </row>
    <row r="484" spans="1:3" ht="13" x14ac:dyDescent="0.15">
      <c r="A484" s="10"/>
      <c r="B484" s="13"/>
      <c r="C484" s="13"/>
    </row>
    <row r="485" spans="1:3" ht="13" x14ac:dyDescent="0.15">
      <c r="A485" s="10"/>
      <c r="B485" s="13"/>
      <c r="C485" s="13"/>
    </row>
    <row r="486" spans="1:3" ht="13" x14ac:dyDescent="0.15">
      <c r="A486" s="10"/>
      <c r="B486" s="13"/>
      <c r="C486" s="13"/>
    </row>
    <row r="487" spans="1:3" ht="13" x14ac:dyDescent="0.15">
      <c r="A487" s="10"/>
      <c r="B487" s="13"/>
      <c r="C487" s="13"/>
    </row>
    <row r="488" spans="1:3" ht="13" x14ac:dyDescent="0.15">
      <c r="A488" s="10"/>
      <c r="B488" s="13"/>
      <c r="C488" s="13"/>
    </row>
    <row r="489" spans="1:3" ht="13" x14ac:dyDescent="0.15">
      <c r="A489" s="10"/>
      <c r="B489" s="13"/>
      <c r="C489" s="13"/>
    </row>
    <row r="490" spans="1:3" ht="13" x14ac:dyDescent="0.15">
      <c r="A490" s="10"/>
      <c r="B490" s="13"/>
      <c r="C490" s="13"/>
    </row>
    <row r="491" spans="1:3" ht="13" x14ac:dyDescent="0.15">
      <c r="A491" s="10"/>
      <c r="B491" s="13"/>
      <c r="C491" s="13"/>
    </row>
    <row r="492" spans="1:3" ht="13" x14ac:dyDescent="0.15">
      <c r="A492" s="10"/>
      <c r="B492" s="13"/>
      <c r="C492" s="13"/>
    </row>
    <row r="493" spans="1:3" ht="13" x14ac:dyDescent="0.15">
      <c r="A493" s="10"/>
      <c r="B493" s="13"/>
      <c r="C493" s="13"/>
    </row>
    <row r="494" spans="1:3" ht="13" x14ac:dyDescent="0.15">
      <c r="A494" s="10"/>
      <c r="B494" s="13"/>
      <c r="C494" s="13"/>
    </row>
    <row r="495" spans="1:3" ht="13" x14ac:dyDescent="0.15">
      <c r="A495" s="10"/>
      <c r="B495" s="13"/>
      <c r="C495" s="13"/>
    </row>
    <row r="496" spans="1:3" ht="13" x14ac:dyDescent="0.15">
      <c r="A496" s="10"/>
      <c r="B496" s="13"/>
      <c r="C496" s="13"/>
    </row>
    <row r="497" spans="1:3" ht="13" x14ac:dyDescent="0.15">
      <c r="A497" s="10"/>
      <c r="B497" s="13"/>
      <c r="C497" s="13"/>
    </row>
    <row r="498" spans="1:3" ht="13" x14ac:dyDescent="0.15">
      <c r="A498" s="10"/>
      <c r="B498" s="13"/>
      <c r="C498" s="13"/>
    </row>
    <row r="499" spans="1:3" ht="13" x14ac:dyDescent="0.15">
      <c r="A499" s="10"/>
      <c r="B499" s="13"/>
      <c r="C499" s="13"/>
    </row>
    <row r="500" spans="1:3" ht="13" x14ac:dyDescent="0.15">
      <c r="A500" s="10"/>
      <c r="B500" s="13"/>
      <c r="C500" s="13"/>
    </row>
    <row r="501" spans="1:3" ht="13" x14ac:dyDescent="0.15">
      <c r="A501" s="10"/>
      <c r="B501" s="13"/>
      <c r="C501" s="13"/>
    </row>
    <row r="502" spans="1:3" ht="13" x14ac:dyDescent="0.15">
      <c r="A502" s="10"/>
      <c r="B502" s="13"/>
      <c r="C502" s="13"/>
    </row>
    <row r="503" spans="1:3" ht="13" x14ac:dyDescent="0.15">
      <c r="A503" s="10"/>
      <c r="B503" s="13"/>
      <c r="C503" s="13"/>
    </row>
    <row r="504" spans="1:3" ht="13" x14ac:dyDescent="0.15">
      <c r="A504" s="10"/>
      <c r="B504" s="13"/>
      <c r="C504" s="13"/>
    </row>
    <row r="505" spans="1:3" ht="13" x14ac:dyDescent="0.15">
      <c r="A505" s="10"/>
      <c r="B505" s="13"/>
      <c r="C505" s="13"/>
    </row>
    <row r="506" spans="1:3" ht="13" x14ac:dyDescent="0.15">
      <c r="A506" s="10"/>
      <c r="B506" s="13"/>
      <c r="C506" s="13"/>
    </row>
    <row r="507" spans="1:3" ht="13" x14ac:dyDescent="0.15">
      <c r="A507" s="10"/>
      <c r="B507" s="13"/>
      <c r="C507" s="13"/>
    </row>
    <row r="508" spans="1:3" ht="13" x14ac:dyDescent="0.15">
      <c r="A508" s="10"/>
      <c r="B508" s="13"/>
      <c r="C508" s="13"/>
    </row>
    <row r="509" spans="1:3" ht="13" x14ac:dyDescent="0.15">
      <c r="A509" s="10"/>
      <c r="B509" s="13"/>
      <c r="C509" s="13"/>
    </row>
    <row r="510" spans="1:3" ht="13" x14ac:dyDescent="0.15">
      <c r="A510" s="10"/>
      <c r="B510" s="13"/>
      <c r="C510" s="13"/>
    </row>
    <row r="511" spans="1:3" ht="13" x14ac:dyDescent="0.15">
      <c r="A511" s="10"/>
      <c r="B511" s="13"/>
      <c r="C511" s="13"/>
    </row>
    <row r="512" spans="1:3" ht="13" x14ac:dyDescent="0.15">
      <c r="A512" s="10"/>
      <c r="B512" s="13"/>
      <c r="C512" s="13"/>
    </row>
    <row r="513" spans="1:3" ht="13" x14ac:dyDescent="0.15">
      <c r="A513" s="10"/>
      <c r="B513" s="13"/>
      <c r="C513" s="13"/>
    </row>
    <row r="514" spans="1:3" ht="13" x14ac:dyDescent="0.15">
      <c r="A514" s="10"/>
      <c r="B514" s="13"/>
      <c r="C514" s="13"/>
    </row>
    <row r="515" spans="1:3" ht="13" x14ac:dyDescent="0.15">
      <c r="A515" s="10"/>
      <c r="B515" s="13"/>
      <c r="C515" s="13"/>
    </row>
    <row r="516" spans="1:3" ht="13" x14ac:dyDescent="0.15">
      <c r="A516" s="10"/>
      <c r="B516" s="13"/>
      <c r="C516" s="13"/>
    </row>
    <row r="517" spans="1:3" ht="13" x14ac:dyDescent="0.15">
      <c r="A517" s="10"/>
      <c r="B517" s="13"/>
      <c r="C517" s="13"/>
    </row>
    <row r="518" spans="1:3" ht="13" x14ac:dyDescent="0.15">
      <c r="A518" s="10"/>
      <c r="B518" s="13"/>
      <c r="C518" s="13"/>
    </row>
    <row r="519" spans="1:3" ht="13" x14ac:dyDescent="0.15">
      <c r="A519" s="10"/>
      <c r="B519" s="13"/>
      <c r="C519" s="13"/>
    </row>
    <row r="520" spans="1:3" ht="13" x14ac:dyDescent="0.15">
      <c r="A520" s="10"/>
      <c r="B520" s="13"/>
      <c r="C520" s="13"/>
    </row>
    <row r="521" spans="1:3" ht="13" x14ac:dyDescent="0.15">
      <c r="A521" s="10"/>
      <c r="B521" s="13"/>
      <c r="C521" s="13"/>
    </row>
    <row r="522" spans="1:3" ht="13" x14ac:dyDescent="0.15">
      <c r="A522" s="10"/>
      <c r="B522" s="13"/>
      <c r="C522" s="13"/>
    </row>
    <row r="523" spans="1:3" ht="13" x14ac:dyDescent="0.15">
      <c r="A523" s="10"/>
      <c r="B523" s="13"/>
      <c r="C523" s="13"/>
    </row>
    <row r="524" spans="1:3" ht="13" x14ac:dyDescent="0.15">
      <c r="A524" s="10"/>
      <c r="B524" s="13"/>
      <c r="C524" s="13"/>
    </row>
    <row r="525" spans="1:3" ht="13" x14ac:dyDescent="0.15">
      <c r="A525" s="10"/>
      <c r="B525" s="13"/>
      <c r="C525" s="13"/>
    </row>
    <row r="526" spans="1:3" ht="13" x14ac:dyDescent="0.15">
      <c r="A526" s="10"/>
      <c r="B526" s="13"/>
      <c r="C526" s="13"/>
    </row>
    <row r="527" spans="1:3" ht="13" x14ac:dyDescent="0.15">
      <c r="A527" s="10"/>
      <c r="B527" s="13"/>
      <c r="C527" s="13"/>
    </row>
    <row r="528" spans="1:3" ht="13" x14ac:dyDescent="0.15">
      <c r="A528" s="10"/>
      <c r="B528" s="13"/>
      <c r="C528" s="13"/>
    </row>
    <row r="529" spans="1:3" ht="13" x14ac:dyDescent="0.15">
      <c r="A529" s="10"/>
      <c r="B529" s="13"/>
      <c r="C529" s="13"/>
    </row>
    <row r="530" spans="1:3" ht="13" x14ac:dyDescent="0.15">
      <c r="A530" s="10"/>
      <c r="B530" s="13"/>
      <c r="C530" s="13"/>
    </row>
    <row r="531" spans="1:3" ht="13" x14ac:dyDescent="0.15">
      <c r="A531" s="10"/>
      <c r="B531" s="13"/>
      <c r="C531" s="13"/>
    </row>
    <row r="532" spans="1:3" ht="13" x14ac:dyDescent="0.15">
      <c r="A532" s="10"/>
      <c r="B532" s="13"/>
      <c r="C532" s="13"/>
    </row>
    <row r="533" spans="1:3" ht="13" x14ac:dyDescent="0.15">
      <c r="A533" s="10"/>
      <c r="B533" s="13"/>
      <c r="C533" s="13"/>
    </row>
    <row r="534" spans="1:3" ht="13" x14ac:dyDescent="0.15">
      <c r="A534" s="10"/>
      <c r="B534" s="13"/>
      <c r="C534" s="13"/>
    </row>
    <row r="535" spans="1:3" ht="13" x14ac:dyDescent="0.15">
      <c r="A535" s="10"/>
      <c r="B535" s="13"/>
      <c r="C535" s="13"/>
    </row>
    <row r="536" spans="1:3" ht="13" x14ac:dyDescent="0.15">
      <c r="A536" s="10"/>
      <c r="B536" s="13"/>
      <c r="C536" s="13"/>
    </row>
    <row r="537" spans="1:3" ht="13" x14ac:dyDescent="0.15">
      <c r="A537" s="10"/>
      <c r="B537" s="13"/>
      <c r="C537" s="13"/>
    </row>
    <row r="538" spans="1:3" ht="13" x14ac:dyDescent="0.15">
      <c r="A538" s="10"/>
      <c r="B538" s="13"/>
      <c r="C538" s="13"/>
    </row>
    <row r="539" spans="1:3" ht="13" x14ac:dyDescent="0.15">
      <c r="A539" s="10"/>
      <c r="B539" s="13"/>
      <c r="C539" s="13"/>
    </row>
    <row r="540" spans="1:3" ht="13" x14ac:dyDescent="0.15">
      <c r="A540" s="10"/>
      <c r="B540" s="13"/>
      <c r="C540" s="13"/>
    </row>
    <row r="541" spans="1:3" ht="13" x14ac:dyDescent="0.15">
      <c r="A541" s="10"/>
      <c r="B541" s="13"/>
      <c r="C541" s="13"/>
    </row>
    <row r="542" spans="1:3" ht="13" x14ac:dyDescent="0.15">
      <c r="A542" s="10"/>
      <c r="B542" s="13"/>
      <c r="C542" s="13"/>
    </row>
    <row r="543" spans="1:3" ht="13" x14ac:dyDescent="0.15">
      <c r="A543" s="10"/>
      <c r="B543" s="13"/>
      <c r="C543" s="13"/>
    </row>
    <row r="544" spans="1:3" ht="13" x14ac:dyDescent="0.15">
      <c r="A544" s="10"/>
      <c r="B544" s="13"/>
      <c r="C544" s="13"/>
    </row>
    <row r="545" spans="1:3" ht="13" x14ac:dyDescent="0.15">
      <c r="A545" s="10"/>
      <c r="B545" s="13"/>
      <c r="C545" s="13"/>
    </row>
    <row r="546" spans="1:3" ht="13" x14ac:dyDescent="0.15">
      <c r="A546" s="10"/>
      <c r="B546" s="13"/>
      <c r="C546" s="13"/>
    </row>
    <row r="547" spans="1:3" ht="13" x14ac:dyDescent="0.15">
      <c r="A547" s="10"/>
      <c r="B547" s="13"/>
      <c r="C547" s="13"/>
    </row>
    <row r="548" spans="1:3" ht="13" x14ac:dyDescent="0.15">
      <c r="A548" s="10"/>
      <c r="B548" s="13"/>
      <c r="C548" s="13"/>
    </row>
    <row r="549" spans="1:3" ht="13" x14ac:dyDescent="0.15">
      <c r="A549" s="10"/>
      <c r="B549" s="13"/>
      <c r="C549" s="13"/>
    </row>
    <row r="550" spans="1:3" ht="13" x14ac:dyDescent="0.15">
      <c r="A550" s="10"/>
      <c r="B550" s="13"/>
      <c r="C550" s="13"/>
    </row>
    <row r="551" spans="1:3" ht="13" x14ac:dyDescent="0.15">
      <c r="A551" s="10"/>
      <c r="B551" s="13"/>
      <c r="C551" s="13"/>
    </row>
    <row r="552" spans="1:3" ht="13" x14ac:dyDescent="0.15">
      <c r="A552" s="10"/>
      <c r="B552" s="13"/>
      <c r="C552" s="13"/>
    </row>
    <row r="553" spans="1:3" ht="13" x14ac:dyDescent="0.15">
      <c r="A553" s="10"/>
      <c r="B553" s="13"/>
      <c r="C553" s="13"/>
    </row>
    <row r="554" spans="1:3" ht="13" x14ac:dyDescent="0.15">
      <c r="A554" s="10"/>
      <c r="B554" s="13"/>
      <c r="C554" s="13"/>
    </row>
    <row r="555" spans="1:3" ht="13" x14ac:dyDescent="0.15">
      <c r="A555" s="10"/>
      <c r="B555" s="13"/>
      <c r="C555" s="13"/>
    </row>
    <row r="556" spans="1:3" ht="13" x14ac:dyDescent="0.15">
      <c r="A556" s="10"/>
      <c r="B556" s="13"/>
      <c r="C556" s="13"/>
    </row>
    <row r="557" spans="1:3" ht="13" x14ac:dyDescent="0.15">
      <c r="A557" s="10"/>
      <c r="B557" s="13"/>
      <c r="C557" s="13"/>
    </row>
    <row r="558" spans="1:3" ht="13" x14ac:dyDescent="0.15">
      <c r="A558" s="10"/>
      <c r="B558" s="13"/>
      <c r="C558" s="13"/>
    </row>
    <row r="559" spans="1:3" ht="13" x14ac:dyDescent="0.15">
      <c r="A559" s="10"/>
      <c r="B559" s="13"/>
      <c r="C559" s="13"/>
    </row>
    <row r="560" spans="1:3" ht="13" x14ac:dyDescent="0.15">
      <c r="A560" s="10"/>
      <c r="B560" s="13"/>
      <c r="C560" s="13"/>
    </row>
    <row r="561" spans="1:3" ht="13" x14ac:dyDescent="0.15">
      <c r="A561" s="10"/>
      <c r="B561" s="13"/>
      <c r="C561" s="13"/>
    </row>
    <row r="562" spans="1:3" ht="13" x14ac:dyDescent="0.15">
      <c r="A562" s="10"/>
      <c r="B562" s="13"/>
      <c r="C562" s="13"/>
    </row>
    <row r="563" spans="1:3" ht="13" x14ac:dyDescent="0.15">
      <c r="A563" s="10"/>
      <c r="B563" s="13"/>
      <c r="C563" s="13"/>
    </row>
    <row r="564" spans="1:3" ht="13" x14ac:dyDescent="0.15">
      <c r="A564" s="10"/>
      <c r="B564" s="13"/>
      <c r="C564" s="13"/>
    </row>
    <row r="565" spans="1:3" ht="13" x14ac:dyDescent="0.15">
      <c r="A565" s="10"/>
      <c r="B565" s="13"/>
      <c r="C565" s="13"/>
    </row>
    <row r="566" spans="1:3" ht="13" x14ac:dyDescent="0.15">
      <c r="A566" s="10"/>
      <c r="B566" s="13"/>
      <c r="C566" s="13"/>
    </row>
    <row r="567" spans="1:3" ht="13" x14ac:dyDescent="0.15">
      <c r="A567" s="10"/>
      <c r="B567" s="13"/>
      <c r="C567" s="13"/>
    </row>
    <row r="568" spans="1:3" ht="13" x14ac:dyDescent="0.15">
      <c r="A568" s="10"/>
      <c r="B568" s="13"/>
      <c r="C568" s="13"/>
    </row>
    <row r="569" spans="1:3" ht="13" x14ac:dyDescent="0.15">
      <c r="A569" s="10"/>
      <c r="B569" s="13"/>
      <c r="C569" s="13"/>
    </row>
    <row r="570" spans="1:3" ht="13" x14ac:dyDescent="0.15">
      <c r="A570" s="10"/>
      <c r="B570" s="13"/>
      <c r="C570" s="13"/>
    </row>
    <row r="571" spans="1:3" ht="13" x14ac:dyDescent="0.15">
      <c r="A571" s="10"/>
      <c r="B571" s="13"/>
      <c r="C571" s="13"/>
    </row>
    <row r="572" spans="1:3" ht="13" x14ac:dyDescent="0.15">
      <c r="A572" s="10"/>
      <c r="B572" s="13"/>
      <c r="C572" s="13"/>
    </row>
    <row r="573" spans="1:3" ht="13" x14ac:dyDescent="0.15">
      <c r="A573" s="10"/>
      <c r="B573" s="13"/>
      <c r="C573" s="13"/>
    </row>
    <row r="574" spans="1:3" ht="13" x14ac:dyDescent="0.15">
      <c r="A574" s="10"/>
      <c r="B574" s="13"/>
      <c r="C574" s="13"/>
    </row>
    <row r="575" spans="1:3" ht="13" x14ac:dyDescent="0.15">
      <c r="A575" s="10"/>
      <c r="B575" s="13"/>
      <c r="C575" s="13"/>
    </row>
    <row r="576" spans="1:3" ht="13" x14ac:dyDescent="0.15">
      <c r="A576" s="10"/>
      <c r="B576" s="13"/>
      <c r="C576" s="13"/>
    </row>
    <row r="577" spans="1:3" ht="13" x14ac:dyDescent="0.15">
      <c r="A577" s="10"/>
      <c r="B577" s="13"/>
      <c r="C577" s="13"/>
    </row>
    <row r="578" spans="1:3" ht="13" x14ac:dyDescent="0.15">
      <c r="A578" s="10"/>
      <c r="B578" s="13"/>
      <c r="C578" s="13"/>
    </row>
    <row r="579" spans="1:3" ht="13" x14ac:dyDescent="0.15">
      <c r="A579" s="10"/>
      <c r="B579" s="13"/>
      <c r="C579" s="13"/>
    </row>
    <row r="580" spans="1:3" ht="13" x14ac:dyDescent="0.15">
      <c r="A580" s="10"/>
      <c r="B580" s="13"/>
      <c r="C580" s="13"/>
    </row>
    <row r="581" spans="1:3" ht="13" x14ac:dyDescent="0.15">
      <c r="A581" s="10"/>
      <c r="B581" s="13"/>
      <c r="C581" s="13"/>
    </row>
    <row r="582" spans="1:3" ht="13" x14ac:dyDescent="0.15">
      <c r="A582" s="10"/>
      <c r="B582" s="13"/>
      <c r="C582" s="13"/>
    </row>
    <row r="583" spans="1:3" ht="13" x14ac:dyDescent="0.15">
      <c r="A583" s="10"/>
      <c r="B583" s="13"/>
      <c r="C583" s="13"/>
    </row>
    <row r="584" spans="1:3" ht="13" x14ac:dyDescent="0.15">
      <c r="A584" s="10"/>
      <c r="B584" s="13"/>
      <c r="C584" s="13"/>
    </row>
    <row r="585" spans="1:3" ht="13" x14ac:dyDescent="0.15">
      <c r="A585" s="10"/>
      <c r="B585" s="13"/>
      <c r="C585" s="13"/>
    </row>
    <row r="586" spans="1:3" ht="13" x14ac:dyDescent="0.15">
      <c r="A586" s="10"/>
      <c r="B586" s="13"/>
      <c r="C586" s="13"/>
    </row>
    <row r="587" spans="1:3" ht="13" x14ac:dyDescent="0.15">
      <c r="A587" s="10"/>
      <c r="B587" s="13"/>
      <c r="C587" s="13"/>
    </row>
    <row r="588" spans="1:3" ht="13" x14ac:dyDescent="0.15">
      <c r="A588" s="10"/>
      <c r="B588" s="13"/>
      <c r="C588" s="13"/>
    </row>
    <row r="589" spans="1:3" ht="13" x14ac:dyDescent="0.15">
      <c r="A589" s="10"/>
      <c r="B589" s="13"/>
      <c r="C589" s="13"/>
    </row>
    <row r="590" spans="1:3" ht="13" x14ac:dyDescent="0.15">
      <c r="A590" s="10"/>
      <c r="B590" s="13"/>
      <c r="C590" s="13"/>
    </row>
    <row r="591" spans="1:3" ht="13" x14ac:dyDescent="0.15">
      <c r="A591" s="10"/>
      <c r="B591" s="13"/>
      <c r="C591" s="13"/>
    </row>
    <row r="592" spans="1:3" ht="13" x14ac:dyDescent="0.15">
      <c r="A592" s="10"/>
      <c r="B592" s="13"/>
      <c r="C592" s="13"/>
    </row>
    <row r="593" spans="1:3" ht="13" x14ac:dyDescent="0.15">
      <c r="A593" s="10"/>
      <c r="B593" s="13"/>
      <c r="C593" s="13"/>
    </row>
    <row r="594" spans="1:3" ht="13" x14ac:dyDescent="0.15">
      <c r="A594" s="10"/>
      <c r="B594" s="13"/>
      <c r="C594" s="13"/>
    </row>
    <row r="595" spans="1:3" ht="13" x14ac:dyDescent="0.15">
      <c r="A595" s="10"/>
      <c r="B595" s="13"/>
      <c r="C595" s="13"/>
    </row>
    <row r="596" spans="1:3" ht="13" x14ac:dyDescent="0.15">
      <c r="A596" s="10"/>
      <c r="B596" s="13"/>
      <c r="C596" s="13"/>
    </row>
    <row r="597" spans="1:3" ht="13" x14ac:dyDescent="0.15">
      <c r="A597" s="10"/>
      <c r="B597" s="13"/>
      <c r="C597" s="13"/>
    </row>
    <row r="598" spans="1:3" ht="13" x14ac:dyDescent="0.15">
      <c r="A598" s="10"/>
      <c r="B598" s="13"/>
      <c r="C598" s="13"/>
    </row>
    <row r="599" spans="1:3" ht="13" x14ac:dyDescent="0.15">
      <c r="A599" s="10"/>
      <c r="B599" s="13"/>
      <c r="C599" s="13"/>
    </row>
    <row r="600" spans="1:3" ht="13" x14ac:dyDescent="0.15">
      <c r="A600" s="10"/>
      <c r="B600" s="13"/>
      <c r="C600" s="13"/>
    </row>
    <row r="601" spans="1:3" ht="13" x14ac:dyDescent="0.15">
      <c r="A601" s="10"/>
      <c r="B601" s="13"/>
      <c r="C601" s="13"/>
    </row>
    <row r="602" spans="1:3" ht="13" x14ac:dyDescent="0.15">
      <c r="A602" s="10"/>
      <c r="B602" s="13"/>
      <c r="C602" s="13"/>
    </row>
    <row r="603" spans="1:3" ht="13" x14ac:dyDescent="0.15">
      <c r="A603" s="10"/>
      <c r="B603" s="13"/>
      <c r="C603" s="13"/>
    </row>
    <row r="604" spans="1:3" ht="13" x14ac:dyDescent="0.15">
      <c r="A604" s="10"/>
      <c r="B604" s="13"/>
      <c r="C604" s="13"/>
    </row>
    <row r="605" spans="1:3" ht="13" x14ac:dyDescent="0.15">
      <c r="A605" s="10"/>
      <c r="B605" s="13"/>
      <c r="C605" s="13"/>
    </row>
    <row r="606" spans="1:3" ht="13" x14ac:dyDescent="0.15">
      <c r="A606" s="10"/>
      <c r="B606" s="13"/>
      <c r="C606" s="13"/>
    </row>
    <row r="607" spans="1:3" ht="13" x14ac:dyDescent="0.15">
      <c r="A607" s="10"/>
      <c r="B607" s="13"/>
      <c r="C607" s="13"/>
    </row>
    <row r="608" spans="1:3" ht="13" x14ac:dyDescent="0.15">
      <c r="A608" s="10"/>
      <c r="B608" s="13"/>
      <c r="C608" s="13"/>
    </row>
    <row r="609" spans="1:3" ht="13" x14ac:dyDescent="0.15">
      <c r="A609" s="10"/>
      <c r="B609" s="13"/>
      <c r="C609" s="13"/>
    </row>
    <row r="610" spans="1:3" ht="13" x14ac:dyDescent="0.15">
      <c r="A610" s="10"/>
      <c r="B610" s="13"/>
      <c r="C610" s="13"/>
    </row>
    <row r="611" spans="1:3" ht="13" x14ac:dyDescent="0.15">
      <c r="A611" s="10"/>
      <c r="B611" s="13"/>
      <c r="C611" s="13"/>
    </row>
    <row r="612" spans="1:3" ht="13" x14ac:dyDescent="0.15">
      <c r="A612" s="10"/>
      <c r="B612" s="13"/>
      <c r="C612" s="13"/>
    </row>
    <row r="613" spans="1:3" ht="13" x14ac:dyDescent="0.15">
      <c r="A613" s="10"/>
      <c r="B613" s="13"/>
      <c r="C613" s="13"/>
    </row>
    <row r="614" spans="1:3" ht="13" x14ac:dyDescent="0.15">
      <c r="A614" s="10"/>
      <c r="B614" s="13"/>
      <c r="C614" s="13"/>
    </row>
    <row r="615" spans="1:3" ht="13" x14ac:dyDescent="0.15">
      <c r="A615" s="10"/>
      <c r="B615" s="13"/>
      <c r="C615" s="13"/>
    </row>
    <row r="616" spans="1:3" ht="13" x14ac:dyDescent="0.15">
      <c r="A616" s="10"/>
      <c r="B616" s="13"/>
      <c r="C616" s="13"/>
    </row>
    <row r="617" spans="1:3" ht="13" x14ac:dyDescent="0.15">
      <c r="A617" s="10"/>
      <c r="B617" s="13"/>
      <c r="C617" s="13"/>
    </row>
    <row r="618" spans="1:3" ht="13" x14ac:dyDescent="0.15">
      <c r="A618" s="10"/>
      <c r="B618" s="13"/>
      <c r="C618" s="13"/>
    </row>
    <row r="619" spans="1:3" ht="13" x14ac:dyDescent="0.15">
      <c r="A619" s="10"/>
      <c r="B619" s="13"/>
      <c r="C619" s="13"/>
    </row>
    <row r="620" spans="1:3" ht="13" x14ac:dyDescent="0.15">
      <c r="A620" s="10"/>
      <c r="B620" s="13"/>
      <c r="C620" s="13"/>
    </row>
    <row r="621" spans="1:3" ht="13" x14ac:dyDescent="0.15">
      <c r="A621" s="10"/>
      <c r="B621" s="13"/>
      <c r="C621" s="13"/>
    </row>
    <row r="622" spans="1:3" ht="13" x14ac:dyDescent="0.15">
      <c r="A622" s="10"/>
      <c r="B622" s="13"/>
      <c r="C622" s="13"/>
    </row>
    <row r="623" spans="1:3" ht="13" x14ac:dyDescent="0.15">
      <c r="A623" s="10"/>
      <c r="B623" s="13"/>
      <c r="C623" s="13"/>
    </row>
    <row r="624" spans="1:3" ht="13" x14ac:dyDescent="0.15">
      <c r="A624" s="10"/>
      <c r="B624" s="13"/>
      <c r="C624" s="13"/>
    </row>
    <row r="625" spans="1:3" ht="13" x14ac:dyDescent="0.15">
      <c r="A625" s="10"/>
      <c r="B625" s="13"/>
      <c r="C625" s="13"/>
    </row>
    <row r="626" spans="1:3" ht="13" x14ac:dyDescent="0.15">
      <c r="A626" s="10"/>
      <c r="B626" s="13"/>
      <c r="C626" s="13"/>
    </row>
    <row r="627" spans="1:3" ht="13" x14ac:dyDescent="0.15">
      <c r="A627" s="10"/>
      <c r="B627" s="13"/>
      <c r="C627" s="13"/>
    </row>
    <row r="628" spans="1:3" ht="13" x14ac:dyDescent="0.15">
      <c r="A628" s="10"/>
      <c r="B628" s="13"/>
      <c r="C628" s="13"/>
    </row>
    <row r="629" spans="1:3" ht="13" x14ac:dyDescent="0.15">
      <c r="A629" s="10"/>
      <c r="B629" s="13"/>
      <c r="C629" s="13"/>
    </row>
    <row r="630" spans="1:3" ht="13" x14ac:dyDescent="0.15">
      <c r="A630" s="10"/>
      <c r="B630" s="13"/>
      <c r="C630" s="13"/>
    </row>
    <row r="631" spans="1:3" ht="13" x14ac:dyDescent="0.15">
      <c r="A631" s="10"/>
      <c r="B631" s="13"/>
      <c r="C631" s="13"/>
    </row>
    <row r="632" spans="1:3" ht="13" x14ac:dyDescent="0.15">
      <c r="A632" s="10"/>
      <c r="B632" s="13"/>
      <c r="C632" s="13"/>
    </row>
    <row r="633" spans="1:3" ht="13" x14ac:dyDescent="0.15">
      <c r="A633" s="10"/>
      <c r="B633" s="13"/>
      <c r="C633" s="13"/>
    </row>
    <row r="634" spans="1:3" ht="13" x14ac:dyDescent="0.15">
      <c r="A634" s="10"/>
      <c r="B634" s="13"/>
      <c r="C634" s="13"/>
    </row>
    <row r="635" spans="1:3" ht="13" x14ac:dyDescent="0.15">
      <c r="A635" s="10"/>
      <c r="B635" s="13"/>
      <c r="C635" s="13"/>
    </row>
    <row r="636" spans="1:3" ht="13" x14ac:dyDescent="0.15">
      <c r="A636" s="10"/>
      <c r="B636" s="13"/>
      <c r="C636" s="13"/>
    </row>
    <row r="637" spans="1:3" ht="13" x14ac:dyDescent="0.15">
      <c r="A637" s="10"/>
      <c r="B637" s="13"/>
      <c r="C637" s="13"/>
    </row>
    <row r="638" spans="1:3" ht="13" x14ac:dyDescent="0.15">
      <c r="A638" s="10"/>
      <c r="B638" s="13"/>
      <c r="C638" s="13"/>
    </row>
    <row r="639" spans="1:3" ht="13" x14ac:dyDescent="0.15">
      <c r="A639" s="10"/>
      <c r="B639" s="13"/>
      <c r="C639" s="13"/>
    </row>
    <row r="640" spans="1:3" ht="13" x14ac:dyDescent="0.15">
      <c r="A640" s="10"/>
      <c r="B640" s="13"/>
      <c r="C640" s="13"/>
    </row>
    <row r="641" spans="1:3" ht="13" x14ac:dyDescent="0.15">
      <c r="A641" s="10"/>
      <c r="B641" s="13"/>
      <c r="C641" s="13"/>
    </row>
    <row r="642" spans="1:3" ht="13" x14ac:dyDescent="0.15">
      <c r="A642" s="10"/>
      <c r="B642" s="13"/>
      <c r="C642" s="13"/>
    </row>
    <row r="643" spans="1:3" ht="13" x14ac:dyDescent="0.15">
      <c r="A643" s="10"/>
      <c r="B643" s="13"/>
      <c r="C643" s="13"/>
    </row>
    <row r="644" spans="1:3" ht="13" x14ac:dyDescent="0.15">
      <c r="A644" s="10"/>
      <c r="B644" s="13"/>
      <c r="C644" s="13"/>
    </row>
    <row r="645" spans="1:3" ht="13" x14ac:dyDescent="0.15">
      <c r="A645" s="10"/>
      <c r="B645" s="13"/>
      <c r="C645" s="13"/>
    </row>
    <row r="646" spans="1:3" ht="13" x14ac:dyDescent="0.15">
      <c r="A646" s="10"/>
      <c r="B646" s="13"/>
      <c r="C646" s="13"/>
    </row>
    <row r="647" spans="1:3" ht="13" x14ac:dyDescent="0.15">
      <c r="A647" s="10"/>
      <c r="B647" s="13"/>
      <c r="C647" s="13"/>
    </row>
    <row r="648" spans="1:3" ht="13" x14ac:dyDescent="0.15">
      <c r="A648" s="10"/>
      <c r="B648" s="13"/>
      <c r="C648" s="13"/>
    </row>
    <row r="649" spans="1:3" ht="13" x14ac:dyDescent="0.15">
      <c r="A649" s="10"/>
      <c r="B649" s="13"/>
      <c r="C649" s="13"/>
    </row>
    <row r="650" spans="1:3" ht="13" x14ac:dyDescent="0.15">
      <c r="A650" s="10"/>
      <c r="B650" s="13"/>
      <c r="C650" s="13"/>
    </row>
    <row r="651" spans="1:3" ht="13" x14ac:dyDescent="0.15">
      <c r="A651" s="10"/>
      <c r="B651" s="13"/>
      <c r="C651" s="13"/>
    </row>
    <row r="652" spans="1:3" ht="13" x14ac:dyDescent="0.15">
      <c r="A652" s="10"/>
      <c r="B652" s="13"/>
      <c r="C652" s="13"/>
    </row>
    <row r="653" spans="1:3" ht="13" x14ac:dyDescent="0.15">
      <c r="A653" s="10"/>
      <c r="B653" s="13"/>
      <c r="C653" s="13"/>
    </row>
    <row r="654" spans="1:3" ht="13" x14ac:dyDescent="0.15">
      <c r="A654" s="10"/>
      <c r="B654" s="13"/>
      <c r="C654" s="13"/>
    </row>
    <row r="655" spans="1:3" ht="13" x14ac:dyDescent="0.15">
      <c r="A655" s="10"/>
      <c r="B655" s="13"/>
      <c r="C655" s="13"/>
    </row>
    <row r="656" spans="1:3" ht="13" x14ac:dyDescent="0.15">
      <c r="A656" s="10"/>
      <c r="B656" s="13"/>
      <c r="C656" s="13"/>
    </row>
    <row r="657" spans="1:3" ht="13" x14ac:dyDescent="0.15">
      <c r="A657" s="10"/>
      <c r="B657" s="13"/>
      <c r="C657" s="13"/>
    </row>
    <row r="658" spans="1:3" ht="13" x14ac:dyDescent="0.15">
      <c r="A658" s="10"/>
      <c r="B658" s="13"/>
      <c r="C658" s="13"/>
    </row>
    <row r="659" spans="1:3" ht="13" x14ac:dyDescent="0.15">
      <c r="A659" s="10"/>
      <c r="B659" s="13"/>
      <c r="C659" s="13"/>
    </row>
    <row r="660" spans="1:3" ht="13" x14ac:dyDescent="0.15">
      <c r="A660" s="10"/>
      <c r="B660" s="13"/>
      <c r="C660" s="13"/>
    </row>
    <row r="661" spans="1:3" ht="13" x14ac:dyDescent="0.15">
      <c r="A661" s="10"/>
      <c r="B661" s="13"/>
      <c r="C661" s="13"/>
    </row>
    <row r="662" spans="1:3" ht="13" x14ac:dyDescent="0.15">
      <c r="A662" s="10"/>
      <c r="B662" s="13"/>
      <c r="C662" s="13"/>
    </row>
    <row r="663" spans="1:3" ht="13" x14ac:dyDescent="0.15">
      <c r="A663" s="10"/>
      <c r="B663" s="13"/>
      <c r="C663" s="13"/>
    </row>
    <row r="664" spans="1:3" ht="13" x14ac:dyDescent="0.15">
      <c r="A664" s="10"/>
      <c r="B664" s="13"/>
      <c r="C664" s="13"/>
    </row>
    <row r="665" spans="1:3" ht="13" x14ac:dyDescent="0.15">
      <c r="A665" s="10"/>
      <c r="B665" s="13"/>
      <c r="C665" s="13"/>
    </row>
    <row r="666" spans="1:3" ht="13" x14ac:dyDescent="0.15">
      <c r="A666" s="10"/>
      <c r="B666" s="13"/>
      <c r="C666" s="13"/>
    </row>
    <row r="667" spans="1:3" ht="13" x14ac:dyDescent="0.15">
      <c r="A667" s="10"/>
      <c r="B667" s="13"/>
      <c r="C667" s="13"/>
    </row>
    <row r="668" spans="1:3" ht="13" x14ac:dyDescent="0.15">
      <c r="A668" s="10"/>
      <c r="B668" s="13"/>
      <c r="C668" s="13"/>
    </row>
    <row r="669" spans="1:3" ht="13" x14ac:dyDescent="0.15">
      <c r="A669" s="10"/>
      <c r="B669" s="13"/>
      <c r="C669" s="13"/>
    </row>
    <row r="670" spans="1:3" ht="13" x14ac:dyDescent="0.15">
      <c r="A670" s="10"/>
      <c r="B670" s="13"/>
      <c r="C670" s="13"/>
    </row>
    <row r="671" spans="1:3" ht="13" x14ac:dyDescent="0.15">
      <c r="A671" s="10"/>
      <c r="B671" s="13"/>
      <c r="C671" s="13"/>
    </row>
    <row r="672" spans="1:3" ht="13" x14ac:dyDescent="0.15">
      <c r="A672" s="10"/>
      <c r="B672" s="13"/>
      <c r="C672" s="13"/>
    </row>
    <row r="673" spans="1:3" ht="13" x14ac:dyDescent="0.15">
      <c r="A673" s="10"/>
      <c r="B673" s="13"/>
      <c r="C673" s="13"/>
    </row>
    <row r="674" spans="1:3" ht="13" x14ac:dyDescent="0.15">
      <c r="A674" s="10"/>
      <c r="B674" s="13"/>
      <c r="C674" s="13"/>
    </row>
    <row r="675" spans="1:3" ht="13" x14ac:dyDescent="0.15">
      <c r="A675" s="10"/>
      <c r="B675" s="13"/>
      <c r="C675" s="13"/>
    </row>
    <row r="676" spans="1:3" ht="13" x14ac:dyDescent="0.15">
      <c r="A676" s="10"/>
      <c r="B676" s="13"/>
      <c r="C676" s="13"/>
    </row>
    <row r="677" spans="1:3" ht="13" x14ac:dyDescent="0.15">
      <c r="A677" s="10"/>
      <c r="B677" s="13"/>
      <c r="C677" s="13"/>
    </row>
    <row r="678" spans="1:3" ht="13" x14ac:dyDescent="0.15">
      <c r="A678" s="10"/>
      <c r="B678" s="13"/>
      <c r="C678" s="13"/>
    </row>
    <row r="679" spans="1:3" ht="13" x14ac:dyDescent="0.15">
      <c r="A679" s="10"/>
      <c r="B679" s="13"/>
      <c r="C679" s="13"/>
    </row>
    <row r="680" spans="1:3" ht="13" x14ac:dyDescent="0.15">
      <c r="A680" s="10"/>
      <c r="B680" s="13"/>
      <c r="C680" s="13"/>
    </row>
    <row r="681" spans="1:3" ht="13" x14ac:dyDescent="0.15">
      <c r="A681" s="10"/>
      <c r="B681" s="13"/>
      <c r="C681" s="13"/>
    </row>
    <row r="682" spans="1:3" ht="13" x14ac:dyDescent="0.15">
      <c r="A682" s="10"/>
      <c r="B682" s="13"/>
      <c r="C682" s="13"/>
    </row>
    <row r="683" spans="1:3" ht="13" x14ac:dyDescent="0.15">
      <c r="A683" s="10"/>
      <c r="B683" s="13"/>
      <c r="C683" s="13"/>
    </row>
    <row r="684" spans="1:3" ht="13" x14ac:dyDescent="0.15">
      <c r="A684" s="10"/>
      <c r="B684" s="13"/>
      <c r="C684" s="13"/>
    </row>
    <row r="685" spans="1:3" ht="13" x14ac:dyDescent="0.15">
      <c r="A685" s="10"/>
      <c r="B685" s="13"/>
      <c r="C685" s="13"/>
    </row>
    <row r="686" spans="1:3" ht="13" x14ac:dyDescent="0.15">
      <c r="A686" s="10"/>
      <c r="B686" s="13"/>
      <c r="C686" s="13"/>
    </row>
    <row r="687" spans="1:3" ht="13" x14ac:dyDescent="0.15">
      <c r="A687" s="10"/>
      <c r="B687" s="13"/>
      <c r="C687" s="13"/>
    </row>
    <row r="688" spans="1:3" ht="13" x14ac:dyDescent="0.15">
      <c r="A688" s="10"/>
      <c r="B688" s="13"/>
      <c r="C688" s="13"/>
    </row>
    <row r="689" spans="1:3" ht="13" x14ac:dyDescent="0.15">
      <c r="A689" s="10"/>
      <c r="B689" s="13"/>
      <c r="C689" s="13"/>
    </row>
    <row r="690" spans="1:3" ht="13" x14ac:dyDescent="0.15">
      <c r="A690" s="10"/>
      <c r="B690" s="13"/>
      <c r="C690" s="13"/>
    </row>
    <row r="691" spans="1:3" ht="13" x14ac:dyDescent="0.15">
      <c r="A691" s="10"/>
      <c r="B691" s="13"/>
      <c r="C691" s="13"/>
    </row>
    <row r="692" spans="1:3" ht="13" x14ac:dyDescent="0.15">
      <c r="A692" s="10"/>
      <c r="B692" s="13"/>
      <c r="C692" s="13"/>
    </row>
    <row r="693" spans="1:3" ht="13" x14ac:dyDescent="0.15">
      <c r="A693" s="10"/>
      <c r="B693" s="13"/>
      <c r="C693" s="13"/>
    </row>
    <row r="694" spans="1:3" ht="13" x14ac:dyDescent="0.15">
      <c r="A694" s="10"/>
      <c r="B694" s="13"/>
      <c r="C694" s="13"/>
    </row>
    <row r="695" spans="1:3" ht="13" x14ac:dyDescent="0.15">
      <c r="A695" s="10"/>
      <c r="B695" s="13"/>
      <c r="C695" s="13"/>
    </row>
    <row r="696" spans="1:3" ht="13" x14ac:dyDescent="0.15">
      <c r="A696" s="10"/>
      <c r="B696" s="13"/>
      <c r="C696" s="13"/>
    </row>
    <row r="697" spans="1:3" ht="13" x14ac:dyDescent="0.15">
      <c r="A697" s="10"/>
      <c r="B697" s="13"/>
      <c r="C697" s="13"/>
    </row>
    <row r="698" spans="1:3" ht="13" x14ac:dyDescent="0.15">
      <c r="A698" s="10"/>
      <c r="B698" s="13"/>
      <c r="C698" s="13"/>
    </row>
    <row r="699" spans="1:3" ht="13" x14ac:dyDescent="0.15">
      <c r="A699" s="10"/>
      <c r="B699" s="13"/>
      <c r="C699" s="13"/>
    </row>
    <row r="700" spans="1:3" ht="13" x14ac:dyDescent="0.15">
      <c r="A700" s="10"/>
      <c r="B700" s="13"/>
      <c r="C700" s="13"/>
    </row>
    <row r="701" spans="1:3" ht="13" x14ac:dyDescent="0.15">
      <c r="A701" s="10"/>
      <c r="B701" s="13"/>
      <c r="C701" s="13"/>
    </row>
    <row r="702" spans="1:3" ht="13" x14ac:dyDescent="0.15">
      <c r="A702" s="10"/>
      <c r="B702" s="13"/>
      <c r="C702" s="13"/>
    </row>
    <row r="703" spans="1:3" ht="13" x14ac:dyDescent="0.15">
      <c r="A703" s="10"/>
      <c r="B703" s="13"/>
      <c r="C703" s="13"/>
    </row>
    <row r="704" spans="1:3" ht="13" x14ac:dyDescent="0.15">
      <c r="A704" s="10"/>
      <c r="B704" s="13"/>
      <c r="C704" s="13"/>
    </row>
    <row r="705" spans="1:3" ht="13" x14ac:dyDescent="0.15">
      <c r="A705" s="10"/>
      <c r="B705" s="13"/>
      <c r="C705" s="13"/>
    </row>
    <row r="706" spans="1:3" ht="13" x14ac:dyDescent="0.15">
      <c r="A706" s="10"/>
      <c r="B706" s="13"/>
      <c r="C706" s="13"/>
    </row>
    <row r="707" spans="1:3" ht="13" x14ac:dyDescent="0.15">
      <c r="A707" s="10"/>
      <c r="B707" s="13"/>
      <c r="C707" s="13"/>
    </row>
    <row r="708" spans="1:3" ht="13" x14ac:dyDescent="0.15">
      <c r="A708" s="10"/>
      <c r="B708" s="13"/>
      <c r="C708" s="13"/>
    </row>
    <row r="709" spans="1:3" ht="13" x14ac:dyDescent="0.15">
      <c r="A709" s="10"/>
      <c r="B709" s="13"/>
      <c r="C709" s="13"/>
    </row>
    <row r="710" spans="1:3" ht="13" x14ac:dyDescent="0.15">
      <c r="A710" s="10"/>
      <c r="B710" s="13"/>
      <c r="C710" s="13"/>
    </row>
    <row r="711" spans="1:3" ht="13" x14ac:dyDescent="0.15">
      <c r="A711" s="10"/>
      <c r="B711" s="13"/>
      <c r="C711" s="13"/>
    </row>
    <row r="712" spans="1:3" ht="13" x14ac:dyDescent="0.15">
      <c r="A712" s="10"/>
      <c r="B712" s="13"/>
      <c r="C712" s="13"/>
    </row>
    <row r="713" spans="1:3" ht="13" x14ac:dyDescent="0.15">
      <c r="A713" s="10"/>
      <c r="B713" s="13"/>
      <c r="C713" s="13"/>
    </row>
    <row r="714" spans="1:3" ht="13" x14ac:dyDescent="0.15">
      <c r="A714" s="10"/>
      <c r="B714" s="13"/>
      <c r="C714" s="13"/>
    </row>
    <row r="715" spans="1:3" ht="13" x14ac:dyDescent="0.15">
      <c r="A715" s="10"/>
      <c r="B715" s="13"/>
      <c r="C715" s="13"/>
    </row>
    <row r="716" spans="1:3" ht="13" x14ac:dyDescent="0.15">
      <c r="A716" s="10"/>
      <c r="B716" s="13"/>
      <c r="C716" s="13"/>
    </row>
    <row r="717" spans="1:3" ht="13" x14ac:dyDescent="0.15">
      <c r="A717" s="10"/>
      <c r="B717" s="13"/>
      <c r="C717" s="13"/>
    </row>
    <row r="718" spans="1:3" ht="13" x14ac:dyDescent="0.15">
      <c r="A718" s="10"/>
      <c r="B718" s="13"/>
      <c r="C718" s="13"/>
    </row>
    <row r="719" spans="1:3" ht="13" x14ac:dyDescent="0.15">
      <c r="A719" s="10"/>
      <c r="B719" s="13"/>
      <c r="C719" s="13"/>
    </row>
    <row r="720" spans="1:3" ht="13" x14ac:dyDescent="0.15">
      <c r="A720" s="10"/>
      <c r="B720" s="13"/>
      <c r="C720" s="13"/>
    </row>
    <row r="721" spans="1:3" ht="13" x14ac:dyDescent="0.15">
      <c r="A721" s="10"/>
      <c r="B721" s="13"/>
      <c r="C721" s="13"/>
    </row>
    <row r="722" spans="1:3" ht="13" x14ac:dyDescent="0.15">
      <c r="A722" s="10"/>
      <c r="B722" s="13"/>
      <c r="C722" s="13"/>
    </row>
    <row r="723" spans="1:3" ht="13" x14ac:dyDescent="0.15">
      <c r="A723" s="10"/>
      <c r="B723" s="13"/>
      <c r="C723" s="13"/>
    </row>
    <row r="724" spans="1:3" ht="13" x14ac:dyDescent="0.15">
      <c r="A724" s="10"/>
      <c r="B724" s="13"/>
      <c r="C724" s="13"/>
    </row>
    <row r="725" spans="1:3" ht="13" x14ac:dyDescent="0.15">
      <c r="A725" s="10"/>
      <c r="B725" s="13"/>
      <c r="C725" s="13"/>
    </row>
    <row r="726" spans="1:3" ht="13" x14ac:dyDescent="0.15">
      <c r="A726" s="10"/>
      <c r="B726" s="13"/>
      <c r="C726" s="13"/>
    </row>
    <row r="727" spans="1:3" ht="13" x14ac:dyDescent="0.15">
      <c r="A727" s="10"/>
      <c r="B727" s="13"/>
      <c r="C727" s="13"/>
    </row>
    <row r="728" spans="1:3" ht="13" x14ac:dyDescent="0.15">
      <c r="A728" s="10"/>
      <c r="B728" s="13"/>
      <c r="C728" s="13"/>
    </row>
    <row r="729" spans="1:3" ht="13" x14ac:dyDescent="0.15">
      <c r="A729" s="10"/>
      <c r="B729" s="13"/>
      <c r="C729" s="13"/>
    </row>
    <row r="730" spans="1:3" ht="13" x14ac:dyDescent="0.15">
      <c r="A730" s="10"/>
      <c r="B730" s="13"/>
      <c r="C730" s="13"/>
    </row>
    <row r="731" spans="1:3" ht="13" x14ac:dyDescent="0.15">
      <c r="A731" s="10"/>
      <c r="B731" s="13"/>
      <c r="C731" s="13"/>
    </row>
    <row r="732" spans="1:3" ht="13" x14ac:dyDescent="0.15">
      <c r="A732" s="10"/>
      <c r="B732" s="13"/>
      <c r="C732" s="13"/>
    </row>
    <row r="733" spans="1:3" ht="13" x14ac:dyDescent="0.15">
      <c r="A733" s="10"/>
      <c r="B733" s="13"/>
      <c r="C733" s="13"/>
    </row>
    <row r="734" spans="1:3" ht="13" x14ac:dyDescent="0.15">
      <c r="A734" s="10"/>
      <c r="B734" s="13"/>
      <c r="C734" s="13"/>
    </row>
    <row r="735" spans="1:3" ht="13" x14ac:dyDescent="0.15">
      <c r="A735" s="10"/>
      <c r="B735" s="13"/>
      <c r="C735" s="13"/>
    </row>
    <row r="736" spans="1:3" ht="13" x14ac:dyDescent="0.15">
      <c r="A736" s="10"/>
      <c r="B736" s="13"/>
      <c r="C736" s="13"/>
    </row>
    <row r="737" spans="1:3" ht="13" x14ac:dyDescent="0.15">
      <c r="A737" s="10"/>
      <c r="B737" s="13"/>
      <c r="C737" s="13"/>
    </row>
    <row r="738" spans="1:3" ht="13" x14ac:dyDescent="0.15">
      <c r="A738" s="10"/>
      <c r="B738" s="13"/>
      <c r="C738" s="13"/>
    </row>
    <row r="739" spans="1:3" ht="13" x14ac:dyDescent="0.15">
      <c r="A739" s="10"/>
      <c r="B739" s="13"/>
      <c r="C739" s="13"/>
    </row>
    <row r="740" spans="1:3" ht="13" x14ac:dyDescent="0.15">
      <c r="A740" s="10"/>
      <c r="B740" s="13"/>
      <c r="C740" s="13"/>
    </row>
    <row r="741" spans="1:3" ht="13" x14ac:dyDescent="0.15">
      <c r="A741" s="10"/>
      <c r="B741" s="13"/>
      <c r="C741" s="13"/>
    </row>
    <row r="742" spans="1:3" ht="13" x14ac:dyDescent="0.15">
      <c r="A742" s="10"/>
      <c r="B742" s="13"/>
      <c r="C742" s="13"/>
    </row>
    <row r="743" spans="1:3" ht="13" x14ac:dyDescent="0.15">
      <c r="A743" s="10"/>
      <c r="B743" s="13"/>
      <c r="C743" s="13"/>
    </row>
    <row r="744" spans="1:3" ht="13" x14ac:dyDescent="0.15">
      <c r="A744" s="10"/>
      <c r="B744" s="13"/>
      <c r="C744" s="13"/>
    </row>
    <row r="745" spans="1:3" ht="13" x14ac:dyDescent="0.15">
      <c r="A745" s="10"/>
      <c r="B745" s="13"/>
      <c r="C745" s="13"/>
    </row>
    <row r="746" spans="1:3" ht="13" x14ac:dyDescent="0.15">
      <c r="A746" s="10"/>
      <c r="B746" s="13"/>
      <c r="C746" s="13"/>
    </row>
    <row r="747" spans="1:3" ht="13" x14ac:dyDescent="0.15">
      <c r="A747" s="10"/>
      <c r="B747" s="13"/>
      <c r="C747" s="13"/>
    </row>
    <row r="748" spans="1:3" ht="13" x14ac:dyDescent="0.15">
      <c r="A748" s="10"/>
      <c r="B748" s="13"/>
      <c r="C748" s="13"/>
    </row>
    <row r="749" spans="1:3" ht="13" x14ac:dyDescent="0.15">
      <c r="A749" s="10"/>
      <c r="B749" s="13"/>
      <c r="C749" s="13"/>
    </row>
    <row r="750" spans="1:3" ht="13" x14ac:dyDescent="0.15">
      <c r="A750" s="10"/>
      <c r="B750" s="13"/>
      <c r="C750" s="13"/>
    </row>
    <row r="751" spans="1:3" ht="13" x14ac:dyDescent="0.15">
      <c r="A751" s="10"/>
      <c r="B751" s="13"/>
      <c r="C751" s="13"/>
    </row>
    <row r="752" spans="1:3" ht="13" x14ac:dyDescent="0.15">
      <c r="A752" s="10"/>
      <c r="B752" s="13"/>
      <c r="C752" s="13"/>
    </row>
    <row r="753" spans="1:3" ht="13" x14ac:dyDescent="0.15">
      <c r="A753" s="10"/>
      <c r="B753" s="13"/>
      <c r="C753" s="13"/>
    </row>
    <row r="754" spans="1:3" ht="13" x14ac:dyDescent="0.15">
      <c r="A754" s="10"/>
      <c r="B754" s="13"/>
      <c r="C754" s="13"/>
    </row>
    <row r="755" spans="1:3" ht="13" x14ac:dyDescent="0.15">
      <c r="A755" s="10"/>
      <c r="B755" s="13"/>
      <c r="C755" s="13"/>
    </row>
    <row r="756" spans="1:3" ht="13" x14ac:dyDescent="0.15">
      <c r="A756" s="10"/>
      <c r="B756" s="13"/>
      <c r="C756" s="13"/>
    </row>
    <row r="757" spans="1:3" ht="13" x14ac:dyDescent="0.15">
      <c r="A757" s="10"/>
      <c r="B757" s="13"/>
      <c r="C757" s="13"/>
    </row>
    <row r="758" spans="1:3" ht="13" x14ac:dyDescent="0.15">
      <c r="A758" s="10"/>
      <c r="B758" s="13"/>
      <c r="C758" s="13"/>
    </row>
    <row r="759" spans="1:3" ht="13" x14ac:dyDescent="0.15">
      <c r="A759" s="10"/>
      <c r="B759" s="13"/>
      <c r="C759" s="13"/>
    </row>
    <row r="760" spans="1:3" ht="13" x14ac:dyDescent="0.15">
      <c r="A760" s="10"/>
      <c r="B760" s="13"/>
      <c r="C760" s="13"/>
    </row>
    <row r="761" spans="1:3" ht="13" x14ac:dyDescent="0.15">
      <c r="A761" s="10"/>
      <c r="B761" s="13"/>
      <c r="C761" s="13"/>
    </row>
    <row r="762" spans="1:3" ht="13" x14ac:dyDescent="0.15">
      <c r="A762" s="10"/>
      <c r="B762" s="13"/>
      <c r="C762" s="13"/>
    </row>
    <row r="763" spans="1:3" ht="13" x14ac:dyDescent="0.15">
      <c r="A763" s="10"/>
      <c r="B763" s="13"/>
      <c r="C763" s="13"/>
    </row>
    <row r="764" spans="1:3" ht="13" x14ac:dyDescent="0.15">
      <c r="A764" s="10"/>
      <c r="B764" s="13"/>
      <c r="C764" s="13"/>
    </row>
    <row r="765" spans="1:3" ht="13" x14ac:dyDescent="0.15">
      <c r="A765" s="10"/>
      <c r="B765" s="13"/>
      <c r="C765" s="13"/>
    </row>
    <row r="766" spans="1:3" ht="13" x14ac:dyDescent="0.15">
      <c r="A766" s="10"/>
      <c r="B766" s="13"/>
      <c r="C766" s="13"/>
    </row>
    <row r="767" spans="1:3" ht="13" x14ac:dyDescent="0.15">
      <c r="A767" s="10"/>
      <c r="B767" s="13"/>
      <c r="C767" s="13"/>
    </row>
    <row r="768" spans="1:3" ht="13" x14ac:dyDescent="0.15">
      <c r="A768" s="10"/>
      <c r="B768" s="13"/>
      <c r="C768" s="13"/>
    </row>
    <row r="769" spans="1:3" ht="13" x14ac:dyDescent="0.15">
      <c r="A769" s="10"/>
      <c r="B769" s="13"/>
      <c r="C769" s="13"/>
    </row>
    <row r="770" spans="1:3" ht="13" x14ac:dyDescent="0.15">
      <c r="A770" s="10"/>
      <c r="B770" s="13"/>
      <c r="C770" s="13"/>
    </row>
    <row r="771" spans="1:3" ht="13" x14ac:dyDescent="0.15">
      <c r="A771" s="10"/>
      <c r="B771" s="13"/>
      <c r="C771" s="13"/>
    </row>
    <row r="772" spans="1:3" ht="13" x14ac:dyDescent="0.15">
      <c r="A772" s="10"/>
      <c r="B772" s="13"/>
      <c r="C772" s="13"/>
    </row>
    <row r="773" spans="1:3" ht="13" x14ac:dyDescent="0.15">
      <c r="A773" s="10"/>
      <c r="B773" s="13"/>
      <c r="C773" s="13"/>
    </row>
    <row r="774" spans="1:3" ht="13" x14ac:dyDescent="0.15">
      <c r="A774" s="10"/>
      <c r="B774" s="13"/>
      <c r="C774" s="13"/>
    </row>
    <row r="775" spans="1:3" ht="13" x14ac:dyDescent="0.15">
      <c r="A775" s="10"/>
      <c r="B775" s="13"/>
      <c r="C775" s="13"/>
    </row>
    <row r="776" spans="1:3" ht="13" x14ac:dyDescent="0.15">
      <c r="A776" s="10"/>
      <c r="B776" s="13"/>
      <c r="C776" s="13"/>
    </row>
    <row r="777" spans="1:3" ht="13" x14ac:dyDescent="0.15">
      <c r="A777" s="10"/>
      <c r="B777" s="13"/>
      <c r="C777" s="13"/>
    </row>
    <row r="778" spans="1:3" ht="13" x14ac:dyDescent="0.15">
      <c r="A778" s="10"/>
      <c r="B778" s="13"/>
      <c r="C778" s="13"/>
    </row>
    <row r="779" spans="1:3" ht="13" x14ac:dyDescent="0.15">
      <c r="A779" s="10"/>
      <c r="B779" s="13"/>
      <c r="C779" s="13"/>
    </row>
    <row r="780" spans="1:3" ht="13" x14ac:dyDescent="0.15">
      <c r="A780" s="10"/>
      <c r="B780" s="13"/>
      <c r="C780" s="13"/>
    </row>
    <row r="781" spans="1:3" ht="13" x14ac:dyDescent="0.15">
      <c r="A781" s="10"/>
      <c r="B781" s="13"/>
      <c r="C781" s="13"/>
    </row>
    <row r="782" spans="1:3" ht="13" x14ac:dyDescent="0.15">
      <c r="A782" s="10"/>
      <c r="B782" s="13"/>
      <c r="C782" s="13"/>
    </row>
    <row r="783" spans="1:3" ht="13" x14ac:dyDescent="0.15">
      <c r="A783" s="10"/>
      <c r="B783" s="13"/>
      <c r="C783" s="13"/>
    </row>
    <row r="784" spans="1:3" ht="13" x14ac:dyDescent="0.15">
      <c r="A784" s="10"/>
      <c r="B784" s="13"/>
      <c r="C784" s="13"/>
    </row>
    <row r="785" spans="1:3" ht="13" x14ac:dyDescent="0.15">
      <c r="A785" s="10"/>
      <c r="B785" s="13"/>
      <c r="C785" s="13"/>
    </row>
    <row r="786" spans="1:3" ht="13" x14ac:dyDescent="0.15">
      <c r="A786" s="10"/>
      <c r="B786" s="13"/>
      <c r="C786" s="13"/>
    </row>
    <row r="787" spans="1:3" ht="13" x14ac:dyDescent="0.15">
      <c r="A787" s="10"/>
      <c r="B787" s="13"/>
      <c r="C787" s="13"/>
    </row>
    <row r="788" spans="1:3" ht="13" x14ac:dyDescent="0.15">
      <c r="A788" s="10"/>
      <c r="B788" s="13"/>
      <c r="C788" s="13"/>
    </row>
    <row r="789" spans="1:3" ht="13" x14ac:dyDescent="0.15">
      <c r="A789" s="10"/>
      <c r="B789" s="13"/>
      <c r="C789" s="13"/>
    </row>
    <row r="790" spans="1:3" ht="13" x14ac:dyDescent="0.15">
      <c r="A790" s="10"/>
      <c r="B790" s="13"/>
      <c r="C790" s="13"/>
    </row>
    <row r="791" spans="1:3" ht="13" x14ac:dyDescent="0.15">
      <c r="A791" s="10"/>
      <c r="B791" s="13"/>
      <c r="C791" s="13"/>
    </row>
    <row r="792" spans="1:3" ht="13" x14ac:dyDescent="0.15">
      <c r="A792" s="10"/>
      <c r="B792" s="13"/>
      <c r="C792" s="13"/>
    </row>
    <row r="793" spans="1:3" ht="13" x14ac:dyDescent="0.15">
      <c r="A793" s="10"/>
      <c r="B793" s="13"/>
      <c r="C793" s="13"/>
    </row>
    <row r="794" spans="1:3" ht="13" x14ac:dyDescent="0.15">
      <c r="A794" s="10"/>
      <c r="B794" s="13"/>
      <c r="C794" s="13"/>
    </row>
    <row r="795" spans="1:3" ht="13" x14ac:dyDescent="0.15">
      <c r="A795" s="10"/>
      <c r="B795" s="13"/>
      <c r="C795" s="13"/>
    </row>
    <row r="796" spans="1:3" ht="13" x14ac:dyDescent="0.15">
      <c r="A796" s="10"/>
      <c r="B796" s="13"/>
      <c r="C796" s="13"/>
    </row>
    <row r="797" spans="1:3" ht="13" x14ac:dyDescent="0.15">
      <c r="A797" s="10"/>
      <c r="B797" s="13"/>
      <c r="C797" s="13"/>
    </row>
    <row r="798" spans="1:3" ht="13" x14ac:dyDescent="0.15">
      <c r="A798" s="10"/>
      <c r="B798" s="13"/>
      <c r="C798" s="13"/>
    </row>
    <row r="799" spans="1:3" ht="13" x14ac:dyDescent="0.15">
      <c r="A799" s="10"/>
      <c r="B799" s="13"/>
      <c r="C799" s="13"/>
    </row>
    <row r="800" spans="1:3" ht="13" x14ac:dyDescent="0.15">
      <c r="A800" s="10"/>
      <c r="B800" s="13"/>
      <c r="C800" s="13"/>
    </row>
    <row r="801" spans="1:3" ht="13" x14ac:dyDescent="0.15">
      <c r="A801" s="10"/>
      <c r="B801" s="13"/>
      <c r="C801" s="13"/>
    </row>
    <row r="802" spans="1:3" ht="13" x14ac:dyDescent="0.15">
      <c r="A802" s="10"/>
      <c r="B802" s="13"/>
      <c r="C802" s="13"/>
    </row>
    <row r="803" spans="1:3" ht="13" x14ac:dyDescent="0.15">
      <c r="A803" s="10"/>
      <c r="B803" s="13"/>
      <c r="C803" s="13"/>
    </row>
    <row r="804" spans="1:3" ht="13" x14ac:dyDescent="0.15">
      <c r="A804" s="10"/>
      <c r="B804" s="13"/>
      <c r="C804" s="13"/>
    </row>
    <row r="805" spans="1:3" ht="13" x14ac:dyDescent="0.15">
      <c r="A805" s="10"/>
      <c r="B805" s="13"/>
      <c r="C805" s="13"/>
    </row>
    <row r="806" spans="1:3" ht="13" x14ac:dyDescent="0.15">
      <c r="A806" s="10"/>
      <c r="B806" s="13"/>
      <c r="C806" s="13"/>
    </row>
    <row r="807" spans="1:3" ht="13" x14ac:dyDescent="0.15">
      <c r="A807" s="10"/>
      <c r="B807" s="13"/>
      <c r="C807" s="13"/>
    </row>
    <row r="808" spans="1:3" ht="13" x14ac:dyDescent="0.15">
      <c r="A808" s="10"/>
      <c r="B808" s="13"/>
      <c r="C808" s="13"/>
    </row>
    <row r="809" spans="1:3" ht="13" x14ac:dyDescent="0.15">
      <c r="A809" s="10"/>
      <c r="B809" s="13"/>
      <c r="C809" s="13"/>
    </row>
    <row r="810" spans="1:3" ht="13" x14ac:dyDescent="0.15">
      <c r="A810" s="10"/>
      <c r="B810" s="13"/>
      <c r="C810" s="13"/>
    </row>
    <row r="811" spans="1:3" ht="13" x14ac:dyDescent="0.15">
      <c r="A811" s="10"/>
      <c r="B811" s="13"/>
      <c r="C811" s="13"/>
    </row>
    <row r="812" spans="1:3" ht="13" x14ac:dyDescent="0.15">
      <c r="A812" s="10"/>
      <c r="B812" s="13"/>
      <c r="C812" s="13"/>
    </row>
    <row r="813" spans="1:3" ht="13" x14ac:dyDescent="0.15">
      <c r="A813" s="10"/>
      <c r="B813" s="13"/>
      <c r="C813" s="13"/>
    </row>
    <row r="814" spans="1:3" ht="13" x14ac:dyDescent="0.15">
      <c r="A814" s="10"/>
      <c r="B814" s="13"/>
      <c r="C814" s="13"/>
    </row>
    <row r="815" spans="1:3" ht="13" x14ac:dyDescent="0.15">
      <c r="A815" s="10"/>
      <c r="B815" s="13"/>
      <c r="C815" s="13"/>
    </row>
    <row r="816" spans="1:3" ht="13" x14ac:dyDescent="0.15">
      <c r="A816" s="10"/>
      <c r="B816" s="13"/>
      <c r="C816" s="13"/>
    </row>
    <row r="817" spans="1:3" ht="13" x14ac:dyDescent="0.15">
      <c r="A817" s="10"/>
      <c r="B817" s="13"/>
      <c r="C817" s="13"/>
    </row>
    <row r="818" spans="1:3" ht="13" x14ac:dyDescent="0.15">
      <c r="A818" s="10"/>
      <c r="B818" s="13"/>
      <c r="C818" s="13"/>
    </row>
    <row r="819" spans="1:3" ht="13" x14ac:dyDescent="0.15">
      <c r="A819" s="10"/>
      <c r="B819" s="13"/>
      <c r="C819" s="13"/>
    </row>
    <row r="820" spans="1:3" ht="13" x14ac:dyDescent="0.15">
      <c r="A820" s="10"/>
      <c r="B820" s="13"/>
      <c r="C820" s="13"/>
    </row>
    <row r="821" spans="1:3" ht="13" x14ac:dyDescent="0.15">
      <c r="A821" s="10"/>
      <c r="B821" s="13"/>
      <c r="C821" s="13"/>
    </row>
    <row r="822" spans="1:3" ht="13" x14ac:dyDescent="0.15">
      <c r="A822" s="10"/>
      <c r="B822" s="13"/>
      <c r="C822" s="13"/>
    </row>
    <row r="823" spans="1:3" ht="13" x14ac:dyDescent="0.15">
      <c r="A823" s="10"/>
      <c r="B823" s="13"/>
      <c r="C823" s="13"/>
    </row>
    <row r="824" spans="1:3" ht="13" x14ac:dyDescent="0.15">
      <c r="A824" s="10"/>
      <c r="B824" s="13"/>
      <c r="C824" s="13"/>
    </row>
    <row r="825" spans="1:3" ht="13" x14ac:dyDescent="0.15">
      <c r="A825" s="10"/>
      <c r="B825" s="13"/>
      <c r="C825" s="13"/>
    </row>
    <row r="826" spans="1:3" ht="13" x14ac:dyDescent="0.15">
      <c r="A826" s="10"/>
      <c r="B826" s="13"/>
      <c r="C826" s="13"/>
    </row>
    <row r="827" spans="1:3" ht="13" x14ac:dyDescent="0.15">
      <c r="A827" s="10"/>
      <c r="B827" s="13"/>
      <c r="C827" s="13"/>
    </row>
    <row r="828" spans="1:3" ht="13" x14ac:dyDescent="0.15">
      <c r="A828" s="10"/>
      <c r="B828" s="13"/>
      <c r="C828" s="13"/>
    </row>
    <row r="829" spans="1:3" ht="13" x14ac:dyDescent="0.15">
      <c r="A829" s="10"/>
      <c r="B829" s="13"/>
      <c r="C829" s="13"/>
    </row>
    <row r="830" spans="1:3" ht="13" x14ac:dyDescent="0.15">
      <c r="A830" s="10"/>
      <c r="B830" s="13"/>
      <c r="C830" s="13"/>
    </row>
    <row r="831" spans="1:3" ht="13" x14ac:dyDescent="0.15">
      <c r="A831" s="10"/>
      <c r="B831" s="13"/>
      <c r="C831" s="13"/>
    </row>
    <row r="832" spans="1:3" ht="13" x14ac:dyDescent="0.15">
      <c r="A832" s="10"/>
      <c r="B832" s="13"/>
      <c r="C832" s="13"/>
    </row>
    <row r="833" spans="1:3" ht="13" x14ac:dyDescent="0.15">
      <c r="A833" s="10"/>
      <c r="B833" s="13"/>
      <c r="C833" s="13"/>
    </row>
    <row r="834" spans="1:3" ht="13" x14ac:dyDescent="0.15">
      <c r="A834" s="10"/>
      <c r="B834" s="13"/>
      <c r="C834" s="13"/>
    </row>
    <row r="835" spans="1:3" ht="13" x14ac:dyDescent="0.15">
      <c r="A835" s="10"/>
      <c r="B835" s="13"/>
      <c r="C835" s="13"/>
    </row>
    <row r="836" spans="1:3" ht="13" x14ac:dyDescent="0.15">
      <c r="A836" s="10"/>
      <c r="B836" s="13"/>
      <c r="C836" s="13"/>
    </row>
    <row r="837" spans="1:3" ht="13" x14ac:dyDescent="0.15">
      <c r="A837" s="10"/>
      <c r="B837" s="13"/>
      <c r="C837" s="13"/>
    </row>
    <row r="838" spans="1:3" ht="13" x14ac:dyDescent="0.15">
      <c r="A838" s="10"/>
      <c r="B838" s="13"/>
      <c r="C838" s="13"/>
    </row>
    <row r="839" spans="1:3" ht="13" x14ac:dyDescent="0.15">
      <c r="A839" s="10"/>
      <c r="B839" s="13"/>
      <c r="C839" s="13"/>
    </row>
    <row r="840" spans="1:3" ht="13" x14ac:dyDescent="0.15">
      <c r="A840" s="10"/>
      <c r="B840" s="13"/>
      <c r="C840" s="13"/>
    </row>
    <row r="841" spans="1:3" ht="13" x14ac:dyDescent="0.15">
      <c r="A841" s="10"/>
      <c r="B841" s="13"/>
      <c r="C841" s="13"/>
    </row>
    <row r="842" spans="1:3" ht="13" x14ac:dyDescent="0.15">
      <c r="A842" s="10"/>
      <c r="B842" s="13"/>
      <c r="C842" s="13"/>
    </row>
    <row r="843" spans="1:3" ht="13" x14ac:dyDescent="0.15">
      <c r="A843" s="10"/>
      <c r="B843" s="13"/>
      <c r="C843" s="13"/>
    </row>
    <row r="844" spans="1:3" ht="13" x14ac:dyDescent="0.15">
      <c r="A844" s="10"/>
      <c r="B844" s="13"/>
      <c r="C844" s="13"/>
    </row>
    <row r="845" spans="1:3" ht="13" x14ac:dyDescent="0.15">
      <c r="A845" s="10"/>
      <c r="B845" s="13"/>
      <c r="C845" s="13"/>
    </row>
    <row r="846" spans="1:3" ht="13" x14ac:dyDescent="0.15">
      <c r="A846" s="10"/>
      <c r="B846" s="13"/>
      <c r="C846" s="13"/>
    </row>
    <row r="847" spans="1:3" ht="13" x14ac:dyDescent="0.15">
      <c r="A847" s="10"/>
      <c r="B847" s="13"/>
      <c r="C847" s="13"/>
    </row>
    <row r="848" spans="1:3" ht="13" x14ac:dyDescent="0.15">
      <c r="A848" s="10"/>
      <c r="B848" s="13"/>
      <c r="C848" s="13"/>
    </row>
    <row r="849" spans="1:3" ht="13" x14ac:dyDescent="0.15">
      <c r="A849" s="10"/>
      <c r="B849" s="13"/>
      <c r="C849" s="13"/>
    </row>
    <row r="850" spans="1:3" ht="13" x14ac:dyDescent="0.15">
      <c r="A850" s="10"/>
      <c r="B850" s="13"/>
      <c r="C850" s="13"/>
    </row>
    <row r="851" spans="1:3" ht="13" x14ac:dyDescent="0.15">
      <c r="A851" s="10"/>
      <c r="B851" s="13"/>
      <c r="C851" s="13"/>
    </row>
    <row r="852" spans="1:3" ht="13" x14ac:dyDescent="0.15">
      <c r="A852" s="10"/>
      <c r="B852" s="13"/>
      <c r="C852" s="13"/>
    </row>
    <row r="853" spans="1:3" ht="13" x14ac:dyDescent="0.15">
      <c r="A853" s="10"/>
      <c r="B853" s="13"/>
      <c r="C853" s="13"/>
    </row>
    <row r="854" spans="1:3" ht="13" x14ac:dyDescent="0.15">
      <c r="A854" s="10"/>
      <c r="B854" s="13"/>
      <c r="C854" s="13"/>
    </row>
    <row r="855" spans="1:3" ht="13" x14ac:dyDescent="0.15">
      <c r="A855" s="10"/>
      <c r="B855" s="13"/>
      <c r="C855" s="13"/>
    </row>
    <row r="856" spans="1:3" ht="13" x14ac:dyDescent="0.15">
      <c r="A856" s="10"/>
      <c r="B856" s="13"/>
      <c r="C856" s="13"/>
    </row>
    <row r="857" spans="1:3" ht="13" x14ac:dyDescent="0.15">
      <c r="A857" s="10"/>
      <c r="B857" s="13"/>
      <c r="C857" s="13"/>
    </row>
    <row r="858" spans="1:3" ht="13" x14ac:dyDescent="0.15">
      <c r="A858" s="10"/>
      <c r="B858" s="13"/>
      <c r="C858" s="13"/>
    </row>
    <row r="859" spans="1:3" ht="13" x14ac:dyDescent="0.15">
      <c r="A859" s="10"/>
      <c r="B859" s="13"/>
      <c r="C859" s="13"/>
    </row>
    <row r="860" spans="1:3" ht="13" x14ac:dyDescent="0.15">
      <c r="A860" s="10"/>
      <c r="B860" s="13"/>
      <c r="C860" s="13"/>
    </row>
    <row r="861" spans="1:3" ht="13" x14ac:dyDescent="0.15">
      <c r="A861" s="10"/>
      <c r="B861" s="13"/>
      <c r="C861" s="13"/>
    </row>
    <row r="862" spans="1:3" ht="13" x14ac:dyDescent="0.15">
      <c r="A862" s="10"/>
      <c r="B862" s="13"/>
      <c r="C862" s="13"/>
    </row>
    <row r="863" spans="1:3" ht="13" x14ac:dyDescent="0.15">
      <c r="A863" s="10"/>
      <c r="B863" s="13"/>
      <c r="C863" s="13"/>
    </row>
    <row r="864" spans="1:3" ht="13" x14ac:dyDescent="0.15">
      <c r="A864" s="10"/>
      <c r="B864" s="13"/>
      <c r="C864" s="13"/>
    </row>
    <row r="865" spans="1:3" ht="13" x14ac:dyDescent="0.15">
      <c r="A865" s="10"/>
      <c r="B865" s="13"/>
      <c r="C865" s="13"/>
    </row>
    <row r="866" spans="1:3" ht="13" x14ac:dyDescent="0.15">
      <c r="A866" s="10"/>
      <c r="B866" s="13"/>
      <c r="C866" s="13"/>
    </row>
    <row r="867" spans="1:3" ht="13" x14ac:dyDescent="0.15">
      <c r="A867" s="10"/>
      <c r="B867" s="13"/>
      <c r="C867" s="13"/>
    </row>
    <row r="868" spans="1:3" ht="13" x14ac:dyDescent="0.15">
      <c r="A868" s="10"/>
      <c r="B868" s="13"/>
      <c r="C868" s="13"/>
    </row>
    <row r="869" spans="1:3" ht="13" x14ac:dyDescent="0.15">
      <c r="A869" s="10"/>
      <c r="B869" s="13"/>
      <c r="C869" s="13"/>
    </row>
    <row r="870" spans="1:3" ht="13" x14ac:dyDescent="0.15">
      <c r="A870" s="10"/>
      <c r="B870" s="13"/>
      <c r="C870" s="13"/>
    </row>
    <row r="871" spans="1:3" ht="13" x14ac:dyDescent="0.15">
      <c r="A871" s="10"/>
      <c r="B871" s="13"/>
      <c r="C871" s="13"/>
    </row>
    <row r="872" spans="1:3" ht="13" x14ac:dyDescent="0.15">
      <c r="A872" s="10"/>
      <c r="B872" s="13"/>
      <c r="C872" s="13"/>
    </row>
    <row r="873" spans="1:3" ht="13" x14ac:dyDescent="0.15">
      <c r="A873" s="10"/>
      <c r="B873" s="13"/>
      <c r="C873" s="13"/>
    </row>
    <row r="874" spans="1:3" ht="13" x14ac:dyDescent="0.15">
      <c r="A874" s="10"/>
      <c r="B874" s="13"/>
      <c r="C874" s="13"/>
    </row>
    <row r="875" spans="1:3" ht="13" x14ac:dyDescent="0.15">
      <c r="A875" s="10"/>
      <c r="B875" s="13"/>
      <c r="C875" s="13"/>
    </row>
    <row r="876" spans="1:3" ht="13" x14ac:dyDescent="0.15">
      <c r="A876" s="10"/>
      <c r="B876" s="13"/>
      <c r="C876" s="13"/>
    </row>
    <row r="877" spans="1:3" ht="13" x14ac:dyDescent="0.15">
      <c r="A877" s="10"/>
      <c r="B877" s="13"/>
      <c r="C877" s="13"/>
    </row>
    <row r="878" spans="1:3" ht="13" x14ac:dyDescent="0.15">
      <c r="A878" s="10"/>
      <c r="B878" s="13"/>
      <c r="C878" s="13"/>
    </row>
    <row r="879" spans="1:3" ht="13" x14ac:dyDescent="0.15">
      <c r="A879" s="10"/>
      <c r="B879" s="13"/>
      <c r="C879" s="13"/>
    </row>
    <row r="880" spans="1:3" ht="13" x14ac:dyDescent="0.15">
      <c r="A880" s="10"/>
      <c r="B880" s="13"/>
      <c r="C880" s="13"/>
    </row>
    <row r="881" spans="1:3" ht="13" x14ac:dyDescent="0.15">
      <c r="A881" s="10"/>
      <c r="B881" s="13"/>
      <c r="C881" s="13"/>
    </row>
    <row r="882" spans="1:3" ht="13" x14ac:dyDescent="0.15">
      <c r="A882" s="10"/>
      <c r="B882" s="13"/>
      <c r="C882" s="13"/>
    </row>
    <row r="883" spans="1:3" ht="13" x14ac:dyDescent="0.15">
      <c r="A883" s="10"/>
      <c r="B883" s="13"/>
      <c r="C883" s="13"/>
    </row>
    <row r="884" spans="1:3" ht="13" x14ac:dyDescent="0.15">
      <c r="A884" s="10"/>
      <c r="B884" s="13"/>
      <c r="C884" s="13"/>
    </row>
    <row r="885" spans="1:3" ht="13" x14ac:dyDescent="0.15">
      <c r="A885" s="10"/>
      <c r="B885" s="13"/>
      <c r="C885" s="13"/>
    </row>
    <row r="886" spans="1:3" ht="13" x14ac:dyDescent="0.15">
      <c r="A886" s="10"/>
      <c r="B886" s="13"/>
      <c r="C886" s="13"/>
    </row>
    <row r="887" spans="1:3" ht="13" x14ac:dyDescent="0.15">
      <c r="A887" s="10"/>
      <c r="B887" s="13"/>
      <c r="C887" s="13"/>
    </row>
    <row r="888" spans="1:3" ht="13" x14ac:dyDescent="0.15">
      <c r="A888" s="10"/>
      <c r="B888" s="13"/>
      <c r="C888" s="13"/>
    </row>
    <row r="889" spans="1:3" ht="13" x14ac:dyDescent="0.15">
      <c r="A889" s="10"/>
      <c r="B889" s="13"/>
      <c r="C889" s="13"/>
    </row>
    <row r="890" spans="1:3" ht="13" x14ac:dyDescent="0.15">
      <c r="A890" s="10"/>
      <c r="B890" s="13"/>
      <c r="C890" s="13"/>
    </row>
    <row r="891" spans="1:3" ht="13" x14ac:dyDescent="0.15">
      <c r="A891" s="10"/>
      <c r="B891" s="13"/>
      <c r="C891" s="13"/>
    </row>
    <row r="892" spans="1:3" ht="13" x14ac:dyDescent="0.15">
      <c r="A892" s="10"/>
      <c r="B892" s="13"/>
      <c r="C892" s="13"/>
    </row>
    <row r="893" spans="1:3" ht="13" x14ac:dyDescent="0.15">
      <c r="A893" s="10"/>
      <c r="B893" s="13"/>
      <c r="C893" s="13"/>
    </row>
    <row r="894" spans="1:3" ht="13" x14ac:dyDescent="0.15">
      <c r="A894" s="10"/>
      <c r="B894" s="13"/>
      <c r="C894" s="13"/>
    </row>
    <row r="895" spans="1:3" ht="13" x14ac:dyDescent="0.15">
      <c r="A895" s="10"/>
      <c r="B895" s="13"/>
      <c r="C895" s="13"/>
    </row>
    <row r="896" spans="1:3" ht="13" x14ac:dyDescent="0.15">
      <c r="A896" s="10"/>
      <c r="B896" s="13"/>
      <c r="C896" s="13"/>
    </row>
    <row r="897" spans="1:3" ht="13" x14ac:dyDescent="0.15">
      <c r="A897" s="10"/>
      <c r="B897" s="13"/>
      <c r="C897" s="13"/>
    </row>
    <row r="898" spans="1:3" ht="13" x14ac:dyDescent="0.15">
      <c r="A898" s="10"/>
      <c r="B898" s="13"/>
      <c r="C898" s="13"/>
    </row>
    <row r="899" spans="1:3" ht="13" x14ac:dyDescent="0.15">
      <c r="A899" s="10"/>
      <c r="B899" s="13"/>
      <c r="C899" s="13"/>
    </row>
    <row r="900" spans="1:3" ht="13" x14ac:dyDescent="0.15">
      <c r="A900" s="10"/>
      <c r="B900" s="13"/>
      <c r="C900" s="13"/>
    </row>
    <row r="901" spans="1:3" ht="13" x14ac:dyDescent="0.15">
      <c r="A901" s="10"/>
      <c r="B901" s="13"/>
      <c r="C901" s="13"/>
    </row>
    <row r="902" spans="1:3" ht="13" x14ac:dyDescent="0.15">
      <c r="A902" s="10"/>
      <c r="B902" s="13"/>
      <c r="C902" s="13"/>
    </row>
    <row r="903" spans="1:3" ht="13" x14ac:dyDescent="0.15">
      <c r="A903" s="10"/>
      <c r="B903" s="13"/>
      <c r="C903" s="13"/>
    </row>
    <row r="904" spans="1:3" ht="13" x14ac:dyDescent="0.15">
      <c r="A904" s="10"/>
      <c r="B904" s="13"/>
      <c r="C904" s="13"/>
    </row>
    <row r="905" spans="1:3" ht="13" x14ac:dyDescent="0.15">
      <c r="A905" s="10"/>
      <c r="B905" s="13"/>
      <c r="C905" s="13"/>
    </row>
    <row r="906" spans="1:3" ht="13" x14ac:dyDescent="0.15">
      <c r="A906" s="10"/>
      <c r="B906" s="13"/>
      <c r="C906" s="13"/>
    </row>
    <row r="907" spans="1:3" ht="13" x14ac:dyDescent="0.15">
      <c r="A907" s="10"/>
      <c r="B907" s="13"/>
      <c r="C907" s="13"/>
    </row>
    <row r="908" spans="1:3" ht="13" x14ac:dyDescent="0.15">
      <c r="A908" s="10"/>
      <c r="B908" s="13"/>
      <c r="C908" s="13"/>
    </row>
    <row r="909" spans="1:3" ht="13" x14ac:dyDescent="0.15">
      <c r="A909" s="10"/>
      <c r="B909" s="13"/>
      <c r="C909" s="13"/>
    </row>
    <row r="910" spans="1:3" ht="13" x14ac:dyDescent="0.15">
      <c r="A910" s="10"/>
      <c r="B910" s="13"/>
      <c r="C910" s="13"/>
    </row>
    <row r="911" spans="1:3" ht="13" x14ac:dyDescent="0.15">
      <c r="A911" s="10"/>
      <c r="B911" s="13"/>
      <c r="C911" s="13"/>
    </row>
    <row r="912" spans="1:3" ht="13" x14ac:dyDescent="0.15">
      <c r="A912" s="10"/>
      <c r="B912" s="13"/>
      <c r="C912" s="13"/>
    </row>
    <row r="913" spans="1:3" ht="13" x14ac:dyDescent="0.15">
      <c r="A913" s="10"/>
      <c r="B913" s="13"/>
      <c r="C913" s="13"/>
    </row>
    <row r="914" spans="1:3" ht="13" x14ac:dyDescent="0.15">
      <c r="A914" s="10"/>
      <c r="B914" s="13"/>
      <c r="C914" s="13"/>
    </row>
    <row r="915" spans="1:3" ht="13" x14ac:dyDescent="0.15">
      <c r="A915" s="10"/>
      <c r="B915" s="13"/>
      <c r="C915" s="13"/>
    </row>
    <row r="916" spans="1:3" ht="13" x14ac:dyDescent="0.15">
      <c r="A916" s="10"/>
      <c r="B916" s="13"/>
      <c r="C916" s="13"/>
    </row>
    <row r="917" spans="1:3" ht="13" x14ac:dyDescent="0.15">
      <c r="A917" s="10"/>
      <c r="B917" s="13"/>
      <c r="C917" s="13"/>
    </row>
    <row r="918" spans="1:3" ht="13" x14ac:dyDescent="0.15">
      <c r="A918" s="10"/>
      <c r="B918" s="13"/>
      <c r="C918" s="13"/>
    </row>
    <row r="919" spans="1:3" ht="13" x14ac:dyDescent="0.15">
      <c r="A919" s="10"/>
      <c r="B919" s="13"/>
      <c r="C919" s="13"/>
    </row>
    <row r="920" spans="1:3" ht="13" x14ac:dyDescent="0.15">
      <c r="A920" s="10"/>
      <c r="B920" s="13"/>
      <c r="C920" s="13"/>
    </row>
    <row r="921" spans="1:3" ht="13" x14ac:dyDescent="0.15">
      <c r="A921" s="10"/>
      <c r="B921" s="13"/>
      <c r="C921" s="13"/>
    </row>
    <row r="922" spans="1:3" ht="13" x14ac:dyDescent="0.15">
      <c r="A922" s="10"/>
      <c r="B922" s="13"/>
      <c r="C922" s="13"/>
    </row>
    <row r="923" spans="1:3" ht="13" x14ac:dyDescent="0.15">
      <c r="A923" s="10"/>
      <c r="B923" s="13"/>
      <c r="C923" s="13"/>
    </row>
    <row r="924" spans="1:3" ht="13" x14ac:dyDescent="0.15">
      <c r="A924" s="10"/>
      <c r="B924" s="13"/>
      <c r="C924" s="13"/>
    </row>
    <row r="925" spans="1:3" ht="13" x14ac:dyDescent="0.15">
      <c r="A925" s="10"/>
      <c r="B925" s="13"/>
      <c r="C925" s="13"/>
    </row>
    <row r="926" spans="1:3" ht="13" x14ac:dyDescent="0.15">
      <c r="A926" s="10"/>
      <c r="B926" s="13"/>
      <c r="C926" s="13"/>
    </row>
    <row r="927" spans="1:3" ht="13" x14ac:dyDescent="0.15">
      <c r="A927" s="10"/>
      <c r="B927" s="13"/>
      <c r="C927" s="13"/>
    </row>
    <row r="928" spans="1:3" ht="13" x14ac:dyDescent="0.15">
      <c r="A928" s="10"/>
      <c r="B928" s="13"/>
      <c r="C928" s="13"/>
    </row>
    <row r="929" spans="1:3" ht="13" x14ac:dyDescent="0.15">
      <c r="A929" s="10"/>
      <c r="B929" s="13"/>
      <c r="C929" s="13"/>
    </row>
    <row r="930" spans="1:3" ht="13" x14ac:dyDescent="0.15">
      <c r="A930" s="10"/>
      <c r="B930" s="13"/>
      <c r="C930" s="13"/>
    </row>
    <row r="931" spans="1:3" ht="13" x14ac:dyDescent="0.15">
      <c r="A931" s="10"/>
      <c r="B931" s="13"/>
      <c r="C931" s="13"/>
    </row>
    <row r="932" spans="1:3" ht="13" x14ac:dyDescent="0.15">
      <c r="A932" s="10"/>
      <c r="B932" s="13"/>
      <c r="C932" s="13"/>
    </row>
    <row r="933" spans="1:3" ht="13" x14ac:dyDescent="0.15">
      <c r="A933" s="10"/>
      <c r="B933" s="13"/>
      <c r="C933" s="13"/>
    </row>
    <row r="934" spans="1:3" ht="13" x14ac:dyDescent="0.15">
      <c r="A934" s="10"/>
      <c r="B934" s="13"/>
      <c r="C934" s="13"/>
    </row>
    <row r="935" spans="1:3" ht="13" x14ac:dyDescent="0.15">
      <c r="A935" s="10"/>
      <c r="B935" s="13"/>
      <c r="C935" s="13"/>
    </row>
    <row r="936" spans="1:3" ht="13" x14ac:dyDescent="0.15">
      <c r="A936" s="10"/>
      <c r="B936" s="13"/>
      <c r="C936" s="13"/>
    </row>
    <row r="937" spans="1:3" ht="13" x14ac:dyDescent="0.15">
      <c r="A937" s="10"/>
      <c r="B937" s="13"/>
      <c r="C937" s="13"/>
    </row>
    <row r="938" spans="1:3" ht="13" x14ac:dyDescent="0.15">
      <c r="A938" s="10"/>
      <c r="B938" s="13"/>
      <c r="C938" s="13"/>
    </row>
    <row r="939" spans="1:3" ht="13" x14ac:dyDescent="0.15">
      <c r="A939" s="10"/>
      <c r="B939" s="13"/>
      <c r="C939" s="13"/>
    </row>
    <row r="940" spans="1:3" ht="13" x14ac:dyDescent="0.15">
      <c r="A940" s="10"/>
      <c r="B940" s="13"/>
      <c r="C940" s="13"/>
    </row>
    <row r="941" spans="1:3" ht="13" x14ac:dyDescent="0.15">
      <c r="A941" s="10"/>
      <c r="B941" s="13"/>
      <c r="C941" s="13"/>
    </row>
    <row r="942" spans="1:3" ht="13" x14ac:dyDescent="0.15">
      <c r="A942" s="10"/>
      <c r="B942" s="13"/>
      <c r="C942" s="13"/>
    </row>
    <row r="943" spans="1:3" ht="13" x14ac:dyDescent="0.15">
      <c r="A943" s="10"/>
      <c r="B943" s="13"/>
      <c r="C943" s="13"/>
    </row>
    <row r="944" spans="1:3" ht="13" x14ac:dyDescent="0.15">
      <c r="A944" s="10"/>
      <c r="B944" s="13"/>
      <c r="C944" s="13"/>
    </row>
    <row r="945" spans="1:3" ht="13" x14ac:dyDescent="0.15">
      <c r="A945" s="10"/>
      <c r="B945" s="13"/>
      <c r="C945" s="13"/>
    </row>
    <row r="946" spans="1:3" ht="13" x14ac:dyDescent="0.15">
      <c r="A946" s="10"/>
      <c r="B946" s="13"/>
      <c r="C946" s="13"/>
    </row>
    <row r="947" spans="1:3" ht="13" x14ac:dyDescent="0.15">
      <c r="A947" s="10"/>
      <c r="B947" s="13"/>
      <c r="C947" s="13"/>
    </row>
    <row r="948" spans="1:3" ht="13" x14ac:dyDescent="0.15">
      <c r="A948" s="10"/>
      <c r="B948" s="13"/>
      <c r="C948" s="13"/>
    </row>
    <row r="949" spans="1:3" ht="13" x14ac:dyDescent="0.15">
      <c r="A949" s="10"/>
      <c r="B949" s="13"/>
      <c r="C949" s="13"/>
    </row>
    <row r="950" spans="1:3" ht="13" x14ac:dyDescent="0.15">
      <c r="A950" s="10"/>
      <c r="B950" s="13"/>
      <c r="C950" s="13"/>
    </row>
    <row r="951" spans="1:3" ht="13" x14ac:dyDescent="0.15">
      <c r="A951" s="10"/>
      <c r="B951" s="13"/>
      <c r="C951" s="13"/>
    </row>
    <row r="952" spans="1:3" ht="13" x14ac:dyDescent="0.15">
      <c r="A952" s="10"/>
      <c r="B952" s="13"/>
      <c r="C952" s="13"/>
    </row>
    <row r="953" spans="1:3" ht="13" x14ac:dyDescent="0.15">
      <c r="A953" s="10"/>
      <c r="B953" s="13"/>
      <c r="C953" s="13"/>
    </row>
    <row r="954" spans="1:3" ht="13" x14ac:dyDescent="0.15">
      <c r="A954" s="10"/>
      <c r="B954" s="13"/>
      <c r="C954" s="13"/>
    </row>
    <row r="955" spans="1:3" ht="13" x14ac:dyDescent="0.15">
      <c r="A955" s="10"/>
      <c r="B955" s="13"/>
      <c r="C955" s="13"/>
    </row>
    <row r="956" spans="1:3" ht="13" x14ac:dyDescent="0.15">
      <c r="A956" s="10"/>
      <c r="B956" s="13"/>
      <c r="C956" s="13"/>
    </row>
    <row r="957" spans="1:3" ht="13" x14ac:dyDescent="0.15">
      <c r="A957" s="10"/>
      <c r="B957" s="13"/>
      <c r="C957" s="13"/>
    </row>
    <row r="958" spans="1:3" ht="13" x14ac:dyDescent="0.15">
      <c r="A958" s="10"/>
      <c r="B958" s="13"/>
      <c r="C958" s="13"/>
    </row>
    <row r="959" spans="1:3" ht="13" x14ac:dyDescent="0.15">
      <c r="A959" s="10"/>
      <c r="B959" s="13"/>
      <c r="C959" s="13"/>
    </row>
    <row r="960" spans="1:3" ht="13" x14ac:dyDescent="0.15">
      <c r="A960" s="10"/>
      <c r="B960" s="13"/>
      <c r="C960" s="13"/>
    </row>
    <row r="961" spans="1:3" ht="13" x14ac:dyDescent="0.15">
      <c r="A961" s="10"/>
      <c r="B961" s="13"/>
      <c r="C961" s="13"/>
    </row>
    <row r="962" spans="1:3" ht="13" x14ac:dyDescent="0.15">
      <c r="A962" s="10"/>
      <c r="B962" s="13"/>
      <c r="C962" s="13"/>
    </row>
    <row r="963" spans="1:3" ht="13" x14ac:dyDescent="0.15">
      <c r="A963" s="10"/>
      <c r="B963" s="13"/>
      <c r="C963" s="13"/>
    </row>
    <row r="964" spans="1:3" ht="13" x14ac:dyDescent="0.15">
      <c r="A964" s="10"/>
      <c r="B964" s="13"/>
      <c r="C964" s="13"/>
    </row>
    <row r="965" spans="1:3" ht="13" x14ac:dyDescent="0.15">
      <c r="A965" s="10"/>
      <c r="B965" s="13"/>
      <c r="C965" s="13"/>
    </row>
    <row r="966" spans="1:3" ht="13" x14ac:dyDescent="0.15">
      <c r="A966" s="10"/>
      <c r="B966" s="13"/>
      <c r="C966" s="13"/>
    </row>
    <row r="967" spans="1:3" ht="13" x14ac:dyDescent="0.15">
      <c r="A967" s="10"/>
      <c r="B967" s="13"/>
      <c r="C967" s="13"/>
    </row>
    <row r="968" spans="1:3" ht="13" x14ac:dyDescent="0.15">
      <c r="A968" s="10"/>
      <c r="B968" s="13"/>
      <c r="C968" s="13"/>
    </row>
    <row r="969" spans="1:3" ht="13" x14ac:dyDescent="0.15">
      <c r="A969" s="10"/>
      <c r="B969" s="13"/>
      <c r="C969" s="13"/>
    </row>
    <row r="970" spans="1:3" ht="13" x14ac:dyDescent="0.15">
      <c r="A970" s="10"/>
      <c r="B970" s="13"/>
      <c r="C970" s="13"/>
    </row>
    <row r="971" spans="1:3" ht="13" x14ac:dyDescent="0.15">
      <c r="A971" s="10"/>
      <c r="B971" s="13"/>
      <c r="C971" s="13"/>
    </row>
    <row r="972" spans="1:3" ht="13" x14ac:dyDescent="0.15">
      <c r="A972" s="10"/>
      <c r="B972" s="13"/>
      <c r="C972" s="13"/>
    </row>
    <row r="973" spans="1:3" ht="13" x14ac:dyDescent="0.15">
      <c r="A973" s="10"/>
      <c r="B973" s="13"/>
      <c r="C973" s="13"/>
    </row>
    <row r="974" spans="1:3" ht="13" x14ac:dyDescent="0.15">
      <c r="A974" s="10"/>
      <c r="B974" s="13"/>
      <c r="C974" s="13"/>
    </row>
    <row r="975" spans="1:3" ht="13" x14ac:dyDescent="0.15">
      <c r="A975" s="10"/>
      <c r="B975" s="13"/>
      <c r="C975" s="13"/>
    </row>
    <row r="976" spans="1:3" ht="13" x14ac:dyDescent="0.15">
      <c r="A976" s="10"/>
      <c r="B976" s="13"/>
      <c r="C976" s="13"/>
    </row>
    <row r="977" spans="1:3" ht="13" x14ac:dyDescent="0.15">
      <c r="A977" s="10"/>
      <c r="B977" s="13"/>
      <c r="C977" s="13"/>
    </row>
    <row r="978" spans="1:3" ht="13" x14ac:dyDescent="0.15">
      <c r="A978" s="10"/>
      <c r="B978" s="13"/>
      <c r="C978" s="13"/>
    </row>
    <row r="979" spans="1:3" ht="13" x14ac:dyDescent="0.15">
      <c r="A979" s="10"/>
      <c r="B979" s="13"/>
      <c r="C979" s="13"/>
    </row>
    <row r="980" spans="1:3" ht="13" x14ac:dyDescent="0.15">
      <c r="A980" s="10"/>
      <c r="B980" s="13"/>
      <c r="C980" s="13"/>
    </row>
    <row r="981" spans="1:3" ht="13" x14ac:dyDescent="0.15">
      <c r="A981" s="10"/>
      <c r="B981" s="13"/>
      <c r="C981" s="13"/>
    </row>
    <row r="982" spans="1:3" ht="13" x14ac:dyDescent="0.15">
      <c r="A982" s="10"/>
      <c r="B982" s="13"/>
      <c r="C982" s="13"/>
    </row>
    <row r="983" spans="1:3" ht="13" x14ac:dyDescent="0.15">
      <c r="A983" s="10"/>
      <c r="B983" s="13"/>
      <c r="C983" s="13"/>
    </row>
    <row r="984" spans="1:3" ht="13" x14ac:dyDescent="0.15">
      <c r="A984" s="10"/>
      <c r="B984" s="13"/>
      <c r="C984" s="13"/>
    </row>
    <row r="985" spans="1:3" ht="13" x14ac:dyDescent="0.15">
      <c r="A985" s="10"/>
      <c r="B985" s="13"/>
      <c r="C985" s="13"/>
    </row>
    <row r="986" spans="1:3" ht="13" x14ac:dyDescent="0.15">
      <c r="A986" s="10"/>
      <c r="B986" s="13"/>
      <c r="C986" s="13"/>
    </row>
    <row r="987" spans="1:3" ht="13" x14ac:dyDescent="0.15">
      <c r="A987" s="10"/>
      <c r="B987" s="13"/>
      <c r="C987" s="13"/>
    </row>
    <row r="988" spans="1:3" ht="13" x14ac:dyDescent="0.15">
      <c r="A988" s="10"/>
      <c r="B988" s="13"/>
      <c r="C988" s="13"/>
    </row>
    <row r="989" spans="1:3" ht="13" x14ac:dyDescent="0.15">
      <c r="A989" s="10"/>
      <c r="B989" s="13"/>
      <c r="C989" s="13"/>
    </row>
    <row r="990" spans="1:3" ht="13" x14ac:dyDescent="0.15">
      <c r="A990" s="10"/>
      <c r="B990" s="13"/>
      <c r="C990" s="13"/>
    </row>
    <row r="991" spans="1:3" ht="13" x14ac:dyDescent="0.15">
      <c r="A991" s="10"/>
      <c r="B991" s="13"/>
      <c r="C991" s="13"/>
    </row>
    <row r="992" spans="1:3" ht="13" x14ac:dyDescent="0.15">
      <c r="A992" s="10"/>
      <c r="B992" s="13"/>
      <c r="C992" s="13"/>
    </row>
    <row r="993" spans="1:3" ht="13" x14ac:dyDescent="0.15">
      <c r="A993" s="10"/>
      <c r="B993" s="13"/>
      <c r="C993" s="13"/>
    </row>
    <row r="994" spans="1:3" ht="13" x14ac:dyDescent="0.15">
      <c r="A994" s="10"/>
      <c r="B994" s="13"/>
      <c r="C994" s="13"/>
    </row>
    <row r="995" spans="1:3" ht="13" x14ac:dyDescent="0.15">
      <c r="A995" s="10"/>
      <c r="B995" s="13"/>
      <c r="C995" s="13"/>
    </row>
    <row r="996" spans="1:3" ht="13" x14ac:dyDescent="0.15">
      <c r="A996" s="10"/>
      <c r="B996" s="13"/>
      <c r="C996" s="13"/>
    </row>
    <row r="997" spans="1:3" ht="13" x14ac:dyDescent="0.15">
      <c r="A997" s="10"/>
      <c r="B997" s="13"/>
      <c r="C997" s="13"/>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ummaryRight="0"/>
  </sheetPr>
  <dimension ref="A1:D997"/>
  <sheetViews>
    <sheetView workbookViewId="0"/>
  </sheetViews>
  <sheetFormatPr baseColWidth="10" defaultColWidth="12.6640625" defaultRowHeight="15.75" customHeight="1" x14ac:dyDescent="0.15"/>
  <cols>
    <col min="1" max="1" width="71.5" customWidth="1"/>
    <col min="2" max="4" width="37.6640625" customWidth="1"/>
  </cols>
  <sheetData>
    <row r="1" spans="1:4" x14ac:dyDescent="0.2">
      <c r="A1" s="1"/>
      <c r="B1" s="12" t="str">
        <f ca="1">IFERROR(__xludf.DUMMYFUNCTION("IMPORTRANGE(""https://docs.google.com/spreadsheets/d/1C06Vs6H0Eg3__x1-dePLdZcY_bo1r3ReCeWRxqLlaS4"",""A11!B1:B22"")"),"Layla Baldwin")</f>
        <v>Layla Baldwin</v>
      </c>
      <c r="C1" s="22" t="str">
        <f ca="1">IFERROR(__xludf.DUMMYFUNCTION("IMPORTRANGE(""https://docs.google.com/spreadsheets/u/0/d/1etLQb97lMSNWG4ebq9e4mMf5V6Y_IPpBxMswZpIG47E"", ""A11!B1:B22"")"),"Erin Loudermilk")</f>
        <v>Erin Loudermilk</v>
      </c>
      <c r="D1" s="2" t="s">
        <v>1</v>
      </c>
    </row>
    <row r="2" spans="1:4" ht="15.75" customHeight="1" x14ac:dyDescent="0.15">
      <c r="A2" s="3" t="s">
        <v>2</v>
      </c>
      <c r="B2" s="15" t="str">
        <f ca="1">IFERROR(__xludf.DUMMYFUNCTION("""COMPUTED_VALUE"""),"Start: 8840. End: 9019. Direction: Forward.")</f>
        <v>Start: 8840. End: 9019. Direction: Forward.</v>
      </c>
      <c r="C2" s="15" t="str">
        <f ca="1">IFERROR(__xludf.DUMMYFUNCTION("""COMPUTED_VALUE"""),"8840 - 9019 FOR")</f>
        <v>8840 - 9019 FOR</v>
      </c>
      <c r="D2" s="4"/>
    </row>
    <row r="3" spans="1:4" ht="15.75" customHeight="1" x14ac:dyDescent="0.15">
      <c r="A3" s="5" t="s">
        <v>3</v>
      </c>
      <c r="B3" s="17" t="str">
        <f ca="1">IFERROR(__xludf.DUMMYFUNCTION("""COMPUTED_VALUE"""),"11 in both.")</f>
        <v>11 in both.</v>
      </c>
      <c r="C3" s="17" t="str">
        <f ca="1">IFERROR(__xludf.DUMMYFUNCTION("""COMPUTED_VALUE"""),"Gene 11 for both")</f>
        <v>Gene 11 for both</v>
      </c>
      <c r="D3" s="6"/>
    </row>
    <row r="4" spans="1:4" ht="15.75" customHeight="1" x14ac:dyDescent="0.15">
      <c r="A4" s="5" t="s">
        <v>4</v>
      </c>
      <c r="B4" s="17" t="str">
        <f ca="1">IFERROR(__xludf.DUMMYFUNCTION("""COMPUTED_VALUE"""),"199666. 2/26/2025")</f>
        <v>199666. 2/26/2025</v>
      </c>
      <c r="C4" s="17" t="str">
        <f ca="1">IFERROR(__xludf.DUMMYFUNCTION("""COMPUTED_VALUE"""),"199666 (3/7/25)")</f>
        <v>199666 (3/7/25)</v>
      </c>
      <c r="D4" s="6"/>
    </row>
    <row r="5" spans="1:4" ht="15.75" customHeight="1" x14ac:dyDescent="0.15">
      <c r="A5" s="5" t="s">
        <v>5</v>
      </c>
      <c r="B5" s="17" t="str">
        <f ca="1">IFERROR(__xludf.DUMMYFUNCTION("""COMPUTED_VALUE"""),"Kovu 12")</f>
        <v>Kovu 12</v>
      </c>
      <c r="C5" s="17" t="str">
        <f ca="1">IFERROR(__xludf.DUMMYFUNCTION("""COMPUTED_VALUE"""),"Kovu_12")</f>
        <v>Kovu_12</v>
      </c>
      <c r="D5" s="6"/>
    </row>
    <row r="6" spans="1:4" ht="15.75" customHeight="1" x14ac:dyDescent="0.15">
      <c r="A6" s="5" t="s">
        <v>6</v>
      </c>
      <c r="B6" s="17" t="str">
        <f ca="1">IFERROR(__xludf.DUMMYFUNCTION("""COMPUTED_VALUE"""),"Both call.")</f>
        <v>Both call.</v>
      </c>
      <c r="C6" s="17" t="str">
        <f ca="1">IFERROR(__xludf.DUMMYFUNCTION("""COMPUTED_VALUE"""),"Both call start @ 8840")</f>
        <v>Both call start @ 8840</v>
      </c>
      <c r="D6" s="6"/>
    </row>
    <row r="7" spans="1:4" ht="15.75" customHeight="1" x14ac:dyDescent="0.15">
      <c r="A7" s="5" t="s">
        <v>7</v>
      </c>
      <c r="B7" s="17" t="str">
        <f ca="1">IFERROR(__xludf.DUMMYFUNCTION("""COMPUTED_VALUE"""),"Good coding potential for most of the gene. Last little bit misses some. GM called start misses some coding potential. ")</f>
        <v xml:space="preserve">Good coding potential for most of the gene. Last little bit misses some. GM called start misses some coding potential. </v>
      </c>
      <c r="C7" s="17" t="str">
        <f ca="1">IFERROR(__xludf.DUMMYFUNCTION("""COMPUTED_VALUE"""),"Gene has coding potential, including the start")</f>
        <v>Gene has coding potential, including the start</v>
      </c>
      <c r="D7" s="6"/>
    </row>
    <row r="8" spans="1:4" ht="15.75" customHeight="1" x14ac:dyDescent="0.15">
      <c r="A8" s="5" t="s">
        <v>8</v>
      </c>
      <c r="B8" s="17" t="str">
        <f ca="1">IFERROR(__xludf.DUMMYFUNCTION("""COMPUTED_VALUE"""),"Yes")</f>
        <v>Yes</v>
      </c>
      <c r="C8" s="17" t="str">
        <f ca="1">IFERROR(__xludf.DUMMYFUNCTION("""COMPUTED_VALUE"""),"Yes")</f>
        <v>Yes</v>
      </c>
      <c r="D8" s="6"/>
    </row>
    <row r="9" spans="1:4" ht="15.75" customHeight="1" x14ac:dyDescent="0.15">
      <c r="A9" s="5" t="s">
        <v>9</v>
      </c>
      <c r="B9" s="17" t="str">
        <f ca="1">IFERROR(__xludf.DUMMYFUNCTION("""COMPUTED_VALUE"""),"55 bp gap")</f>
        <v>55 bp gap</v>
      </c>
      <c r="C9" s="17" t="str">
        <f ca="1">IFERROR(__xludf.DUMMYFUNCTION("""COMPUTED_VALUE"""),"55 nucleotide gap")</f>
        <v>55 nucleotide gap</v>
      </c>
      <c r="D9" s="6"/>
    </row>
    <row r="10" spans="1:4" ht="15.75" customHeight="1" x14ac:dyDescent="0.15">
      <c r="A10" s="5" t="s">
        <v>10</v>
      </c>
      <c r="B10" s="17" t="str">
        <f ca="1">IFERROR(__xludf.DUMMYFUNCTION("""COMPUTED_VALUE"""),"Z score for first, third, and fourth starts are good. Second one is not. First Z score is the highest (Z = 2.715). Final score: -3.490. Highest Z and final score in set.")</f>
        <v>Z score for first, third, and fourth starts are good. Second one is not. First Z score is the highest (Z = 2.715). Final score: -3.490. Highest Z and final score in set.</v>
      </c>
      <c r="C10" s="17" t="str">
        <f ca="1">IFERROR(__xludf.DUMMYFUNCTION("""COMPUTED_VALUE"""),"2.697, best score")</f>
        <v>2.697, best score</v>
      </c>
      <c r="D10" s="6"/>
    </row>
    <row r="11" spans="1:4" ht="15.75" customHeight="1" x14ac:dyDescent="0.15">
      <c r="A11" s="5" t="s">
        <v>11</v>
      </c>
      <c r="B11" s="17" t="str">
        <f ca="1">IFERROR(__xludf.DUMMYFUNCTION("""COMPUTED_VALUE"""),"Best hit: Kovu_12, 56% identity, e value = 2e-11, q1:s1 ")</f>
        <v xml:space="preserve">Best hit: Kovu_12, 56% identity, e value = 2e-11, q1:s1 </v>
      </c>
      <c r="C11" s="17" t="str">
        <f ca="1">IFERROR(__xludf.DUMMYFUNCTION("""COMPUTED_VALUE"""),"Kovu_12, 59.46% identity, 2.2E-5 e value, Q: 37, T:37")</f>
        <v>Kovu_12, 59.46% identity, 2.2E-5 e value, Q: 37, T:37</v>
      </c>
      <c r="D11" s="6"/>
    </row>
    <row r="12" spans="1:4" ht="15.75" customHeight="1" x14ac:dyDescent="0.15">
      <c r="A12" s="5" t="s">
        <v>12</v>
      </c>
      <c r="B12" s="17" t="str">
        <f ca="1">IFERROR(__xludf.DUMMYFUNCTION("""COMPUTED_VALUE"""),"Start called in both. Called 100% of the time. ")</f>
        <v xml:space="preserve">Start called in both. Called 100% of the time. </v>
      </c>
      <c r="C12" s="17" t="str">
        <f ca="1">IFERROR(__xludf.DUMMYFUNCTION("""COMPUTED_VALUE"""),"Called in all members of pham, called 100% of the time")</f>
        <v>Called in all members of pham, called 100% of the time</v>
      </c>
      <c r="D12" s="6"/>
    </row>
    <row r="13" spans="1:4" ht="15.75" customHeight="1" x14ac:dyDescent="0.15">
      <c r="A13" s="5" t="s">
        <v>13</v>
      </c>
      <c r="B13" s="17" t="str">
        <f ca="1">IFERROR(__xludf.DUMMYFUNCTION("""COMPUTED_VALUE"""),"No, highest Z value and lowest final score. Longest open reading frame.")</f>
        <v>No, highest Z value and lowest final score. Longest open reading frame.</v>
      </c>
      <c r="C13" s="17" t="str">
        <f ca="1">IFERROR(__xludf.DUMMYFUNCTION("""COMPUTED_VALUE"""),"No")</f>
        <v>No</v>
      </c>
      <c r="D13" s="6"/>
    </row>
    <row r="14" spans="1:4" ht="15.75" customHeight="1" x14ac:dyDescent="0.15">
      <c r="A14" s="5" t="s">
        <v>14</v>
      </c>
      <c r="B14" s="17" t="str">
        <f ca="1">IFERROR(__xludf.DUMMYFUNCTION("""COMPUTED_VALUE"""),"Kovu_12, unknow function, e value = 2e-12")</f>
        <v>Kovu_12, unknow function, e value = 2e-12</v>
      </c>
      <c r="C14" s="17" t="str">
        <f ca="1">IFERROR(__xludf.DUMMYFUNCTION("""COMPUTED_VALUE"""),"Kovu_12, function unknown, 2e-12 e value")</f>
        <v>Kovu_12, function unknown, 2e-12 e value</v>
      </c>
      <c r="D14" s="6"/>
    </row>
    <row r="15" spans="1:4" ht="15.75" customHeight="1" x14ac:dyDescent="0.15">
      <c r="A15" s="5" t="s">
        <v>15</v>
      </c>
      <c r="B15" s="17" t="str">
        <f ca="1">IFERROR(__xludf.DUMMYFUNCTION("""COMPUTED_VALUE"""),"Unknown function, Kovu_12")</f>
        <v>Unknown function, Kovu_12</v>
      </c>
      <c r="C15" s="17" t="str">
        <f ca="1">IFERROR(__xludf.DUMMYFUNCTION("""COMPUTED_VALUE"""),"Function unknown")</f>
        <v>Function unknown</v>
      </c>
      <c r="D15" s="6"/>
    </row>
    <row r="16" spans="1:4" ht="15.75" customHeight="1" x14ac:dyDescent="0.15">
      <c r="A16" s="5" t="s">
        <v>16</v>
      </c>
      <c r="B16" s="17" t="str">
        <f ca="1">IFERROR(__xludf.DUMMYFUNCTION("""COMPUTED_VALUE"""),"Yes, found in the same Pham as Kovu")</f>
        <v>Yes, found in the same Pham as Kovu</v>
      </c>
      <c r="C16" s="17" t="str">
        <f ca="1">IFERROR(__xludf.DUMMYFUNCTION("""COMPUTED_VALUE"""),"Yes, found in similar environment in Kovu, adjacent to Kovu_12")</f>
        <v>Yes, found in similar environment in Kovu, adjacent to Kovu_12</v>
      </c>
      <c r="D16" s="6"/>
    </row>
    <row r="17" spans="1:4" ht="15.75" customHeight="1" x14ac:dyDescent="0.15">
      <c r="A17" s="5" t="s">
        <v>17</v>
      </c>
      <c r="B17" s="17" t="str">
        <f ca="1">IFERROR(__xludf.DUMMYFUNCTION("""COMPUTED_VALUE"""),"Not helpful. Uncharacterized 11.4 kDa protein in arn-motA intergenic region. Probablitiy: 38.7%, aoq: 50.85%, aot: 57.63")</f>
        <v>Not helpful. Uncharacterized 11.4 kDa protein in arn-motA intergenic region. Probablitiy: 38.7%, aoq: 50.85%, aot: 57.63</v>
      </c>
      <c r="C17" s="17" t="str">
        <f ca="1">IFERROR(__xludf.DUMMYFUNCTION("""COMPUTED_VALUE"""),"Domain of unknown function: DUF6835, 37.23% probability, Q: 100%, T: 100%, Functional domain is apart of target.")</f>
        <v>Domain of unknown function: DUF6835, 37.23% probability, Q: 100%, T: 100%, Functional domain is apart of target.</v>
      </c>
      <c r="D17" s="6"/>
    </row>
    <row r="18" spans="1:4" ht="15.75" customHeight="1" x14ac:dyDescent="0.15">
      <c r="A18" s="5" t="s">
        <v>18</v>
      </c>
      <c r="B18" s="17" t="str">
        <f ca="1">IFERROR(__xludf.DUMMYFUNCTION("""COMPUTED_VALUE"""),"No")</f>
        <v>No</v>
      </c>
      <c r="C18" s="17" t="str">
        <f ca="1">IFERROR(__xludf.DUMMYFUNCTION("""COMPUTED_VALUE"""),"None")</f>
        <v>None</v>
      </c>
      <c r="D18" s="6"/>
    </row>
    <row r="19" spans="1:4" ht="15.75" customHeight="1" x14ac:dyDescent="0.15">
      <c r="A19" s="5" t="s">
        <v>19</v>
      </c>
      <c r="B19" s="17" t="str">
        <f ca="1">IFERROR(__xludf.DUMMYFUNCTION("""COMPUTED_VALUE"""),"No")</f>
        <v>No</v>
      </c>
      <c r="C19" s="17" t="str">
        <f ca="1">IFERROR(__xludf.DUMMYFUNCTION("""COMPUTED_VALUE"""),"none")</f>
        <v>none</v>
      </c>
      <c r="D19" s="6"/>
    </row>
    <row r="20" spans="1:4" ht="15.75" customHeight="1" x14ac:dyDescent="0.15">
      <c r="A20" s="5" t="s">
        <v>20</v>
      </c>
      <c r="B20" s="17" t="str">
        <f ca="1">IFERROR(__xludf.DUMMYFUNCTION("""COMPUTED_VALUE"""),"Most likely hypothetical protein, most results showed no relation besides Kovu, and Kovu's function is unknown. HHPred supports hydrolase as a general function, but the probability is only 35%.")</f>
        <v>Most likely hypothetical protein, most results showed no relation besides Kovu, and Kovu's function is unknown. HHPred supports hydrolase as a general function, but the probability is only 35%.</v>
      </c>
      <c r="C20" s="17" t="str">
        <f ca="1">IFERROR(__xludf.DUMMYFUNCTION("""COMPUTED_VALUE"""),"Hypothetical ")</f>
        <v xml:space="preserve">Hypothetical </v>
      </c>
      <c r="D20" s="6"/>
    </row>
    <row r="21" spans="1:4" x14ac:dyDescent="0.2">
      <c r="A21" s="7"/>
      <c r="B21" s="19"/>
      <c r="C21" s="19"/>
      <c r="D21" s="8"/>
    </row>
    <row r="22" spans="1:4" ht="15.75" customHeight="1" x14ac:dyDescent="0.15">
      <c r="A22" s="9" t="s">
        <v>21</v>
      </c>
      <c r="B22" s="19" t="str">
        <f ca="1">IFERROR(__xludf.DUMMYFUNCTION("""COMPUTED_VALUE"""),"Signifigant gap, not enough evidence to add gene")</f>
        <v>Signifigant gap, not enough evidence to add gene</v>
      </c>
      <c r="C22" s="19"/>
      <c r="D22" s="8"/>
    </row>
    <row r="23" spans="1:4" ht="15.75" customHeight="1" x14ac:dyDescent="0.15">
      <c r="A23" s="10"/>
      <c r="B23" s="13"/>
      <c r="C23" s="13"/>
    </row>
    <row r="24" spans="1:4" ht="15.75" customHeight="1" x14ac:dyDescent="0.15">
      <c r="A24" s="10"/>
      <c r="B24" s="13"/>
      <c r="C24" s="13"/>
    </row>
    <row r="25" spans="1:4" ht="15.75" customHeight="1" x14ac:dyDescent="0.15">
      <c r="A25" s="10"/>
      <c r="B25" s="13"/>
      <c r="C25" s="13"/>
    </row>
    <row r="26" spans="1:4" ht="15.75" customHeight="1" x14ac:dyDescent="0.15">
      <c r="A26" s="10"/>
      <c r="B26" s="13"/>
      <c r="C26" s="13"/>
    </row>
    <row r="27" spans="1:4" ht="15.75" customHeight="1" x14ac:dyDescent="0.15">
      <c r="A27" s="10"/>
      <c r="B27" s="13"/>
      <c r="C27" s="13"/>
    </row>
    <row r="28" spans="1:4" ht="15.75" customHeight="1" x14ac:dyDescent="0.15">
      <c r="A28" s="10"/>
      <c r="B28" s="13"/>
      <c r="C28" s="13"/>
    </row>
    <row r="29" spans="1:4" ht="15.75" customHeight="1" x14ac:dyDescent="0.15">
      <c r="A29" s="10"/>
      <c r="B29" s="13"/>
      <c r="C29" s="13"/>
    </row>
    <row r="30" spans="1:4" ht="15.75" customHeight="1" x14ac:dyDescent="0.15">
      <c r="A30" s="10"/>
      <c r="B30" s="13"/>
      <c r="C30" s="13"/>
    </row>
    <row r="31" spans="1:4" ht="15.75" customHeight="1" x14ac:dyDescent="0.15">
      <c r="A31" s="10"/>
      <c r="B31" s="13"/>
      <c r="C31" s="13"/>
    </row>
    <row r="32" spans="1:4" ht="15.75" customHeight="1" x14ac:dyDescent="0.15">
      <c r="A32" s="10"/>
      <c r="B32" s="13"/>
      <c r="C32" s="13"/>
    </row>
    <row r="33" spans="1:3" ht="15.75" customHeight="1" x14ac:dyDescent="0.15">
      <c r="A33" s="10"/>
      <c r="B33" s="13"/>
      <c r="C33" s="13"/>
    </row>
    <row r="34" spans="1:3" ht="15.75" customHeight="1" x14ac:dyDescent="0.15">
      <c r="A34" s="10"/>
      <c r="B34" s="13"/>
      <c r="C34" s="13"/>
    </row>
    <row r="35" spans="1:3" ht="15.75" customHeight="1" x14ac:dyDescent="0.15">
      <c r="A35" s="10"/>
      <c r="B35" s="13"/>
      <c r="C35" s="13"/>
    </row>
    <row r="36" spans="1:3" ht="15.75" customHeight="1" x14ac:dyDescent="0.15">
      <c r="A36" s="10"/>
      <c r="B36" s="13"/>
      <c r="C36" s="13"/>
    </row>
    <row r="37" spans="1:3" ht="15.75" customHeight="1" x14ac:dyDescent="0.15">
      <c r="A37" s="10"/>
      <c r="B37" s="13"/>
      <c r="C37" s="13"/>
    </row>
    <row r="38" spans="1:3" ht="15.75" customHeight="1" x14ac:dyDescent="0.15">
      <c r="A38" s="10"/>
      <c r="B38" s="13"/>
      <c r="C38" s="13"/>
    </row>
    <row r="39" spans="1:3" ht="13" x14ac:dyDescent="0.15">
      <c r="A39" s="10"/>
      <c r="B39" s="13"/>
      <c r="C39" s="13"/>
    </row>
    <row r="40" spans="1:3" ht="13" x14ac:dyDescent="0.15">
      <c r="A40" s="10"/>
      <c r="B40" s="13"/>
      <c r="C40" s="13"/>
    </row>
    <row r="41" spans="1:3" ht="13" x14ac:dyDescent="0.15">
      <c r="A41" s="10"/>
      <c r="B41" s="13"/>
      <c r="C41" s="13"/>
    </row>
    <row r="42" spans="1:3" ht="13" x14ac:dyDescent="0.15">
      <c r="A42" s="10"/>
      <c r="B42" s="13"/>
      <c r="C42" s="13"/>
    </row>
    <row r="43" spans="1:3" ht="13" x14ac:dyDescent="0.15">
      <c r="A43" s="10"/>
      <c r="B43" s="13"/>
      <c r="C43" s="13"/>
    </row>
    <row r="44" spans="1:3" ht="13" x14ac:dyDescent="0.15">
      <c r="A44" s="10"/>
      <c r="B44" s="13"/>
      <c r="C44" s="13"/>
    </row>
    <row r="45" spans="1:3" ht="13" x14ac:dyDescent="0.15">
      <c r="A45" s="10"/>
      <c r="B45" s="13"/>
      <c r="C45" s="13"/>
    </row>
    <row r="46" spans="1:3" ht="13" x14ac:dyDescent="0.15">
      <c r="A46" s="10"/>
      <c r="B46" s="13"/>
      <c r="C46" s="13"/>
    </row>
    <row r="47" spans="1:3" ht="13" x14ac:dyDescent="0.15">
      <c r="A47" s="10"/>
      <c r="B47" s="13"/>
      <c r="C47" s="13"/>
    </row>
    <row r="48" spans="1:3" ht="13" x14ac:dyDescent="0.15">
      <c r="A48" s="10"/>
      <c r="B48" s="13"/>
      <c r="C48" s="13"/>
    </row>
    <row r="49" spans="1:3" ht="13" x14ac:dyDescent="0.15">
      <c r="A49" s="10"/>
      <c r="B49" s="13"/>
      <c r="C49" s="13"/>
    </row>
    <row r="50" spans="1:3" ht="13" x14ac:dyDescent="0.15">
      <c r="A50" s="10"/>
      <c r="B50" s="13"/>
      <c r="C50" s="13"/>
    </row>
    <row r="51" spans="1:3" ht="13" x14ac:dyDescent="0.15">
      <c r="A51" s="10"/>
      <c r="B51" s="13"/>
      <c r="C51" s="13"/>
    </row>
    <row r="52" spans="1:3" ht="13" x14ac:dyDescent="0.15">
      <c r="A52" s="10"/>
      <c r="B52" s="13"/>
      <c r="C52" s="13"/>
    </row>
    <row r="53" spans="1:3" ht="13" x14ac:dyDescent="0.15">
      <c r="A53" s="10"/>
      <c r="B53" s="13"/>
      <c r="C53" s="13"/>
    </row>
    <row r="54" spans="1:3" ht="13" x14ac:dyDescent="0.15">
      <c r="A54" s="10"/>
      <c r="B54" s="13"/>
      <c r="C54" s="13"/>
    </row>
    <row r="55" spans="1:3" ht="13" x14ac:dyDescent="0.15">
      <c r="A55" s="10"/>
      <c r="B55" s="13"/>
      <c r="C55" s="13"/>
    </row>
    <row r="56" spans="1:3" ht="13" x14ac:dyDescent="0.15">
      <c r="A56" s="10"/>
      <c r="B56" s="13"/>
      <c r="C56" s="13"/>
    </row>
    <row r="57" spans="1:3" ht="13" x14ac:dyDescent="0.15">
      <c r="A57" s="10"/>
      <c r="B57" s="13"/>
      <c r="C57" s="13"/>
    </row>
    <row r="58" spans="1:3" ht="13" x14ac:dyDescent="0.15">
      <c r="A58" s="10"/>
      <c r="B58" s="13"/>
      <c r="C58" s="13"/>
    </row>
    <row r="59" spans="1:3" ht="13" x14ac:dyDescent="0.15">
      <c r="A59" s="10"/>
      <c r="B59" s="13"/>
      <c r="C59" s="13"/>
    </row>
    <row r="60" spans="1:3" ht="13" x14ac:dyDescent="0.15">
      <c r="A60" s="10"/>
      <c r="B60" s="13"/>
      <c r="C60" s="13"/>
    </row>
    <row r="61" spans="1:3" ht="13" x14ac:dyDescent="0.15">
      <c r="A61" s="10"/>
      <c r="B61" s="13"/>
      <c r="C61" s="13"/>
    </row>
    <row r="62" spans="1:3" ht="13" x14ac:dyDescent="0.15">
      <c r="A62" s="10"/>
      <c r="B62" s="13"/>
      <c r="C62" s="13"/>
    </row>
    <row r="63" spans="1:3" ht="13" x14ac:dyDescent="0.15">
      <c r="A63" s="10"/>
      <c r="B63" s="13"/>
      <c r="C63" s="13"/>
    </row>
    <row r="64" spans="1:3" ht="13" x14ac:dyDescent="0.15">
      <c r="A64" s="10"/>
      <c r="B64" s="13"/>
      <c r="C64" s="13"/>
    </row>
    <row r="65" spans="1:3" ht="13" x14ac:dyDescent="0.15">
      <c r="A65" s="10"/>
      <c r="B65" s="13"/>
      <c r="C65" s="13"/>
    </row>
    <row r="66" spans="1:3" ht="13" x14ac:dyDescent="0.15">
      <c r="A66" s="10"/>
      <c r="B66" s="13"/>
      <c r="C66" s="13"/>
    </row>
    <row r="67" spans="1:3" ht="13" x14ac:dyDescent="0.15">
      <c r="A67" s="10"/>
      <c r="B67" s="13"/>
      <c r="C67" s="13"/>
    </row>
    <row r="68" spans="1:3" ht="13" x14ac:dyDescent="0.15">
      <c r="A68" s="10"/>
      <c r="B68" s="13"/>
      <c r="C68" s="13"/>
    </row>
    <row r="69" spans="1:3" ht="13" x14ac:dyDescent="0.15">
      <c r="A69" s="10"/>
      <c r="B69" s="13"/>
      <c r="C69" s="13"/>
    </row>
    <row r="70" spans="1:3" ht="13" x14ac:dyDescent="0.15">
      <c r="A70" s="10"/>
      <c r="B70" s="13"/>
      <c r="C70" s="13"/>
    </row>
    <row r="71" spans="1:3" ht="13" x14ac:dyDescent="0.15">
      <c r="A71" s="10"/>
      <c r="B71" s="13"/>
      <c r="C71" s="13"/>
    </row>
    <row r="72" spans="1:3" ht="13" x14ac:dyDescent="0.15">
      <c r="A72" s="10"/>
      <c r="B72" s="13"/>
      <c r="C72" s="13"/>
    </row>
    <row r="73" spans="1:3" ht="13" x14ac:dyDescent="0.15">
      <c r="A73" s="10"/>
      <c r="B73" s="13"/>
      <c r="C73" s="13"/>
    </row>
    <row r="74" spans="1:3" ht="13" x14ac:dyDescent="0.15">
      <c r="A74" s="10"/>
      <c r="B74" s="13"/>
      <c r="C74" s="13"/>
    </row>
    <row r="75" spans="1:3" ht="13" x14ac:dyDescent="0.15">
      <c r="A75" s="10"/>
      <c r="B75" s="13"/>
      <c r="C75" s="13"/>
    </row>
    <row r="76" spans="1:3" ht="13" x14ac:dyDescent="0.15">
      <c r="A76" s="10"/>
      <c r="B76" s="13"/>
      <c r="C76" s="13"/>
    </row>
    <row r="77" spans="1:3" ht="13" x14ac:dyDescent="0.15">
      <c r="A77" s="10"/>
      <c r="B77" s="13"/>
      <c r="C77" s="13"/>
    </row>
    <row r="78" spans="1:3" ht="13" x14ac:dyDescent="0.15">
      <c r="A78" s="10"/>
      <c r="B78" s="13"/>
      <c r="C78" s="13"/>
    </row>
    <row r="79" spans="1:3" ht="13" x14ac:dyDescent="0.15">
      <c r="A79" s="10"/>
      <c r="B79" s="13"/>
      <c r="C79" s="13"/>
    </row>
    <row r="80" spans="1:3" ht="13" x14ac:dyDescent="0.15">
      <c r="A80" s="10"/>
      <c r="B80" s="13"/>
      <c r="C80" s="13"/>
    </row>
    <row r="81" spans="1:3" ht="13" x14ac:dyDescent="0.15">
      <c r="A81" s="10"/>
      <c r="B81" s="13"/>
      <c r="C81" s="13"/>
    </row>
    <row r="82" spans="1:3" ht="13" x14ac:dyDescent="0.15">
      <c r="A82" s="10"/>
      <c r="B82" s="13"/>
      <c r="C82" s="13"/>
    </row>
    <row r="83" spans="1:3" ht="13" x14ac:dyDescent="0.15">
      <c r="A83" s="10"/>
      <c r="B83" s="13"/>
      <c r="C83" s="13"/>
    </row>
    <row r="84" spans="1:3" ht="13" x14ac:dyDescent="0.15">
      <c r="A84" s="10"/>
      <c r="B84" s="13"/>
      <c r="C84" s="13"/>
    </row>
    <row r="85" spans="1:3" ht="13" x14ac:dyDescent="0.15">
      <c r="A85" s="10"/>
      <c r="B85" s="13"/>
      <c r="C85" s="13"/>
    </row>
    <row r="86" spans="1:3" ht="13" x14ac:dyDescent="0.15">
      <c r="A86" s="10"/>
      <c r="B86" s="13"/>
      <c r="C86" s="13"/>
    </row>
    <row r="87" spans="1:3" ht="13" x14ac:dyDescent="0.15">
      <c r="A87" s="10"/>
      <c r="B87" s="13"/>
      <c r="C87" s="13"/>
    </row>
    <row r="88" spans="1:3" ht="13" x14ac:dyDescent="0.15">
      <c r="A88" s="10"/>
      <c r="B88" s="13"/>
      <c r="C88" s="13"/>
    </row>
    <row r="89" spans="1:3" ht="13" x14ac:dyDescent="0.15">
      <c r="A89" s="10"/>
      <c r="B89" s="13"/>
      <c r="C89" s="13"/>
    </row>
    <row r="90" spans="1:3" ht="13" x14ac:dyDescent="0.15">
      <c r="A90" s="10"/>
      <c r="B90" s="13"/>
      <c r="C90" s="13"/>
    </row>
    <row r="91" spans="1:3" ht="13" x14ac:dyDescent="0.15">
      <c r="A91" s="10"/>
      <c r="B91" s="13"/>
      <c r="C91" s="13"/>
    </row>
    <row r="92" spans="1:3" ht="13" x14ac:dyDescent="0.15">
      <c r="A92" s="10"/>
      <c r="B92" s="13"/>
      <c r="C92" s="13"/>
    </row>
    <row r="93" spans="1:3" ht="13" x14ac:dyDescent="0.15">
      <c r="A93" s="10"/>
      <c r="B93" s="13"/>
      <c r="C93" s="13"/>
    </row>
    <row r="94" spans="1:3" ht="13" x14ac:dyDescent="0.15">
      <c r="A94" s="10"/>
      <c r="B94" s="13"/>
      <c r="C94" s="13"/>
    </row>
    <row r="95" spans="1:3" ht="13" x14ac:dyDescent="0.15">
      <c r="A95" s="10"/>
      <c r="B95" s="13"/>
      <c r="C95" s="13"/>
    </row>
    <row r="96" spans="1:3" ht="13" x14ac:dyDescent="0.15">
      <c r="A96" s="10"/>
      <c r="B96" s="13"/>
      <c r="C96" s="13"/>
    </row>
    <row r="97" spans="1:3" ht="13" x14ac:dyDescent="0.15">
      <c r="A97" s="10"/>
      <c r="B97" s="13"/>
      <c r="C97" s="13"/>
    </row>
    <row r="98" spans="1:3" ht="13" x14ac:dyDescent="0.15">
      <c r="A98" s="10"/>
      <c r="B98" s="13"/>
      <c r="C98" s="13"/>
    </row>
    <row r="99" spans="1:3" ht="13" x14ac:dyDescent="0.15">
      <c r="A99" s="10"/>
      <c r="B99" s="13"/>
      <c r="C99" s="13"/>
    </row>
    <row r="100" spans="1:3" ht="13" x14ac:dyDescent="0.15">
      <c r="A100" s="10"/>
      <c r="B100" s="13"/>
      <c r="C100" s="13"/>
    </row>
    <row r="101" spans="1:3" ht="13" x14ac:dyDescent="0.15">
      <c r="A101" s="10"/>
      <c r="B101" s="13"/>
      <c r="C101" s="13"/>
    </row>
    <row r="102" spans="1:3" ht="13" x14ac:dyDescent="0.15">
      <c r="A102" s="10"/>
      <c r="B102" s="13"/>
      <c r="C102" s="13"/>
    </row>
    <row r="103" spans="1:3" ht="13" x14ac:dyDescent="0.15">
      <c r="A103" s="10"/>
      <c r="B103" s="13"/>
      <c r="C103" s="13"/>
    </row>
    <row r="104" spans="1:3" ht="13" x14ac:dyDescent="0.15">
      <c r="A104" s="10"/>
      <c r="B104" s="13"/>
      <c r="C104" s="13"/>
    </row>
    <row r="105" spans="1:3" ht="13" x14ac:dyDescent="0.15">
      <c r="A105" s="10"/>
      <c r="B105" s="13"/>
      <c r="C105" s="13"/>
    </row>
    <row r="106" spans="1:3" ht="13" x14ac:dyDescent="0.15">
      <c r="A106" s="10"/>
      <c r="B106" s="13"/>
      <c r="C106" s="13"/>
    </row>
    <row r="107" spans="1:3" ht="13" x14ac:dyDescent="0.15">
      <c r="A107" s="10"/>
      <c r="B107" s="13"/>
      <c r="C107" s="13"/>
    </row>
    <row r="108" spans="1:3" ht="13" x14ac:dyDescent="0.15">
      <c r="A108" s="10"/>
      <c r="B108" s="13"/>
      <c r="C108" s="13"/>
    </row>
    <row r="109" spans="1:3" ht="13" x14ac:dyDescent="0.15">
      <c r="A109" s="10"/>
      <c r="B109" s="13"/>
      <c r="C109" s="13"/>
    </row>
    <row r="110" spans="1:3" ht="13" x14ac:dyDescent="0.15">
      <c r="A110" s="10"/>
      <c r="B110" s="13"/>
      <c r="C110" s="13"/>
    </row>
    <row r="111" spans="1:3" ht="13" x14ac:dyDescent="0.15">
      <c r="A111" s="10"/>
      <c r="B111" s="13"/>
      <c r="C111" s="13"/>
    </row>
    <row r="112" spans="1:3" ht="13" x14ac:dyDescent="0.15">
      <c r="A112" s="10"/>
      <c r="B112" s="13"/>
      <c r="C112" s="13"/>
    </row>
    <row r="113" spans="1:3" ht="13" x14ac:dyDescent="0.15">
      <c r="A113" s="10"/>
      <c r="B113" s="13"/>
      <c r="C113" s="13"/>
    </row>
    <row r="114" spans="1:3" ht="13" x14ac:dyDescent="0.15">
      <c r="A114" s="10"/>
      <c r="B114" s="13"/>
      <c r="C114" s="13"/>
    </row>
    <row r="115" spans="1:3" ht="13" x14ac:dyDescent="0.15">
      <c r="A115" s="10"/>
      <c r="B115" s="13"/>
      <c r="C115" s="13"/>
    </row>
    <row r="116" spans="1:3" ht="13" x14ac:dyDescent="0.15">
      <c r="A116" s="10"/>
      <c r="B116" s="13"/>
      <c r="C116" s="13"/>
    </row>
    <row r="117" spans="1:3" ht="13" x14ac:dyDescent="0.15">
      <c r="A117" s="10"/>
      <c r="B117" s="13"/>
      <c r="C117" s="13"/>
    </row>
    <row r="118" spans="1:3" ht="13" x14ac:dyDescent="0.15">
      <c r="A118" s="10"/>
      <c r="B118" s="13"/>
      <c r="C118" s="13"/>
    </row>
    <row r="119" spans="1:3" ht="13" x14ac:dyDescent="0.15">
      <c r="A119" s="10"/>
      <c r="B119" s="13"/>
      <c r="C119" s="13"/>
    </row>
    <row r="120" spans="1:3" ht="13" x14ac:dyDescent="0.15">
      <c r="A120" s="10"/>
      <c r="B120" s="13"/>
      <c r="C120" s="13"/>
    </row>
    <row r="121" spans="1:3" ht="13" x14ac:dyDescent="0.15">
      <c r="A121" s="10"/>
      <c r="B121" s="13"/>
      <c r="C121" s="13"/>
    </row>
    <row r="122" spans="1:3" ht="13" x14ac:dyDescent="0.15">
      <c r="A122" s="10"/>
      <c r="B122" s="13"/>
      <c r="C122" s="13"/>
    </row>
    <row r="123" spans="1:3" ht="13" x14ac:dyDescent="0.15">
      <c r="A123" s="10"/>
      <c r="B123" s="13"/>
      <c r="C123" s="13"/>
    </row>
    <row r="124" spans="1:3" ht="13" x14ac:dyDescent="0.15">
      <c r="A124" s="10"/>
      <c r="B124" s="13"/>
      <c r="C124" s="13"/>
    </row>
    <row r="125" spans="1:3" ht="13" x14ac:dyDescent="0.15">
      <c r="A125" s="10"/>
      <c r="B125" s="13"/>
      <c r="C125" s="13"/>
    </row>
    <row r="126" spans="1:3" ht="13" x14ac:dyDescent="0.15">
      <c r="A126" s="10"/>
      <c r="B126" s="13"/>
      <c r="C126" s="13"/>
    </row>
    <row r="127" spans="1:3" ht="13" x14ac:dyDescent="0.15">
      <c r="A127" s="10"/>
      <c r="B127" s="13"/>
      <c r="C127" s="13"/>
    </row>
    <row r="128" spans="1:3" ht="13" x14ac:dyDescent="0.15">
      <c r="A128" s="10"/>
      <c r="B128" s="13"/>
      <c r="C128" s="13"/>
    </row>
    <row r="129" spans="1:3" ht="13" x14ac:dyDescent="0.15">
      <c r="A129" s="10"/>
      <c r="B129" s="13"/>
      <c r="C129" s="13"/>
    </row>
    <row r="130" spans="1:3" ht="13" x14ac:dyDescent="0.15">
      <c r="A130" s="10"/>
      <c r="B130" s="13"/>
      <c r="C130" s="13"/>
    </row>
    <row r="131" spans="1:3" ht="13" x14ac:dyDescent="0.15">
      <c r="A131" s="10"/>
      <c r="B131" s="13"/>
      <c r="C131" s="13"/>
    </row>
    <row r="132" spans="1:3" ht="13" x14ac:dyDescent="0.15">
      <c r="A132" s="10"/>
      <c r="B132" s="13"/>
      <c r="C132" s="13"/>
    </row>
    <row r="133" spans="1:3" ht="13" x14ac:dyDescent="0.15">
      <c r="A133" s="10"/>
      <c r="B133" s="13"/>
      <c r="C133" s="13"/>
    </row>
    <row r="134" spans="1:3" ht="13" x14ac:dyDescent="0.15">
      <c r="A134" s="10"/>
      <c r="B134" s="13"/>
      <c r="C134" s="13"/>
    </row>
    <row r="135" spans="1:3" ht="13" x14ac:dyDescent="0.15">
      <c r="A135" s="10"/>
      <c r="B135" s="13"/>
      <c r="C135" s="13"/>
    </row>
    <row r="136" spans="1:3" ht="13" x14ac:dyDescent="0.15">
      <c r="A136" s="10"/>
      <c r="B136" s="13"/>
      <c r="C136" s="13"/>
    </row>
    <row r="137" spans="1:3" ht="13" x14ac:dyDescent="0.15">
      <c r="A137" s="10"/>
      <c r="B137" s="13"/>
      <c r="C137" s="13"/>
    </row>
    <row r="138" spans="1:3" ht="13" x14ac:dyDescent="0.15">
      <c r="A138" s="10"/>
      <c r="B138" s="13"/>
      <c r="C138" s="13"/>
    </row>
    <row r="139" spans="1:3" ht="13" x14ac:dyDescent="0.15">
      <c r="A139" s="10"/>
      <c r="B139" s="13"/>
      <c r="C139" s="13"/>
    </row>
    <row r="140" spans="1:3" ht="13" x14ac:dyDescent="0.15">
      <c r="A140" s="10"/>
      <c r="B140" s="13"/>
      <c r="C140" s="13"/>
    </row>
    <row r="141" spans="1:3" ht="13" x14ac:dyDescent="0.15">
      <c r="A141" s="10"/>
      <c r="B141" s="13"/>
      <c r="C141" s="13"/>
    </row>
    <row r="142" spans="1:3" ht="13" x14ac:dyDescent="0.15">
      <c r="A142" s="10"/>
      <c r="B142" s="13"/>
      <c r="C142" s="13"/>
    </row>
    <row r="143" spans="1:3" ht="13" x14ac:dyDescent="0.15">
      <c r="A143" s="10"/>
      <c r="B143" s="13"/>
      <c r="C143" s="13"/>
    </row>
    <row r="144" spans="1:3" ht="13" x14ac:dyDescent="0.15">
      <c r="A144" s="10"/>
      <c r="B144" s="13"/>
      <c r="C144" s="13"/>
    </row>
    <row r="145" spans="1:3" ht="13" x14ac:dyDescent="0.15">
      <c r="A145" s="10"/>
      <c r="B145" s="13"/>
      <c r="C145" s="13"/>
    </row>
    <row r="146" spans="1:3" ht="13" x14ac:dyDescent="0.15">
      <c r="A146" s="10"/>
      <c r="B146" s="13"/>
      <c r="C146" s="13"/>
    </row>
    <row r="147" spans="1:3" ht="13" x14ac:dyDescent="0.15">
      <c r="A147" s="10"/>
      <c r="B147" s="13"/>
      <c r="C147" s="13"/>
    </row>
    <row r="148" spans="1:3" ht="13" x14ac:dyDescent="0.15">
      <c r="A148" s="10"/>
      <c r="B148" s="13"/>
      <c r="C148" s="13"/>
    </row>
    <row r="149" spans="1:3" ht="13" x14ac:dyDescent="0.15">
      <c r="A149" s="10"/>
      <c r="B149" s="13"/>
      <c r="C149" s="13"/>
    </row>
    <row r="150" spans="1:3" ht="13" x14ac:dyDescent="0.15">
      <c r="A150" s="10"/>
      <c r="B150" s="13"/>
      <c r="C150" s="13"/>
    </row>
    <row r="151" spans="1:3" ht="13" x14ac:dyDescent="0.15">
      <c r="A151" s="10"/>
      <c r="B151" s="13"/>
      <c r="C151" s="13"/>
    </row>
    <row r="152" spans="1:3" ht="13" x14ac:dyDescent="0.15">
      <c r="A152" s="10"/>
      <c r="B152" s="13"/>
      <c r="C152" s="13"/>
    </row>
    <row r="153" spans="1:3" ht="13" x14ac:dyDescent="0.15">
      <c r="A153" s="10"/>
      <c r="B153" s="13"/>
      <c r="C153" s="13"/>
    </row>
    <row r="154" spans="1:3" ht="13" x14ac:dyDescent="0.15">
      <c r="A154" s="10"/>
      <c r="B154" s="13"/>
      <c r="C154" s="13"/>
    </row>
    <row r="155" spans="1:3" ht="13" x14ac:dyDescent="0.15">
      <c r="A155" s="10"/>
      <c r="B155" s="13"/>
      <c r="C155" s="13"/>
    </row>
    <row r="156" spans="1:3" ht="13" x14ac:dyDescent="0.15">
      <c r="A156" s="10"/>
      <c r="B156" s="13"/>
      <c r="C156" s="13"/>
    </row>
    <row r="157" spans="1:3" ht="13" x14ac:dyDescent="0.15">
      <c r="A157" s="10"/>
      <c r="B157" s="13"/>
      <c r="C157" s="13"/>
    </row>
    <row r="158" spans="1:3" ht="13" x14ac:dyDescent="0.15">
      <c r="A158" s="10"/>
      <c r="B158" s="13"/>
      <c r="C158" s="13"/>
    </row>
    <row r="159" spans="1:3" ht="13" x14ac:dyDescent="0.15">
      <c r="A159" s="10"/>
      <c r="B159" s="13"/>
      <c r="C159" s="13"/>
    </row>
    <row r="160" spans="1:3" ht="13" x14ac:dyDescent="0.15">
      <c r="A160" s="10"/>
      <c r="B160" s="13"/>
      <c r="C160" s="13"/>
    </row>
    <row r="161" spans="1:3" ht="13" x14ac:dyDescent="0.15">
      <c r="A161" s="10"/>
      <c r="B161" s="13"/>
      <c r="C161" s="13"/>
    </row>
    <row r="162" spans="1:3" ht="13" x14ac:dyDescent="0.15">
      <c r="A162" s="10"/>
      <c r="B162" s="13"/>
      <c r="C162" s="13"/>
    </row>
    <row r="163" spans="1:3" ht="13" x14ac:dyDescent="0.15">
      <c r="A163" s="10"/>
      <c r="B163" s="13"/>
      <c r="C163" s="13"/>
    </row>
    <row r="164" spans="1:3" ht="13" x14ac:dyDescent="0.15">
      <c r="A164" s="10"/>
      <c r="B164" s="13"/>
      <c r="C164" s="13"/>
    </row>
    <row r="165" spans="1:3" ht="13" x14ac:dyDescent="0.15">
      <c r="A165" s="10"/>
      <c r="B165" s="13"/>
      <c r="C165" s="13"/>
    </row>
    <row r="166" spans="1:3" ht="13" x14ac:dyDescent="0.15">
      <c r="A166" s="10"/>
      <c r="B166" s="13"/>
      <c r="C166" s="13"/>
    </row>
    <row r="167" spans="1:3" ht="13" x14ac:dyDescent="0.15">
      <c r="A167" s="10"/>
      <c r="B167" s="13"/>
      <c r="C167" s="13"/>
    </row>
    <row r="168" spans="1:3" ht="13" x14ac:dyDescent="0.15">
      <c r="A168" s="10"/>
      <c r="B168" s="13"/>
      <c r="C168" s="13"/>
    </row>
    <row r="169" spans="1:3" ht="13" x14ac:dyDescent="0.15">
      <c r="A169" s="10"/>
      <c r="B169" s="13"/>
      <c r="C169" s="13"/>
    </row>
    <row r="170" spans="1:3" ht="13" x14ac:dyDescent="0.15">
      <c r="A170" s="10"/>
      <c r="B170" s="13"/>
      <c r="C170" s="13"/>
    </row>
    <row r="171" spans="1:3" ht="13" x14ac:dyDescent="0.15">
      <c r="A171" s="10"/>
      <c r="B171" s="13"/>
      <c r="C171" s="13"/>
    </row>
    <row r="172" spans="1:3" ht="13" x14ac:dyDescent="0.15">
      <c r="A172" s="10"/>
      <c r="B172" s="13"/>
      <c r="C172" s="13"/>
    </row>
    <row r="173" spans="1:3" ht="13" x14ac:dyDescent="0.15">
      <c r="A173" s="10"/>
      <c r="B173" s="13"/>
      <c r="C173" s="13"/>
    </row>
    <row r="174" spans="1:3" ht="13" x14ac:dyDescent="0.15">
      <c r="A174" s="10"/>
      <c r="B174" s="13"/>
      <c r="C174" s="13"/>
    </row>
    <row r="175" spans="1:3" ht="13" x14ac:dyDescent="0.15">
      <c r="A175" s="10"/>
      <c r="B175" s="13"/>
      <c r="C175" s="13"/>
    </row>
    <row r="176" spans="1:3" ht="13" x14ac:dyDescent="0.15">
      <c r="A176" s="10"/>
      <c r="B176" s="13"/>
      <c r="C176" s="13"/>
    </row>
    <row r="177" spans="1:3" ht="13" x14ac:dyDescent="0.15">
      <c r="A177" s="10"/>
      <c r="B177" s="13"/>
      <c r="C177" s="13"/>
    </row>
    <row r="178" spans="1:3" ht="13" x14ac:dyDescent="0.15">
      <c r="A178" s="10"/>
      <c r="B178" s="13"/>
      <c r="C178" s="13"/>
    </row>
    <row r="179" spans="1:3" ht="13" x14ac:dyDescent="0.15">
      <c r="A179" s="10"/>
      <c r="B179" s="13"/>
      <c r="C179" s="13"/>
    </row>
    <row r="180" spans="1:3" ht="13" x14ac:dyDescent="0.15">
      <c r="A180" s="10"/>
      <c r="B180" s="13"/>
      <c r="C180" s="13"/>
    </row>
    <row r="181" spans="1:3" ht="13" x14ac:dyDescent="0.15">
      <c r="A181" s="10"/>
      <c r="B181" s="13"/>
      <c r="C181" s="13"/>
    </row>
    <row r="182" spans="1:3" ht="13" x14ac:dyDescent="0.15">
      <c r="A182" s="10"/>
      <c r="B182" s="13"/>
      <c r="C182" s="13"/>
    </row>
    <row r="183" spans="1:3" ht="13" x14ac:dyDescent="0.15">
      <c r="A183" s="10"/>
      <c r="B183" s="13"/>
      <c r="C183" s="13"/>
    </row>
    <row r="184" spans="1:3" ht="13" x14ac:dyDescent="0.15">
      <c r="A184" s="10"/>
      <c r="B184" s="13"/>
      <c r="C184" s="13"/>
    </row>
    <row r="185" spans="1:3" ht="13" x14ac:dyDescent="0.15">
      <c r="A185" s="10"/>
      <c r="B185" s="13"/>
      <c r="C185" s="13"/>
    </row>
    <row r="186" spans="1:3" ht="13" x14ac:dyDescent="0.15">
      <c r="A186" s="10"/>
      <c r="B186" s="13"/>
      <c r="C186" s="13"/>
    </row>
    <row r="187" spans="1:3" ht="13" x14ac:dyDescent="0.15">
      <c r="A187" s="10"/>
      <c r="B187" s="13"/>
      <c r="C187" s="13"/>
    </row>
    <row r="188" spans="1:3" ht="13" x14ac:dyDescent="0.15">
      <c r="A188" s="10"/>
      <c r="B188" s="13"/>
      <c r="C188" s="13"/>
    </row>
    <row r="189" spans="1:3" ht="13" x14ac:dyDescent="0.15">
      <c r="A189" s="10"/>
      <c r="B189" s="13"/>
      <c r="C189" s="13"/>
    </row>
    <row r="190" spans="1:3" ht="13" x14ac:dyDescent="0.15">
      <c r="A190" s="10"/>
      <c r="B190" s="13"/>
      <c r="C190" s="13"/>
    </row>
    <row r="191" spans="1:3" ht="13" x14ac:dyDescent="0.15">
      <c r="A191" s="10"/>
      <c r="B191" s="13"/>
      <c r="C191" s="13"/>
    </row>
    <row r="192" spans="1:3" ht="13" x14ac:dyDescent="0.15">
      <c r="A192" s="10"/>
      <c r="B192" s="13"/>
      <c r="C192" s="13"/>
    </row>
    <row r="193" spans="1:3" ht="13" x14ac:dyDescent="0.15">
      <c r="A193" s="10"/>
      <c r="B193" s="13"/>
      <c r="C193" s="13"/>
    </row>
    <row r="194" spans="1:3" ht="13" x14ac:dyDescent="0.15">
      <c r="A194" s="10"/>
      <c r="B194" s="13"/>
      <c r="C194" s="13"/>
    </row>
    <row r="195" spans="1:3" ht="13" x14ac:dyDescent="0.15">
      <c r="A195" s="10"/>
      <c r="B195" s="13"/>
      <c r="C195" s="13"/>
    </row>
    <row r="196" spans="1:3" ht="13" x14ac:dyDescent="0.15">
      <c r="A196" s="10"/>
      <c r="B196" s="13"/>
      <c r="C196" s="13"/>
    </row>
    <row r="197" spans="1:3" ht="13" x14ac:dyDescent="0.15">
      <c r="A197" s="10"/>
      <c r="B197" s="13"/>
      <c r="C197" s="13"/>
    </row>
    <row r="198" spans="1:3" ht="13" x14ac:dyDescent="0.15">
      <c r="A198" s="10"/>
      <c r="B198" s="13"/>
      <c r="C198" s="13"/>
    </row>
    <row r="199" spans="1:3" ht="13" x14ac:dyDescent="0.15">
      <c r="A199" s="10"/>
      <c r="B199" s="13"/>
      <c r="C199" s="13"/>
    </row>
    <row r="200" spans="1:3" ht="13" x14ac:dyDescent="0.15">
      <c r="A200" s="10"/>
      <c r="B200" s="13"/>
      <c r="C200" s="13"/>
    </row>
    <row r="201" spans="1:3" ht="13" x14ac:dyDescent="0.15">
      <c r="A201" s="10"/>
      <c r="B201" s="13"/>
      <c r="C201" s="13"/>
    </row>
    <row r="202" spans="1:3" ht="13" x14ac:dyDescent="0.15">
      <c r="A202" s="10"/>
      <c r="B202" s="13"/>
      <c r="C202" s="13"/>
    </row>
    <row r="203" spans="1:3" ht="13" x14ac:dyDescent="0.15">
      <c r="A203" s="10"/>
      <c r="B203" s="13"/>
      <c r="C203" s="13"/>
    </row>
    <row r="204" spans="1:3" ht="13" x14ac:dyDescent="0.15">
      <c r="A204" s="10"/>
      <c r="B204" s="13"/>
      <c r="C204" s="13"/>
    </row>
    <row r="205" spans="1:3" ht="13" x14ac:dyDescent="0.15">
      <c r="A205" s="10"/>
      <c r="B205" s="13"/>
      <c r="C205" s="13"/>
    </row>
    <row r="206" spans="1:3" ht="13" x14ac:dyDescent="0.15">
      <c r="A206" s="10"/>
      <c r="B206" s="13"/>
      <c r="C206" s="13"/>
    </row>
    <row r="207" spans="1:3" ht="13" x14ac:dyDescent="0.15">
      <c r="A207" s="10"/>
      <c r="B207" s="13"/>
      <c r="C207" s="13"/>
    </row>
    <row r="208" spans="1:3" ht="13" x14ac:dyDescent="0.15">
      <c r="A208" s="10"/>
      <c r="B208" s="13"/>
      <c r="C208" s="13"/>
    </row>
    <row r="209" spans="1:3" ht="13" x14ac:dyDescent="0.15">
      <c r="A209" s="10"/>
      <c r="B209" s="13"/>
      <c r="C209" s="13"/>
    </row>
    <row r="210" spans="1:3" ht="13" x14ac:dyDescent="0.15">
      <c r="A210" s="10"/>
      <c r="B210" s="13"/>
      <c r="C210" s="13"/>
    </row>
    <row r="211" spans="1:3" ht="13" x14ac:dyDescent="0.15">
      <c r="A211" s="10"/>
      <c r="B211" s="13"/>
      <c r="C211" s="13"/>
    </row>
    <row r="212" spans="1:3" ht="13" x14ac:dyDescent="0.15">
      <c r="A212" s="10"/>
      <c r="B212" s="13"/>
      <c r="C212" s="13"/>
    </row>
    <row r="213" spans="1:3" ht="13" x14ac:dyDescent="0.15">
      <c r="A213" s="10"/>
      <c r="B213" s="13"/>
      <c r="C213" s="13"/>
    </row>
    <row r="214" spans="1:3" ht="13" x14ac:dyDescent="0.15">
      <c r="A214" s="10"/>
      <c r="B214" s="13"/>
      <c r="C214" s="13"/>
    </row>
    <row r="215" spans="1:3" ht="13" x14ac:dyDescent="0.15">
      <c r="A215" s="10"/>
      <c r="B215" s="13"/>
      <c r="C215" s="13"/>
    </row>
    <row r="216" spans="1:3" ht="13" x14ac:dyDescent="0.15">
      <c r="A216" s="10"/>
      <c r="B216" s="13"/>
      <c r="C216" s="13"/>
    </row>
    <row r="217" spans="1:3" ht="13" x14ac:dyDescent="0.15">
      <c r="A217" s="10"/>
      <c r="B217" s="13"/>
      <c r="C217" s="13"/>
    </row>
    <row r="218" spans="1:3" ht="13" x14ac:dyDescent="0.15">
      <c r="A218" s="10"/>
      <c r="B218" s="13"/>
      <c r="C218" s="13"/>
    </row>
    <row r="219" spans="1:3" ht="13" x14ac:dyDescent="0.15">
      <c r="A219" s="10"/>
      <c r="B219" s="13"/>
      <c r="C219" s="13"/>
    </row>
    <row r="220" spans="1:3" ht="13" x14ac:dyDescent="0.15">
      <c r="A220" s="10"/>
      <c r="B220" s="13"/>
      <c r="C220" s="13"/>
    </row>
    <row r="221" spans="1:3" ht="13" x14ac:dyDescent="0.15">
      <c r="A221" s="10"/>
      <c r="B221" s="13"/>
      <c r="C221" s="13"/>
    </row>
    <row r="222" spans="1:3" ht="13" x14ac:dyDescent="0.15">
      <c r="A222" s="10"/>
      <c r="B222" s="13"/>
      <c r="C222" s="13"/>
    </row>
    <row r="223" spans="1:3" ht="13" x14ac:dyDescent="0.15">
      <c r="A223" s="10"/>
      <c r="B223" s="13"/>
      <c r="C223" s="13"/>
    </row>
    <row r="224" spans="1:3" ht="13" x14ac:dyDescent="0.15">
      <c r="A224" s="10"/>
      <c r="B224" s="13"/>
      <c r="C224" s="13"/>
    </row>
    <row r="225" spans="1:3" ht="13" x14ac:dyDescent="0.15">
      <c r="A225" s="10"/>
      <c r="B225" s="13"/>
      <c r="C225" s="13"/>
    </row>
    <row r="226" spans="1:3" ht="13" x14ac:dyDescent="0.15">
      <c r="A226" s="10"/>
      <c r="B226" s="13"/>
      <c r="C226" s="13"/>
    </row>
    <row r="227" spans="1:3" ht="13" x14ac:dyDescent="0.15">
      <c r="A227" s="10"/>
      <c r="B227" s="13"/>
      <c r="C227" s="13"/>
    </row>
    <row r="228" spans="1:3" ht="13" x14ac:dyDescent="0.15">
      <c r="A228" s="10"/>
      <c r="B228" s="13"/>
      <c r="C228" s="13"/>
    </row>
    <row r="229" spans="1:3" ht="13" x14ac:dyDescent="0.15">
      <c r="A229" s="10"/>
      <c r="B229" s="13"/>
      <c r="C229" s="13"/>
    </row>
    <row r="230" spans="1:3" ht="13" x14ac:dyDescent="0.15">
      <c r="A230" s="10"/>
      <c r="B230" s="13"/>
      <c r="C230" s="13"/>
    </row>
    <row r="231" spans="1:3" ht="13" x14ac:dyDescent="0.15">
      <c r="A231" s="10"/>
      <c r="B231" s="13"/>
      <c r="C231" s="13"/>
    </row>
    <row r="232" spans="1:3" ht="13" x14ac:dyDescent="0.15">
      <c r="A232" s="10"/>
      <c r="B232" s="13"/>
      <c r="C232" s="13"/>
    </row>
    <row r="233" spans="1:3" ht="13" x14ac:dyDescent="0.15">
      <c r="A233" s="10"/>
      <c r="B233" s="13"/>
      <c r="C233" s="13"/>
    </row>
    <row r="234" spans="1:3" ht="13" x14ac:dyDescent="0.15">
      <c r="A234" s="10"/>
      <c r="B234" s="13"/>
      <c r="C234" s="13"/>
    </row>
    <row r="235" spans="1:3" ht="13" x14ac:dyDescent="0.15">
      <c r="A235" s="10"/>
      <c r="B235" s="13"/>
      <c r="C235" s="13"/>
    </row>
    <row r="236" spans="1:3" ht="13" x14ac:dyDescent="0.15">
      <c r="A236" s="10"/>
      <c r="B236" s="13"/>
      <c r="C236" s="13"/>
    </row>
    <row r="237" spans="1:3" ht="13" x14ac:dyDescent="0.15">
      <c r="A237" s="10"/>
      <c r="B237" s="13"/>
      <c r="C237" s="13"/>
    </row>
    <row r="238" spans="1:3" ht="13" x14ac:dyDescent="0.15">
      <c r="A238" s="10"/>
      <c r="B238" s="13"/>
      <c r="C238" s="13"/>
    </row>
    <row r="239" spans="1:3" ht="13" x14ac:dyDescent="0.15">
      <c r="A239" s="10"/>
      <c r="B239" s="13"/>
      <c r="C239" s="13"/>
    </row>
    <row r="240" spans="1:3" ht="13" x14ac:dyDescent="0.15">
      <c r="A240" s="10"/>
      <c r="B240" s="13"/>
      <c r="C240" s="13"/>
    </row>
    <row r="241" spans="1:3" ht="13" x14ac:dyDescent="0.15">
      <c r="A241" s="10"/>
      <c r="B241" s="13"/>
      <c r="C241" s="13"/>
    </row>
    <row r="242" spans="1:3" ht="13" x14ac:dyDescent="0.15">
      <c r="A242" s="10"/>
      <c r="B242" s="13"/>
      <c r="C242" s="13"/>
    </row>
    <row r="243" spans="1:3" ht="13" x14ac:dyDescent="0.15">
      <c r="A243" s="10"/>
      <c r="B243" s="13"/>
      <c r="C243" s="13"/>
    </row>
    <row r="244" spans="1:3" ht="13" x14ac:dyDescent="0.15">
      <c r="A244" s="10"/>
      <c r="B244" s="13"/>
      <c r="C244" s="13"/>
    </row>
    <row r="245" spans="1:3" ht="13" x14ac:dyDescent="0.15">
      <c r="A245" s="10"/>
      <c r="B245" s="13"/>
      <c r="C245" s="13"/>
    </row>
    <row r="246" spans="1:3" ht="13" x14ac:dyDescent="0.15">
      <c r="A246" s="10"/>
      <c r="B246" s="13"/>
      <c r="C246" s="13"/>
    </row>
    <row r="247" spans="1:3" ht="13" x14ac:dyDescent="0.15">
      <c r="A247" s="10"/>
      <c r="B247" s="13"/>
      <c r="C247" s="13"/>
    </row>
    <row r="248" spans="1:3" ht="13" x14ac:dyDescent="0.15">
      <c r="A248" s="10"/>
      <c r="B248" s="13"/>
      <c r="C248" s="13"/>
    </row>
    <row r="249" spans="1:3" ht="13" x14ac:dyDescent="0.15">
      <c r="A249" s="10"/>
      <c r="B249" s="13"/>
      <c r="C249" s="13"/>
    </row>
    <row r="250" spans="1:3" ht="13" x14ac:dyDescent="0.15">
      <c r="A250" s="10"/>
      <c r="B250" s="13"/>
      <c r="C250" s="13"/>
    </row>
    <row r="251" spans="1:3" ht="13" x14ac:dyDescent="0.15">
      <c r="A251" s="10"/>
      <c r="B251" s="13"/>
      <c r="C251" s="13"/>
    </row>
    <row r="252" spans="1:3" ht="13" x14ac:dyDescent="0.15">
      <c r="A252" s="10"/>
      <c r="B252" s="13"/>
      <c r="C252" s="13"/>
    </row>
    <row r="253" spans="1:3" ht="13" x14ac:dyDescent="0.15">
      <c r="A253" s="10"/>
      <c r="B253" s="13"/>
      <c r="C253" s="13"/>
    </row>
    <row r="254" spans="1:3" ht="13" x14ac:dyDescent="0.15">
      <c r="A254" s="10"/>
      <c r="B254" s="13"/>
      <c r="C254" s="13"/>
    </row>
    <row r="255" spans="1:3" ht="13" x14ac:dyDescent="0.15">
      <c r="A255" s="10"/>
      <c r="B255" s="13"/>
      <c r="C255" s="13"/>
    </row>
    <row r="256" spans="1:3" ht="13" x14ac:dyDescent="0.15">
      <c r="A256" s="10"/>
      <c r="B256" s="13"/>
      <c r="C256" s="13"/>
    </row>
    <row r="257" spans="1:3" ht="13" x14ac:dyDescent="0.15">
      <c r="A257" s="10"/>
      <c r="B257" s="13"/>
      <c r="C257" s="13"/>
    </row>
    <row r="258" spans="1:3" ht="13" x14ac:dyDescent="0.15">
      <c r="A258" s="10"/>
      <c r="B258" s="13"/>
      <c r="C258" s="13"/>
    </row>
    <row r="259" spans="1:3" ht="13" x14ac:dyDescent="0.15">
      <c r="A259" s="10"/>
      <c r="B259" s="13"/>
      <c r="C259" s="13"/>
    </row>
    <row r="260" spans="1:3" ht="13" x14ac:dyDescent="0.15">
      <c r="A260" s="10"/>
      <c r="B260" s="13"/>
      <c r="C260" s="13"/>
    </row>
    <row r="261" spans="1:3" ht="13" x14ac:dyDescent="0.15">
      <c r="A261" s="10"/>
      <c r="B261" s="13"/>
      <c r="C261" s="13"/>
    </row>
    <row r="262" spans="1:3" ht="13" x14ac:dyDescent="0.15">
      <c r="A262" s="10"/>
      <c r="B262" s="13"/>
      <c r="C262" s="13"/>
    </row>
    <row r="263" spans="1:3" ht="13" x14ac:dyDescent="0.15">
      <c r="A263" s="10"/>
      <c r="B263" s="13"/>
      <c r="C263" s="13"/>
    </row>
    <row r="264" spans="1:3" ht="13" x14ac:dyDescent="0.15">
      <c r="A264" s="10"/>
      <c r="B264" s="13"/>
      <c r="C264" s="13"/>
    </row>
    <row r="265" spans="1:3" ht="13" x14ac:dyDescent="0.15">
      <c r="A265" s="10"/>
      <c r="B265" s="13"/>
      <c r="C265" s="13"/>
    </row>
    <row r="266" spans="1:3" ht="13" x14ac:dyDescent="0.15">
      <c r="A266" s="10"/>
      <c r="B266" s="13"/>
      <c r="C266" s="13"/>
    </row>
    <row r="267" spans="1:3" ht="13" x14ac:dyDescent="0.15">
      <c r="A267" s="10"/>
      <c r="B267" s="13"/>
      <c r="C267" s="13"/>
    </row>
    <row r="268" spans="1:3" ht="13" x14ac:dyDescent="0.15">
      <c r="A268" s="10"/>
      <c r="B268" s="13"/>
      <c r="C268" s="13"/>
    </row>
    <row r="269" spans="1:3" ht="13" x14ac:dyDescent="0.15">
      <c r="A269" s="10"/>
      <c r="B269" s="13"/>
      <c r="C269" s="13"/>
    </row>
    <row r="270" spans="1:3" ht="13" x14ac:dyDescent="0.15">
      <c r="A270" s="10"/>
      <c r="B270" s="13"/>
      <c r="C270" s="13"/>
    </row>
    <row r="271" spans="1:3" ht="13" x14ac:dyDescent="0.15">
      <c r="A271" s="10"/>
      <c r="B271" s="13"/>
      <c r="C271" s="13"/>
    </row>
    <row r="272" spans="1:3" ht="13" x14ac:dyDescent="0.15">
      <c r="A272" s="10"/>
      <c r="B272" s="13"/>
      <c r="C272" s="13"/>
    </row>
    <row r="273" spans="1:3" ht="13" x14ac:dyDescent="0.15">
      <c r="A273" s="10"/>
      <c r="B273" s="13"/>
      <c r="C273" s="13"/>
    </row>
    <row r="274" spans="1:3" ht="13" x14ac:dyDescent="0.15">
      <c r="A274" s="10"/>
      <c r="B274" s="13"/>
      <c r="C274" s="13"/>
    </row>
    <row r="275" spans="1:3" ht="13" x14ac:dyDescent="0.15">
      <c r="A275" s="10"/>
      <c r="B275" s="13"/>
      <c r="C275" s="13"/>
    </row>
    <row r="276" spans="1:3" ht="13" x14ac:dyDescent="0.15">
      <c r="A276" s="10"/>
      <c r="B276" s="13"/>
      <c r="C276" s="13"/>
    </row>
    <row r="277" spans="1:3" ht="13" x14ac:dyDescent="0.15">
      <c r="A277" s="10"/>
      <c r="B277" s="13"/>
      <c r="C277" s="13"/>
    </row>
    <row r="278" spans="1:3" ht="13" x14ac:dyDescent="0.15">
      <c r="A278" s="10"/>
      <c r="B278" s="13"/>
      <c r="C278" s="13"/>
    </row>
    <row r="279" spans="1:3" ht="13" x14ac:dyDescent="0.15">
      <c r="A279" s="10"/>
      <c r="B279" s="13"/>
      <c r="C279" s="13"/>
    </row>
    <row r="280" spans="1:3" ht="13" x14ac:dyDescent="0.15">
      <c r="A280" s="10"/>
      <c r="B280" s="13"/>
      <c r="C280" s="13"/>
    </row>
    <row r="281" spans="1:3" ht="13" x14ac:dyDescent="0.15">
      <c r="A281" s="10"/>
      <c r="B281" s="13"/>
      <c r="C281" s="13"/>
    </row>
    <row r="282" spans="1:3" ht="13" x14ac:dyDescent="0.15">
      <c r="A282" s="10"/>
      <c r="B282" s="13"/>
      <c r="C282" s="13"/>
    </row>
    <row r="283" spans="1:3" ht="13" x14ac:dyDescent="0.15">
      <c r="A283" s="10"/>
      <c r="B283" s="13"/>
      <c r="C283" s="13"/>
    </row>
    <row r="284" spans="1:3" ht="13" x14ac:dyDescent="0.15">
      <c r="A284" s="10"/>
      <c r="B284" s="13"/>
      <c r="C284" s="13"/>
    </row>
    <row r="285" spans="1:3" ht="13" x14ac:dyDescent="0.15">
      <c r="A285" s="10"/>
      <c r="B285" s="13"/>
      <c r="C285" s="13"/>
    </row>
    <row r="286" spans="1:3" ht="13" x14ac:dyDescent="0.15">
      <c r="A286" s="10"/>
      <c r="B286" s="13"/>
      <c r="C286" s="13"/>
    </row>
    <row r="287" spans="1:3" ht="13" x14ac:dyDescent="0.15">
      <c r="A287" s="10"/>
      <c r="B287" s="13"/>
      <c r="C287" s="13"/>
    </row>
    <row r="288" spans="1:3" ht="13" x14ac:dyDescent="0.15">
      <c r="A288" s="10"/>
      <c r="B288" s="13"/>
      <c r="C288" s="13"/>
    </row>
    <row r="289" spans="1:3" ht="13" x14ac:dyDescent="0.15">
      <c r="A289" s="10"/>
      <c r="B289" s="13"/>
      <c r="C289" s="13"/>
    </row>
    <row r="290" spans="1:3" ht="13" x14ac:dyDescent="0.15">
      <c r="A290" s="10"/>
      <c r="B290" s="13"/>
      <c r="C290" s="13"/>
    </row>
    <row r="291" spans="1:3" ht="13" x14ac:dyDescent="0.15">
      <c r="A291" s="10"/>
      <c r="B291" s="13"/>
      <c r="C291" s="13"/>
    </row>
    <row r="292" spans="1:3" ht="13" x14ac:dyDescent="0.15">
      <c r="A292" s="10"/>
      <c r="B292" s="13"/>
      <c r="C292" s="13"/>
    </row>
    <row r="293" spans="1:3" ht="13" x14ac:dyDescent="0.15">
      <c r="A293" s="10"/>
      <c r="B293" s="13"/>
      <c r="C293" s="13"/>
    </row>
    <row r="294" spans="1:3" ht="13" x14ac:dyDescent="0.15">
      <c r="A294" s="10"/>
      <c r="B294" s="13"/>
      <c r="C294" s="13"/>
    </row>
    <row r="295" spans="1:3" ht="13" x14ac:dyDescent="0.15">
      <c r="A295" s="10"/>
      <c r="B295" s="13"/>
      <c r="C295" s="13"/>
    </row>
    <row r="296" spans="1:3" ht="13" x14ac:dyDescent="0.15">
      <c r="A296" s="10"/>
      <c r="B296" s="13"/>
      <c r="C296" s="13"/>
    </row>
    <row r="297" spans="1:3" ht="13" x14ac:dyDescent="0.15">
      <c r="A297" s="10"/>
      <c r="B297" s="13"/>
      <c r="C297" s="13"/>
    </row>
    <row r="298" spans="1:3" ht="13" x14ac:dyDescent="0.15">
      <c r="A298" s="10"/>
      <c r="B298" s="13"/>
      <c r="C298" s="13"/>
    </row>
    <row r="299" spans="1:3" ht="13" x14ac:dyDescent="0.15">
      <c r="A299" s="10"/>
      <c r="B299" s="13"/>
      <c r="C299" s="13"/>
    </row>
    <row r="300" spans="1:3" ht="13" x14ac:dyDescent="0.15">
      <c r="A300" s="10"/>
      <c r="B300" s="13"/>
      <c r="C300" s="13"/>
    </row>
    <row r="301" spans="1:3" ht="13" x14ac:dyDescent="0.15">
      <c r="A301" s="10"/>
      <c r="B301" s="13"/>
      <c r="C301" s="13"/>
    </row>
    <row r="302" spans="1:3" ht="13" x14ac:dyDescent="0.15">
      <c r="A302" s="10"/>
      <c r="B302" s="13"/>
      <c r="C302" s="13"/>
    </row>
    <row r="303" spans="1:3" ht="13" x14ac:dyDescent="0.15">
      <c r="A303" s="10"/>
      <c r="B303" s="13"/>
      <c r="C303" s="13"/>
    </row>
    <row r="304" spans="1:3" ht="13" x14ac:dyDescent="0.15">
      <c r="A304" s="10"/>
      <c r="B304" s="13"/>
      <c r="C304" s="13"/>
    </row>
    <row r="305" spans="1:3" ht="13" x14ac:dyDescent="0.15">
      <c r="A305" s="10"/>
      <c r="B305" s="13"/>
      <c r="C305" s="13"/>
    </row>
    <row r="306" spans="1:3" ht="13" x14ac:dyDescent="0.15">
      <c r="A306" s="10"/>
      <c r="B306" s="13"/>
      <c r="C306" s="13"/>
    </row>
    <row r="307" spans="1:3" ht="13" x14ac:dyDescent="0.15">
      <c r="A307" s="10"/>
      <c r="B307" s="13"/>
      <c r="C307" s="13"/>
    </row>
    <row r="308" spans="1:3" ht="13" x14ac:dyDescent="0.15">
      <c r="A308" s="10"/>
      <c r="B308" s="13"/>
      <c r="C308" s="13"/>
    </row>
    <row r="309" spans="1:3" ht="13" x14ac:dyDescent="0.15">
      <c r="A309" s="10"/>
      <c r="B309" s="13"/>
      <c r="C309" s="13"/>
    </row>
    <row r="310" spans="1:3" ht="13" x14ac:dyDescent="0.15">
      <c r="A310" s="10"/>
      <c r="B310" s="13"/>
      <c r="C310" s="13"/>
    </row>
    <row r="311" spans="1:3" ht="13" x14ac:dyDescent="0.15">
      <c r="A311" s="10"/>
      <c r="B311" s="13"/>
      <c r="C311" s="13"/>
    </row>
    <row r="312" spans="1:3" ht="13" x14ac:dyDescent="0.15">
      <c r="A312" s="10"/>
      <c r="B312" s="13"/>
      <c r="C312" s="13"/>
    </row>
    <row r="313" spans="1:3" ht="13" x14ac:dyDescent="0.15">
      <c r="A313" s="10"/>
      <c r="B313" s="13"/>
      <c r="C313" s="13"/>
    </row>
    <row r="314" spans="1:3" ht="13" x14ac:dyDescent="0.15">
      <c r="A314" s="10"/>
      <c r="B314" s="13"/>
      <c r="C314" s="13"/>
    </row>
    <row r="315" spans="1:3" ht="13" x14ac:dyDescent="0.15">
      <c r="A315" s="10"/>
      <c r="B315" s="13"/>
      <c r="C315" s="13"/>
    </row>
    <row r="316" spans="1:3" ht="13" x14ac:dyDescent="0.15">
      <c r="A316" s="10"/>
      <c r="B316" s="13"/>
      <c r="C316" s="13"/>
    </row>
    <row r="317" spans="1:3" ht="13" x14ac:dyDescent="0.15">
      <c r="A317" s="10"/>
      <c r="B317" s="13"/>
      <c r="C317" s="13"/>
    </row>
    <row r="318" spans="1:3" ht="13" x14ac:dyDescent="0.15">
      <c r="A318" s="10"/>
      <c r="B318" s="13"/>
      <c r="C318" s="13"/>
    </row>
    <row r="319" spans="1:3" ht="13" x14ac:dyDescent="0.15">
      <c r="A319" s="10"/>
      <c r="B319" s="13"/>
      <c r="C319" s="13"/>
    </row>
    <row r="320" spans="1:3" ht="13" x14ac:dyDescent="0.15">
      <c r="A320" s="10"/>
      <c r="B320" s="13"/>
      <c r="C320" s="13"/>
    </row>
    <row r="321" spans="1:3" ht="13" x14ac:dyDescent="0.15">
      <c r="A321" s="10"/>
      <c r="B321" s="13"/>
      <c r="C321" s="13"/>
    </row>
    <row r="322" spans="1:3" ht="13" x14ac:dyDescent="0.15">
      <c r="A322" s="10"/>
      <c r="B322" s="13"/>
      <c r="C322" s="13"/>
    </row>
    <row r="323" spans="1:3" ht="13" x14ac:dyDescent="0.15">
      <c r="A323" s="10"/>
      <c r="B323" s="13"/>
      <c r="C323" s="13"/>
    </row>
    <row r="324" spans="1:3" ht="13" x14ac:dyDescent="0.15">
      <c r="A324" s="10"/>
      <c r="B324" s="13"/>
      <c r="C324" s="13"/>
    </row>
    <row r="325" spans="1:3" ht="13" x14ac:dyDescent="0.15">
      <c r="A325" s="10"/>
      <c r="B325" s="13"/>
      <c r="C325" s="13"/>
    </row>
    <row r="326" spans="1:3" ht="13" x14ac:dyDescent="0.15">
      <c r="A326" s="10"/>
      <c r="B326" s="13"/>
      <c r="C326" s="13"/>
    </row>
    <row r="327" spans="1:3" ht="13" x14ac:dyDescent="0.15">
      <c r="A327" s="10"/>
      <c r="B327" s="13"/>
      <c r="C327" s="13"/>
    </row>
    <row r="328" spans="1:3" ht="13" x14ac:dyDescent="0.15">
      <c r="A328" s="10"/>
      <c r="B328" s="13"/>
      <c r="C328" s="13"/>
    </row>
    <row r="329" spans="1:3" ht="13" x14ac:dyDescent="0.15">
      <c r="A329" s="10"/>
      <c r="B329" s="13"/>
      <c r="C329" s="13"/>
    </row>
    <row r="330" spans="1:3" ht="13" x14ac:dyDescent="0.15">
      <c r="A330" s="10"/>
      <c r="B330" s="13"/>
      <c r="C330" s="13"/>
    </row>
    <row r="331" spans="1:3" ht="13" x14ac:dyDescent="0.15">
      <c r="A331" s="10"/>
      <c r="B331" s="13"/>
      <c r="C331" s="13"/>
    </row>
    <row r="332" spans="1:3" ht="13" x14ac:dyDescent="0.15">
      <c r="A332" s="10"/>
      <c r="B332" s="13"/>
      <c r="C332" s="13"/>
    </row>
    <row r="333" spans="1:3" ht="13" x14ac:dyDescent="0.15">
      <c r="A333" s="10"/>
      <c r="B333" s="13"/>
      <c r="C333" s="13"/>
    </row>
    <row r="334" spans="1:3" ht="13" x14ac:dyDescent="0.15">
      <c r="A334" s="10"/>
      <c r="B334" s="13"/>
      <c r="C334" s="13"/>
    </row>
    <row r="335" spans="1:3" ht="13" x14ac:dyDescent="0.15">
      <c r="A335" s="10"/>
      <c r="B335" s="13"/>
      <c r="C335" s="13"/>
    </row>
    <row r="336" spans="1:3" ht="13" x14ac:dyDescent="0.15">
      <c r="A336" s="10"/>
      <c r="B336" s="13"/>
      <c r="C336" s="13"/>
    </row>
    <row r="337" spans="1:3" ht="13" x14ac:dyDescent="0.15">
      <c r="A337" s="10"/>
      <c r="B337" s="13"/>
      <c r="C337" s="13"/>
    </row>
    <row r="338" spans="1:3" ht="13" x14ac:dyDescent="0.15">
      <c r="A338" s="10"/>
      <c r="B338" s="13"/>
      <c r="C338" s="13"/>
    </row>
    <row r="339" spans="1:3" ht="13" x14ac:dyDescent="0.15">
      <c r="A339" s="10"/>
      <c r="B339" s="13"/>
      <c r="C339" s="13"/>
    </row>
    <row r="340" spans="1:3" ht="13" x14ac:dyDescent="0.15">
      <c r="A340" s="10"/>
      <c r="B340" s="13"/>
      <c r="C340" s="13"/>
    </row>
    <row r="341" spans="1:3" ht="13" x14ac:dyDescent="0.15">
      <c r="A341" s="10"/>
      <c r="B341" s="13"/>
      <c r="C341" s="13"/>
    </row>
    <row r="342" spans="1:3" ht="13" x14ac:dyDescent="0.15">
      <c r="A342" s="10"/>
      <c r="B342" s="13"/>
      <c r="C342" s="13"/>
    </row>
    <row r="343" spans="1:3" ht="13" x14ac:dyDescent="0.15">
      <c r="A343" s="10"/>
      <c r="B343" s="13"/>
      <c r="C343" s="13"/>
    </row>
    <row r="344" spans="1:3" ht="13" x14ac:dyDescent="0.15">
      <c r="A344" s="10"/>
      <c r="B344" s="13"/>
      <c r="C344" s="13"/>
    </row>
    <row r="345" spans="1:3" ht="13" x14ac:dyDescent="0.15">
      <c r="A345" s="10"/>
      <c r="B345" s="13"/>
      <c r="C345" s="13"/>
    </row>
    <row r="346" spans="1:3" ht="13" x14ac:dyDescent="0.15">
      <c r="A346" s="10"/>
      <c r="B346" s="13"/>
      <c r="C346" s="13"/>
    </row>
    <row r="347" spans="1:3" ht="13" x14ac:dyDescent="0.15">
      <c r="A347" s="10"/>
      <c r="B347" s="13"/>
      <c r="C347" s="13"/>
    </row>
    <row r="348" spans="1:3" ht="13" x14ac:dyDescent="0.15">
      <c r="A348" s="10"/>
      <c r="B348" s="13"/>
      <c r="C348" s="13"/>
    </row>
    <row r="349" spans="1:3" ht="13" x14ac:dyDescent="0.15">
      <c r="A349" s="10"/>
      <c r="B349" s="13"/>
      <c r="C349" s="13"/>
    </row>
    <row r="350" spans="1:3" ht="13" x14ac:dyDescent="0.15">
      <c r="A350" s="10"/>
      <c r="B350" s="13"/>
      <c r="C350" s="13"/>
    </row>
    <row r="351" spans="1:3" ht="13" x14ac:dyDescent="0.15">
      <c r="A351" s="10"/>
      <c r="B351" s="13"/>
      <c r="C351" s="13"/>
    </row>
    <row r="352" spans="1:3" ht="13" x14ac:dyDescent="0.15">
      <c r="A352" s="10"/>
      <c r="B352" s="13"/>
      <c r="C352" s="13"/>
    </row>
    <row r="353" spans="1:3" ht="13" x14ac:dyDescent="0.15">
      <c r="A353" s="10"/>
      <c r="B353" s="13"/>
      <c r="C353" s="13"/>
    </row>
    <row r="354" spans="1:3" ht="13" x14ac:dyDescent="0.15">
      <c r="A354" s="10"/>
      <c r="B354" s="13"/>
      <c r="C354" s="13"/>
    </row>
    <row r="355" spans="1:3" ht="13" x14ac:dyDescent="0.15">
      <c r="A355" s="10"/>
      <c r="B355" s="13"/>
      <c r="C355" s="13"/>
    </row>
    <row r="356" spans="1:3" ht="13" x14ac:dyDescent="0.15">
      <c r="A356" s="10"/>
      <c r="B356" s="13"/>
      <c r="C356" s="13"/>
    </row>
    <row r="357" spans="1:3" ht="13" x14ac:dyDescent="0.15">
      <c r="A357" s="10"/>
      <c r="B357" s="13"/>
      <c r="C357" s="13"/>
    </row>
    <row r="358" spans="1:3" ht="13" x14ac:dyDescent="0.15">
      <c r="A358" s="10"/>
      <c r="B358" s="13"/>
      <c r="C358" s="13"/>
    </row>
    <row r="359" spans="1:3" ht="13" x14ac:dyDescent="0.15">
      <c r="A359" s="10"/>
      <c r="B359" s="13"/>
      <c r="C359" s="13"/>
    </row>
    <row r="360" spans="1:3" ht="13" x14ac:dyDescent="0.15">
      <c r="A360" s="10"/>
      <c r="B360" s="13"/>
      <c r="C360" s="13"/>
    </row>
    <row r="361" spans="1:3" ht="13" x14ac:dyDescent="0.15">
      <c r="A361" s="10"/>
      <c r="B361" s="13"/>
      <c r="C361" s="13"/>
    </row>
    <row r="362" spans="1:3" ht="13" x14ac:dyDescent="0.15">
      <c r="A362" s="10"/>
      <c r="B362" s="13"/>
      <c r="C362" s="13"/>
    </row>
    <row r="363" spans="1:3" ht="13" x14ac:dyDescent="0.15">
      <c r="A363" s="10"/>
      <c r="B363" s="13"/>
      <c r="C363" s="13"/>
    </row>
    <row r="364" spans="1:3" ht="13" x14ac:dyDescent="0.15">
      <c r="A364" s="10"/>
      <c r="B364" s="13"/>
      <c r="C364" s="13"/>
    </row>
    <row r="365" spans="1:3" ht="13" x14ac:dyDescent="0.15">
      <c r="A365" s="10"/>
      <c r="B365" s="13"/>
      <c r="C365" s="13"/>
    </row>
    <row r="366" spans="1:3" ht="13" x14ac:dyDescent="0.15">
      <c r="A366" s="10"/>
      <c r="B366" s="13"/>
      <c r="C366" s="13"/>
    </row>
    <row r="367" spans="1:3" ht="13" x14ac:dyDescent="0.15">
      <c r="A367" s="10"/>
      <c r="B367" s="13"/>
      <c r="C367" s="13"/>
    </row>
    <row r="368" spans="1:3" ht="13" x14ac:dyDescent="0.15">
      <c r="A368" s="10"/>
      <c r="B368" s="13"/>
      <c r="C368" s="13"/>
    </row>
    <row r="369" spans="1:3" ht="13" x14ac:dyDescent="0.15">
      <c r="A369" s="10"/>
      <c r="B369" s="13"/>
      <c r="C369" s="13"/>
    </row>
    <row r="370" spans="1:3" ht="13" x14ac:dyDescent="0.15">
      <c r="A370" s="10"/>
      <c r="B370" s="13"/>
      <c r="C370" s="13"/>
    </row>
    <row r="371" spans="1:3" ht="13" x14ac:dyDescent="0.15">
      <c r="A371" s="10"/>
      <c r="B371" s="13"/>
      <c r="C371" s="13"/>
    </row>
    <row r="372" spans="1:3" ht="13" x14ac:dyDescent="0.15">
      <c r="A372" s="10"/>
      <c r="B372" s="13"/>
      <c r="C372" s="13"/>
    </row>
    <row r="373" spans="1:3" ht="13" x14ac:dyDescent="0.15">
      <c r="A373" s="10"/>
      <c r="B373" s="13"/>
      <c r="C373" s="13"/>
    </row>
    <row r="374" spans="1:3" ht="13" x14ac:dyDescent="0.15">
      <c r="A374" s="10"/>
      <c r="B374" s="13"/>
      <c r="C374" s="13"/>
    </row>
    <row r="375" spans="1:3" ht="13" x14ac:dyDescent="0.15">
      <c r="A375" s="10"/>
      <c r="B375" s="13"/>
      <c r="C375" s="13"/>
    </row>
    <row r="376" spans="1:3" ht="13" x14ac:dyDescent="0.15">
      <c r="A376" s="10"/>
      <c r="B376" s="13"/>
      <c r="C376" s="13"/>
    </row>
    <row r="377" spans="1:3" ht="13" x14ac:dyDescent="0.15">
      <c r="A377" s="10"/>
      <c r="B377" s="13"/>
      <c r="C377" s="13"/>
    </row>
    <row r="378" spans="1:3" ht="13" x14ac:dyDescent="0.15">
      <c r="A378" s="10"/>
      <c r="B378" s="13"/>
      <c r="C378" s="13"/>
    </row>
    <row r="379" spans="1:3" ht="13" x14ac:dyDescent="0.15">
      <c r="A379" s="10"/>
      <c r="B379" s="13"/>
      <c r="C379" s="13"/>
    </row>
    <row r="380" spans="1:3" ht="13" x14ac:dyDescent="0.15">
      <c r="A380" s="10"/>
      <c r="B380" s="13"/>
      <c r="C380" s="13"/>
    </row>
    <row r="381" spans="1:3" ht="13" x14ac:dyDescent="0.15">
      <c r="A381" s="10"/>
      <c r="B381" s="13"/>
      <c r="C381" s="13"/>
    </row>
    <row r="382" spans="1:3" ht="13" x14ac:dyDescent="0.15">
      <c r="A382" s="10"/>
      <c r="B382" s="13"/>
      <c r="C382" s="13"/>
    </row>
    <row r="383" spans="1:3" ht="13" x14ac:dyDescent="0.15">
      <c r="A383" s="10"/>
      <c r="B383" s="13"/>
      <c r="C383" s="13"/>
    </row>
    <row r="384" spans="1:3" ht="13" x14ac:dyDescent="0.15">
      <c r="A384" s="10"/>
      <c r="B384" s="13"/>
      <c r="C384" s="13"/>
    </row>
    <row r="385" spans="1:3" ht="13" x14ac:dyDescent="0.15">
      <c r="A385" s="10"/>
      <c r="B385" s="13"/>
      <c r="C385" s="13"/>
    </row>
    <row r="386" spans="1:3" ht="13" x14ac:dyDescent="0.15">
      <c r="A386" s="10"/>
      <c r="B386" s="13"/>
      <c r="C386" s="13"/>
    </row>
    <row r="387" spans="1:3" ht="13" x14ac:dyDescent="0.15">
      <c r="A387" s="10"/>
      <c r="B387" s="13"/>
      <c r="C387" s="13"/>
    </row>
    <row r="388" spans="1:3" ht="13" x14ac:dyDescent="0.15">
      <c r="A388" s="10"/>
      <c r="B388" s="13"/>
      <c r="C388" s="13"/>
    </row>
    <row r="389" spans="1:3" ht="13" x14ac:dyDescent="0.15">
      <c r="A389" s="10"/>
      <c r="B389" s="13"/>
      <c r="C389" s="13"/>
    </row>
    <row r="390" spans="1:3" ht="13" x14ac:dyDescent="0.15">
      <c r="A390" s="10"/>
      <c r="B390" s="13"/>
      <c r="C390" s="13"/>
    </row>
    <row r="391" spans="1:3" ht="13" x14ac:dyDescent="0.15">
      <c r="A391" s="10"/>
      <c r="B391" s="13"/>
      <c r="C391" s="13"/>
    </row>
    <row r="392" spans="1:3" ht="13" x14ac:dyDescent="0.15">
      <c r="A392" s="10"/>
      <c r="B392" s="13"/>
      <c r="C392" s="13"/>
    </row>
    <row r="393" spans="1:3" ht="13" x14ac:dyDescent="0.15">
      <c r="A393" s="10"/>
      <c r="B393" s="13"/>
      <c r="C393" s="13"/>
    </row>
    <row r="394" spans="1:3" ht="13" x14ac:dyDescent="0.15">
      <c r="A394" s="10"/>
      <c r="B394" s="13"/>
      <c r="C394" s="13"/>
    </row>
    <row r="395" spans="1:3" ht="13" x14ac:dyDescent="0.15">
      <c r="A395" s="10"/>
      <c r="B395" s="13"/>
      <c r="C395" s="13"/>
    </row>
    <row r="396" spans="1:3" ht="13" x14ac:dyDescent="0.15">
      <c r="A396" s="10"/>
      <c r="B396" s="13"/>
      <c r="C396" s="13"/>
    </row>
    <row r="397" spans="1:3" ht="13" x14ac:dyDescent="0.15">
      <c r="A397" s="10"/>
      <c r="B397" s="13"/>
      <c r="C397" s="13"/>
    </row>
    <row r="398" spans="1:3" ht="13" x14ac:dyDescent="0.15">
      <c r="A398" s="10"/>
      <c r="B398" s="13"/>
      <c r="C398" s="13"/>
    </row>
    <row r="399" spans="1:3" ht="13" x14ac:dyDescent="0.15">
      <c r="A399" s="10"/>
      <c r="B399" s="13"/>
      <c r="C399" s="13"/>
    </row>
    <row r="400" spans="1:3" ht="13" x14ac:dyDescent="0.15">
      <c r="A400" s="10"/>
      <c r="B400" s="13"/>
      <c r="C400" s="13"/>
    </row>
    <row r="401" spans="1:3" ht="13" x14ac:dyDescent="0.15">
      <c r="A401" s="10"/>
      <c r="B401" s="13"/>
      <c r="C401" s="13"/>
    </row>
    <row r="402" spans="1:3" ht="13" x14ac:dyDescent="0.15">
      <c r="A402" s="10"/>
      <c r="B402" s="13"/>
      <c r="C402" s="13"/>
    </row>
    <row r="403" spans="1:3" ht="13" x14ac:dyDescent="0.15">
      <c r="A403" s="10"/>
      <c r="B403" s="13"/>
      <c r="C403" s="13"/>
    </row>
    <row r="404" spans="1:3" ht="13" x14ac:dyDescent="0.15">
      <c r="A404" s="10"/>
      <c r="B404" s="13"/>
      <c r="C404" s="13"/>
    </row>
    <row r="405" spans="1:3" ht="13" x14ac:dyDescent="0.15">
      <c r="A405" s="10"/>
      <c r="B405" s="13"/>
      <c r="C405" s="13"/>
    </row>
    <row r="406" spans="1:3" ht="13" x14ac:dyDescent="0.15">
      <c r="A406" s="10"/>
      <c r="B406" s="13"/>
      <c r="C406" s="13"/>
    </row>
    <row r="407" spans="1:3" ht="13" x14ac:dyDescent="0.15">
      <c r="A407" s="10"/>
      <c r="B407" s="13"/>
      <c r="C407" s="13"/>
    </row>
    <row r="408" spans="1:3" ht="13" x14ac:dyDescent="0.15">
      <c r="A408" s="10"/>
      <c r="B408" s="13"/>
      <c r="C408" s="13"/>
    </row>
    <row r="409" spans="1:3" ht="13" x14ac:dyDescent="0.15">
      <c r="A409" s="10"/>
      <c r="B409" s="13"/>
      <c r="C409" s="13"/>
    </row>
    <row r="410" spans="1:3" ht="13" x14ac:dyDescent="0.15">
      <c r="A410" s="10"/>
      <c r="B410" s="13"/>
      <c r="C410" s="13"/>
    </row>
    <row r="411" spans="1:3" ht="13" x14ac:dyDescent="0.15">
      <c r="A411" s="10"/>
      <c r="B411" s="13"/>
      <c r="C411" s="13"/>
    </row>
    <row r="412" spans="1:3" ht="13" x14ac:dyDescent="0.15">
      <c r="A412" s="10"/>
      <c r="B412" s="13"/>
      <c r="C412" s="13"/>
    </row>
    <row r="413" spans="1:3" ht="13" x14ac:dyDescent="0.15">
      <c r="A413" s="10"/>
      <c r="B413" s="13"/>
      <c r="C413" s="13"/>
    </row>
    <row r="414" spans="1:3" ht="13" x14ac:dyDescent="0.15">
      <c r="A414" s="10"/>
      <c r="B414" s="13"/>
      <c r="C414" s="13"/>
    </row>
    <row r="415" spans="1:3" ht="13" x14ac:dyDescent="0.15">
      <c r="A415" s="10"/>
      <c r="B415" s="13"/>
      <c r="C415" s="13"/>
    </row>
    <row r="416" spans="1:3" ht="13" x14ac:dyDescent="0.15">
      <c r="A416" s="10"/>
      <c r="B416" s="13"/>
      <c r="C416" s="13"/>
    </row>
    <row r="417" spans="1:3" ht="13" x14ac:dyDescent="0.15">
      <c r="A417" s="10"/>
      <c r="B417" s="13"/>
      <c r="C417" s="13"/>
    </row>
    <row r="418" spans="1:3" ht="13" x14ac:dyDescent="0.15">
      <c r="A418" s="10"/>
      <c r="B418" s="13"/>
      <c r="C418" s="13"/>
    </row>
    <row r="419" spans="1:3" ht="13" x14ac:dyDescent="0.15">
      <c r="A419" s="10"/>
      <c r="B419" s="13"/>
      <c r="C419" s="13"/>
    </row>
    <row r="420" spans="1:3" ht="13" x14ac:dyDescent="0.15">
      <c r="A420" s="10"/>
      <c r="B420" s="13"/>
      <c r="C420" s="13"/>
    </row>
    <row r="421" spans="1:3" ht="13" x14ac:dyDescent="0.15">
      <c r="A421" s="10"/>
      <c r="B421" s="13"/>
      <c r="C421" s="13"/>
    </row>
    <row r="422" spans="1:3" ht="13" x14ac:dyDescent="0.15">
      <c r="A422" s="10"/>
      <c r="B422" s="13"/>
      <c r="C422" s="13"/>
    </row>
    <row r="423" spans="1:3" ht="13" x14ac:dyDescent="0.15">
      <c r="A423" s="10"/>
      <c r="B423" s="13"/>
      <c r="C423" s="13"/>
    </row>
    <row r="424" spans="1:3" ht="13" x14ac:dyDescent="0.15">
      <c r="A424" s="10"/>
      <c r="B424" s="13"/>
      <c r="C424" s="13"/>
    </row>
    <row r="425" spans="1:3" ht="13" x14ac:dyDescent="0.15">
      <c r="A425" s="10"/>
      <c r="B425" s="13"/>
      <c r="C425" s="13"/>
    </row>
    <row r="426" spans="1:3" ht="13" x14ac:dyDescent="0.15">
      <c r="A426" s="10"/>
      <c r="B426" s="13"/>
      <c r="C426" s="13"/>
    </row>
    <row r="427" spans="1:3" ht="13" x14ac:dyDescent="0.15">
      <c r="A427" s="10"/>
      <c r="B427" s="13"/>
      <c r="C427" s="13"/>
    </row>
    <row r="428" spans="1:3" ht="13" x14ac:dyDescent="0.15">
      <c r="A428" s="10"/>
      <c r="B428" s="13"/>
      <c r="C428" s="13"/>
    </row>
    <row r="429" spans="1:3" ht="13" x14ac:dyDescent="0.15">
      <c r="A429" s="10"/>
      <c r="B429" s="13"/>
      <c r="C429" s="13"/>
    </row>
    <row r="430" spans="1:3" ht="13" x14ac:dyDescent="0.15">
      <c r="A430" s="10"/>
      <c r="B430" s="13"/>
      <c r="C430" s="13"/>
    </row>
    <row r="431" spans="1:3" ht="13" x14ac:dyDescent="0.15">
      <c r="A431" s="10"/>
      <c r="B431" s="13"/>
      <c r="C431" s="13"/>
    </row>
    <row r="432" spans="1:3" ht="13" x14ac:dyDescent="0.15">
      <c r="A432" s="10"/>
      <c r="B432" s="13"/>
      <c r="C432" s="13"/>
    </row>
    <row r="433" spans="1:3" ht="13" x14ac:dyDescent="0.15">
      <c r="A433" s="10"/>
      <c r="B433" s="13"/>
      <c r="C433" s="13"/>
    </row>
    <row r="434" spans="1:3" ht="13" x14ac:dyDescent="0.15">
      <c r="A434" s="10"/>
      <c r="B434" s="13"/>
      <c r="C434" s="13"/>
    </row>
    <row r="435" spans="1:3" ht="13" x14ac:dyDescent="0.15">
      <c r="A435" s="10"/>
      <c r="B435" s="13"/>
      <c r="C435" s="13"/>
    </row>
    <row r="436" spans="1:3" ht="13" x14ac:dyDescent="0.15">
      <c r="A436" s="10"/>
      <c r="B436" s="13"/>
      <c r="C436" s="13"/>
    </row>
    <row r="437" spans="1:3" ht="13" x14ac:dyDescent="0.15">
      <c r="A437" s="10"/>
      <c r="B437" s="13"/>
      <c r="C437" s="13"/>
    </row>
    <row r="438" spans="1:3" ht="13" x14ac:dyDescent="0.15">
      <c r="A438" s="10"/>
      <c r="B438" s="13"/>
      <c r="C438" s="13"/>
    </row>
    <row r="439" spans="1:3" ht="13" x14ac:dyDescent="0.15">
      <c r="A439" s="10"/>
      <c r="B439" s="13"/>
      <c r="C439" s="13"/>
    </row>
    <row r="440" spans="1:3" ht="13" x14ac:dyDescent="0.15">
      <c r="A440" s="10"/>
      <c r="B440" s="13"/>
      <c r="C440" s="13"/>
    </row>
    <row r="441" spans="1:3" ht="13" x14ac:dyDescent="0.15">
      <c r="A441" s="10"/>
      <c r="B441" s="13"/>
      <c r="C441" s="13"/>
    </row>
    <row r="442" spans="1:3" ht="13" x14ac:dyDescent="0.15">
      <c r="A442" s="10"/>
      <c r="B442" s="13"/>
      <c r="C442" s="13"/>
    </row>
    <row r="443" spans="1:3" ht="13" x14ac:dyDescent="0.15">
      <c r="A443" s="10"/>
      <c r="B443" s="13"/>
      <c r="C443" s="13"/>
    </row>
    <row r="444" spans="1:3" ht="13" x14ac:dyDescent="0.15">
      <c r="A444" s="10"/>
      <c r="B444" s="13"/>
      <c r="C444" s="13"/>
    </row>
    <row r="445" spans="1:3" ht="13" x14ac:dyDescent="0.15">
      <c r="A445" s="10"/>
      <c r="B445" s="13"/>
      <c r="C445" s="13"/>
    </row>
    <row r="446" spans="1:3" ht="13" x14ac:dyDescent="0.15">
      <c r="A446" s="10"/>
      <c r="B446" s="13"/>
      <c r="C446" s="13"/>
    </row>
    <row r="447" spans="1:3" ht="13" x14ac:dyDescent="0.15">
      <c r="A447" s="10"/>
      <c r="B447" s="13"/>
      <c r="C447" s="13"/>
    </row>
    <row r="448" spans="1:3" ht="13" x14ac:dyDescent="0.15">
      <c r="A448" s="10"/>
      <c r="B448" s="13"/>
      <c r="C448" s="13"/>
    </row>
    <row r="449" spans="1:3" ht="13" x14ac:dyDescent="0.15">
      <c r="A449" s="10"/>
      <c r="B449" s="13"/>
      <c r="C449" s="13"/>
    </row>
    <row r="450" spans="1:3" ht="13" x14ac:dyDescent="0.15">
      <c r="A450" s="10"/>
      <c r="B450" s="13"/>
      <c r="C450" s="13"/>
    </row>
    <row r="451" spans="1:3" ht="13" x14ac:dyDescent="0.15">
      <c r="A451" s="10"/>
      <c r="B451" s="13"/>
      <c r="C451" s="13"/>
    </row>
    <row r="452" spans="1:3" ht="13" x14ac:dyDescent="0.15">
      <c r="A452" s="10"/>
      <c r="B452" s="13"/>
      <c r="C452" s="13"/>
    </row>
    <row r="453" spans="1:3" ht="13" x14ac:dyDescent="0.15">
      <c r="A453" s="10"/>
      <c r="B453" s="13"/>
      <c r="C453" s="13"/>
    </row>
    <row r="454" spans="1:3" ht="13" x14ac:dyDescent="0.15">
      <c r="A454" s="10"/>
      <c r="B454" s="13"/>
      <c r="C454" s="13"/>
    </row>
    <row r="455" spans="1:3" ht="13" x14ac:dyDescent="0.15">
      <c r="A455" s="10"/>
      <c r="B455" s="13"/>
      <c r="C455" s="13"/>
    </row>
    <row r="456" spans="1:3" ht="13" x14ac:dyDescent="0.15">
      <c r="A456" s="10"/>
      <c r="B456" s="13"/>
      <c r="C456" s="13"/>
    </row>
    <row r="457" spans="1:3" ht="13" x14ac:dyDescent="0.15">
      <c r="A457" s="10"/>
      <c r="B457" s="13"/>
      <c r="C457" s="13"/>
    </row>
    <row r="458" spans="1:3" ht="13" x14ac:dyDescent="0.15">
      <c r="A458" s="10"/>
      <c r="B458" s="13"/>
      <c r="C458" s="13"/>
    </row>
    <row r="459" spans="1:3" ht="13" x14ac:dyDescent="0.15">
      <c r="A459" s="10"/>
      <c r="B459" s="13"/>
      <c r="C459" s="13"/>
    </row>
    <row r="460" spans="1:3" ht="13" x14ac:dyDescent="0.15">
      <c r="A460" s="10"/>
      <c r="B460" s="13"/>
      <c r="C460" s="13"/>
    </row>
    <row r="461" spans="1:3" ht="13" x14ac:dyDescent="0.15">
      <c r="A461" s="10"/>
      <c r="B461" s="13"/>
      <c r="C461" s="13"/>
    </row>
    <row r="462" spans="1:3" ht="13" x14ac:dyDescent="0.15">
      <c r="A462" s="10"/>
      <c r="B462" s="13"/>
      <c r="C462" s="13"/>
    </row>
    <row r="463" spans="1:3" ht="13" x14ac:dyDescent="0.15">
      <c r="A463" s="10"/>
      <c r="B463" s="13"/>
      <c r="C463" s="13"/>
    </row>
    <row r="464" spans="1:3" ht="13" x14ac:dyDescent="0.15">
      <c r="A464" s="10"/>
      <c r="B464" s="13"/>
      <c r="C464" s="13"/>
    </row>
    <row r="465" spans="1:3" ht="13" x14ac:dyDescent="0.15">
      <c r="A465" s="10"/>
      <c r="B465" s="13"/>
      <c r="C465" s="13"/>
    </row>
    <row r="466" spans="1:3" ht="13" x14ac:dyDescent="0.15">
      <c r="A466" s="10"/>
      <c r="B466" s="13"/>
      <c r="C466" s="13"/>
    </row>
    <row r="467" spans="1:3" ht="13" x14ac:dyDescent="0.15">
      <c r="A467" s="10"/>
      <c r="B467" s="13"/>
      <c r="C467" s="13"/>
    </row>
    <row r="468" spans="1:3" ht="13" x14ac:dyDescent="0.15">
      <c r="A468" s="10"/>
      <c r="B468" s="13"/>
      <c r="C468" s="13"/>
    </row>
    <row r="469" spans="1:3" ht="13" x14ac:dyDescent="0.15">
      <c r="A469" s="10"/>
      <c r="B469" s="13"/>
      <c r="C469" s="13"/>
    </row>
    <row r="470" spans="1:3" ht="13" x14ac:dyDescent="0.15">
      <c r="A470" s="10"/>
      <c r="B470" s="13"/>
      <c r="C470" s="13"/>
    </row>
    <row r="471" spans="1:3" ht="13" x14ac:dyDescent="0.15">
      <c r="A471" s="10"/>
      <c r="B471" s="13"/>
      <c r="C471" s="13"/>
    </row>
    <row r="472" spans="1:3" ht="13" x14ac:dyDescent="0.15">
      <c r="A472" s="10"/>
      <c r="B472" s="13"/>
      <c r="C472" s="13"/>
    </row>
    <row r="473" spans="1:3" ht="13" x14ac:dyDescent="0.15">
      <c r="A473" s="10"/>
      <c r="B473" s="13"/>
      <c r="C473" s="13"/>
    </row>
    <row r="474" spans="1:3" ht="13" x14ac:dyDescent="0.15">
      <c r="A474" s="10"/>
      <c r="B474" s="13"/>
      <c r="C474" s="13"/>
    </row>
    <row r="475" spans="1:3" ht="13" x14ac:dyDescent="0.15">
      <c r="A475" s="10"/>
      <c r="B475" s="13"/>
      <c r="C475" s="13"/>
    </row>
    <row r="476" spans="1:3" ht="13" x14ac:dyDescent="0.15">
      <c r="A476" s="10"/>
      <c r="B476" s="13"/>
      <c r="C476" s="13"/>
    </row>
    <row r="477" spans="1:3" ht="13" x14ac:dyDescent="0.15">
      <c r="A477" s="10"/>
      <c r="B477" s="13"/>
      <c r="C477" s="13"/>
    </row>
    <row r="478" spans="1:3" ht="13" x14ac:dyDescent="0.15">
      <c r="A478" s="10"/>
      <c r="B478" s="13"/>
      <c r="C478" s="13"/>
    </row>
    <row r="479" spans="1:3" ht="13" x14ac:dyDescent="0.15">
      <c r="A479" s="10"/>
      <c r="B479" s="13"/>
      <c r="C479" s="13"/>
    </row>
    <row r="480" spans="1:3" ht="13" x14ac:dyDescent="0.15">
      <c r="A480" s="10"/>
      <c r="B480" s="13"/>
      <c r="C480" s="13"/>
    </row>
    <row r="481" spans="1:3" ht="13" x14ac:dyDescent="0.15">
      <c r="A481" s="10"/>
      <c r="B481" s="13"/>
      <c r="C481" s="13"/>
    </row>
    <row r="482" spans="1:3" ht="13" x14ac:dyDescent="0.15">
      <c r="A482" s="10"/>
      <c r="B482" s="13"/>
      <c r="C482" s="13"/>
    </row>
    <row r="483" spans="1:3" ht="13" x14ac:dyDescent="0.15">
      <c r="A483" s="10"/>
      <c r="B483" s="13"/>
      <c r="C483" s="13"/>
    </row>
    <row r="484" spans="1:3" ht="13" x14ac:dyDescent="0.15">
      <c r="A484" s="10"/>
      <c r="B484" s="13"/>
      <c r="C484" s="13"/>
    </row>
    <row r="485" spans="1:3" ht="13" x14ac:dyDescent="0.15">
      <c r="A485" s="10"/>
      <c r="B485" s="13"/>
      <c r="C485" s="13"/>
    </row>
    <row r="486" spans="1:3" ht="13" x14ac:dyDescent="0.15">
      <c r="A486" s="10"/>
      <c r="B486" s="13"/>
      <c r="C486" s="13"/>
    </row>
    <row r="487" spans="1:3" ht="13" x14ac:dyDescent="0.15">
      <c r="A487" s="10"/>
      <c r="B487" s="13"/>
      <c r="C487" s="13"/>
    </row>
    <row r="488" spans="1:3" ht="13" x14ac:dyDescent="0.15">
      <c r="A488" s="10"/>
      <c r="B488" s="13"/>
      <c r="C488" s="13"/>
    </row>
    <row r="489" spans="1:3" ht="13" x14ac:dyDescent="0.15">
      <c r="A489" s="10"/>
      <c r="B489" s="13"/>
      <c r="C489" s="13"/>
    </row>
    <row r="490" spans="1:3" ht="13" x14ac:dyDescent="0.15">
      <c r="A490" s="10"/>
      <c r="B490" s="13"/>
      <c r="C490" s="13"/>
    </row>
    <row r="491" spans="1:3" ht="13" x14ac:dyDescent="0.15">
      <c r="A491" s="10"/>
      <c r="B491" s="13"/>
      <c r="C491" s="13"/>
    </row>
    <row r="492" spans="1:3" ht="13" x14ac:dyDescent="0.15">
      <c r="A492" s="10"/>
      <c r="B492" s="13"/>
      <c r="C492" s="13"/>
    </row>
    <row r="493" spans="1:3" ht="13" x14ac:dyDescent="0.15">
      <c r="A493" s="10"/>
      <c r="B493" s="13"/>
      <c r="C493" s="13"/>
    </row>
    <row r="494" spans="1:3" ht="13" x14ac:dyDescent="0.15">
      <c r="A494" s="10"/>
      <c r="B494" s="13"/>
      <c r="C494" s="13"/>
    </row>
    <row r="495" spans="1:3" ht="13" x14ac:dyDescent="0.15">
      <c r="A495" s="10"/>
      <c r="B495" s="13"/>
      <c r="C495" s="13"/>
    </row>
    <row r="496" spans="1:3" ht="13" x14ac:dyDescent="0.15">
      <c r="A496" s="10"/>
      <c r="B496" s="13"/>
      <c r="C496" s="13"/>
    </row>
    <row r="497" spans="1:3" ht="13" x14ac:dyDescent="0.15">
      <c r="A497" s="10"/>
      <c r="B497" s="13"/>
      <c r="C497" s="13"/>
    </row>
    <row r="498" spans="1:3" ht="13" x14ac:dyDescent="0.15">
      <c r="A498" s="10"/>
      <c r="B498" s="13"/>
      <c r="C498" s="13"/>
    </row>
    <row r="499" spans="1:3" ht="13" x14ac:dyDescent="0.15">
      <c r="A499" s="10"/>
      <c r="B499" s="13"/>
      <c r="C499" s="13"/>
    </row>
    <row r="500" spans="1:3" ht="13" x14ac:dyDescent="0.15">
      <c r="A500" s="10"/>
      <c r="B500" s="13"/>
      <c r="C500" s="13"/>
    </row>
    <row r="501" spans="1:3" ht="13" x14ac:dyDescent="0.15">
      <c r="A501" s="10"/>
      <c r="B501" s="13"/>
      <c r="C501" s="13"/>
    </row>
    <row r="502" spans="1:3" ht="13" x14ac:dyDescent="0.15">
      <c r="A502" s="10"/>
      <c r="B502" s="13"/>
      <c r="C502" s="13"/>
    </row>
    <row r="503" spans="1:3" ht="13" x14ac:dyDescent="0.15">
      <c r="A503" s="10"/>
      <c r="B503" s="13"/>
      <c r="C503" s="13"/>
    </row>
    <row r="504" spans="1:3" ht="13" x14ac:dyDescent="0.15">
      <c r="A504" s="10"/>
      <c r="B504" s="13"/>
      <c r="C504" s="13"/>
    </row>
    <row r="505" spans="1:3" ht="13" x14ac:dyDescent="0.15">
      <c r="A505" s="10"/>
      <c r="B505" s="13"/>
      <c r="C505" s="13"/>
    </row>
    <row r="506" spans="1:3" ht="13" x14ac:dyDescent="0.15">
      <c r="A506" s="10"/>
      <c r="B506" s="13"/>
      <c r="C506" s="13"/>
    </row>
    <row r="507" spans="1:3" ht="13" x14ac:dyDescent="0.15">
      <c r="A507" s="10"/>
      <c r="B507" s="13"/>
      <c r="C507" s="13"/>
    </row>
    <row r="508" spans="1:3" ht="13" x14ac:dyDescent="0.15">
      <c r="A508" s="10"/>
      <c r="B508" s="13"/>
      <c r="C508" s="13"/>
    </row>
    <row r="509" spans="1:3" ht="13" x14ac:dyDescent="0.15">
      <c r="A509" s="10"/>
      <c r="B509" s="13"/>
      <c r="C509" s="13"/>
    </row>
    <row r="510" spans="1:3" ht="13" x14ac:dyDescent="0.15">
      <c r="A510" s="10"/>
      <c r="B510" s="13"/>
      <c r="C510" s="13"/>
    </row>
    <row r="511" spans="1:3" ht="13" x14ac:dyDescent="0.15">
      <c r="A511" s="10"/>
      <c r="B511" s="13"/>
      <c r="C511" s="13"/>
    </row>
    <row r="512" spans="1:3" ht="13" x14ac:dyDescent="0.15">
      <c r="A512" s="10"/>
      <c r="B512" s="13"/>
      <c r="C512" s="13"/>
    </row>
    <row r="513" spans="1:3" ht="13" x14ac:dyDescent="0.15">
      <c r="A513" s="10"/>
      <c r="B513" s="13"/>
      <c r="C513" s="13"/>
    </row>
    <row r="514" spans="1:3" ht="13" x14ac:dyDescent="0.15">
      <c r="A514" s="10"/>
      <c r="B514" s="13"/>
      <c r="C514" s="13"/>
    </row>
    <row r="515" spans="1:3" ht="13" x14ac:dyDescent="0.15">
      <c r="A515" s="10"/>
      <c r="B515" s="13"/>
      <c r="C515" s="13"/>
    </row>
    <row r="516" spans="1:3" ht="13" x14ac:dyDescent="0.15">
      <c r="A516" s="10"/>
      <c r="B516" s="13"/>
      <c r="C516" s="13"/>
    </row>
    <row r="517" spans="1:3" ht="13" x14ac:dyDescent="0.15">
      <c r="A517" s="10"/>
      <c r="B517" s="13"/>
      <c r="C517" s="13"/>
    </row>
    <row r="518" spans="1:3" ht="13" x14ac:dyDescent="0.15">
      <c r="A518" s="10"/>
      <c r="B518" s="13"/>
      <c r="C518" s="13"/>
    </row>
    <row r="519" spans="1:3" ht="13" x14ac:dyDescent="0.15">
      <c r="A519" s="10"/>
      <c r="B519" s="13"/>
      <c r="C519" s="13"/>
    </row>
    <row r="520" spans="1:3" ht="13" x14ac:dyDescent="0.15">
      <c r="A520" s="10"/>
      <c r="B520" s="13"/>
      <c r="C520" s="13"/>
    </row>
    <row r="521" spans="1:3" ht="13" x14ac:dyDescent="0.15">
      <c r="A521" s="10"/>
      <c r="B521" s="13"/>
      <c r="C521" s="13"/>
    </row>
    <row r="522" spans="1:3" ht="13" x14ac:dyDescent="0.15">
      <c r="A522" s="10"/>
      <c r="B522" s="13"/>
      <c r="C522" s="13"/>
    </row>
    <row r="523" spans="1:3" ht="13" x14ac:dyDescent="0.15">
      <c r="A523" s="10"/>
      <c r="B523" s="13"/>
      <c r="C523" s="13"/>
    </row>
    <row r="524" spans="1:3" ht="13" x14ac:dyDescent="0.15">
      <c r="A524" s="10"/>
      <c r="B524" s="13"/>
      <c r="C524" s="13"/>
    </row>
    <row r="525" spans="1:3" ht="13" x14ac:dyDescent="0.15">
      <c r="A525" s="10"/>
      <c r="B525" s="13"/>
      <c r="C525" s="13"/>
    </row>
    <row r="526" spans="1:3" ht="13" x14ac:dyDescent="0.15">
      <c r="A526" s="10"/>
      <c r="B526" s="13"/>
      <c r="C526" s="13"/>
    </row>
    <row r="527" spans="1:3" ht="13" x14ac:dyDescent="0.15">
      <c r="A527" s="10"/>
      <c r="B527" s="13"/>
      <c r="C527" s="13"/>
    </row>
    <row r="528" spans="1:3" ht="13" x14ac:dyDescent="0.15">
      <c r="A528" s="10"/>
      <c r="B528" s="13"/>
      <c r="C528" s="13"/>
    </row>
    <row r="529" spans="1:3" ht="13" x14ac:dyDescent="0.15">
      <c r="A529" s="10"/>
      <c r="B529" s="13"/>
      <c r="C529" s="13"/>
    </row>
    <row r="530" spans="1:3" ht="13" x14ac:dyDescent="0.15">
      <c r="A530" s="10"/>
      <c r="B530" s="13"/>
      <c r="C530" s="13"/>
    </row>
    <row r="531" spans="1:3" ht="13" x14ac:dyDescent="0.15">
      <c r="A531" s="10"/>
      <c r="B531" s="13"/>
      <c r="C531" s="13"/>
    </row>
    <row r="532" spans="1:3" ht="13" x14ac:dyDescent="0.15">
      <c r="A532" s="10"/>
      <c r="B532" s="13"/>
      <c r="C532" s="13"/>
    </row>
    <row r="533" spans="1:3" ht="13" x14ac:dyDescent="0.15">
      <c r="A533" s="10"/>
      <c r="B533" s="13"/>
      <c r="C533" s="13"/>
    </row>
    <row r="534" spans="1:3" ht="13" x14ac:dyDescent="0.15">
      <c r="A534" s="10"/>
      <c r="B534" s="13"/>
      <c r="C534" s="13"/>
    </row>
    <row r="535" spans="1:3" ht="13" x14ac:dyDescent="0.15">
      <c r="A535" s="10"/>
      <c r="B535" s="13"/>
      <c r="C535" s="13"/>
    </row>
    <row r="536" spans="1:3" ht="13" x14ac:dyDescent="0.15">
      <c r="A536" s="10"/>
      <c r="B536" s="13"/>
      <c r="C536" s="13"/>
    </row>
    <row r="537" spans="1:3" ht="13" x14ac:dyDescent="0.15">
      <c r="A537" s="10"/>
      <c r="B537" s="13"/>
      <c r="C537" s="13"/>
    </row>
    <row r="538" spans="1:3" ht="13" x14ac:dyDescent="0.15">
      <c r="A538" s="10"/>
      <c r="B538" s="13"/>
      <c r="C538" s="13"/>
    </row>
    <row r="539" spans="1:3" ht="13" x14ac:dyDescent="0.15">
      <c r="A539" s="10"/>
      <c r="B539" s="13"/>
      <c r="C539" s="13"/>
    </row>
    <row r="540" spans="1:3" ht="13" x14ac:dyDescent="0.15">
      <c r="A540" s="10"/>
      <c r="B540" s="13"/>
      <c r="C540" s="13"/>
    </row>
    <row r="541" spans="1:3" ht="13" x14ac:dyDescent="0.15">
      <c r="A541" s="10"/>
      <c r="B541" s="13"/>
      <c r="C541" s="13"/>
    </row>
    <row r="542" spans="1:3" ht="13" x14ac:dyDescent="0.15">
      <c r="A542" s="10"/>
      <c r="B542" s="13"/>
      <c r="C542" s="13"/>
    </row>
    <row r="543" spans="1:3" ht="13" x14ac:dyDescent="0.15">
      <c r="A543" s="10"/>
      <c r="B543" s="13"/>
      <c r="C543" s="13"/>
    </row>
    <row r="544" spans="1:3" ht="13" x14ac:dyDescent="0.15">
      <c r="A544" s="10"/>
      <c r="B544" s="13"/>
      <c r="C544" s="13"/>
    </row>
    <row r="545" spans="1:3" ht="13" x14ac:dyDescent="0.15">
      <c r="A545" s="10"/>
      <c r="B545" s="13"/>
      <c r="C545" s="13"/>
    </row>
    <row r="546" spans="1:3" ht="13" x14ac:dyDescent="0.15">
      <c r="A546" s="10"/>
      <c r="B546" s="13"/>
      <c r="C546" s="13"/>
    </row>
    <row r="547" spans="1:3" ht="13" x14ac:dyDescent="0.15">
      <c r="A547" s="10"/>
      <c r="B547" s="13"/>
      <c r="C547" s="13"/>
    </row>
    <row r="548" spans="1:3" ht="13" x14ac:dyDescent="0.15">
      <c r="A548" s="10"/>
      <c r="B548" s="13"/>
      <c r="C548" s="13"/>
    </row>
    <row r="549" spans="1:3" ht="13" x14ac:dyDescent="0.15">
      <c r="A549" s="10"/>
      <c r="B549" s="13"/>
      <c r="C549" s="13"/>
    </row>
    <row r="550" spans="1:3" ht="13" x14ac:dyDescent="0.15">
      <c r="A550" s="10"/>
      <c r="B550" s="13"/>
      <c r="C550" s="13"/>
    </row>
    <row r="551" spans="1:3" ht="13" x14ac:dyDescent="0.15">
      <c r="A551" s="10"/>
      <c r="B551" s="13"/>
      <c r="C551" s="13"/>
    </row>
    <row r="552" spans="1:3" ht="13" x14ac:dyDescent="0.15">
      <c r="A552" s="10"/>
      <c r="B552" s="13"/>
      <c r="C552" s="13"/>
    </row>
    <row r="553" spans="1:3" ht="13" x14ac:dyDescent="0.15">
      <c r="A553" s="10"/>
      <c r="B553" s="13"/>
      <c r="C553" s="13"/>
    </row>
    <row r="554" spans="1:3" ht="13" x14ac:dyDescent="0.15">
      <c r="A554" s="10"/>
      <c r="B554" s="13"/>
      <c r="C554" s="13"/>
    </row>
    <row r="555" spans="1:3" ht="13" x14ac:dyDescent="0.15">
      <c r="A555" s="10"/>
      <c r="B555" s="13"/>
      <c r="C555" s="13"/>
    </row>
    <row r="556" spans="1:3" ht="13" x14ac:dyDescent="0.15">
      <c r="A556" s="10"/>
      <c r="B556" s="13"/>
      <c r="C556" s="13"/>
    </row>
    <row r="557" spans="1:3" ht="13" x14ac:dyDescent="0.15">
      <c r="A557" s="10"/>
      <c r="B557" s="13"/>
      <c r="C557" s="13"/>
    </row>
    <row r="558" spans="1:3" ht="13" x14ac:dyDescent="0.15">
      <c r="A558" s="10"/>
      <c r="B558" s="13"/>
      <c r="C558" s="13"/>
    </row>
    <row r="559" spans="1:3" ht="13" x14ac:dyDescent="0.15">
      <c r="A559" s="10"/>
      <c r="B559" s="13"/>
      <c r="C559" s="13"/>
    </row>
    <row r="560" spans="1:3" ht="13" x14ac:dyDescent="0.15">
      <c r="A560" s="10"/>
      <c r="B560" s="13"/>
      <c r="C560" s="13"/>
    </row>
    <row r="561" spans="1:3" ht="13" x14ac:dyDescent="0.15">
      <c r="A561" s="10"/>
      <c r="B561" s="13"/>
      <c r="C561" s="13"/>
    </row>
    <row r="562" spans="1:3" ht="13" x14ac:dyDescent="0.15">
      <c r="A562" s="10"/>
      <c r="B562" s="13"/>
      <c r="C562" s="13"/>
    </row>
    <row r="563" spans="1:3" ht="13" x14ac:dyDescent="0.15">
      <c r="A563" s="10"/>
      <c r="B563" s="13"/>
      <c r="C563" s="13"/>
    </row>
    <row r="564" spans="1:3" ht="13" x14ac:dyDescent="0.15">
      <c r="A564" s="10"/>
      <c r="B564" s="13"/>
      <c r="C564" s="13"/>
    </row>
    <row r="565" spans="1:3" ht="13" x14ac:dyDescent="0.15">
      <c r="A565" s="10"/>
      <c r="B565" s="13"/>
      <c r="C565" s="13"/>
    </row>
    <row r="566" spans="1:3" ht="13" x14ac:dyDescent="0.15">
      <c r="A566" s="10"/>
      <c r="B566" s="13"/>
      <c r="C566" s="13"/>
    </row>
    <row r="567" spans="1:3" ht="13" x14ac:dyDescent="0.15">
      <c r="A567" s="10"/>
      <c r="B567" s="13"/>
      <c r="C567" s="13"/>
    </row>
    <row r="568" spans="1:3" ht="13" x14ac:dyDescent="0.15">
      <c r="A568" s="10"/>
      <c r="B568" s="13"/>
      <c r="C568" s="13"/>
    </row>
    <row r="569" spans="1:3" ht="13" x14ac:dyDescent="0.15">
      <c r="A569" s="10"/>
      <c r="B569" s="13"/>
      <c r="C569" s="13"/>
    </row>
    <row r="570" spans="1:3" ht="13" x14ac:dyDescent="0.15">
      <c r="A570" s="10"/>
      <c r="B570" s="13"/>
      <c r="C570" s="13"/>
    </row>
    <row r="571" spans="1:3" ht="13" x14ac:dyDescent="0.15">
      <c r="A571" s="10"/>
      <c r="B571" s="13"/>
      <c r="C571" s="13"/>
    </row>
    <row r="572" spans="1:3" ht="13" x14ac:dyDescent="0.15">
      <c r="A572" s="10"/>
      <c r="B572" s="13"/>
      <c r="C572" s="13"/>
    </row>
    <row r="573" spans="1:3" ht="13" x14ac:dyDescent="0.15">
      <c r="A573" s="10"/>
      <c r="B573" s="13"/>
      <c r="C573" s="13"/>
    </row>
    <row r="574" spans="1:3" ht="13" x14ac:dyDescent="0.15">
      <c r="A574" s="10"/>
      <c r="B574" s="13"/>
      <c r="C574" s="13"/>
    </row>
    <row r="575" spans="1:3" ht="13" x14ac:dyDescent="0.15">
      <c r="A575" s="10"/>
      <c r="B575" s="13"/>
      <c r="C575" s="13"/>
    </row>
    <row r="576" spans="1:3" ht="13" x14ac:dyDescent="0.15">
      <c r="A576" s="10"/>
      <c r="B576" s="13"/>
      <c r="C576" s="13"/>
    </row>
    <row r="577" spans="1:3" ht="13" x14ac:dyDescent="0.15">
      <c r="A577" s="10"/>
      <c r="B577" s="13"/>
      <c r="C577" s="13"/>
    </row>
    <row r="578" spans="1:3" ht="13" x14ac:dyDescent="0.15">
      <c r="A578" s="10"/>
      <c r="B578" s="13"/>
      <c r="C578" s="13"/>
    </row>
    <row r="579" spans="1:3" ht="13" x14ac:dyDescent="0.15">
      <c r="A579" s="10"/>
      <c r="B579" s="13"/>
      <c r="C579" s="13"/>
    </row>
    <row r="580" spans="1:3" ht="13" x14ac:dyDescent="0.15">
      <c r="A580" s="10"/>
      <c r="B580" s="13"/>
      <c r="C580" s="13"/>
    </row>
    <row r="581" spans="1:3" ht="13" x14ac:dyDescent="0.15">
      <c r="A581" s="10"/>
      <c r="B581" s="13"/>
      <c r="C581" s="13"/>
    </row>
    <row r="582" spans="1:3" ht="13" x14ac:dyDescent="0.15">
      <c r="A582" s="10"/>
      <c r="B582" s="13"/>
      <c r="C582" s="13"/>
    </row>
    <row r="583" spans="1:3" ht="13" x14ac:dyDescent="0.15">
      <c r="A583" s="10"/>
      <c r="B583" s="13"/>
      <c r="C583" s="13"/>
    </row>
    <row r="584" spans="1:3" ht="13" x14ac:dyDescent="0.15">
      <c r="A584" s="10"/>
      <c r="B584" s="13"/>
      <c r="C584" s="13"/>
    </row>
    <row r="585" spans="1:3" ht="13" x14ac:dyDescent="0.15">
      <c r="A585" s="10"/>
      <c r="B585" s="13"/>
      <c r="C585" s="13"/>
    </row>
    <row r="586" spans="1:3" ht="13" x14ac:dyDescent="0.15">
      <c r="A586" s="10"/>
      <c r="B586" s="13"/>
      <c r="C586" s="13"/>
    </row>
    <row r="587" spans="1:3" ht="13" x14ac:dyDescent="0.15">
      <c r="A587" s="10"/>
      <c r="B587" s="13"/>
      <c r="C587" s="13"/>
    </row>
    <row r="588" spans="1:3" ht="13" x14ac:dyDescent="0.15">
      <c r="A588" s="10"/>
      <c r="B588" s="13"/>
      <c r="C588" s="13"/>
    </row>
    <row r="589" spans="1:3" ht="13" x14ac:dyDescent="0.15">
      <c r="A589" s="10"/>
      <c r="B589" s="13"/>
      <c r="C589" s="13"/>
    </row>
    <row r="590" spans="1:3" ht="13" x14ac:dyDescent="0.15">
      <c r="A590" s="10"/>
      <c r="B590" s="13"/>
      <c r="C590" s="13"/>
    </row>
    <row r="591" spans="1:3" ht="13" x14ac:dyDescent="0.15">
      <c r="A591" s="10"/>
      <c r="B591" s="13"/>
      <c r="C591" s="13"/>
    </row>
    <row r="592" spans="1:3" ht="13" x14ac:dyDescent="0.15">
      <c r="A592" s="10"/>
      <c r="B592" s="13"/>
      <c r="C592" s="13"/>
    </row>
    <row r="593" spans="1:3" ht="13" x14ac:dyDescent="0.15">
      <c r="A593" s="10"/>
      <c r="B593" s="13"/>
      <c r="C593" s="13"/>
    </row>
    <row r="594" spans="1:3" ht="13" x14ac:dyDescent="0.15">
      <c r="A594" s="10"/>
      <c r="B594" s="13"/>
      <c r="C594" s="13"/>
    </row>
    <row r="595" spans="1:3" ht="13" x14ac:dyDescent="0.15">
      <c r="A595" s="10"/>
      <c r="B595" s="13"/>
      <c r="C595" s="13"/>
    </row>
    <row r="596" spans="1:3" ht="13" x14ac:dyDescent="0.15">
      <c r="A596" s="10"/>
      <c r="B596" s="13"/>
      <c r="C596" s="13"/>
    </row>
    <row r="597" spans="1:3" ht="13" x14ac:dyDescent="0.15">
      <c r="A597" s="10"/>
      <c r="B597" s="13"/>
      <c r="C597" s="13"/>
    </row>
    <row r="598" spans="1:3" ht="13" x14ac:dyDescent="0.15">
      <c r="A598" s="10"/>
      <c r="B598" s="13"/>
      <c r="C598" s="13"/>
    </row>
    <row r="599" spans="1:3" ht="13" x14ac:dyDescent="0.15">
      <c r="A599" s="10"/>
      <c r="B599" s="13"/>
      <c r="C599" s="13"/>
    </row>
    <row r="600" spans="1:3" ht="13" x14ac:dyDescent="0.15">
      <c r="A600" s="10"/>
      <c r="B600" s="13"/>
      <c r="C600" s="13"/>
    </row>
    <row r="601" spans="1:3" ht="13" x14ac:dyDescent="0.15">
      <c r="A601" s="10"/>
      <c r="B601" s="13"/>
      <c r="C601" s="13"/>
    </row>
    <row r="602" spans="1:3" ht="13" x14ac:dyDescent="0.15">
      <c r="A602" s="10"/>
      <c r="B602" s="13"/>
      <c r="C602" s="13"/>
    </row>
    <row r="603" spans="1:3" ht="13" x14ac:dyDescent="0.15">
      <c r="A603" s="10"/>
      <c r="B603" s="13"/>
      <c r="C603" s="13"/>
    </row>
    <row r="604" spans="1:3" ht="13" x14ac:dyDescent="0.15">
      <c r="A604" s="10"/>
      <c r="B604" s="13"/>
      <c r="C604" s="13"/>
    </row>
    <row r="605" spans="1:3" ht="13" x14ac:dyDescent="0.15">
      <c r="A605" s="10"/>
      <c r="B605" s="13"/>
      <c r="C605" s="13"/>
    </row>
    <row r="606" spans="1:3" ht="13" x14ac:dyDescent="0.15">
      <c r="A606" s="10"/>
      <c r="B606" s="13"/>
      <c r="C606" s="13"/>
    </row>
    <row r="607" spans="1:3" ht="13" x14ac:dyDescent="0.15">
      <c r="A607" s="10"/>
      <c r="B607" s="13"/>
      <c r="C607" s="13"/>
    </row>
    <row r="608" spans="1:3" ht="13" x14ac:dyDescent="0.15">
      <c r="A608" s="10"/>
      <c r="B608" s="13"/>
      <c r="C608" s="13"/>
    </row>
    <row r="609" spans="1:3" ht="13" x14ac:dyDescent="0.15">
      <c r="A609" s="10"/>
      <c r="B609" s="13"/>
      <c r="C609" s="13"/>
    </row>
    <row r="610" spans="1:3" ht="13" x14ac:dyDescent="0.15">
      <c r="A610" s="10"/>
      <c r="B610" s="13"/>
      <c r="C610" s="13"/>
    </row>
    <row r="611" spans="1:3" ht="13" x14ac:dyDescent="0.15">
      <c r="A611" s="10"/>
      <c r="B611" s="13"/>
      <c r="C611" s="13"/>
    </row>
    <row r="612" spans="1:3" ht="13" x14ac:dyDescent="0.15">
      <c r="A612" s="10"/>
      <c r="B612" s="13"/>
      <c r="C612" s="13"/>
    </row>
    <row r="613" spans="1:3" ht="13" x14ac:dyDescent="0.15">
      <c r="A613" s="10"/>
      <c r="B613" s="13"/>
      <c r="C613" s="13"/>
    </row>
    <row r="614" spans="1:3" ht="13" x14ac:dyDescent="0.15">
      <c r="A614" s="10"/>
      <c r="B614" s="13"/>
      <c r="C614" s="13"/>
    </row>
    <row r="615" spans="1:3" ht="13" x14ac:dyDescent="0.15">
      <c r="A615" s="10"/>
      <c r="B615" s="13"/>
      <c r="C615" s="13"/>
    </row>
    <row r="616" spans="1:3" ht="13" x14ac:dyDescent="0.15">
      <c r="A616" s="10"/>
      <c r="B616" s="13"/>
      <c r="C616" s="13"/>
    </row>
    <row r="617" spans="1:3" ht="13" x14ac:dyDescent="0.15">
      <c r="A617" s="10"/>
      <c r="B617" s="13"/>
      <c r="C617" s="13"/>
    </row>
    <row r="618" spans="1:3" ht="13" x14ac:dyDescent="0.15">
      <c r="A618" s="10"/>
      <c r="B618" s="13"/>
      <c r="C618" s="13"/>
    </row>
    <row r="619" spans="1:3" ht="13" x14ac:dyDescent="0.15">
      <c r="A619" s="10"/>
      <c r="B619" s="13"/>
      <c r="C619" s="13"/>
    </row>
    <row r="620" spans="1:3" ht="13" x14ac:dyDescent="0.15">
      <c r="A620" s="10"/>
      <c r="B620" s="13"/>
      <c r="C620" s="13"/>
    </row>
    <row r="621" spans="1:3" ht="13" x14ac:dyDescent="0.15">
      <c r="A621" s="10"/>
      <c r="B621" s="13"/>
      <c r="C621" s="13"/>
    </row>
    <row r="622" spans="1:3" ht="13" x14ac:dyDescent="0.15">
      <c r="A622" s="10"/>
      <c r="B622" s="13"/>
      <c r="C622" s="13"/>
    </row>
    <row r="623" spans="1:3" ht="13" x14ac:dyDescent="0.15">
      <c r="A623" s="10"/>
      <c r="B623" s="13"/>
      <c r="C623" s="13"/>
    </row>
    <row r="624" spans="1:3" ht="13" x14ac:dyDescent="0.15">
      <c r="A624" s="10"/>
      <c r="B624" s="13"/>
      <c r="C624" s="13"/>
    </row>
    <row r="625" spans="1:3" ht="13" x14ac:dyDescent="0.15">
      <c r="A625" s="10"/>
      <c r="B625" s="13"/>
      <c r="C625" s="13"/>
    </row>
    <row r="626" spans="1:3" ht="13" x14ac:dyDescent="0.15">
      <c r="A626" s="10"/>
      <c r="B626" s="13"/>
      <c r="C626" s="13"/>
    </row>
    <row r="627" spans="1:3" ht="13" x14ac:dyDescent="0.15">
      <c r="A627" s="10"/>
      <c r="B627" s="13"/>
      <c r="C627" s="13"/>
    </row>
    <row r="628" spans="1:3" ht="13" x14ac:dyDescent="0.15">
      <c r="A628" s="10"/>
      <c r="B628" s="13"/>
      <c r="C628" s="13"/>
    </row>
    <row r="629" spans="1:3" ht="13" x14ac:dyDescent="0.15">
      <c r="A629" s="10"/>
      <c r="B629" s="13"/>
      <c r="C629" s="13"/>
    </row>
    <row r="630" spans="1:3" ht="13" x14ac:dyDescent="0.15">
      <c r="A630" s="10"/>
      <c r="B630" s="13"/>
      <c r="C630" s="13"/>
    </row>
    <row r="631" spans="1:3" ht="13" x14ac:dyDescent="0.15">
      <c r="A631" s="10"/>
      <c r="B631" s="13"/>
      <c r="C631" s="13"/>
    </row>
    <row r="632" spans="1:3" ht="13" x14ac:dyDescent="0.15">
      <c r="A632" s="10"/>
      <c r="B632" s="13"/>
      <c r="C632" s="13"/>
    </row>
    <row r="633" spans="1:3" ht="13" x14ac:dyDescent="0.15">
      <c r="A633" s="10"/>
      <c r="B633" s="13"/>
      <c r="C633" s="13"/>
    </row>
    <row r="634" spans="1:3" ht="13" x14ac:dyDescent="0.15">
      <c r="A634" s="10"/>
      <c r="B634" s="13"/>
      <c r="C634" s="13"/>
    </row>
    <row r="635" spans="1:3" ht="13" x14ac:dyDescent="0.15">
      <c r="A635" s="10"/>
      <c r="B635" s="13"/>
      <c r="C635" s="13"/>
    </row>
    <row r="636" spans="1:3" ht="13" x14ac:dyDescent="0.15">
      <c r="A636" s="10"/>
      <c r="B636" s="13"/>
      <c r="C636" s="13"/>
    </row>
    <row r="637" spans="1:3" ht="13" x14ac:dyDescent="0.15">
      <c r="A637" s="10"/>
      <c r="B637" s="13"/>
      <c r="C637" s="13"/>
    </row>
    <row r="638" spans="1:3" ht="13" x14ac:dyDescent="0.15">
      <c r="A638" s="10"/>
      <c r="B638" s="13"/>
      <c r="C638" s="13"/>
    </row>
    <row r="639" spans="1:3" ht="13" x14ac:dyDescent="0.15">
      <c r="A639" s="10"/>
      <c r="B639" s="13"/>
      <c r="C639" s="13"/>
    </row>
    <row r="640" spans="1:3" ht="13" x14ac:dyDescent="0.15">
      <c r="A640" s="10"/>
      <c r="B640" s="13"/>
      <c r="C640" s="13"/>
    </row>
    <row r="641" spans="1:3" ht="13" x14ac:dyDescent="0.15">
      <c r="A641" s="10"/>
      <c r="B641" s="13"/>
      <c r="C641" s="13"/>
    </row>
    <row r="642" spans="1:3" ht="13" x14ac:dyDescent="0.15">
      <c r="A642" s="10"/>
      <c r="B642" s="13"/>
      <c r="C642" s="13"/>
    </row>
    <row r="643" spans="1:3" ht="13" x14ac:dyDescent="0.15">
      <c r="A643" s="10"/>
      <c r="B643" s="13"/>
      <c r="C643" s="13"/>
    </row>
    <row r="644" spans="1:3" ht="13" x14ac:dyDescent="0.15">
      <c r="A644" s="10"/>
      <c r="B644" s="13"/>
      <c r="C644" s="13"/>
    </row>
    <row r="645" spans="1:3" ht="13" x14ac:dyDescent="0.15">
      <c r="A645" s="10"/>
      <c r="B645" s="13"/>
      <c r="C645" s="13"/>
    </row>
    <row r="646" spans="1:3" ht="13" x14ac:dyDescent="0.15">
      <c r="A646" s="10"/>
      <c r="B646" s="13"/>
      <c r="C646" s="13"/>
    </row>
    <row r="647" spans="1:3" ht="13" x14ac:dyDescent="0.15">
      <c r="A647" s="10"/>
      <c r="B647" s="13"/>
      <c r="C647" s="13"/>
    </row>
    <row r="648" spans="1:3" ht="13" x14ac:dyDescent="0.15">
      <c r="A648" s="10"/>
      <c r="B648" s="13"/>
      <c r="C648" s="13"/>
    </row>
    <row r="649" spans="1:3" ht="13" x14ac:dyDescent="0.15">
      <c r="A649" s="10"/>
      <c r="B649" s="13"/>
      <c r="C649" s="13"/>
    </row>
    <row r="650" spans="1:3" ht="13" x14ac:dyDescent="0.15">
      <c r="A650" s="10"/>
      <c r="B650" s="13"/>
      <c r="C650" s="13"/>
    </row>
    <row r="651" spans="1:3" ht="13" x14ac:dyDescent="0.15">
      <c r="A651" s="10"/>
      <c r="B651" s="13"/>
      <c r="C651" s="13"/>
    </row>
    <row r="652" spans="1:3" ht="13" x14ac:dyDescent="0.15">
      <c r="A652" s="10"/>
      <c r="B652" s="13"/>
      <c r="C652" s="13"/>
    </row>
    <row r="653" spans="1:3" ht="13" x14ac:dyDescent="0.15">
      <c r="A653" s="10"/>
      <c r="B653" s="13"/>
      <c r="C653" s="13"/>
    </row>
    <row r="654" spans="1:3" ht="13" x14ac:dyDescent="0.15">
      <c r="A654" s="10"/>
      <c r="B654" s="13"/>
      <c r="C654" s="13"/>
    </row>
    <row r="655" spans="1:3" ht="13" x14ac:dyDescent="0.15">
      <c r="A655" s="10"/>
      <c r="B655" s="13"/>
      <c r="C655" s="13"/>
    </row>
    <row r="656" spans="1:3" ht="13" x14ac:dyDescent="0.15">
      <c r="A656" s="10"/>
      <c r="B656" s="13"/>
      <c r="C656" s="13"/>
    </row>
    <row r="657" spans="1:3" ht="13" x14ac:dyDescent="0.15">
      <c r="A657" s="10"/>
      <c r="B657" s="13"/>
      <c r="C657" s="13"/>
    </row>
    <row r="658" spans="1:3" ht="13" x14ac:dyDescent="0.15">
      <c r="A658" s="10"/>
      <c r="B658" s="13"/>
      <c r="C658" s="13"/>
    </row>
    <row r="659" spans="1:3" ht="13" x14ac:dyDescent="0.15">
      <c r="A659" s="10"/>
      <c r="B659" s="13"/>
      <c r="C659" s="13"/>
    </row>
    <row r="660" spans="1:3" ht="13" x14ac:dyDescent="0.15">
      <c r="A660" s="10"/>
      <c r="B660" s="13"/>
      <c r="C660" s="13"/>
    </row>
    <row r="661" spans="1:3" ht="13" x14ac:dyDescent="0.15">
      <c r="A661" s="10"/>
      <c r="B661" s="13"/>
      <c r="C661" s="13"/>
    </row>
    <row r="662" spans="1:3" ht="13" x14ac:dyDescent="0.15">
      <c r="A662" s="10"/>
      <c r="B662" s="13"/>
      <c r="C662" s="13"/>
    </row>
    <row r="663" spans="1:3" ht="13" x14ac:dyDescent="0.15">
      <c r="A663" s="10"/>
      <c r="B663" s="13"/>
      <c r="C663" s="13"/>
    </row>
    <row r="664" spans="1:3" ht="13" x14ac:dyDescent="0.15">
      <c r="A664" s="10"/>
      <c r="B664" s="13"/>
      <c r="C664" s="13"/>
    </row>
    <row r="665" spans="1:3" ht="13" x14ac:dyDescent="0.15">
      <c r="A665" s="10"/>
      <c r="B665" s="13"/>
      <c r="C665" s="13"/>
    </row>
    <row r="666" spans="1:3" ht="13" x14ac:dyDescent="0.15">
      <c r="A666" s="10"/>
      <c r="B666" s="13"/>
      <c r="C666" s="13"/>
    </row>
    <row r="667" spans="1:3" ht="13" x14ac:dyDescent="0.15">
      <c r="A667" s="10"/>
      <c r="B667" s="13"/>
      <c r="C667" s="13"/>
    </row>
    <row r="668" spans="1:3" ht="13" x14ac:dyDescent="0.15">
      <c r="A668" s="10"/>
      <c r="B668" s="13"/>
      <c r="C668" s="13"/>
    </row>
    <row r="669" spans="1:3" ht="13" x14ac:dyDescent="0.15">
      <c r="A669" s="10"/>
      <c r="B669" s="13"/>
      <c r="C669" s="13"/>
    </row>
    <row r="670" spans="1:3" ht="13" x14ac:dyDescent="0.15">
      <c r="A670" s="10"/>
      <c r="B670" s="13"/>
      <c r="C670" s="13"/>
    </row>
    <row r="671" spans="1:3" ht="13" x14ac:dyDescent="0.15">
      <c r="A671" s="10"/>
      <c r="B671" s="13"/>
      <c r="C671" s="13"/>
    </row>
    <row r="672" spans="1:3" ht="13" x14ac:dyDescent="0.15">
      <c r="A672" s="10"/>
      <c r="B672" s="13"/>
      <c r="C672" s="13"/>
    </row>
    <row r="673" spans="1:3" ht="13" x14ac:dyDescent="0.15">
      <c r="A673" s="10"/>
      <c r="B673" s="13"/>
      <c r="C673" s="13"/>
    </row>
    <row r="674" spans="1:3" ht="13" x14ac:dyDescent="0.15">
      <c r="A674" s="10"/>
      <c r="B674" s="13"/>
      <c r="C674" s="13"/>
    </row>
    <row r="675" spans="1:3" ht="13" x14ac:dyDescent="0.15">
      <c r="A675" s="10"/>
      <c r="B675" s="13"/>
      <c r="C675" s="13"/>
    </row>
    <row r="676" spans="1:3" ht="13" x14ac:dyDescent="0.15">
      <c r="A676" s="10"/>
      <c r="B676" s="13"/>
      <c r="C676" s="13"/>
    </row>
    <row r="677" spans="1:3" ht="13" x14ac:dyDescent="0.15">
      <c r="A677" s="10"/>
      <c r="B677" s="13"/>
      <c r="C677" s="13"/>
    </row>
    <row r="678" spans="1:3" ht="13" x14ac:dyDescent="0.15">
      <c r="A678" s="10"/>
      <c r="B678" s="13"/>
      <c r="C678" s="13"/>
    </row>
    <row r="679" spans="1:3" ht="13" x14ac:dyDescent="0.15">
      <c r="A679" s="10"/>
      <c r="B679" s="13"/>
      <c r="C679" s="13"/>
    </row>
    <row r="680" spans="1:3" ht="13" x14ac:dyDescent="0.15">
      <c r="A680" s="10"/>
      <c r="B680" s="13"/>
      <c r="C680" s="13"/>
    </row>
    <row r="681" spans="1:3" ht="13" x14ac:dyDescent="0.15">
      <c r="A681" s="10"/>
      <c r="B681" s="13"/>
      <c r="C681" s="13"/>
    </row>
    <row r="682" spans="1:3" ht="13" x14ac:dyDescent="0.15">
      <c r="A682" s="10"/>
      <c r="B682" s="13"/>
      <c r="C682" s="13"/>
    </row>
    <row r="683" spans="1:3" ht="13" x14ac:dyDescent="0.15">
      <c r="A683" s="10"/>
      <c r="B683" s="13"/>
      <c r="C683" s="13"/>
    </row>
    <row r="684" spans="1:3" ht="13" x14ac:dyDescent="0.15">
      <c r="A684" s="10"/>
      <c r="B684" s="13"/>
      <c r="C684" s="13"/>
    </row>
    <row r="685" spans="1:3" ht="13" x14ac:dyDescent="0.15">
      <c r="A685" s="10"/>
      <c r="B685" s="13"/>
      <c r="C685" s="13"/>
    </row>
    <row r="686" spans="1:3" ht="13" x14ac:dyDescent="0.15">
      <c r="A686" s="10"/>
      <c r="B686" s="13"/>
      <c r="C686" s="13"/>
    </row>
    <row r="687" spans="1:3" ht="13" x14ac:dyDescent="0.15">
      <c r="A687" s="10"/>
      <c r="B687" s="13"/>
      <c r="C687" s="13"/>
    </row>
    <row r="688" spans="1:3" ht="13" x14ac:dyDescent="0.15">
      <c r="A688" s="10"/>
      <c r="B688" s="13"/>
      <c r="C688" s="13"/>
    </row>
    <row r="689" spans="1:3" ht="13" x14ac:dyDescent="0.15">
      <c r="A689" s="10"/>
      <c r="B689" s="13"/>
      <c r="C689" s="13"/>
    </row>
    <row r="690" spans="1:3" ht="13" x14ac:dyDescent="0.15">
      <c r="A690" s="10"/>
      <c r="B690" s="13"/>
      <c r="C690" s="13"/>
    </row>
    <row r="691" spans="1:3" ht="13" x14ac:dyDescent="0.15">
      <c r="A691" s="10"/>
      <c r="B691" s="13"/>
      <c r="C691" s="13"/>
    </row>
    <row r="692" spans="1:3" ht="13" x14ac:dyDescent="0.15">
      <c r="A692" s="10"/>
      <c r="B692" s="13"/>
      <c r="C692" s="13"/>
    </row>
    <row r="693" spans="1:3" ht="13" x14ac:dyDescent="0.15">
      <c r="A693" s="10"/>
      <c r="B693" s="13"/>
      <c r="C693" s="13"/>
    </row>
    <row r="694" spans="1:3" ht="13" x14ac:dyDescent="0.15">
      <c r="A694" s="10"/>
      <c r="B694" s="13"/>
      <c r="C694" s="13"/>
    </row>
    <row r="695" spans="1:3" ht="13" x14ac:dyDescent="0.15">
      <c r="A695" s="10"/>
      <c r="B695" s="13"/>
      <c r="C695" s="13"/>
    </row>
    <row r="696" spans="1:3" ht="13" x14ac:dyDescent="0.15">
      <c r="A696" s="10"/>
      <c r="B696" s="13"/>
      <c r="C696" s="13"/>
    </row>
    <row r="697" spans="1:3" ht="13" x14ac:dyDescent="0.15">
      <c r="A697" s="10"/>
      <c r="B697" s="13"/>
      <c r="C697" s="13"/>
    </row>
    <row r="698" spans="1:3" ht="13" x14ac:dyDescent="0.15">
      <c r="A698" s="10"/>
      <c r="B698" s="13"/>
      <c r="C698" s="13"/>
    </row>
    <row r="699" spans="1:3" ht="13" x14ac:dyDescent="0.15">
      <c r="A699" s="10"/>
      <c r="B699" s="13"/>
      <c r="C699" s="13"/>
    </row>
    <row r="700" spans="1:3" ht="13" x14ac:dyDescent="0.15">
      <c r="A700" s="10"/>
      <c r="B700" s="13"/>
      <c r="C700" s="13"/>
    </row>
    <row r="701" spans="1:3" ht="13" x14ac:dyDescent="0.15">
      <c r="A701" s="10"/>
      <c r="B701" s="13"/>
      <c r="C701" s="13"/>
    </row>
    <row r="702" spans="1:3" ht="13" x14ac:dyDescent="0.15">
      <c r="A702" s="10"/>
      <c r="B702" s="13"/>
      <c r="C702" s="13"/>
    </row>
    <row r="703" spans="1:3" ht="13" x14ac:dyDescent="0.15">
      <c r="A703" s="10"/>
      <c r="B703" s="13"/>
      <c r="C703" s="13"/>
    </row>
    <row r="704" spans="1:3" ht="13" x14ac:dyDescent="0.15">
      <c r="A704" s="10"/>
      <c r="B704" s="13"/>
      <c r="C704" s="13"/>
    </row>
    <row r="705" spans="1:3" ht="13" x14ac:dyDescent="0.15">
      <c r="A705" s="10"/>
      <c r="B705" s="13"/>
      <c r="C705" s="13"/>
    </row>
    <row r="706" spans="1:3" ht="13" x14ac:dyDescent="0.15">
      <c r="A706" s="10"/>
      <c r="B706" s="13"/>
      <c r="C706" s="13"/>
    </row>
    <row r="707" spans="1:3" ht="13" x14ac:dyDescent="0.15">
      <c r="A707" s="10"/>
      <c r="B707" s="13"/>
      <c r="C707" s="13"/>
    </row>
    <row r="708" spans="1:3" ht="13" x14ac:dyDescent="0.15">
      <c r="A708" s="10"/>
      <c r="B708" s="13"/>
      <c r="C708" s="13"/>
    </row>
    <row r="709" spans="1:3" ht="13" x14ac:dyDescent="0.15">
      <c r="A709" s="10"/>
      <c r="B709" s="13"/>
      <c r="C709" s="13"/>
    </row>
    <row r="710" spans="1:3" ht="13" x14ac:dyDescent="0.15">
      <c r="A710" s="10"/>
      <c r="B710" s="13"/>
      <c r="C710" s="13"/>
    </row>
    <row r="711" spans="1:3" ht="13" x14ac:dyDescent="0.15">
      <c r="A711" s="10"/>
      <c r="B711" s="13"/>
      <c r="C711" s="13"/>
    </row>
    <row r="712" spans="1:3" ht="13" x14ac:dyDescent="0.15">
      <c r="A712" s="10"/>
      <c r="B712" s="13"/>
      <c r="C712" s="13"/>
    </row>
    <row r="713" spans="1:3" ht="13" x14ac:dyDescent="0.15">
      <c r="A713" s="10"/>
      <c r="B713" s="13"/>
      <c r="C713" s="13"/>
    </row>
    <row r="714" spans="1:3" ht="13" x14ac:dyDescent="0.15">
      <c r="A714" s="10"/>
      <c r="B714" s="13"/>
      <c r="C714" s="13"/>
    </row>
    <row r="715" spans="1:3" ht="13" x14ac:dyDescent="0.15">
      <c r="A715" s="10"/>
      <c r="B715" s="13"/>
      <c r="C715" s="13"/>
    </row>
    <row r="716" spans="1:3" ht="13" x14ac:dyDescent="0.15">
      <c r="A716" s="10"/>
      <c r="B716" s="13"/>
      <c r="C716" s="13"/>
    </row>
    <row r="717" spans="1:3" ht="13" x14ac:dyDescent="0.15">
      <c r="A717" s="10"/>
      <c r="B717" s="13"/>
      <c r="C717" s="13"/>
    </row>
    <row r="718" spans="1:3" ht="13" x14ac:dyDescent="0.15">
      <c r="A718" s="10"/>
      <c r="B718" s="13"/>
      <c r="C718" s="13"/>
    </row>
    <row r="719" spans="1:3" ht="13" x14ac:dyDescent="0.15">
      <c r="A719" s="10"/>
      <c r="B719" s="13"/>
      <c r="C719" s="13"/>
    </row>
    <row r="720" spans="1:3" ht="13" x14ac:dyDescent="0.15">
      <c r="A720" s="10"/>
      <c r="B720" s="13"/>
      <c r="C720" s="13"/>
    </row>
    <row r="721" spans="1:3" ht="13" x14ac:dyDescent="0.15">
      <c r="A721" s="10"/>
      <c r="B721" s="13"/>
      <c r="C721" s="13"/>
    </row>
    <row r="722" spans="1:3" ht="13" x14ac:dyDescent="0.15">
      <c r="A722" s="10"/>
      <c r="B722" s="13"/>
      <c r="C722" s="13"/>
    </row>
    <row r="723" spans="1:3" ht="13" x14ac:dyDescent="0.15">
      <c r="A723" s="10"/>
      <c r="B723" s="13"/>
      <c r="C723" s="13"/>
    </row>
    <row r="724" spans="1:3" ht="13" x14ac:dyDescent="0.15">
      <c r="A724" s="10"/>
      <c r="B724" s="13"/>
      <c r="C724" s="13"/>
    </row>
    <row r="725" spans="1:3" ht="13" x14ac:dyDescent="0.15">
      <c r="A725" s="10"/>
      <c r="B725" s="13"/>
      <c r="C725" s="13"/>
    </row>
    <row r="726" spans="1:3" ht="13" x14ac:dyDescent="0.15">
      <c r="A726" s="10"/>
      <c r="B726" s="13"/>
      <c r="C726" s="13"/>
    </row>
    <row r="727" spans="1:3" ht="13" x14ac:dyDescent="0.15">
      <c r="A727" s="10"/>
      <c r="B727" s="13"/>
      <c r="C727" s="13"/>
    </row>
    <row r="728" spans="1:3" ht="13" x14ac:dyDescent="0.15">
      <c r="A728" s="10"/>
      <c r="B728" s="13"/>
      <c r="C728" s="13"/>
    </row>
    <row r="729" spans="1:3" ht="13" x14ac:dyDescent="0.15">
      <c r="A729" s="10"/>
      <c r="B729" s="13"/>
      <c r="C729" s="13"/>
    </row>
    <row r="730" spans="1:3" ht="13" x14ac:dyDescent="0.15">
      <c r="A730" s="10"/>
      <c r="B730" s="13"/>
      <c r="C730" s="13"/>
    </row>
    <row r="731" spans="1:3" ht="13" x14ac:dyDescent="0.15">
      <c r="A731" s="10"/>
      <c r="B731" s="13"/>
      <c r="C731" s="13"/>
    </row>
    <row r="732" spans="1:3" ht="13" x14ac:dyDescent="0.15">
      <c r="A732" s="10"/>
      <c r="B732" s="13"/>
      <c r="C732" s="13"/>
    </row>
    <row r="733" spans="1:3" ht="13" x14ac:dyDescent="0.15">
      <c r="A733" s="10"/>
      <c r="B733" s="13"/>
      <c r="C733" s="13"/>
    </row>
    <row r="734" spans="1:3" ht="13" x14ac:dyDescent="0.15">
      <c r="A734" s="10"/>
      <c r="B734" s="13"/>
      <c r="C734" s="13"/>
    </row>
    <row r="735" spans="1:3" ht="13" x14ac:dyDescent="0.15">
      <c r="A735" s="10"/>
      <c r="B735" s="13"/>
      <c r="C735" s="13"/>
    </row>
    <row r="736" spans="1:3" ht="13" x14ac:dyDescent="0.15">
      <c r="A736" s="10"/>
      <c r="B736" s="13"/>
      <c r="C736" s="13"/>
    </row>
    <row r="737" spans="1:3" ht="13" x14ac:dyDescent="0.15">
      <c r="A737" s="10"/>
      <c r="B737" s="13"/>
      <c r="C737" s="13"/>
    </row>
    <row r="738" spans="1:3" ht="13" x14ac:dyDescent="0.15">
      <c r="A738" s="10"/>
      <c r="B738" s="13"/>
      <c r="C738" s="13"/>
    </row>
    <row r="739" spans="1:3" ht="13" x14ac:dyDescent="0.15">
      <c r="A739" s="10"/>
      <c r="B739" s="13"/>
      <c r="C739" s="13"/>
    </row>
    <row r="740" spans="1:3" ht="13" x14ac:dyDescent="0.15">
      <c r="A740" s="10"/>
      <c r="B740" s="13"/>
      <c r="C740" s="13"/>
    </row>
    <row r="741" spans="1:3" ht="13" x14ac:dyDescent="0.15">
      <c r="A741" s="10"/>
      <c r="B741" s="13"/>
      <c r="C741" s="13"/>
    </row>
    <row r="742" spans="1:3" ht="13" x14ac:dyDescent="0.15">
      <c r="A742" s="10"/>
      <c r="B742" s="13"/>
      <c r="C742" s="13"/>
    </row>
    <row r="743" spans="1:3" ht="13" x14ac:dyDescent="0.15">
      <c r="A743" s="10"/>
      <c r="B743" s="13"/>
      <c r="C743" s="13"/>
    </row>
    <row r="744" spans="1:3" ht="13" x14ac:dyDescent="0.15">
      <c r="A744" s="10"/>
      <c r="B744" s="13"/>
      <c r="C744" s="13"/>
    </row>
    <row r="745" spans="1:3" ht="13" x14ac:dyDescent="0.15">
      <c r="A745" s="10"/>
      <c r="B745" s="13"/>
      <c r="C745" s="13"/>
    </row>
    <row r="746" spans="1:3" ht="13" x14ac:dyDescent="0.15">
      <c r="A746" s="10"/>
      <c r="B746" s="13"/>
      <c r="C746" s="13"/>
    </row>
    <row r="747" spans="1:3" ht="13" x14ac:dyDescent="0.15">
      <c r="A747" s="10"/>
      <c r="B747" s="13"/>
      <c r="C747" s="13"/>
    </row>
    <row r="748" spans="1:3" ht="13" x14ac:dyDescent="0.15">
      <c r="A748" s="10"/>
      <c r="B748" s="13"/>
      <c r="C748" s="13"/>
    </row>
    <row r="749" spans="1:3" ht="13" x14ac:dyDescent="0.15">
      <c r="A749" s="10"/>
      <c r="B749" s="13"/>
      <c r="C749" s="13"/>
    </row>
    <row r="750" spans="1:3" ht="13" x14ac:dyDescent="0.15">
      <c r="A750" s="10"/>
      <c r="B750" s="13"/>
      <c r="C750" s="13"/>
    </row>
    <row r="751" spans="1:3" ht="13" x14ac:dyDescent="0.15">
      <c r="A751" s="10"/>
      <c r="B751" s="13"/>
      <c r="C751" s="13"/>
    </row>
    <row r="752" spans="1:3" ht="13" x14ac:dyDescent="0.15">
      <c r="A752" s="10"/>
      <c r="B752" s="13"/>
      <c r="C752" s="13"/>
    </row>
    <row r="753" spans="1:3" ht="13" x14ac:dyDescent="0.15">
      <c r="A753" s="10"/>
      <c r="B753" s="13"/>
      <c r="C753" s="13"/>
    </row>
    <row r="754" spans="1:3" ht="13" x14ac:dyDescent="0.15">
      <c r="A754" s="10"/>
      <c r="B754" s="13"/>
      <c r="C754" s="13"/>
    </row>
    <row r="755" spans="1:3" ht="13" x14ac:dyDescent="0.15">
      <c r="A755" s="10"/>
      <c r="B755" s="13"/>
      <c r="C755" s="13"/>
    </row>
    <row r="756" spans="1:3" ht="13" x14ac:dyDescent="0.15">
      <c r="A756" s="10"/>
      <c r="B756" s="13"/>
      <c r="C756" s="13"/>
    </row>
    <row r="757" spans="1:3" ht="13" x14ac:dyDescent="0.15">
      <c r="A757" s="10"/>
      <c r="B757" s="13"/>
      <c r="C757" s="13"/>
    </row>
    <row r="758" spans="1:3" ht="13" x14ac:dyDescent="0.15">
      <c r="A758" s="10"/>
      <c r="B758" s="13"/>
      <c r="C758" s="13"/>
    </row>
    <row r="759" spans="1:3" ht="13" x14ac:dyDescent="0.15">
      <c r="A759" s="10"/>
      <c r="B759" s="13"/>
      <c r="C759" s="13"/>
    </row>
    <row r="760" spans="1:3" ht="13" x14ac:dyDescent="0.15">
      <c r="A760" s="10"/>
      <c r="B760" s="13"/>
      <c r="C760" s="13"/>
    </row>
    <row r="761" spans="1:3" ht="13" x14ac:dyDescent="0.15">
      <c r="A761" s="10"/>
      <c r="B761" s="13"/>
      <c r="C761" s="13"/>
    </row>
    <row r="762" spans="1:3" ht="13" x14ac:dyDescent="0.15">
      <c r="A762" s="10"/>
      <c r="B762" s="13"/>
      <c r="C762" s="13"/>
    </row>
    <row r="763" spans="1:3" ht="13" x14ac:dyDescent="0.15">
      <c r="A763" s="10"/>
      <c r="B763" s="13"/>
      <c r="C763" s="13"/>
    </row>
    <row r="764" spans="1:3" ht="13" x14ac:dyDescent="0.15">
      <c r="A764" s="10"/>
      <c r="B764" s="13"/>
      <c r="C764" s="13"/>
    </row>
    <row r="765" spans="1:3" ht="13" x14ac:dyDescent="0.15">
      <c r="A765" s="10"/>
      <c r="B765" s="13"/>
      <c r="C765" s="13"/>
    </row>
    <row r="766" spans="1:3" ht="13" x14ac:dyDescent="0.15">
      <c r="A766" s="10"/>
      <c r="B766" s="13"/>
      <c r="C766" s="13"/>
    </row>
    <row r="767" spans="1:3" ht="13" x14ac:dyDescent="0.15">
      <c r="A767" s="10"/>
      <c r="B767" s="13"/>
      <c r="C767" s="13"/>
    </row>
    <row r="768" spans="1:3" ht="13" x14ac:dyDescent="0.15">
      <c r="A768" s="10"/>
      <c r="B768" s="13"/>
      <c r="C768" s="13"/>
    </row>
    <row r="769" spans="1:3" ht="13" x14ac:dyDescent="0.15">
      <c r="A769" s="10"/>
      <c r="B769" s="13"/>
      <c r="C769" s="13"/>
    </row>
    <row r="770" spans="1:3" ht="13" x14ac:dyDescent="0.15">
      <c r="A770" s="10"/>
      <c r="B770" s="13"/>
      <c r="C770" s="13"/>
    </row>
    <row r="771" spans="1:3" ht="13" x14ac:dyDescent="0.15">
      <c r="A771" s="10"/>
      <c r="B771" s="13"/>
      <c r="C771" s="13"/>
    </row>
    <row r="772" spans="1:3" ht="13" x14ac:dyDescent="0.15">
      <c r="A772" s="10"/>
      <c r="B772" s="13"/>
      <c r="C772" s="13"/>
    </row>
    <row r="773" spans="1:3" ht="13" x14ac:dyDescent="0.15">
      <c r="A773" s="10"/>
      <c r="B773" s="13"/>
      <c r="C773" s="13"/>
    </row>
    <row r="774" spans="1:3" ht="13" x14ac:dyDescent="0.15">
      <c r="A774" s="10"/>
      <c r="B774" s="13"/>
      <c r="C774" s="13"/>
    </row>
    <row r="775" spans="1:3" ht="13" x14ac:dyDescent="0.15">
      <c r="A775" s="10"/>
      <c r="B775" s="13"/>
      <c r="C775" s="13"/>
    </row>
    <row r="776" spans="1:3" ht="13" x14ac:dyDescent="0.15">
      <c r="A776" s="10"/>
      <c r="B776" s="13"/>
      <c r="C776" s="13"/>
    </row>
    <row r="777" spans="1:3" ht="13" x14ac:dyDescent="0.15">
      <c r="A777" s="10"/>
      <c r="B777" s="13"/>
      <c r="C777" s="13"/>
    </row>
    <row r="778" spans="1:3" ht="13" x14ac:dyDescent="0.15">
      <c r="A778" s="10"/>
      <c r="B778" s="13"/>
      <c r="C778" s="13"/>
    </row>
    <row r="779" spans="1:3" ht="13" x14ac:dyDescent="0.15">
      <c r="A779" s="10"/>
      <c r="B779" s="13"/>
      <c r="C779" s="13"/>
    </row>
    <row r="780" spans="1:3" ht="13" x14ac:dyDescent="0.15">
      <c r="A780" s="10"/>
      <c r="B780" s="13"/>
      <c r="C780" s="13"/>
    </row>
    <row r="781" spans="1:3" ht="13" x14ac:dyDescent="0.15">
      <c r="A781" s="10"/>
      <c r="B781" s="13"/>
      <c r="C781" s="13"/>
    </row>
    <row r="782" spans="1:3" ht="13" x14ac:dyDescent="0.15">
      <c r="A782" s="10"/>
      <c r="B782" s="13"/>
      <c r="C782" s="13"/>
    </row>
    <row r="783" spans="1:3" ht="13" x14ac:dyDescent="0.15">
      <c r="A783" s="10"/>
      <c r="B783" s="13"/>
      <c r="C783" s="13"/>
    </row>
    <row r="784" spans="1:3" ht="13" x14ac:dyDescent="0.15">
      <c r="A784" s="10"/>
      <c r="B784" s="13"/>
      <c r="C784" s="13"/>
    </row>
    <row r="785" spans="1:3" ht="13" x14ac:dyDescent="0.15">
      <c r="A785" s="10"/>
      <c r="B785" s="13"/>
      <c r="C785" s="13"/>
    </row>
    <row r="786" spans="1:3" ht="13" x14ac:dyDescent="0.15">
      <c r="A786" s="10"/>
      <c r="B786" s="13"/>
      <c r="C786" s="13"/>
    </row>
    <row r="787" spans="1:3" ht="13" x14ac:dyDescent="0.15">
      <c r="A787" s="10"/>
      <c r="B787" s="13"/>
      <c r="C787" s="13"/>
    </row>
    <row r="788" spans="1:3" ht="13" x14ac:dyDescent="0.15">
      <c r="A788" s="10"/>
      <c r="B788" s="13"/>
      <c r="C788" s="13"/>
    </row>
    <row r="789" spans="1:3" ht="13" x14ac:dyDescent="0.15">
      <c r="A789" s="10"/>
      <c r="B789" s="13"/>
      <c r="C789" s="13"/>
    </row>
    <row r="790" spans="1:3" ht="13" x14ac:dyDescent="0.15">
      <c r="A790" s="10"/>
      <c r="B790" s="13"/>
      <c r="C790" s="13"/>
    </row>
    <row r="791" spans="1:3" ht="13" x14ac:dyDescent="0.15">
      <c r="A791" s="10"/>
      <c r="B791" s="13"/>
      <c r="C791" s="13"/>
    </row>
    <row r="792" spans="1:3" ht="13" x14ac:dyDescent="0.15">
      <c r="A792" s="10"/>
      <c r="B792" s="13"/>
      <c r="C792" s="13"/>
    </row>
    <row r="793" spans="1:3" ht="13" x14ac:dyDescent="0.15">
      <c r="A793" s="10"/>
      <c r="B793" s="13"/>
      <c r="C793" s="13"/>
    </row>
    <row r="794" spans="1:3" ht="13" x14ac:dyDescent="0.15">
      <c r="A794" s="10"/>
      <c r="B794" s="13"/>
      <c r="C794" s="13"/>
    </row>
    <row r="795" spans="1:3" ht="13" x14ac:dyDescent="0.15">
      <c r="A795" s="10"/>
      <c r="B795" s="13"/>
      <c r="C795" s="13"/>
    </row>
    <row r="796" spans="1:3" ht="13" x14ac:dyDescent="0.15">
      <c r="A796" s="10"/>
      <c r="B796" s="13"/>
      <c r="C796" s="13"/>
    </row>
    <row r="797" spans="1:3" ht="13" x14ac:dyDescent="0.15">
      <c r="A797" s="10"/>
      <c r="B797" s="13"/>
      <c r="C797" s="13"/>
    </row>
    <row r="798" spans="1:3" ht="13" x14ac:dyDescent="0.15">
      <c r="A798" s="10"/>
      <c r="B798" s="13"/>
      <c r="C798" s="13"/>
    </row>
    <row r="799" spans="1:3" ht="13" x14ac:dyDescent="0.15">
      <c r="A799" s="10"/>
      <c r="B799" s="13"/>
      <c r="C799" s="13"/>
    </row>
    <row r="800" spans="1:3" ht="13" x14ac:dyDescent="0.15">
      <c r="A800" s="10"/>
      <c r="B800" s="13"/>
      <c r="C800" s="13"/>
    </row>
    <row r="801" spans="1:3" ht="13" x14ac:dyDescent="0.15">
      <c r="A801" s="10"/>
      <c r="B801" s="13"/>
      <c r="C801" s="13"/>
    </row>
    <row r="802" spans="1:3" ht="13" x14ac:dyDescent="0.15">
      <c r="A802" s="10"/>
      <c r="B802" s="13"/>
      <c r="C802" s="13"/>
    </row>
    <row r="803" spans="1:3" ht="13" x14ac:dyDescent="0.15">
      <c r="A803" s="10"/>
      <c r="B803" s="13"/>
      <c r="C803" s="13"/>
    </row>
    <row r="804" spans="1:3" ht="13" x14ac:dyDescent="0.15">
      <c r="A804" s="10"/>
      <c r="B804" s="13"/>
      <c r="C804" s="13"/>
    </row>
    <row r="805" spans="1:3" ht="13" x14ac:dyDescent="0.15">
      <c r="A805" s="10"/>
      <c r="B805" s="13"/>
      <c r="C805" s="13"/>
    </row>
    <row r="806" spans="1:3" ht="13" x14ac:dyDescent="0.15">
      <c r="A806" s="10"/>
      <c r="B806" s="13"/>
      <c r="C806" s="13"/>
    </row>
    <row r="807" spans="1:3" ht="13" x14ac:dyDescent="0.15">
      <c r="A807" s="10"/>
      <c r="B807" s="13"/>
      <c r="C807" s="13"/>
    </row>
    <row r="808" spans="1:3" ht="13" x14ac:dyDescent="0.15">
      <c r="A808" s="10"/>
      <c r="B808" s="13"/>
      <c r="C808" s="13"/>
    </row>
    <row r="809" spans="1:3" ht="13" x14ac:dyDescent="0.15">
      <c r="A809" s="10"/>
      <c r="B809" s="13"/>
      <c r="C809" s="13"/>
    </row>
    <row r="810" spans="1:3" ht="13" x14ac:dyDescent="0.15">
      <c r="A810" s="10"/>
      <c r="B810" s="13"/>
      <c r="C810" s="13"/>
    </row>
    <row r="811" spans="1:3" ht="13" x14ac:dyDescent="0.15">
      <c r="A811" s="10"/>
      <c r="B811" s="13"/>
      <c r="C811" s="13"/>
    </row>
    <row r="812" spans="1:3" ht="13" x14ac:dyDescent="0.15">
      <c r="A812" s="10"/>
      <c r="B812" s="13"/>
      <c r="C812" s="13"/>
    </row>
    <row r="813" spans="1:3" ht="13" x14ac:dyDescent="0.15">
      <c r="A813" s="10"/>
      <c r="B813" s="13"/>
      <c r="C813" s="13"/>
    </row>
    <row r="814" spans="1:3" ht="13" x14ac:dyDescent="0.15">
      <c r="A814" s="10"/>
      <c r="B814" s="13"/>
      <c r="C814" s="13"/>
    </row>
    <row r="815" spans="1:3" ht="13" x14ac:dyDescent="0.15">
      <c r="A815" s="10"/>
      <c r="B815" s="13"/>
      <c r="C815" s="13"/>
    </row>
    <row r="816" spans="1:3" ht="13" x14ac:dyDescent="0.15">
      <c r="A816" s="10"/>
      <c r="B816" s="13"/>
      <c r="C816" s="13"/>
    </row>
    <row r="817" spans="1:3" ht="13" x14ac:dyDescent="0.15">
      <c r="A817" s="10"/>
      <c r="B817" s="13"/>
      <c r="C817" s="13"/>
    </row>
    <row r="818" spans="1:3" ht="13" x14ac:dyDescent="0.15">
      <c r="A818" s="10"/>
      <c r="B818" s="13"/>
      <c r="C818" s="13"/>
    </row>
    <row r="819" spans="1:3" ht="13" x14ac:dyDescent="0.15">
      <c r="A819" s="10"/>
      <c r="B819" s="13"/>
      <c r="C819" s="13"/>
    </row>
    <row r="820" spans="1:3" ht="13" x14ac:dyDescent="0.15">
      <c r="A820" s="10"/>
      <c r="B820" s="13"/>
      <c r="C820" s="13"/>
    </row>
    <row r="821" spans="1:3" ht="13" x14ac:dyDescent="0.15">
      <c r="A821" s="10"/>
      <c r="B821" s="13"/>
      <c r="C821" s="13"/>
    </row>
    <row r="822" spans="1:3" ht="13" x14ac:dyDescent="0.15">
      <c r="A822" s="10"/>
      <c r="B822" s="13"/>
      <c r="C822" s="13"/>
    </row>
    <row r="823" spans="1:3" ht="13" x14ac:dyDescent="0.15">
      <c r="A823" s="10"/>
      <c r="B823" s="13"/>
      <c r="C823" s="13"/>
    </row>
    <row r="824" spans="1:3" ht="13" x14ac:dyDescent="0.15">
      <c r="A824" s="10"/>
      <c r="B824" s="13"/>
      <c r="C824" s="13"/>
    </row>
    <row r="825" spans="1:3" ht="13" x14ac:dyDescent="0.15">
      <c r="A825" s="10"/>
      <c r="B825" s="13"/>
      <c r="C825" s="13"/>
    </row>
    <row r="826" spans="1:3" ht="13" x14ac:dyDescent="0.15">
      <c r="A826" s="10"/>
      <c r="B826" s="13"/>
      <c r="C826" s="13"/>
    </row>
    <row r="827" spans="1:3" ht="13" x14ac:dyDescent="0.15">
      <c r="A827" s="10"/>
      <c r="B827" s="13"/>
      <c r="C827" s="13"/>
    </row>
    <row r="828" spans="1:3" ht="13" x14ac:dyDescent="0.15">
      <c r="A828" s="10"/>
      <c r="B828" s="13"/>
      <c r="C828" s="13"/>
    </row>
    <row r="829" spans="1:3" ht="13" x14ac:dyDescent="0.15">
      <c r="A829" s="10"/>
      <c r="B829" s="13"/>
      <c r="C829" s="13"/>
    </row>
    <row r="830" spans="1:3" ht="13" x14ac:dyDescent="0.15">
      <c r="A830" s="10"/>
      <c r="B830" s="13"/>
      <c r="C830" s="13"/>
    </row>
    <row r="831" spans="1:3" ht="13" x14ac:dyDescent="0.15">
      <c r="A831" s="10"/>
      <c r="B831" s="13"/>
      <c r="C831" s="13"/>
    </row>
    <row r="832" spans="1:3" ht="13" x14ac:dyDescent="0.15">
      <c r="A832" s="10"/>
      <c r="B832" s="13"/>
      <c r="C832" s="13"/>
    </row>
    <row r="833" spans="1:3" ht="13" x14ac:dyDescent="0.15">
      <c r="A833" s="10"/>
      <c r="B833" s="13"/>
      <c r="C833" s="13"/>
    </row>
    <row r="834" spans="1:3" ht="13" x14ac:dyDescent="0.15">
      <c r="A834" s="10"/>
      <c r="B834" s="13"/>
      <c r="C834" s="13"/>
    </row>
    <row r="835" spans="1:3" ht="13" x14ac:dyDescent="0.15">
      <c r="A835" s="10"/>
      <c r="B835" s="13"/>
      <c r="C835" s="13"/>
    </row>
    <row r="836" spans="1:3" ht="13" x14ac:dyDescent="0.15">
      <c r="A836" s="10"/>
      <c r="B836" s="13"/>
      <c r="C836" s="13"/>
    </row>
    <row r="837" spans="1:3" ht="13" x14ac:dyDescent="0.15">
      <c r="A837" s="10"/>
      <c r="B837" s="13"/>
      <c r="C837" s="13"/>
    </row>
    <row r="838" spans="1:3" ht="13" x14ac:dyDescent="0.15">
      <c r="A838" s="10"/>
      <c r="B838" s="13"/>
      <c r="C838" s="13"/>
    </row>
    <row r="839" spans="1:3" ht="13" x14ac:dyDescent="0.15">
      <c r="A839" s="10"/>
      <c r="B839" s="13"/>
      <c r="C839" s="13"/>
    </row>
    <row r="840" spans="1:3" ht="13" x14ac:dyDescent="0.15">
      <c r="A840" s="10"/>
      <c r="B840" s="13"/>
      <c r="C840" s="13"/>
    </row>
    <row r="841" spans="1:3" ht="13" x14ac:dyDescent="0.15">
      <c r="A841" s="10"/>
      <c r="B841" s="13"/>
      <c r="C841" s="13"/>
    </row>
    <row r="842" spans="1:3" ht="13" x14ac:dyDescent="0.15">
      <c r="A842" s="10"/>
      <c r="B842" s="13"/>
      <c r="C842" s="13"/>
    </row>
    <row r="843" spans="1:3" ht="13" x14ac:dyDescent="0.15">
      <c r="A843" s="10"/>
      <c r="B843" s="13"/>
      <c r="C843" s="13"/>
    </row>
    <row r="844" spans="1:3" ht="13" x14ac:dyDescent="0.15">
      <c r="A844" s="10"/>
      <c r="B844" s="13"/>
      <c r="C844" s="13"/>
    </row>
    <row r="845" spans="1:3" ht="13" x14ac:dyDescent="0.15">
      <c r="A845" s="10"/>
      <c r="B845" s="13"/>
      <c r="C845" s="13"/>
    </row>
    <row r="846" spans="1:3" ht="13" x14ac:dyDescent="0.15">
      <c r="A846" s="10"/>
      <c r="B846" s="13"/>
      <c r="C846" s="13"/>
    </row>
    <row r="847" spans="1:3" ht="13" x14ac:dyDescent="0.15">
      <c r="A847" s="10"/>
      <c r="B847" s="13"/>
      <c r="C847" s="13"/>
    </row>
    <row r="848" spans="1:3" ht="13" x14ac:dyDescent="0.15">
      <c r="A848" s="10"/>
      <c r="B848" s="13"/>
      <c r="C848" s="13"/>
    </row>
    <row r="849" spans="1:3" ht="13" x14ac:dyDescent="0.15">
      <c r="A849" s="10"/>
      <c r="B849" s="13"/>
      <c r="C849" s="13"/>
    </row>
    <row r="850" spans="1:3" ht="13" x14ac:dyDescent="0.15">
      <c r="A850" s="10"/>
      <c r="B850" s="13"/>
      <c r="C850" s="13"/>
    </row>
    <row r="851" spans="1:3" ht="13" x14ac:dyDescent="0.15">
      <c r="A851" s="10"/>
      <c r="B851" s="13"/>
      <c r="C851" s="13"/>
    </row>
    <row r="852" spans="1:3" ht="13" x14ac:dyDescent="0.15">
      <c r="A852" s="10"/>
      <c r="B852" s="13"/>
      <c r="C852" s="13"/>
    </row>
    <row r="853" spans="1:3" ht="13" x14ac:dyDescent="0.15">
      <c r="A853" s="10"/>
      <c r="B853" s="13"/>
      <c r="C853" s="13"/>
    </row>
    <row r="854" spans="1:3" ht="13" x14ac:dyDescent="0.15">
      <c r="A854" s="10"/>
      <c r="B854" s="13"/>
      <c r="C854" s="13"/>
    </row>
    <row r="855" spans="1:3" ht="13" x14ac:dyDescent="0.15">
      <c r="A855" s="10"/>
      <c r="B855" s="13"/>
      <c r="C855" s="13"/>
    </row>
    <row r="856" spans="1:3" ht="13" x14ac:dyDescent="0.15">
      <c r="A856" s="10"/>
      <c r="B856" s="13"/>
      <c r="C856" s="13"/>
    </row>
    <row r="857" spans="1:3" ht="13" x14ac:dyDescent="0.15">
      <c r="A857" s="10"/>
      <c r="B857" s="13"/>
      <c r="C857" s="13"/>
    </row>
    <row r="858" spans="1:3" ht="13" x14ac:dyDescent="0.15">
      <c r="A858" s="10"/>
      <c r="B858" s="13"/>
      <c r="C858" s="13"/>
    </row>
    <row r="859" spans="1:3" ht="13" x14ac:dyDescent="0.15">
      <c r="A859" s="10"/>
      <c r="B859" s="13"/>
      <c r="C859" s="13"/>
    </row>
    <row r="860" spans="1:3" ht="13" x14ac:dyDescent="0.15">
      <c r="A860" s="10"/>
      <c r="B860" s="13"/>
      <c r="C860" s="13"/>
    </row>
    <row r="861" spans="1:3" ht="13" x14ac:dyDescent="0.15">
      <c r="A861" s="10"/>
      <c r="B861" s="13"/>
      <c r="C861" s="13"/>
    </row>
    <row r="862" spans="1:3" ht="13" x14ac:dyDescent="0.15">
      <c r="A862" s="10"/>
      <c r="B862" s="13"/>
      <c r="C862" s="13"/>
    </row>
    <row r="863" spans="1:3" ht="13" x14ac:dyDescent="0.15">
      <c r="A863" s="10"/>
      <c r="B863" s="13"/>
      <c r="C863" s="13"/>
    </row>
    <row r="864" spans="1:3" ht="13" x14ac:dyDescent="0.15">
      <c r="A864" s="10"/>
      <c r="B864" s="13"/>
      <c r="C864" s="13"/>
    </row>
    <row r="865" spans="1:3" ht="13" x14ac:dyDescent="0.15">
      <c r="A865" s="10"/>
      <c r="B865" s="13"/>
      <c r="C865" s="13"/>
    </row>
    <row r="866" spans="1:3" ht="13" x14ac:dyDescent="0.15">
      <c r="A866" s="10"/>
      <c r="B866" s="13"/>
      <c r="C866" s="13"/>
    </row>
    <row r="867" spans="1:3" ht="13" x14ac:dyDescent="0.15">
      <c r="A867" s="10"/>
      <c r="B867" s="13"/>
      <c r="C867" s="13"/>
    </row>
    <row r="868" spans="1:3" ht="13" x14ac:dyDescent="0.15">
      <c r="A868" s="10"/>
      <c r="B868" s="13"/>
      <c r="C868" s="13"/>
    </row>
    <row r="869" spans="1:3" ht="13" x14ac:dyDescent="0.15">
      <c r="A869" s="10"/>
      <c r="B869" s="13"/>
      <c r="C869" s="13"/>
    </row>
    <row r="870" spans="1:3" ht="13" x14ac:dyDescent="0.15">
      <c r="A870" s="10"/>
      <c r="B870" s="13"/>
      <c r="C870" s="13"/>
    </row>
    <row r="871" spans="1:3" ht="13" x14ac:dyDescent="0.15">
      <c r="A871" s="10"/>
      <c r="B871" s="13"/>
      <c r="C871" s="13"/>
    </row>
    <row r="872" spans="1:3" ht="13" x14ac:dyDescent="0.15">
      <c r="A872" s="10"/>
      <c r="B872" s="13"/>
      <c r="C872" s="13"/>
    </row>
    <row r="873" spans="1:3" ht="13" x14ac:dyDescent="0.15">
      <c r="A873" s="10"/>
      <c r="B873" s="13"/>
      <c r="C873" s="13"/>
    </row>
    <row r="874" spans="1:3" ht="13" x14ac:dyDescent="0.15">
      <c r="A874" s="10"/>
      <c r="B874" s="13"/>
      <c r="C874" s="13"/>
    </row>
    <row r="875" spans="1:3" ht="13" x14ac:dyDescent="0.15">
      <c r="A875" s="10"/>
      <c r="B875" s="13"/>
      <c r="C875" s="13"/>
    </row>
    <row r="876" spans="1:3" ht="13" x14ac:dyDescent="0.15">
      <c r="A876" s="10"/>
      <c r="B876" s="13"/>
      <c r="C876" s="13"/>
    </row>
    <row r="877" spans="1:3" ht="13" x14ac:dyDescent="0.15">
      <c r="A877" s="10"/>
      <c r="B877" s="13"/>
      <c r="C877" s="13"/>
    </row>
    <row r="878" spans="1:3" ht="13" x14ac:dyDescent="0.15">
      <c r="A878" s="10"/>
      <c r="B878" s="13"/>
      <c r="C878" s="13"/>
    </row>
    <row r="879" spans="1:3" ht="13" x14ac:dyDescent="0.15">
      <c r="A879" s="10"/>
      <c r="B879" s="13"/>
      <c r="C879" s="13"/>
    </row>
    <row r="880" spans="1:3" ht="13" x14ac:dyDescent="0.15">
      <c r="A880" s="10"/>
      <c r="B880" s="13"/>
      <c r="C880" s="13"/>
    </row>
    <row r="881" spans="1:3" ht="13" x14ac:dyDescent="0.15">
      <c r="A881" s="10"/>
      <c r="B881" s="13"/>
      <c r="C881" s="13"/>
    </row>
    <row r="882" spans="1:3" ht="13" x14ac:dyDescent="0.15">
      <c r="A882" s="10"/>
      <c r="B882" s="13"/>
      <c r="C882" s="13"/>
    </row>
    <row r="883" spans="1:3" ht="13" x14ac:dyDescent="0.15">
      <c r="A883" s="10"/>
      <c r="B883" s="13"/>
      <c r="C883" s="13"/>
    </row>
    <row r="884" spans="1:3" ht="13" x14ac:dyDescent="0.15">
      <c r="A884" s="10"/>
      <c r="B884" s="13"/>
      <c r="C884" s="13"/>
    </row>
    <row r="885" spans="1:3" ht="13" x14ac:dyDescent="0.15">
      <c r="A885" s="10"/>
      <c r="B885" s="13"/>
      <c r="C885" s="13"/>
    </row>
    <row r="886" spans="1:3" ht="13" x14ac:dyDescent="0.15">
      <c r="A886" s="10"/>
      <c r="B886" s="13"/>
      <c r="C886" s="13"/>
    </row>
    <row r="887" spans="1:3" ht="13" x14ac:dyDescent="0.15">
      <c r="A887" s="10"/>
      <c r="B887" s="13"/>
      <c r="C887" s="13"/>
    </row>
    <row r="888" spans="1:3" ht="13" x14ac:dyDescent="0.15">
      <c r="A888" s="10"/>
      <c r="B888" s="13"/>
      <c r="C888" s="13"/>
    </row>
    <row r="889" spans="1:3" ht="13" x14ac:dyDescent="0.15">
      <c r="A889" s="10"/>
      <c r="B889" s="13"/>
      <c r="C889" s="13"/>
    </row>
    <row r="890" spans="1:3" ht="13" x14ac:dyDescent="0.15">
      <c r="A890" s="10"/>
      <c r="B890" s="13"/>
      <c r="C890" s="13"/>
    </row>
    <row r="891" spans="1:3" ht="13" x14ac:dyDescent="0.15">
      <c r="A891" s="10"/>
      <c r="B891" s="13"/>
      <c r="C891" s="13"/>
    </row>
    <row r="892" spans="1:3" ht="13" x14ac:dyDescent="0.15">
      <c r="A892" s="10"/>
      <c r="B892" s="13"/>
      <c r="C892" s="13"/>
    </row>
    <row r="893" spans="1:3" ht="13" x14ac:dyDescent="0.15">
      <c r="A893" s="10"/>
      <c r="B893" s="13"/>
      <c r="C893" s="13"/>
    </row>
    <row r="894" spans="1:3" ht="13" x14ac:dyDescent="0.15">
      <c r="A894" s="10"/>
      <c r="B894" s="13"/>
      <c r="C894" s="13"/>
    </row>
    <row r="895" spans="1:3" ht="13" x14ac:dyDescent="0.15">
      <c r="A895" s="10"/>
      <c r="B895" s="13"/>
      <c r="C895" s="13"/>
    </row>
    <row r="896" spans="1:3" ht="13" x14ac:dyDescent="0.15">
      <c r="A896" s="10"/>
      <c r="B896" s="13"/>
      <c r="C896" s="13"/>
    </row>
    <row r="897" spans="1:3" ht="13" x14ac:dyDescent="0.15">
      <c r="A897" s="10"/>
      <c r="B897" s="13"/>
      <c r="C897" s="13"/>
    </row>
    <row r="898" spans="1:3" ht="13" x14ac:dyDescent="0.15">
      <c r="A898" s="10"/>
      <c r="B898" s="13"/>
      <c r="C898" s="13"/>
    </row>
    <row r="899" spans="1:3" ht="13" x14ac:dyDescent="0.15">
      <c r="A899" s="10"/>
      <c r="B899" s="13"/>
      <c r="C899" s="13"/>
    </row>
    <row r="900" spans="1:3" ht="13" x14ac:dyDescent="0.15">
      <c r="A900" s="10"/>
      <c r="B900" s="13"/>
      <c r="C900" s="13"/>
    </row>
    <row r="901" spans="1:3" ht="13" x14ac:dyDescent="0.15">
      <c r="A901" s="10"/>
      <c r="B901" s="13"/>
      <c r="C901" s="13"/>
    </row>
    <row r="902" spans="1:3" ht="13" x14ac:dyDescent="0.15">
      <c r="A902" s="10"/>
      <c r="B902" s="13"/>
      <c r="C902" s="13"/>
    </row>
    <row r="903" spans="1:3" ht="13" x14ac:dyDescent="0.15">
      <c r="A903" s="10"/>
      <c r="B903" s="13"/>
      <c r="C903" s="13"/>
    </row>
    <row r="904" spans="1:3" ht="13" x14ac:dyDescent="0.15">
      <c r="A904" s="10"/>
      <c r="B904" s="13"/>
      <c r="C904" s="13"/>
    </row>
    <row r="905" spans="1:3" ht="13" x14ac:dyDescent="0.15">
      <c r="A905" s="10"/>
      <c r="B905" s="13"/>
      <c r="C905" s="13"/>
    </row>
    <row r="906" spans="1:3" ht="13" x14ac:dyDescent="0.15">
      <c r="A906" s="10"/>
      <c r="B906" s="13"/>
      <c r="C906" s="13"/>
    </row>
    <row r="907" spans="1:3" ht="13" x14ac:dyDescent="0.15">
      <c r="A907" s="10"/>
      <c r="B907" s="13"/>
      <c r="C907" s="13"/>
    </row>
    <row r="908" spans="1:3" ht="13" x14ac:dyDescent="0.15">
      <c r="A908" s="10"/>
      <c r="B908" s="13"/>
      <c r="C908" s="13"/>
    </row>
    <row r="909" spans="1:3" ht="13" x14ac:dyDescent="0.15">
      <c r="A909" s="10"/>
      <c r="B909" s="13"/>
      <c r="C909" s="13"/>
    </row>
    <row r="910" spans="1:3" ht="13" x14ac:dyDescent="0.15">
      <c r="A910" s="10"/>
      <c r="B910" s="13"/>
      <c r="C910" s="13"/>
    </row>
    <row r="911" spans="1:3" ht="13" x14ac:dyDescent="0.15">
      <c r="A911" s="10"/>
      <c r="B911" s="13"/>
      <c r="C911" s="13"/>
    </row>
    <row r="912" spans="1:3" ht="13" x14ac:dyDescent="0.15">
      <c r="A912" s="10"/>
      <c r="B912" s="13"/>
      <c r="C912" s="13"/>
    </row>
    <row r="913" spans="1:3" ht="13" x14ac:dyDescent="0.15">
      <c r="A913" s="10"/>
      <c r="B913" s="13"/>
      <c r="C913" s="13"/>
    </row>
    <row r="914" spans="1:3" ht="13" x14ac:dyDescent="0.15">
      <c r="A914" s="10"/>
      <c r="B914" s="13"/>
      <c r="C914" s="13"/>
    </row>
    <row r="915" spans="1:3" ht="13" x14ac:dyDescent="0.15">
      <c r="A915" s="10"/>
      <c r="B915" s="13"/>
      <c r="C915" s="13"/>
    </row>
    <row r="916" spans="1:3" ht="13" x14ac:dyDescent="0.15">
      <c r="A916" s="10"/>
      <c r="B916" s="13"/>
      <c r="C916" s="13"/>
    </row>
    <row r="917" spans="1:3" ht="13" x14ac:dyDescent="0.15">
      <c r="A917" s="10"/>
      <c r="B917" s="13"/>
      <c r="C917" s="13"/>
    </row>
    <row r="918" spans="1:3" ht="13" x14ac:dyDescent="0.15">
      <c r="A918" s="10"/>
      <c r="B918" s="13"/>
      <c r="C918" s="13"/>
    </row>
    <row r="919" spans="1:3" ht="13" x14ac:dyDescent="0.15">
      <c r="A919" s="10"/>
      <c r="B919" s="13"/>
      <c r="C919" s="13"/>
    </row>
    <row r="920" spans="1:3" ht="13" x14ac:dyDescent="0.15">
      <c r="A920" s="10"/>
      <c r="B920" s="13"/>
      <c r="C920" s="13"/>
    </row>
    <row r="921" spans="1:3" ht="13" x14ac:dyDescent="0.15">
      <c r="A921" s="10"/>
      <c r="B921" s="13"/>
      <c r="C921" s="13"/>
    </row>
    <row r="922" spans="1:3" ht="13" x14ac:dyDescent="0.15">
      <c r="A922" s="10"/>
      <c r="B922" s="13"/>
      <c r="C922" s="13"/>
    </row>
    <row r="923" spans="1:3" ht="13" x14ac:dyDescent="0.15">
      <c r="A923" s="10"/>
      <c r="B923" s="13"/>
      <c r="C923" s="13"/>
    </row>
    <row r="924" spans="1:3" ht="13" x14ac:dyDescent="0.15">
      <c r="A924" s="10"/>
      <c r="B924" s="13"/>
      <c r="C924" s="13"/>
    </row>
    <row r="925" spans="1:3" ht="13" x14ac:dyDescent="0.15">
      <c r="A925" s="10"/>
      <c r="B925" s="13"/>
      <c r="C925" s="13"/>
    </row>
    <row r="926" spans="1:3" ht="13" x14ac:dyDescent="0.15">
      <c r="A926" s="10"/>
      <c r="B926" s="13"/>
      <c r="C926" s="13"/>
    </row>
    <row r="927" spans="1:3" ht="13" x14ac:dyDescent="0.15">
      <c r="A927" s="10"/>
      <c r="B927" s="13"/>
      <c r="C927" s="13"/>
    </row>
    <row r="928" spans="1:3" ht="13" x14ac:dyDescent="0.15">
      <c r="A928" s="10"/>
      <c r="B928" s="13"/>
      <c r="C928" s="13"/>
    </row>
    <row r="929" spans="1:3" ht="13" x14ac:dyDescent="0.15">
      <c r="A929" s="10"/>
      <c r="B929" s="13"/>
      <c r="C929" s="13"/>
    </row>
    <row r="930" spans="1:3" ht="13" x14ac:dyDescent="0.15">
      <c r="A930" s="10"/>
      <c r="B930" s="13"/>
      <c r="C930" s="13"/>
    </row>
    <row r="931" spans="1:3" ht="13" x14ac:dyDescent="0.15">
      <c r="A931" s="10"/>
      <c r="B931" s="13"/>
      <c r="C931" s="13"/>
    </row>
    <row r="932" spans="1:3" ht="13" x14ac:dyDescent="0.15">
      <c r="A932" s="10"/>
      <c r="B932" s="13"/>
      <c r="C932" s="13"/>
    </row>
    <row r="933" spans="1:3" ht="13" x14ac:dyDescent="0.15">
      <c r="A933" s="10"/>
      <c r="B933" s="13"/>
      <c r="C933" s="13"/>
    </row>
    <row r="934" spans="1:3" ht="13" x14ac:dyDescent="0.15">
      <c r="A934" s="10"/>
      <c r="B934" s="13"/>
      <c r="C934" s="13"/>
    </row>
    <row r="935" spans="1:3" ht="13" x14ac:dyDescent="0.15">
      <c r="A935" s="10"/>
      <c r="B935" s="13"/>
      <c r="C935" s="13"/>
    </row>
    <row r="936" spans="1:3" ht="13" x14ac:dyDescent="0.15">
      <c r="A936" s="10"/>
      <c r="B936" s="13"/>
      <c r="C936" s="13"/>
    </row>
    <row r="937" spans="1:3" ht="13" x14ac:dyDescent="0.15">
      <c r="A937" s="10"/>
      <c r="B937" s="13"/>
      <c r="C937" s="13"/>
    </row>
    <row r="938" spans="1:3" ht="13" x14ac:dyDescent="0.15">
      <c r="A938" s="10"/>
      <c r="B938" s="13"/>
      <c r="C938" s="13"/>
    </row>
    <row r="939" spans="1:3" ht="13" x14ac:dyDescent="0.15">
      <c r="A939" s="10"/>
      <c r="B939" s="13"/>
      <c r="C939" s="13"/>
    </row>
    <row r="940" spans="1:3" ht="13" x14ac:dyDescent="0.15">
      <c r="A940" s="10"/>
      <c r="B940" s="13"/>
      <c r="C940" s="13"/>
    </row>
    <row r="941" spans="1:3" ht="13" x14ac:dyDescent="0.15">
      <c r="A941" s="10"/>
      <c r="B941" s="13"/>
      <c r="C941" s="13"/>
    </row>
    <row r="942" spans="1:3" ht="13" x14ac:dyDescent="0.15">
      <c r="A942" s="10"/>
      <c r="B942" s="13"/>
      <c r="C942" s="13"/>
    </row>
    <row r="943" spans="1:3" ht="13" x14ac:dyDescent="0.15">
      <c r="A943" s="10"/>
      <c r="B943" s="13"/>
      <c r="C943" s="13"/>
    </row>
    <row r="944" spans="1:3" ht="13" x14ac:dyDescent="0.15">
      <c r="A944" s="10"/>
      <c r="B944" s="13"/>
      <c r="C944" s="13"/>
    </row>
    <row r="945" spans="1:3" ht="13" x14ac:dyDescent="0.15">
      <c r="A945" s="10"/>
      <c r="B945" s="13"/>
      <c r="C945" s="13"/>
    </row>
    <row r="946" spans="1:3" ht="13" x14ac:dyDescent="0.15">
      <c r="A946" s="10"/>
      <c r="B946" s="13"/>
      <c r="C946" s="13"/>
    </row>
    <row r="947" spans="1:3" ht="13" x14ac:dyDescent="0.15">
      <c r="A947" s="10"/>
      <c r="B947" s="13"/>
      <c r="C947" s="13"/>
    </row>
    <row r="948" spans="1:3" ht="13" x14ac:dyDescent="0.15">
      <c r="A948" s="10"/>
      <c r="B948" s="13"/>
      <c r="C948" s="13"/>
    </row>
    <row r="949" spans="1:3" ht="13" x14ac:dyDescent="0.15">
      <c r="A949" s="10"/>
      <c r="B949" s="13"/>
      <c r="C949" s="13"/>
    </row>
    <row r="950" spans="1:3" ht="13" x14ac:dyDescent="0.15">
      <c r="A950" s="10"/>
      <c r="B950" s="13"/>
      <c r="C950" s="13"/>
    </row>
    <row r="951" spans="1:3" ht="13" x14ac:dyDescent="0.15">
      <c r="A951" s="10"/>
      <c r="B951" s="13"/>
      <c r="C951" s="13"/>
    </row>
    <row r="952" spans="1:3" ht="13" x14ac:dyDescent="0.15">
      <c r="A952" s="10"/>
      <c r="B952" s="13"/>
      <c r="C952" s="13"/>
    </row>
    <row r="953" spans="1:3" ht="13" x14ac:dyDescent="0.15">
      <c r="A953" s="10"/>
      <c r="B953" s="13"/>
      <c r="C953" s="13"/>
    </row>
    <row r="954" spans="1:3" ht="13" x14ac:dyDescent="0.15">
      <c r="A954" s="10"/>
      <c r="B954" s="13"/>
      <c r="C954" s="13"/>
    </row>
    <row r="955" spans="1:3" ht="13" x14ac:dyDescent="0.15">
      <c r="A955" s="10"/>
      <c r="B955" s="13"/>
      <c r="C955" s="13"/>
    </row>
    <row r="956" spans="1:3" ht="13" x14ac:dyDescent="0.15">
      <c r="A956" s="10"/>
      <c r="B956" s="13"/>
      <c r="C956" s="13"/>
    </row>
    <row r="957" spans="1:3" ht="13" x14ac:dyDescent="0.15">
      <c r="A957" s="10"/>
      <c r="B957" s="13"/>
      <c r="C957" s="13"/>
    </row>
    <row r="958" spans="1:3" ht="13" x14ac:dyDescent="0.15">
      <c r="A958" s="10"/>
      <c r="B958" s="13"/>
      <c r="C958" s="13"/>
    </row>
    <row r="959" spans="1:3" ht="13" x14ac:dyDescent="0.15">
      <c r="A959" s="10"/>
      <c r="B959" s="13"/>
      <c r="C959" s="13"/>
    </row>
    <row r="960" spans="1:3" ht="13" x14ac:dyDescent="0.15">
      <c r="A960" s="10"/>
      <c r="B960" s="13"/>
      <c r="C960" s="13"/>
    </row>
    <row r="961" spans="1:3" ht="13" x14ac:dyDescent="0.15">
      <c r="A961" s="10"/>
      <c r="B961" s="13"/>
      <c r="C961" s="13"/>
    </row>
    <row r="962" spans="1:3" ht="13" x14ac:dyDescent="0.15">
      <c r="A962" s="10"/>
      <c r="B962" s="13"/>
      <c r="C962" s="13"/>
    </row>
    <row r="963" spans="1:3" ht="13" x14ac:dyDescent="0.15">
      <c r="A963" s="10"/>
      <c r="B963" s="13"/>
      <c r="C963" s="13"/>
    </row>
    <row r="964" spans="1:3" ht="13" x14ac:dyDescent="0.15">
      <c r="A964" s="10"/>
      <c r="B964" s="13"/>
      <c r="C964" s="13"/>
    </row>
    <row r="965" spans="1:3" ht="13" x14ac:dyDescent="0.15">
      <c r="A965" s="10"/>
      <c r="B965" s="13"/>
      <c r="C965" s="13"/>
    </row>
    <row r="966" spans="1:3" ht="13" x14ac:dyDescent="0.15">
      <c r="A966" s="10"/>
      <c r="B966" s="13"/>
      <c r="C966" s="13"/>
    </row>
    <row r="967" spans="1:3" ht="13" x14ac:dyDescent="0.15">
      <c r="A967" s="10"/>
      <c r="B967" s="13"/>
      <c r="C967" s="13"/>
    </row>
    <row r="968" spans="1:3" ht="13" x14ac:dyDescent="0.15">
      <c r="A968" s="10"/>
      <c r="B968" s="13"/>
      <c r="C968" s="13"/>
    </row>
    <row r="969" spans="1:3" ht="13" x14ac:dyDescent="0.15">
      <c r="A969" s="10"/>
      <c r="B969" s="13"/>
      <c r="C969" s="13"/>
    </row>
    <row r="970" spans="1:3" ht="13" x14ac:dyDescent="0.15">
      <c r="A970" s="10"/>
      <c r="B970" s="13"/>
      <c r="C970" s="13"/>
    </row>
    <row r="971" spans="1:3" ht="13" x14ac:dyDescent="0.15">
      <c r="A971" s="10"/>
      <c r="B971" s="13"/>
      <c r="C971" s="13"/>
    </row>
    <row r="972" spans="1:3" ht="13" x14ac:dyDescent="0.15">
      <c r="A972" s="10"/>
      <c r="B972" s="13"/>
      <c r="C972" s="13"/>
    </row>
    <row r="973" spans="1:3" ht="13" x14ac:dyDescent="0.15">
      <c r="A973" s="10"/>
      <c r="B973" s="13"/>
      <c r="C973" s="13"/>
    </row>
    <row r="974" spans="1:3" ht="13" x14ac:dyDescent="0.15">
      <c r="A974" s="10"/>
      <c r="B974" s="13"/>
      <c r="C974" s="13"/>
    </row>
    <row r="975" spans="1:3" ht="13" x14ac:dyDescent="0.15">
      <c r="A975" s="10"/>
      <c r="B975" s="13"/>
      <c r="C975" s="13"/>
    </row>
    <row r="976" spans="1:3" ht="13" x14ac:dyDescent="0.15">
      <c r="A976" s="10"/>
      <c r="B976" s="13"/>
      <c r="C976" s="13"/>
    </row>
    <row r="977" spans="1:3" ht="13" x14ac:dyDescent="0.15">
      <c r="A977" s="10"/>
      <c r="B977" s="13"/>
      <c r="C977" s="13"/>
    </row>
    <row r="978" spans="1:3" ht="13" x14ac:dyDescent="0.15">
      <c r="A978" s="10"/>
      <c r="B978" s="13"/>
      <c r="C978" s="13"/>
    </row>
    <row r="979" spans="1:3" ht="13" x14ac:dyDescent="0.15">
      <c r="A979" s="10"/>
      <c r="B979" s="13"/>
      <c r="C979" s="13"/>
    </row>
    <row r="980" spans="1:3" ht="13" x14ac:dyDescent="0.15">
      <c r="A980" s="10"/>
      <c r="B980" s="13"/>
      <c r="C980" s="13"/>
    </row>
    <row r="981" spans="1:3" ht="13" x14ac:dyDescent="0.15">
      <c r="A981" s="10"/>
      <c r="B981" s="13"/>
      <c r="C981" s="13"/>
    </row>
    <row r="982" spans="1:3" ht="13" x14ac:dyDescent="0.15">
      <c r="A982" s="10"/>
      <c r="B982" s="13"/>
      <c r="C982" s="13"/>
    </row>
    <row r="983" spans="1:3" ht="13" x14ac:dyDescent="0.15">
      <c r="A983" s="10"/>
      <c r="B983" s="13"/>
      <c r="C983" s="13"/>
    </row>
    <row r="984" spans="1:3" ht="13" x14ac:dyDescent="0.15">
      <c r="A984" s="10"/>
      <c r="B984" s="13"/>
      <c r="C984" s="13"/>
    </row>
    <row r="985" spans="1:3" ht="13" x14ac:dyDescent="0.15">
      <c r="A985" s="10"/>
      <c r="B985" s="13"/>
      <c r="C985" s="13"/>
    </row>
    <row r="986" spans="1:3" ht="13" x14ac:dyDescent="0.15">
      <c r="A986" s="10"/>
      <c r="B986" s="13"/>
      <c r="C986" s="13"/>
    </row>
    <row r="987" spans="1:3" ht="13" x14ac:dyDescent="0.15">
      <c r="A987" s="10"/>
      <c r="B987" s="13"/>
      <c r="C987" s="13"/>
    </row>
    <row r="988" spans="1:3" ht="13" x14ac:dyDescent="0.15">
      <c r="A988" s="10"/>
      <c r="B988" s="13"/>
      <c r="C988" s="13"/>
    </row>
    <row r="989" spans="1:3" ht="13" x14ac:dyDescent="0.15">
      <c r="A989" s="10"/>
      <c r="B989" s="13"/>
      <c r="C989" s="13"/>
    </row>
    <row r="990" spans="1:3" ht="13" x14ac:dyDescent="0.15">
      <c r="A990" s="10"/>
      <c r="B990" s="13"/>
      <c r="C990" s="13"/>
    </row>
    <row r="991" spans="1:3" ht="13" x14ac:dyDescent="0.15">
      <c r="A991" s="10"/>
      <c r="B991" s="13"/>
      <c r="C991" s="13"/>
    </row>
    <row r="992" spans="1:3" ht="13" x14ac:dyDescent="0.15">
      <c r="A992" s="10"/>
      <c r="B992" s="13"/>
      <c r="C992" s="13"/>
    </row>
    <row r="993" spans="1:3" ht="13" x14ac:dyDescent="0.15">
      <c r="A993" s="10"/>
      <c r="B993" s="13"/>
      <c r="C993" s="13"/>
    </row>
    <row r="994" spans="1:3" ht="13" x14ac:dyDescent="0.15">
      <c r="A994" s="10"/>
      <c r="B994" s="13"/>
      <c r="C994" s="13"/>
    </row>
    <row r="995" spans="1:3" ht="13" x14ac:dyDescent="0.15">
      <c r="A995" s="10"/>
      <c r="B995" s="13"/>
      <c r="C995" s="13"/>
    </row>
    <row r="996" spans="1:3" ht="13" x14ac:dyDescent="0.15">
      <c r="A996" s="10"/>
      <c r="B996" s="13"/>
      <c r="C996" s="13"/>
    </row>
    <row r="997" spans="1:3" ht="13" x14ac:dyDescent="0.15">
      <c r="A997" s="10"/>
      <c r="B997" s="13"/>
      <c r="C997" s="13"/>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ummaryRight="0"/>
  </sheetPr>
  <dimension ref="A1:D997"/>
  <sheetViews>
    <sheetView workbookViewId="0"/>
  </sheetViews>
  <sheetFormatPr baseColWidth="10" defaultColWidth="12.6640625" defaultRowHeight="15.75" customHeight="1" x14ac:dyDescent="0.15"/>
  <cols>
    <col min="1" max="1" width="71.5" customWidth="1"/>
    <col min="2" max="4" width="37.6640625" customWidth="1"/>
  </cols>
  <sheetData>
    <row r="1" spans="1:4" ht="15.75" customHeight="1" x14ac:dyDescent="0.15">
      <c r="A1" s="1"/>
      <c r="B1" s="10" t="str">
        <f ca="1">IFERROR(__xludf.DUMMYFUNCTION("IMPORTRANGE(""https://docs.google.com/spreadsheets/u/0/d/1etLQb97lMSNWG4ebq9e4mMf5V6Y_IPpBxMswZpIG47E"", ""A12!B1:B22"")"),"Erin Loudermilk")</f>
        <v>Erin Loudermilk</v>
      </c>
      <c r="C1" s="10" t="str">
        <f ca="1">IFERROR(__xludf.DUMMYFUNCTION("IMPORTRANGE(""https://docs.google.com/spreadsheets/u/0/d/1e6QLf1_HeiTNz7JOFlwsfbt48UsSPCJuGTSppexqIJc"", ""A12!B1:B22"")"),"Tyler Thibodeaux")</f>
        <v>Tyler Thibodeaux</v>
      </c>
      <c r="D1" s="2" t="s">
        <v>1</v>
      </c>
    </row>
    <row r="2" spans="1:4" ht="15.75" customHeight="1" x14ac:dyDescent="0.15">
      <c r="A2" s="3" t="s">
        <v>2</v>
      </c>
      <c r="B2" s="15" t="str">
        <f ca="1">IFERROR(__xludf.DUMMYFUNCTION("""COMPUTED_VALUE"""),"9072 to 9479 FOR")</f>
        <v>9072 to 9479 FOR</v>
      </c>
      <c r="C2" s="15" t="str">
        <f ca="1">IFERROR(__xludf.DUMMYFUNCTION("""COMPUTED_VALUE"""),"  (9072 - 9479 ) FOR")</f>
        <v xml:space="preserve">  (9072 - 9479 ) FOR</v>
      </c>
      <c r="D2" s="4"/>
    </row>
    <row r="3" spans="1:4" ht="15.75" customHeight="1" x14ac:dyDescent="0.15">
      <c r="A3" s="5" t="s">
        <v>3</v>
      </c>
      <c r="B3" s="17" t="str">
        <f ca="1">IFERROR(__xludf.DUMMYFUNCTION("""COMPUTED_VALUE"""),"12 in both")</f>
        <v>12 in both</v>
      </c>
      <c r="C3" s="17" t="str">
        <f ca="1">IFERROR(__xludf.DUMMYFUNCTION("""COMPUTED_VALUE"""),"12 in DNA MASTER, 12 PHAM")</f>
        <v>12 in DNA MASTER, 12 PHAM</v>
      </c>
      <c r="D3" s="6"/>
    </row>
    <row r="4" spans="1:4" ht="15.75" customHeight="1" x14ac:dyDescent="0.15">
      <c r="A4" s="5" t="s">
        <v>4</v>
      </c>
      <c r="B4" s="17" t="str">
        <f ca="1">IFERROR(__xludf.DUMMYFUNCTION("""COMPUTED_VALUE"""),"220317 (3/10/25)")</f>
        <v>220317 (3/10/25)</v>
      </c>
      <c r="C4" s="17" t="str">
        <f ca="1">IFERROR(__xludf.DUMMYFUNCTION("""COMPUTED_VALUE"""),"216756, 2/24/25")</f>
        <v>216756, 2/24/25</v>
      </c>
      <c r="D4" s="6"/>
    </row>
    <row r="5" spans="1:4" ht="15.75" customHeight="1" x14ac:dyDescent="0.15">
      <c r="A5" s="5" t="s">
        <v>5</v>
      </c>
      <c r="B5" s="17" t="str">
        <f ca="1">IFERROR(__xludf.DUMMYFUNCTION("""COMPUTED_VALUE"""),"Kovu_13, Edmundo_12")</f>
        <v>Kovu_13, Edmundo_12</v>
      </c>
      <c r="C5" s="17" t="str">
        <f ca="1">IFERROR(__xludf.DUMMYFUNCTION("""COMPUTED_VALUE"""),"Kovu_13")</f>
        <v>Kovu_13</v>
      </c>
      <c r="D5" s="6"/>
    </row>
    <row r="6" spans="1:4" ht="15.75" customHeight="1" x14ac:dyDescent="0.15">
      <c r="A6" s="5" t="s">
        <v>6</v>
      </c>
      <c r="B6" s="17" t="str">
        <f ca="1">IFERROR(__xludf.DUMMYFUNCTION("""COMPUTED_VALUE"""),"Genemark calls start at 9093. Glimmer calls at 9072. ")</f>
        <v xml:space="preserve">Genemark calls start at 9093. Glimmer calls at 9072. </v>
      </c>
      <c r="C6" s="17" t="str">
        <f ca="1">IFERROR(__xludf.DUMMYFUNCTION("""COMPUTED_VALUE"""),"Original Glimmer call @bp 9072 has strength 16.73; GeneMark calls start at 9093")</f>
        <v>Original Glimmer call @bp 9072 has strength 16.73; GeneMark calls start at 9093</v>
      </c>
      <c r="D6" s="6"/>
    </row>
    <row r="7" spans="1:4" ht="15.75" customHeight="1" x14ac:dyDescent="0.15">
      <c r="A7" s="5" t="s">
        <v>7</v>
      </c>
      <c r="B7" s="17" t="str">
        <f ca="1">IFERROR(__xludf.DUMMYFUNCTION("""COMPUTED_VALUE"""),"Gene has coding potential throughout the gene and start 9072.")</f>
        <v>Gene has coding potential throughout the gene and start 9072.</v>
      </c>
      <c r="C7" s="17" t="str">
        <f ca="1">IFERROR(__xludf.DUMMYFUNCTION("""COMPUTED_VALUE"""),"Yes, the gene has good coding potential. It covers mostly all of the gene")</f>
        <v>Yes, the gene has good coding potential. It covers mostly all of the gene</v>
      </c>
      <c r="D7" s="6"/>
    </row>
    <row r="8" spans="1:4" ht="15.75" customHeight="1" x14ac:dyDescent="0.15">
      <c r="A8" s="5" t="s">
        <v>8</v>
      </c>
      <c r="B8" s="17" t="str">
        <f ca="1">IFERROR(__xludf.DUMMYFUNCTION("""COMPUTED_VALUE"""),"yes, start 9072 has longest orf")</f>
        <v>yes, start 9072 has longest orf</v>
      </c>
      <c r="C8" s="17" t="str">
        <f ca="1">IFERROR(__xludf.DUMMYFUNCTION("""COMPUTED_VALUE"""),"It is the longest reading frame")</f>
        <v>It is the longest reading frame</v>
      </c>
      <c r="D8" s="6"/>
    </row>
    <row r="9" spans="1:4" ht="15.75" customHeight="1" x14ac:dyDescent="0.15">
      <c r="A9" s="5" t="s">
        <v>9</v>
      </c>
      <c r="B9" s="17" t="str">
        <f ca="1">IFERROR(__xludf.DUMMYFUNCTION("""COMPUTED_VALUE"""),"53 nucleotide gap for 9072 start, also shortest gap possible")</f>
        <v>53 nucleotide gap for 9072 start, also shortest gap possible</v>
      </c>
      <c r="C9" s="17" t="str">
        <f ca="1">IFERROR(__xludf.DUMMYFUNCTION("""COMPUTED_VALUE"""),"There is a gap of 53 nucleotides ")</f>
        <v xml:space="preserve">There is a gap of 53 nucleotides </v>
      </c>
      <c r="D9" s="6"/>
    </row>
    <row r="10" spans="1:4" ht="15.75" customHeight="1" x14ac:dyDescent="0.15">
      <c r="A10" s="5" t="s">
        <v>10</v>
      </c>
      <c r="B10" s="17" t="str">
        <f ca="1">IFERROR(__xludf.DUMMYFUNCTION("""COMPUTED_VALUE"""),"2.200 z-score for 9072, 2.252 for 9093 (best z-score)")</f>
        <v>2.200 z-score for 9072, 2.252 for 9093 (best z-score)</v>
      </c>
      <c r="C10" s="17" t="str">
        <f ca="1">IFERROR(__xludf.DUMMYFUNCTION("""COMPUTED_VALUE"""),"2.200 = Z score, or 2.252. But use 2.200 because you will lose coding potential by moving the start up. So, it is the best start. ")</f>
        <v xml:space="preserve">2.200 = Z score, or 2.252. But use 2.200 because you will lose coding potential by moving the start up. So, it is the best start. </v>
      </c>
      <c r="D10" s="6"/>
    </row>
    <row r="11" spans="1:4" ht="15.75" customHeight="1" x14ac:dyDescent="0.15">
      <c r="A11" s="5" t="s">
        <v>11</v>
      </c>
      <c r="B11" s="17" t="str">
        <f ca="1">IFERROR(__xludf.DUMMYFUNCTION("""COMPUTED_VALUE"""),"Kovu_13, 87.41% identity, 0.0E0 e-value, Q: 135, I: 135")</f>
        <v>Kovu_13, 87.41% identity, 0.0E0 e-value, Q: 135, I: 135</v>
      </c>
      <c r="C11" s="17" t="str">
        <f ca="1">IFERROR(__xludf.DUMMYFUNCTION("""COMPUTED_VALUE"""),"Kovu_13 (e= 1e^70), 87% identity, Start 1 in Apokipo and start 1 in Kovu")</f>
        <v>Kovu_13 (e= 1e^70), 87% identity, Start 1 in Apokipo and start 1 in Kovu</v>
      </c>
      <c r="D11" s="6"/>
    </row>
    <row r="12" spans="1:4" ht="15.75" customHeight="1" x14ac:dyDescent="0.15">
      <c r="A12" s="5" t="s">
        <v>12</v>
      </c>
      <c r="B12" s="17" t="str">
        <f ca="1">IFERROR(__xludf.DUMMYFUNCTION("""COMPUTED_VALUE"""),"Start is not conserved in all members. Called 100% of the time when present. (Start 9072)")</f>
        <v>Start is not conserved in all members. Called 100% of the time when present. (Start 9072)</v>
      </c>
      <c r="C12" s="17" t="str">
        <f ca="1">IFERROR(__xludf.DUMMYFUNCTION("""COMPUTED_VALUE"""),"Conserved in all members, Start 2 appears to be present 100% of the time ")</f>
        <v xml:space="preserve">Conserved in all members, Start 2 appears to be present 100% of the time </v>
      </c>
      <c r="D12" s="6"/>
    </row>
    <row r="13" spans="1:4" ht="15.75" customHeight="1" x14ac:dyDescent="0.15">
      <c r="A13" s="5" t="s">
        <v>13</v>
      </c>
      <c r="B13" s="17" t="str">
        <f ca="1">IFERROR(__xludf.DUMMYFUNCTION("""COMPUTED_VALUE"""),"No, keeps gap at its lowest, called 100% time when present, and has a good z-score")</f>
        <v>No, keeps gap at its lowest, called 100% time when present, and has a good z-score</v>
      </c>
      <c r="C13" s="17" t="str">
        <f ca="1">IFERROR(__xludf.DUMMYFUNCTION("""COMPUTED_VALUE"""),"No 9072 is the right start  because if you move the start, it would have to be foward, since there is a 53 gap to the next start, which would lose coding potential. ")</f>
        <v xml:space="preserve">No 9072 is the right start  because if you move the start, it would have to be foward, since there is a 53 gap to the next start, which would lose coding potential. </v>
      </c>
      <c r="D13" s="6"/>
    </row>
    <row r="14" spans="1:4" ht="15.75" customHeight="1" x14ac:dyDescent="0.15">
      <c r="A14" s="5" t="s">
        <v>14</v>
      </c>
      <c r="B14" s="17" t="str">
        <f ca="1">IFERROR(__xludf.DUMMYFUNCTION("""COMPUTED_VALUE"""),"Kovu_13, 7e-63 z-score")</f>
        <v>Kovu_13, 7e-63 z-score</v>
      </c>
      <c r="C14" s="17" t="str">
        <f ca="1">IFERROR(__xludf.DUMMYFUNCTION("""COMPUTED_VALUE"""),"Kovu_13, e =7e-63, Waltz_12")</f>
        <v>Kovu_13, e =7e-63, Waltz_12</v>
      </c>
      <c r="D14" s="6"/>
    </row>
    <row r="15" spans="1:4" ht="15.75" customHeight="1" x14ac:dyDescent="0.15">
      <c r="A15" s="5" t="s">
        <v>15</v>
      </c>
      <c r="B15" s="17" t="str">
        <f ca="1">IFERROR(__xludf.DUMMYFUNCTION("""COMPUTED_VALUE"""),"function unknown")</f>
        <v>function unknown</v>
      </c>
      <c r="C15" s="17" t="str">
        <f ca="1">IFERROR(__xludf.DUMMYFUNCTION("""COMPUTED_VALUE"""),"Kovu_13, hypothetical ")</f>
        <v xml:space="preserve">Kovu_13, hypothetical </v>
      </c>
      <c r="D15" s="6"/>
    </row>
    <row r="16" spans="1:4" ht="15.75" customHeight="1" x14ac:dyDescent="0.15">
      <c r="A16" s="5" t="s">
        <v>16</v>
      </c>
      <c r="B16" s="17" t="str">
        <f ca="1">IFERROR(__xludf.DUMMYFUNCTION("""COMPUTED_VALUE"""),"Yes, found in same environment in Kovu")</f>
        <v>Yes, found in same environment in Kovu</v>
      </c>
      <c r="C16" s="17" t="str">
        <f ca="1">IFERROR(__xludf.DUMMYFUNCTION("""COMPUTED_VALUE"""),"It is in the same genetic enviornment as Kovu_13")</f>
        <v>It is in the same genetic enviornment as Kovu_13</v>
      </c>
      <c r="D16" s="6"/>
    </row>
    <row r="17" spans="1:4" ht="15.75" customHeight="1" x14ac:dyDescent="0.15">
      <c r="A17" s="5" t="s">
        <v>17</v>
      </c>
      <c r="B17" s="17" t="str">
        <f ca="1">IFERROR(__xludf.DUMMYFUNCTION("""COMPUTED_VALUE"""),"2UX9:DODECIN; FLAVOPROTEIN, most likely involved in prokaryotic flavin storage. 89.73% probability, 40% alignment of query, 89.86% target. Yes. Not quite concrete, no phages in phages db call it")</f>
        <v>2UX9:DODECIN; FLAVOPROTEIN, most likely involved in prokaryotic flavin storage. 89.73% probability, 40% alignment of query, 89.86% target. Yes. Not quite concrete, no phages in phages db call it</v>
      </c>
      <c r="C17" s="17" t="str">
        <f ca="1">IFERROR(__xludf.DUMMYFUNCTION("""COMPUTED_VALUE""")," DODECIN; FLAVOPROTEIN; HET: COA, FMN, PO4; 1.4A {THERMUS THERMOPHILUS} SCOP: d.230.2.1, 89%. Q= 32%. T= 64%. 
It is included in most of the functional domain, but is left out by 2 nucleotides. No further exploration needed. ")</f>
        <v xml:space="preserve"> DODECIN; FLAVOPROTEIN; HET: COA, FMN, PO4; 1.4A {THERMUS THERMOPHILUS} SCOP: d.230.2.1, 89%. Q= 32%. T= 64%. 
It is included in most of the functional domain, but is left out by 2 nucleotides. No further exploration needed. </v>
      </c>
      <c r="D17" s="6"/>
    </row>
    <row r="18" spans="1:4" ht="15.75" customHeight="1" x14ac:dyDescent="0.15">
      <c r="A18" s="5" t="s">
        <v>18</v>
      </c>
      <c r="B18" s="17" t="str">
        <f ca="1">IFERROR(__xludf.DUMMYFUNCTION("""COMPUTED_VALUE"""),"none")</f>
        <v>none</v>
      </c>
      <c r="C18" s="17" t="str">
        <f ca="1">IFERROR(__xludf.DUMMYFUNCTION("""COMPUTED_VALUE"""),"No")</f>
        <v>No</v>
      </c>
      <c r="D18" s="6"/>
    </row>
    <row r="19" spans="1:4" ht="15.75" customHeight="1" x14ac:dyDescent="0.15">
      <c r="A19" s="5" t="s">
        <v>19</v>
      </c>
      <c r="B19" s="17" t="str">
        <f ca="1">IFERROR(__xludf.DUMMYFUNCTION("""COMPUTED_VALUE"""),"none")</f>
        <v>none</v>
      </c>
      <c r="C19" s="17" t="str">
        <f ca="1">IFERROR(__xludf.DUMMYFUNCTION("""COMPUTED_VALUE"""),"none")</f>
        <v>none</v>
      </c>
      <c r="D19" s="6"/>
    </row>
    <row r="20" spans="1:4" ht="15.75" customHeight="1" x14ac:dyDescent="0.15">
      <c r="A20" s="5" t="s">
        <v>20</v>
      </c>
      <c r="B20" s="17" t="str">
        <f ca="1">IFERROR(__xludf.DUMMYFUNCTION("""COMPUTED_VALUE"""),"Hypothetical protein")</f>
        <v>Hypothetical protein</v>
      </c>
      <c r="C20" s="17" t="str">
        <f ca="1">IFERROR(__xludf.DUMMYFUNCTION("""COMPUTED_VALUE"""),"Hypothetical Protein, There are no conserved domains and TMHMM's.There are also no known functions based on the Functional list for the listed DODECIN. Therefore, the gene has to have a hypothetical protein. ")</f>
        <v xml:space="preserve">Hypothetical Protein, There are no conserved domains and TMHMM's.There are also no known functions based on the Functional list for the listed DODECIN. Therefore, the gene has to have a hypothetical protein. </v>
      </c>
      <c r="D20" s="6"/>
    </row>
    <row r="21" spans="1:4" x14ac:dyDescent="0.2">
      <c r="A21" s="7"/>
      <c r="B21" s="19"/>
      <c r="C21" s="19"/>
      <c r="D21" s="8"/>
    </row>
    <row r="22" spans="1:4" ht="15.75" customHeight="1" x14ac:dyDescent="0.15">
      <c r="A22" s="9" t="s">
        <v>21</v>
      </c>
      <c r="B22" s="19"/>
      <c r="C22" s="19"/>
      <c r="D22" s="8"/>
    </row>
    <row r="23" spans="1:4" ht="15.75" customHeight="1" x14ac:dyDescent="0.15">
      <c r="A23" s="10"/>
      <c r="B23" s="13"/>
      <c r="C23" s="13"/>
    </row>
    <row r="24" spans="1:4" ht="15.75" customHeight="1" x14ac:dyDescent="0.15">
      <c r="A24" s="10"/>
      <c r="B24" s="13"/>
      <c r="C24" s="13"/>
    </row>
    <row r="25" spans="1:4" ht="15.75" customHeight="1" x14ac:dyDescent="0.15">
      <c r="A25" s="10"/>
      <c r="B25" s="13"/>
      <c r="C25" s="13"/>
    </row>
    <row r="26" spans="1:4" ht="15.75" customHeight="1" x14ac:dyDescent="0.15">
      <c r="A26" s="10"/>
      <c r="B26" s="13"/>
      <c r="C26" s="13"/>
    </row>
    <row r="27" spans="1:4" ht="15.75" customHeight="1" x14ac:dyDescent="0.15">
      <c r="A27" s="10"/>
      <c r="B27" s="13"/>
      <c r="C27" s="13"/>
    </row>
    <row r="28" spans="1:4" ht="15.75" customHeight="1" x14ac:dyDescent="0.15">
      <c r="A28" s="10"/>
      <c r="B28" s="13"/>
      <c r="C28" s="13"/>
    </row>
    <row r="29" spans="1:4" ht="15.75" customHeight="1" x14ac:dyDescent="0.15">
      <c r="A29" s="10"/>
      <c r="B29" s="13"/>
      <c r="C29" s="13"/>
    </row>
    <row r="30" spans="1:4" ht="15.75" customHeight="1" x14ac:dyDescent="0.15">
      <c r="A30" s="10"/>
      <c r="B30" s="13"/>
      <c r="C30" s="13"/>
    </row>
    <row r="31" spans="1:4" ht="15.75" customHeight="1" x14ac:dyDescent="0.15">
      <c r="A31" s="10"/>
      <c r="B31" s="13"/>
      <c r="C31" s="13"/>
    </row>
    <row r="32" spans="1:4" ht="15.75" customHeight="1" x14ac:dyDescent="0.15">
      <c r="A32" s="10"/>
      <c r="B32" s="13"/>
      <c r="C32" s="13"/>
    </row>
    <row r="33" spans="1:3" ht="15.75" customHeight="1" x14ac:dyDescent="0.15">
      <c r="A33" s="10"/>
      <c r="B33" s="13"/>
      <c r="C33" s="13"/>
    </row>
    <row r="34" spans="1:3" ht="15.75" customHeight="1" x14ac:dyDescent="0.15">
      <c r="A34" s="10"/>
      <c r="B34" s="13"/>
      <c r="C34" s="13"/>
    </row>
    <row r="35" spans="1:3" ht="15.75" customHeight="1" x14ac:dyDescent="0.15">
      <c r="A35" s="10"/>
      <c r="B35" s="13"/>
      <c r="C35" s="13"/>
    </row>
    <row r="36" spans="1:3" ht="15.75" customHeight="1" x14ac:dyDescent="0.15">
      <c r="A36" s="10"/>
      <c r="B36" s="13"/>
      <c r="C36" s="13"/>
    </row>
    <row r="37" spans="1:3" ht="15.75" customHeight="1" x14ac:dyDescent="0.15">
      <c r="A37" s="10"/>
      <c r="B37" s="13"/>
      <c r="C37" s="13"/>
    </row>
    <row r="38" spans="1:3" ht="15.75" customHeight="1" x14ac:dyDescent="0.15">
      <c r="A38" s="10"/>
      <c r="B38" s="13"/>
      <c r="C38" s="13"/>
    </row>
    <row r="39" spans="1:3" ht="13" x14ac:dyDescent="0.15">
      <c r="A39" s="10"/>
      <c r="B39" s="13"/>
      <c r="C39" s="13"/>
    </row>
    <row r="40" spans="1:3" ht="13" x14ac:dyDescent="0.15">
      <c r="A40" s="10"/>
      <c r="B40" s="13"/>
      <c r="C40" s="13"/>
    </row>
    <row r="41" spans="1:3" ht="13" x14ac:dyDescent="0.15">
      <c r="A41" s="10"/>
      <c r="B41" s="13"/>
      <c r="C41" s="13"/>
    </row>
    <row r="42" spans="1:3" ht="13" x14ac:dyDescent="0.15">
      <c r="A42" s="10"/>
      <c r="B42" s="13"/>
      <c r="C42" s="13"/>
    </row>
    <row r="43" spans="1:3" ht="13" x14ac:dyDescent="0.15">
      <c r="A43" s="10"/>
      <c r="B43" s="13"/>
      <c r="C43" s="13"/>
    </row>
    <row r="44" spans="1:3" ht="13" x14ac:dyDescent="0.15">
      <c r="A44" s="10"/>
      <c r="B44" s="13"/>
      <c r="C44" s="13"/>
    </row>
    <row r="45" spans="1:3" ht="13" x14ac:dyDescent="0.15">
      <c r="A45" s="10"/>
      <c r="B45" s="13"/>
      <c r="C45" s="13"/>
    </row>
    <row r="46" spans="1:3" ht="13" x14ac:dyDescent="0.15">
      <c r="A46" s="10"/>
      <c r="B46" s="13"/>
      <c r="C46" s="13"/>
    </row>
    <row r="47" spans="1:3" ht="13" x14ac:dyDescent="0.15">
      <c r="A47" s="10"/>
      <c r="B47" s="13"/>
      <c r="C47" s="13"/>
    </row>
    <row r="48" spans="1:3" ht="13" x14ac:dyDescent="0.15">
      <c r="A48" s="10"/>
      <c r="B48" s="13"/>
      <c r="C48" s="13"/>
    </row>
    <row r="49" spans="1:3" ht="13" x14ac:dyDescent="0.15">
      <c r="A49" s="10"/>
      <c r="B49" s="13"/>
      <c r="C49" s="13"/>
    </row>
    <row r="50" spans="1:3" ht="13" x14ac:dyDescent="0.15">
      <c r="A50" s="10"/>
      <c r="B50" s="13"/>
      <c r="C50" s="13"/>
    </row>
    <row r="51" spans="1:3" ht="13" x14ac:dyDescent="0.15">
      <c r="A51" s="10"/>
      <c r="B51" s="13"/>
      <c r="C51" s="13"/>
    </row>
    <row r="52" spans="1:3" ht="13" x14ac:dyDescent="0.15">
      <c r="A52" s="10"/>
      <c r="B52" s="13"/>
      <c r="C52" s="13"/>
    </row>
    <row r="53" spans="1:3" ht="13" x14ac:dyDescent="0.15">
      <c r="A53" s="10"/>
      <c r="B53" s="13"/>
      <c r="C53" s="13"/>
    </row>
    <row r="54" spans="1:3" ht="13" x14ac:dyDescent="0.15">
      <c r="A54" s="10"/>
      <c r="B54" s="13"/>
      <c r="C54" s="13"/>
    </row>
    <row r="55" spans="1:3" ht="13" x14ac:dyDescent="0.15">
      <c r="A55" s="10"/>
      <c r="B55" s="13"/>
      <c r="C55" s="13"/>
    </row>
    <row r="56" spans="1:3" ht="13" x14ac:dyDescent="0.15">
      <c r="A56" s="10"/>
      <c r="B56" s="13"/>
      <c r="C56" s="13"/>
    </row>
    <row r="57" spans="1:3" ht="13" x14ac:dyDescent="0.15">
      <c r="A57" s="10"/>
      <c r="B57" s="13"/>
      <c r="C57" s="13"/>
    </row>
    <row r="58" spans="1:3" ht="13" x14ac:dyDescent="0.15">
      <c r="A58" s="10"/>
      <c r="B58" s="13"/>
      <c r="C58" s="13"/>
    </row>
    <row r="59" spans="1:3" ht="13" x14ac:dyDescent="0.15">
      <c r="A59" s="10"/>
      <c r="B59" s="13"/>
      <c r="C59" s="13"/>
    </row>
    <row r="60" spans="1:3" ht="13" x14ac:dyDescent="0.15">
      <c r="A60" s="10"/>
      <c r="B60" s="13"/>
      <c r="C60" s="13"/>
    </row>
    <row r="61" spans="1:3" ht="13" x14ac:dyDescent="0.15">
      <c r="A61" s="10"/>
      <c r="B61" s="13"/>
      <c r="C61" s="13"/>
    </row>
    <row r="62" spans="1:3" ht="13" x14ac:dyDescent="0.15">
      <c r="A62" s="10"/>
      <c r="B62" s="13"/>
      <c r="C62" s="13"/>
    </row>
    <row r="63" spans="1:3" ht="13" x14ac:dyDescent="0.15">
      <c r="A63" s="10"/>
      <c r="B63" s="13"/>
      <c r="C63" s="13"/>
    </row>
    <row r="64" spans="1:3" ht="13" x14ac:dyDescent="0.15">
      <c r="A64" s="10"/>
      <c r="B64" s="13"/>
      <c r="C64" s="13"/>
    </row>
    <row r="65" spans="1:3" ht="13" x14ac:dyDescent="0.15">
      <c r="A65" s="10"/>
      <c r="B65" s="13"/>
      <c r="C65" s="13"/>
    </row>
    <row r="66" spans="1:3" ht="13" x14ac:dyDescent="0.15">
      <c r="A66" s="10"/>
      <c r="B66" s="13"/>
      <c r="C66" s="13"/>
    </row>
    <row r="67" spans="1:3" ht="13" x14ac:dyDescent="0.15">
      <c r="A67" s="10"/>
      <c r="B67" s="13"/>
      <c r="C67" s="13"/>
    </row>
    <row r="68" spans="1:3" ht="13" x14ac:dyDescent="0.15">
      <c r="A68" s="10"/>
      <c r="B68" s="13"/>
      <c r="C68" s="13"/>
    </row>
    <row r="69" spans="1:3" ht="13" x14ac:dyDescent="0.15">
      <c r="A69" s="10"/>
      <c r="B69" s="13"/>
      <c r="C69" s="13"/>
    </row>
    <row r="70" spans="1:3" ht="13" x14ac:dyDescent="0.15">
      <c r="A70" s="10"/>
      <c r="B70" s="13"/>
      <c r="C70" s="13"/>
    </row>
    <row r="71" spans="1:3" ht="13" x14ac:dyDescent="0.15">
      <c r="A71" s="10"/>
      <c r="B71" s="13"/>
      <c r="C71" s="13"/>
    </row>
    <row r="72" spans="1:3" ht="13" x14ac:dyDescent="0.15">
      <c r="A72" s="10"/>
      <c r="B72" s="13"/>
      <c r="C72" s="13"/>
    </row>
    <row r="73" spans="1:3" ht="13" x14ac:dyDescent="0.15">
      <c r="A73" s="10"/>
      <c r="B73" s="13"/>
      <c r="C73" s="13"/>
    </row>
    <row r="74" spans="1:3" ht="13" x14ac:dyDescent="0.15">
      <c r="A74" s="10"/>
      <c r="B74" s="13"/>
      <c r="C74" s="13"/>
    </row>
    <row r="75" spans="1:3" ht="13" x14ac:dyDescent="0.15">
      <c r="A75" s="10"/>
      <c r="B75" s="13"/>
      <c r="C75" s="13"/>
    </row>
    <row r="76" spans="1:3" ht="13" x14ac:dyDescent="0.15">
      <c r="A76" s="10"/>
      <c r="B76" s="13"/>
      <c r="C76" s="13"/>
    </row>
    <row r="77" spans="1:3" ht="13" x14ac:dyDescent="0.15">
      <c r="A77" s="10"/>
      <c r="B77" s="13"/>
      <c r="C77" s="13"/>
    </row>
    <row r="78" spans="1:3" ht="13" x14ac:dyDescent="0.15">
      <c r="A78" s="10"/>
      <c r="B78" s="13"/>
      <c r="C78" s="13"/>
    </row>
    <row r="79" spans="1:3" ht="13" x14ac:dyDescent="0.15">
      <c r="A79" s="10"/>
      <c r="B79" s="13"/>
      <c r="C79" s="13"/>
    </row>
    <row r="80" spans="1:3" ht="13" x14ac:dyDescent="0.15">
      <c r="A80" s="10"/>
      <c r="B80" s="13"/>
      <c r="C80" s="13"/>
    </row>
    <row r="81" spans="1:3" ht="13" x14ac:dyDescent="0.15">
      <c r="A81" s="10"/>
      <c r="B81" s="13"/>
      <c r="C81" s="13"/>
    </row>
    <row r="82" spans="1:3" ht="13" x14ac:dyDescent="0.15">
      <c r="A82" s="10"/>
      <c r="B82" s="13"/>
      <c r="C82" s="13"/>
    </row>
    <row r="83" spans="1:3" ht="13" x14ac:dyDescent="0.15">
      <c r="A83" s="10"/>
      <c r="B83" s="13"/>
      <c r="C83" s="13"/>
    </row>
    <row r="84" spans="1:3" ht="13" x14ac:dyDescent="0.15">
      <c r="A84" s="10"/>
      <c r="B84" s="13"/>
      <c r="C84" s="13"/>
    </row>
    <row r="85" spans="1:3" ht="13" x14ac:dyDescent="0.15">
      <c r="A85" s="10"/>
      <c r="B85" s="13"/>
      <c r="C85" s="13"/>
    </row>
    <row r="86" spans="1:3" ht="13" x14ac:dyDescent="0.15">
      <c r="A86" s="10"/>
      <c r="B86" s="13"/>
      <c r="C86" s="13"/>
    </row>
    <row r="87" spans="1:3" ht="13" x14ac:dyDescent="0.15">
      <c r="A87" s="10"/>
      <c r="B87" s="13"/>
      <c r="C87" s="13"/>
    </row>
    <row r="88" spans="1:3" ht="13" x14ac:dyDescent="0.15">
      <c r="A88" s="10"/>
      <c r="B88" s="13"/>
      <c r="C88" s="13"/>
    </row>
    <row r="89" spans="1:3" ht="13" x14ac:dyDescent="0.15">
      <c r="A89" s="10"/>
      <c r="B89" s="13"/>
      <c r="C89" s="13"/>
    </row>
    <row r="90" spans="1:3" ht="13" x14ac:dyDescent="0.15">
      <c r="A90" s="10"/>
      <c r="B90" s="13"/>
      <c r="C90" s="13"/>
    </row>
    <row r="91" spans="1:3" ht="13" x14ac:dyDescent="0.15">
      <c r="A91" s="10"/>
      <c r="B91" s="13"/>
      <c r="C91" s="13"/>
    </row>
    <row r="92" spans="1:3" ht="13" x14ac:dyDescent="0.15">
      <c r="A92" s="10"/>
      <c r="B92" s="13"/>
      <c r="C92" s="13"/>
    </row>
    <row r="93" spans="1:3" ht="13" x14ac:dyDescent="0.15">
      <c r="A93" s="10"/>
      <c r="B93" s="13"/>
      <c r="C93" s="13"/>
    </row>
    <row r="94" spans="1:3" ht="13" x14ac:dyDescent="0.15">
      <c r="A94" s="10"/>
      <c r="B94" s="13"/>
      <c r="C94" s="13"/>
    </row>
    <row r="95" spans="1:3" ht="13" x14ac:dyDescent="0.15">
      <c r="A95" s="10"/>
      <c r="B95" s="13"/>
      <c r="C95" s="13"/>
    </row>
    <row r="96" spans="1:3" ht="13" x14ac:dyDescent="0.15">
      <c r="A96" s="10"/>
      <c r="B96" s="13"/>
      <c r="C96" s="13"/>
    </row>
    <row r="97" spans="1:3" ht="13" x14ac:dyDescent="0.15">
      <c r="A97" s="10"/>
      <c r="B97" s="13"/>
      <c r="C97" s="13"/>
    </row>
    <row r="98" spans="1:3" ht="13" x14ac:dyDescent="0.15">
      <c r="A98" s="10"/>
      <c r="B98" s="13"/>
      <c r="C98" s="13"/>
    </row>
    <row r="99" spans="1:3" ht="13" x14ac:dyDescent="0.15">
      <c r="A99" s="10"/>
      <c r="B99" s="13"/>
      <c r="C99" s="13"/>
    </row>
    <row r="100" spans="1:3" ht="13" x14ac:dyDescent="0.15">
      <c r="A100" s="10"/>
      <c r="B100" s="13"/>
      <c r="C100" s="13"/>
    </row>
    <row r="101" spans="1:3" ht="13" x14ac:dyDescent="0.15">
      <c r="A101" s="10"/>
      <c r="B101" s="13"/>
      <c r="C101" s="13"/>
    </row>
    <row r="102" spans="1:3" ht="13" x14ac:dyDescent="0.15">
      <c r="A102" s="10"/>
      <c r="B102" s="13"/>
      <c r="C102" s="13"/>
    </row>
    <row r="103" spans="1:3" ht="13" x14ac:dyDescent="0.15">
      <c r="A103" s="10"/>
      <c r="B103" s="13"/>
      <c r="C103" s="13"/>
    </row>
    <row r="104" spans="1:3" ht="13" x14ac:dyDescent="0.15">
      <c r="A104" s="10"/>
      <c r="B104" s="13"/>
      <c r="C104" s="13"/>
    </row>
    <row r="105" spans="1:3" ht="13" x14ac:dyDescent="0.15">
      <c r="A105" s="10"/>
      <c r="B105" s="13"/>
      <c r="C105" s="13"/>
    </row>
    <row r="106" spans="1:3" ht="13" x14ac:dyDescent="0.15">
      <c r="A106" s="10"/>
      <c r="B106" s="13"/>
      <c r="C106" s="13"/>
    </row>
    <row r="107" spans="1:3" ht="13" x14ac:dyDescent="0.15">
      <c r="A107" s="10"/>
      <c r="B107" s="13"/>
      <c r="C107" s="13"/>
    </row>
    <row r="108" spans="1:3" ht="13" x14ac:dyDescent="0.15">
      <c r="A108" s="10"/>
      <c r="B108" s="13"/>
      <c r="C108" s="13"/>
    </row>
    <row r="109" spans="1:3" ht="13" x14ac:dyDescent="0.15">
      <c r="A109" s="10"/>
      <c r="B109" s="13"/>
      <c r="C109" s="13"/>
    </row>
    <row r="110" spans="1:3" ht="13" x14ac:dyDescent="0.15">
      <c r="A110" s="10"/>
      <c r="B110" s="13"/>
      <c r="C110" s="13"/>
    </row>
    <row r="111" spans="1:3" ht="13" x14ac:dyDescent="0.15">
      <c r="A111" s="10"/>
      <c r="B111" s="13"/>
      <c r="C111" s="13"/>
    </row>
    <row r="112" spans="1:3" ht="13" x14ac:dyDescent="0.15">
      <c r="A112" s="10"/>
      <c r="B112" s="13"/>
      <c r="C112" s="13"/>
    </row>
    <row r="113" spans="1:3" ht="13" x14ac:dyDescent="0.15">
      <c r="A113" s="10"/>
      <c r="B113" s="13"/>
      <c r="C113" s="13"/>
    </row>
    <row r="114" spans="1:3" ht="13" x14ac:dyDescent="0.15">
      <c r="A114" s="10"/>
      <c r="B114" s="13"/>
      <c r="C114" s="13"/>
    </row>
    <row r="115" spans="1:3" ht="13" x14ac:dyDescent="0.15">
      <c r="A115" s="10"/>
      <c r="B115" s="13"/>
      <c r="C115" s="13"/>
    </row>
    <row r="116" spans="1:3" ht="13" x14ac:dyDescent="0.15">
      <c r="A116" s="10"/>
      <c r="B116" s="13"/>
      <c r="C116" s="13"/>
    </row>
    <row r="117" spans="1:3" ht="13" x14ac:dyDescent="0.15">
      <c r="A117" s="10"/>
      <c r="B117" s="13"/>
      <c r="C117" s="13"/>
    </row>
    <row r="118" spans="1:3" ht="13" x14ac:dyDescent="0.15">
      <c r="A118" s="10"/>
      <c r="B118" s="13"/>
      <c r="C118" s="13"/>
    </row>
    <row r="119" spans="1:3" ht="13" x14ac:dyDescent="0.15">
      <c r="A119" s="10"/>
      <c r="B119" s="13"/>
      <c r="C119" s="13"/>
    </row>
    <row r="120" spans="1:3" ht="13" x14ac:dyDescent="0.15">
      <c r="A120" s="10"/>
      <c r="B120" s="13"/>
      <c r="C120" s="13"/>
    </row>
    <row r="121" spans="1:3" ht="13" x14ac:dyDescent="0.15">
      <c r="A121" s="10"/>
      <c r="B121" s="13"/>
      <c r="C121" s="13"/>
    </row>
    <row r="122" spans="1:3" ht="13" x14ac:dyDescent="0.15">
      <c r="A122" s="10"/>
      <c r="B122" s="13"/>
      <c r="C122" s="13"/>
    </row>
    <row r="123" spans="1:3" ht="13" x14ac:dyDescent="0.15">
      <c r="A123" s="10"/>
      <c r="B123" s="13"/>
      <c r="C123" s="13"/>
    </row>
    <row r="124" spans="1:3" ht="13" x14ac:dyDescent="0.15">
      <c r="A124" s="10"/>
      <c r="B124" s="13"/>
      <c r="C124" s="13"/>
    </row>
    <row r="125" spans="1:3" ht="13" x14ac:dyDescent="0.15">
      <c r="A125" s="10"/>
      <c r="B125" s="13"/>
      <c r="C125" s="13"/>
    </row>
    <row r="126" spans="1:3" ht="13" x14ac:dyDescent="0.15">
      <c r="A126" s="10"/>
      <c r="B126" s="13"/>
      <c r="C126" s="13"/>
    </row>
    <row r="127" spans="1:3" ht="13" x14ac:dyDescent="0.15">
      <c r="A127" s="10"/>
      <c r="B127" s="13"/>
      <c r="C127" s="13"/>
    </row>
    <row r="128" spans="1:3" ht="13" x14ac:dyDescent="0.15">
      <c r="A128" s="10"/>
      <c r="B128" s="13"/>
      <c r="C128" s="13"/>
    </row>
    <row r="129" spans="1:3" ht="13" x14ac:dyDescent="0.15">
      <c r="A129" s="10"/>
      <c r="B129" s="13"/>
      <c r="C129" s="13"/>
    </row>
    <row r="130" spans="1:3" ht="13" x14ac:dyDescent="0.15">
      <c r="A130" s="10"/>
      <c r="B130" s="13"/>
      <c r="C130" s="13"/>
    </row>
    <row r="131" spans="1:3" ht="13" x14ac:dyDescent="0.15">
      <c r="A131" s="10"/>
      <c r="B131" s="13"/>
      <c r="C131" s="13"/>
    </row>
    <row r="132" spans="1:3" ht="13" x14ac:dyDescent="0.15">
      <c r="A132" s="10"/>
      <c r="B132" s="13"/>
      <c r="C132" s="13"/>
    </row>
    <row r="133" spans="1:3" ht="13" x14ac:dyDescent="0.15">
      <c r="A133" s="10"/>
      <c r="B133" s="13"/>
      <c r="C133" s="13"/>
    </row>
    <row r="134" spans="1:3" ht="13" x14ac:dyDescent="0.15">
      <c r="A134" s="10"/>
      <c r="B134" s="13"/>
      <c r="C134" s="13"/>
    </row>
    <row r="135" spans="1:3" ht="13" x14ac:dyDescent="0.15">
      <c r="A135" s="10"/>
      <c r="B135" s="13"/>
      <c r="C135" s="13"/>
    </row>
    <row r="136" spans="1:3" ht="13" x14ac:dyDescent="0.15">
      <c r="A136" s="10"/>
      <c r="B136" s="13"/>
      <c r="C136" s="13"/>
    </row>
    <row r="137" spans="1:3" ht="13" x14ac:dyDescent="0.15">
      <c r="A137" s="10"/>
      <c r="B137" s="13"/>
      <c r="C137" s="13"/>
    </row>
    <row r="138" spans="1:3" ht="13" x14ac:dyDescent="0.15">
      <c r="A138" s="10"/>
      <c r="B138" s="13"/>
      <c r="C138" s="13"/>
    </row>
    <row r="139" spans="1:3" ht="13" x14ac:dyDescent="0.15">
      <c r="A139" s="10"/>
      <c r="B139" s="13"/>
      <c r="C139" s="13"/>
    </row>
    <row r="140" spans="1:3" ht="13" x14ac:dyDescent="0.15">
      <c r="A140" s="10"/>
      <c r="B140" s="13"/>
      <c r="C140" s="13"/>
    </row>
    <row r="141" spans="1:3" ht="13" x14ac:dyDescent="0.15">
      <c r="A141" s="10"/>
      <c r="B141" s="13"/>
      <c r="C141" s="13"/>
    </row>
    <row r="142" spans="1:3" ht="13" x14ac:dyDescent="0.15">
      <c r="A142" s="10"/>
      <c r="B142" s="13"/>
      <c r="C142" s="13"/>
    </row>
    <row r="143" spans="1:3" ht="13" x14ac:dyDescent="0.15">
      <c r="A143" s="10"/>
      <c r="B143" s="13"/>
      <c r="C143" s="13"/>
    </row>
    <row r="144" spans="1:3" ht="13" x14ac:dyDescent="0.15">
      <c r="A144" s="10"/>
      <c r="B144" s="13"/>
      <c r="C144" s="13"/>
    </row>
    <row r="145" spans="1:3" ht="13" x14ac:dyDescent="0.15">
      <c r="A145" s="10"/>
      <c r="B145" s="13"/>
      <c r="C145" s="13"/>
    </row>
    <row r="146" spans="1:3" ht="13" x14ac:dyDescent="0.15">
      <c r="A146" s="10"/>
      <c r="B146" s="13"/>
      <c r="C146" s="13"/>
    </row>
    <row r="147" spans="1:3" ht="13" x14ac:dyDescent="0.15">
      <c r="A147" s="10"/>
      <c r="B147" s="13"/>
      <c r="C147" s="13"/>
    </row>
    <row r="148" spans="1:3" ht="13" x14ac:dyDescent="0.15">
      <c r="A148" s="10"/>
      <c r="B148" s="13"/>
      <c r="C148" s="13"/>
    </row>
    <row r="149" spans="1:3" ht="13" x14ac:dyDescent="0.15">
      <c r="A149" s="10"/>
      <c r="B149" s="13"/>
      <c r="C149" s="13"/>
    </row>
    <row r="150" spans="1:3" ht="13" x14ac:dyDescent="0.15">
      <c r="A150" s="10"/>
      <c r="B150" s="13"/>
      <c r="C150" s="13"/>
    </row>
    <row r="151" spans="1:3" ht="13" x14ac:dyDescent="0.15">
      <c r="A151" s="10"/>
      <c r="B151" s="13"/>
      <c r="C151" s="13"/>
    </row>
    <row r="152" spans="1:3" ht="13" x14ac:dyDescent="0.15">
      <c r="A152" s="10"/>
      <c r="B152" s="13"/>
      <c r="C152" s="13"/>
    </row>
    <row r="153" spans="1:3" ht="13" x14ac:dyDescent="0.15">
      <c r="A153" s="10"/>
      <c r="B153" s="13"/>
      <c r="C153" s="13"/>
    </row>
    <row r="154" spans="1:3" ht="13" x14ac:dyDescent="0.15">
      <c r="A154" s="10"/>
      <c r="B154" s="13"/>
      <c r="C154" s="13"/>
    </row>
    <row r="155" spans="1:3" ht="13" x14ac:dyDescent="0.15">
      <c r="A155" s="10"/>
      <c r="B155" s="13"/>
      <c r="C155" s="13"/>
    </row>
    <row r="156" spans="1:3" ht="13" x14ac:dyDescent="0.15">
      <c r="A156" s="10"/>
      <c r="B156" s="13"/>
      <c r="C156" s="13"/>
    </row>
    <row r="157" spans="1:3" ht="13" x14ac:dyDescent="0.15">
      <c r="A157" s="10"/>
      <c r="B157" s="13"/>
      <c r="C157" s="13"/>
    </row>
    <row r="158" spans="1:3" ht="13" x14ac:dyDescent="0.15">
      <c r="A158" s="10"/>
      <c r="B158" s="13"/>
      <c r="C158" s="13"/>
    </row>
    <row r="159" spans="1:3" ht="13" x14ac:dyDescent="0.15">
      <c r="A159" s="10"/>
      <c r="B159" s="13"/>
      <c r="C159" s="13"/>
    </row>
    <row r="160" spans="1:3" ht="13" x14ac:dyDescent="0.15">
      <c r="A160" s="10"/>
      <c r="B160" s="13"/>
      <c r="C160" s="13"/>
    </row>
    <row r="161" spans="1:3" ht="13" x14ac:dyDescent="0.15">
      <c r="A161" s="10"/>
      <c r="B161" s="13"/>
      <c r="C161" s="13"/>
    </row>
    <row r="162" spans="1:3" ht="13" x14ac:dyDescent="0.15">
      <c r="A162" s="10"/>
      <c r="B162" s="13"/>
      <c r="C162" s="13"/>
    </row>
    <row r="163" spans="1:3" ht="13" x14ac:dyDescent="0.15">
      <c r="A163" s="10"/>
      <c r="B163" s="13"/>
      <c r="C163" s="13"/>
    </row>
    <row r="164" spans="1:3" ht="13" x14ac:dyDescent="0.15">
      <c r="A164" s="10"/>
      <c r="B164" s="13"/>
      <c r="C164" s="13"/>
    </row>
    <row r="165" spans="1:3" ht="13" x14ac:dyDescent="0.15">
      <c r="A165" s="10"/>
      <c r="B165" s="13"/>
      <c r="C165" s="13"/>
    </row>
    <row r="166" spans="1:3" ht="13" x14ac:dyDescent="0.15">
      <c r="A166" s="10"/>
      <c r="B166" s="13"/>
      <c r="C166" s="13"/>
    </row>
    <row r="167" spans="1:3" ht="13" x14ac:dyDescent="0.15">
      <c r="A167" s="10"/>
      <c r="B167" s="13"/>
      <c r="C167" s="13"/>
    </row>
    <row r="168" spans="1:3" ht="13" x14ac:dyDescent="0.15">
      <c r="A168" s="10"/>
      <c r="B168" s="13"/>
      <c r="C168" s="13"/>
    </row>
    <row r="169" spans="1:3" ht="13" x14ac:dyDescent="0.15">
      <c r="A169" s="10"/>
      <c r="B169" s="13"/>
      <c r="C169" s="13"/>
    </row>
    <row r="170" spans="1:3" ht="13" x14ac:dyDescent="0.15">
      <c r="A170" s="10"/>
      <c r="B170" s="13"/>
      <c r="C170" s="13"/>
    </row>
    <row r="171" spans="1:3" ht="13" x14ac:dyDescent="0.15">
      <c r="A171" s="10"/>
      <c r="B171" s="13"/>
      <c r="C171" s="13"/>
    </row>
    <row r="172" spans="1:3" ht="13" x14ac:dyDescent="0.15">
      <c r="A172" s="10"/>
      <c r="B172" s="13"/>
      <c r="C172" s="13"/>
    </row>
    <row r="173" spans="1:3" ht="13" x14ac:dyDescent="0.15">
      <c r="A173" s="10"/>
      <c r="B173" s="13"/>
      <c r="C173" s="13"/>
    </row>
    <row r="174" spans="1:3" ht="13" x14ac:dyDescent="0.15">
      <c r="A174" s="10"/>
      <c r="B174" s="13"/>
      <c r="C174" s="13"/>
    </row>
    <row r="175" spans="1:3" ht="13" x14ac:dyDescent="0.15">
      <c r="A175" s="10"/>
      <c r="B175" s="13"/>
      <c r="C175" s="13"/>
    </row>
    <row r="176" spans="1:3" ht="13" x14ac:dyDescent="0.15">
      <c r="A176" s="10"/>
      <c r="B176" s="13"/>
      <c r="C176" s="13"/>
    </row>
    <row r="177" spans="1:3" ht="13" x14ac:dyDescent="0.15">
      <c r="A177" s="10"/>
      <c r="B177" s="13"/>
      <c r="C177" s="13"/>
    </row>
    <row r="178" spans="1:3" ht="13" x14ac:dyDescent="0.15">
      <c r="A178" s="10"/>
      <c r="B178" s="13"/>
      <c r="C178" s="13"/>
    </row>
    <row r="179" spans="1:3" ht="13" x14ac:dyDescent="0.15">
      <c r="A179" s="10"/>
      <c r="B179" s="13"/>
      <c r="C179" s="13"/>
    </row>
    <row r="180" spans="1:3" ht="13" x14ac:dyDescent="0.15">
      <c r="A180" s="10"/>
      <c r="B180" s="13"/>
      <c r="C180" s="13"/>
    </row>
    <row r="181" spans="1:3" ht="13" x14ac:dyDescent="0.15">
      <c r="A181" s="10"/>
      <c r="B181" s="13"/>
      <c r="C181" s="13"/>
    </row>
    <row r="182" spans="1:3" ht="13" x14ac:dyDescent="0.15">
      <c r="A182" s="10"/>
      <c r="B182" s="13"/>
      <c r="C182" s="13"/>
    </row>
    <row r="183" spans="1:3" ht="13" x14ac:dyDescent="0.15">
      <c r="A183" s="10"/>
      <c r="B183" s="13"/>
      <c r="C183" s="13"/>
    </row>
    <row r="184" spans="1:3" ht="13" x14ac:dyDescent="0.15">
      <c r="A184" s="10"/>
      <c r="B184" s="13"/>
      <c r="C184" s="13"/>
    </row>
    <row r="185" spans="1:3" ht="13" x14ac:dyDescent="0.15">
      <c r="A185" s="10"/>
      <c r="B185" s="13"/>
      <c r="C185" s="13"/>
    </row>
    <row r="186" spans="1:3" ht="13" x14ac:dyDescent="0.15">
      <c r="A186" s="10"/>
      <c r="B186" s="13"/>
      <c r="C186" s="13"/>
    </row>
    <row r="187" spans="1:3" ht="13" x14ac:dyDescent="0.15">
      <c r="A187" s="10"/>
      <c r="B187" s="13"/>
      <c r="C187" s="13"/>
    </row>
    <row r="188" spans="1:3" ht="13" x14ac:dyDescent="0.15">
      <c r="A188" s="10"/>
      <c r="B188" s="13"/>
      <c r="C188" s="13"/>
    </row>
    <row r="189" spans="1:3" ht="13" x14ac:dyDescent="0.15">
      <c r="A189" s="10"/>
      <c r="B189" s="13"/>
      <c r="C189" s="13"/>
    </row>
    <row r="190" spans="1:3" ht="13" x14ac:dyDescent="0.15">
      <c r="A190" s="10"/>
      <c r="B190" s="13"/>
      <c r="C190" s="13"/>
    </row>
    <row r="191" spans="1:3" ht="13" x14ac:dyDescent="0.15">
      <c r="A191" s="10"/>
      <c r="B191" s="13"/>
      <c r="C191" s="13"/>
    </row>
    <row r="192" spans="1:3" ht="13" x14ac:dyDescent="0.15">
      <c r="A192" s="10"/>
      <c r="B192" s="13"/>
      <c r="C192" s="13"/>
    </row>
    <row r="193" spans="1:3" ht="13" x14ac:dyDescent="0.15">
      <c r="A193" s="10"/>
      <c r="B193" s="13"/>
      <c r="C193" s="13"/>
    </row>
    <row r="194" spans="1:3" ht="13" x14ac:dyDescent="0.15">
      <c r="A194" s="10"/>
      <c r="B194" s="13"/>
      <c r="C194" s="13"/>
    </row>
    <row r="195" spans="1:3" ht="13" x14ac:dyDescent="0.15">
      <c r="A195" s="10"/>
      <c r="B195" s="13"/>
      <c r="C195" s="13"/>
    </row>
    <row r="196" spans="1:3" ht="13" x14ac:dyDescent="0.15">
      <c r="A196" s="10"/>
      <c r="B196" s="13"/>
      <c r="C196" s="13"/>
    </row>
    <row r="197" spans="1:3" ht="13" x14ac:dyDescent="0.15">
      <c r="A197" s="10"/>
      <c r="B197" s="13"/>
      <c r="C197" s="13"/>
    </row>
    <row r="198" spans="1:3" ht="13" x14ac:dyDescent="0.15">
      <c r="A198" s="10"/>
      <c r="B198" s="13"/>
      <c r="C198" s="13"/>
    </row>
    <row r="199" spans="1:3" ht="13" x14ac:dyDescent="0.15">
      <c r="A199" s="10"/>
      <c r="B199" s="13"/>
      <c r="C199" s="13"/>
    </row>
    <row r="200" spans="1:3" ht="13" x14ac:dyDescent="0.15">
      <c r="A200" s="10"/>
      <c r="B200" s="13"/>
      <c r="C200" s="13"/>
    </row>
    <row r="201" spans="1:3" ht="13" x14ac:dyDescent="0.15">
      <c r="A201" s="10"/>
      <c r="B201" s="13"/>
      <c r="C201" s="13"/>
    </row>
    <row r="202" spans="1:3" ht="13" x14ac:dyDescent="0.15">
      <c r="A202" s="10"/>
      <c r="B202" s="13"/>
      <c r="C202" s="13"/>
    </row>
    <row r="203" spans="1:3" ht="13" x14ac:dyDescent="0.15">
      <c r="A203" s="10"/>
      <c r="B203" s="13"/>
      <c r="C203" s="13"/>
    </row>
    <row r="204" spans="1:3" ht="13" x14ac:dyDescent="0.15">
      <c r="A204" s="10"/>
      <c r="B204" s="13"/>
      <c r="C204" s="13"/>
    </row>
    <row r="205" spans="1:3" ht="13" x14ac:dyDescent="0.15">
      <c r="A205" s="10"/>
      <c r="B205" s="13"/>
      <c r="C205" s="13"/>
    </row>
    <row r="206" spans="1:3" ht="13" x14ac:dyDescent="0.15">
      <c r="A206" s="10"/>
      <c r="B206" s="13"/>
      <c r="C206" s="13"/>
    </row>
    <row r="207" spans="1:3" ht="13" x14ac:dyDescent="0.15">
      <c r="A207" s="10"/>
      <c r="B207" s="13"/>
      <c r="C207" s="13"/>
    </row>
    <row r="208" spans="1:3" ht="13" x14ac:dyDescent="0.15">
      <c r="A208" s="10"/>
      <c r="B208" s="13"/>
      <c r="C208" s="13"/>
    </row>
    <row r="209" spans="1:3" ht="13" x14ac:dyDescent="0.15">
      <c r="A209" s="10"/>
      <c r="B209" s="13"/>
      <c r="C209" s="13"/>
    </row>
    <row r="210" spans="1:3" ht="13" x14ac:dyDescent="0.15">
      <c r="A210" s="10"/>
      <c r="B210" s="13"/>
      <c r="C210" s="13"/>
    </row>
    <row r="211" spans="1:3" ht="13" x14ac:dyDescent="0.15">
      <c r="A211" s="10"/>
      <c r="B211" s="13"/>
      <c r="C211" s="13"/>
    </row>
    <row r="212" spans="1:3" ht="13" x14ac:dyDescent="0.15">
      <c r="A212" s="10"/>
      <c r="B212" s="13"/>
      <c r="C212" s="13"/>
    </row>
    <row r="213" spans="1:3" ht="13" x14ac:dyDescent="0.15">
      <c r="A213" s="10"/>
      <c r="B213" s="13"/>
      <c r="C213" s="13"/>
    </row>
    <row r="214" spans="1:3" ht="13" x14ac:dyDescent="0.15">
      <c r="A214" s="10"/>
      <c r="B214" s="13"/>
      <c r="C214" s="13"/>
    </row>
    <row r="215" spans="1:3" ht="13" x14ac:dyDescent="0.15">
      <c r="A215" s="10"/>
      <c r="B215" s="13"/>
      <c r="C215" s="13"/>
    </row>
    <row r="216" spans="1:3" ht="13" x14ac:dyDescent="0.15">
      <c r="A216" s="10"/>
      <c r="B216" s="13"/>
      <c r="C216" s="13"/>
    </row>
    <row r="217" spans="1:3" ht="13" x14ac:dyDescent="0.15">
      <c r="A217" s="10"/>
      <c r="B217" s="13"/>
      <c r="C217" s="13"/>
    </row>
    <row r="218" spans="1:3" ht="13" x14ac:dyDescent="0.15">
      <c r="A218" s="10"/>
      <c r="B218" s="13"/>
      <c r="C218" s="13"/>
    </row>
    <row r="219" spans="1:3" ht="13" x14ac:dyDescent="0.15">
      <c r="A219" s="10"/>
      <c r="B219" s="13"/>
      <c r="C219" s="13"/>
    </row>
    <row r="220" spans="1:3" ht="13" x14ac:dyDescent="0.15">
      <c r="A220" s="10"/>
      <c r="B220" s="13"/>
      <c r="C220" s="13"/>
    </row>
    <row r="221" spans="1:3" ht="13" x14ac:dyDescent="0.15">
      <c r="A221" s="10"/>
      <c r="B221" s="13"/>
      <c r="C221" s="13"/>
    </row>
    <row r="222" spans="1:3" ht="13" x14ac:dyDescent="0.15">
      <c r="A222" s="10"/>
      <c r="B222" s="13"/>
      <c r="C222" s="13"/>
    </row>
    <row r="223" spans="1:3" ht="13" x14ac:dyDescent="0.15">
      <c r="A223" s="10"/>
      <c r="B223" s="13"/>
      <c r="C223" s="13"/>
    </row>
    <row r="224" spans="1:3" ht="13" x14ac:dyDescent="0.15">
      <c r="A224" s="10"/>
      <c r="B224" s="13"/>
      <c r="C224" s="13"/>
    </row>
    <row r="225" spans="1:3" ht="13" x14ac:dyDescent="0.15">
      <c r="A225" s="10"/>
      <c r="B225" s="13"/>
      <c r="C225" s="13"/>
    </row>
    <row r="226" spans="1:3" ht="13" x14ac:dyDescent="0.15">
      <c r="A226" s="10"/>
      <c r="B226" s="13"/>
      <c r="C226" s="13"/>
    </row>
    <row r="227" spans="1:3" ht="13" x14ac:dyDescent="0.15">
      <c r="A227" s="10"/>
      <c r="B227" s="13"/>
      <c r="C227" s="13"/>
    </row>
    <row r="228" spans="1:3" ht="13" x14ac:dyDescent="0.15">
      <c r="A228" s="10"/>
      <c r="B228" s="13"/>
      <c r="C228" s="13"/>
    </row>
    <row r="229" spans="1:3" ht="13" x14ac:dyDescent="0.15">
      <c r="A229" s="10"/>
      <c r="B229" s="13"/>
      <c r="C229" s="13"/>
    </row>
    <row r="230" spans="1:3" ht="13" x14ac:dyDescent="0.15">
      <c r="A230" s="10"/>
      <c r="B230" s="13"/>
      <c r="C230" s="13"/>
    </row>
    <row r="231" spans="1:3" ht="13" x14ac:dyDescent="0.15">
      <c r="A231" s="10"/>
      <c r="B231" s="13"/>
      <c r="C231" s="13"/>
    </row>
    <row r="232" spans="1:3" ht="13" x14ac:dyDescent="0.15">
      <c r="A232" s="10"/>
      <c r="B232" s="13"/>
      <c r="C232" s="13"/>
    </row>
    <row r="233" spans="1:3" ht="13" x14ac:dyDescent="0.15">
      <c r="A233" s="10"/>
      <c r="B233" s="13"/>
      <c r="C233" s="13"/>
    </row>
    <row r="234" spans="1:3" ht="13" x14ac:dyDescent="0.15">
      <c r="A234" s="10"/>
      <c r="B234" s="13"/>
      <c r="C234" s="13"/>
    </row>
    <row r="235" spans="1:3" ht="13" x14ac:dyDescent="0.15">
      <c r="A235" s="10"/>
      <c r="B235" s="13"/>
      <c r="C235" s="13"/>
    </row>
    <row r="236" spans="1:3" ht="13" x14ac:dyDescent="0.15">
      <c r="A236" s="10"/>
      <c r="B236" s="13"/>
      <c r="C236" s="13"/>
    </row>
    <row r="237" spans="1:3" ht="13" x14ac:dyDescent="0.15">
      <c r="A237" s="10"/>
      <c r="B237" s="13"/>
      <c r="C237" s="13"/>
    </row>
    <row r="238" spans="1:3" ht="13" x14ac:dyDescent="0.15">
      <c r="A238" s="10"/>
      <c r="B238" s="13"/>
      <c r="C238" s="13"/>
    </row>
    <row r="239" spans="1:3" ht="13" x14ac:dyDescent="0.15">
      <c r="A239" s="10"/>
      <c r="B239" s="13"/>
      <c r="C239" s="13"/>
    </row>
    <row r="240" spans="1:3" ht="13" x14ac:dyDescent="0.15">
      <c r="A240" s="10"/>
      <c r="B240" s="13"/>
      <c r="C240" s="13"/>
    </row>
    <row r="241" spans="1:3" ht="13" x14ac:dyDescent="0.15">
      <c r="A241" s="10"/>
      <c r="B241" s="13"/>
      <c r="C241" s="13"/>
    </row>
    <row r="242" spans="1:3" ht="13" x14ac:dyDescent="0.15">
      <c r="A242" s="10"/>
      <c r="B242" s="13"/>
      <c r="C242" s="13"/>
    </row>
    <row r="243" spans="1:3" ht="13" x14ac:dyDescent="0.15">
      <c r="A243" s="10"/>
      <c r="B243" s="13"/>
      <c r="C243" s="13"/>
    </row>
    <row r="244" spans="1:3" ht="13" x14ac:dyDescent="0.15">
      <c r="A244" s="10"/>
      <c r="B244" s="13"/>
      <c r="C244" s="13"/>
    </row>
    <row r="245" spans="1:3" ht="13" x14ac:dyDescent="0.15">
      <c r="A245" s="10"/>
      <c r="B245" s="13"/>
      <c r="C245" s="13"/>
    </row>
    <row r="246" spans="1:3" ht="13" x14ac:dyDescent="0.15">
      <c r="A246" s="10"/>
      <c r="B246" s="13"/>
      <c r="C246" s="13"/>
    </row>
    <row r="247" spans="1:3" ht="13" x14ac:dyDescent="0.15">
      <c r="A247" s="10"/>
      <c r="B247" s="13"/>
      <c r="C247" s="13"/>
    </row>
    <row r="248" spans="1:3" ht="13" x14ac:dyDescent="0.15">
      <c r="A248" s="10"/>
      <c r="B248" s="13"/>
      <c r="C248" s="13"/>
    </row>
    <row r="249" spans="1:3" ht="13" x14ac:dyDescent="0.15">
      <c r="A249" s="10"/>
      <c r="B249" s="13"/>
      <c r="C249" s="13"/>
    </row>
    <row r="250" spans="1:3" ht="13" x14ac:dyDescent="0.15">
      <c r="A250" s="10"/>
      <c r="B250" s="13"/>
      <c r="C250" s="13"/>
    </row>
    <row r="251" spans="1:3" ht="13" x14ac:dyDescent="0.15">
      <c r="A251" s="10"/>
      <c r="B251" s="13"/>
      <c r="C251" s="13"/>
    </row>
    <row r="252" spans="1:3" ht="13" x14ac:dyDescent="0.15">
      <c r="A252" s="10"/>
      <c r="B252" s="13"/>
      <c r="C252" s="13"/>
    </row>
    <row r="253" spans="1:3" ht="13" x14ac:dyDescent="0.15">
      <c r="A253" s="10"/>
      <c r="B253" s="13"/>
      <c r="C253" s="13"/>
    </row>
    <row r="254" spans="1:3" ht="13" x14ac:dyDescent="0.15">
      <c r="A254" s="10"/>
      <c r="B254" s="13"/>
      <c r="C254" s="13"/>
    </row>
    <row r="255" spans="1:3" ht="13" x14ac:dyDescent="0.15">
      <c r="A255" s="10"/>
      <c r="B255" s="13"/>
      <c r="C255" s="13"/>
    </row>
    <row r="256" spans="1:3" ht="13" x14ac:dyDescent="0.15">
      <c r="A256" s="10"/>
      <c r="B256" s="13"/>
      <c r="C256" s="13"/>
    </row>
    <row r="257" spans="1:3" ht="13" x14ac:dyDescent="0.15">
      <c r="A257" s="10"/>
      <c r="B257" s="13"/>
      <c r="C257" s="13"/>
    </row>
    <row r="258" spans="1:3" ht="13" x14ac:dyDescent="0.15">
      <c r="A258" s="10"/>
      <c r="B258" s="13"/>
      <c r="C258" s="13"/>
    </row>
    <row r="259" spans="1:3" ht="13" x14ac:dyDescent="0.15">
      <c r="A259" s="10"/>
      <c r="B259" s="13"/>
      <c r="C259" s="13"/>
    </row>
    <row r="260" spans="1:3" ht="13" x14ac:dyDescent="0.15">
      <c r="A260" s="10"/>
      <c r="B260" s="13"/>
      <c r="C260" s="13"/>
    </row>
    <row r="261" spans="1:3" ht="13" x14ac:dyDescent="0.15">
      <c r="A261" s="10"/>
      <c r="B261" s="13"/>
      <c r="C261" s="13"/>
    </row>
    <row r="262" spans="1:3" ht="13" x14ac:dyDescent="0.15">
      <c r="A262" s="10"/>
      <c r="B262" s="13"/>
      <c r="C262" s="13"/>
    </row>
    <row r="263" spans="1:3" ht="13" x14ac:dyDescent="0.15">
      <c r="A263" s="10"/>
      <c r="B263" s="13"/>
      <c r="C263" s="13"/>
    </row>
    <row r="264" spans="1:3" ht="13" x14ac:dyDescent="0.15">
      <c r="A264" s="10"/>
      <c r="B264" s="13"/>
      <c r="C264" s="13"/>
    </row>
    <row r="265" spans="1:3" ht="13" x14ac:dyDescent="0.15">
      <c r="A265" s="10"/>
      <c r="B265" s="13"/>
      <c r="C265" s="13"/>
    </row>
    <row r="266" spans="1:3" ht="13" x14ac:dyDescent="0.15">
      <c r="A266" s="10"/>
      <c r="B266" s="13"/>
      <c r="C266" s="13"/>
    </row>
    <row r="267" spans="1:3" ht="13" x14ac:dyDescent="0.15">
      <c r="A267" s="10"/>
      <c r="B267" s="13"/>
      <c r="C267" s="13"/>
    </row>
    <row r="268" spans="1:3" ht="13" x14ac:dyDescent="0.15">
      <c r="A268" s="10"/>
      <c r="B268" s="13"/>
      <c r="C268" s="13"/>
    </row>
    <row r="269" spans="1:3" ht="13" x14ac:dyDescent="0.15">
      <c r="A269" s="10"/>
      <c r="B269" s="13"/>
      <c r="C269" s="13"/>
    </row>
    <row r="270" spans="1:3" ht="13" x14ac:dyDescent="0.15">
      <c r="A270" s="10"/>
      <c r="B270" s="13"/>
      <c r="C270" s="13"/>
    </row>
    <row r="271" spans="1:3" ht="13" x14ac:dyDescent="0.15">
      <c r="A271" s="10"/>
      <c r="B271" s="13"/>
      <c r="C271" s="13"/>
    </row>
    <row r="272" spans="1:3" ht="13" x14ac:dyDescent="0.15">
      <c r="A272" s="10"/>
      <c r="B272" s="13"/>
      <c r="C272" s="13"/>
    </row>
    <row r="273" spans="1:3" ht="13" x14ac:dyDescent="0.15">
      <c r="A273" s="10"/>
      <c r="B273" s="13"/>
      <c r="C273" s="13"/>
    </row>
    <row r="274" spans="1:3" ht="13" x14ac:dyDescent="0.15">
      <c r="A274" s="10"/>
      <c r="B274" s="13"/>
      <c r="C274" s="13"/>
    </row>
    <row r="275" spans="1:3" ht="13" x14ac:dyDescent="0.15">
      <c r="A275" s="10"/>
      <c r="B275" s="13"/>
      <c r="C275" s="13"/>
    </row>
    <row r="276" spans="1:3" ht="13" x14ac:dyDescent="0.15">
      <c r="A276" s="10"/>
      <c r="B276" s="13"/>
      <c r="C276" s="13"/>
    </row>
    <row r="277" spans="1:3" ht="13" x14ac:dyDescent="0.15">
      <c r="A277" s="10"/>
      <c r="B277" s="13"/>
      <c r="C277" s="13"/>
    </row>
    <row r="278" spans="1:3" ht="13" x14ac:dyDescent="0.15">
      <c r="A278" s="10"/>
      <c r="B278" s="13"/>
      <c r="C278" s="13"/>
    </row>
    <row r="279" spans="1:3" ht="13" x14ac:dyDescent="0.15">
      <c r="A279" s="10"/>
      <c r="B279" s="13"/>
      <c r="C279" s="13"/>
    </row>
    <row r="280" spans="1:3" ht="13" x14ac:dyDescent="0.15">
      <c r="A280" s="10"/>
      <c r="B280" s="13"/>
      <c r="C280" s="13"/>
    </row>
    <row r="281" spans="1:3" ht="13" x14ac:dyDescent="0.15">
      <c r="A281" s="10"/>
      <c r="B281" s="13"/>
      <c r="C281" s="13"/>
    </row>
    <row r="282" spans="1:3" ht="13" x14ac:dyDescent="0.15">
      <c r="A282" s="10"/>
      <c r="B282" s="13"/>
      <c r="C282" s="13"/>
    </row>
    <row r="283" spans="1:3" ht="13" x14ac:dyDescent="0.15">
      <c r="A283" s="10"/>
      <c r="B283" s="13"/>
      <c r="C283" s="13"/>
    </row>
    <row r="284" spans="1:3" ht="13" x14ac:dyDescent="0.15">
      <c r="A284" s="10"/>
      <c r="B284" s="13"/>
      <c r="C284" s="13"/>
    </row>
    <row r="285" spans="1:3" ht="13" x14ac:dyDescent="0.15">
      <c r="A285" s="10"/>
      <c r="B285" s="13"/>
      <c r="C285" s="13"/>
    </row>
    <row r="286" spans="1:3" ht="13" x14ac:dyDescent="0.15">
      <c r="A286" s="10"/>
      <c r="B286" s="13"/>
      <c r="C286" s="13"/>
    </row>
    <row r="287" spans="1:3" ht="13" x14ac:dyDescent="0.15">
      <c r="A287" s="10"/>
      <c r="B287" s="13"/>
      <c r="C287" s="13"/>
    </row>
    <row r="288" spans="1:3" ht="13" x14ac:dyDescent="0.15">
      <c r="A288" s="10"/>
      <c r="B288" s="13"/>
      <c r="C288" s="13"/>
    </row>
    <row r="289" spans="1:3" ht="13" x14ac:dyDescent="0.15">
      <c r="A289" s="10"/>
      <c r="B289" s="13"/>
      <c r="C289" s="13"/>
    </row>
    <row r="290" spans="1:3" ht="13" x14ac:dyDescent="0.15">
      <c r="A290" s="10"/>
      <c r="B290" s="13"/>
      <c r="C290" s="13"/>
    </row>
    <row r="291" spans="1:3" ht="13" x14ac:dyDescent="0.15">
      <c r="A291" s="10"/>
      <c r="B291" s="13"/>
      <c r="C291" s="13"/>
    </row>
    <row r="292" spans="1:3" ht="13" x14ac:dyDescent="0.15">
      <c r="A292" s="10"/>
      <c r="B292" s="13"/>
      <c r="C292" s="13"/>
    </row>
    <row r="293" spans="1:3" ht="13" x14ac:dyDescent="0.15">
      <c r="A293" s="10"/>
      <c r="B293" s="13"/>
      <c r="C293" s="13"/>
    </row>
    <row r="294" spans="1:3" ht="13" x14ac:dyDescent="0.15">
      <c r="A294" s="10"/>
      <c r="B294" s="13"/>
      <c r="C294" s="13"/>
    </row>
    <row r="295" spans="1:3" ht="13" x14ac:dyDescent="0.15">
      <c r="A295" s="10"/>
      <c r="B295" s="13"/>
      <c r="C295" s="13"/>
    </row>
    <row r="296" spans="1:3" ht="13" x14ac:dyDescent="0.15">
      <c r="A296" s="10"/>
      <c r="B296" s="13"/>
      <c r="C296" s="13"/>
    </row>
    <row r="297" spans="1:3" ht="13" x14ac:dyDescent="0.15">
      <c r="A297" s="10"/>
      <c r="B297" s="13"/>
      <c r="C297" s="13"/>
    </row>
    <row r="298" spans="1:3" ht="13" x14ac:dyDescent="0.15">
      <c r="A298" s="10"/>
      <c r="B298" s="13"/>
      <c r="C298" s="13"/>
    </row>
    <row r="299" spans="1:3" ht="13" x14ac:dyDescent="0.15">
      <c r="A299" s="10"/>
      <c r="B299" s="13"/>
      <c r="C299" s="13"/>
    </row>
    <row r="300" spans="1:3" ht="13" x14ac:dyDescent="0.15">
      <c r="A300" s="10"/>
      <c r="B300" s="13"/>
      <c r="C300" s="13"/>
    </row>
    <row r="301" spans="1:3" ht="13" x14ac:dyDescent="0.15">
      <c r="A301" s="10"/>
      <c r="B301" s="13"/>
      <c r="C301" s="13"/>
    </row>
    <row r="302" spans="1:3" ht="13" x14ac:dyDescent="0.15">
      <c r="A302" s="10"/>
      <c r="B302" s="13"/>
      <c r="C302" s="13"/>
    </row>
    <row r="303" spans="1:3" ht="13" x14ac:dyDescent="0.15">
      <c r="A303" s="10"/>
      <c r="B303" s="13"/>
      <c r="C303" s="13"/>
    </row>
    <row r="304" spans="1:3" ht="13" x14ac:dyDescent="0.15">
      <c r="A304" s="10"/>
      <c r="B304" s="13"/>
      <c r="C304" s="13"/>
    </row>
    <row r="305" spans="1:3" ht="13" x14ac:dyDescent="0.15">
      <c r="A305" s="10"/>
      <c r="B305" s="13"/>
      <c r="C305" s="13"/>
    </row>
    <row r="306" spans="1:3" ht="13" x14ac:dyDescent="0.15">
      <c r="A306" s="10"/>
      <c r="B306" s="13"/>
      <c r="C306" s="13"/>
    </row>
    <row r="307" spans="1:3" ht="13" x14ac:dyDescent="0.15">
      <c r="A307" s="10"/>
      <c r="B307" s="13"/>
      <c r="C307" s="13"/>
    </row>
    <row r="308" spans="1:3" ht="13" x14ac:dyDescent="0.15">
      <c r="A308" s="10"/>
      <c r="B308" s="13"/>
      <c r="C308" s="13"/>
    </row>
    <row r="309" spans="1:3" ht="13" x14ac:dyDescent="0.15">
      <c r="A309" s="10"/>
      <c r="B309" s="13"/>
      <c r="C309" s="13"/>
    </row>
    <row r="310" spans="1:3" ht="13" x14ac:dyDescent="0.15">
      <c r="A310" s="10"/>
      <c r="B310" s="13"/>
      <c r="C310" s="13"/>
    </row>
    <row r="311" spans="1:3" ht="13" x14ac:dyDescent="0.15">
      <c r="A311" s="10"/>
      <c r="B311" s="13"/>
      <c r="C311" s="13"/>
    </row>
    <row r="312" spans="1:3" ht="13" x14ac:dyDescent="0.15">
      <c r="A312" s="10"/>
      <c r="B312" s="13"/>
      <c r="C312" s="13"/>
    </row>
    <row r="313" spans="1:3" ht="13" x14ac:dyDescent="0.15">
      <c r="A313" s="10"/>
      <c r="B313" s="13"/>
      <c r="C313" s="13"/>
    </row>
    <row r="314" spans="1:3" ht="13" x14ac:dyDescent="0.15">
      <c r="A314" s="10"/>
      <c r="B314" s="13"/>
      <c r="C314" s="13"/>
    </row>
    <row r="315" spans="1:3" ht="13" x14ac:dyDescent="0.15">
      <c r="A315" s="10"/>
      <c r="B315" s="13"/>
      <c r="C315" s="13"/>
    </row>
    <row r="316" spans="1:3" ht="13" x14ac:dyDescent="0.15">
      <c r="A316" s="10"/>
      <c r="B316" s="13"/>
      <c r="C316" s="13"/>
    </row>
    <row r="317" spans="1:3" ht="13" x14ac:dyDescent="0.15">
      <c r="A317" s="10"/>
      <c r="B317" s="13"/>
      <c r="C317" s="13"/>
    </row>
    <row r="318" spans="1:3" ht="13" x14ac:dyDescent="0.15">
      <c r="A318" s="10"/>
      <c r="B318" s="13"/>
      <c r="C318" s="13"/>
    </row>
    <row r="319" spans="1:3" ht="13" x14ac:dyDescent="0.15">
      <c r="A319" s="10"/>
      <c r="B319" s="13"/>
      <c r="C319" s="13"/>
    </row>
    <row r="320" spans="1:3" ht="13" x14ac:dyDescent="0.15">
      <c r="A320" s="10"/>
      <c r="B320" s="13"/>
      <c r="C320" s="13"/>
    </row>
    <row r="321" spans="1:3" ht="13" x14ac:dyDescent="0.15">
      <c r="A321" s="10"/>
      <c r="B321" s="13"/>
      <c r="C321" s="13"/>
    </row>
    <row r="322" spans="1:3" ht="13" x14ac:dyDescent="0.15">
      <c r="A322" s="10"/>
      <c r="B322" s="13"/>
      <c r="C322" s="13"/>
    </row>
    <row r="323" spans="1:3" ht="13" x14ac:dyDescent="0.15">
      <c r="A323" s="10"/>
      <c r="B323" s="13"/>
      <c r="C323" s="13"/>
    </row>
    <row r="324" spans="1:3" ht="13" x14ac:dyDescent="0.15">
      <c r="A324" s="10"/>
      <c r="B324" s="13"/>
      <c r="C324" s="13"/>
    </row>
    <row r="325" spans="1:3" ht="13" x14ac:dyDescent="0.15">
      <c r="A325" s="10"/>
      <c r="B325" s="13"/>
      <c r="C325" s="13"/>
    </row>
    <row r="326" spans="1:3" ht="13" x14ac:dyDescent="0.15">
      <c r="A326" s="10"/>
      <c r="B326" s="13"/>
      <c r="C326" s="13"/>
    </row>
    <row r="327" spans="1:3" ht="13" x14ac:dyDescent="0.15">
      <c r="A327" s="10"/>
      <c r="B327" s="13"/>
      <c r="C327" s="13"/>
    </row>
    <row r="328" spans="1:3" ht="13" x14ac:dyDescent="0.15">
      <c r="A328" s="10"/>
      <c r="B328" s="13"/>
      <c r="C328" s="13"/>
    </row>
    <row r="329" spans="1:3" ht="13" x14ac:dyDescent="0.15">
      <c r="A329" s="10"/>
      <c r="B329" s="13"/>
      <c r="C329" s="13"/>
    </row>
    <row r="330" spans="1:3" ht="13" x14ac:dyDescent="0.15">
      <c r="A330" s="10"/>
      <c r="B330" s="13"/>
      <c r="C330" s="13"/>
    </row>
    <row r="331" spans="1:3" ht="13" x14ac:dyDescent="0.15">
      <c r="A331" s="10"/>
      <c r="B331" s="13"/>
      <c r="C331" s="13"/>
    </row>
    <row r="332" spans="1:3" ht="13" x14ac:dyDescent="0.15">
      <c r="A332" s="10"/>
      <c r="B332" s="13"/>
      <c r="C332" s="13"/>
    </row>
    <row r="333" spans="1:3" ht="13" x14ac:dyDescent="0.15">
      <c r="A333" s="10"/>
      <c r="B333" s="13"/>
      <c r="C333" s="13"/>
    </row>
    <row r="334" spans="1:3" ht="13" x14ac:dyDescent="0.15">
      <c r="A334" s="10"/>
      <c r="B334" s="13"/>
      <c r="C334" s="13"/>
    </row>
    <row r="335" spans="1:3" ht="13" x14ac:dyDescent="0.15">
      <c r="A335" s="10"/>
      <c r="B335" s="13"/>
      <c r="C335" s="13"/>
    </row>
    <row r="336" spans="1:3" ht="13" x14ac:dyDescent="0.15">
      <c r="A336" s="10"/>
      <c r="B336" s="13"/>
      <c r="C336" s="13"/>
    </row>
    <row r="337" spans="1:3" ht="13" x14ac:dyDescent="0.15">
      <c r="A337" s="10"/>
      <c r="B337" s="13"/>
      <c r="C337" s="13"/>
    </row>
    <row r="338" spans="1:3" ht="13" x14ac:dyDescent="0.15">
      <c r="A338" s="10"/>
      <c r="B338" s="13"/>
      <c r="C338" s="13"/>
    </row>
    <row r="339" spans="1:3" ht="13" x14ac:dyDescent="0.15">
      <c r="A339" s="10"/>
      <c r="B339" s="13"/>
      <c r="C339" s="13"/>
    </row>
    <row r="340" spans="1:3" ht="13" x14ac:dyDescent="0.15">
      <c r="A340" s="10"/>
      <c r="B340" s="13"/>
      <c r="C340" s="13"/>
    </row>
    <row r="341" spans="1:3" ht="13" x14ac:dyDescent="0.15">
      <c r="A341" s="10"/>
      <c r="B341" s="13"/>
      <c r="C341" s="13"/>
    </row>
    <row r="342" spans="1:3" ht="13" x14ac:dyDescent="0.15">
      <c r="A342" s="10"/>
      <c r="B342" s="13"/>
      <c r="C342" s="13"/>
    </row>
    <row r="343" spans="1:3" ht="13" x14ac:dyDescent="0.15">
      <c r="A343" s="10"/>
      <c r="B343" s="13"/>
      <c r="C343" s="13"/>
    </row>
    <row r="344" spans="1:3" ht="13" x14ac:dyDescent="0.15">
      <c r="A344" s="10"/>
      <c r="B344" s="13"/>
      <c r="C344" s="13"/>
    </row>
    <row r="345" spans="1:3" ht="13" x14ac:dyDescent="0.15">
      <c r="A345" s="10"/>
      <c r="B345" s="13"/>
      <c r="C345" s="13"/>
    </row>
    <row r="346" spans="1:3" ht="13" x14ac:dyDescent="0.15">
      <c r="A346" s="10"/>
      <c r="B346" s="13"/>
      <c r="C346" s="13"/>
    </row>
    <row r="347" spans="1:3" ht="13" x14ac:dyDescent="0.15">
      <c r="A347" s="10"/>
      <c r="B347" s="13"/>
      <c r="C347" s="13"/>
    </row>
    <row r="348" spans="1:3" ht="13" x14ac:dyDescent="0.15">
      <c r="A348" s="10"/>
      <c r="B348" s="13"/>
      <c r="C348" s="13"/>
    </row>
    <row r="349" spans="1:3" ht="13" x14ac:dyDescent="0.15">
      <c r="A349" s="10"/>
      <c r="B349" s="13"/>
      <c r="C349" s="13"/>
    </row>
    <row r="350" spans="1:3" ht="13" x14ac:dyDescent="0.15">
      <c r="A350" s="10"/>
      <c r="B350" s="13"/>
      <c r="C350" s="13"/>
    </row>
    <row r="351" spans="1:3" ht="13" x14ac:dyDescent="0.15">
      <c r="A351" s="10"/>
      <c r="B351" s="13"/>
      <c r="C351" s="13"/>
    </row>
    <row r="352" spans="1:3" ht="13" x14ac:dyDescent="0.15">
      <c r="A352" s="10"/>
      <c r="B352" s="13"/>
      <c r="C352" s="13"/>
    </row>
    <row r="353" spans="1:3" ht="13" x14ac:dyDescent="0.15">
      <c r="A353" s="10"/>
      <c r="B353" s="13"/>
      <c r="C353" s="13"/>
    </row>
    <row r="354" spans="1:3" ht="13" x14ac:dyDescent="0.15">
      <c r="A354" s="10"/>
      <c r="B354" s="13"/>
      <c r="C354" s="13"/>
    </row>
    <row r="355" spans="1:3" ht="13" x14ac:dyDescent="0.15">
      <c r="A355" s="10"/>
      <c r="B355" s="13"/>
      <c r="C355" s="13"/>
    </row>
    <row r="356" spans="1:3" ht="13" x14ac:dyDescent="0.15">
      <c r="A356" s="10"/>
      <c r="B356" s="13"/>
      <c r="C356" s="13"/>
    </row>
    <row r="357" spans="1:3" ht="13" x14ac:dyDescent="0.15">
      <c r="A357" s="10"/>
      <c r="B357" s="13"/>
      <c r="C357" s="13"/>
    </row>
    <row r="358" spans="1:3" ht="13" x14ac:dyDescent="0.15">
      <c r="A358" s="10"/>
      <c r="B358" s="13"/>
      <c r="C358" s="13"/>
    </row>
    <row r="359" spans="1:3" ht="13" x14ac:dyDescent="0.15">
      <c r="A359" s="10"/>
      <c r="B359" s="13"/>
      <c r="C359" s="13"/>
    </row>
    <row r="360" spans="1:3" ht="13" x14ac:dyDescent="0.15">
      <c r="A360" s="10"/>
      <c r="B360" s="13"/>
      <c r="C360" s="13"/>
    </row>
    <row r="361" spans="1:3" ht="13" x14ac:dyDescent="0.15">
      <c r="A361" s="10"/>
      <c r="B361" s="13"/>
      <c r="C361" s="13"/>
    </row>
    <row r="362" spans="1:3" ht="13" x14ac:dyDescent="0.15">
      <c r="A362" s="10"/>
      <c r="B362" s="13"/>
      <c r="C362" s="13"/>
    </row>
    <row r="363" spans="1:3" ht="13" x14ac:dyDescent="0.15">
      <c r="A363" s="10"/>
      <c r="B363" s="13"/>
      <c r="C363" s="13"/>
    </row>
    <row r="364" spans="1:3" ht="13" x14ac:dyDescent="0.15">
      <c r="A364" s="10"/>
      <c r="B364" s="13"/>
      <c r="C364" s="13"/>
    </row>
    <row r="365" spans="1:3" ht="13" x14ac:dyDescent="0.15">
      <c r="A365" s="10"/>
      <c r="B365" s="13"/>
      <c r="C365" s="13"/>
    </row>
    <row r="366" spans="1:3" ht="13" x14ac:dyDescent="0.15">
      <c r="A366" s="10"/>
      <c r="B366" s="13"/>
      <c r="C366" s="13"/>
    </row>
    <row r="367" spans="1:3" ht="13" x14ac:dyDescent="0.15">
      <c r="A367" s="10"/>
      <c r="B367" s="13"/>
      <c r="C367" s="13"/>
    </row>
    <row r="368" spans="1:3" ht="13" x14ac:dyDescent="0.15">
      <c r="A368" s="10"/>
      <c r="B368" s="13"/>
      <c r="C368" s="13"/>
    </row>
    <row r="369" spans="1:3" ht="13" x14ac:dyDescent="0.15">
      <c r="A369" s="10"/>
      <c r="B369" s="13"/>
      <c r="C369" s="13"/>
    </row>
    <row r="370" spans="1:3" ht="13" x14ac:dyDescent="0.15">
      <c r="A370" s="10"/>
      <c r="B370" s="13"/>
      <c r="C370" s="13"/>
    </row>
    <row r="371" spans="1:3" ht="13" x14ac:dyDescent="0.15">
      <c r="A371" s="10"/>
      <c r="B371" s="13"/>
      <c r="C371" s="13"/>
    </row>
    <row r="372" spans="1:3" ht="13" x14ac:dyDescent="0.15">
      <c r="A372" s="10"/>
      <c r="B372" s="13"/>
      <c r="C372" s="13"/>
    </row>
    <row r="373" spans="1:3" ht="13" x14ac:dyDescent="0.15">
      <c r="A373" s="10"/>
      <c r="B373" s="13"/>
      <c r="C373" s="13"/>
    </row>
    <row r="374" spans="1:3" ht="13" x14ac:dyDescent="0.15">
      <c r="A374" s="10"/>
      <c r="B374" s="13"/>
      <c r="C374" s="13"/>
    </row>
    <row r="375" spans="1:3" ht="13" x14ac:dyDescent="0.15">
      <c r="A375" s="10"/>
      <c r="B375" s="13"/>
      <c r="C375" s="13"/>
    </row>
    <row r="376" spans="1:3" ht="13" x14ac:dyDescent="0.15">
      <c r="A376" s="10"/>
      <c r="B376" s="13"/>
      <c r="C376" s="13"/>
    </row>
    <row r="377" spans="1:3" ht="13" x14ac:dyDescent="0.15">
      <c r="A377" s="10"/>
      <c r="B377" s="13"/>
      <c r="C377" s="13"/>
    </row>
    <row r="378" spans="1:3" ht="13" x14ac:dyDescent="0.15">
      <c r="A378" s="10"/>
      <c r="B378" s="13"/>
      <c r="C378" s="13"/>
    </row>
    <row r="379" spans="1:3" ht="13" x14ac:dyDescent="0.15">
      <c r="A379" s="10"/>
      <c r="B379" s="13"/>
      <c r="C379" s="13"/>
    </row>
    <row r="380" spans="1:3" ht="13" x14ac:dyDescent="0.15">
      <c r="A380" s="10"/>
      <c r="B380" s="13"/>
      <c r="C380" s="13"/>
    </row>
    <row r="381" spans="1:3" ht="13" x14ac:dyDescent="0.15">
      <c r="A381" s="10"/>
      <c r="B381" s="13"/>
      <c r="C381" s="13"/>
    </row>
    <row r="382" spans="1:3" ht="13" x14ac:dyDescent="0.15">
      <c r="A382" s="10"/>
      <c r="B382" s="13"/>
      <c r="C382" s="13"/>
    </row>
    <row r="383" spans="1:3" ht="13" x14ac:dyDescent="0.15">
      <c r="A383" s="10"/>
      <c r="B383" s="13"/>
      <c r="C383" s="13"/>
    </row>
    <row r="384" spans="1:3" ht="13" x14ac:dyDescent="0.15">
      <c r="A384" s="10"/>
      <c r="B384" s="13"/>
      <c r="C384" s="13"/>
    </row>
    <row r="385" spans="1:3" ht="13" x14ac:dyDescent="0.15">
      <c r="A385" s="10"/>
      <c r="B385" s="13"/>
      <c r="C385" s="13"/>
    </row>
    <row r="386" spans="1:3" ht="13" x14ac:dyDescent="0.15">
      <c r="A386" s="10"/>
      <c r="B386" s="13"/>
      <c r="C386" s="13"/>
    </row>
    <row r="387" spans="1:3" ht="13" x14ac:dyDescent="0.15">
      <c r="A387" s="10"/>
      <c r="B387" s="13"/>
      <c r="C387" s="13"/>
    </row>
    <row r="388" spans="1:3" ht="13" x14ac:dyDescent="0.15">
      <c r="A388" s="10"/>
      <c r="B388" s="13"/>
      <c r="C388" s="13"/>
    </row>
    <row r="389" spans="1:3" ht="13" x14ac:dyDescent="0.15">
      <c r="A389" s="10"/>
      <c r="B389" s="13"/>
      <c r="C389" s="13"/>
    </row>
    <row r="390" spans="1:3" ht="13" x14ac:dyDescent="0.15">
      <c r="A390" s="10"/>
      <c r="B390" s="13"/>
      <c r="C390" s="13"/>
    </row>
    <row r="391" spans="1:3" ht="13" x14ac:dyDescent="0.15">
      <c r="A391" s="10"/>
      <c r="B391" s="13"/>
      <c r="C391" s="13"/>
    </row>
    <row r="392" spans="1:3" ht="13" x14ac:dyDescent="0.15">
      <c r="A392" s="10"/>
      <c r="B392" s="13"/>
      <c r="C392" s="13"/>
    </row>
    <row r="393" spans="1:3" ht="13" x14ac:dyDescent="0.15">
      <c r="A393" s="10"/>
      <c r="B393" s="13"/>
      <c r="C393" s="13"/>
    </row>
    <row r="394" spans="1:3" ht="13" x14ac:dyDescent="0.15">
      <c r="A394" s="10"/>
      <c r="B394" s="13"/>
      <c r="C394" s="13"/>
    </row>
    <row r="395" spans="1:3" ht="13" x14ac:dyDescent="0.15">
      <c r="A395" s="10"/>
      <c r="B395" s="13"/>
      <c r="C395" s="13"/>
    </row>
    <row r="396" spans="1:3" ht="13" x14ac:dyDescent="0.15">
      <c r="A396" s="10"/>
      <c r="B396" s="13"/>
      <c r="C396" s="13"/>
    </row>
    <row r="397" spans="1:3" ht="13" x14ac:dyDescent="0.15">
      <c r="A397" s="10"/>
      <c r="B397" s="13"/>
      <c r="C397" s="13"/>
    </row>
    <row r="398" spans="1:3" ht="13" x14ac:dyDescent="0.15">
      <c r="A398" s="10"/>
      <c r="B398" s="13"/>
      <c r="C398" s="13"/>
    </row>
    <row r="399" spans="1:3" ht="13" x14ac:dyDescent="0.15">
      <c r="A399" s="10"/>
      <c r="B399" s="13"/>
      <c r="C399" s="13"/>
    </row>
    <row r="400" spans="1:3" ht="13" x14ac:dyDescent="0.15">
      <c r="A400" s="10"/>
      <c r="B400" s="13"/>
      <c r="C400" s="13"/>
    </row>
    <row r="401" spans="1:3" ht="13" x14ac:dyDescent="0.15">
      <c r="A401" s="10"/>
      <c r="B401" s="13"/>
      <c r="C401" s="13"/>
    </row>
    <row r="402" spans="1:3" ht="13" x14ac:dyDescent="0.15">
      <c r="A402" s="10"/>
      <c r="B402" s="13"/>
      <c r="C402" s="13"/>
    </row>
    <row r="403" spans="1:3" ht="13" x14ac:dyDescent="0.15">
      <c r="A403" s="10"/>
      <c r="B403" s="13"/>
      <c r="C403" s="13"/>
    </row>
    <row r="404" spans="1:3" ht="13" x14ac:dyDescent="0.15">
      <c r="A404" s="10"/>
      <c r="B404" s="13"/>
      <c r="C404" s="13"/>
    </row>
    <row r="405" spans="1:3" ht="13" x14ac:dyDescent="0.15">
      <c r="A405" s="10"/>
      <c r="B405" s="13"/>
      <c r="C405" s="13"/>
    </row>
    <row r="406" spans="1:3" ht="13" x14ac:dyDescent="0.15">
      <c r="A406" s="10"/>
      <c r="B406" s="13"/>
      <c r="C406" s="13"/>
    </row>
    <row r="407" spans="1:3" ht="13" x14ac:dyDescent="0.15">
      <c r="A407" s="10"/>
      <c r="B407" s="13"/>
      <c r="C407" s="13"/>
    </row>
    <row r="408" spans="1:3" ht="13" x14ac:dyDescent="0.15">
      <c r="A408" s="10"/>
      <c r="B408" s="13"/>
      <c r="C408" s="13"/>
    </row>
    <row r="409" spans="1:3" ht="13" x14ac:dyDescent="0.15">
      <c r="A409" s="10"/>
      <c r="B409" s="13"/>
      <c r="C409" s="13"/>
    </row>
    <row r="410" spans="1:3" ht="13" x14ac:dyDescent="0.15">
      <c r="A410" s="10"/>
      <c r="B410" s="13"/>
      <c r="C410" s="13"/>
    </row>
    <row r="411" spans="1:3" ht="13" x14ac:dyDescent="0.15">
      <c r="A411" s="10"/>
      <c r="B411" s="13"/>
      <c r="C411" s="13"/>
    </row>
    <row r="412" spans="1:3" ht="13" x14ac:dyDescent="0.15">
      <c r="A412" s="10"/>
      <c r="B412" s="13"/>
      <c r="C412" s="13"/>
    </row>
    <row r="413" spans="1:3" ht="13" x14ac:dyDescent="0.15">
      <c r="A413" s="10"/>
      <c r="B413" s="13"/>
      <c r="C413" s="13"/>
    </row>
    <row r="414" spans="1:3" ht="13" x14ac:dyDescent="0.15">
      <c r="A414" s="10"/>
      <c r="B414" s="13"/>
      <c r="C414" s="13"/>
    </row>
    <row r="415" spans="1:3" ht="13" x14ac:dyDescent="0.15">
      <c r="A415" s="10"/>
      <c r="B415" s="13"/>
      <c r="C415" s="13"/>
    </row>
    <row r="416" spans="1:3" ht="13" x14ac:dyDescent="0.15">
      <c r="A416" s="10"/>
      <c r="B416" s="13"/>
      <c r="C416" s="13"/>
    </row>
    <row r="417" spans="1:3" ht="13" x14ac:dyDescent="0.15">
      <c r="A417" s="10"/>
      <c r="B417" s="13"/>
      <c r="C417" s="13"/>
    </row>
    <row r="418" spans="1:3" ht="13" x14ac:dyDescent="0.15">
      <c r="A418" s="10"/>
      <c r="B418" s="13"/>
      <c r="C418" s="13"/>
    </row>
    <row r="419" spans="1:3" ht="13" x14ac:dyDescent="0.15">
      <c r="A419" s="10"/>
      <c r="B419" s="13"/>
      <c r="C419" s="13"/>
    </row>
    <row r="420" spans="1:3" ht="13" x14ac:dyDescent="0.15">
      <c r="A420" s="10"/>
      <c r="B420" s="13"/>
      <c r="C420" s="13"/>
    </row>
    <row r="421" spans="1:3" ht="13" x14ac:dyDescent="0.15">
      <c r="A421" s="10"/>
      <c r="B421" s="13"/>
      <c r="C421" s="13"/>
    </row>
    <row r="422" spans="1:3" ht="13" x14ac:dyDescent="0.15">
      <c r="A422" s="10"/>
      <c r="B422" s="13"/>
      <c r="C422" s="13"/>
    </row>
    <row r="423" spans="1:3" ht="13" x14ac:dyDescent="0.15">
      <c r="A423" s="10"/>
      <c r="B423" s="13"/>
      <c r="C423" s="13"/>
    </row>
    <row r="424" spans="1:3" ht="13" x14ac:dyDescent="0.15">
      <c r="A424" s="10"/>
      <c r="B424" s="13"/>
      <c r="C424" s="13"/>
    </row>
    <row r="425" spans="1:3" ht="13" x14ac:dyDescent="0.15">
      <c r="A425" s="10"/>
      <c r="B425" s="13"/>
      <c r="C425" s="13"/>
    </row>
    <row r="426" spans="1:3" ht="13" x14ac:dyDescent="0.15">
      <c r="A426" s="10"/>
      <c r="B426" s="13"/>
      <c r="C426" s="13"/>
    </row>
    <row r="427" spans="1:3" ht="13" x14ac:dyDescent="0.15">
      <c r="A427" s="10"/>
      <c r="B427" s="13"/>
      <c r="C427" s="13"/>
    </row>
    <row r="428" spans="1:3" ht="13" x14ac:dyDescent="0.15">
      <c r="A428" s="10"/>
      <c r="B428" s="13"/>
      <c r="C428" s="13"/>
    </row>
    <row r="429" spans="1:3" ht="13" x14ac:dyDescent="0.15">
      <c r="A429" s="10"/>
      <c r="B429" s="13"/>
      <c r="C429" s="13"/>
    </row>
    <row r="430" spans="1:3" ht="13" x14ac:dyDescent="0.15">
      <c r="A430" s="10"/>
      <c r="B430" s="13"/>
      <c r="C430" s="13"/>
    </row>
    <row r="431" spans="1:3" ht="13" x14ac:dyDescent="0.15">
      <c r="A431" s="10"/>
      <c r="B431" s="13"/>
      <c r="C431" s="13"/>
    </row>
    <row r="432" spans="1:3" ht="13" x14ac:dyDescent="0.15">
      <c r="A432" s="10"/>
      <c r="B432" s="13"/>
      <c r="C432" s="13"/>
    </row>
    <row r="433" spans="1:3" ht="13" x14ac:dyDescent="0.15">
      <c r="A433" s="10"/>
      <c r="B433" s="13"/>
      <c r="C433" s="13"/>
    </row>
    <row r="434" spans="1:3" ht="13" x14ac:dyDescent="0.15">
      <c r="A434" s="10"/>
      <c r="B434" s="13"/>
      <c r="C434" s="13"/>
    </row>
    <row r="435" spans="1:3" ht="13" x14ac:dyDescent="0.15">
      <c r="A435" s="10"/>
      <c r="B435" s="13"/>
      <c r="C435" s="13"/>
    </row>
    <row r="436" spans="1:3" ht="13" x14ac:dyDescent="0.15">
      <c r="A436" s="10"/>
      <c r="B436" s="13"/>
      <c r="C436" s="13"/>
    </row>
    <row r="437" spans="1:3" ht="13" x14ac:dyDescent="0.15">
      <c r="A437" s="10"/>
      <c r="B437" s="13"/>
      <c r="C437" s="13"/>
    </row>
    <row r="438" spans="1:3" ht="13" x14ac:dyDescent="0.15">
      <c r="A438" s="10"/>
      <c r="B438" s="13"/>
      <c r="C438" s="13"/>
    </row>
    <row r="439" spans="1:3" ht="13" x14ac:dyDescent="0.15">
      <c r="A439" s="10"/>
      <c r="B439" s="13"/>
      <c r="C439" s="13"/>
    </row>
    <row r="440" spans="1:3" ht="13" x14ac:dyDescent="0.15">
      <c r="A440" s="10"/>
      <c r="B440" s="13"/>
      <c r="C440" s="13"/>
    </row>
    <row r="441" spans="1:3" ht="13" x14ac:dyDescent="0.15">
      <c r="A441" s="10"/>
      <c r="B441" s="13"/>
      <c r="C441" s="13"/>
    </row>
    <row r="442" spans="1:3" ht="13" x14ac:dyDescent="0.15">
      <c r="A442" s="10"/>
      <c r="B442" s="13"/>
      <c r="C442" s="13"/>
    </row>
    <row r="443" spans="1:3" ht="13" x14ac:dyDescent="0.15">
      <c r="A443" s="10"/>
      <c r="B443" s="13"/>
      <c r="C443" s="13"/>
    </row>
    <row r="444" spans="1:3" ht="13" x14ac:dyDescent="0.15">
      <c r="A444" s="10"/>
      <c r="B444" s="13"/>
      <c r="C444" s="13"/>
    </row>
    <row r="445" spans="1:3" ht="13" x14ac:dyDescent="0.15">
      <c r="A445" s="10"/>
      <c r="B445" s="13"/>
      <c r="C445" s="13"/>
    </row>
    <row r="446" spans="1:3" ht="13" x14ac:dyDescent="0.15">
      <c r="A446" s="10"/>
      <c r="B446" s="13"/>
      <c r="C446" s="13"/>
    </row>
    <row r="447" spans="1:3" ht="13" x14ac:dyDescent="0.15">
      <c r="A447" s="10"/>
      <c r="B447" s="13"/>
      <c r="C447" s="13"/>
    </row>
    <row r="448" spans="1:3" ht="13" x14ac:dyDescent="0.15">
      <c r="A448" s="10"/>
      <c r="B448" s="13"/>
      <c r="C448" s="13"/>
    </row>
    <row r="449" spans="1:3" ht="13" x14ac:dyDescent="0.15">
      <c r="A449" s="10"/>
      <c r="B449" s="13"/>
      <c r="C449" s="13"/>
    </row>
    <row r="450" spans="1:3" ht="13" x14ac:dyDescent="0.15">
      <c r="A450" s="10"/>
      <c r="B450" s="13"/>
      <c r="C450" s="13"/>
    </row>
    <row r="451" spans="1:3" ht="13" x14ac:dyDescent="0.15">
      <c r="A451" s="10"/>
      <c r="B451" s="13"/>
      <c r="C451" s="13"/>
    </row>
    <row r="452" spans="1:3" ht="13" x14ac:dyDescent="0.15">
      <c r="A452" s="10"/>
      <c r="B452" s="13"/>
      <c r="C452" s="13"/>
    </row>
    <row r="453" spans="1:3" ht="13" x14ac:dyDescent="0.15">
      <c r="A453" s="10"/>
      <c r="B453" s="13"/>
      <c r="C453" s="13"/>
    </row>
    <row r="454" spans="1:3" ht="13" x14ac:dyDescent="0.15">
      <c r="A454" s="10"/>
      <c r="B454" s="13"/>
      <c r="C454" s="13"/>
    </row>
    <row r="455" spans="1:3" ht="13" x14ac:dyDescent="0.15">
      <c r="A455" s="10"/>
      <c r="B455" s="13"/>
      <c r="C455" s="13"/>
    </row>
    <row r="456" spans="1:3" ht="13" x14ac:dyDescent="0.15">
      <c r="A456" s="10"/>
      <c r="B456" s="13"/>
      <c r="C456" s="13"/>
    </row>
    <row r="457" spans="1:3" ht="13" x14ac:dyDescent="0.15">
      <c r="A457" s="10"/>
      <c r="B457" s="13"/>
      <c r="C457" s="13"/>
    </row>
    <row r="458" spans="1:3" ht="13" x14ac:dyDescent="0.15">
      <c r="A458" s="10"/>
      <c r="B458" s="13"/>
      <c r="C458" s="13"/>
    </row>
    <row r="459" spans="1:3" ht="13" x14ac:dyDescent="0.15">
      <c r="A459" s="10"/>
      <c r="B459" s="13"/>
      <c r="C459" s="13"/>
    </row>
    <row r="460" spans="1:3" ht="13" x14ac:dyDescent="0.15">
      <c r="A460" s="10"/>
      <c r="B460" s="13"/>
      <c r="C460" s="13"/>
    </row>
    <row r="461" spans="1:3" ht="13" x14ac:dyDescent="0.15">
      <c r="A461" s="10"/>
      <c r="B461" s="13"/>
      <c r="C461" s="13"/>
    </row>
    <row r="462" spans="1:3" ht="13" x14ac:dyDescent="0.15">
      <c r="A462" s="10"/>
      <c r="B462" s="13"/>
      <c r="C462" s="13"/>
    </row>
    <row r="463" spans="1:3" ht="13" x14ac:dyDescent="0.15">
      <c r="A463" s="10"/>
      <c r="B463" s="13"/>
      <c r="C463" s="13"/>
    </row>
    <row r="464" spans="1:3" ht="13" x14ac:dyDescent="0.15">
      <c r="A464" s="10"/>
      <c r="B464" s="13"/>
      <c r="C464" s="13"/>
    </row>
    <row r="465" spans="1:3" ht="13" x14ac:dyDescent="0.15">
      <c r="A465" s="10"/>
      <c r="B465" s="13"/>
      <c r="C465" s="13"/>
    </row>
    <row r="466" spans="1:3" ht="13" x14ac:dyDescent="0.15">
      <c r="A466" s="10"/>
      <c r="B466" s="13"/>
      <c r="C466" s="13"/>
    </row>
    <row r="467" spans="1:3" ht="13" x14ac:dyDescent="0.15">
      <c r="A467" s="10"/>
      <c r="B467" s="13"/>
      <c r="C467" s="13"/>
    </row>
    <row r="468" spans="1:3" ht="13" x14ac:dyDescent="0.15">
      <c r="A468" s="10"/>
      <c r="B468" s="13"/>
      <c r="C468" s="13"/>
    </row>
    <row r="469" spans="1:3" ht="13" x14ac:dyDescent="0.15">
      <c r="A469" s="10"/>
      <c r="B469" s="13"/>
      <c r="C469" s="13"/>
    </row>
    <row r="470" spans="1:3" ht="13" x14ac:dyDescent="0.15">
      <c r="A470" s="10"/>
      <c r="B470" s="13"/>
      <c r="C470" s="13"/>
    </row>
    <row r="471" spans="1:3" ht="13" x14ac:dyDescent="0.15">
      <c r="A471" s="10"/>
      <c r="B471" s="13"/>
      <c r="C471" s="13"/>
    </row>
    <row r="472" spans="1:3" ht="13" x14ac:dyDescent="0.15">
      <c r="A472" s="10"/>
      <c r="B472" s="13"/>
      <c r="C472" s="13"/>
    </row>
    <row r="473" spans="1:3" ht="13" x14ac:dyDescent="0.15">
      <c r="A473" s="10"/>
      <c r="B473" s="13"/>
      <c r="C473" s="13"/>
    </row>
    <row r="474" spans="1:3" ht="13" x14ac:dyDescent="0.15">
      <c r="A474" s="10"/>
      <c r="B474" s="13"/>
      <c r="C474" s="13"/>
    </row>
    <row r="475" spans="1:3" ht="13" x14ac:dyDescent="0.15">
      <c r="A475" s="10"/>
      <c r="B475" s="13"/>
      <c r="C475" s="13"/>
    </row>
    <row r="476" spans="1:3" ht="13" x14ac:dyDescent="0.15">
      <c r="A476" s="10"/>
      <c r="B476" s="13"/>
      <c r="C476" s="13"/>
    </row>
    <row r="477" spans="1:3" ht="13" x14ac:dyDescent="0.15">
      <c r="A477" s="10"/>
      <c r="B477" s="13"/>
      <c r="C477" s="13"/>
    </row>
    <row r="478" spans="1:3" ht="13" x14ac:dyDescent="0.15">
      <c r="A478" s="10"/>
      <c r="B478" s="13"/>
      <c r="C478" s="13"/>
    </row>
    <row r="479" spans="1:3" ht="13" x14ac:dyDescent="0.15">
      <c r="A479" s="10"/>
      <c r="B479" s="13"/>
      <c r="C479" s="13"/>
    </row>
    <row r="480" spans="1:3" ht="13" x14ac:dyDescent="0.15">
      <c r="A480" s="10"/>
      <c r="B480" s="13"/>
      <c r="C480" s="13"/>
    </row>
    <row r="481" spans="1:3" ht="13" x14ac:dyDescent="0.15">
      <c r="A481" s="10"/>
      <c r="B481" s="13"/>
      <c r="C481" s="13"/>
    </row>
    <row r="482" spans="1:3" ht="13" x14ac:dyDescent="0.15">
      <c r="A482" s="10"/>
      <c r="B482" s="13"/>
      <c r="C482" s="13"/>
    </row>
    <row r="483" spans="1:3" ht="13" x14ac:dyDescent="0.15">
      <c r="A483" s="10"/>
      <c r="B483" s="13"/>
      <c r="C483" s="13"/>
    </row>
    <row r="484" spans="1:3" ht="13" x14ac:dyDescent="0.15">
      <c r="A484" s="10"/>
      <c r="B484" s="13"/>
      <c r="C484" s="13"/>
    </row>
    <row r="485" spans="1:3" ht="13" x14ac:dyDescent="0.15">
      <c r="A485" s="10"/>
      <c r="B485" s="13"/>
      <c r="C485" s="13"/>
    </row>
    <row r="486" spans="1:3" ht="13" x14ac:dyDescent="0.15">
      <c r="A486" s="10"/>
      <c r="B486" s="13"/>
      <c r="C486" s="13"/>
    </row>
    <row r="487" spans="1:3" ht="13" x14ac:dyDescent="0.15">
      <c r="A487" s="10"/>
      <c r="B487" s="13"/>
      <c r="C487" s="13"/>
    </row>
    <row r="488" spans="1:3" ht="13" x14ac:dyDescent="0.15">
      <c r="A488" s="10"/>
      <c r="B488" s="13"/>
      <c r="C488" s="13"/>
    </row>
    <row r="489" spans="1:3" ht="13" x14ac:dyDescent="0.15">
      <c r="A489" s="10"/>
      <c r="B489" s="13"/>
      <c r="C489" s="13"/>
    </row>
    <row r="490" spans="1:3" ht="13" x14ac:dyDescent="0.15">
      <c r="A490" s="10"/>
      <c r="B490" s="13"/>
      <c r="C490" s="13"/>
    </row>
    <row r="491" spans="1:3" ht="13" x14ac:dyDescent="0.15">
      <c r="A491" s="10"/>
      <c r="B491" s="13"/>
      <c r="C491" s="13"/>
    </row>
    <row r="492" spans="1:3" ht="13" x14ac:dyDescent="0.15">
      <c r="A492" s="10"/>
      <c r="B492" s="13"/>
      <c r="C492" s="13"/>
    </row>
    <row r="493" spans="1:3" ht="13" x14ac:dyDescent="0.15">
      <c r="A493" s="10"/>
      <c r="B493" s="13"/>
      <c r="C493" s="13"/>
    </row>
    <row r="494" spans="1:3" ht="13" x14ac:dyDescent="0.15">
      <c r="A494" s="10"/>
      <c r="B494" s="13"/>
      <c r="C494" s="13"/>
    </row>
    <row r="495" spans="1:3" ht="13" x14ac:dyDescent="0.15">
      <c r="A495" s="10"/>
      <c r="B495" s="13"/>
      <c r="C495" s="13"/>
    </row>
    <row r="496" spans="1:3" ht="13" x14ac:dyDescent="0.15">
      <c r="A496" s="10"/>
      <c r="B496" s="13"/>
      <c r="C496" s="13"/>
    </row>
    <row r="497" spans="1:3" ht="13" x14ac:dyDescent="0.15">
      <c r="A497" s="10"/>
      <c r="B497" s="13"/>
      <c r="C497" s="13"/>
    </row>
    <row r="498" spans="1:3" ht="13" x14ac:dyDescent="0.15">
      <c r="A498" s="10"/>
      <c r="B498" s="13"/>
      <c r="C498" s="13"/>
    </row>
    <row r="499" spans="1:3" ht="13" x14ac:dyDescent="0.15">
      <c r="A499" s="10"/>
      <c r="B499" s="13"/>
      <c r="C499" s="13"/>
    </row>
    <row r="500" spans="1:3" ht="13" x14ac:dyDescent="0.15">
      <c r="A500" s="10"/>
      <c r="B500" s="13"/>
      <c r="C500" s="13"/>
    </row>
    <row r="501" spans="1:3" ht="13" x14ac:dyDescent="0.15">
      <c r="A501" s="10"/>
      <c r="B501" s="13"/>
      <c r="C501" s="13"/>
    </row>
    <row r="502" spans="1:3" ht="13" x14ac:dyDescent="0.15">
      <c r="A502" s="10"/>
      <c r="B502" s="13"/>
      <c r="C502" s="13"/>
    </row>
    <row r="503" spans="1:3" ht="13" x14ac:dyDescent="0.15">
      <c r="A503" s="10"/>
      <c r="B503" s="13"/>
      <c r="C503" s="13"/>
    </row>
    <row r="504" spans="1:3" ht="13" x14ac:dyDescent="0.15">
      <c r="A504" s="10"/>
      <c r="B504" s="13"/>
      <c r="C504" s="13"/>
    </row>
    <row r="505" spans="1:3" ht="13" x14ac:dyDescent="0.15">
      <c r="A505" s="10"/>
      <c r="B505" s="13"/>
      <c r="C505" s="13"/>
    </row>
    <row r="506" spans="1:3" ht="13" x14ac:dyDescent="0.15">
      <c r="A506" s="10"/>
      <c r="B506" s="13"/>
      <c r="C506" s="13"/>
    </row>
    <row r="507" spans="1:3" ht="13" x14ac:dyDescent="0.15">
      <c r="A507" s="10"/>
      <c r="B507" s="13"/>
      <c r="C507" s="13"/>
    </row>
    <row r="508" spans="1:3" ht="13" x14ac:dyDescent="0.15">
      <c r="A508" s="10"/>
      <c r="B508" s="13"/>
      <c r="C508" s="13"/>
    </row>
    <row r="509" spans="1:3" ht="13" x14ac:dyDescent="0.15">
      <c r="A509" s="10"/>
      <c r="B509" s="13"/>
      <c r="C509" s="13"/>
    </row>
    <row r="510" spans="1:3" ht="13" x14ac:dyDescent="0.15">
      <c r="A510" s="10"/>
      <c r="B510" s="13"/>
      <c r="C510" s="13"/>
    </row>
    <row r="511" spans="1:3" ht="13" x14ac:dyDescent="0.15">
      <c r="A511" s="10"/>
      <c r="B511" s="13"/>
      <c r="C511" s="13"/>
    </row>
    <row r="512" spans="1:3" ht="13" x14ac:dyDescent="0.15">
      <c r="A512" s="10"/>
      <c r="B512" s="13"/>
      <c r="C512" s="13"/>
    </row>
    <row r="513" spans="1:3" ht="13" x14ac:dyDescent="0.15">
      <c r="A513" s="10"/>
      <c r="B513" s="13"/>
      <c r="C513" s="13"/>
    </row>
    <row r="514" spans="1:3" ht="13" x14ac:dyDescent="0.15">
      <c r="A514" s="10"/>
      <c r="B514" s="13"/>
      <c r="C514" s="13"/>
    </row>
    <row r="515" spans="1:3" ht="13" x14ac:dyDescent="0.15">
      <c r="A515" s="10"/>
      <c r="B515" s="13"/>
      <c r="C515" s="13"/>
    </row>
    <row r="516" spans="1:3" ht="13" x14ac:dyDescent="0.15">
      <c r="A516" s="10"/>
      <c r="B516" s="13"/>
      <c r="C516" s="13"/>
    </row>
    <row r="517" spans="1:3" ht="13" x14ac:dyDescent="0.15">
      <c r="A517" s="10"/>
      <c r="B517" s="13"/>
      <c r="C517" s="13"/>
    </row>
    <row r="518" spans="1:3" ht="13" x14ac:dyDescent="0.15">
      <c r="A518" s="10"/>
      <c r="B518" s="13"/>
      <c r="C518" s="13"/>
    </row>
    <row r="519" spans="1:3" ht="13" x14ac:dyDescent="0.15">
      <c r="A519" s="10"/>
      <c r="B519" s="13"/>
      <c r="C519" s="13"/>
    </row>
    <row r="520" spans="1:3" ht="13" x14ac:dyDescent="0.15">
      <c r="A520" s="10"/>
      <c r="B520" s="13"/>
      <c r="C520" s="13"/>
    </row>
    <row r="521" spans="1:3" ht="13" x14ac:dyDescent="0.15">
      <c r="A521" s="10"/>
      <c r="B521" s="13"/>
      <c r="C521" s="13"/>
    </row>
    <row r="522" spans="1:3" ht="13" x14ac:dyDescent="0.15">
      <c r="A522" s="10"/>
      <c r="B522" s="13"/>
      <c r="C522" s="13"/>
    </row>
    <row r="523" spans="1:3" ht="13" x14ac:dyDescent="0.15">
      <c r="A523" s="10"/>
      <c r="B523" s="13"/>
      <c r="C523" s="13"/>
    </row>
    <row r="524" spans="1:3" ht="13" x14ac:dyDescent="0.15">
      <c r="A524" s="10"/>
      <c r="B524" s="13"/>
      <c r="C524" s="13"/>
    </row>
    <row r="525" spans="1:3" ht="13" x14ac:dyDescent="0.15">
      <c r="A525" s="10"/>
      <c r="B525" s="13"/>
      <c r="C525" s="13"/>
    </row>
    <row r="526" spans="1:3" ht="13" x14ac:dyDescent="0.15">
      <c r="A526" s="10"/>
      <c r="B526" s="13"/>
      <c r="C526" s="13"/>
    </row>
    <row r="527" spans="1:3" ht="13" x14ac:dyDescent="0.15">
      <c r="A527" s="10"/>
      <c r="B527" s="13"/>
      <c r="C527" s="13"/>
    </row>
    <row r="528" spans="1:3" ht="13" x14ac:dyDescent="0.15">
      <c r="A528" s="10"/>
      <c r="B528" s="13"/>
      <c r="C528" s="13"/>
    </row>
    <row r="529" spans="1:3" ht="13" x14ac:dyDescent="0.15">
      <c r="A529" s="10"/>
      <c r="B529" s="13"/>
      <c r="C529" s="13"/>
    </row>
    <row r="530" spans="1:3" ht="13" x14ac:dyDescent="0.15">
      <c r="A530" s="10"/>
      <c r="B530" s="13"/>
      <c r="C530" s="13"/>
    </row>
    <row r="531" spans="1:3" ht="13" x14ac:dyDescent="0.15">
      <c r="A531" s="10"/>
      <c r="B531" s="13"/>
      <c r="C531" s="13"/>
    </row>
    <row r="532" spans="1:3" ht="13" x14ac:dyDescent="0.15">
      <c r="A532" s="10"/>
      <c r="B532" s="13"/>
      <c r="C532" s="13"/>
    </row>
    <row r="533" spans="1:3" ht="13" x14ac:dyDescent="0.15">
      <c r="A533" s="10"/>
      <c r="B533" s="13"/>
      <c r="C533" s="13"/>
    </row>
    <row r="534" spans="1:3" ht="13" x14ac:dyDescent="0.15">
      <c r="A534" s="10"/>
      <c r="B534" s="13"/>
      <c r="C534" s="13"/>
    </row>
    <row r="535" spans="1:3" ht="13" x14ac:dyDescent="0.15">
      <c r="A535" s="10"/>
      <c r="B535" s="13"/>
      <c r="C535" s="13"/>
    </row>
    <row r="536" spans="1:3" ht="13" x14ac:dyDescent="0.15">
      <c r="A536" s="10"/>
      <c r="B536" s="13"/>
      <c r="C536" s="13"/>
    </row>
    <row r="537" spans="1:3" ht="13" x14ac:dyDescent="0.15">
      <c r="A537" s="10"/>
      <c r="B537" s="13"/>
      <c r="C537" s="13"/>
    </row>
    <row r="538" spans="1:3" ht="13" x14ac:dyDescent="0.15">
      <c r="A538" s="10"/>
      <c r="B538" s="13"/>
      <c r="C538" s="13"/>
    </row>
    <row r="539" spans="1:3" ht="13" x14ac:dyDescent="0.15">
      <c r="A539" s="10"/>
      <c r="B539" s="13"/>
      <c r="C539" s="13"/>
    </row>
    <row r="540" spans="1:3" ht="13" x14ac:dyDescent="0.15">
      <c r="A540" s="10"/>
      <c r="B540" s="13"/>
      <c r="C540" s="13"/>
    </row>
    <row r="541" spans="1:3" ht="13" x14ac:dyDescent="0.15">
      <c r="A541" s="10"/>
      <c r="B541" s="13"/>
      <c r="C541" s="13"/>
    </row>
    <row r="542" spans="1:3" ht="13" x14ac:dyDescent="0.15">
      <c r="A542" s="10"/>
      <c r="B542" s="13"/>
      <c r="C542" s="13"/>
    </row>
    <row r="543" spans="1:3" ht="13" x14ac:dyDescent="0.15">
      <c r="A543" s="10"/>
      <c r="B543" s="13"/>
      <c r="C543" s="13"/>
    </row>
    <row r="544" spans="1:3" ht="13" x14ac:dyDescent="0.15">
      <c r="A544" s="10"/>
      <c r="B544" s="13"/>
      <c r="C544" s="13"/>
    </row>
    <row r="545" spans="1:3" ht="13" x14ac:dyDescent="0.15">
      <c r="A545" s="10"/>
      <c r="B545" s="13"/>
      <c r="C545" s="13"/>
    </row>
    <row r="546" spans="1:3" ht="13" x14ac:dyDescent="0.15">
      <c r="A546" s="10"/>
      <c r="B546" s="13"/>
      <c r="C546" s="13"/>
    </row>
    <row r="547" spans="1:3" ht="13" x14ac:dyDescent="0.15">
      <c r="A547" s="10"/>
      <c r="B547" s="13"/>
      <c r="C547" s="13"/>
    </row>
    <row r="548" spans="1:3" ht="13" x14ac:dyDescent="0.15">
      <c r="A548" s="10"/>
      <c r="B548" s="13"/>
      <c r="C548" s="13"/>
    </row>
    <row r="549" spans="1:3" ht="13" x14ac:dyDescent="0.15">
      <c r="A549" s="10"/>
      <c r="B549" s="13"/>
      <c r="C549" s="13"/>
    </row>
    <row r="550" spans="1:3" ht="13" x14ac:dyDescent="0.15">
      <c r="A550" s="10"/>
      <c r="B550" s="13"/>
      <c r="C550" s="13"/>
    </row>
    <row r="551" spans="1:3" ht="13" x14ac:dyDescent="0.15">
      <c r="A551" s="10"/>
      <c r="B551" s="13"/>
      <c r="C551" s="13"/>
    </row>
    <row r="552" spans="1:3" ht="13" x14ac:dyDescent="0.15">
      <c r="A552" s="10"/>
      <c r="B552" s="13"/>
      <c r="C552" s="13"/>
    </row>
    <row r="553" spans="1:3" ht="13" x14ac:dyDescent="0.15">
      <c r="A553" s="10"/>
      <c r="B553" s="13"/>
      <c r="C553" s="13"/>
    </row>
    <row r="554" spans="1:3" ht="13" x14ac:dyDescent="0.15">
      <c r="A554" s="10"/>
      <c r="B554" s="13"/>
      <c r="C554" s="13"/>
    </row>
    <row r="555" spans="1:3" ht="13" x14ac:dyDescent="0.15">
      <c r="A555" s="10"/>
      <c r="B555" s="13"/>
      <c r="C555" s="13"/>
    </row>
    <row r="556" spans="1:3" ht="13" x14ac:dyDescent="0.15">
      <c r="A556" s="10"/>
      <c r="B556" s="13"/>
      <c r="C556" s="13"/>
    </row>
    <row r="557" spans="1:3" ht="13" x14ac:dyDescent="0.15">
      <c r="A557" s="10"/>
      <c r="B557" s="13"/>
      <c r="C557" s="13"/>
    </row>
    <row r="558" spans="1:3" ht="13" x14ac:dyDescent="0.15">
      <c r="A558" s="10"/>
      <c r="B558" s="13"/>
      <c r="C558" s="13"/>
    </row>
    <row r="559" spans="1:3" ht="13" x14ac:dyDescent="0.15">
      <c r="A559" s="10"/>
      <c r="B559" s="13"/>
      <c r="C559" s="13"/>
    </row>
    <row r="560" spans="1:3" ht="13" x14ac:dyDescent="0.15">
      <c r="A560" s="10"/>
      <c r="B560" s="13"/>
      <c r="C560" s="13"/>
    </row>
    <row r="561" spans="1:3" ht="13" x14ac:dyDescent="0.15">
      <c r="A561" s="10"/>
      <c r="B561" s="13"/>
      <c r="C561" s="13"/>
    </row>
    <row r="562" spans="1:3" ht="13" x14ac:dyDescent="0.15">
      <c r="A562" s="10"/>
      <c r="B562" s="13"/>
      <c r="C562" s="13"/>
    </row>
    <row r="563" spans="1:3" ht="13" x14ac:dyDescent="0.15">
      <c r="A563" s="10"/>
      <c r="B563" s="13"/>
      <c r="C563" s="13"/>
    </row>
    <row r="564" spans="1:3" ht="13" x14ac:dyDescent="0.15">
      <c r="A564" s="10"/>
      <c r="B564" s="13"/>
      <c r="C564" s="13"/>
    </row>
    <row r="565" spans="1:3" ht="13" x14ac:dyDescent="0.15">
      <c r="A565" s="10"/>
      <c r="B565" s="13"/>
      <c r="C565" s="13"/>
    </row>
    <row r="566" spans="1:3" ht="13" x14ac:dyDescent="0.15">
      <c r="A566" s="10"/>
      <c r="B566" s="13"/>
      <c r="C566" s="13"/>
    </row>
    <row r="567" spans="1:3" ht="13" x14ac:dyDescent="0.15">
      <c r="A567" s="10"/>
      <c r="B567" s="13"/>
      <c r="C567" s="13"/>
    </row>
    <row r="568" spans="1:3" ht="13" x14ac:dyDescent="0.15">
      <c r="A568" s="10"/>
      <c r="B568" s="13"/>
      <c r="C568" s="13"/>
    </row>
    <row r="569" spans="1:3" ht="13" x14ac:dyDescent="0.15">
      <c r="A569" s="10"/>
      <c r="B569" s="13"/>
      <c r="C569" s="13"/>
    </row>
    <row r="570" spans="1:3" ht="13" x14ac:dyDescent="0.15">
      <c r="A570" s="10"/>
      <c r="B570" s="13"/>
      <c r="C570" s="13"/>
    </row>
    <row r="571" spans="1:3" ht="13" x14ac:dyDescent="0.15">
      <c r="A571" s="10"/>
      <c r="B571" s="13"/>
      <c r="C571" s="13"/>
    </row>
    <row r="572" spans="1:3" ht="13" x14ac:dyDescent="0.15">
      <c r="A572" s="10"/>
      <c r="B572" s="13"/>
      <c r="C572" s="13"/>
    </row>
    <row r="573" spans="1:3" ht="13" x14ac:dyDescent="0.15">
      <c r="A573" s="10"/>
      <c r="B573" s="13"/>
      <c r="C573" s="13"/>
    </row>
    <row r="574" spans="1:3" ht="13" x14ac:dyDescent="0.15">
      <c r="A574" s="10"/>
      <c r="B574" s="13"/>
      <c r="C574" s="13"/>
    </row>
    <row r="575" spans="1:3" ht="13" x14ac:dyDescent="0.15">
      <c r="A575" s="10"/>
      <c r="B575" s="13"/>
      <c r="C575" s="13"/>
    </row>
    <row r="576" spans="1:3" ht="13" x14ac:dyDescent="0.15">
      <c r="A576" s="10"/>
      <c r="B576" s="13"/>
      <c r="C576" s="13"/>
    </row>
    <row r="577" spans="1:3" ht="13" x14ac:dyDescent="0.15">
      <c r="A577" s="10"/>
      <c r="B577" s="13"/>
      <c r="C577" s="13"/>
    </row>
    <row r="578" spans="1:3" ht="13" x14ac:dyDescent="0.15">
      <c r="A578" s="10"/>
      <c r="B578" s="13"/>
      <c r="C578" s="13"/>
    </row>
    <row r="579" spans="1:3" ht="13" x14ac:dyDescent="0.15">
      <c r="A579" s="10"/>
      <c r="B579" s="13"/>
      <c r="C579" s="13"/>
    </row>
    <row r="580" spans="1:3" ht="13" x14ac:dyDescent="0.15">
      <c r="A580" s="10"/>
      <c r="B580" s="13"/>
      <c r="C580" s="13"/>
    </row>
    <row r="581" spans="1:3" ht="13" x14ac:dyDescent="0.15">
      <c r="A581" s="10"/>
      <c r="B581" s="13"/>
      <c r="C581" s="13"/>
    </row>
    <row r="582" spans="1:3" ht="13" x14ac:dyDescent="0.15">
      <c r="A582" s="10"/>
      <c r="B582" s="13"/>
      <c r="C582" s="13"/>
    </row>
    <row r="583" spans="1:3" ht="13" x14ac:dyDescent="0.15">
      <c r="A583" s="10"/>
      <c r="B583" s="13"/>
      <c r="C583" s="13"/>
    </row>
    <row r="584" spans="1:3" ht="13" x14ac:dyDescent="0.15">
      <c r="A584" s="10"/>
      <c r="B584" s="13"/>
      <c r="C584" s="13"/>
    </row>
    <row r="585" spans="1:3" ht="13" x14ac:dyDescent="0.15">
      <c r="A585" s="10"/>
      <c r="B585" s="13"/>
      <c r="C585" s="13"/>
    </row>
    <row r="586" spans="1:3" ht="13" x14ac:dyDescent="0.15">
      <c r="A586" s="10"/>
      <c r="B586" s="13"/>
      <c r="C586" s="13"/>
    </row>
    <row r="587" spans="1:3" ht="13" x14ac:dyDescent="0.15">
      <c r="A587" s="10"/>
      <c r="B587" s="13"/>
      <c r="C587" s="13"/>
    </row>
    <row r="588" spans="1:3" ht="13" x14ac:dyDescent="0.15">
      <c r="A588" s="10"/>
      <c r="B588" s="13"/>
      <c r="C588" s="13"/>
    </row>
    <row r="589" spans="1:3" ht="13" x14ac:dyDescent="0.15">
      <c r="A589" s="10"/>
      <c r="B589" s="13"/>
      <c r="C589" s="13"/>
    </row>
    <row r="590" spans="1:3" ht="13" x14ac:dyDescent="0.15">
      <c r="A590" s="10"/>
      <c r="B590" s="13"/>
      <c r="C590" s="13"/>
    </row>
    <row r="591" spans="1:3" ht="13" x14ac:dyDescent="0.15">
      <c r="A591" s="10"/>
      <c r="B591" s="13"/>
      <c r="C591" s="13"/>
    </row>
    <row r="592" spans="1:3" ht="13" x14ac:dyDescent="0.15">
      <c r="A592" s="10"/>
      <c r="B592" s="13"/>
      <c r="C592" s="13"/>
    </row>
    <row r="593" spans="1:3" ht="13" x14ac:dyDescent="0.15">
      <c r="A593" s="10"/>
      <c r="B593" s="13"/>
      <c r="C593" s="13"/>
    </row>
    <row r="594" spans="1:3" ht="13" x14ac:dyDescent="0.15">
      <c r="A594" s="10"/>
      <c r="B594" s="13"/>
      <c r="C594" s="13"/>
    </row>
    <row r="595" spans="1:3" ht="13" x14ac:dyDescent="0.15">
      <c r="A595" s="10"/>
      <c r="B595" s="13"/>
      <c r="C595" s="13"/>
    </row>
    <row r="596" spans="1:3" ht="13" x14ac:dyDescent="0.15">
      <c r="A596" s="10"/>
      <c r="B596" s="13"/>
      <c r="C596" s="13"/>
    </row>
    <row r="597" spans="1:3" ht="13" x14ac:dyDescent="0.15">
      <c r="A597" s="10"/>
      <c r="B597" s="13"/>
      <c r="C597" s="13"/>
    </row>
    <row r="598" spans="1:3" ht="13" x14ac:dyDescent="0.15">
      <c r="A598" s="10"/>
      <c r="B598" s="13"/>
      <c r="C598" s="13"/>
    </row>
    <row r="599" spans="1:3" ht="13" x14ac:dyDescent="0.15">
      <c r="A599" s="10"/>
      <c r="B599" s="13"/>
      <c r="C599" s="13"/>
    </row>
    <row r="600" spans="1:3" ht="13" x14ac:dyDescent="0.15">
      <c r="A600" s="10"/>
      <c r="B600" s="13"/>
      <c r="C600" s="13"/>
    </row>
    <row r="601" spans="1:3" ht="13" x14ac:dyDescent="0.15">
      <c r="A601" s="10"/>
      <c r="B601" s="13"/>
      <c r="C601" s="13"/>
    </row>
    <row r="602" spans="1:3" ht="13" x14ac:dyDescent="0.15">
      <c r="A602" s="10"/>
      <c r="B602" s="13"/>
      <c r="C602" s="13"/>
    </row>
    <row r="603" spans="1:3" ht="13" x14ac:dyDescent="0.15">
      <c r="A603" s="10"/>
      <c r="B603" s="13"/>
      <c r="C603" s="13"/>
    </row>
    <row r="604" spans="1:3" ht="13" x14ac:dyDescent="0.15">
      <c r="A604" s="10"/>
      <c r="B604" s="13"/>
      <c r="C604" s="13"/>
    </row>
    <row r="605" spans="1:3" ht="13" x14ac:dyDescent="0.15">
      <c r="A605" s="10"/>
      <c r="B605" s="13"/>
      <c r="C605" s="13"/>
    </row>
    <row r="606" spans="1:3" ht="13" x14ac:dyDescent="0.15">
      <c r="A606" s="10"/>
      <c r="B606" s="13"/>
      <c r="C606" s="13"/>
    </row>
    <row r="607" spans="1:3" ht="13" x14ac:dyDescent="0.15">
      <c r="A607" s="10"/>
      <c r="B607" s="13"/>
      <c r="C607" s="13"/>
    </row>
    <row r="608" spans="1:3" ht="13" x14ac:dyDescent="0.15">
      <c r="A608" s="10"/>
      <c r="B608" s="13"/>
      <c r="C608" s="13"/>
    </row>
    <row r="609" spans="1:3" ht="13" x14ac:dyDescent="0.15">
      <c r="A609" s="10"/>
      <c r="B609" s="13"/>
      <c r="C609" s="13"/>
    </row>
    <row r="610" spans="1:3" ht="13" x14ac:dyDescent="0.15">
      <c r="A610" s="10"/>
      <c r="B610" s="13"/>
      <c r="C610" s="13"/>
    </row>
    <row r="611" spans="1:3" ht="13" x14ac:dyDescent="0.15">
      <c r="A611" s="10"/>
      <c r="B611" s="13"/>
      <c r="C611" s="13"/>
    </row>
    <row r="612" spans="1:3" ht="13" x14ac:dyDescent="0.15">
      <c r="A612" s="10"/>
      <c r="B612" s="13"/>
      <c r="C612" s="13"/>
    </row>
    <row r="613" spans="1:3" ht="13" x14ac:dyDescent="0.15">
      <c r="A613" s="10"/>
      <c r="B613" s="13"/>
      <c r="C613" s="13"/>
    </row>
    <row r="614" spans="1:3" ht="13" x14ac:dyDescent="0.15">
      <c r="A614" s="10"/>
      <c r="B614" s="13"/>
      <c r="C614" s="13"/>
    </row>
    <row r="615" spans="1:3" ht="13" x14ac:dyDescent="0.15">
      <c r="A615" s="10"/>
      <c r="B615" s="13"/>
      <c r="C615" s="13"/>
    </row>
    <row r="616" spans="1:3" ht="13" x14ac:dyDescent="0.15">
      <c r="A616" s="10"/>
      <c r="B616" s="13"/>
      <c r="C616" s="13"/>
    </row>
    <row r="617" spans="1:3" ht="13" x14ac:dyDescent="0.15">
      <c r="A617" s="10"/>
      <c r="B617" s="13"/>
      <c r="C617" s="13"/>
    </row>
    <row r="618" spans="1:3" ht="13" x14ac:dyDescent="0.15">
      <c r="A618" s="10"/>
      <c r="B618" s="13"/>
      <c r="C618" s="13"/>
    </row>
    <row r="619" spans="1:3" ht="13" x14ac:dyDescent="0.15">
      <c r="A619" s="10"/>
      <c r="B619" s="13"/>
      <c r="C619" s="13"/>
    </row>
    <row r="620" spans="1:3" ht="13" x14ac:dyDescent="0.15">
      <c r="A620" s="10"/>
      <c r="B620" s="13"/>
      <c r="C620" s="13"/>
    </row>
    <row r="621" spans="1:3" ht="13" x14ac:dyDescent="0.15">
      <c r="A621" s="10"/>
      <c r="B621" s="13"/>
      <c r="C621" s="13"/>
    </row>
    <row r="622" spans="1:3" ht="13" x14ac:dyDescent="0.15">
      <c r="A622" s="10"/>
      <c r="B622" s="13"/>
      <c r="C622" s="13"/>
    </row>
    <row r="623" spans="1:3" ht="13" x14ac:dyDescent="0.15">
      <c r="A623" s="10"/>
      <c r="B623" s="13"/>
      <c r="C623" s="13"/>
    </row>
    <row r="624" spans="1:3" ht="13" x14ac:dyDescent="0.15">
      <c r="A624" s="10"/>
      <c r="B624" s="13"/>
      <c r="C624" s="13"/>
    </row>
    <row r="625" spans="1:3" ht="13" x14ac:dyDescent="0.15">
      <c r="A625" s="10"/>
      <c r="B625" s="13"/>
      <c r="C625" s="13"/>
    </row>
    <row r="626" spans="1:3" ht="13" x14ac:dyDescent="0.15">
      <c r="A626" s="10"/>
      <c r="B626" s="13"/>
      <c r="C626" s="13"/>
    </row>
    <row r="627" spans="1:3" ht="13" x14ac:dyDescent="0.15">
      <c r="A627" s="10"/>
      <c r="B627" s="13"/>
      <c r="C627" s="13"/>
    </row>
    <row r="628" spans="1:3" ht="13" x14ac:dyDescent="0.15">
      <c r="A628" s="10"/>
      <c r="B628" s="13"/>
      <c r="C628" s="13"/>
    </row>
    <row r="629" spans="1:3" ht="13" x14ac:dyDescent="0.15">
      <c r="A629" s="10"/>
      <c r="B629" s="13"/>
      <c r="C629" s="13"/>
    </row>
    <row r="630" spans="1:3" ht="13" x14ac:dyDescent="0.15">
      <c r="A630" s="10"/>
      <c r="B630" s="13"/>
      <c r="C630" s="13"/>
    </row>
    <row r="631" spans="1:3" ht="13" x14ac:dyDescent="0.15">
      <c r="A631" s="10"/>
      <c r="B631" s="13"/>
      <c r="C631" s="13"/>
    </row>
    <row r="632" spans="1:3" ht="13" x14ac:dyDescent="0.15">
      <c r="A632" s="10"/>
      <c r="B632" s="13"/>
      <c r="C632" s="13"/>
    </row>
    <row r="633" spans="1:3" ht="13" x14ac:dyDescent="0.15">
      <c r="A633" s="10"/>
      <c r="B633" s="13"/>
      <c r="C633" s="13"/>
    </row>
    <row r="634" spans="1:3" ht="13" x14ac:dyDescent="0.15">
      <c r="A634" s="10"/>
      <c r="B634" s="13"/>
      <c r="C634" s="13"/>
    </row>
    <row r="635" spans="1:3" ht="13" x14ac:dyDescent="0.15">
      <c r="A635" s="10"/>
      <c r="B635" s="13"/>
      <c r="C635" s="13"/>
    </row>
    <row r="636" spans="1:3" ht="13" x14ac:dyDescent="0.15">
      <c r="A636" s="10"/>
      <c r="B636" s="13"/>
      <c r="C636" s="13"/>
    </row>
    <row r="637" spans="1:3" ht="13" x14ac:dyDescent="0.15">
      <c r="A637" s="10"/>
      <c r="B637" s="13"/>
      <c r="C637" s="13"/>
    </row>
    <row r="638" spans="1:3" ht="13" x14ac:dyDescent="0.15">
      <c r="A638" s="10"/>
      <c r="B638" s="13"/>
      <c r="C638" s="13"/>
    </row>
    <row r="639" spans="1:3" ht="13" x14ac:dyDescent="0.15">
      <c r="A639" s="10"/>
      <c r="B639" s="13"/>
      <c r="C639" s="13"/>
    </row>
    <row r="640" spans="1:3" ht="13" x14ac:dyDescent="0.15">
      <c r="A640" s="10"/>
      <c r="B640" s="13"/>
      <c r="C640" s="13"/>
    </row>
    <row r="641" spans="1:3" ht="13" x14ac:dyDescent="0.15">
      <c r="A641" s="10"/>
      <c r="B641" s="13"/>
      <c r="C641" s="13"/>
    </row>
    <row r="642" spans="1:3" ht="13" x14ac:dyDescent="0.15">
      <c r="A642" s="10"/>
      <c r="B642" s="13"/>
      <c r="C642" s="13"/>
    </row>
    <row r="643" spans="1:3" ht="13" x14ac:dyDescent="0.15">
      <c r="A643" s="10"/>
      <c r="B643" s="13"/>
      <c r="C643" s="13"/>
    </row>
    <row r="644" spans="1:3" ht="13" x14ac:dyDescent="0.15">
      <c r="A644" s="10"/>
      <c r="B644" s="13"/>
      <c r="C644" s="13"/>
    </row>
    <row r="645" spans="1:3" ht="13" x14ac:dyDescent="0.15">
      <c r="A645" s="10"/>
      <c r="B645" s="13"/>
      <c r="C645" s="13"/>
    </row>
    <row r="646" spans="1:3" ht="13" x14ac:dyDescent="0.15">
      <c r="A646" s="10"/>
      <c r="B646" s="13"/>
      <c r="C646" s="13"/>
    </row>
    <row r="647" spans="1:3" ht="13" x14ac:dyDescent="0.15">
      <c r="A647" s="10"/>
      <c r="B647" s="13"/>
      <c r="C647" s="13"/>
    </row>
    <row r="648" spans="1:3" ht="13" x14ac:dyDescent="0.15">
      <c r="A648" s="10"/>
      <c r="B648" s="13"/>
      <c r="C648" s="13"/>
    </row>
    <row r="649" spans="1:3" ht="13" x14ac:dyDescent="0.15">
      <c r="A649" s="10"/>
      <c r="B649" s="13"/>
      <c r="C649" s="13"/>
    </row>
    <row r="650" spans="1:3" ht="13" x14ac:dyDescent="0.15">
      <c r="A650" s="10"/>
      <c r="B650" s="13"/>
      <c r="C650" s="13"/>
    </row>
    <row r="651" spans="1:3" ht="13" x14ac:dyDescent="0.15">
      <c r="A651" s="10"/>
      <c r="B651" s="13"/>
      <c r="C651" s="13"/>
    </row>
    <row r="652" spans="1:3" ht="13" x14ac:dyDescent="0.15">
      <c r="A652" s="10"/>
      <c r="B652" s="13"/>
      <c r="C652" s="13"/>
    </row>
    <row r="653" spans="1:3" ht="13" x14ac:dyDescent="0.15">
      <c r="A653" s="10"/>
      <c r="B653" s="13"/>
      <c r="C653" s="13"/>
    </row>
    <row r="654" spans="1:3" ht="13" x14ac:dyDescent="0.15">
      <c r="A654" s="10"/>
      <c r="B654" s="13"/>
      <c r="C654" s="13"/>
    </row>
    <row r="655" spans="1:3" ht="13" x14ac:dyDescent="0.15">
      <c r="A655" s="10"/>
      <c r="B655" s="13"/>
      <c r="C655" s="13"/>
    </row>
    <row r="656" spans="1:3" ht="13" x14ac:dyDescent="0.15">
      <c r="A656" s="10"/>
      <c r="B656" s="13"/>
      <c r="C656" s="13"/>
    </row>
    <row r="657" spans="1:3" ht="13" x14ac:dyDescent="0.15">
      <c r="A657" s="10"/>
      <c r="B657" s="13"/>
      <c r="C657" s="13"/>
    </row>
    <row r="658" spans="1:3" ht="13" x14ac:dyDescent="0.15">
      <c r="A658" s="10"/>
      <c r="B658" s="13"/>
      <c r="C658" s="13"/>
    </row>
    <row r="659" spans="1:3" ht="13" x14ac:dyDescent="0.15">
      <c r="A659" s="10"/>
      <c r="B659" s="13"/>
      <c r="C659" s="13"/>
    </row>
    <row r="660" spans="1:3" ht="13" x14ac:dyDescent="0.15">
      <c r="A660" s="10"/>
      <c r="B660" s="13"/>
      <c r="C660" s="13"/>
    </row>
    <row r="661" spans="1:3" ht="13" x14ac:dyDescent="0.15">
      <c r="A661" s="10"/>
      <c r="B661" s="13"/>
      <c r="C661" s="13"/>
    </row>
    <row r="662" spans="1:3" ht="13" x14ac:dyDescent="0.15">
      <c r="A662" s="10"/>
      <c r="B662" s="13"/>
      <c r="C662" s="13"/>
    </row>
    <row r="663" spans="1:3" ht="13" x14ac:dyDescent="0.15">
      <c r="A663" s="10"/>
      <c r="B663" s="13"/>
      <c r="C663" s="13"/>
    </row>
    <row r="664" spans="1:3" ht="13" x14ac:dyDescent="0.15">
      <c r="A664" s="10"/>
      <c r="B664" s="13"/>
      <c r="C664" s="13"/>
    </row>
    <row r="665" spans="1:3" ht="13" x14ac:dyDescent="0.15">
      <c r="A665" s="10"/>
      <c r="B665" s="13"/>
      <c r="C665" s="13"/>
    </row>
    <row r="666" spans="1:3" ht="13" x14ac:dyDescent="0.15">
      <c r="A666" s="10"/>
      <c r="B666" s="13"/>
      <c r="C666" s="13"/>
    </row>
    <row r="667" spans="1:3" ht="13" x14ac:dyDescent="0.15">
      <c r="A667" s="10"/>
      <c r="B667" s="13"/>
      <c r="C667" s="13"/>
    </row>
    <row r="668" spans="1:3" ht="13" x14ac:dyDescent="0.15">
      <c r="A668" s="10"/>
      <c r="B668" s="13"/>
      <c r="C668" s="13"/>
    </row>
    <row r="669" spans="1:3" ht="13" x14ac:dyDescent="0.15">
      <c r="A669" s="10"/>
      <c r="B669" s="13"/>
      <c r="C669" s="13"/>
    </row>
    <row r="670" spans="1:3" ht="13" x14ac:dyDescent="0.15">
      <c r="A670" s="10"/>
      <c r="B670" s="13"/>
      <c r="C670" s="13"/>
    </row>
    <row r="671" spans="1:3" ht="13" x14ac:dyDescent="0.15">
      <c r="A671" s="10"/>
      <c r="B671" s="13"/>
      <c r="C671" s="13"/>
    </row>
    <row r="672" spans="1:3" ht="13" x14ac:dyDescent="0.15">
      <c r="A672" s="10"/>
      <c r="B672" s="13"/>
      <c r="C672" s="13"/>
    </row>
    <row r="673" spans="1:3" ht="13" x14ac:dyDescent="0.15">
      <c r="A673" s="10"/>
      <c r="B673" s="13"/>
      <c r="C673" s="13"/>
    </row>
    <row r="674" spans="1:3" ht="13" x14ac:dyDescent="0.15">
      <c r="A674" s="10"/>
      <c r="B674" s="13"/>
      <c r="C674" s="13"/>
    </row>
    <row r="675" spans="1:3" ht="13" x14ac:dyDescent="0.15">
      <c r="A675" s="10"/>
      <c r="B675" s="13"/>
      <c r="C675" s="13"/>
    </row>
    <row r="676" spans="1:3" ht="13" x14ac:dyDescent="0.15">
      <c r="A676" s="10"/>
      <c r="B676" s="13"/>
      <c r="C676" s="13"/>
    </row>
    <row r="677" spans="1:3" ht="13" x14ac:dyDescent="0.15">
      <c r="A677" s="10"/>
      <c r="B677" s="13"/>
      <c r="C677" s="13"/>
    </row>
    <row r="678" spans="1:3" ht="13" x14ac:dyDescent="0.15">
      <c r="A678" s="10"/>
      <c r="B678" s="13"/>
      <c r="C678" s="13"/>
    </row>
    <row r="679" spans="1:3" ht="13" x14ac:dyDescent="0.15">
      <c r="A679" s="10"/>
      <c r="B679" s="13"/>
      <c r="C679" s="13"/>
    </row>
    <row r="680" spans="1:3" ht="13" x14ac:dyDescent="0.15">
      <c r="A680" s="10"/>
      <c r="B680" s="13"/>
      <c r="C680" s="13"/>
    </row>
    <row r="681" spans="1:3" ht="13" x14ac:dyDescent="0.15">
      <c r="A681" s="10"/>
      <c r="B681" s="13"/>
      <c r="C681" s="13"/>
    </row>
    <row r="682" spans="1:3" ht="13" x14ac:dyDescent="0.15">
      <c r="A682" s="10"/>
      <c r="B682" s="13"/>
      <c r="C682" s="13"/>
    </row>
    <row r="683" spans="1:3" ht="13" x14ac:dyDescent="0.15">
      <c r="A683" s="10"/>
      <c r="B683" s="13"/>
      <c r="C683" s="13"/>
    </row>
    <row r="684" spans="1:3" ht="13" x14ac:dyDescent="0.15">
      <c r="A684" s="10"/>
      <c r="B684" s="13"/>
      <c r="C684" s="13"/>
    </row>
    <row r="685" spans="1:3" ht="13" x14ac:dyDescent="0.15">
      <c r="A685" s="10"/>
      <c r="B685" s="13"/>
      <c r="C685" s="13"/>
    </row>
    <row r="686" spans="1:3" ht="13" x14ac:dyDescent="0.15">
      <c r="A686" s="10"/>
      <c r="B686" s="13"/>
      <c r="C686" s="13"/>
    </row>
    <row r="687" spans="1:3" ht="13" x14ac:dyDescent="0.15">
      <c r="A687" s="10"/>
      <c r="B687" s="13"/>
      <c r="C687" s="13"/>
    </row>
    <row r="688" spans="1:3" ht="13" x14ac:dyDescent="0.15">
      <c r="A688" s="10"/>
      <c r="B688" s="13"/>
      <c r="C688" s="13"/>
    </row>
    <row r="689" spans="1:3" ht="13" x14ac:dyDescent="0.15">
      <c r="A689" s="10"/>
      <c r="B689" s="13"/>
      <c r="C689" s="13"/>
    </row>
    <row r="690" spans="1:3" ht="13" x14ac:dyDescent="0.15">
      <c r="A690" s="10"/>
      <c r="B690" s="13"/>
      <c r="C690" s="13"/>
    </row>
    <row r="691" spans="1:3" ht="13" x14ac:dyDescent="0.15">
      <c r="A691" s="10"/>
      <c r="B691" s="13"/>
      <c r="C691" s="13"/>
    </row>
    <row r="692" spans="1:3" ht="13" x14ac:dyDescent="0.15">
      <c r="A692" s="10"/>
      <c r="B692" s="13"/>
      <c r="C692" s="13"/>
    </row>
    <row r="693" spans="1:3" ht="13" x14ac:dyDescent="0.15">
      <c r="A693" s="10"/>
      <c r="B693" s="13"/>
      <c r="C693" s="13"/>
    </row>
    <row r="694" spans="1:3" ht="13" x14ac:dyDescent="0.15">
      <c r="A694" s="10"/>
      <c r="B694" s="13"/>
      <c r="C694" s="13"/>
    </row>
    <row r="695" spans="1:3" ht="13" x14ac:dyDescent="0.15">
      <c r="A695" s="10"/>
      <c r="B695" s="13"/>
      <c r="C695" s="13"/>
    </row>
    <row r="696" spans="1:3" ht="13" x14ac:dyDescent="0.15">
      <c r="A696" s="10"/>
      <c r="B696" s="13"/>
      <c r="C696" s="13"/>
    </row>
    <row r="697" spans="1:3" ht="13" x14ac:dyDescent="0.15">
      <c r="A697" s="10"/>
      <c r="B697" s="13"/>
      <c r="C697" s="13"/>
    </row>
    <row r="698" spans="1:3" ht="13" x14ac:dyDescent="0.15">
      <c r="A698" s="10"/>
      <c r="B698" s="13"/>
      <c r="C698" s="13"/>
    </row>
    <row r="699" spans="1:3" ht="13" x14ac:dyDescent="0.15">
      <c r="A699" s="10"/>
      <c r="B699" s="13"/>
      <c r="C699" s="13"/>
    </row>
    <row r="700" spans="1:3" ht="13" x14ac:dyDescent="0.15">
      <c r="A700" s="10"/>
      <c r="B700" s="13"/>
      <c r="C700" s="13"/>
    </row>
    <row r="701" spans="1:3" ht="13" x14ac:dyDescent="0.15">
      <c r="A701" s="10"/>
      <c r="B701" s="13"/>
      <c r="C701" s="13"/>
    </row>
    <row r="702" spans="1:3" ht="13" x14ac:dyDescent="0.15">
      <c r="A702" s="10"/>
      <c r="B702" s="13"/>
      <c r="C702" s="13"/>
    </row>
    <row r="703" spans="1:3" ht="13" x14ac:dyDescent="0.15">
      <c r="A703" s="10"/>
      <c r="B703" s="13"/>
      <c r="C703" s="13"/>
    </row>
    <row r="704" spans="1:3" ht="13" x14ac:dyDescent="0.15">
      <c r="A704" s="10"/>
      <c r="B704" s="13"/>
      <c r="C704" s="13"/>
    </row>
    <row r="705" spans="1:3" ht="13" x14ac:dyDescent="0.15">
      <c r="A705" s="10"/>
      <c r="B705" s="13"/>
      <c r="C705" s="13"/>
    </row>
    <row r="706" spans="1:3" ht="13" x14ac:dyDescent="0.15">
      <c r="A706" s="10"/>
      <c r="B706" s="13"/>
      <c r="C706" s="13"/>
    </row>
    <row r="707" spans="1:3" ht="13" x14ac:dyDescent="0.15">
      <c r="A707" s="10"/>
      <c r="B707" s="13"/>
      <c r="C707" s="13"/>
    </row>
    <row r="708" spans="1:3" ht="13" x14ac:dyDescent="0.15">
      <c r="A708" s="10"/>
      <c r="B708" s="13"/>
      <c r="C708" s="13"/>
    </row>
    <row r="709" spans="1:3" ht="13" x14ac:dyDescent="0.15">
      <c r="A709" s="10"/>
      <c r="B709" s="13"/>
      <c r="C709" s="13"/>
    </row>
    <row r="710" spans="1:3" ht="13" x14ac:dyDescent="0.15">
      <c r="A710" s="10"/>
      <c r="B710" s="13"/>
      <c r="C710" s="13"/>
    </row>
    <row r="711" spans="1:3" ht="13" x14ac:dyDescent="0.15">
      <c r="A711" s="10"/>
      <c r="B711" s="13"/>
      <c r="C711" s="13"/>
    </row>
    <row r="712" spans="1:3" ht="13" x14ac:dyDescent="0.15">
      <c r="A712" s="10"/>
      <c r="B712" s="13"/>
      <c r="C712" s="13"/>
    </row>
    <row r="713" spans="1:3" ht="13" x14ac:dyDescent="0.15">
      <c r="A713" s="10"/>
      <c r="B713" s="13"/>
      <c r="C713" s="13"/>
    </row>
    <row r="714" spans="1:3" ht="13" x14ac:dyDescent="0.15">
      <c r="A714" s="10"/>
      <c r="B714" s="13"/>
      <c r="C714" s="13"/>
    </row>
    <row r="715" spans="1:3" ht="13" x14ac:dyDescent="0.15">
      <c r="A715" s="10"/>
      <c r="B715" s="13"/>
      <c r="C715" s="13"/>
    </row>
    <row r="716" spans="1:3" ht="13" x14ac:dyDescent="0.15">
      <c r="A716" s="10"/>
      <c r="B716" s="13"/>
      <c r="C716" s="13"/>
    </row>
    <row r="717" spans="1:3" ht="13" x14ac:dyDescent="0.15">
      <c r="A717" s="10"/>
      <c r="B717" s="13"/>
      <c r="C717" s="13"/>
    </row>
    <row r="718" spans="1:3" ht="13" x14ac:dyDescent="0.15">
      <c r="A718" s="10"/>
      <c r="B718" s="13"/>
      <c r="C718" s="13"/>
    </row>
    <row r="719" spans="1:3" ht="13" x14ac:dyDescent="0.15">
      <c r="A719" s="10"/>
      <c r="B719" s="13"/>
      <c r="C719" s="13"/>
    </row>
    <row r="720" spans="1:3" ht="13" x14ac:dyDescent="0.15">
      <c r="A720" s="10"/>
      <c r="B720" s="13"/>
      <c r="C720" s="13"/>
    </row>
    <row r="721" spans="1:3" ht="13" x14ac:dyDescent="0.15">
      <c r="A721" s="10"/>
      <c r="B721" s="13"/>
      <c r="C721" s="13"/>
    </row>
    <row r="722" spans="1:3" ht="13" x14ac:dyDescent="0.15">
      <c r="A722" s="10"/>
      <c r="B722" s="13"/>
      <c r="C722" s="13"/>
    </row>
    <row r="723" spans="1:3" ht="13" x14ac:dyDescent="0.15">
      <c r="A723" s="10"/>
      <c r="B723" s="13"/>
      <c r="C723" s="13"/>
    </row>
    <row r="724" spans="1:3" ht="13" x14ac:dyDescent="0.15">
      <c r="A724" s="10"/>
      <c r="B724" s="13"/>
      <c r="C724" s="13"/>
    </row>
    <row r="725" spans="1:3" ht="13" x14ac:dyDescent="0.15">
      <c r="A725" s="10"/>
      <c r="B725" s="13"/>
      <c r="C725" s="13"/>
    </row>
    <row r="726" spans="1:3" ht="13" x14ac:dyDescent="0.15">
      <c r="A726" s="10"/>
      <c r="B726" s="13"/>
      <c r="C726" s="13"/>
    </row>
    <row r="727" spans="1:3" ht="13" x14ac:dyDescent="0.15">
      <c r="A727" s="10"/>
      <c r="B727" s="13"/>
      <c r="C727" s="13"/>
    </row>
    <row r="728" spans="1:3" ht="13" x14ac:dyDescent="0.15">
      <c r="A728" s="10"/>
      <c r="B728" s="13"/>
      <c r="C728" s="13"/>
    </row>
    <row r="729" spans="1:3" ht="13" x14ac:dyDescent="0.15">
      <c r="A729" s="10"/>
      <c r="B729" s="13"/>
      <c r="C729" s="13"/>
    </row>
    <row r="730" spans="1:3" ht="13" x14ac:dyDescent="0.15">
      <c r="A730" s="10"/>
      <c r="B730" s="13"/>
      <c r="C730" s="13"/>
    </row>
    <row r="731" spans="1:3" ht="13" x14ac:dyDescent="0.15">
      <c r="A731" s="10"/>
      <c r="B731" s="13"/>
      <c r="C731" s="13"/>
    </row>
    <row r="732" spans="1:3" ht="13" x14ac:dyDescent="0.15">
      <c r="A732" s="10"/>
      <c r="B732" s="13"/>
      <c r="C732" s="13"/>
    </row>
    <row r="733" spans="1:3" ht="13" x14ac:dyDescent="0.15">
      <c r="A733" s="10"/>
      <c r="B733" s="13"/>
      <c r="C733" s="13"/>
    </row>
    <row r="734" spans="1:3" ht="13" x14ac:dyDescent="0.15">
      <c r="A734" s="10"/>
      <c r="B734" s="13"/>
      <c r="C734" s="13"/>
    </row>
    <row r="735" spans="1:3" ht="13" x14ac:dyDescent="0.15">
      <c r="A735" s="10"/>
      <c r="B735" s="13"/>
      <c r="C735" s="13"/>
    </row>
    <row r="736" spans="1:3" ht="13" x14ac:dyDescent="0.15">
      <c r="A736" s="10"/>
      <c r="B736" s="13"/>
      <c r="C736" s="13"/>
    </row>
    <row r="737" spans="1:3" ht="13" x14ac:dyDescent="0.15">
      <c r="A737" s="10"/>
      <c r="B737" s="13"/>
      <c r="C737" s="13"/>
    </row>
    <row r="738" spans="1:3" ht="13" x14ac:dyDescent="0.15">
      <c r="A738" s="10"/>
      <c r="B738" s="13"/>
      <c r="C738" s="13"/>
    </row>
    <row r="739" spans="1:3" ht="13" x14ac:dyDescent="0.15">
      <c r="A739" s="10"/>
      <c r="B739" s="13"/>
      <c r="C739" s="13"/>
    </row>
    <row r="740" spans="1:3" ht="13" x14ac:dyDescent="0.15">
      <c r="A740" s="10"/>
      <c r="B740" s="13"/>
      <c r="C740" s="13"/>
    </row>
    <row r="741" spans="1:3" ht="13" x14ac:dyDescent="0.15">
      <c r="A741" s="10"/>
      <c r="B741" s="13"/>
      <c r="C741" s="13"/>
    </row>
    <row r="742" spans="1:3" ht="13" x14ac:dyDescent="0.15">
      <c r="A742" s="10"/>
      <c r="B742" s="13"/>
      <c r="C742" s="13"/>
    </row>
    <row r="743" spans="1:3" ht="13" x14ac:dyDescent="0.15">
      <c r="A743" s="10"/>
      <c r="B743" s="13"/>
      <c r="C743" s="13"/>
    </row>
    <row r="744" spans="1:3" ht="13" x14ac:dyDescent="0.15">
      <c r="A744" s="10"/>
      <c r="B744" s="13"/>
      <c r="C744" s="13"/>
    </row>
    <row r="745" spans="1:3" ht="13" x14ac:dyDescent="0.15">
      <c r="A745" s="10"/>
      <c r="B745" s="13"/>
      <c r="C745" s="13"/>
    </row>
    <row r="746" spans="1:3" ht="13" x14ac:dyDescent="0.15">
      <c r="A746" s="10"/>
      <c r="B746" s="13"/>
      <c r="C746" s="13"/>
    </row>
    <row r="747" spans="1:3" ht="13" x14ac:dyDescent="0.15">
      <c r="A747" s="10"/>
      <c r="B747" s="13"/>
      <c r="C747" s="13"/>
    </row>
    <row r="748" spans="1:3" ht="13" x14ac:dyDescent="0.15">
      <c r="A748" s="10"/>
      <c r="B748" s="13"/>
      <c r="C748" s="13"/>
    </row>
    <row r="749" spans="1:3" ht="13" x14ac:dyDescent="0.15">
      <c r="A749" s="10"/>
      <c r="B749" s="13"/>
      <c r="C749" s="13"/>
    </row>
    <row r="750" spans="1:3" ht="13" x14ac:dyDescent="0.15">
      <c r="A750" s="10"/>
      <c r="B750" s="13"/>
      <c r="C750" s="13"/>
    </row>
    <row r="751" spans="1:3" ht="13" x14ac:dyDescent="0.15">
      <c r="A751" s="10"/>
      <c r="B751" s="13"/>
      <c r="C751" s="13"/>
    </row>
    <row r="752" spans="1:3" ht="13" x14ac:dyDescent="0.15">
      <c r="A752" s="10"/>
      <c r="B752" s="13"/>
      <c r="C752" s="13"/>
    </row>
    <row r="753" spans="1:3" ht="13" x14ac:dyDescent="0.15">
      <c r="A753" s="10"/>
      <c r="B753" s="13"/>
      <c r="C753" s="13"/>
    </row>
    <row r="754" spans="1:3" ht="13" x14ac:dyDescent="0.15">
      <c r="A754" s="10"/>
      <c r="B754" s="13"/>
      <c r="C754" s="13"/>
    </row>
    <row r="755" spans="1:3" ht="13" x14ac:dyDescent="0.15">
      <c r="A755" s="10"/>
      <c r="B755" s="13"/>
      <c r="C755" s="13"/>
    </row>
    <row r="756" spans="1:3" ht="13" x14ac:dyDescent="0.15">
      <c r="A756" s="10"/>
      <c r="B756" s="13"/>
      <c r="C756" s="13"/>
    </row>
    <row r="757" spans="1:3" ht="13" x14ac:dyDescent="0.15">
      <c r="A757" s="10"/>
      <c r="B757" s="13"/>
      <c r="C757" s="13"/>
    </row>
    <row r="758" spans="1:3" ht="13" x14ac:dyDescent="0.15">
      <c r="A758" s="10"/>
      <c r="B758" s="13"/>
      <c r="C758" s="13"/>
    </row>
    <row r="759" spans="1:3" ht="13" x14ac:dyDescent="0.15">
      <c r="A759" s="10"/>
      <c r="B759" s="13"/>
      <c r="C759" s="13"/>
    </row>
    <row r="760" spans="1:3" ht="13" x14ac:dyDescent="0.15">
      <c r="A760" s="10"/>
      <c r="B760" s="13"/>
      <c r="C760" s="13"/>
    </row>
    <row r="761" spans="1:3" ht="13" x14ac:dyDescent="0.15">
      <c r="A761" s="10"/>
      <c r="B761" s="13"/>
      <c r="C761" s="13"/>
    </row>
    <row r="762" spans="1:3" ht="13" x14ac:dyDescent="0.15">
      <c r="A762" s="10"/>
      <c r="B762" s="13"/>
      <c r="C762" s="13"/>
    </row>
    <row r="763" spans="1:3" ht="13" x14ac:dyDescent="0.15">
      <c r="A763" s="10"/>
      <c r="B763" s="13"/>
      <c r="C763" s="13"/>
    </row>
    <row r="764" spans="1:3" ht="13" x14ac:dyDescent="0.15">
      <c r="A764" s="10"/>
      <c r="B764" s="13"/>
      <c r="C764" s="13"/>
    </row>
    <row r="765" spans="1:3" ht="13" x14ac:dyDescent="0.15">
      <c r="A765" s="10"/>
      <c r="B765" s="13"/>
      <c r="C765" s="13"/>
    </row>
    <row r="766" spans="1:3" ht="13" x14ac:dyDescent="0.15">
      <c r="A766" s="10"/>
      <c r="B766" s="13"/>
      <c r="C766" s="13"/>
    </row>
    <row r="767" spans="1:3" ht="13" x14ac:dyDescent="0.15">
      <c r="A767" s="10"/>
      <c r="B767" s="13"/>
      <c r="C767" s="13"/>
    </row>
    <row r="768" spans="1:3" ht="13" x14ac:dyDescent="0.15">
      <c r="A768" s="10"/>
      <c r="B768" s="13"/>
      <c r="C768" s="13"/>
    </row>
    <row r="769" spans="1:3" ht="13" x14ac:dyDescent="0.15">
      <c r="A769" s="10"/>
      <c r="B769" s="13"/>
      <c r="C769" s="13"/>
    </row>
    <row r="770" spans="1:3" ht="13" x14ac:dyDescent="0.15">
      <c r="A770" s="10"/>
      <c r="B770" s="13"/>
      <c r="C770" s="13"/>
    </row>
    <row r="771" spans="1:3" ht="13" x14ac:dyDescent="0.15">
      <c r="A771" s="10"/>
      <c r="B771" s="13"/>
      <c r="C771" s="13"/>
    </row>
    <row r="772" spans="1:3" ht="13" x14ac:dyDescent="0.15">
      <c r="A772" s="10"/>
      <c r="B772" s="13"/>
      <c r="C772" s="13"/>
    </row>
    <row r="773" spans="1:3" ht="13" x14ac:dyDescent="0.15">
      <c r="A773" s="10"/>
      <c r="B773" s="13"/>
      <c r="C773" s="13"/>
    </row>
    <row r="774" spans="1:3" ht="13" x14ac:dyDescent="0.15">
      <c r="A774" s="10"/>
      <c r="B774" s="13"/>
      <c r="C774" s="13"/>
    </row>
    <row r="775" spans="1:3" ht="13" x14ac:dyDescent="0.15">
      <c r="A775" s="10"/>
      <c r="B775" s="13"/>
      <c r="C775" s="13"/>
    </row>
    <row r="776" spans="1:3" ht="13" x14ac:dyDescent="0.15">
      <c r="A776" s="10"/>
      <c r="B776" s="13"/>
      <c r="C776" s="13"/>
    </row>
    <row r="777" spans="1:3" ht="13" x14ac:dyDescent="0.15">
      <c r="A777" s="10"/>
      <c r="B777" s="13"/>
      <c r="C777" s="13"/>
    </row>
    <row r="778" spans="1:3" ht="13" x14ac:dyDescent="0.15">
      <c r="A778" s="10"/>
      <c r="B778" s="13"/>
      <c r="C778" s="13"/>
    </row>
    <row r="779" spans="1:3" ht="13" x14ac:dyDescent="0.15">
      <c r="A779" s="10"/>
      <c r="B779" s="13"/>
      <c r="C779" s="13"/>
    </row>
    <row r="780" spans="1:3" ht="13" x14ac:dyDescent="0.15">
      <c r="A780" s="10"/>
      <c r="B780" s="13"/>
      <c r="C780" s="13"/>
    </row>
    <row r="781" spans="1:3" ht="13" x14ac:dyDescent="0.15">
      <c r="A781" s="10"/>
      <c r="B781" s="13"/>
      <c r="C781" s="13"/>
    </row>
    <row r="782" spans="1:3" ht="13" x14ac:dyDescent="0.15">
      <c r="A782" s="10"/>
      <c r="B782" s="13"/>
      <c r="C782" s="13"/>
    </row>
    <row r="783" spans="1:3" ht="13" x14ac:dyDescent="0.15">
      <c r="A783" s="10"/>
      <c r="B783" s="13"/>
      <c r="C783" s="13"/>
    </row>
    <row r="784" spans="1:3" ht="13" x14ac:dyDescent="0.15">
      <c r="A784" s="10"/>
      <c r="B784" s="13"/>
      <c r="C784" s="13"/>
    </row>
    <row r="785" spans="1:3" ht="13" x14ac:dyDescent="0.15">
      <c r="A785" s="10"/>
      <c r="B785" s="13"/>
      <c r="C785" s="13"/>
    </row>
    <row r="786" spans="1:3" ht="13" x14ac:dyDescent="0.15">
      <c r="A786" s="10"/>
      <c r="B786" s="13"/>
      <c r="C786" s="13"/>
    </row>
    <row r="787" spans="1:3" ht="13" x14ac:dyDescent="0.15">
      <c r="A787" s="10"/>
      <c r="B787" s="13"/>
      <c r="C787" s="13"/>
    </row>
    <row r="788" spans="1:3" ht="13" x14ac:dyDescent="0.15">
      <c r="A788" s="10"/>
      <c r="B788" s="13"/>
      <c r="C788" s="13"/>
    </row>
    <row r="789" spans="1:3" ht="13" x14ac:dyDescent="0.15">
      <c r="A789" s="10"/>
      <c r="B789" s="13"/>
      <c r="C789" s="13"/>
    </row>
    <row r="790" spans="1:3" ht="13" x14ac:dyDescent="0.15">
      <c r="A790" s="10"/>
      <c r="B790" s="13"/>
      <c r="C790" s="13"/>
    </row>
    <row r="791" spans="1:3" ht="13" x14ac:dyDescent="0.15">
      <c r="A791" s="10"/>
      <c r="B791" s="13"/>
      <c r="C791" s="13"/>
    </row>
    <row r="792" spans="1:3" ht="13" x14ac:dyDescent="0.15">
      <c r="A792" s="10"/>
      <c r="B792" s="13"/>
      <c r="C792" s="13"/>
    </row>
    <row r="793" spans="1:3" ht="13" x14ac:dyDescent="0.15">
      <c r="A793" s="10"/>
      <c r="B793" s="13"/>
      <c r="C793" s="13"/>
    </row>
    <row r="794" spans="1:3" ht="13" x14ac:dyDescent="0.15">
      <c r="A794" s="10"/>
      <c r="B794" s="13"/>
      <c r="C794" s="13"/>
    </row>
    <row r="795" spans="1:3" ht="13" x14ac:dyDescent="0.15">
      <c r="A795" s="10"/>
      <c r="B795" s="13"/>
      <c r="C795" s="13"/>
    </row>
    <row r="796" spans="1:3" ht="13" x14ac:dyDescent="0.15">
      <c r="A796" s="10"/>
      <c r="B796" s="13"/>
      <c r="C796" s="13"/>
    </row>
    <row r="797" spans="1:3" ht="13" x14ac:dyDescent="0.15">
      <c r="A797" s="10"/>
      <c r="B797" s="13"/>
      <c r="C797" s="13"/>
    </row>
    <row r="798" spans="1:3" ht="13" x14ac:dyDescent="0.15">
      <c r="A798" s="10"/>
      <c r="B798" s="13"/>
      <c r="C798" s="13"/>
    </row>
    <row r="799" spans="1:3" ht="13" x14ac:dyDescent="0.15">
      <c r="A799" s="10"/>
      <c r="B799" s="13"/>
      <c r="C799" s="13"/>
    </row>
    <row r="800" spans="1:3" ht="13" x14ac:dyDescent="0.15">
      <c r="A800" s="10"/>
      <c r="B800" s="13"/>
      <c r="C800" s="13"/>
    </row>
    <row r="801" spans="1:3" ht="13" x14ac:dyDescent="0.15">
      <c r="A801" s="10"/>
      <c r="B801" s="13"/>
      <c r="C801" s="13"/>
    </row>
    <row r="802" spans="1:3" ht="13" x14ac:dyDescent="0.15">
      <c r="A802" s="10"/>
      <c r="B802" s="13"/>
      <c r="C802" s="13"/>
    </row>
    <row r="803" spans="1:3" ht="13" x14ac:dyDescent="0.15">
      <c r="A803" s="10"/>
      <c r="B803" s="13"/>
      <c r="C803" s="13"/>
    </row>
    <row r="804" spans="1:3" ht="13" x14ac:dyDescent="0.15">
      <c r="A804" s="10"/>
      <c r="B804" s="13"/>
      <c r="C804" s="13"/>
    </row>
    <row r="805" spans="1:3" ht="13" x14ac:dyDescent="0.15">
      <c r="A805" s="10"/>
      <c r="B805" s="13"/>
      <c r="C805" s="13"/>
    </row>
    <row r="806" spans="1:3" ht="13" x14ac:dyDescent="0.15">
      <c r="A806" s="10"/>
      <c r="B806" s="13"/>
      <c r="C806" s="13"/>
    </row>
    <row r="807" spans="1:3" ht="13" x14ac:dyDescent="0.15">
      <c r="A807" s="10"/>
      <c r="B807" s="13"/>
      <c r="C807" s="13"/>
    </row>
    <row r="808" spans="1:3" ht="13" x14ac:dyDescent="0.15">
      <c r="A808" s="10"/>
      <c r="B808" s="13"/>
      <c r="C808" s="13"/>
    </row>
    <row r="809" spans="1:3" ht="13" x14ac:dyDescent="0.15">
      <c r="A809" s="10"/>
      <c r="B809" s="13"/>
      <c r="C809" s="13"/>
    </row>
    <row r="810" spans="1:3" ht="13" x14ac:dyDescent="0.15">
      <c r="A810" s="10"/>
      <c r="B810" s="13"/>
      <c r="C810" s="13"/>
    </row>
    <row r="811" spans="1:3" ht="13" x14ac:dyDescent="0.15">
      <c r="A811" s="10"/>
      <c r="B811" s="13"/>
      <c r="C811" s="13"/>
    </row>
    <row r="812" spans="1:3" ht="13" x14ac:dyDescent="0.15">
      <c r="A812" s="10"/>
      <c r="B812" s="13"/>
      <c r="C812" s="13"/>
    </row>
    <row r="813" spans="1:3" ht="13" x14ac:dyDescent="0.15">
      <c r="A813" s="10"/>
      <c r="B813" s="13"/>
      <c r="C813" s="13"/>
    </row>
    <row r="814" spans="1:3" ht="13" x14ac:dyDescent="0.15">
      <c r="A814" s="10"/>
      <c r="B814" s="13"/>
      <c r="C814" s="13"/>
    </row>
    <row r="815" spans="1:3" ht="13" x14ac:dyDescent="0.15">
      <c r="A815" s="10"/>
      <c r="B815" s="13"/>
      <c r="C815" s="13"/>
    </row>
    <row r="816" spans="1:3" ht="13" x14ac:dyDescent="0.15">
      <c r="A816" s="10"/>
      <c r="B816" s="13"/>
      <c r="C816" s="13"/>
    </row>
    <row r="817" spans="1:3" ht="13" x14ac:dyDescent="0.15">
      <c r="A817" s="10"/>
      <c r="B817" s="13"/>
      <c r="C817" s="13"/>
    </row>
    <row r="818" spans="1:3" ht="13" x14ac:dyDescent="0.15">
      <c r="A818" s="10"/>
      <c r="B818" s="13"/>
      <c r="C818" s="13"/>
    </row>
    <row r="819" spans="1:3" ht="13" x14ac:dyDescent="0.15">
      <c r="A819" s="10"/>
      <c r="B819" s="13"/>
      <c r="C819" s="13"/>
    </row>
    <row r="820" spans="1:3" ht="13" x14ac:dyDescent="0.15">
      <c r="A820" s="10"/>
      <c r="B820" s="13"/>
      <c r="C820" s="13"/>
    </row>
    <row r="821" spans="1:3" ht="13" x14ac:dyDescent="0.15">
      <c r="A821" s="10"/>
      <c r="B821" s="13"/>
      <c r="C821" s="13"/>
    </row>
    <row r="822" spans="1:3" ht="13" x14ac:dyDescent="0.15">
      <c r="A822" s="10"/>
      <c r="B822" s="13"/>
      <c r="C822" s="13"/>
    </row>
    <row r="823" spans="1:3" ht="13" x14ac:dyDescent="0.15">
      <c r="A823" s="10"/>
      <c r="B823" s="13"/>
      <c r="C823" s="13"/>
    </row>
    <row r="824" spans="1:3" ht="13" x14ac:dyDescent="0.15">
      <c r="A824" s="10"/>
      <c r="B824" s="13"/>
      <c r="C824" s="13"/>
    </row>
    <row r="825" spans="1:3" ht="13" x14ac:dyDescent="0.15">
      <c r="A825" s="10"/>
      <c r="B825" s="13"/>
      <c r="C825" s="13"/>
    </row>
    <row r="826" spans="1:3" ht="13" x14ac:dyDescent="0.15">
      <c r="A826" s="10"/>
      <c r="B826" s="13"/>
      <c r="C826" s="13"/>
    </row>
    <row r="827" spans="1:3" ht="13" x14ac:dyDescent="0.15">
      <c r="A827" s="10"/>
      <c r="B827" s="13"/>
      <c r="C827" s="13"/>
    </row>
    <row r="828" spans="1:3" ht="13" x14ac:dyDescent="0.15">
      <c r="A828" s="10"/>
      <c r="B828" s="13"/>
      <c r="C828" s="13"/>
    </row>
    <row r="829" spans="1:3" ht="13" x14ac:dyDescent="0.15">
      <c r="A829" s="10"/>
      <c r="B829" s="13"/>
      <c r="C829" s="13"/>
    </row>
    <row r="830" spans="1:3" ht="13" x14ac:dyDescent="0.15">
      <c r="A830" s="10"/>
      <c r="B830" s="13"/>
      <c r="C830" s="13"/>
    </row>
    <row r="831" spans="1:3" ht="13" x14ac:dyDescent="0.15">
      <c r="A831" s="10"/>
      <c r="B831" s="13"/>
      <c r="C831" s="13"/>
    </row>
    <row r="832" spans="1:3" ht="13" x14ac:dyDescent="0.15">
      <c r="A832" s="10"/>
      <c r="B832" s="13"/>
      <c r="C832" s="13"/>
    </row>
    <row r="833" spans="1:3" ht="13" x14ac:dyDescent="0.15">
      <c r="A833" s="10"/>
      <c r="B833" s="13"/>
      <c r="C833" s="13"/>
    </row>
    <row r="834" spans="1:3" ht="13" x14ac:dyDescent="0.15">
      <c r="A834" s="10"/>
      <c r="B834" s="13"/>
      <c r="C834" s="13"/>
    </row>
    <row r="835" spans="1:3" ht="13" x14ac:dyDescent="0.15">
      <c r="A835" s="10"/>
      <c r="B835" s="13"/>
      <c r="C835" s="13"/>
    </row>
    <row r="836" spans="1:3" ht="13" x14ac:dyDescent="0.15">
      <c r="A836" s="10"/>
      <c r="B836" s="13"/>
      <c r="C836" s="13"/>
    </row>
    <row r="837" spans="1:3" ht="13" x14ac:dyDescent="0.15">
      <c r="A837" s="10"/>
      <c r="B837" s="13"/>
      <c r="C837" s="13"/>
    </row>
    <row r="838" spans="1:3" ht="13" x14ac:dyDescent="0.15">
      <c r="A838" s="10"/>
      <c r="B838" s="13"/>
      <c r="C838" s="13"/>
    </row>
    <row r="839" spans="1:3" ht="13" x14ac:dyDescent="0.15">
      <c r="A839" s="10"/>
      <c r="B839" s="13"/>
      <c r="C839" s="13"/>
    </row>
    <row r="840" spans="1:3" ht="13" x14ac:dyDescent="0.15">
      <c r="A840" s="10"/>
      <c r="B840" s="13"/>
      <c r="C840" s="13"/>
    </row>
    <row r="841" spans="1:3" ht="13" x14ac:dyDescent="0.15">
      <c r="A841" s="10"/>
      <c r="B841" s="13"/>
      <c r="C841" s="13"/>
    </row>
    <row r="842" spans="1:3" ht="13" x14ac:dyDescent="0.15">
      <c r="A842" s="10"/>
      <c r="B842" s="13"/>
      <c r="C842" s="13"/>
    </row>
    <row r="843" spans="1:3" ht="13" x14ac:dyDescent="0.15">
      <c r="A843" s="10"/>
      <c r="B843" s="13"/>
      <c r="C843" s="13"/>
    </row>
    <row r="844" spans="1:3" ht="13" x14ac:dyDescent="0.15">
      <c r="A844" s="10"/>
      <c r="B844" s="13"/>
      <c r="C844" s="13"/>
    </row>
    <row r="845" spans="1:3" ht="13" x14ac:dyDescent="0.15">
      <c r="A845" s="10"/>
      <c r="B845" s="13"/>
      <c r="C845" s="13"/>
    </row>
    <row r="846" spans="1:3" ht="13" x14ac:dyDescent="0.15">
      <c r="A846" s="10"/>
      <c r="B846" s="13"/>
      <c r="C846" s="13"/>
    </row>
    <row r="847" spans="1:3" ht="13" x14ac:dyDescent="0.15">
      <c r="A847" s="10"/>
      <c r="B847" s="13"/>
      <c r="C847" s="13"/>
    </row>
    <row r="848" spans="1:3" ht="13" x14ac:dyDescent="0.15">
      <c r="A848" s="10"/>
      <c r="B848" s="13"/>
      <c r="C848" s="13"/>
    </row>
    <row r="849" spans="1:3" ht="13" x14ac:dyDescent="0.15">
      <c r="A849" s="10"/>
      <c r="B849" s="13"/>
      <c r="C849" s="13"/>
    </row>
    <row r="850" spans="1:3" ht="13" x14ac:dyDescent="0.15">
      <c r="A850" s="10"/>
      <c r="B850" s="13"/>
      <c r="C850" s="13"/>
    </row>
    <row r="851" spans="1:3" ht="13" x14ac:dyDescent="0.15">
      <c r="A851" s="10"/>
      <c r="B851" s="13"/>
      <c r="C851" s="13"/>
    </row>
    <row r="852" spans="1:3" ht="13" x14ac:dyDescent="0.15">
      <c r="A852" s="10"/>
      <c r="B852" s="13"/>
      <c r="C852" s="13"/>
    </row>
    <row r="853" spans="1:3" ht="13" x14ac:dyDescent="0.15">
      <c r="A853" s="10"/>
      <c r="B853" s="13"/>
      <c r="C853" s="13"/>
    </row>
    <row r="854" spans="1:3" ht="13" x14ac:dyDescent="0.15">
      <c r="A854" s="10"/>
      <c r="B854" s="13"/>
      <c r="C854" s="13"/>
    </row>
    <row r="855" spans="1:3" ht="13" x14ac:dyDescent="0.15">
      <c r="A855" s="10"/>
      <c r="B855" s="13"/>
      <c r="C855" s="13"/>
    </row>
    <row r="856" spans="1:3" ht="13" x14ac:dyDescent="0.15">
      <c r="A856" s="10"/>
      <c r="B856" s="13"/>
      <c r="C856" s="13"/>
    </row>
    <row r="857" spans="1:3" ht="13" x14ac:dyDescent="0.15">
      <c r="A857" s="10"/>
      <c r="B857" s="13"/>
      <c r="C857" s="13"/>
    </row>
    <row r="858" spans="1:3" ht="13" x14ac:dyDescent="0.15">
      <c r="A858" s="10"/>
      <c r="B858" s="13"/>
      <c r="C858" s="13"/>
    </row>
    <row r="859" spans="1:3" ht="13" x14ac:dyDescent="0.15">
      <c r="A859" s="10"/>
      <c r="B859" s="13"/>
      <c r="C859" s="13"/>
    </row>
    <row r="860" spans="1:3" ht="13" x14ac:dyDescent="0.15">
      <c r="A860" s="10"/>
      <c r="B860" s="13"/>
      <c r="C860" s="13"/>
    </row>
    <row r="861" spans="1:3" ht="13" x14ac:dyDescent="0.15">
      <c r="A861" s="10"/>
      <c r="B861" s="13"/>
      <c r="C861" s="13"/>
    </row>
    <row r="862" spans="1:3" ht="13" x14ac:dyDescent="0.15">
      <c r="A862" s="10"/>
      <c r="B862" s="13"/>
      <c r="C862" s="13"/>
    </row>
    <row r="863" spans="1:3" ht="13" x14ac:dyDescent="0.15">
      <c r="A863" s="10"/>
      <c r="B863" s="13"/>
      <c r="C863" s="13"/>
    </row>
    <row r="864" spans="1:3" ht="13" x14ac:dyDescent="0.15">
      <c r="A864" s="10"/>
      <c r="B864" s="13"/>
      <c r="C864" s="13"/>
    </row>
    <row r="865" spans="1:3" ht="13" x14ac:dyDescent="0.15">
      <c r="A865" s="10"/>
      <c r="B865" s="13"/>
      <c r="C865" s="13"/>
    </row>
    <row r="866" spans="1:3" ht="13" x14ac:dyDescent="0.15">
      <c r="A866" s="10"/>
      <c r="B866" s="13"/>
      <c r="C866" s="13"/>
    </row>
    <row r="867" spans="1:3" ht="13" x14ac:dyDescent="0.15">
      <c r="A867" s="10"/>
      <c r="B867" s="13"/>
      <c r="C867" s="13"/>
    </row>
    <row r="868" spans="1:3" ht="13" x14ac:dyDescent="0.15">
      <c r="A868" s="10"/>
      <c r="B868" s="13"/>
      <c r="C868" s="13"/>
    </row>
    <row r="869" spans="1:3" ht="13" x14ac:dyDescent="0.15">
      <c r="A869" s="10"/>
      <c r="B869" s="13"/>
      <c r="C869" s="13"/>
    </row>
    <row r="870" spans="1:3" ht="13" x14ac:dyDescent="0.15">
      <c r="A870" s="10"/>
      <c r="B870" s="13"/>
      <c r="C870" s="13"/>
    </row>
    <row r="871" spans="1:3" ht="13" x14ac:dyDescent="0.15">
      <c r="A871" s="10"/>
      <c r="B871" s="13"/>
      <c r="C871" s="13"/>
    </row>
    <row r="872" spans="1:3" ht="13" x14ac:dyDescent="0.15">
      <c r="A872" s="10"/>
      <c r="B872" s="13"/>
      <c r="C872" s="13"/>
    </row>
    <row r="873" spans="1:3" ht="13" x14ac:dyDescent="0.15">
      <c r="A873" s="10"/>
      <c r="B873" s="13"/>
      <c r="C873" s="13"/>
    </row>
    <row r="874" spans="1:3" ht="13" x14ac:dyDescent="0.15">
      <c r="A874" s="10"/>
      <c r="B874" s="13"/>
      <c r="C874" s="13"/>
    </row>
    <row r="875" spans="1:3" ht="13" x14ac:dyDescent="0.15">
      <c r="A875" s="10"/>
      <c r="B875" s="13"/>
      <c r="C875" s="13"/>
    </row>
    <row r="876" spans="1:3" ht="13" x14ac:dyDescent="0.15">
      <c r="A876" s="10"/>
      <c r="B876" s="13"/>
      <c r="C876" s="13"/>
    </row>
    <row r="877" spans="1:3" ht="13" x14ac:dyDescent="0.15">
      <c r="A877" s="10"/>
      <c r="B877" s="13"/>
      <c r="C877" s="13"/>
    </row>
    <row r="878" spans="1:3" ht="13" x14ac:dyDescent="0.15">
      <c r="A878" s="10"/>
      <c r="B878" s="13"/>
      <c r="C878" s="13"/>
    </row>
    <row r="879" spans="1:3" ht="13" x14ac:dyDescent="0.15">
      <c r="A879" s="10"/>
      <c r="B879" s="13"/>
      <c r="C879" s="13"/>
    </row>
    <row r="880" spans="1:3" ht="13" x14ac:dyDescent="0.15">
      <c r="A880" s="10"/>
      <c r="B880" s="13"/>
      <c r="C880" s="13"/>
    </row>
    <row r="881" spans="1:3" ht="13" x14ac:dyDescent="0.15">
      <c r="A881" s="10"/>
      <c r="B881" s="13"/>
      <c r="C881" s="13"/>
    </row>
    <row r="882" spans="1:3" ht="13" x14ac:dyDescent="0.15">
      <c r="A882" s="10"/>
      <c r="B882" s="13"/>
      <c r="C882" s="13"/>
    </row>
    <row r="883" spans="1:3" ht="13" x14ac:dyDescent="0.15">
      <c r="A883" s="10"/>
      <c r="B883" s="13"/>
      <c r="C883" s="13"/>
    </row>
    <row r="884" spans="1:3" ht="13" x14ac:dyDescent="0.15">
      <c r="A884" s="10"/>
      <c r="B884" s="13"/>
      <c r="C884" s="13"/>
    </row>
    <row r="885" spans="1:3" ht="13" x14ac:dyDescent="0.15">
      <c r="A885" s="10"/>
      <c r="B885" s="13"/>
      <c r="C885" s="13"/>
    </row>
    <row r="886" spans="1:3" ht="13" x14ac:dyDescent="0.15">
      <c r="A886" s="10"/>
      <c r="B886" s="13"/>
      <c r="C886" s="13"/>
    </row>
    <row r="887" spans="1:3" ht="13" x14ac:dyDescent="0.15">
      <c r="A887" s="10"/>
      <c r="B887" s="13"/>
      <c r="C887" s="13"/>
    </row>
    <row r="888" spans="1:3" ht="13" x14ac:dyDescent="0.15">
      <c r="A888" s="10"/>
      <c r="B888" s="13"/>
      <c r="C888" s="13"/>
    </row>
    <row r="889" spans="1:3" ht="13" x14ac:dyDescent="0.15">
      <c r="A889" s="10"/>
      <c r="B889" s="13"/>
      <c r="C889" s="13"/>
    </row>
    <row r="890" spans="1:3" ht="13" x14ac:dyDescent="0.15">
      <c r="A890" s="10"/>
      <c r="B890" s="13"/>
      <c r="C890" s="13"/>
    </row>
    <row r="891" spans="1:3" ht="13" x14ac:dyDescent="0.15">
      <c r="A891" s="10"/>
      <c r="B891" s="13"/>
      <c r="C891" s="13"/>
    </row>
    <row r="892" spans="1:3" ht="13" x14ac:dyDescent="0.15">
      <c r="A892" s="10"/>
      <c r="B892" s="13"/>
      <c r="C892" s="13"/>
    </row>
    <row r="893" spans="1:3" ht="13" x14ac:dyDescent="0.15">
      <c r="A893" s="10"/>
      <c r="B893" s="13"/>
      <c r="C893" s="13"/>
    </row>
    <row r="894" spans="1:3" ht="13" x14ac:dyDescent="0.15">
      <c r="A894" s="10"/>
      <c r="B894" s="13"/>
      <c r="C894" s="13"/>
    </row>
    <row r="895" spans="1:3" ht="13" x14ac:dyDescent="0.15">
      <c r="A895" s="10"/>
      <c r="B895" s="13"/>
      <c r="C895" s="13"/>
    </row>
    <row r="896" spans="1:3" ht="13" x14ac:dyDescent="0.15">
      <c r="A896" s="10"/>
      <c r="B896" s="13"/>
      <c r="C896" s="13"/>
    </row>
    <row r="897" spans="1:3" ht="13" x14ac:dyDescent="0.15">
      <c r="A897" s="10"/>
      <c r="B897" s="13"/>
      <c r="C897" s="13"/>
    </row>
    <row r="898" spans="1:3" ht="13" x14ac:dyDescent="0.15">
      <c r="A898" s="10"/>
      <c r="B898" s="13"/>
      <c r="C898" s="13"/>
    </row>
    <row r="899" spans="1:3" ht="13" x14ac:dyDescent="0.15">
      <c r="A899" s="10"/>
      <c r="B899" s="13"/>
      <c r="C899" s="13"/>
    </row>
    <row r="900" spans="1:3" ht="13" x14ac:dyDescent="0.15">
      <c r="A900" s="10"/>
      <c r="B900" s="13"/>
      <c r="C900" s="13"/>
    </row>
    <row r="901" spans="1:3" ht="13" x14ac:dyDescent="0.15">
      <c r="A901" s="10"/>
      <c r="B901" s="13"/>
      <c r="C901" s="13"/>
    </row>
    <row r="902" spans="1:3" ht="13" x14ac:dyDescent="0.15">
      <c r="A902" s="10"/>
      <c r="B902" s="13"/>
      <c r="C902" s="13"/>
    </row>
    <row r="903" spans="1:3" ht="13" x14ac:dyDescent="0.15">
      <c r="A903" s="10"/>
      <c r="B903" s="13"/>
      <c r="C903" s="13"/>
    </row>
    <row r="904" spans="1:3" ht="13" x14ac:dyDescent="0.15">
      <c r="A904" s="10"/>
      <c r="B904" s="13"/>
      <c r="C904" s="13"/>
    </row>
    <row r="905" spans="1:3" ht="13" x14ac:dyDescent="0.15">
      <c r="A905" s="10"/>
      <c r="B905" s="13"/>
      <c r="C905" s="13"/>
    </row>
    <row r="906" spans="1:3" ht="13" x14ac:dyDescent="0.15">
      <c r="A906" s="10"/>
      <c r="B906" s="13"/>
      <c r="C906" s="13"/>
    </row>
    <row r="907" spans="1:3" ht="13" x14ac:dyDescent="0.15">
      <c r="A907" s="10"/>
      <c r="B907" s="13"/>
      <c r="C907" s="13"/>
    </row>
    <row r="908" spans="1:3" ht="13" x14ac:dyDescent="0.15">
      <c r="A908" s="10"/>
      <c r="B908" s="13"/>
      <c r="C908" s="13"/>
    </row>
    <row r="909" spans="1:3" ht="13" x14ac:dyDescent="0.15">
      <c r="A909" s="10"/>
      <c r="B909" s="13"/>
      <c r="C909" s="13"/>
    </row>
    <row r="910" spans="1:3" ht="13" x14ac:dyDescent="0.15">
      <c r="A910" s="10"/>
      <c r="B910" s="13"/>
      <c r="C910" s="13"/>
    </row>
    <row r="911" spans="1:3" ht="13" x14ac:dyDescent="0.15">
      <c r="A911" s="10"/>
      <c r="B911" s="13"/>
      <c r="C911" s="13"/>
    </row>
    <row r="912" spans="1:3" ht="13" x14ac:dyDescent="0.15">
      <c r="A912" s="10"/>
      <c r="B912" s="13"/>
      <c r="C912" s="13"/>
    </row>
    <row r="913" spans="1:3" ht="13" x14ac:dyDescent="0.15">
      <c r="A913" s="10"/>
      <c r="B913" s="13"/>
      <c r="C913" s="13"/>
    </row>
    <row r="914" spans="1:3" ht="13" x14ac:dyDescent="0.15">
      <c r="A914" s="10"/>
      <c r="B914" s="13"/>
      <c r="C914" s="13"/>
    </row>
    <row r="915" spans="1:3" ht="13" x14ac:dyDescent="0.15">
      <c r="A915" s="10"/>
      <c r="B915" s="13"/>
      <c r="C915" s="13"/>
    </row>
    <row r="916" spans="1:3" ht="13" x14ac:dyDescent="0.15">
      <c r="A916" s="10"/>
      <c r="B916" s="13"/>
      <c r="C916" s="13"/>
    </row>
    <row r="917" spans="1:3" ht="13" x14ac:dyDescent="0.15">
      <c r="A917" s="10"/>
      <c r="B917" s="13"/>
      <c r="C917" s="13"/>
    </row>
    <row r="918" spans="1:3" ht="13" x14ac:dyDescent="0.15">
      <c r="A918" s="10"/>
      <c r="B918" s="13"/>
      <c r="C918" s="13"/>
    </row>
    <row r="919" spans="1:3" ht="13" x14ac:dyDescent="0.15">
      <c r="A919" s="10"/>
      <c r="B919" s="13"/>
      <c r="C919" s="13"/>
    </row>
    <row r="920" spans="1:3" ht="13" x14ac:dyDescent="0.15">
      <c r="A920" s="10"/>
      <c r="B920" s="13"/>
      <c r="C920" s="13"/>
    </row>
    <row r="921" spans="1:3" ht="13" x14ac:dyDescent="0.15">
      <c r="A921" s="10"/>
      <c r="B921" s="13"/>
      <c r="C921" s="13"/>
    </row>
    <row r="922" spans="1:3" ht="13" x14ac:dyDescent="0.15">
      <c r="A922" s="10"/>
      <c r="B922" s="13"/>
      <c r="C922" s="13"/>
    </row>
    <row r="923" spans="1:3" ht="13" x14ac:dyDescent="0.15">
      <c r="A923" s="10"/>
      <c r="B923" s="13"/>
      <c r="C923" s="13"/>
    </row>
    <row r="924" spans="1:3" ht="13" x14ac:dyDescent="0.15">
      <c r="A924" s="10"/>
      <c r="B924" s="13"/>
      <c r="C924" s="13"/>
    </row>
    <row r="925" spans="1:3" ht="13" x14ac:dyDescent="0.15">
      <c r="A925" s="10"/>
      <c r="B925" s="13"/>
      <c r="C925" s="13"/>
    </row>
    <row r="926" spans="1:3" ht="13" x14ac:dyDescent="0.15">
      <c r="A926" s="10"/>
      <c r="B926" s="13"/>
      <c r="C926" s="13"/>
    </row>
    <row r="927" spans="1:3" ht="13" x14ac:dyDescent="0.15">
      <c r="A927" s="10"/>
      <c r="B927" s="13"/>
      <c r="C927" s="13"/>
    </row>
    <row r="928" spans="1:3" ht="13" x14ac:dyDescent="0.15">
      <c r="A928" s="10"/>
      <c r="B928" s="13"/>
      <c r="C928" s="13"/>
    </row>
    <row r="929" spans="1:3" ht="13" x14ac:dyDescent="0.15">
      <c r="A929" s="10"/>
      <c r="B929" s="13"/>
      <c r="C929" s="13"/>
    </row>
    <row r="930" spans="1:3" ht="13" x14ac:dyDescent="0.15">
      <c r="A930" s="10"/>
      <c r="B930" s="13"/>
      <c r="C930" s="13"/>
    </row>
    <row r="931" spans="1:3" ht="13" x14ac:dyDescent="0.15">
      <c r="A931" s="10"/>
      <c r="B931" s="13"/>
      <c r="C931" s="13"/>
    </row>
    <row r="932" spans="1:3" ht="13" x14ac:dyDescent="0.15">
      <c r="A932" s="10"/>
      <c r="B932" s="13"/>
      <c r="C932" s="13"/>
    </row>
    <row r="933" spans="1:3" ht="13" x14ac:dyDescent="0.15">
      <c r="A933" s="10"/>
      <c r="B933" s="13"/>
      <c r="C933" s="13"/>
    </row>
    <row r="934" spans="1:3" ht="13" x14ac:dyDescent="0.15">
      <c r="A934" s="10"/>
      <c r="B934" s="13"/>
      <c r="C934" s="13"/>
    </row>
    <row r="935" spans="1:3" ht="13" x14ac:dyDescent="0.15">
      <c r="A935" s="10"/>
      <c r="B935" s="13"/>
      <c r="C935" s="13"/>
    </row>
    <row r="936" spans="1:3" ht="13" x14ac:dyDescent="0.15">
      <c r="A936" s="10"/>
      <c r="B936" s="13"/>
      <c r="C936" s="13"/>
    </row>
    <row r="937" spans="1:3" ht="13" x14ac:dyDescent="0.15">
      <c r="A937" s="10"/>
      <c r="B937" s="13"/>
      <c r="C937" s="13"/>
    </row>
    <row r="938" spans="1:3" ht="13" x14ac:dyDescent="0.15">
      <c r="A938" s="10"/>
      <c r="B938" s="13"/>
      <c r="C938" s="13"/>
    </row>
    <row r="939" spans="1:3" ht="13" x14ac:dyDescent="0.15">
      <c r="A939" s="10"/>
      <c r="B939" s="13"/>
      <c r="C939" s="13"/>
    </row>
    <row r="940" spans="1:3" ht="13" x14ac:dyDescent="0.15">
      <c r="A940" s="10"/>
      <c r="B940" s="13"/>
      <c r="C940" s="13"/>
    </row>
    <row r="941" spans="1:3" ht="13" x14ac:dyDescent="0.15">
      <c r="A941" s="10"/>
      <c r="B941" s="13"/>
      <c r="C941" s="13"/>
    </row>
    <row r="942" spans="1:3" ht="13" x14ac:dyDescent="0.15">
      <c r="A942" s="10"/>
      <c r="B942" s="13"/>
      <c r="C942" s="13"/>
    </row>
    <row r="943" spans="1:3" ht="13" x14ac:dyDescent="0.15">
      <c r="A943" s="10"/>
      <c r="B943" s="13"/>
      <c r="C943" s="13"/>
    </row>
    <row r="944" spans="1:3" ht="13" x14ac:dyDescent="0.15">
      <c r="A944" s="10"/>
      <c r="B944" s="13"/>
      <c r="C944" s="13"/>
    </row>
    <row r="945" spans="1:3" ht="13" x14ac:dyDescent="0.15">
      <c r="A945" s="10"/>
      <c r="B945" s="13"/>
      <c r="C945" s="13"/>
    </row>
    <row r="946" spans="1:3" ht="13" x14ac:dyDescent="0.15">
      <c r="A946" s="10"/>
      <c r="B946" s="13"/>
      <c r="C946" s="13"/>
    </row>
    <row r="947" spans="1:3" ht="13" x14ac:dyDescent="0.15">
      <c r="A947" s="10"/>
      <c r="B947" s="13"/>
      <c r="C947" s="13"/>
    </row>
    <row r="948" spans="1:3" ht="13" x14ac:dyDescent="0.15">
      <c r="A948" s="10"/>
      <c r="B948" s="13"/>
      <c r="C948" s="13"/>
    </row>
    <row r="949" spans="1:3" ht="13" x14ac:dyDescent="0.15">
      <c r="A949" s="10"/>
      <c r="B949" s="13"/>
      <c r="C949" s="13"/>
    </row>
    <row r="950" spans="1:3" ht="13" x14ac:dyDescent="0.15">
      <c r="A950" s="10"/>
      <c r="B950" s="13"/>
      <c r="C950" s="13"/>
    </row>
    <row r="951" spans="1:3" ht="13" x14ac:dyDescent="0.15">
      <c r="A951" s="10"/>
      <c r="B951" s="13"/>
      <c r="C951" s="13"/>
    </row>
    <row r="952" spans="1:3" ht="13" x14ac:dyDescent="0.15">
      <c r="A952" s="10"/>
      <c r="B952" s="13"/>
      <c r="C952" s="13"/>
    </row>
    <row r="953" spans="1:3" ht="13" x14ac:dyDescent="0.15">
      <c r="A953" s="10"/>
      <c r="B953" s="13"/>
      <c r="C953" s="13"/>
    </row>
    <row r="954" spans="1:3" ht="13" x14ac:dyDescent="0.15">
      <c r="A954" s="10"/>
      <c r="B954" s="13"/>
      <c r="C954" s="13"/>
    </row>
    <row r="955" spans="1:3" ht="13" x14ac:dyDescent="0.15">
      <c r="A955" s="10"/>
      <c r="B955" s="13"/>
      <c r="C955" s="13"/>
    </row>
    <row r="956" spans="1:3" ht="13" x14ac:dyDescent="0.15">
      <c r="A956" s="10"/>
      <c r="B956" s="13"/>
      <c r="C956" s="13"/>
    </row>
    <row r="957" spans="1:3" ht="13" x14ac:dyDescent="0.15">
      <c r="A957" s="10"/>
      <c r="B957" s="13"/>
      <c r="C957" s="13"/>
    </row>
    <row r="958" spans="1:3" ht="13" x14ac:dyDescent="0.15">
      <c r="A958" s="10"/>
      <c r="B958" s="13"/>
      <c r="C958" s="13"/>
    </row>
    <row r="959" spans="1:3" ht="13" x14ac:dyDescent="0.15">
      <c r="A959" s="10"/>
      <c r="B959" s="13"/>
      <c r="C959" s="13"/>
    </row>
    <row r="960" spans="1:3" ht="13" x14ac:dyDescent="0.15">
      <c r="A960" s="10"/>
      <c r="B960" s="13"/>
      <c r="C960" s="13"/>
    </row>
    <row r="961" spans="1:3" ht="13" x14ac:dyDescent="0.15">
      <c r="A961" s="10"/>
      <c r="B961" s="13"/>
      <c r="C961" s="13"/>
    </row>
    <row r="962" spans="1:3" ht="13" x14ac:dyDescent="0.15">
      <c r="A962" s="10"/>
      <c r="B962" s="13"/>
      <c r="C962" s="13"/>
    </row>
    <row r="963" spans="1:3" ht="13" x14ac:dyDescent="0.15">
      <c r="A963" s="10"/>
      <c r="B963" s="13"/>
      <c r="C963" s="13"/>
    </row>
    <row r="964" spans="1:3" ht="13" x14ac:dyDescent="0.15">
      <c r="A964" s="10"/>
      <c r="B964" s="13"/>
      <c r="C964" s="13"/>
    </row>
    <row r="965" spans="1:3" ht="13" x14ac:dyDescent="0.15">
      <c r="A965" s="10"/>
      <c r="B965" s="13"/>
      <c r="C965" s="13"/>
    </row>
    <row r="966" spans="1:3" ht="13" x14ac:dyDescent="0.15">
      <c r="A966" s="10"/>
      <c r="B966" s="13"/>
      <c r="C966" s="13"/>
    </row>
    <row r="967" spans="1:3" ht="13" x14ac:dyDescent="0.15">
      <c r="A967" s="10"/>
      <c r="B967" s="13"/>
      <c r="C967" s="13"/>
    </row>
    <row r="968" spans="1:3" ht="13" x14ac:dyDescent="0.15">
      <c r="A968" s="10"/>
      <c r="B968" s="13"/>
      <c r="C968" s="13"/>
    </row>
    <row r="969" spans="1:3" ht="13" x14ac:dyDescent="0.15">
      <c r="A969" s="10"/>
      <c r="B969" s="13"/>
      <c r="C969" s="13"/>
    </row>
    <row r="970" spans="1:3" ht="13" x14ac:dyDescent="0.15">
      <c r="A970" s="10"/>
      <c r="B970" s="13"/>
      <c r="C970" s="13"/>
    </row>
    <row r="971" spans="1:3" ht="13" x14ac:dyDescent="0.15">
      <c r="A971" s="10"/>
      <c r="B971" s="13"/>
      <c r="C971" s="13"/>
    </row>
    <row r="972" spans="1:3" ht="13" x14ac:dyDescent="0.15">
      <c r="A972" s="10"/>
      <c r="B972" s="13"/>
      <c r="C972" s="13"/>
    </row>
    <row r="973" spans="1:3" ht="13" x14ac:dyDescent="0.15">
      <c r="A973" s="10"/>
      <c r="B973" s="13"/>
      <c r="C973" s="13"/>
    </row>
    <row r="974" spans="1:3" ht="13" x14ac:dyDescent="0.15">
      <c r="A974" s="10"/>
      <c r="B974" s="13"/>
      <c r="C974" s="13"/>
    </row>
    <row r="975" spans="1:3" ht="13" x14ac:dyDescent="0.15">
      <c r="A975" s="10"/>
      <c r="B975" s="13"/>
      <c r="C975" s="13"/>
    </row>
    <row r="976" spans="1:3" ht="13" x14ac:dyDescent="0.15">
      <c r="A976" s="10"/>
      <c r="B976" s="13"/>
      <c r="C976" s="13"/>
    </row>
    <row r="977" spans="1:3" ht="13" x14ac:dyDescent="0.15">
      <c r="A977" s="10"/>
      <c r="B977" s="13"/>
      <c r="C977" s="13"/>
    </row>
    <row r="978" spans="1:3" ht="13" x14ac:dyDescent="0.15">
      <c r="A978" s="10"/>
      <c r="B978" s="13"/>
      <c r="C978" s="13"/>
    </row>
    <row r="979" spans="1:3" ht="13" x14ac:dyDescent="0.15">
      <c r="A979" s="10"/>
      <c r="B979" s="13"/>
      <c r="C979" s="13"/>
    </row>
    <row r="980" spans="1:3" ht="13" x14ac:dyDescent="0.15">
      <c r="A980" s="10"/>
      <c r="B980" s="13"/>
      <c r="C980" s="13"/>
    </row>
    <row r="981" spans="1:3" ht="13" x14ac:dyDescent="0.15">
      <c r="A981" s="10"/>
      <c r="B981" s="13"/>
      <c r="C981" s="13"/>
    </row>
    <row r="982" spans="1:3" ht="13" x14ac:dyDescent="0.15">
      <c r="A982" s="10"/>
      <c r="B982" s="13"/>
      <c r="C982" s="13"/>
    </row>
    <row r="983" spans="1:3" ht="13" x14ac:dyDescent="0.15">
      <c r="A983" s="10"/>
      <c r="B983" s="13"/>
      <c r="C983" s="13"/>
    </row>
    <row r="984" spans="1:3" ht="13" x14ac:dyDescent="0.15">
      <c r="A984" s="10"/>
      <c r="B984" s="13"/>
      <c r="C984" s="13"/>
    </row>
    <row r="985" spans="1:3" ht="13" x14ac:dyDescent="0.15">
      <c r="A985" s="10"/>
      <c r="B985" s="13"/>
      <c r="C985" s="13"/>
    </row>
    <row r="986" spans="1:3" ht="13" x14ac:dyDescent="0.15">
      <c r="A986" s="10"/>
      <c r="B986" s="13"/>
      <c r="C986" s="13"/>
    </row>
    <row r="987" spans="1:3" ht="13" x14ac:dyDescent="0.15">
      <c r="A987" s="10"/>
      <c r="B987" s="13"/>
      <c r="C987" s="13"/>
    </row>
    <row r="988" spans="1:3" ht="13" x14ac:dyDescent="0.15">
      <c r="A988" s="10"/>
      <c r="B988" s="13"/>
      <c r="C988" s="13"/>
    </row>
    <row r="989" spans="1:3" ht="13" x14ac:dyDescent="0.15">
      <c r="A989" s="10"/>
      <c r="B989" s="13"/>
      <c r="C989" s="13"/>
    </row>
    <row r="990" spans="1:3" ht="13" x14ac:dyDescent="0.15">
      <c r="A990" s="10"/>
      <c r="B990" s="13"/>
      <c r="C990" s="13"/>
    </row>
    <row r="991" spans="1:3" ht="13" x14ac:dyDescent="0.15">
      <c r="A991" s="10"/>
      <c r="B991" s="13"/>
      <c r="C991" s="13"/>
    </row>
    <row r="992" spans="1:3" ht="13" x14ac:dyDescent="0.15">
      <c r="A992" s="10"/>
      <c r="B992" s="13"/>
      <c r="C992" s="13"/>
    </row>
    <row r="993" spans="1:3" ht="13" x14ac:dyDescent="0.15">
      <c r="A993" s="10"/>
      <c r="B993" s="13"/>
      <c r="C993" s="13"/>
    </row>
    <row r="994" spans="1:3" ht="13" x14ac:dyDescent="0.15">
      <c r="A994" s="10"/>
      <c r="B994" s="13"/>
      <c r="C994" s="13"/>
    </row>
    <row r="995" spans="1:3" ht="13" x14ac:dyDescent="0.15">
      <c r="A995" s="10"/>
      <c r="B995" s="13"/>
      <c r="C995" s="13"/>
    </row>
    <row r="996" spans="1:3" ht="13" x14ac:dyDescent="0.15">
      <c r="A996" s="10"/>
      <c r="B996" s="13"/>
      <c r="C996" s="13"/>
    </row>
    <row r="997" spans="1:3" ht="13" x14ac:dyDescent="0.15">
      <c r="A997" s="10"/>
      <c r="B997" s="13"/>
      <c r="C997" s="13"/>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outlinePr summaryBelow="0" summaryRight="0"/>
  </sheetPr>
  <dimension ref="A1:D997"/>
  <sheetViews>
    <sheetView workbookViewId="0"/>
  </sheetViews>
  <sheetFormatPr baseColWidth="10" defaultColWidth="12.6640625" defaultRowHeight="15.75" customHeight="1" x14ac:dyDescent="0.15"/>
  <cols>
    <col min="1" max="1" width="71.5" customWidth="1"/>
    <col min="2" max="4" width="37.6640625" customWidth="1"/>
  </cols>
  <sheetData>
    <row r="1" spans="1:4" ht="15.75" customHeight="1" x14ac:dyDescent="0.15">
      <c r="A1" s="1"/>
      <c r="B1" s="10" t="str">
        <f ca="1">IFERROR(__xludf.DUMMYFUNCTION("IMPORTRANGE(""https://docs.google.com/spreadsheets/u/0/d/1v3alDV9sI-Ng7OoZouCf4a0CI5tv_Xg2T3WprxxRGRs"", ""A13!B1:B22"")"),"Tyler")</f>
        <v>Tyler</v>
      </c>
      <c r="C1" s="10" t="str">
        <f ca="1">IFERROR(__xludf.DUMMYFUNCTION("IMPORTRANGE(""https://docs.google.com/spreadsheets/u/0/d/1tjgC5crHxYL6PIwdjQvl-Lz18xb2WRifl2-5aQ8KGT8"", ""A13!B1:B22"")"),"Jake Stafford")</f>
        <v>Jake Stafford</v>
      </c>
      <c r="D1" s="2" t="s">
        <v>1</v>
      </c>
    </row>
    <row r="2" spans="1:4" ht="15.75" customHeight="1" x14ac:dyDescent="0.15">
      <c r="A2" s="3" t="s">
        <v>2</v>
      </c>
      <c r="B2" s="15" t="str">
        <f ca="1">IFERROR(__xludf.DUMMYFUNCTION("""COMPUTED_VALUE"""),"9476-9778
FOR
")</f>
        <v xml:space="preserve">9476-9778
FOR
</v>
      </c>
      <c r="C2" s="15" t="str">
        <f ca="1">IFERROR(__xludf.DUMMYFUNCTION("""COMPUTED_VALUE"""),"Start:9476, Stop:9778 Forward")</f>
        <v>Start:9476, Stop:9778 Forward</v>
      </c>
      <c r="D2" s="4"/>
    </row>
    <row r="3" spans="1:4" ht="15.75" customHeight="1" x14ac:dyDescent="0.15">
      <c r="A3" s="5" t="s">
        <v>3</v>
      </c>
      <c r="B3" s="17" t="str">
        <f ca="1">IFERROR(__xludf.DUMMYFUNCTION("""COMPUTED_VALUE"""),"Phamerator-13
DNA Master-13
")</f>
        <v xml:space="preserve">Phamerator-13
DNA Master-13
</v>
      </c>
      <c r="C3" s="17" t="str">
        <f ca="1">IFERROR(__xludf.DUMMYFUNCTION("""COMPUTED_VALUE"""),"Gene# 13 in both ")</f>
        <v xml:space="preserve">Gene# 13 in both </v>
      </c>
      <c r="D3" s="6"/>
    </row>
    <row r="4" spans="1:4" ht="15.75" customHeight="1" x14ac:dyDescent="0.15">
      <c r="A4" s="5" t="s">
        <v>4</v>
      </c>
      <c r="B4" s="17" t="str">
        <f ca="1">IFERROR(__xludf.DUMMYFUNCTION("""COMPUTED_VALUE"""),"7257 2/24/25")</f>
        <v>7257 2/24/25</v>
      </c>
      <c r="C4" s="17" t="str">
        <f ca="1">IFERROR(__xludf.DUMMYFUNCTION("""COMPUTED_VALUE"""),"Pham# 7257 2/26/25")</f>
        <v>Pham# 7257 2/26/25</v>
      </c>
      <c r="D4" s="6"/>
    </row>
    <row r="5" spans="1:4" ht="15.75" customHeight="1" x14ac:dyDescent="0.15">
      <c r="A5" s="5" t="s">
        <v>5</v>
      </c>
      <c r="B5" s="17" t="str">
        <f ca="1">IFERROR(__xludf.DUMMYFUNCTION("""COMPUTED_VALUE"""),"Kovu_14")</f>
        <v>Kovu_14</v>
      </c>
      <c r="C5" s="17" t="str">
        <f ca="1">IFERROR(__xludf.DUMMYFUNCTION("""COMPUTED_VALUE"""),"Edmundo_13 Kovu_14")</f>
        <v>Edmundo_13 Kovu_14</v>
      </c>
      <c r="D5" s="6"/>
    </row>
    <row r="6" spans="1:4" ht="15.75" customHeight="1" x14ac:dyDescent="0.15">
      <c r="A6" s="5" t="s">
        <v>6</v>
      </c>
      <c r="B6" s="17" t="str">
        <f ca="1">IFERROR(__xludf.DUMMYFUNCTION("""COMPUTED_VALUE"""),"Both call @bp 9476 strength 13.42")</f>
        <v>Both call @bp 9476 strength 13.42</v>
      </c>
      <c r="C6" s="17" t="str">
        <f ca="1">IFERROR(__xludf.DUMMYFUNCTION("""COMPUTED_VALUE"""),"Both Called 9476")</f>
        <v>Both Called 9476</v>
      </c>
      <c r="D6" s="6"/>
    </row>
    <row r="7" spans="1:4" ht="15.75" customHeight="1" x14ac:dyDescent="0.15">
      <c r="A7" s="5" t="s">
        <v>7</v>
      </c>
      <c r="B7" s="17" t="str">
        <f ca="1">IFERROR(__xludf.DUMMYFUNCTION("""COMPUTED_VALUE"""),"good coding potential
not all coding potential included in current start
")</f>
        <v xml:space="preserve">good coding potential
not all coding potential included in current start
</v>
      </c>
      <c r="C7" s="17" t="str">
        <f ca="1">IFERROR(__xludf.DUMMYFUNCTION("""COMPUTED_VALUE"""),"Yes, has good potential, all coding potential is included")</f>
        <v>Yes, has good potential, all coding potential is included</v>
      </c>
      <c r="D7" s="6"/>
    </row>
    <row r="8" spans="1:4" ht="15.75" customHeight="1" x14ac:dyDescent="0.15">
      <c r="A8" s="5" t="s">
        <v>8</v>
      </c>
      <c r="B8" s="17" t="str">
        <f ca="1">IFERROR(__xludf.DUMMYFUNCTION("""COMPUTED_VALUE"""),"yes")</f>
        <v>yes</v>
      </c>
      <c r="C8" s="17" t="str">
        <f ca="1">IFERROR(__xludf.DUMMYFUNCTION("""COMPUTED_VALUE"""),"Yes, longest possible ORF")</f>
        <v>Yes, longest possible ORF</v>
      </c>
      <c r="D8" s="6"/>
    </row>
    <row r="9" spans="1:4" ht="15.75" customHeight="1" x14ac:dyDescent="0.15">
      <c r="A9" s="5" t="s">
        <v>9</v>
      </c>
      <c r="B9" s="17" t="str">
        <f ca="1">IFERROR(__xludf.DUMMYFUNCTION("""COMPUTED_VALUE"""),"3 nt overlap
moving to previous start introduces a 6 nt gap 
")</f>
        <v xml:space="preserve">3 nt overlap
moving to previous start introduces a 6 nt gap 
</v>
      </c>
      <c r="C9" s="17" t="str">
        <f ca="1">IFERROR(__xludf.DUMMYFUNCTION("""COMPUTED_VALUE"""),"small overlap, 3 nucleotides")</f>
        <v>small overlap, 3 nucleotides</v>
      </c>
      <c r="D9" s="6"/>
    </row>
    <row r="10" spans="1:4" ht="15.75" customHeight="1" x14ac:dyDescent="0.15">
      <c r="A10" s="5" t="s">
        <v>10</v>
      </c>
      <c r="B10" s="17" t="str">
        <f ca="1">IFERROR(__xludf.DUMMYFUNCTION("""COMPUTED_VALUE"""),"Good Z score at current start (2.087); later starts have better Z scores (2.378 at start 9560, 2.44 at start 29656)")</f>
        <v>Good Z score at current start (2.087); later starts have better Z scores (2.378 at start 9560, 2.44 at start 29656)</v>
      </c>
      <c r="C10" s="17" t="str">
        <f ca="1">IFERROR(__xludf.DUMMYFUNCTION("""COMPUTED_VALUE"""),"zscore:2.087 fscore:-4.395           Considering: zscore:2.378 fscore: -4.790")</f>
        <v>zscore:2.087 fscore:-4.395           Considering: zscore:2.378 fscore: -4.790</v>
      </c>
      <c r="D10" s="6"/>
    </row>
    <row r="11" spans="1:4" ht="15.75" customHeight="1" x14ac:dyDescent="0.15">
      <c r="A11" s="5" t="s">
        <v>11</v>
      </c>
      <c r="B11" s="17" t="str">
        <f ca="1">IFERROR(__xludf.DUMMYFUNCTION("""COMPUTED_VALUE"""),"Kovu_14; % identity 68.69; E-Value 6.7E-35
Q- 4
T- 19
")</f>
        <v xml:space="preserve">Kovu_14; % identity 68.69; E-Value 6.7E-35
Q- 4
T- 19
</v>
      </c>
      <c r="C11" s="17" t="str">
        <f ca="1">IFERROR(__xludf.DUMMYFUNCTION("""COMPUTED_VALUE"""),"Kovu_14 68.69% 7e-35")</f>
        <v>Kovu_14 68.69% 7e-35</v>
      </c>
      <c r="D11" s="6"/>
    </row>
    <row r="12" spans="1:4" ht="15.75" customHeight="1" x14ac:dyDescent="0.15">
      <c r="A12" s="5" t="s">
        <v>12</v>
      </c>
      <c r="B12" s="17" t="str">
        <f ca="1">IFERROR(__xludf.DUMMYFUNCTION("""COMPUTED_VALUE"""),"not conserved
called 7 times out of 8 genes 
")</f>
        <v xml:space="preserve">not conserved
called 7 times out of 8 genes 
</v>
      </c>
      <c r="C12" s="17" t="str">
        <f ca="1">IFERROR(__xludf.DUMMYFUNCTION("""COMPUTED_VALUE"""),"Start is conserved through the majority of the pham. called in 7/8 phams")</f>
        <v>Start is conserved through the majority of the pham. called in 7/8 phams</v>
      </c>
      <c r="D12" s="6"/>
    </row>
    <row r="13" spans="1:4" ht="15.75" customHeight="1" x14ac:dyDescent="0.15">
      <c r="A13" s="5" t="s">
        <v>13</v>
      </c>
      <c r="B13" s="17" t="str">
        <f ca="1">IFERROR(__xludf.DUMMYFUNCTION("""COMPUTED_VALUE"""),"No, although the current Z score is not the highest, moving to the later starts would introduce a large gap. The start is called most times in starterator. ")</f>
        <v xml:space="preserve">No, although the current Z score is not the highest, moving to the later starts would introduce a large gap. The start is called most times in starterator. </v>
      </c>
      <c r="C13" s="17" t="str">
        <f ca="1">IFERROR(__xludf.DUMMYFUNCTION("""COMPUTED_VALUE"""),"No")</f>
        <v>No</v>
      </c>
      <c r="D13" s="6"/>
    </row>
    <row r="14" spans="1:4" ht="15.75" customHeight="1" x14ac:dyDescent="0.15">
      <c r="A14" s="5" t="s">
        <v>14</v>
      </c>
      <c r="B14" s="17" t="str">
        <f ca="1">IFERROR(__xludf.DUMMYFUNCTION("""COMPUTED_VALUE"""),"Kovu_14; E-Value 6.7E-35")</f>
        <v>Kovu_14; E-Value 6.7E-35</v>
      </c>
      <c r="C14" s="17" t="str">
        <f ca="1">IFERROR(__xludf.DUMMYFUNCTION("""COMPUTED_VALUE"""),"Kovu_14 3e-29")</f>
        <v>Kovu_14 3e-29</v>
      </c>
      <c r="D14" s="6"/>
    </row>
    <row r="15" spans="1:4" ht="15.75" customHeight="1" x14ac:dyDescent="0.15">
      <c r="A15" s="5" t="s">
        <v>15</v>
      </c>
      <c r="B15" s="17" t="str">
        <f ca="1">IFERROR(__xludf.DUMMYFUNCTION("""COMPUTED_VALUE"""),"hypothetical protein ")</f>
        <v xml:space="preserve">hypothetical protein </v>
      </c>
      <c r="C15" s="17" t="str">
        <f ca="1">IFERROR(__xludf.DUMMYFUNCTION("""COMPUTED_VALUE"""),"Unknown function")</f>
        <v>Unknown function</v>
      </c>
      <c r="D15" s="6"/>
    </row>
    <row r="16" spans="1:4" ht="15.75" customHeight="1" x14ac:dyDescent="0.15">
      <c r="A16" s="5" t="s">
        <v>16</v>
      </c>
      <c r="B16" s="17" t="str">
        <f ca="1">IFERROR(__xludf.DUMMYFUNCTION("""COMPUTED_VALUE"""),"Found in the same genetic environment as Kovu")</f>
        <v>Found in the same genetic environment as Kovu</v>
      </c>
      <c r="C16" s="17" t="str">
        <f ca="1">IFERROR(__xludf.DUMMYFUNCTION("""COMPUTED_VALUE"""),"13 in ApoKipo, 14 in Kovu, similar position, small overlaps")</f>
        <v>13 in ApoKipo, 14 in Kovu, similar position, small overlaps</v>
      </c>
      <c r="D16" s="6"/>
    </row>
    <row r="17" spans="1:4" ht="15.75" customHeight="1" x14ac:dyDescent="0.15">
      <c r="A17" s="5" t="s">
        <v>17</v>
      </c>
      <c r="B17" s="17" t="str">
        <f ca="1">IFERROR(__xludf.DUMMYFUNCTION("""COMPUTED_VALUE"""),"Soluble cytochrome b562,Lysophosphatidic acid receptor 1,LgBiT tag; GPCR, SIGNALING PROTEIN, MEMBRANE PROTEIN
Probability: 78.41%
% alignment Q; 73%
% alignment T; 68%
")</f>
        <v xml:space="preserve">Soluble cytochrome b562,Lysophosphatidic acid receptor 1,LgBiT tag; GPCR, SIGNALING PROTEIN, MEMBRANE PROTEIN
Probability: 78.41%
% alignment Q; 73%
% alignment T; 68%
</v>
      </c>
      <c r="C17" s="17" t="str">
        <f ca="1">IFERROR(__xludf.DUMMYFUNCTION("""COMPUTED_VALUE"""),"9IZH_R Soluble cytochrome b562,Lysophosphatidic acid receptor 1,LgBiT tag; GPCR, SIGNALING PROTEIN, MEMBRANE PROTEIN; HET: NKP;  78.41% probability, 71% allignment of query, 11% allignment of target.")</f>
        <v>9IZH_R Soluble cytochrome b562,Lysophosphatidic acid receptor 1,LgBiT tag; GPCR, SIGNALING PROTEIN, MEMBRANE PROTEIN; HET: NKP;  78.41% probability, 71% allignment of query, 11% allignment of target.</v>
      </c>
      <c r="D17" s="6"/>
    </row>
    <row r="18" spans="1:4" ht="15.75" customHeight="1" x14ac:dyDescent="0.15">
      <c r="A18" s="5" t="s">
        <v>18</v>
      </c>
      <c r="B18" s="17" t="str">
        <f ca="1">IFERROR(__xludf.DUMMYFUNCTION("""COMPUTED_VALUE"""),"no")</f>
        <v>no</v>
      </c>
      <c r="C18" s="17" t="str">
        <f ca="1">IFERROR(__xludf.DUMMYFUNCTION("""COMPUTED_VALUE"""),"No")</f>
        <v>No</v>
      </c>
      <c r="D18" s="6"/>
    </row>
    <row r="19" spans="1:4" ht="15.75" customHeight="1" x14ac:dyDescent="0.15">
      <c r="A19" s="5" t="s">
        <v>19</v>
      </c>
      <c r="B19" s="17" t="str">
        <f ca="1">IFERROR(__xludf.DUMMYFUNCTION("""COMPUTED_VALUE"""),"no")</f>
        <v>no</v>
      </c>
      <c r="C19" s="17" t="str">
        <f ca="1">IFERROR(__xludf.DUMMYFUNCTION("""COMPUTED_VALUE"""),"No")</f>
        <v>No</v>
      </c>
      <c r="D19" s="6"/>
    </row>
    <row r="20" spans="1:4" ht="15.75" customHeight="1" x14ac:dyDescent="0.15">
      <c r="A20" s="5" t="s">
        <v>20</v>
      </c>
      <c r="B20" s="17" t="str">
        <f ca="1">IFERROR(__xludf.DUMMYFUNCTION("""COMPUTED_VALUE"""),"hypothetical protein; the genetic environment is very similar to Kovu. HHPred compares to a membrane protein but the gene does not have a signaling/membrane protein. ")</f>
        <v xml:space="preserve">hypothetical protein; the genetic environment is very similar to Kovu. HHPred compares to a membrane protein but the gene does not have a signaling/membrane protein. </v>
      </c>
      <c r="C20" s="17" t="str">
        <f ca="1">IFERROR(__xludf.DUMMYFUNCTION("""COMPUTED_VALUE"""),"Not sure, all similar genes have unknown functions. Doesn't have a good chace of being a signaling protien. I think its a hypothetical gene")</f>
        <v>Not sure, all similar genes have unknown functions. Doesn't have a good chace of being a signaling protien. I think its a hypothetical gene</v>
      </c>
      <c r="D20" s="6"/>
    </row>
    <row r="21" spans="1:4" x14ac:dyDescent="0.2">
      <c r="A21" s="7"/>
      <c r="B21" s="19"/>
      <c r="C21" s="19"/>
      <c r="D21" s="8"/>
    </row>
    <row r="22" spans="1:4" ht="15.75" customHeight="1" x14ac:dyDescent="0.15">
      <c r="A22" s="9" t="s">
        <v>21</v>
      </c>
      <c r="B22" s="19"/>
      <c r="C22" s="19"/>
      <c r="D22" s="8"/>
    </row>
    <row r="23" spans="1:4" ht="15.75" customHeight="1" x14ac:dyDescent="0.15">
      <c r="A23" s="10"/>
      <c r="B23" s="13"/>
      <c r="C23" s="13"/>
    </row>
    <row r="24" spans="1:4" ht="15.75" customHeight="1" x14ac:dyDescent="0.15">
      <c r="A24" s="10"/>
      <c r="B24" s="13"/>
      <c r="C24" s="13"/>
    </row>
    <row r="25" spans="1:4" ht="15.75" customHeight="1" x14ac:dyDescent="0.15">
      <c r="A25" s="10"/>
      <c r="B25" s="13"/>
      <c r="C25" s="13"/>
    </row>
    <row r="26" spans="1:4" ht="15.75" customHeight="1" x14ac:dyDescent="0.15">
      <c r="A26" s="10"/>
      <c r="B26" s="13"/>
      <c r="C26" s="13"/>
    </row>
    <row r="27" spans="1:4" ht="15.75" customHeight="1" x14ac:dyDescent="0.15">
      <c r="A27" s="10"/>
      <c r="B27" s="13"/>
      <c r="C27" s="13"/>
    </row>
    <row r="28" spans="1:4" ht="15.75" customHeight="1" x14ac:dyDescent="0.15">
      <c r="A28" s="10"/>
      <c r="B28" s="13"/>
      <c r="C28" s="13"/>
    </row>
    <row r="29" spans="1:4" ht="15.75" customHeight="1" x14ac:dyDescent="0.15">
      <c r="A29" s="10"/>
      <c r="B29" s="13"/>
      <c r="C29" s="13"/>
    </row>
    <row r="30" spans="1:4" ht="15.75" customHeight="1" x14ac:dyDescent="0.15">
      <c r="A30" s="10"/>
      <c r="B30" s="13"/>
      <c r="C30" s="13"/>
    </row>
    <row r="31" spans="1:4" ht="15.75" customHeight="1" x14ac:dyDescent="0.15">
      <c r="A31" s="10"/>
      <c r="B31" s="13"/>
      <c r="C31" s="13"/>
    </row>
    <row r="32" spans="1:4" ht="15.75" customHeight="1" x14ac:dyDescent="0.15">
      <c r="A32" s="10"/>
      <c r="B32" s="13"/>
      <c r="C32" s="13"/>
    </row>
    <row r="33" spans="1:3" ht="15.75" customHeight="1" x14ac:dyDescent="0.15">
      <c r="A33" s="10"/>
      <c r="B33" s="13"/>
      <c r="C33" s="13"/>
    </row>
    <row r="34" spans="1:3" ht="15.75" customHeight="1" x14ac:dyDescent="0.15">
      <c r="A34" s="10"/>
      <c r="B34" s="13"/>
      <c r="C34" s="13"/>
    </row>
    <row r="35" spans="1:3" ht="15.75" customHeight="1" x14ac:dyDescent="0.15">
      <c r="A35" s="10"/>
      <c r="B35" s="13"/>
      <c r="C35" s="13"/>
    </row>
    <row r="36" spans="1:3" ht="15.75" customHeight="1" x14ac:dyDescent="0.15">
      <c r="A36" s="10"/>
      <c r="B36" s="13"/>
      <c r="C36" s="13"/>
    </row>
    <row r="37" spans="1:3" ht="15.75" customHeight="1" x14ac:dyDescent="0.15">
      <c r="A37" s="10"/>
      <c r="B37" s="13"/>
      <c r="C37" s="13"/>
    </row>
    <row r="38" spans="1:3" ht="15.75" customHeight="1" x14ac:dyDescent="0.15">
      <c r="A38" s="10"/>
      <c r="B38" s="13"/>
      <c r="C38" s="13"/>
    </row>
    <row r="39" spans="1:3" ht="13" x14ac:dyDescent="0.15">
      <c r="A39" s="10"/>
      <c r="B39" s="13"/>
      <c r="C39" s="13"/>
    </row>
    <row r="40" spans="1:3" ht="13" x14ac:dyDescent="0.15">
      <c r="A40" s="10"/>
      <c r="B40" s="13"/>
      <c r="C40" s="13"/>
    </row>
    <row r="41" spans="1:3" ht="13" x14ac:dyDescent="0.15">
      <c r="A41" s="10"/>
      <c r="B41" s="13"/>
      <c r="C41" s="13"/>
    </row>
    <row r="42" spans="1:3" ht="13" x14ac:dyDescent="0.15">
      <c r="A42" s="10"/>
      <c r="B42" s="13"/>
      <c r="C42" s="13"/>
    </row>
    <row r="43" spans="1:3" ht="13" x14ac:dyDescent="0.15">
      <c r="A43" s="10"/>
      <c r="B43" s="13"/>
      <c r="C43" s="13"/>
    </row>
    <row r="44" spans="1:3" ht="13" x14ac:dyDescent="0.15">
      <c r="A44" s="10"/>
      <c r="B44" s="13"/>
      <c r="C44" s="13"/>
    </row>
    <row r="45" spans="1:3" ht="13" x14ac:dyDescent="0.15">
      <c r="A45" s="10"/>
      <c r="B45" s="13"/>
      <c r="C45" s="13"/>
    </row>
    <row r="46" spans="1:3" ht="13" x14ac:dyDescent="0.15">
      <c r="A46" s="10"/>
      <c r="B46" s="13"/>
      <c r="C46" s="13"/>
    </row>
    <row r="47" spans="1:3" ht="13" x14ac:dyDescent="0.15">
      <c r="A47" s="10"/>
      <c r="B47" s="13"/>
      <c r="C47" s="13"/>
    </row>
    <row r="48" spans="1:3" ht="13" x14ac:dyDescent="0.15">
      <c r="A48" s="10"/>
      <c r="B48" s="13"/>
      <c r="C48" s="13"/>
    </row>
    <row r="49" spans="1:3" ht="13" x14ac:dyDescent="0.15">
      <c r="A49" s="10"/>
      <c r="B49" s="13"/>
      <c r="C49" s="13"/>
    </row>
    <row r="50" spans="1:3" ht="13" x14ac:dyDescent="0.15">
      <c r="A50" s="10"/>
      <c r="B50" s="13"/>
      <c r="C50" s="13"/>
    </row>
    <row r="51" spans="1:3" ht="13" x14ac:dyDescent="0.15">
      <c r="A51" s="10"/>
      <c r="B51" s="13"/>
      <c r="C51" s="13"/>
    </row>
    <row r="52" spans="1:3" ht="13" x14ac:dyDescent="0.15">
      <c r="A52" s="10"/>
      <c r="B52" s="13"/>
      <c r="C52" s="13"/>
    </row>
    <row r="53" spans="1:3" ht="13" x14ac:dyDescent="0.15">
      <c r="A53" s="10"/>
      <c r="B53" s="13"/>
      <c r="C53" s="13"/>
    </row>
    <row r="54" spans="1:3" ht="13" x14ac:dyDescent="0.15">
      <c r="A54" s="10"/>
      <c r="B54" s="13"/>
      <c r="C54" s="13"/>
    </row>
    <row r="55" spans="1:3" ht="13" x14ac:dyDescent="0.15">
      <c r="A55" s="10"/>
      <c r="B55" s="13"/>
      <c r="C55" s="13"/>
    </row>
    <row r="56" spans="1:3" ht="13" x14ac:dyDescent="0.15">
      <c r="A56" s="10"/>
      <c r="B56" s="13"/>
      <c r="C56" s="13"/>
    </row>
    <row r="57" spans="1:3" ht="13" x14ac:dyDescent="0.15">
      <c r="A57" s="10"/>
      <c r="B57" s="13"/>
      <c r="C57" s="13"/>
    </row>
    <row r="58" spans="1:3" ht="13" x14ac:dyDescent="0.15">
      <c r="A58" s="10"/>
      <c r="B58" s="13"/>
      <c r="C58" s="13"/>
    </row>
    <row r="59" spans="1:3" ht="13" x14ac:dyDescent="0.15">
      <c r="A59" s="10"/>
      <c r="B59" s="13"/>
      <c r="C59" s="13"/>
    </row>
    <row r="60" spans="1:3" ht="13" x14ac:dyDescent="0.15">
      <c r="A60" s="10"/>
      <c r="B60" s="13"/>
      <c r="C60" s="13"/>
    </row>
    <row r="61" spans="1:3" ht="13" x14ac:dyDescent="0.15">
      <c r="A61" s="10"/>
      <c r="B61" s="13"/>
      <c r="C61" s="13"/>
    </row>
    <row r="62" spans="1:3" ht="13" x14ac:dyDescent="0.15">
      <c r="A62" s="10"/>
      <c r="B62" s="13"/>
      <c r="C62" s="13"/>
    </row>
    <row r="63" spans="1:3" ht="13" x14ac:dyDescent="0.15">
      <c r="A63" s="10"/>
      <c r="B63" s="13"/>
      <c r="C63" s="13"/>
    </row>
    <row r="64" spans="1:3" ht="13" x14ac:dyDescent="0.15">
      <c r="A64" s="10"/>
      <c r="B64" s="13"/>
      <c r="C64" s="13"/>
    </row>
    <row r="65" spans="1:3" ht="13" x14ac:dyDescent="0.15">
      <c r="A65" s="10"/>
      <c r="B65" s="13"/>
      <c r="C65" s="13"/>
    </row>
    <row r="66" spans="1:3" ht="13" x14ac:dyDescent="0.15">
      <c r="A66" s="10"/>
      <c r="B66" s="13"/>
      <c r="C66" s="13"/>
    </row>
    <row r="67" spans="1:3" ht="13" x14ac:dyDescent="0.15">
      <c r="A67" s="10"/>
      <c r="B67" s="13"/>
      <c r="C67" s="13"/>
    </row>
    <row r="68" spans="1:3" ht="13" x14ac:dyDescent="0.15">
      <c r="A68" s="10"/>
      <c r="B68" s="13"/>
      <c r="C68" s="13"/>
    </row>
    <row r="69" spans="1:3" ht="13" x14ac:dyDescent="0.15">
      <c r="A69" s="10"/>
      <c r="B69" s="13"/>
      <c r="C69" s="13"/>
    </row>
    <row r="70" spans="1:3" ht="13" x14ac:dyDescent="0.15">
      <c r="A70" s="10"/>
      <c r="B70" s="13"/>
      <c r="C70" s="13"/>
    </row>
    <row r="71" spans="1:3" ht="13" x14ac:dyDescent="0.15">
      <c r="A71" s="10"/>
      <c r="B71" s="13"/>
      <c r="C71" s="13"/>
    </row>
    <row r="72" spans="1:3" ht="13" x14ac:dyDescent="0.15">
      <c r="A72" s="10"/>
      <c r="B72" s="13"/>
      <c r="C72" s="13"/>
    </row>
    <row r="73" spans="1:3" ht="13" x14ac:dyDescent="0.15">
      <c r="A73" s="10"/>
      <c r="B73" s="13"/>
      <c r="C73" s="13"/>
    </row>
    <row r="74" spans="1:3" ht="13" x14ac:dyDescent="0.15">
      <c r="A74" s="10"/>
      <c r="B74" s="13"/>
      <c r="C74" s="13"/>
    </row>
    <row r="75" spans="1:3" ht="13" x14ac:dyDescent="0.15">
      <c r="A75" s="10"/>
      <c r="B75" s="13"/>
      <c r="C75" s="13"/>
    </row>
    <row r="76" spans="1:3" ht="13" x14ac:dyDescent="0.15">
      <c r="A76" s="10"/>
      <c r="B76" s="13"/>
      <c r="C76" s="13"/>
    </row>
    <row r="77" spans="1:3" ht="13" x14ac:dyDescent="0.15">
      <c r="A77" s="10"/>
      <c r="B77" s="13"/>
      <c r="C77" s="13"/>
    </row>
    <row r="78" spans="1:3" ht="13" x14ac:dyDescent="0.15">
      <c r="A78" s="10"/>
      <c r="B78" s="13"/>
      <c r="C78" s="13"/>
    </row>
    <row r="79" spans="1:3" ht="13" x14ac:dyDescent="0.15">
      <c r="A79" s="10"/>
      <c r="B79" s="13"/>
      <c r="C79" s="13"/>
    </row>
    <row r="80" spans="1:3" ht="13" x14ac:dyDescent="0.15">
      <c r="A80" s="10"/>
      <c r="B80" s="13"/>
      <c r="C80" s="13"/>
    </row>
    <row r="81" spans="1:3" ht="13" x14ac:dyDescent="0.15">
      <c r="A81" s="10"/>
      <c r="B81" s="13"/>
      <c r="C81" s="13"/>
    </row>
    <row r="82" spans="1:3" ht="13" x14ac:dyDescent="0.15">
      <c r="A82" s="10"/>
      <c r="B82" s="13"/>
      <c r="C82" s="13"/>
    </row>
    <row r="83" spans="1:3" ht="13" x14ac:dyDescent="0.15">
      <c r="A83" s="10"/>
      <c r="B83" s="13"/>
      <c r="C83" s="13"/>
    </row>
    <row r="84" spans="1:3" ht="13" x14ac:dyDescent="0.15">
      <c r="A84" s="10"/>
      <c r="B84" s="13"/>
      <c r="C84" s="13"/>
    </row>
    <row r="85" spans="1:3" ht="13" x14ac:dyDescent="0.15">
      <c r="A85" s="10"/>
      <c r="B85" s="13"/>
      <c r="C85" s="13"/>
    </row>
    <row r="86" spans="1:3" ht="13" x14ac:dyDescent="0.15">
      <c r="A86" s="10"/>
      <c r="B86" s="13"/>
      <c r="C86" s="13"/>
    </row>
    <row r="87" spans="1:3" ht="13" x14ac:dyDescent="0.15">
      <c r="A87" s="10"/>
      <c r="B87" s="13"/>
      <c r="C87" s="13"/>
    </row>
    <row r="88" spans="1:3" ht="13" x14ac:dyDescent="0.15">
      <c r="A88" s="10"/>
      <c r="B88" s="13"/>
      <c r="C88" s="13"/>
    </row>
    <row r="89" spans="1:3" ht="13" x14ac:dyDescent="0.15">
      <c r="A89" s="10"/>
      <c r="B89" s="13"/>
      <c r="C89" s="13"/>
    </row>
    <row r="90" spans="1:3" ht="13" x14ac:dyDescent="0.15">
      <c r="A90" s="10"/>
      <c r="B90" s="13"/>
      <c r="C90" s="13"/>
    </row>
    <row r="91" spans="1:3" ht="13" x14ac:dyDescent="0.15">
      <c r="A91" s="10"/>
      <c r="B91" s="13"/>
      <c r="C91" s="13"/>
    </row>
    <row r="92" spans="1:3" ht="13" x14ac:dyDescent="0.15">
      <c r="A92" s="10"/>
      <c r="B92" s="13"/>
      <c r="C92" s="13"/>
    </row>
    <row r="93" spans="1:3" ht="13" x14ac:dyDescent="0.15">
      <c r="A93" s="10"/>
      <c r="B93" s="13"/>
      <c r="C93" s="13"/>
    </row>
    <row r="94" spans="1:3" ht="13" x14ac:dyDescent="0.15">
      <c r="A94" s="10"/>
      <c r="B94" s="13"/>
      <c r="C94" s="13"/>
    </row>
    <row r="95" spans="1:3" ht="13" x14ac:dyDescent="0.15">
      <c r="A95" s="10"/>
      <c r="B95" s="13"/>
      <c r="C95" s="13"/>
    </row>
    <row r="96" spans="1:3" ht="13" x14ac:dyDescent="0.15">
      <c r="A96" s="10"/>
      <c r="B96" s="13"/>
      <c r="C96" s="13"/>
    </row>
    <row r="97" spans="1:3" ht="13" x14ac:dyDescent="0.15">
      <c r="A97" s="10"/>
      <c r="B97" s="13"/>
      <c r="C97" s="13"/>
    </row>
    <row r="98" spans="1:3" ht="13" x14ac:dyDescent="0.15">
      <c r="A98" s="10"/>
      <c r="B98" s="13"/>
      <c r="C98" s="13"/>
    </row>
    <row r="99" spans="1:3" ht="13" x14ac:dyDescent="0.15">
      <c r="A99" s="10"/>
      <c r="B99" s="13"/>
      <c r="C99" s="13"/>
    </row>
    <row r="100" spans="1:3" ht="13" x14ac:dyDescent="0.15">
      <c r="A100" s="10"/>
      <c r="B100" s="13"/>
      <c r="C100" s="13"/>
    </row>
    <row r="101" spans="1:3" ht="13" x14ac:dyDescent="0.15">
      <c r="A101" s="10"/>
      <c r="B101" s="13"/>
      <c r="C101" s="13"/>
    </row>
    <row r="102" spans="1:3" ht="13" x14ac:dyDescent="0.15">
      <c r="A102" s="10"/>
      <c r="B102" s="13"/>
      <c r="C102" s="13"/>
    </row>
    <row r="103" spans="1:3" ht="13" x14ac:dyDescent="0.15">
      <c r="A103" s="10"/>
      <c r="B103" s="13"/>
      <c r="C103" s="13"/>
    </row>
    <row r="104" spans="1:3" ht="13" x14ac:dyDescent="0.15">
      <c r="A104" s="10"/>
      <c r="B104" s="13"/>
      <c r="C104" s="13"/>
    </row>
    <row r="105" spans="1:3" ht="13" x14ac:dyDescent="0.15">
      <c r="A105" s="10"/>
      <c r="B105" s="13"/>
      <c r="C105" s="13"/>
    </row>
    <row r="106" spans="1:3" ht="13" x14ac:dyDescent="0.15">
      <c r="A106" s="10"/>
      <c r="B106" s="13"/>
      <c r="C106" s="13"/>
    </row>
    <row r="107" spans="1:3" ht="13" x14ac:dyDescent="0.15">
      <c r="A107" s="10"/>
      <c r="B107" s="13"/>
      <c r="C107" s="13"/>
    </row>
    <row r="108" spans="1:3" ht="13" x14ac:dyDescent="0.15">
      <c r="A108" s="10"/>
      <c r="B108" s="13"/>
      <c r="C108" s="13"/>
    </row>
    <row r="109" spans="1:3" ht="13" x14ac:dyDescent="0.15">
      <c r="A109" s="10"/>
      <c r="B109" s="13"/>
      <c r="C109" s="13"/>
    </row>
    <row r="110" spans="1:3" ht="13" x14ac:dyDescent="0.15">
      <c r="A110" s="10"/>
      <c r="B110" s="13"/>
      <c r="C110" s="13"/>
    </row>
    <row r="111" spans="1:3" ht="13" x14ac:dyDescent="0.15">
      <c r="A111" s="10"/>
      <c r="B111" s="13"/>
      <c r="C111" s="13"/>
    </row>
    <row r="112" spans="1:3" ht="13" x14ac:dyDescent="0.15">
      <c r="A112" s="10"/>
      <c r="B112" s="13"/>
      <c r="C112" s="13"/>
    </row>
    <row r="113" spans="1:3" ht="13" x14ac:dyDescent="0.15">
      <c r="A113" s="10"/>
      <c r="B113" s="13"/>
      <c r="C113" s="13"/>
    </row>
    <row r="114" spans="1:3" ht="13" x14ac:dyDescent="0.15">
      <c r="A114" s="10"/>
      <c r="B114" s="13"/>
      <c r="C114" s="13"/>
    </row>
    <row r="115" spans="1:3" ht="13" x14ac:dyDescent="0.15">
      <c r="A115" s="10"/>
      <c r="B115" s="13"/>
      <c r="C115" s="13"/>
    </row>
    <row r="116" spans="1:3" ht="13" x14ac:dyDescent="0.15">
      <c r="A116" s="10"/>
      <c r="B116" s="13"/>
      <c r="C116" s="13"/>
    </row>
    <row r="117" spans="1:3" ht="13" x14ac:dyDescent="0.15">
      <c r="A117" s="10"/>
      <c r="B117" s="13"/>
      <c r="C117" s="13"/>
    </row>
    <row r="118" spans="1:3" ht="13" x14ac:dyDescent="0.15">
      <c r="A118" s="10"/>
      <c r="B118" s="13"/>
      <c r="C118" s="13"/>
    </row>
    <row r="119" spans="1:3" ht="13" x14ac:dyDescent="0.15">
      <c r="A119" s="10"/>
      <c r="B119" s="13"/>
      <c r="C119" s="13"/>
    </row>
    <row r="120" spans="1:3" ht="13" x14ac:dyDescent="0.15">
      <c r="A120" s="10"/>
      <c r="B120" s="13"/>
      <c r="C120" s="13"/>
    </row>
    <row r="121" spans="1:3" ht="13" x14ac:dyDescent="0.15">
      <c r="A121" s="10"/>
      <c r="B121" s="13"/>
      <c r="C121" s="13"/>
    </row>
    <row r="122" spans="1:3" ht="13" x14ac:dyDescent="0.15">
      <c r="A122" s="10"/>
      <c r="B122" s="13"/>
      <c r="C122" s="13"/>
    </row>
    <row r="123" spans="1:3" ht="13" x14ac:dyDescent="0.15">
      <c r="A123" s="10"/>
      <c r="B123" s="13"/>
      <c r="C123" s="13"/>
    </row>
    <row r="124" spans="1:3" ht="13" x14ac:dyDescent="0.15">
      <c r="A124" s="10"/>
      <c r="B124" s="13"/>
      <c r="C124" s="13"/>
    </row>
    <row r="125" spans="1:3" ht="13" x14ac:dyDescent="0.15">
      <c r="A125" s="10"/>
      <c r="B125" s="13"/>
      <c r="C125" s="13"/>
    </row>
    <row r="126" spans="1:3" ht="13" x14ac:dyDescent="0.15">
      <c r="A126" s="10"/>
      <c r="B126" s="13"/>
      <c r="C126" s="13"/>
    </row>
    <row r="127" spans="1:3" ht="13" x14ac:dyDescent="0.15">
      <c r="A127" s="10"/>
      <c r="B127" s="13"/>
      <c r="C127" s="13"/>
    </row>
    <row r="128" spans="1:3" ht="13" x14ac:dyDescent="0.15">
      <c r="A128" s="10"/>
      <c r="B128" s="13"/>
      <c r="C128" s="13"/>
    </row>
    <row r="129" spans="1:3" ht="13" x14ac:dyDescent="0.15">
      <c r="A129" s="10"/>
      <c r="B129" s="13"/>
      <c r="C129" s="13"/>
    </row>
    <row r="130" spans="1:3" ht="13" x14ac:dyDescent="0.15">
      <c r="A130" s="10"/>
      <c r="B130" s="13"/>
      <c r="C130" s="13"/>
    </row>
    <row r="131" spans="1:3" ht="13" x14ac:dyDescent="0.15">
      <c r="A131" s="10"/>
      <c r="B131" s="13"/>
      <c r="C131" s="13"/>
    </row>
    <row r="132" spans="1:3" ht="13" x14ac:dyDescent="0.15">
      <c r="A132" s="10"/>
      <c r="B132" s="13"/>
      <c r="C132" s="13"/>
    </row>
    <row r="133" spans="1:3" ht="13" x14ac:dyDescent="0.15">
      <c r="A133" s="10"/>
      <c r="B133" s="13"/>
      <c r="C133" s="13"/>
    </row>
    <row r="134" spans="1:3" ht="13" x14ac:dyDescent="0.15">
      <c r="A134" s="10"/>
      <c r="B134" s="13"/>
      <c r="C134" s="13"/>
    </row>
    <row r="135" spans="1:3" ht="13" x14ac:dyDescent="0.15">
      <c r="A135" s="10"/>
      <c r="B135" s="13"/>
      <c r="C135" s="13"/>
    </row>
    <row r="136" spans="1:3" ht="13" x14ac:dyDescent="0.15">
      <c r="A136" s="10"/>
      <c r="B136" s="13"/>
      <c r="C136" s="13"/>
    </row>
    <row r="137" spans="1:3" ht="13" x14ac:dyDescent="0.15">
      <c r="A137" s="10"/>
      <c r="B137" s="13"/>
      <c r="C137" s="13"/>
    </row>
    <row r="138" spans="1:3" ht="13" x14ac:dyDescent="0.15">
      <c r="A138" s="10"/>
      <c r="B138" s="13"/>
      <c r="C138" s="13"/>
    </row>
    <row r="139" spans="1:3" ht="13" x14ac:dyDescent="0.15">
      <c r="A139" s="10"/>
      <c r="B139" s="13"/>
      <c r="C139" s="13"/>
    </row>
    <row r="140" spans="1:3" ht="13" x14ac:dyDescent="0.15">
      <c r="A140" s="10"/>
      <c r="B140" s="13"/>
      <c r="C140" s="13"/>
    </row>
    <row r="141" spans="1:3" ht="13" x14ac:dyDescent="0.15">
      <c r="A141" s="10"/>
      <c r="B141" s="13"/>
      <c r="C141" s="13"/>
    </row>
    <row r="142" spans="1:3" ht="13" x14ac:dyDescent="0.15">
      <c r="A142" s="10"/>
      <c r="B142" s="13"/>
      <c r="C142" s="13"/>
    </row>
    <row r="143" spans="1:3" ht="13" x14ac:dyDescent="0.15">
      <c r="A143" s="10"/>
      <c r="B143" s="13"/>
      <c r="C143" s="13"/>
    </row>
    <row r="144" spans="1:3" ht="13" x14ac:dyDescent="0.15">
      <c r="A144" s="10"/>
      <c r="B144" s="13"/>
      <c r="C144" s="13"/>
    </row>
    <row r="145" spans="1:3" ht="13" x14ac:dyDescent="0.15">
      <c r="A145" s="10"/>
      <c r="B145" s="13"/>
      <c r="C145" s="13"/>
    </row>
    <row r="146" spans="1:3" ht="13" x14ac:dyDescent="0.15">
      <c r="A146" s="10"/>
      <c r="B146" s="13"/>
      <c r="C146" s="13"/>
    </row>
    <row r="147" spans="1:3" ht="13" x14ac:dyDescent="0.15">
      <c r="A147" s="10"/>
      <c r="B147" s="13"/>
      <c r="C147" s="13"/>
    </row>
    <row r="148" spans="1:3" ht="13" x14ac:dyDescent="0.15">
      <c r="A148" s="10"/>
      <c r="B148" s="13"/>
      <c r="C148" s="13"/>
    </row>
    <row r="149" spans="1:3" ht="13" x14ac:dyDescent="0.15">
      <c r="A149" s="10"/>
      <c r="B149" s="13"/>
      <c r="C149" s="13"/>
    </row>
    <row r="150" spans="1:3" ht="13" x14ac:dyDescent="0.15">
      <c r="A150" s="10"/>
      <c r="B150" s="13"/>
      <c r="C150" s="13"/>
    </row>
    <row r="151" spans="1:3" ht="13" x14ac:dyDescent="0.15">
      <c r="A151" s="10"/>
      <c r="B151" s="13"/>
      <c r="C151" s="13"/>
    </row>
    <row r="152" spans="1:3" ht="13" x14ac:dyDescent="0.15">
      <c r="A152" s="10"/>
      <c r="B152" s="13"/>
      <c r="C152" s="13"/>
    </row>
    <row r="153" spans="1:3" ht="13" x14ac:dyDescent="0.15">
      <c r="A153" s="10"/>
      <c r="B153" s="13"/>
      <c r="C153" s="13"/>
    </row>
    <row r="154" spans="1:3" ht="13" x14ac:dyDescent="0.15">
      <c r="A154" s="10"/>
      <c r="B154" s="13"/>
      <c r="C154" s="13"/>
    </row>
    <row r="155" spans="1:3" ht="13" x14ac:dyDescent="0.15">
      <c r="A155" s="10"/>
      <c r="B155" s="13"/>
      <c r="C155" s="13"/>
    </row>
    <row r="156" spans="1:3" ht="13" x14ac:dyDescent="0.15">
      <c r="A156" s="10"/>
      <c r="B156" s="13"/>
      <c r="C156" s="13"/>
    </row>
    <row r="157" spans="1:3" ht="13" x14ac:dyDescent="0.15">
      <c r="A157" s="10"/>
      <c r="B157" s="13"/>
      <c r="C157" s="13"/>
    </row>
    <row r="158" spans="1:3" ht="13" x14ac:dyDescent="0.15">
      <c r="A158" s="10"/>
      <c r="B158" s="13"/>
      <c r="C158" s="13"/>
    </row>
    <row r="159" spans="1:3" ht="13" x14ac:dyDescent="0.15">
      <c r="A159" s="10"/>
      <c r="B159" s="13"/>
      <c r="C159" s="13"/>
    </row>
    <row r="160" spans="1:3" ht="13" x14ac:dyDescent="0.15">
      <c r="A160" s="10"/>
      <c r="B160" s="13"/>
      <c r="C160" s="13"/>
    </row>
    <row r="161" spans="1:3" ht="13" x14ac:dyDescent="0.15">
      <c r="A161" s="10"/>
      <c r="B161" s="13"/>
      <c r="C161" s="13"/>
    </row>
    <row r="162" spans="1:3" ht="13" x14ac:dyDescent="0.15">
      <c r="A162" s="10"/>
      <c r="B162" s="13"/>
      <c r="C162" s="13"/>
    </row>
    <row r="163" spans="1:3" ht="13" x14ac:dyDescent="0.15">
      <c r="A163" s="10"/>
      <c r="B163" s="13"/>
      <c r="C163" s="13"/>
    </row>
    <row r="164" spans="1:3" ht="13" x14ac:dyDescent="0.15">
      <c r="A164" s="10"/>
      <c r="B164" s="13"/>
      <c r="C164" s="13"/>
    </row>
    <row r="165" spans="1:3" ht="13" x14ac:dyDescent="0.15">
      <c r="A165" s="10"/>
      <c r="B165" s="13"/>
      <c r="C165" s="13"/>
    </row>
    <row r="166" spans="1:3" ht="13" x14ac:dyDescent="0.15">
      <c r="A166" s="10"/>
      <c r="B166" s="13"/>
      <c r="C166" s="13"/>
    </row>
    <row r="167" spans="1:3" ht="13" x14ac:dyDescent="0.15">
      <c r="A167" s="10"/>
      <c r="B167" s="13"/>
      <c r="C167" s="13"/>
    </row>
    <row r="168" spans="1:3" ht="13" x14ac:dyDescent="0.15">
      <c r="A168" s="10"/>
      <c r="B168" s="13"/>
      <c r="C168" s="13"/>
    </row>
    <row r="169" spans="1:3" ht="13" x14ac:dyDescent="0.15">
      <c r="A169" s="10"/>
      <c r="B169" s="13"/>
      <c r="C169" s="13"/>
    </row>
    <row r="170" spans="1:3" ht="13" x14ac:dyDescent="0.15">
      <c r="A170" s="10"/>
      <c r="B170" s="13"/>
      <c r="C170" s="13"/>
    </row>
    <row r="171" spans="1:3" ht="13" x14ac:dyDescent="0.15">
      <c r="A171" s="10"/>
      <c r="B171" s="13"/>
      <c r="C171" s="13"/>
    </row>
    <row r="172" spans="1:3" ht="13" x14ac:dyDescent="0.15">
      <c r="A172" s="10"/>
      <c r="B172" s="13"/>
      <c r="C172" s="13"/>
    </row>
    <row r="173" spans="1:3" ht="13" x14ac:dyDescent="0.15">
      <c r="A173" s="10"/>
      <c r="B173" s="13"/>
      <c r="C173" s="13"/>
    </row>
    <row r="174" spans="1:3" ht="13" x14ac:dyDescent="0.15">
      <c r="A174" s="10"/>
      <c r="B174" s="13"/>
      <c r="C174" s="13"/>
    </row>
    <row r="175" spans="1:3" ht="13" x14ac:dyDescent="0.15">
      <c r="A175" s="10"/>
      <c r="B175" s="13"/>
      <c r="C175" s="13"/>
    </row>
    <row r="176" spans="1:3" ht="13" x14ac:dyDescent="0.15">
      <c r="A176" s="10"/>
      <c r="B176" s="13"/>
      <c r="C176" s="13"/>
    </row>
    <row r="177" spans="1:3" ht="13" x14ac:dyDescent="0.15">
      <c r="A177" s="10"/>
      <c r="B177" s="13"/>
      <c r="C177" s="13"/>
    </row>
    <row r="178" spans="1:3" ht="13" x14ac:dyDescent="0.15">
      <c r="A178" s="10"/>
      <c r="B178" s="13"/>
      <c r="C178" s="13"/>
    </row>
    <row r="179" spans="1:3" ht="13" x14ac:dyDescent="0.15">
      <c r="A179" s="10"/>
      <c r="B179" s="13"/>
      <c r="C179" s="13"/>
    </row>
    <row r="180" spans="1:3" ht="13" x14ac:dyDescent="0.15">
      <c r="A180" s="10"/>
      <c r="B180" s="13"/>
      <c r="C180" s="13"/>
    </row>
    <row r="181" spans="1:3" ht="13" x14ac:dyDescent="0.15">
      <c r="A181" s="10"/>
      <c r="B181" s="13"/>
      <c r="C181" s="13"/>
    </row>
    <row r="182" spans="1:3" ht="13" x14ac:dyDescent="0.15">
      <c r="A182" s="10"/>
      <c r="B182" s="13"/>
      <c r="C182" s="13"/>
    </row>
    <row r="183" spans="1:3" ht="13" x14ac:dyDescent="0.15">
      <c r="A183" s="10"/>
      <c r="B183" s="13"/>
      <c r="C183" s="13"/>
    </row>
    <row r="184" spans="1:3" ht="13" x14ac:dyDescent="0.15">
      <c r="A184" s="10"/>
      <c r="B184" s="13"/>
      <c r="C184" s="13"/>
    </row>
    <row r="185" spans="1:3" ht="13" x14ac:dyDescent="0.15">
      <c r="A185" s="10"/>
      <c r="B185" s="13"/>
      <c r="C185" s="13"/>
    </row>
    <row r="186" spans="1:3" ht="13" x14ac:dyDescent="0.15">
      <c r="A186" s="10"/>
      <c r="B186" s="13"/>
      <c r="C186" s="13"/>
    </row>
    <row r="187" spans="1:3" ht="13" x14ac:dyDescent="0.15">
      <c r="A187" s="10"/>
      <c r="B187" s="13"/>
      <c r="C187" s="13"/>
    </row>
    <row r="188" spans="1:3" ht="13" x14ac:dyDescent="0.15">
      <c r="A188" s="10"/>
      <c r="B188" s="13"/>
      <c r="C188" s="13"/>
    </row>
    <row r="189" spans="1:3" ht="13" x14ac:dyDescent="0.15">
      <c r="A189" s="10"/>
      <c r="B189" s="13"/>
      <c r="C189" s="13"/>
    </row>
    <row r="190" spans="1:3" ht="13" x14ac:dyDescent="0.15">
      <c r="A190" s="10"/>
      <c r="B190" s="13"/>
      <c r="C190" s="13"/>
    </row>
    <row r="191" spans="1:3" ht="13" x14ac:dyDescent="0.15">
      <c r="A191" s="10"/>
      <c r="B191" s="13"/>
      <c r="C191" s="13"/>
    </row>
    <row r="192" spans="1:3" ht="13" x14ac:dyDescent="0.15">
      <c r="A192" s="10"/>
      <c r="B192" s="13"/>
      <c r="C192" s="13"/>
    </row>
    <row r="193" spans="1:3" ht="13" x14ac:dyDescent="0.15">
      <c r="A193" s="10"/>
      <c r="B193" s="13"/>
      <c r="C193" s="13"/>
    </row>
    <row r="194" spans="1:3" ht="13" x14ac:dyDescent="0.15">
      <c r="A194" s="10"/>
      <c r="B194" s="13"/>
      <c r="C194" s="13"/>
    </row>
    <row r="195" spans="1:3" ht="13" x14ac:dyDescent="0.15">
      <c r="A195" s="10"/>
      <c r="B195" s="13"/>
      <c r="C195" s="13"/>
    </row>
    <row r="196" spans="1:3" ht="13" x14ac:dyDescent="0.15">
      <c r="A196" s="10"/>
      <c r="B196" s="13"/>
      <c r="C196" s="13"/>
    </row>
    <row r="197" spans="1:3" ht="13" x14ac:dyDescent="0.15">
      <c r="A197" s="10"/>
      <c r="B197" s="13"/>
      <c r="C197" s="13"/>
    </row>
    <row r="198" spans="1:3" ht="13" x14ac:dyDescent="0.15">
      <c r="A198" s="10"/>
      <c r="B198" s="13"/>
      <c r="C198" s="13"/>
    </row>
    <row r="199" spans="1:3" ht="13" x14ac:dyDescent="0.15">
      <c r="A199" s="10"/>
      <c r="B199" s="13"/>
      <c r="C199" s="13"/>
    </row>
    <row r="200" spans="1:3" ht="13" x14ac:dyDescent="0.15">
      <c r="A200" s="10"/>
      <c r="B200" s="13"/>
      <c r="C200" s="13"/>
    </row>
    <row r="201" spans="1:3" ht="13" x14ac:dyDescent="0.15">
      <c r="A201" s="10"/>
      <c r="B201" s="13"/>
      <c r="C201" s="13"/>
    </row>
    <row r="202" spans="1:3" ht="13" x14ac:dyDescent="0.15">
      <c r="A202" s="10"/>
      <c r="B202" s="13"/>
      <c r="C202" s="13"/>
    </row>
    <row r="203" spans="1:3" ht="13" x14ac:dyDescent="0.15">
      <c r="A203" s="10"/>
      <c r="B203" s="13"/>
      <c r="C203" s="13"/>
    </row>
    <row r="204" spans="1:3" ht="13" x14ac:dyDescent="0.15">
      <c r="A204" s="10"/>
      <c r="B204" s="13"/>
      <c r="C204" s="13"/>
    </row>
    <row r="205" spans="1:3" ht="13" x14ac:dyDescent="0.15">
      <c r="A205" s="10"/>
      <c r="B205" s="13"/>
      <c r="C205" s="13"/>
    </row>
    <row r="206" spans="1:3" ht="13" x14ac:dyDescent="0.15">
      <c r="A206" s="10"/>
      <c r="B206" s="13"/>
      <c r="C206" s="13"/>
    </row>
    <row r="207" spans="1:3" ht="13" x14ac:dyDescent="0.15">
      <c r="A207" s="10"/>
      <c r="B207" s="13"/>
      <c r="C207" s="13"/>
    </row>
    <row r="208" spans="1:3" ht="13" x14ac:dyDescent="0.15">
      <c r="A208" s="10"/>
      <c r="B208" s="13"/>
      <c r="C208" s="13"/>
    </row>
    <row r="209" spans="1:3" ht="13" x14ac:dyDescent="0.15">
      <c r="A209" s="10"/>
      <c r="B209" s="13"/>
      <c r="C209" s="13"/>
    </row>
    <row r="210" spans="1:3" ht="13" x14ac:dyDescent="0.15">
      <c r="A210" s="10"/>
      <c r="B210" s="13"/>
      <c r="C210" s="13"/>
    </row>
    <row r="211" spans="1:3" ht="13" x14ac:dyDescent="0.15">
      <c r="A211" s="10"/>
      <c r="B211" s="13"/>
      <c r="C211" s="13"/>
    </row>
    <row r="212" spans="1:3" ht="13" x14ac:dyDescent="0.15">
      <c r="A212" s="10"/>
      <c r="B212" s="13"/>
      <c r="C212" s="13"/>
    </row>
    <row r="213" spans="1:3" ht="13" x14ac:dyDescent="0.15">
      <c r="A213" s="10"/>
      <c r="B213" s="13"/>
      <c r="C213" s="13"/>
    </row>
    <row r="214" spans="1:3" ht="13" x14ac:dyDescent="0.15">
      <c r="A214" s="10"/>
      <c r="B214" s="13"/>
      <c r="C214" s="13"/>
    </row>
    <row r="215" spans="1:3" ht="13" x14ac:dyDescent="0.15">
      <c r="A215" s="10"/>
      <c r="B215" s="13"/>
      <c r="C215" s="13"/>
    </row>
    <row r="216" spans="1:3" ht="13" x14ac:dyDescent="0.15">
      <c r="A216" s="10"/>
      <c r="B216" s="13"/>
      <c r="C216" s="13"/>
    </row>
    <row r="217" spans="1:3" ht="13" x14ac:dyDescent="0.15">
      <c r="A217" s="10"/>
      <c r="B217" s="13"/>
      <c r="C217" s="13"/>
    </row>
    <row r="218" spans="1:3" ht="13" x14ac:dyDescent="0.15">
      <c r="A218" s="10"/>
      <c r="B218" s="13"/>
      <c r="C218" s="13"/>
    </row>
    <row r="219" spans="1:3" ht="13" x14ac:dyDescent="0.15">
      <c r="A219" s="10"/>
      <c r="B219" s="13"/>
      <c r="C219" s="13"/>
    </row>
    <row r="220" spans="1:3" ht="13" x14ac:dyDescent="0.15">
      <c r="A220" s="10"/>
      <c r="B220" s="13"/>
      <c r="C220" s="13"/>
    </row>
    <row r="221" spans="1:3" ht="13" x14ac:dyDescent="0.15">
      <c r="A221" s="10"/>
      <c r="B221" s="13"/>
      <c r="C221" s="13"/>
    </row>
    <row r="222" spans="1:3" ht="13" x14ac:dyDescent="0.15">
      <c r="A222" s="10"/>
      <c r="B222" s="13"/>
      <c r="C222" s="13"/>
    </row>
    <row r="223" spans="1:3" ht="13" x14ac:dyDescent="0.15">
      <c r="A223" s="10"/>
      <c r="B223" s="13"/>
      <c r="C223" s="13"/>
    </row>
    <row r="224" spans="1:3" ht="13" x14ac:dyDescent="0.15">
      <c r="A224" s="10"/>
      <c r="B224" s="13"/>
      <c r="C224" s="13"/>
    </row>
    <row r="225" spans="1:3" ht="13" x14ac:dyDescent="0.15">
      <c r="A225" s="10"/>
      <c r="B225" s="13"/>
      <c r="C225" s="13"/>
    </row>
    <row r="226" spans="1:3" ht="13" x14ac:dyDescent="0.15">
      <c r="A226" s="10"/>
      <c r="B226" s="13"/>
      <c r="C226" s="13"/>
    </row>
    <row r="227" spans="1:3" ht="13" x14ac:dyDescent="0.15">
      <c r="A227" s="10"/>
      <c r="B227" s="13"/>
      <c r="C227" s="13"/>
    </row>
    <row r="228" spans="1:3" ht="13" x14ac:dyDescent="0.15">
      <c r="A228" s="10"/>
      <c r="B228" s="13"/>
      <c r="C228" s="13"/>
    </row>
    <row r="229" spans="1:3" ht="13" x14ac:dyDescent="0.15">
      <c r="A229" s="10"/>
      <c r="B229" s="13"/>
      <c r="C229" s="13"/>
    </row>
    <row r="230" spans="1:3" ht="13" x14ac:dyDescent="0.15">
      <c r="A230" s="10"/>
      <c r="B230" s="13"/>
      <c r="C230" s="13"/>
    </row>
    <row r="231" spans="1:3" ht="13" x14ac:dyDescent="0.15">
      <c r="A231" s="10"/>
      <c r="B231" s="13"/>
      <c r="C231" s="13"/>
    </row>
    <row r="232" spans="1:3" ht="13" x14ac:dyDescent="0.15">
      <c r="A232" s="10"/>
      <c r="B232" s="13"/>
      <c r="C232" s="13"/>
    </row>
    <row r="233" spans="1:3" ht="13" x14ac:dyDescent="0.15">
      <c r="A233" s="10"/>
      <c r="B233" s="13"/>
      <c r="C233" s="13"/>
    </row>
    <row r="234" spans="1:3" ht="13" x14ac:dyDescent="0.15">
      <c r="A234" s="10"/>
      <c r="B234" s="13"/>
      <c r="C234" s="13"/>
    </row>
    <row r="235" spans="1:3" ht="13" x14ac:dyDescent="0.15">
      <c r="A235" s="10"/>
      <c r="B235" s="13"/>
      <c r="C235" s="13"/>
    </row>
    <row r="236" spans="1:3" ht="13" x14ac:dyDescent="0.15">
      <c r="A236" s="10"/>
      <c r="B236" s="13"/>
      <c r="C236" s="13"/>
    </row>
    <row r="237" spans="1:3" ht="13" x14ac:dyDescent="0.15">
      <c r="A237" s="10"/>
      <c r="B237" s="13"/>
      <c r="C237" s="13"/>
    </row>
    <row r="238" spans="1:3" ht="13" x14ac:dyDescent="0.15">
      <c r="A238" s="10"/>
      <c r="B238" s="13"/>
      <c r="C238" s="13"/>
    </row>
    <row r="239" spans="1:3" ht="13" x14ac:dyDescent="0.15">
      <c r="A239" s="10"/>
      <c r="B239" s="13"/>
      <c r="C239" s="13"/>
    </row>
    <row r="240" spans="1:3" ht="13" x14ac:dyDescent="0.15">
      <c r="A240" s="10"/>
      <c r="B240" s="13"/>
      <c r="C240" s="13"/>
    </row>
    <row r="241" spans="1:3" ht="13" x14ac:dyDescent="0.15">
      <c r="A241" s="10"/>
      <c r="B241" s="13"/>
      <c r="C241" s="13"/>
    </row>
    <row r="242" spans="1:3" ht="13" x14ac:dyDescent="0.15">
      <c r="A242" s="10"/>
      <c r="B242" s="13"/>
      <c r="C242" s="13"/>
    </row>
    <row r="243" spans="1:3" ht="13" x14ac:dyDescent="0.15">
      <c r="A243" s="10"/>
      <c r="B243" s="13"/>
      <c r="C243" s="13"/>
    </row>
    <row r="244" spans="1:3" ht="13" x14ac:dyDescent="0.15">
      <c r="A244" s="10"/>
      <c r="B244" s="13"/>
      <c r="C244" s="13"/>
    </row>
    <row r="245" spans="1:3" ht="13" x14ac:dyDescent="0.15">
      <c r="A245" s="10"/>
      <c r="B245" s="13"/>
      <c r="C245" s="13"/>
    </row>
    <row r="246" spans="1:3" ht="13" x14ac:dyDescent="0.15">
      <c r="A246" s="10"/>
      <c r="B246" s="13"/>
      <c r="C246" s="13"/>
    </row>
    <row r="247" spans="1:3" ht="13" x14ac:dyDescent="0.15">
      <c r="A247" s="10"/>
      <c r="B247" s="13"/>
      <c r="C247" s="13"/>
    </row>
    <row r="248" spans="1:3" ht="13" x14ac:dyDescent="0.15">
      <c r="A248" s="10"/>
      <c r="B248" s="13"/>
      <c r="C248" s="13"/>
    </row>
    <row r="249" spans="1:3" ht="13" x14ac:dyDescent="0.15">
      <c r="A249" s="10"/>
      <c r="B249" s="13"/>
      <c r="C249" s="13"/>
    </row>
    <row r="250" spans="1:3" ht="13" x14ac:dyDescent="0.15">
      <c r="A250" s="10"/>
      <c r="B250" s="13"/>
      <c r="C250" s="13"/>
    </row>
    <row r="251" spans="1:3" ht="13" x14ac:dyDescent="0.15">
      <c r="A251" s="10"/>
      <c r="B251" s="13"/>
      <c r="C251" s="13"/>
    </row>
    <row r="252" spans="1:3" ht="13" x14ac:dyDescent="0.15">
      <c r="A252" s="10"/>
      <c r="B252" s="13"/>
      <c r="C252" s="13"/>
    </row>
    <row r="253" spans="1:3" ht="13" x14ac:dyDescent="0.15">
      <c r="A253" s="10"/>
      <c r="B253" s="13"/>
      <c r="C253" s="13"/>
    </row>
    <row r="254" spans="1:3" ht="13" x14ac:dyDescent="0.15">
      <c r="A254" s="10"/>
      <c r="B254" s="13"/>
      <c r="C254" s="13"/>
    </row>
    <row r="255" spans="1:3" ht="13" x14ac:dyDescent="0.15">
      <c r="A255" s="10"/>
      <c r="B255" s="13"/>
      <c r="C255" s="13"/>
    </row>
    <row r="256" spans="1:3" ht="13" x14ac:dyDescent="0.15">
      <c r="A256" s="10"/>
      <c r="B256" s="13"/>
      <c r="C256" s="13"/>
    </row>
    <row r="257" spans="1:3" ht="13" x14ac:dyDescent="0.15">
      <c r="A257" s="10"/>
      <c r="B257" s="13"/>
      <c r="C257" s="13"/>
    </row>
    <row r="258" spans="1:3" ht="13" x14ac:dyDescent="0.15">
      <c r="A258" s="10"/>
      <c r="B258" s="13"/>
      <c r="C258" s="13"/>
    </row>
    <row r="259" spans="1:3" ht="13" x14ac:dyDescent="0.15">
      <c r="A259" s="10"/>
      <c r="B259" s="13"/>
      <c r="C259" s="13"/>
    </row>
    <row r="260" spans="1:3" ht="13" x14ac:dyDescent="0.15">
      <c r="A260" s="10"/>
      <c r="B260" s="13"/>
      <c r="C260" s="13"/>
    </row>
    <row r="261" spans="1:3" ht="13" x14ac:dyDescent="0.15">
      <c r="A261" s="10"/>
      <c r="B261" s="13"/>
      <c r="C261" s="13"/>
    </row>
    <row r="262" spans="1:3" ht="13" x14ac:dyDescent="0.15">
      <c r="A262" s="10"/>
      <c r="B262" s="13"/>
      <c r="C262" s="13"/>
    </row>
    <row r="263" spans="1:3" ht="13" x14ac:dyDescent="0.15">
      <c r="A263" s="10"/>
      <c r="B263" s="13"/>
      <c r="C263" s="13"/>
    </row>
    <row r="264" spans="1:3" ht="13" x14ac:dyDescent="0.15">
      <c r="A264" s="10"/>
      <c r="B264" s="13"/>
      <c r="C264" s="13"/>
    </row>
    <row r="265" spans="1:3" ht="13" x14ac:dyDescent="0.15">
      <c r="A265" s="10"/>
      <c r="B265" s="13"/>
      <c r="C265" s="13"/>
    </row>
    <row r="266" spans="1:3" ht="13" x14ac:dyDescent="0.15">
      <c r="A266" s="10"/>
      <c r="B266" s="13"/>
      <c r="C266" s="13"/>
    </row>
    <row r="267" spans="1:3" ht="13" x14ac:dyDescent="0.15">
      <c r="A267" s="10"/>
      <c r="B267" s="13"/>
      <c r="C267" s="13"/>
    </row>
    <row r="268" spans="1:3" ht="13" x14ac:dyDescent="0.15">
      <c r="A268" s="10"/>
      <c r="B268" s="13"/>
      <c r="C268" s="13"/>
    </row>
    <row r="269" spans="1:3" ht="13" x14ac:dyDescent="0.15">
      <c r="A269" s="10"/>
      <c r="B269" s="13"/>
      <c r="C269" s="13"/>
    </row>
    <row r="270" spans="1:3" ht="13" x14ac:dyDescent="0.15">
      <c r="A270" s="10"/>
      <c r="B270" s="13"/>
      <c r="C270" s="13"/>
    </row>
    <row r="271" spans="1:3" ht="13" x14ac:dyDescent="0.15">
      <c r="A271" s="10"/>
      <c r="B271" s="13"/>
      <c r="C271" s="13"/>
    </row>
    <row r="272" spans="1:3" ht="13" x14ac:dyDescent="0.15">
      <c r="A272" s="10"/>
      <c r="B272" s="13"/>
      <c r="C272" s="13"/>
    </row>
    <row r="273" spans="1:3" ht="13" x14ac:dyDescent="0.15">
      <c r="A273" s="10"/>
      <c r="B273" s="13"/>
      <c r="C273" s="13"/>
    </row>
    <row r="274" spans="1:3" ht="13" x14ac:dyDescent="0.15">
      <c r="A274" s="10"/>
      <c r="B274" s="13"/>
      <c r="C274" s="13"/>
    </row>
    <row r="275" spans="1:3" ht="13" x14ac:dyDescent="0.15">
      <c r="A275" s="10"/>
      <c r="B275" s="13"/>
      <c r="C275" s="13"/>
    </row>
    <row r="276" spans="1:3" ht="13" x14ac:dyDescent="0.15">
      <c r="A276" s="10"/>
      <c r="B276" s="13"/>
      <c r="C276" s="13"/>
    </row>
    <row r="277" spans="1:3" ht="13" x14ac:dyDescent="0.15">
      <c r="A277" s="10"/>
      <c r="B277" s="13"/>
      <c r="C277" s="13"/>
    </row>
    <row r="278" spans="1:3" ht="13" x14ac:dyDescent="0.15">
      <c r="A278" s="10"/>
      <c r="B278" s="13"/>
      <c r="C278" s="13"/>
    </row>
    <row r="279" spans="1:3" ht="13" x14ac:dyDescent="0.15">
      <c r="A279" s="10"/>
      <c r="B279" s="13"/>
      <c r="C279" s="13"/>
    </row>
    <row r="280" spans="1:3" ht="13" x14ac:dyDescent="0.15">
      <c r="A280" s="10"/>
      <c r="B280" s="13"/>
      <c r="C280" s="13"/>
    </row>
    <row r="281" spans="1:3" ht="13" x14ac:dyDescent="0.15">
      <c r="A281" s="10"/>
      <c r="B281" s="13"/>
      <c r="C281" s="13"/>
    </row>
    <row r="282" spans="1:3" ht="13" x14ac:dyDescent="0.15">
      <c r="A282" s="10"/>
      <c r="B282" s="13"/>
      <c r="C282" s="13"/>
    </row>
    <row r="283" spans="1:3" ht="13" x14ac:dyDescent="0.15">
      <c r="A283" s="10"/>
      <c r="B283" s="13"/>
      <c r="C283" s="13"/>
    </row>
    <row r="284" spans="1:3" ht="13" x14ac:dyDescent="0.15">
      <c r="A284" s="10"/>
      <c r="B284" s="13"/>
      <c r="C284" s="13"/>
    </row>
    <row r="285" spans="1:3" ht="13" x14ac:dyDescent="0.15">
      <c r="A285" s="10"/>
      <c r="B285" s="13"/>
      <c r="C285" s="13"/>
    </row>
    <row r="286" spans="1:3" ht="13" x14ac:dyDescent="0.15">
      <c r="A286" s="10"/>
      <c r="B286" s="13"/>
      <c r="C286" s="13"/>
    </row>
    <row r="287" spans="1:3" ht="13" x14ac:dyDescent="0.15">
      <c r="A287" s="10"/>
      <c r="B287" s="13"/>
      <c r="C287" s="13"/>
    </row>
    <row r="288" spans="1:3" ht="13" x14ac:dyDescent="0.15">
      <c r="A288" s="10"/>
      <c r="B288" s="13"/>
      <c r="C288" s="13"/>
    </row>
    <row r="289" spans="1:3" ht="13" x14ac:dyDescent="0.15">
      <c r="A289" s="10"/>
      <c r="B289" s="13"/>
      <c r="C289" s="13"/>
    </row>
    <row r="290" spans="1:3" ht="13" x14ac:dyDescent="0.15">
      <c r="A290" s="10"/>
      <c r="B290" s="13"/>
      <c r="C290" s="13"/>
    </row>
    <row r="291" spans="1:3" ht="13" x14ac:dyDescent="0.15">
      <c r="A291" s="10"/>
      <c r="B291" s="13"/>
      <c r="C291" s="13"/>
    </row>
    <row r="292" spans="1:3" ht="13" x14ac:dyDescent="0.15">
      <c r="A292" s="10"/>
      <c r="B292" s="13"/>
      <c r="C292" s="13"/>
    </row>
    <row r="293" spans="1:3" ht="13" x14ac:dyDescent="0.15">
      <c r="A293" s="10"/>
      <c r="B293" s="13"/>
      <c r="C293" s="13"/>
    </row>
    <row r="294" spans="1:3" ht="13" x14ac:dyDescent="0.15">
      <c r="A294" s="10"/>
      <c r="B294" s="13"/>
      <c r="C294" s="13"/>
    </row>
    <row r="295" spans="1:3" ht="13" x14ac:dyDescent="0.15">
      <c r="A295" s="10"/>
      <c r="B295" s="13"/>
      <c r="C295" s="13"/>
    </row>
    <row r="296" spans="1:3" ht="13" x14ac:dyDescent="0.15">
      <c r="A296" s="10"/>
      <c r="B296" s="13"/>
      <c r="C296" s="13"/>
    </row>
    <row r="297" spans="1:3" ht="13" x14ac:dyDescent="0.15">
      <c r="A297" s="10"/>
      <c r="B297" s="13"/>
      <c r="C297" s="13"/>
    </row>
    <row r="298" spans="1:3" ht="13" x14ac:dyDescent="0.15">
      <c r="A298" s="10"/>
      <c r="B298" s="13"/>
      <c r="C298" s="13"/>
    </row>
    <row r="299" spans="1:3" ht="13" x14ac:dyDescent="0.15">
      <c r="A299" s="10"/>
      <c r="B299" s="13"/>
      <c r="C299" s="13"/>
    </row>
    <row r="300" spans="1:3" ht="13" x14ac:dyDescent="0.15">
      <c r="A300" s="10"/>
      <c r="B300" s="13"/>
      <c r="C300" s="13"/>
    </row>
    <row r="301" spans="1:3" ht="13" x14ac:dyDescent="0.15">
      <c r="A301" s="10"/>
      <c r="B301" s="13"/>
      <c r="C301" s="13"/>
    </row>
    <row r="302" spans="1:3" ht="13" x14ac:dyDescent="0.15">
      <c r="A302" s="10"/>
      <c r="B302" s="13"/>
      <c r="C302" s="13"/>
    </row>
    <row r="303" spans="1:3" ht="13" x14ac:dyDescent="0.15">
      <c r="A303" s="10"/>
      <c r="B303" s="13"/>
      <c r="C303" s="13"/>
    </row>
    <row r="304" spans="1:3" ht="13" x14ac:dyDescent="0.15">
      <c r="A304" s="10"/>
      <c r="B304" s="13"/>
      <c r="C304" s="13"/>
    </row>
    <row r="305" spans="1:3" ht="13" x14ac:dyDescent="0.15">
      <c r="A305" s="10"/>
      <c r="B305" s="13"/>
      <c r="C305" s="13"/>
    </row>
    <row r="306" spans="1:3" ht="13" x14ac:dyDescent="0.15">
      <c r="A306" s="10"/>
      <c r="B306" s="13"/>
      <c r="C306" s="13"/>
    </row>
    <row r="307" spans="1:3" ht="13" x14ac:dyDescent="0.15">
      <c r="A307" s="10"/>
      <c r="B307" s="13"/>
      <c r="C307" s="13"/>
    </row>
    <row r="308" spans="1:3" ht="13" x14ac:dyDescent="0.15">
      <c r="A308" s="10"/>
      <c r="B308" s="13"/>
      <c r="C308" s="13"/>
    </row>
    <row r="309" spans="1:3" ht="13" x14ac:dyDescent="0.15">
      <c r="A309" s="10"/>
      <c r="B309" s="13"/>
      <c r="C309" s="13"/>
    </row>
    <row r="310" spans="1:3" ht="13" x14ac:dyDescent="0.15">
      <c r="A310" s="10"/>
      <c r="B310" s="13"/>
      <c r="C310" s="13"/>
    </row>
    <row r="311" spans="1:3" ht="13" x14ac:dyDescent="0.15">
      <c r="A311" s="10"/>
      <c r="B311" s="13"/>
      <c r="C311" s="13"/>
    </row>
    <row r="312" spans="1:3" ht="13" x14ac:dyDescent="0.15">
      <c r="A312" s="10"/>
      <c r="B312" s="13"/>
      <c r="C312" s="13"/>
    </row>
    <row r="313" spans="1:3" ht="13" x14ac:dyDescent="0.15">
      <c r="A313" s="10"/>
      <c r="B313" s="13"/>
      <c r="C313" s="13"/>
    </row>
    <row r="314" spans="1:3" ht="13" x14ac:dyDescent="0.15">
      <c r="A314" s="10"/>
      <c r="B314" s="13"/>
      <c r="C314" s="13"/>
    </row>
    <row r="315" spans="1:3" ht="13" x14ac:dyDescent="0.15">
      <c r="A315" s="10"/>
      <c r="B315" s="13"/>
      <c r="C315" s="13"/>
    </row>
    <row r="316" spans="1:3" ht="13" x14ac:dyDescent="0.15">
      <c r="A316" s="10"/>
      <c r="B316" s="13"/>
      <c r="C316" s="13"/>
    </row>
    <row r="317" spans="1:3" ht="13" x14ac:dyDescent="0.15">
      <c r="A317" s="10"/>
      <c r="B317" s="13"/>
      <c r="C317" s="13"/>
    </row>
    <row r="318" spans="1:3" ht="13" x14ac:dyDescent="0.15">
      <c r="A318" s="10"/>
      <c r="B318" s="13"/>
      <c r="C318" s="13"/>
    </row>
    <row r="319" spans="1:3" ht="13" x14ac:dyDescent="0.15">
      <c r="A319" s="10"/>
      <c r="B319" s="13"/>
      <c r="C319" s="13"/>
    </row>
    <row r="320" spans="1:3" ht="13" x14ac:dyDescent="0.15">
      <c r="A320" s="10"/>
      <c r="B320" s="13"/>
      <c r="C320" s="13"/>
    </row>
    <row r="321" spans="1:3" ht="13" x14ac:dyDescent="0.15">
      <c r="A321" s="10"/>
      <c r="B321" s="13"/>
      <c r="C321" s="13"/>
    </row>
    <row r="322" spans="1:3" ht="13" x14ac:dyDescent="0.15">
      <c r="A322" s="10"/>
      <c r="B322" s="13"/>
      <c r="C322" s="13"/>
    </row>
    <row r="323" spans="1:3" ht="13" x14ac:dyDescent="0.15">
      <c r="A323" s="10"/>
      <c r="B323" s="13"/>
      <c r="C323" s="13"/>
    </row>
    <row r="324" spans="1:3" ht="13" x14ac:dyDescent="0.15">
      <c r="A324" s="10"/>
      <c r="B324" s="13"/>
      <c r="C324" s="13"/>
    </row>
    <row r="325" spans="1:3" ht="13" x14ac:dyDescent="0.15">
      <c r="A325" s="10"/>
      <c r="B325" s="13"/>
      <c r="C325" s="13"/>
    </row>
    <row r="326" spans="1:3" ht="13" x14ac:dyDescent="0.15">
      <c r="A326" s="10"/>
      <c r="B326" s="13"/>
      <c r="C326" s="13"/>
    </row>
    <row r="327" spans="1:3" ht="13" x14ac:dyDescent="0.15">
      <c r="A327" s="10"/>
      <c r="B327" s="13"/>
      <c r="C327" s="13"/>
    </row>
    <row r="328" spans="1:3" ht="13" x14ac:dyDescent="0.15">
      <c r="A328" s="10"/>
      <c r="B328" s="13"/>
      <c r="C328" s="13"/>
    </row>
    <row r="329" spans="1:3" ht="13" x14ac:dyDescent="0.15">
      <c r="A329" s="10"/>
      <c r="B329" s="13"/>
      <c r="C329" s="13"/>
    </row>
    <row r="330" spans="1:3" ht="13" x14ac:dyDescent="0.15">
      <c r="A330" s="10"/>
      <c r="B330" s="13"/>
      <c r="C330" s="13"/>
    </row>
    <row r="331" spans="1:3" ht="13" x14ac:dyDescent="0.15">
      <c r="A331" s="10"/>
      <c r="B331" s="13"/>
      <c r="C331" s="13"/>
    </row>
    <row r="332" spans="1:3" ht="13" x14ac:dyDescent="0.15">
      <c r="A332" s="10"/>
      <c r="B332" s="13"/>
      <c r="C332" s="13"/>
    </row>
    <row r="333" spans="1:3" ht="13" x14ac:dyDescent="0.15">
      <c r="A333" s="10"/>
      <c r="B333" s="13"/>
      <c r="C333" s="13"/>
    </row>
    <row r="334" spans="1:3" ht="13" x14ac:dyDescent="0.15">
      <c r="A334" s="10"/>
      <c r="B334" s="13"/>
      <c r="C334" s="13"/>
    </row>
    <row r="335" spans="1:3" ht="13" x14ac:dyDescent="0.15">
      <c r="A335" s="10"/>
      <c r="B335" s="13"/>
      <c r="C335" s="13"/>
    </row>
    <row r="336" spans="1:3" ht="13" x14ac:dyDescent="0.15">
      <c r="A336" s="10"/>
      <c r="B336" s="13"/>
      <c r="C336" s="13"/>
    </row>
    <row r="337" spans="1:3" ht="13" x14ac:dyDescent="0.15">
      <c r="A337" s="10"/>
      <c r="B337" s="13"/>
      <c r="C337" s="13"/>
    </row>
    <row r="338" spans="1:3" ht="13" x14ac:dyDescent="0.15">
      <c r="A338" s="10"/>
      <c r="B338" s="13"/>
      <c r="C338" s="13"/>
    </row>
    <row r="339" spans="1:3" ht="13" x14ac:dyDescent="0.15">
      <c r="A339" s="10"/>
      <c r="B339" s="13"/>
      <c r="C339" s="13"/>
    </row>
    <row r="340" spans="1:3" ht="13" x14ac:dyDescent="0.15">
      <c r="A340" s="10"/>
      <c r="B340" s="13"/>
      <c r="C340" s="13"/>
    </row>
    <row r="341" spans="1:3" ht="13" x14ac:dyDescent="0.15">
      <c r="A341" s="10"/>
      <c r="B341" s="13"/>
      <c r="C341" s="13"/>
    </row>
    <row r="342" spans="1:3" ht="13" x14ac:dyDescent="0.15">
      <c r="A342" s="10"/>
      <c r="B342" s="13"/>
      <c r="C342" s="13"/>
    </row>
    <row r="343" spans="1:3" ht="13" x14ac:dyDescent="0.15">
      <c r="A343" s="10"/>
      <c r="B343" s="13"/>
      <c r="C343" s="13"/>
    </row>
    <row r="344" spans="1:3" ht="13" x14ac:dyDescent="0.15">
      <c r="A344" s="10"/>
      <c r="B344" s="13"/>
      <c r="C344" s="13"/>
    </row>
    <row r="345" spans="1:3" ht="13" x14ac:dyDescent="0.15">
      <c r="A345" s="10"/>
      <c r="B345" s="13"/>
      <c r="C345" s="13"/>
    </row>
    <row r="346" spans="1:3" ht="13" x14ac:dyDescent="0.15">
      <c r="A346" s="10"/>
      <c r="B346" s="13"/>
      <c r="C346" s="13"/>
    </row>
    <row r="347" spans="1:3" ht="13" x14ac:dyDescent="0.15">
      <c r="A347" s="10"/>
      <c r="B347" s="13"/>
      <c r="C347" s="13"/>
    </row>
    <row r="348" spans="1:3" ht="13" x14ac:dyDescent="0.15">
      <c r="A348" s="10"/>
      <c r="B348" s="13"/>
      <c r="C348" s="13"/>
    </row>
    <row r="349" spans="1:3" ht="13" x14ac:dyDescent="0.15">
      <c r="A349" s="10"/>
      <c r="B349" s="13"/>
      <c r="C349" s="13"/>
    </row>
    <row r="350" spans="1:3" ht="13" x14ac:dyDescent="0.15">
      <c r="A350" s="10"/>
      <c r="B350" s="13"/>
      <c r="C350" s="13"/>
    </row>
    <row r="351" spans="1:3" ht="13" x14ac:dyDescent="0.15">
      <c r="A351" s="10"/>
      <c r="B351" s="13"/>
      <c r="C351" s="13"/>
    </row>
    <row r="352" spans="1:3" ht="13" x14ac:dyDescent="0.15">
      <c r="A352" s="10"/>
      <c r="B352" s="13"/>
      <c r="C352" s="13"/>
    </row>
    <row r="353" spans="1:3" ht="13" x14ac:dyDescent="0.15">
      <c r="A353" s="10"/>
      <c r="B353" s="13"/>
      <c r="C353" s="13"/>
    </row>
    <row r="354" spans="1:3" ht="13" x14ac:dyDescent="0.15">
      <c r="A354" s="10"/>
      <c r="B354" s="13"/>
      <c r="C354" s="13"/>
    </row>
    <row r="355" spans="1:3" ht="13" x14ac:dyDescent="0.15">
      <c r="A355" s="10"/>
      <c r="B355" s="13"/>
      <c r="C355" s="13"/>
    </row>
    <row r="356" spans="1:3" ht="13" x14ac:dyDescent="0.15">
      <c r="A356" s="10"/>
      <c r="B356" s="13"/>
      <c r="C356" s="13"/>
    </row>
    <row r="357" spans="1:3" ht="13" x14ac:dyDescent="0.15">
      <c r="A357" s="10"/>
      <c r="B357" s="13"/>
      <c r="C357" s="13"/>
    </row>
    <row r="358" spans="1:3" ht="13" x14ac:dyDescent="0.15">
      <c r="A358" s="10"/>
      <c r="B358" s="13"/>
      <c r="C358" s="13"/>
    </row>
    <row r="359" spans="1:3" ht="13" x14ac:dyDescent="0.15">
      <c r="A359" s="10"/>
      <c r="B359" s="13"/>
      <c r="C359" s="13"/>
    </row>
    <row r="360" spans="1:3" ht="13" x14ac:dyDescent="0.15">
      <c r="A360" s="10"/>
      <c r="B360" s="13"/>
      <c r="C360" s="13"/>
    </row>
    <row r="361" spans="1:3" ht="13" x14ac:dyDescent="0.15">
      <c r="A361" s="10"/>
      <c r="B361" s="13"/>
      <c r="C361" s="13"/>
    </row>
    <row r="362" spans="1:3" ht="13" x14ac:dyDescent="0.15">
      <c r="A362" s="10"/>
      <c r="B362" s="13"/>
      <c r="C362" s="13"/>
    </row>
    <row r="363" spans="1:3" ht="13" x14ac:dyDescent="0.15">
      <c r="A363" s="10"/>
      <c r="B363" s="13"/>
      <c r="C363" s="13"/>
    </row>
    <row r="364" spans="1:3" ht="13" x14ac:dyDescent="0.15">
      <c r="A364" s="10"/>
      <c r="B364" s="13"/>
      <c r="C364" s="13"/>
    </row>
    <row r="365" spans="1:3" ht="13" x14ac:dyDescent="0.15">
      <c r="A365" s="10"/>
      <c r="B365" s="13"/>
      <c r="C365" s="13"/>
    </row>
    <row r="366" spans="1:3" ht="13" x14ac:dyDescent="0.15">
      <c r="A366" s="10"/>
      <c r="B366" s="13"/>
      <c r="C366" s="13"/>
    </row>
    <row r="367" spans="1:3" ht="13" x14ac:dyDescent="0.15">
      <c r="A367" s="10"/>
      <c r="B367" s="13"/>
      <c r="C367" s="13"/>
    </row>
    <row r="368" spans="1:3" ht="13" x14ac:dyDescent="0.15">
      <c r="A368" s="10"/>
      <c r="B368" s="13"/>
      <c r="C368" s="13"/>
    </row>
    <row r="369" spans="1:3" ht="13" x14ac:dyDescent="0.15">
      <c r="A369" s="10"/>
      <c r="B369" s="13"/>
      <c r="C369" s="13"/>
    </row>
    <row r="370" spans="1:3" ht="13" x14ac:dyDescent="0.15">
      <c r="A370" s="10"/>
      <c r="B370" s="13"/>
      <c r="C370" s="13"/>
    </row>
    <row r="371" spans="1:3" ht="13" x14ac:dyDescent="0.15">
      <c r="A371" s="10"/>
      <c r="B371" s="13"/>
      <c r="C371" s="13"/>
    </row>
    <row r="372" spans="1:3" ht="13" x14ac:dyDescent="0.15">
      <c r="A372" s="10"/>
      <c r="B372" s="13"/>
      <c r="C372" s="13"/>
    </row>
    <row r="373" spans="1:3" ht="13" x14ac:dyDescent="0.15">
      <c r="A373" s="10"/>
      <c r="B373" s="13"/>
      <c r="C373" s="13"/>
    </row>
    <row r="374" spans="1:3" ht="13" x14ac:dyDescent="0.15">
      <c r="A374" s="10"/>
      <c r="B374" s="13"/>
      <c r="C374" s="13"/>
    </row>
    <row r="375" spans="1:3" ht="13" x14ac:dyDescent="0.15">
      <c r="A375" s="10"/>
      <c r="B375" s="13"/>
      <c r="C375" s="13"/>
    </row>
    <row r="376" spans="1:3" ht="13" x14ac:dyDescent="0.15">
      <c r="A376" s="10"/>
      <c r="B376" s="13"/>
      <c r="C376" s="13"/>
    </row>
    <row r="377" spans="1:3" ht="13" x14ac:dyDescent="0.15">
      <c r="A377" s="10"/>
      <c r="B377" s="13"/>
      <c r="C377" s="13"/>
    </row>
    <row r="378" spans="1:3" ht="13" x14ac:dyDescent="0.15">
      <c r="A378" s="10"/>
      <c r="B378" s="13"/>
      <c r="C378" s="13"/>
    </row>
    <row r="379" spans="1:3" ht="13" x14ac:dyDescent="0.15">
      <c r="A379" s="10"/>
      <c r="B379" s="13"/>
      <c r="C379" s="13"/>
    </row>
    <row r="380" spans="1:3" ht="13" x14ac:dyDescent="0.15">
      <c r="A380" s="10"/>
      <c r="B380" s="13"/>
      <c r="C380" s="13"/>
    </row>
    <row r="381" spans="1:3" ht="13" x14ac:dyDescent="0.15">
      <c r="A381" s="10"/>
      <c r="B381" s="13"/>
      <c r="C381" s="13"/>
    </row>
    <row r="382" spans="1:3" ht="13" x14ac:dyDescent="0.15">
      <c r="A382" s="10"/>
      <c r="B382" s="13"/>
      <c r="C382" s="13"/>
    </row>
    <row r="383" spans="1:3" ht="13" x14ac:dyDescent="0.15">
      <c r="A383" s="10"/>
      <c r="B383" s="13"/>
      <c r="C383" s="13"/>
    </row>
    <row r="384" spans="1:3" ht="13" x14ac:dyDescent="0.15">
      <c r="A384" s="10"/>
      <c r="B384" s="13"/>
      <c r="C384" s="13"/>
    </row>
    <row r="385" spans="1:3" ht="13" x14ac:dyDescent="0.15">
      <c r="A385" s="10"/>
      <c r="B385" s="13"/>
      <c r="C385" s="13"/>
    </row>
    <row r="386" spans="1:3" ht="13" x14ac:dyDescent="0.15">
      <c r="A386" s="10"/>
      <c r="B386" s="13"/>
      <c r="C386" s="13"/>
    </row>
    <row r="387" spans="1:3" ht="13" x14ac:dyDescent="0.15">
      <c r="A387" s="10"/>
      <c r="B387" s="13"/>
      <c r="C387" s="13"/>
    </row>
    <row r="388" spans="1:3" ht="13" x14ac:dyDescent="0.15">
      <c r="A388" s="10"/>
      <c r="B388" s="13"/>
      <c r="C388" s="13"/>
    </row>
    <row r="389" spans="1:3" ht="13" x14ac:dyDescent="0.15">
      <c r="A389" s="10"/>
      <c r="B389" s="13"/>
      <c r="C389" s="13"/>
    </row>
    <row r="390" spans="1:3" ht="13" x14ac:dyDescent="0.15">
      <c r="A390" s="10"/>
      <c r="B390" s="13"/>
      <c r="C390" s="13"/>
    </row>
    <row r="391" spans="1:3" ht="13" x14ac:dyDescent="0.15">
      <c r="A391" s="10"/>
      <c r="B391" s="13"/>
      <c r="C391" s="13"/>
    </row>
    <row r="392" spans="1:3" ht="13" x14ac:dyDescent="0.15">
      <c r="A392" s="10"/>
      <c r="B392" s="13"/>
      <c r="C392" s="13"/>
    </row>
    <row r="393" spans="1:3" ht="13" x14ac:dyDescent="0.15">
      <c r="A393" s="10"/>
      <c r="B393" s="13"/>
      <c r="C393" s="13"/>
    </row>
    <row r="394" spans="1:3" ht="13" x14ac:dyDescent="0.15">
      <c r="A394" s="10"/>
      <c r="B394" s="13"/>
      <c r="C394" s="13"/>
    </row>
    <row r="395" spans="1:3" ht="13" x14ac:dyDescent="0.15">
      <c r="A395" s="10"/>
      <c r="B395" s="13"/>
      <c r="C395" s="13"/>
    </row>
    <row r="396" spans="1:3" ht="13" x14ac:dyDescent="0.15">
      <c r="A396" s="10"/>
      <c r="B396" s="13"/>
      <c r="C396" s="13"/>
    </row>
    <row r="397" spans="1:3" ht="13" x14ac:dyDescent="0.15">
      <c r="A397" s="10"/>
      <c r="B397" s="13"/>
      <c r="C397" s="13"/>
    </row>
    <row r="398" spans="1:3" ht="13" x14ac:dyDescent="0.15">
      <c r="A398" s="10"/>
      <c r="B398" s="13"/>
      <c r="C398" s="13"/>
    </row>
    <row r="399" spans="1:3" ht="13" x14ac:dyDescent="0.15">
      <c r="A399" s="10"/>
      <c r="B399" s="13"/>
      <c r="C399" s="13"/>
    </row>
    <row r="400" spans="1:3" ht="13" x14ac:dyDescent="0.15">
      <c r="A400" s="10"/>
      <c r="B400" s="13"/>
      <c r="C400" s="13"/>
    </row>
    <row r="401" spans="1:3" ht="13" x14ac:dyDescent="0.15">
      <c r="A401" s="10"/>
      <c r="B401" s="13"/>
      <c r="C401" s="13"/>
    </row>
    <row r="402" spans="1:3" ht="13" x14ac:dyDescent="0.15">
      <c r="A402" s="10"/>
      <c r="B402" s="13"/>
      <c r="C402" s="13"/>
    </row>
    <row r="403" spans="1:3" ht="13" x14ac:dyDescent="0.15">
      <c r="A403" s="10"/>
      <c r="B403" s="13"/>
      <c r="C403" s="13"/>
    </row>
    <row r="404" spans="1:3" ht="13" x14ac:dyDescent="0.15">
      <c r="A404" s="10"/>
      <c r="B404" s="13"/>
      <c r="C404" s="13"/>
    </row>
    <row r="405" spans="1:3" ht="13" x14ac:dyDescent="0.15">
      <c r="A405" s="10"/>
      <c r="B405" s="13"/>
      <c r="C405" s="13"/>
    </row>
    <row r="406" spans="1:3" ht="13" x14ac:dyDescent="0.15">
      <c r="A406" s="10"/>
      <c r="B406" s="13"/>
      <c r="C406" s="13"/>
    </row>
    <row r="407" spans="1:3" ht="13" x14ac:dyDescent="0.15">
      <c r="A407" s="10"/>
      <c r="B407" s="13"/>
      <c r="C407" s="13"/>
    </row>
    <row r="408" spans="1:3" ht="13" x14ac:dyDescent="0.15">
      <c r="A408" s="10"/>
      <c r="B408" s="13"/>
      <c r="C408" s="13"/>
    </row>
    <row r="409" spans="1:3" ht="13" x14ac:dyDescent="0.15">
      <c r="A409" s="10"/>
      <c r="B409" s="13"/>
      <c r="C409" s="13"/>
    </row>
    <row r="410" spans="1:3" ht="13" x14ac:dyDescent="0.15">
      <c r="A410" s="10"/>
      <c r="B410" s="13"/>
      <c r="C410" s="13"/>
    </row>
    <row r="411" spans="1:3" ht="13" x14ac:dyDescent="0.15">
      <c r="A411" s="10"/>
      <c r="B411" s="13"/>
      <c r="C411" s="13"/>
    </row>
    <row r="412" spans="1:3" ht="13" x14ac:dyDescent="0.15">
      <c r="A412" s="10"/>
      <c r="B412" s="13"/>
      <c r="C412" s="13"/>
    </row>
    <row r="413" spans="1:3" ht="13" x14ac:dyDescent="0.15">
      <c r="A413" s="10"/>
      <c r="B413" s="13"/>
      <c r="C413" s="13"/>
    </row>
    <row r="414" spans="1:3" ht="13" x14ac:dyDescent="0.15">
      <c r="A414" s="10"/>
      <c r="B414" s="13"/>
      <c r="C414" s="13"/>
    </row>
    <row r="415" spans="1:3" ht="13" x14ac:dyDescent="0.15">
      <c r="A415" s="10"/>
      <c r="B415" s="13"/>
      <c r="C415" s="13"/>
    </row>
    <row r="416" spans="1:3" ht="13" x14ac:dyDescent="0.15">
      <c r="A416" s="10"/>
      <c r="B416" s="13"/>
      <c r="C416" s="13"/>
    </row>
    <row r="417" spans="1:3" ht="13" x14ac:dyDescent="0.15">
      <c r="A417" s="10"/>
      <c r="B417" s="13"/>
      <c r="C417" s="13"/>
    </row>
    <row r="418" spans="1:3" ht="13" x14ac:dyDescent="0.15">
      <c r="A418" s="10"/>
      <c r="B418" s="13"/>
      <c r="C418" s="13"/>
    </row>
    <row r="419" spans="1:3" ht="13" x14ac:dyDescent="0.15">
      <c r="A419" s="10"/>
      <c r="B419" s="13"/>
      <c r="C419" s="13"/>
    </row>
    <row r="420" spans="1:3" ht="13" x14ac:dyDescent="0.15">
      <c r="A420" s="10"/>
      <c r="B420" s="13"/>
      <c r="C420" s="13"/>
    </row>
    <row r="421" spans="1:3" ht="13" x14ac:dyDescent="0.15">
      <c r="A421" s="10"/>
      <c r="B421" s="13"/>
      <c r="C421" s="13"/>
    </row>
    <row r="422" spans="1:3" ht="13" x14ac:dyDescent="0.15">
      <c r="A422" s="10"/>
      <c r="B422" s="13"/>
      <c r="C422" s="13"/>
    </row>
    <row r="423" spans="1:3" ht="13" x14ac:dyDescent="0.15">
      <c r="A423" s="10"/>
      <c r="B423" s="13"/>
      <c r="C423" s="13"/>
    </row>
    <row r="424" spans="1:3" ht="13" x14ac:dyDescent="0.15">
      <c r="A424" s="10"/>
      <c r="B424" s="13"/>
      <c r="C424" s="13"/>
    </row>
    <row r="425" spans="1:3" ht="13" x14ac:dyDescent="0.15">
      <c r="A425" s="10"/>
      <c r="B425" s="13"/>
      <c r="C425" s="13"/>
    </row>
    <row r="426" spans="1:3" ht="13" x14ac:dyDescent="0.15">
      <c r="A426" s="10"/>
      <c r="B426" s="13"/>
      <c r="C426" s="13"/>
    </row>
    <row r="427" spans="1:3" ht="13" x14ac:dyDescent="0.15">
      <c r="A427" s="10"/>
      <c r="B427" s="13"/>
      <c r="C427" s="13"/>
    </row>
    <row r="428" spans="1:3" ht="13" x14ac:dyDescent="0.15">
      <c r="A428" s="10"/>
      <c r="B428" s="13"/>
      <c r="C428" s="13"/>
    </row>
    <row r="429" spans="1:3" ht="13" x14ac:dyDescent="0.15">
      <c r="A429" s="10"/>
      <c r="B429" s="13"/>
      <c r="C429" s="13"/>
    </row>
    <row r="430" spans="1:3" ht="13" x14ac:dyDescent="0.15">
      <c r="A430" s="10"/>
      <c r="B430" s="13"/>
      <c r="C430" s="13"/>
    </row>
    <row r="431" spans="1:3" ht="13" x14ac:dyDescent="0.15">
      <c r="A431" s="10"/>
      <c r="B431" s="13"/>
      <c r="C431" s="13"/>
    </row>
    <row r="432" spans="1:3" ht="13" x14ac:dyDescent="0.15">
      <c r="A432" s="10"/>
      <c r="B432" s="13"/>
      <c r="C432" s="13"/>
    </row>
    <row r="433" spans="1:3" ht="13" x14ac:dyDescent="0.15">
      <c r="A433" s="10"/>
      <c r="B433" s="13"/>
      <c r="C433" s="13"/>
    </row>
    <row r="434" spans="1:3" ht="13" x14ac:dyDescent="0.15">
      <c r="A434" s="10"/>
      <c r="B434" s="13"/>
      <c r="C434" s="13"/>
    </row>
    <row r="435" spans="1:3" ht="13" x14ac:dyDescent="0.15">
      <c r="A435" s="10"/>
      <c r="B435" s="13"/>
      <c r="C435" s="13"/>
    </row>
    <row r="436" spans="1:3" ht="13" x14ac:dyDescent="0.15">
      <c r="A436" s="10"/>
      <c r="B436" s="13"/>
      <c r="C436" s="13"/>
    </row>
    <row r="437" spans="1:3" ht="13" x14ac:dyDescent="0.15">
      <c r="A437" s="10"/>
      <c r="B437" s="13"/>
      <c r="C437" s="13"/>
    </row>
    <row r="438" spans="1:3" ht="13" x14ac:dyDescent="0.15">
      <c r="A438" s="10"/>
      <c r="B438" s="13"/>
      <c r="C438" s="13"/>
    </row>
    <row r="439" spans="1:3" ht="13" x14ac:dyDescent="0.15">
      <c r="A439" s="10"/>
      <c r="B439" s="13"/>
      <c r="C439" s="13"/>
    </row>
    <row r="440" spans="1:3" ht="13" x14ac:dyDescent="0.15">
      <c r="A440" s="10"/>
      <c r="B440" s="13"/>
      <c r="C440" s="13"/>
    </row>
    <row r="441" spans="1:3" ht="13" x14ac:dyDescent="0.15">
      <c r="A441" s="10"/>
      <c r="B441" s="13"/>
      <c r="C441" s="13"/>
    </row>
    <row r="442" spans="1:3" ht="13" x14ac:dyDescent="0.15">
      <c r="A442" s="10"/>
      <c r="B442" s="13"/>
      <c r="C442" s="13"/>
    </row>
    <row r="443" spans="1:3" ht="13" x14ac:dyDescent="0.15">
      <c r="A443" s="10"/>
      <c r="B443" s="13"/>
      <c r="C443" s="13"/>
    </row>
    <row r="444" spans="1:3" ht="13" x14ac:dyDescent="0.15">
      <c r="A444" s="10"/>
      <c r="B444" s="13"/>
      <c r="C444" s="13"/>
    </row>
    <row r="445" spans="1:3" ht="13" x14ac:dyDescent="0.15">
      <c r="A445" s="10"/>
      <c r="B445" s="13"/>
      <c r="C445" s="13"/>
    </row>
    <row r="446" spans="1:3" ht="13" x14ac:dyDescent="0.15">
      <c r="A446" s="10"/>
      <c r="B446" s="13"/>
      <c r="C446" s="13"/>
    </row>
    <row r="447" spans="1:3" ht="13" x14ac:dyDescent="0.15">
      <c r="A447" s="10"/>
      <c r="B447" s="13"/>
      <c r="C447" s="13"/>
    </row>
    <row r="448" spans="1:3" ht="13" x14ac:dyDescent="0.15">
      <c r="A448" s="10"/>
      <c r="B448" s="13"/>
      <c r="C448" s="13"/>
    </row>
    <row r="449" spans="1:3" ht="13" x14ac:dyDescent="0.15">
      <c r="A449" s="10"/>
      <c r="B449" s="13"/>
      <c r="C449" s="13"/>
    </row>
    <row r="450" spans="1:3" ht="13" x14ac:dyDescent="0.15">
      <c r="A450" s="10"/>
      <c r="B450" s="13"/>
      <c r="C450" s="13"/>
    </row>
    <row r="451" spans="1:3" ht="13" x14ac:dyDescent="0.15">
      <c r="A451" s="10"/>
      <c r="B451" s="13"/>
      <c r="C451" s="13"/>
    </row>
    <row r="452" spans="1:3" ht="13" x14ac:dyDescent="0.15">
      <c r="A452" s="10"/>
      <c r="B452" s="13"/>
      <c r="C452" s="13"/>
    </row>
    <row r="453" spans="1:3" ht="13" x14ac:dyDescent="0.15">
      <c r="A453" s="10"/>
      <c r="B453" s="13"/>
      <c r="C453" s="13"/>
    </row>
    <row r="454" spans="1:3" ht="13" x14ac:dyDescent="0.15">
      <c r="A454" s="10"/>
      <c r="B454" s="13"/>
      <c r="C454" s="13"/>
    </row>
    <row r="455" spans="1:3" ht="13" x14ac:dyDescent="0.15">
      <c r="A455" s="10"/>
      <c r="B455" s="13"/>
      <c r="C455" s="13"/>
    </row>
    <row r="456" spans="1:3" ht="13" x14ac:dyDescent="0.15">
      <c r="A456" s="10"/>
      <c r="B456" s="13"/>
      <c r="C456" s="13"/>
    </row>
    <row r="457" spans="1:3" ht="13" x14ac:dyDescent="0.15">
      <c r="A457" s="10"/>
      <c r="B457" s="13"/>
      <c r="C457" s="13"/>
    </row>
    <row r="458" spans="1:3" ht="13" x14ac:dyDescent="0.15">
      <c r="A458" s="10"/>
      <c r="B458" s="13"/>
      <c r="C458" s="13"/>
    </row>
    <row r="459" spans="1:3" ht="13" x14ac:dyDescent="0.15">
      <c r="A459" s="10"/>
      <c r="B459" s="13"/>
      <c r="C459" s="13"/>
    </row>
    <row r="460" spans="1:3" ht="13" x14ac:dyDescent="0.15">
      <c r="A460" s="10"/>
      <c r="B460" s="13"/>
      <c r="C460" s="13"/>
    </row>
    <row r="461" spans="1:3" ht="13" x14ac:dyDescent="0.15">
      <c r="A461" s="10"/>
      <c r="B461" s="13"/>
      <c r="C461" s="13"/>
    </row>
    <row r="462" spans="1:3" ht="13" x14ac:dyDescent="0.15">
      <c r="A462" s="10"/>
      <c r="B462" s="13"/>
      <c r="C462" s="13"/>
    </row>
    <row r="463" spans="1:3" ht="13" x14ac:dyDescent="0.15">
      <c r="A463" s="10"/>
      <c r="B463" s="13"/>
      <c r="C463" s="13"/>
    </row>
    <row r="464" spans="1:3" ht="13" x14ac:dyDescent="0.15">
      <c r="A464" s="10"/>
      <c r="B464" s="13"/>
      <c r="C464" s="13"/>
    </row>
    <row r="465" spans="1:3" ht="13" x14ac:dyDescent="0.15">
      <c r="A465" s="10"/>
      <c r="B465" s="13"/>
      <c r="C465" s="13"/>
    </row>
    <row r="466" spans="1:3" ht="13" x14ac:dyDescent="0.15">
      <c r="A466" s="10"/>
      <c r="B466" s="13"/>
      <c r="C466" s="13"/>
    </row>
    <row r="467" spans="1:3" ht="13" x14ac:dyDescent="0.15">
      <c r="A467" s="10"/>
      <c r="B467" s="13"/>
      <c r="C467" s="13"/>
    </row>
    <row r="468" spans="1:3" ht="13" x14ac:dyDescent="0.15">
      <c r="A468" s="10"/>
      <c r="B468" s="13"/>
      <c r="C468" s="13"/>
    </row>
    <row r="469" spans="1:3" ht="13" x14ac:dyDescent="0.15">
      <c r="A469" s="10"/>
      <c r="B469" s="13"/>
      <c r="C469" s="13"/>
    </row>
    <row r="470" spans="1:3" ht="13" x14ac:dyDescent="0.15">
      <c r="A470" s="10"/>
      <c r="B470" s="13"/>
      <c r="C470" s="13"/>
    </row>
    <row r="471" spans="1:3" ht="13" x14ac:dyDescent="0.15">
      <c r="A471" s="10"/>
      <c r="B471" s="13"/>
      <c r="C471" s="13"/>
    </row>
    <row r="472" spans="1:3" ht="13" x14ac:dyDescent="0.15">
      <c r="A472" s="10"/>
      <c r="B472" s="13"/>
      <c r="C472" s="13"/>
    </row>
    <row r="473" spans="1:3" ht="13" x14ac:dyDescent="0.15">
      <c r="A473" s="10"/>
      <c r="B473" s="13"/>
      <c r="C473" s="13"/>
    </row>
    <row r="474" spans="1:3" ht="13" x14ac:dyDescent="0.15">
      <c r="A474" s="10"/>
      <c r="B474" s="13"/>
      <c r="C474" s="13"/>
    </row>
    <row r="475" spans="1:3" ht="13" x14ac:dyDescent="0.15">
      <c r="A475" s="10"/>
      <c r="B475" s="13"/>
      <c r="C475" s="13"/>
    </row>
    <row r="476" spans="1:3" ht="13" x14ac:dyDescent="0.15">
      <c r="A476" s="10"/>
      <c r="B476" s="13"/>
      <c r="C476" s="13"/>
    </row>
    <row r="477" spans="1:3" ht="13" x14ac:dyDescent="0.15">
      <c r="A477" s="10"/>
      <c r="B477" s="13"/>
      <c r="C477" s="13"/>
    </row>
    <row r="478" spans="1:3" ht="13" x14ac:dyDescent="0.15">
      <c r="A478" s="10"/>
      <c r="B478" s="13"/>
      <c r="C478" s="13"/>
    </row>
    <row r="479" spans="1:3" ht="13" x14ac:dyDescent="0.15">
      <c r="A479" s="10"/>
      <c r="B479" s="13"/>
      <c r="C479" s="13"/>
    </row>
    <row r="480" spans="1:3" ht="13" x14ac:dyDescent="0.15">
      <c r="A480" s="10"/>
      <c r="B480" s="13"/>
      <c r="C480" s="13"/>
    </row>
    <row r="481" spans="1:3" ht="13" x14ac:dyDescent="0.15">
      <c r="A481" s="10"/>
      <c r="B481" s="13"/>
      <c r="C481" s="13"/>
    </row>
    <row r="482" spans="1:3" ht="13" x14ac:dyDescent="0.15">
      <c r="A482" s="10"/>
      <c r="B482" s="13"/>
      <c r="C482" s="13"/>
    </row>
    <row r="483" spans="1:3" ht="13" x14ac:dyDescent="0.15">
      <c r="A483" s="10"/>
      <c r="B483" s="13"/>
      <c r="C483" s="13"/>
    </row>
    <row r="484" spans="1:3" ht="13" x14ac:dyDescent="0.15">
      <c r="A484" s="10"/>
      <c r="B484" s="13"/>
      <c r="C484" s="13"/>
    </row>
    <row r="485" spans="1:3" ht="13" x14ac:dyDescent="0.15">
      <c r="A485" s="10"/>
      <c r="B485" s="13"/>
      <c r="C485" s="13"/>
    </row>
    <row r="486" spans="1:3" ht="13" x14ac:dyDescent="0.15">
      <c r="A486" s="10"/>
      <c r="B486" s="13"/>
      <c r="C486" s="13"/>
    </row>
    <row r="487" spans="1:3" ht="13" x14ac:dyDescent="0.15">
      <c r="A487" s="10"/>
      <c r="B487" s="13"/>
      <c r="C487" s="13"/>
    </row>
    <row r="488" spans="1:3" ht="13" x14ac:dyDescent="0.15">
      <c r="A488" s="10"/>
      <c r="B488" s="13"/>
      <c r="C488" s="13"/>
    </row>
    <row r="489" spans="1:3" ht="13" x14ac:dyDescent="0.15">
      <c r="A489" s="10"/>
      <c r="B489" s="13"/>
      <c r="C489" s="13"/>
    </row>
    <row r="490" spans="1:3" ht="13" x14ac:dyDescent="0.15">
      <c r="A490" s="10"/>
      <c r="B490" s="13"/>
      <c r="C490" s="13"/>
    </row>
    <row r="491" spans="1:3" ht="13" x14ac:dyDescent="0.15">
      <c r="A491" s="10"/>
      <c r="B491" s="13"/>
      <c r="C491" s="13"/>
    </row>
    <row r="492" spans="1:3" ht="13" x14ac:dyDescent="0.15">
      <c r="A492" s="10"/>
      <c r="B492" s="13"/>
      <c r="C492" s="13"/>
    </row>
    <row r="493" spans="1:3" ht="13" x14ac:dyDescent="0.15">
      <c r="A493" s="10"/>
      <c r="B493" s="13"/>
      <c r="C493" s="13"/>
    </row>
    <row r="494" spans="1:3" ht="13" x14ac:dyDescent="0.15">
      <c r="A494" s="10"/>
      <c r="B494" s="13"/>
      <c r="C494" s="13"/>
    </row>
    <row r="495" spans="1:3" ht="13" x14ac:dyDescent="0.15">
      <c r="A495" s="10"/>
      <c r="B495" s="13"/>
      <c r="C495" s="13"/>
    </row>
    <row r="496" spans="1:3" ht="13" x14ac:dyDescent="0.15">
      <c r="A496" s="10"/>
      <c r="B496" s="13"/>
      <c r="C496" s="13"/>
    </row>
    <row r="497" spans="1:3" ht="13" x14ac:dyDescent="0.15">
      <c r="A497" s="10"/>
      <c r="B497" s="13"/>
      <c r="C497" s="13"/>
    </row>
    <row r="498" spans="1:3" ht="13" x14ac:dyDescent="0.15">
      <c r="A498" s="10"/>
      <c r="B498" s="13"/>
      <c r="C498" s="13"/>
    </row>
    <row r="499" spans="1:3" ht="13" x14ac:dyDescent="0.15">
      <c r="A499" s="10"/>
      <c r="B499" s="13"/>
      <c r="C499" s="13"/>
    </row>
    <row r="500" spans="1:3" ht="13" x14ac:dyDescent="0.15">
      <c r="A500" s="10"/>
      <c r="B500" s="13"/>
      <c r="C500" s="13"/>
    </row>
    <row r="501" spans="1:3" ht="13" x14ac:dyDescent="0.15">
      <c r="A501" s="10"/>
      <c r="B501" s="13"/>
      <c r="C501" s="13"/>
    </row>
    <row r="502" spans="1:3" ht="13" x14ac:dyDescent="0.15">
      <c r="A502" s="10"/>
      <c r="B502" s="13"/>
      <c r="C502" s="13"/>
    </row>
    <row r="503" spans="1:3" ht="13" x14ac:dyDescent="0.15">
      <c r="A503" s="10"/>
      <c r="B503" s="13"/>
      <c r="C503" s="13"/>
    </row>
    <row r="504" spans="1:3" ht="13" x14ac:dyDescent="0.15">
      <c r="A504" s="10"/>
      <c r="B504" s="13"/>
      <c r="C504" s="13"/>
    </row>
    <row r="505" spans="1:3" ht="13" x14ac:dyDescent="0.15">
      <c r="A505" s="10"/>
      <c r="B505" s="13"/>
      <c r="C505" s="13"/>
    </row>
    <row r="506" spans="1:3" ht="13" x14ac:dyDescent="0.15">
      <c r="A506" s="10"/>
      <c r="B506" s="13"/>
      <c r="C506" s="13"/>
    </row>
    <row r="507" spans="1:3" ht="13" x14ac:dyDescent="0.15">
      <c r="A507" s="10"/>
      <c r="B507" s="13"/>
      <c r="C507" s="13"/>
    </row>
    <row r="508" spans="1:3" ht="13" x14ac:dyDescent="0.15">
      <c r="A508" s="10"/>
      <c r="B508" s="13"/>
      <c r="C508" s="13"/>
    </row>
    <row r="509" spans="1:3" ht="13" x14ac:dyDescent="0.15">
      <c r="A509" s="10"/>
      <c r="B509" s="13"/>
      <c r="C509" s="13"/>
    </row>
    <row r="510" spans="1:3" ht="13" x14ac:dyDescent="0.15">
      <c r="A510" s="10"/>
      <c r="B510" s="13"/>
      <c r="C510" s="13"/>
    </row>
    <row r="511" spans="1:3" ht="13" x14ac:dyDescent="0.15">
      <c r="A511" s="10"/>
      <c r="B511" s="13"/>
      <c r="C511" s="13"/>
    </row>
    <row r="512" spans="1:3" ht="13" x14ac:dyDescent="0.15">
      <c r="A512" s="10"/>
      <c r="B512" s="13"/>
      <c r="C512" s="13"/>
    </row>
    <row r="513" spans="1:3" ht="13" x14ac:dyDescent="0.15">
      <c r="A513" s="10"/>
      <c r="B513" s="13"/>
      <c r="C513" s="13"/>
    </row>
    <row r="514" spans="1:3" ht="13" x14ac:dyDescent="0.15">
      <c r="A514" s="10"/>
      <c r="B514" s="13"/>
      <c r="C514" s="13"/>
    </row>
    <row r="515" spans="1:3" ht="13" x14ac:dyDescent="0.15">
      <c r="A515" s="10"/>
      <c r="B515" s="13"/>
      <c r="C515" s="13"/>
    </row>
    <row r="516" spans="1:3" ht="13" x14ac:dyDescent="0.15">
      <c r="A516" s="10"/>
      <c r="B516" s="13"/>
      <c r="C516" s="13"/>
    </row>
    <row r="517" spans="1:3" ht="13" x14ac:dyDescent="0.15">
      <c r="A517" s="10"/>
      <c r="B517" s="13"/>
      <c r="C517" s="13"/>
    </row>
    <row r="518" spans="1:3" ht="13" x14ac:dyDescent="0.15">
      <c r="A518" s="10"/>
      <c r="B518" s="13"/>
      <c r="C518" s="13"/>
    </row>
    <row r="519" spans="1:3" ht="13" x14ac:dyDescent="0.15">
      <c r="A519" s="10"/>
      <c r="B519" s="13"/>
      <c r="C519" s="13"/>
    </row>
    <row r="520" spans="1:3" ht="13" x14ac:dyDescent="0.15">
      <c r="A520" s="10"/>
      <c r="B520" s="13"/>
      <c r="C520" s="13"/>
    </row>
    <row r="521" spans="1:3" ht="13" x14ac:dyDescent="0.15">
      <c r="A521" s="10"/>
      <c r="B521" s="13"/>
      <c r="C521" s="13"/>
    </row>
    <row r="522" spans="1:3" ht="13" x14ac:dyDescent="0.15">
      <c r="A522" s="10"/>
      <c r="B522" s="13"/>
      <c r="C522" s="13"/>
    </row>
    <row r="523" spans="1:3" ht="13" x14ac:dyDescent="0.15">
      <c r="A523" s="10"/>
      <c r="B523" s="13"/>
      <c r="C523" s="13"/>
    </row>
    <row r="524" spans="1:3" ht="13" x14ac:dyDescent="0.15">
      <c r="A524" s="10"/>
      <c r="B524" s="13"/>
      <c r="C524" s="13"/>
    </row>
    <row r="525" spans="1:3" ht="13" x14ac:dyDescent="0.15">
      <c r="A525" s="10"/>
      <c r="B525" s="13"/>
      <c r="C525" s="13"/>
    </row>
    <row r="526" spans="1:3" ht="13" x14ac:dyDescent="0.15">
      <c r="A526" s="10"/>
      <c r="B526" s="13"/>
      <c r="C526" s="13"/>
    </row>
    <row r="527" spans="1:3" ht="13" x14ac:dyDescent="0.15">
      <c r="A527" s="10"/>
      <c r="B527" s="13"/>
      <c r="C527" s="13"/>
    </row>
    <row r="528" spans="1:3" ht="13" x14ac:dyDescent="0.15">
      <c r="A528" s="10"/>
      <c r="B528" s="13"/>
      <c r="C528" s="13"/>
    </row>
    <row r="529" spans="1:3" ht="13" x14ac:dyDescent="0.15">
      <c r="A529" s="10"/>
      <c r="B529" s="13"/>
      <c r="C529" s="13"/>
    </row>
    <row r="530" spans="1:3" ht="13" x14ac:dyDescent="0.15">
      <c r="A530" s="10"/>
      <c r="B530" s="13"/>
      <c r="C530" s="13"/>
    </row>
    <row r="531" spans="1:3" ht="13" x14ac:dyDescent="0.15">
      <c r="A531" s="10"/>
      <c r="B531" s="13"/>
      <c r="C531" s="13"/>
    </row>
    <row r="532" spans="1:3" ht="13" x14ac:dyDescent="0.15">
      <c r="A532" s="10"/>
      <c r="B532" s="13"/>
      <c r="C532" s="13"/>
    </row>
    <row r="533" spans="1:3" ht="13" x14ac:dyDescent="0.15">
      <c r="A533" s="10"/>
      <c r="B533" s="13"/>
      <c r="C533" s="13"/>
    </row>
    <row r="534" spans="1:3" ht="13" x14ac:dyDescent="0.15">
      <c r="A534" s="10"/>
      <c r="B534" s="13"/>
      <c r="C534" s="13"/>
    </row>
    <row r="535" spans="1:3" ht="13" x14ac:dyDescent="0.15">
      <c r="A535" s="10"/>
      <c r="B535" s="13"/>
      <c r="C535" s="13"/>
    </row>
    <row r="536" spans="1:3" ht="13" x14ac:dyDescent="0.15">
      <c r="A536" s="10"/>
      <c r="B536" s="13"/>
      <c r="C536" s="13"/>
    </row>
    <row r="537" spans="1:3" ht="13" x14ac:dyDescent="0.15">
      <c r="A537" s="10"/>
      <c r="B537" s="13"/>
      <c r="C537" s="13"/>
    </row>
    <row r="538" spans="1:3" ht="13" x14ac:dyDescent="0.15">
      <c r="A538" s="10"/>
      <c r="B538" s="13"/>
      <c r="C538" s="13"/>
    </row>
    <row r="539" spans="1:3" ht="13" x14ac:dyDescent="0.15">
      <c r="A539" s="10"/>
      <c r="B539" s="13"/>
      <c r="C539" s="13"/>
    </row>
    <row r="540" spans="1:3" ht="13" x14ac:dyDescent="0.15">
      <c r="A540" s="10"/>
      <c r="B540" s="13"/>
      <c r="C540" s="13"/>
    </row>
    <row r="541" spans="1:3" ht="13" x14ac:dyDescent="0.15">
      <c r="A541" s="10"/>
      <c r="B541" s="13"/>
      <c r="C541" s="13"/>
    </row>
    <row r="542" spans="1:3" ht="13" x14ac:dyDescent="0.15">
      <c r="A542" s="10"/>
      <c r="B542" s="13"/>
      <c r="C542" s="13"/>
    </row>
    <row r="543" spans="1:3" ht="13" x14ac:dyDescent="0.15">
      <c r="A543" s="10"/>
      <c r="B543" s="13"/>
      <c r="C543" s="13"/>
    </row>
    <row r="544" spans="1:3" ht="13" x14ac:dyDescent="0.15">
      <c r="A544" s="10"/>
      <c r="B544" s="13"/>
      <c r="C544" s="13"/>
    </row>
    <row r="545" spans="1:3" ht="13" x14ac:dyDescent="0.15">
      <c r="A545" s="10"/>
      <c r="B545" s="13"/>
      <c r="C545" s="13"/>
    </row>
    <row r="546" spans="1:3" ht="13" x14ac:dyDescent="0.15">
      <c r="A546" s="10"/>
      <c r="B546" s="13"/>
      <c r="C546" s="13"/>
    </row>
    <row r="547" spans="1:3" ht="13" x14ac:dyDescent="0.15">
      <c r="A547" s="10"/>
      <c r="B547" s="13"/>
      <c r="C547" s="13"/>
    </row>
    <row r="548" spans="1:3" ht="13" x14ac:dyDescent="0.15">
      <c r="A548" s="10"/>
      <c r="B548" s="13"/>
      <c r="C548" s="13"/>
    </row>
    <row r="549" spans="1:3" ht="13" x14ac:dyDescent="0.15">
      <c r="A549" s="10"/>
      <c r="B549" s="13"/>
      <c r="C549" s="13"/>
    </row>
    <row r="550" spans="1:3" ht="13" x14ac:dyDescent="0.15">
      <c r="A550" s="10"/>
      <c r="B550" s="13"/>
      <c r="C550" s="13"/>
    </row>
    <row r="551" spans="1:3" ht="13" x14ac:dyDescent="0.15">
      <c r="A551" s="10"/>
      <c r="B551" s="13"/>
      <c r="C551" s="13"/>
    </row>
    <row r="552" spans="1:3" ht="13" x14ac:dyDescent="0.15">
      <c r="A552" s="10"/>
      <c r="B552" s="13"/>
      <c r="C552" s="13"/>
    </row>
    <row r="553" spans="1:3" ht="13" x14ac:dyDescent="0.15">
      <c r="A553" s="10"/>
      <c r="B553" s="13"/>
      <c r="C553" s="13"/>
    </row>
    <row r="554" spans="1:3" ht="13" x14ac:dyDescent="0.15">
      <c r="A554" s="10"/>
      <c r="B554" s="13"/>
      <c r="C554" s="13"/>
    </row>
    <row r="555" spans="1:3" ht="13" x14ac:dyDescent="0.15">
      <c r="A555" s="10"/>
      <c r="B555" s="13"/>
      <c r="C555" s="13"/>
    </row>
    <row r="556" spans="1:3" ht="13" x14ac:dyDescent="0.15">
      <c r="A556" s="10"/>
      <c r="B556" s="13"/>
      <c r="C556" s="13"/>
    </row>
    <row r="557" spans="1:3" ht="13" x14ac:dyDescent="0.15">
      <c r="A557" s="10"/>
      <c r="B557" s="13"/>
      <c r="C557" s="13"/>
    </row>
    <row r="558" spans="1:3" ht="13" x14ac:dyDescent="0.15">
      <c r="A558" s="10"/>
      <c r="B558" s="13"/>
      <c r="C558" s="13"/>
    </row>
    <row r="559" spans="1:3" ht="13" x14ac:dyDescent="0.15">
      <c r="A559" s="10"/>
      <c r="B559" s="13"/>
      <c r="C559" s="13"/>
    </row>
    <row r="560" spans="1:3" ht="13" x14ac:dyDescent="0.15">
      <c r="A560" s="10"/>
      <c r="B560" s="13"/>
      <c r="C560" s="13"/>
    </row>
    <row r="561" spans="1:3" ht="13" x14ac:dyDescent="0.15">
      <c r="A561" s="10"/>
      <c r="B561" s="13"/>
      <c r="C561" s="13"/>
    </row>
    <row r="562" spans="1:3" ht="13" x14ac:dyDescent="0.15">
      <c r="A562" s="10"/>
      <c r="B562" s="13"/>
      <c r="C562" s="13"/>
    </row>
    <row r="563" spans="1:3" ht="13" x14ac:dyDescent="0.15">
      <c r="A563" s="10"/>
      <c r="B563" s="13"/>
      <c r="C563" s="13"/>
    </row>
    <row r="564" spans="1:3" ht="13" x14ac:dyDescent="0.15">
      <c r="A564" s="10"/>
      <c r="B564" s="13"/>
      <c r="C564" s="13"/>
    </row>
    <row r="565" spans="1:3" ht="13" x14ac:dyDescent="0.15">
      <c r="A565" s="10"/>
      <c r="B565" s="13"/>
      <c r="C565" s="13"/>
    </row>
    <row r="566" spans="1:3" ht="13" x14ac:dyDescent="0.15">
      <c r="A566" s="10"/>
      <c r="B566" s="13"/>
      <c r="C566" s="13"/>
    </row>
    <row r="567" spans="1:3" ht="13" x14ac:dyDescent="0.15">
      <c r="A567" s="10"/>
      <c r="B567" s="13"/>
      <c r="C567" s="13"/>
    </row>
    <row r="568" spans="1:3" ht="13" x14ac:dyDescent="0.15">
      <c r="A568" s="10"/>
      <c r="B568" s="13"/>
      <c r="C568" s="13"/>
    </row>
    <row r="569" spans="1:3" ht="13" x14ac:dyDescent="0.15">
      <c r="A569" s="10"/>
      <c r="B569" s="13"/>
      <c r="C569" s="13"/>
    </row>
    <row r="570" spans="1:3" ht="13" x14ac:dyDescent="0.15">
      <c r="A570" s="10"/>
      <c r="B570" s="13"/>
      <c r="C570" s="13"/>
    </row>
    <row r="571" spans="1:3" ht="13" x14ac:dyDescent="0.15">
      <c r="A571" s="10"/>
      <c r="B571" s="13"/>
      <c r="C571" s="13"/>
    </row>
    <row r="572" spans="1:3" ht="13" x14ac:dyDescent="0.15">
      <c r="A572" s="10"/>
      <c r="B572" s="13"/>
      <c r="C572" s="13"/>
    </row>
    <row r="573" spans="1:3" ht="13" x14ac:dyDescent="0.15">
      <c r="A573" s="10"/>
      <c r="B573" s="13"/>
      <c r="C573" s="13"/>
    </row>
    <row r="574" spans="1:3" ht="13" x14ac:dyDescent="0.15">
      <c r="A574" s="10"/>
      <c r="B574" s="13"/>
      <c r="C574" s="13"/>
    </row>
    <row r="575" spans="1:3" ht="13" x14ac:dyDescent="0.15">
      <c r="A575" s="10"/>
      <c r="B575" s="13"/>
      <c r="C575" s="13"/>
    </row>
    <row r="576" spans="1:3" ht="13" x14ac:dyDescent="0.15">
      <c r="A576" s="10"/>
      <c r="B576" s="13"/>
      <c r="C576" s="13"/>
    </row>
    <row r="577" spans="1:3" ht="13" x14ac:dyDescent="0.15">
      <c r="A577" s="10"/>
      <c r="B577" s="13"/>
      <c r="C577" s="13"/>
    </row>
    <row r="578" spans="1:3" ht="13" x14ac:dyDescent="0.15">
      <c r="A578" s="10"/>
      <c r="B578" s="13"/>
      <c r="C578" s="13"/>
    </row>
    <row r="579" spans="1:3" ht="13" x14ac:dyDescent="0.15">
      <c r="A579" s="10"/>
      <c r="B579" s="13"/>
      <c r="C579" s="13"/>
    </row>
    <row r="580" spans="1:3" ht="13" x14ac:dyDescent="0.15">
      <c r="A580" s="10"/>
      <c r="B580" s="13"/>
      <c r="C580" s="13"/>
    </row>
    <row r="581" spans="1:3" ht="13" x14ac:dyDescent="0.15">
      <c r="A581" s="10"/>
      <c r="B581" s="13"/>
      <c r="C581" s="13"/>
    </row>
    <row r="582" spans="1:3" ht="13" x14ac:dyDescent="0.15">
      <c r="A582" s="10"/>
      <c r="B582" s="13"/>
      <c r="C582" s="13"/>
    </row>
    <row r="583" spans="1:3" ht="13" x14ac:dyDescent="0.15">
      <c r="A583" s="10"/>
      <c r="B583" s="13"/>
      <c r="C583" s="13"/>
    </row>
    <row r="584" spans="1:3" ht="13" x14ac:dyDescent="0.15">
      <c r="A584" s="10"/>
      <c r="B584" s="13"/>
      <c r="C584" s="13"/>
    </row>
    <row r="585" spans="1:3" ht="13" x14ac:dyDescent="0.15">
      <c r="A585" s="10"/>
      <c r="B585" s="13"/>
      <c r="C585" s="13"/>
    </row>
    <row r="586" spans="1:3" ht="13" x14ac:dyDescent="0.15">
      <c r="A586" s="10"/>
      <c r="B586" s="13"/>
      <c r="C586" s="13"/>
    </row>
    <row r="587" spans="1:3" ht="13" x14ac:dyDescent="0.15">
      <c r="A587" s="10"/>
      <c r="B587" s="13"/>
      <c r="C587" s="13"/>
    </row>
    <row r="588" spans="1:3" ht="13" x14ac:dyDescent="0.15">
      <c r="A588" s="10"/>
      <c r="B588" s="13"/>
      <c r="C588" s="13"/>
    </row>
    <row r="589" spans="1:3" ht="13" x14ac:dyDescent="0.15">
      <c r="A589" s="10"/>
      <c r="B589" s="13"/>
      <c r="C589" s="13"/>
    </row>
    <row r="590" spans="1:3" ht="13" x14ac:dyDescent="0.15">
      <c r="A590" s="10"/>
      <c r="B590" s="13"/>
      <c r="C590" s="13"/>
    </row>
    <row r="591" spans="1:3" ht="13" x14ac:dyDescent="0.15">
      <c r="A591" s="10"/>
      <c r="B591" s="13"/>
      <c r="C591" s="13"/>
    </row>
    <row r="592" spans="1:3" ht="13" x14ac:dyDescent="0.15">
      <c r="A592" s="10"/>
      <c r="B592" s="13"/>
      <c r="C592" s="13"/>
    </row>
    <row r="593" spans="1:3" ht="13" x14ac:dyDescent="0.15">
      <c r="A593" s="10"/>
      <c r="B593" s="13"/>
      <c r="C593" s="13"/>
    </row>
    <row r="594" spans="1:3" ht="13" x14ac:dyDescent="0.15">
      <c r="A594" s="10"/>
      <c r="B594" s="13"/>
      <c r="C594" s="13"/>
    </row>
    <row r="595" spans="1:3" ht="13" x14ac:dyDescent="0.15">
      <c r="A595" s="10"/>
      <c r="B595" s="13"/>
      <c r="C595" s="13"/>
    </row>
    <row r="596" spans="1:3" ht="13" x14ac:dyDescent="0.15">
      <c r="A596" s="10"/>
      <c r="B596" s="13"/>
      <c r="C596" s="13"/>
    </row>
    <row r="597" spans="1:3" ht="13" x14ac:dyDescent="0.15">
      <c r="A597" s="10"/>
      <c r="B597" s="13"/>
      <c r="C597" s="13"/>
    </row>
    <row r="598" spans="1:3" ht="13" x14ac:dyDescent="0.15">
      <c r="A598" s="10"/>
      <c r="B598" s="13"/>
      <c r="C598" s="13"/>
    </row>
    <row r="599" spans="1:3" ht="13" x14ac:dyDescent="0.15">
      <c r="A599" s="10"/>
      <c r="B599" s="13"/>
      <c r="C599" s="13"/>
    </row>
    <row r="600" spans="1:3" ht="13" x14ac:dyDescent="0.15">
      <c r="A600" s="10"/>
      <c r="B600" s="13"/>
      <c r="C600" s="13"/>
    </row>
    <row r="601" spans="1:3" ht="13" x14ac:dyDescent="0.15">
      <c r="A601" s="10"/>
      <c r="B601" s="13"/>
      <c r="C601" s="13"/>
    </row>
    <row r="602" spans="1:3" ht="13" x14ac:dyDescent="0.15">
      <c r="A602" s="10"/>
      <c r="B602" s="13"/>
      <c r="C602" s="13"/>
    </row>
    <row r="603" spans="1:3" ht="13" x14ac:dyDescent="0.15">
      <c r="A603" s="10"/>
      <c r="B603" s="13"/>
      <c r="C603" s="13"/>
    </row>
    <row r="604" spans="1:3" ht="13" x14ac:dyDescent="0.15">
      <c r="A604" s="10"/>
      <c r="B604" s="13"/>
      <c r="C604" s="13"/>
    </row>
    <row r="605" spans="1:3" ht="13" x14ac:dyDescent="0.15">
      <c r="A605" s="10"/>
      <c r="B605" s="13"/>
      <c r="C605" s="13"/>
    </row>
    <row r="606" spans="1:3" ht="13" x14ac:dyDescent="0.15">
      <c r="A606" s="10"/>
      <c r="B606" s="13"/>
      <c r="C606" s="13"/>
    </row>
    <row r="607" spans="1:3" ht="13" x14ac:dyDescent="0.15">
      <c r="A607" s="10"/>
      <c r="B607" s="13"/>
      <c r="C607" s="13"/>
    </row>
    <row r="608" spans="1:3" ht="13" x14ac:dyDescent="0.15">
      <c r="A608" s="10"/>
      <c r="B608" s="13"/>
      <c r="C608" s="13"/>
    </row>
    <row r="609" spans="1:3" ht="13" x14ac:dyDescent="0.15">
      <c r="A609" s="10"/>
      <c r="B609" s="13"/>
      <c r="C609" s="13"/>
    </row>
    <row r="610" spans="1:3" ht="13" x14ac:dyDescent="0.15">
      <c r="A610" s="10"/>
      <c r="B610" s="13"/>
      <c r="C610" s="13"/>
    </row>
    <row r="611" spans="1:3" ht="13" x14ac:dyDescent="0.15">
      <c r="A611" s="10"/>
      <c r="B611" s="13"/>
      <c r="C611" s="13"/>
    </row>
    <row r="612" spans="1:3" ht="13" x14ac:dyDescent="0.15">
      <c r="A612" s="10"/>
      <c r="B612" s="13"/>
      <c r="C612" s="13"/>
    </row>
    <row r="613" spans="1:3" ht="13" x14ac:dyDescent="0.15">
      <c r="A613" s="10"/>
      <c r="B613" s="13"/>
      <c r="C613" s="13"/>
    </row>
    <row r="614" spans="1:3" ht="13" x14ac:dyDescent="0.15">
      <c r="A614" s="10"/>
      <c r="B614" s="13"/>
      <c r="C614" s="13"/>
    </row>
    <row r="615" spans="1:3" ht="13" x14ac:dyDescent="0.15">
      <c r="A615" s="10"/>
      <c r="B615" s="13"/>
      <c r="C615" s="13"/>
    </row>
    <row r="616" spans="1:3" ht="13" x14ac:dyDescent="0.15">
      <c r="A616" s="10"/>
      <c r="B616" s="13"/>
      <c r="C616" s="13"/>
    </row>
    <row r="617" spans="1:3" ht="13" x14ac:dyDescent="0.15">
      <c r="A617" s="10"/>
      <c r="B617" s="13"/>
      <c r="C617" s="13"/>
    </row>
    <row r="618" spans="1:3" ht="13" x14ac:dyDescent="0.15">
      <c r="A618" s="10"/>
      <c r="B618" s="13"/>
      <c r="C618" s="13"/>
    </row>
    <row r="619" spans="1:3" ht="13" x14ac:dyDescent="0.15">
      <c r="A619" s="10"/>
      <c r="B619" s="13"/>
      <c r="C619" s="13"/>
    </row>
    <row r="620" spans="1:3" ht="13" x14ac:dyDescent="0.15">
      <c r="A620" s="10"/>
      <c r="B620" s="13"/>
      <c r="C620" s="13"/>
    </row>
    <row r="621" spans="1:3" ht="13" x14ac:dyDescent="0.15">
      <c r="A621" s="10"/>
      <c r="B621" s="13"/>
      <c r="C621" s="13"/>
    </row>
    <row r="622" spans="1:3" ht="13" x14ac:dyDescent="0.15">
      <c r="A622" s="10"/>
      <c r="B622" s="13"/>
      <c r="C622" s="13"/>
    </row>
    <row r="623" spans="1:3" ht="13" x14ac:dyDescent="0.15">
      <c r="A623" s="10"/>
      <c r="B623" s="13"/>
      <c r="C623" s="13"/>
    </row>
    <row r="624" spans="1:3" ht="13" x14ac:dyDescent="0.15">
      <c r="A624" s="10"/>
      <c r="B624" s="13"/>
      <c r="C624" s="13"/>
    </row>
    <row r="625" spans="1:3" ht="13" x14ac:dyDescent="0.15">
      <c r="A625" s="10"/>
      <c r="B625" s="13"/>
      <c r="C625" s="13"/>
    </row>
    <row r="626" spans="1:3" ht="13" x14ac:dyDescent="0.15">
      <c r="A626" s="10"/>
      <c r="B626" s="13"/>
      <c r="C626" s="13"/>
    </row>
    <row r="627" spans="1:3" ht="13" x14ac:dyDescent="0.15">
      <c r="A627" s="10"/>
      <c r="B627" s="13"/>
      <c r="C627" s="13"/>
    </row>
    <row r="628" spans="1:3" ht="13" x14ac:dyDescent="0.15">
      <c r="A628" s="10"/>
      <c r="B628" s="13"/>
      <c r="C628" s="13"/>
    </row>
    <row r="629" spans="1:3" ht="13" x14ac:dyDescent="0.15">
      <c r="A629" s="10"/>
      <c r="B629" s="13"/>
      <c r="C629" s="13"/>
    </row>
    <row r="630" spans="1:3" ht="13" x14ac:dyDescent="0.15">
      <c r="A630" s="10"/>
      <c r="B630" s="13"/>
      <c r="C630" s="13"/>
    </row>
    <row r="631" spans="1:3" ht="13" x14ac:dyDescent="0.15">
      <c r="A631" s="10"/>
      <c r="B631" s="13"/>
      <c r="C631" s="13"/>
    </row>
    <row r="632" spans="1:3" ht="13" x14ac:dyDescent="0.15">
      <c r="A632" s="10"/>
      <c r="B632" s="13"/>
      <c r="C632" s="13"/>
    </row>
    <row r="633" spans="1:3" ht="13" x14ac:dyDescent="0.15">
      <c r="A633" s="10"/>
      <c r="B633" s="13"/>
      <c r="C633" s="13"/>
    </row>
    <row r="634" spans="1:3" ht="13" x14ac:dyDescent="0.15">
      <c r="A634" s="10"/>
      <c r="B634" s="13"/>
      <c r="C634" s="13"/>
    </row>
    <row r="635" spans="1:3" ht="13" x14ac:dyDescent="0.15">
      <c r="A635" s="10"/>
      <c r="B635" s="13"/>
      <c r="C635" s="13"/>
    </row>
    <row r="636" spans="1:3" ht="13" x14ac:dyDescent="0.15">
      <c r="A636" s="10"/>
      <c r="B636" s="13"/>
      <c r="C636" s="13"/>
    </row>
    <row r="637" spans="1:3" ht="13" x14ac:dyDescent="0.15">
      <c r="A637" s="10"/>
      <c r="B637" s="13"/>
      <c r="C637" s="13"/>
    </row>
    <row r="638" spans="1:3" ht="13" x14ac:dyDescent="0.15">
      <c r="A638" s="10"/>
      <c r="B638" s="13"/>
      <c r="C638" s="13"/>
    </row>
    <row r="639" spans="1:3" ht="13" x14ac:dyDescent="0.15">
      <c r="A639" s="10"/>
      <c r="B639" s="13"/>
      <c r="C639" s="13"/>
    </row>
    <row r="640" spans="1:3" ht="13" x14ac:dyDescent="0.15">
      <c r="A640" s="10"/>
      <c r="B640" s="13"/>
      <c r="C640" s="13"/>
    </row>
    <row r="641" spans="1:3" ht="13" x14ac:dyDescent="0.15">
      <c r="A641" s="10"/>
      <c r="B641" s="13"/>
      <c r="C641" s="13"/>
    </row>
    <row r="642" spans="1:3" ht="13" x14ac:dyDescent="0.15">
      <c r="A642" s="10"/>
      <c r="B642" s="13"/>
      <c r="C642" s="13"/>
    </row>
    <row r="643" spans="1:3" ht="13" x14ac:dyDescent="0.15">
      <c r="A643" s="10"/>
      <c r="B643" s="13"/>
      <c r="C643" s="13"/>
    </row>
    <row r="644" spans="1:3" ht="13" x14ac:dyDescent="0.15">
      <c r="A644" s="10"/>
      <c r="B644" s="13"/>
      <c r="C644" s="13"/>
    </row>
    <row r="645" spans="1:3" ht="13" x14ac:dyDescent="0.15">
      <c r="A645" s="10"/>
      <c r="B645" s="13"/>
      <c r="C645" s="13"/>
    </row>
    <row r="646" spans="1:3" ht="13" x14ac:dyDescent="0.15">
      <c r="A646" s="10"/>
      <c r="B646" s="13"/>
      <c r="C646" s="13"/>
    </row>
    <row r="647" spans="1:3" ht="13" x14ac:dyDescent="0.15">
      <c r="A647" s="10"/>
      <c r="B647" s="13"/>
      <c r="C647" s="13"/>
    </row>
    <row r="648" spans="1:3" ht="13" x14ac:dyDescent="0.15">
      <c r="A648" s="10"/>
      <c r="B648" s="13"/>
      <c r="C648" s="13"/>
    </row>
    <row r="649" spans="1:3" ht="13" x14ac:dyDescent="0.15">
      <c r="A649" s="10"/>
      <c r="B649" s="13"/>
      <c r="C649" s="13"/>
    </row>
    <row r="650" spans="1:3" ht="13" x14ac:dyDescent="0.15">
      <c r="A650" s="10"/>
      <c r="B650" s="13"/>
      <c r="C650" s="13"/>
    </row>
    <row r="651" spans="1:3" ht="13" x14ac:dyDescent="0.15">
      <c r="A651" s="10"/>
      <c r="B651" s="13"/>
      <c r="C651" s="13"/>
    </row>
    <row r="652" spans="1:3" ht="13" x14ac:dyDescent="0.15">
      <c r="A652" s="10"/>
      <c r="B652" s="13"/>
      <c r="C652" s="13"/>
    </row>
    <row r="653" spans="1:3" ht="13" x14ac:dyDescent="0.15">
      <c r="A653" s="10"/>
      <c r="B653" s="13"/>
      <c r="C653" s="13"/>
    </row>
    <row r="654" spans="1:3" ht="13" x14ac:dyDescent="0.15">
      <c r="A654" s="10"/>
      <c r="B654" s="13"/>
      <c r="C654" s="13"/>
    </row>
    <row r="655" spans="1:3" ht="13" x14ac:dyDescent="0.15">
      <c r="A655" s="10"/>
      <c r="B655" s="13"/>
      <c r="C655" s="13"/>
    </row>
    <row r="656" spans="1:3" ht="13" x14ac:dyDescent="0.15">
      <c r="A656" s="10"/>
      <c r="B656" s="13"/>
      <c r="C656" s="13"/>
    </row>
    <row r="657" spans="1:3" ht="13" x14ac:dyDescent="0.15">
      <c r="A657" s="10"/>
      <c r="B657" s="13"/>
      <c r="C657" s="13"/>
    </row>
    <row r="658" spans="1:3" ht="13" x14ac:dyDescent="0.15">
      <c r="A658" s="10"/>
      <c r="B658" s="13"/>
      <c r="C658" s="13"/>
    </row>
    <row r="659" spans="1:3" ht="13" x14ac:dyDescent="0.15">
      <c r="A659" s="10"/>
      <c r="B659" s="13"/>
      <c r="C659" s="13"/>
    </row>
    <row r="660" spans="1:3" ht="13" x14ac:dyDescent="0.15">
      <c r="A660" s="10"/>
      <c r="B660" s="13"/>
      <c r="C660" s="13"/>
    </row>
    <row r="661" spans="1:3" ht="13" x14ac:dyDescent="0.15">
      <c r="A661" s="10"/>
      <c r="B661" s="13"/>
      <c r="C661" s="13"/>
    </row>
    <row r="662" spans="1:3" ht="13" x14ac:dyDescent="0.15">
      <c r="A662" s="10"/>
      <c r="B662" s="13"/>
      <c r="C662" s="13"/>
    </row>
    <row r="663" spans="1:3" ht="13" x14ac:dyDescent="0.15">
      <c r="A663" s="10"/>
      <c r="B663" s="13"/>
      <c r="C663" s="13"/>
    </row>
    <row r="664" spans="1:3" ht="13" x14ac:dyDescent="0.15">
      <c r="A664" s="10"/>
      <c r="B664" s="13"/>
      <c r="C664" s="13"/>
    </row>
    <row r="665" spans="1:3" ht="13" x14ac:dyDescent="0.15">
      <c r="A665" s="10"/>
      <c r="B665" s="13"/>
      <c r="C665" s="13"/>
    </row>
    <row r="666" spans="1:3" ht="13" x14ac:dyDescent="0.15">
      <c r="A666" s="10"/>
      <c r="B666" s="13"/>
      <c r="C666" s="13"/>
    </row>
    <row r="667" spans="1:3" ht="13" x14ac:dyDescent="0.15">
      <c r="A667" s="10"/>
      <c r="B667" s="13"/>
      <c r="C667" s="13"/>
    </row>
    <row r="668" spans="1:3" ht="13" x14ac:dyDescent="0.15">
      <c r="A668" s="10"/>
      <c r="B668" s="13"/>
      <c r="C668" s="13"/>
    </row>
    <row r="669" spans="1:3" ht="13" x14ac:dyDescent="0.15">
      <c r="A669" s="10"/>
      <c r="B669" s="13"/>
      <c r="C669" s="13"/>
    </row>
    <row r="670" spans="1:3" ht="13" x14ac:dyDescent="0.15">
      <c r="A670" s="10"/>
      <c r="B670" s="13"/>
      <c r="C670" s="13"/>
    </row>
    <row r="671" spans="1:3" ht="13" x14ac:dyDescent="0.15">
      <c r="A671" s="10"/>
      <c r="B671" s="13"/>
      <c r="C671" s="13"/>
    </row>
    <row r="672" spans="1:3" ht="13" x14ac:dyDescent="0.15">
      <c r="A672" s="10"/>
      <c r="B672" s="13"/>
      <c r="C672" s="13"/>
    </row>
    <row r="673" spans="1:3" ht="13" x14ac:dyDescent="0.15">
      <c r="A673" s="10"/>
      <c r="B673" s="13"/>
      <c r="C673" s="13"/>
    </row>
    <row r="674" spans="1:3" ht="13" x14ac:dyDescent="0.15">
      <c r="A674" s="10"/>
      <c r="B674" s="13"/>
      <c r="C674" s="13"/>
    </row>
    <row r="675" spans="1:3" ht="13" x14ac:dyDescent="0.15">
      <c r="A675" s="10"/>
      <c r="B675" s="13"/>
      <c r="C675" s="13"/>
    </row>
    <row r="676" spans="1:3" ht="13" x14ac:dyDescent="0.15">
      <c r="A676" s="10"/>
      <c r="B676" s="13"/>
      <c r="C676" s="13"/>
    </row>
    <row r="677" spans="1:3" ht="13" x14ac:dyDescent="0.15">
      <c r="A677" s="10"/>
      <c r="B677" s="13"/>
      <c r="C677" s="13"/>
    </row>
    <row r="678" spans="1:3" ht="13" x14ac:dyDescent="0.15">
      <c r="A678" s="10"/>
      <c r="B678" s="13"/>
      <c r="C678" s="13"/>
    </row>
    <row r="679" spans="1:3" ht="13" x14ac:dyDescent="0.15">
      <c r="A679" s="10"/>
      <c r="B679" s="13"/>
      <c r="C679" s="13"/>
    </row>
    <row r="680" spans="1:3" ht="13" x14ac:dyDescent="0.15">
      <c r="A680" s="10"/>
      <c r="B680" s="13"/>
      <c r="C680" s="13"/>
    </row>
    <row r="681" spans="1:3" ht="13" x14ac:dyDescent="0.15">
      <c r="A681" s="10"/>
      <c r="B681" s="13"/>
      <c r="C681" s="13"/>
    </row>
    <row r="682" spans="1:3" ht="13" x14ac:dyDescent="0.15">
      <c r="A682" s="10"/>
      <c r="B682" s="13"/>
      <c r="C682" s="13"/>
    </row>
    <row r="683" spans="1:3" ht="13" x14ac:dyDescent="0.15">
      <c r="A683" s="10"/>
      <c r="B683" s="13"/>
      <c r="C683" s="13"/>
    </row>
    <row r="684" spans="1:3" ht="13" x14ac:dyDescent="0.15">
      <c r="A684" s="10"/>
      <c r="B684" s="13"/>
      <c r="C684" s="13"/>
    </row>
    <row r="685" spans="1:3" ht="13" x14ac:dyDescent="0.15">
      <c r="A685" s="10"/>
      <c r="B685" s="13"/>
      <c r="C685" s="13"/>
    </row>
    <row r="686" spans="1:3" ht="13" x14ac:dyDescent="0.15">
      <c r="A686" s="10"/>
      <c r="B686" s="13"/>
      <c r="C686" s="13"/>
    </row>
    <row r="687" spans="1:3" ht="13" x14ac:dyDescent="0.15">
      <c r="A687" s="10"/>
      <c r="B687" s="13"/>
      <c r="C687" s="13"/>
    </row>
    <row r="688" spans="1:3" ht="13" x14ac:dyDescent="0.15">
      <c r="A688" s="10"/>
      <c r="B688" s="13"/>
      <c r="C688" s="13"/>
    </row>
    <row r="689" spans="1:3" ht="13" x14ac:dyDescent="0.15">
      <c r="A689" s="10"/>
      <c r="B689" s="13"/>
      <c r="C689" s="13"/>
    </row>
    <row r="690" spans="1:3" ht="13" x14ac:dyDescent="0.15">
      <c r="A690" s="10"/>
      <c r="B690" s="13"/>
      <c r="C690" s="13"/>
    </row>
    <row r="691" spans="1:3" ht="13" x14ac:dyDescent="0.15">
      <c r="A691" s="10"/>
      <c r="B691" s="13"/>
      <c r="C691" s="13"/>
    </row>
    <row r="692" spans="1:3" ht="13" x14ac:dyDescent="0.15">
      <c r="A692" s="10"/>
      <c r="B692" s="13"/>
      <c r="C692" s="13"/>
    </row>
    <row r="693" spans="1:3" ht="13" x14ac:dyDescent="0.15">
      <c r="A693" s="10"/>
      <c r="B693" s="13"/>
      <c r="C693" s="13"/>
    </row>
    <row r="694" spans="1:3" ht="13" x14ac:dyDescent="0.15">
      <c r="A694" s="10"/>
      <c r="B694" s="13"/>
      <c r="C694" s="13"/>
    </row>
    <row r="695" spans="1:3" ht="13" x14ac:dyDescent="0.15">
      <c r="A695" s="10"/>
      <c r="B695" s="13"/>
      <c r="C695" s="13"/>
    </row>
    <row r="696" spans="1:3" ht="13" x14ac:dyDescent="0.15">
      <c r="A696" s="10"/>
      <c r="B696" s="13"/>
      <c r="C696" s="13"/>
    </row>
    <row r="697" spans="1:3" ht="13" x14ac:dyDescent="0.15">
      <c r="A697" s="10"/>
      <c r="B697" s="13"/>
      <c r="C697" s="13"/>
    </row>
    <row r="698" spans="1:3" ht="13" x14ac:dyDescent="0.15">
      <c r="A698" s="10"/>
      <c r="B698" s="13"/>
      <c r="C698" s="13"/>
    </row>
    <row r="699" spans="1:3" ht="13" x14ac:dyDescent="0.15">
      <c r="A699" s="10"/>
      <c r="B699" s="13"/>
      <c r="C699" s="13"/>
    </row>
    <row r="700" spans="1:3" ht="13" x14ac:dyDescent="0.15">
      <c r="A700" s="10"/>
      <c r="B700" s="13"/>
      <c r="C700" s="13"/>
    </row>
    <row r="701" spans="1:3" ht="13" x14ac:dyDescent="0.15">
      <c r="A701" s="10"/>
      <c r="B701" s="13"/>
      <c r="C701" s="13"/>
    </row>
    <row r="702" spans="1:3" ht="13" x14ac:dyDescent="0.15">
      <c r="A702" s="10"/>
      <c r="B702" s="13"/>
      <c r="C702" s="13"/>
    </row>
    <row r="703" spans="1:3" ht="13" x14ac:dyDescent="0.15">
      <c r="A703" s="10"/>
      <c r="B703" s="13"/>
      <c r="C703" s="13"/>
    </row>
    <row r="704" spans="1:3" ht="13" x14ac:dyDescent="0.15">
      <c r="A704" s="10"/>
      <c r="B704" s="13"/>
      <c r="C704" s="13"/>
    </row>
    <row r="705" spans="1:3" ht="13" x14ac:dyDescent="0.15">
      <c r="A705" s="10"/>
      <c r="B705" s="13"/>
      <c r="C705" s="13"/>
    </row>
    <row r="706" spans="1:3" ht="13" x14ac:dyDescent="0.15">
      <c r="A706" s="10"/>
      <c r="B706" s="13"/>
      <c r="C706" s="13"/>
    </row>
    <row r="707" spans="1:3" ht="13" x14ac:dyDescent="0.15">
      <c r="A707" s="10"/>
      <c r="B707" s="13"/>
      <c r="C707" s="13"/>
    </row>
    <row r="708" spans="1:3" ht="13" x14ac:dyDescent="0.15">
      <c r="A708" s="10"/>
      <c r="B708" s="13"/>
      <c r="C708" s="13"/>
    </row>
    <row r="709" spans="1:3" ht="13" x14ac:dyDescent="0.15">
      <c r="A709" s="10"/>
      <c r="B709" s="13"/>
      <c r="C709" s="13"/>
    </row>
    <row r="710" spans="1:3" ht="13" x14ac:dyDescent="0.15">
      <c r="A710" s="10"/>
      <c r="B710" s="13"/>
      <c r="C710" s="13"/>
    </row>
    <row r="711" spans="1:3" ht="13" x14ac:dyDescent="0.15">
      <c r="A711" s="10"/>
      <c r="B711" s="13"/>
      <c r="C711" s="13"/>
    </row>
    <row r="712" spans="1:3" ht="13" x14ac:dyDescent="0.15">
      <c r="A712" s="10"/>
      <c r="B712" s="13"/>
      <c r="C712" s="13"/>
    </row>
    <row r="713" spans="1:3" ht="13" x14ac:dyDescent="0.15">
      <c r="A713" s="10"/>
      <c r="B713" s="13"/>
      <c r="C713" s="13"/>
    </row>
    <row r="714" spans="1:3" ht="13" x14ac:dyDescent="0.15">
      <c r="A714" s="10"/>
      <c r="B714" s="13"/>
      <c r="C714" s="13"/>
    </row>
    <row r="715" spans="1:3" ht="13" x14ac:dyDescent="0.15">
      <c r="A715" s="10"/>
      <c r="B715" s="13"/>
      <c r="C715" s="13"/>
    </row>
    <row r="716" spans="1:3" ht="13" x14ac:dyDescent="0.15">
      <c r="A716" s="10"/>
      <c r="B716" s="13"/>
      <c r="C716" s="13"/>
    </row>
    <row r="717" spans="1:3" ht="13" x14ac:dyDescent="0.15">
      <c r="A717" s="10"/>
      <c r="B717" s="13"/>
      <c r="C717" s="13"/>
    </row>
    <row r="718" spans="1:3" ht="13" x14ac:dyDescent="0.15">
      <c r="A718" s="10"/>
      <c r="B718" s="13"/>
      <c r="C718" s="13"/>
    </row>
    <row r="719" spans="1:3" ht="13" x14ac:dyDescent="0.15">
      <c r="A719" s="10"/>
      <c r="B719" s="13"/>
      <c r="C719" s="13"/>
    </row>
    <row r="720" spans="1:3" ht="13" x14ac:dyDescent="0.15">
      <c r="A720" s="10"/>
      <c r="B720" s="13"/>
      <c r="C720" s="13"/>
    </row>
    <row r="721" spans="1:3" ht="13" x14ac:dyDescent="0.15">
      <c r="A721" s="10"/>
      <c r="B721" s="13"/>
      <c r="C721" s="13"/>
    </row>
    <row r="722" spans="1:3" ht="13" x14ac:dyDescent="0.15">
      <c r="A722" s="10"/>
      <c r="B722" s="13"/>
      <c r="C722" s="13"/>
    </row>
    <row r="723" spans="1:3" ht="13" x14ac:dyDescent="0.15">
      <c r="A723" s="10"/>
      <c r="B723" s="13"/>
      <c r="C723" s="13"/>
    </row>
    <row r="724" spans="1:3" ht="13" x14ac:dyDescent="0.15">
      <c r="A724" s="10"/>
      <c r="B724" s="13"/>
      <c r="C724" s="13"/>
    </row>
    <row r="725" spans="1:3" ht="13" x14ac:dyDescent="0.15">
      <c r="A725" s="10"/>
      <c r="B725" s="13"/>
      <c r="C725" s="13"/>
    </row>
    <row r="726" spans="1:3" ht="13" x14ac:dyDescent="0.15">
      <c r="A726" s="10"/>
      <c r="B726" s="13"/>
      <c r="C726" s="13"/>
    </row>
    <row r="727" spans="1:3" ht="13" x14ac:dyDescent="0.15">
      <c r="A727" s="10"/>
      <c r="B727" s="13"/>
      <c r="C727" s="13"/>
    </row>
    <row r="728" spans="1:3" ht="13" x14ac:dyDescent="0.15">
      <c r="A728" s="10"/>
      <c r="B728" s="13"/>
      <c r="C728" s="13"/>
    </row>
    <row r="729" spans="1:3" ht="13" x14ac:dyDescent="0.15">
      <c r="A729" s="10"/>
      <c r="B729" s="13"/>
      <c r="C729" s="13"/>
    </row>
    <row r="730" spans="1:3" ht="13" x14ac:dyDescent="0.15">
      <c r="A730" s="10"/>
      <c r="B730" s="13"/>
      <c r="C730" s="13"/>
    </row>
    <row r="731" spans="1:3" ht="13" x14ac:dyDescent="0.15">
      <c r="A731" s="10"/>
      <c r="B731" s="13"/>
      <c r="C731" s="13"/>
    </row>
    <row r="732" spans="1:3" ht="13" x14ac:dyDescent="0.15">
      <c r="A732" s="10"/>
      <c r="B732" s="13"/>
      <c r="C732" s="13"/>
    </row>
    <row r="733" spans="1:3" ht="13" x14ac:dyDescent="0.15">
      <c r="A733" s="10"/>
      <c r="B733" s="13"/>
      <c r="C733" s="13"/>
    </row>
    <row r="734" spans="1:3" ht="13" x14ac:dyDescent="0.15">
      <c r="A734" s="10"/>
      <c r="B734" s="13"/>
      <c r="C734" s="13"/>
    </row>
    <row r="735" spans="1:3" ht="13" x14ac:dyDescent="0.15">
      <c r="A735" s="10"/>
      <c r="B735" s="13"/>
      <c r="C735" s="13"/>
    </row>
    <row r="736" spans="1:3" ht="13" x14ac:dyDescent="0.15">
      <c r="A736" s="10"/>
      <c r="B736" s="13"/>
      <c r="C736" s="13"/>
    </row>
    <row r="737" spans="1:3" ht="13" x14ac:dyDescent="0.15">
      <c r="A737" s="10"/>
      <c r="B737" s="13"/>
      <c r="C737" s="13"/>
    </row>
    <row r="738" spans="1:3" ht="13" x14ac:dyDescent="0.15">
      <c r="A738" s="10"/>
      <c r="B738" s="13"/>
      <c r="C738" s="13"/>
    </row>
    <row r="739" spans="1:3" ht="13" x14ac:dyDescent="0.15">
      <c r="A739" s="10"/>
      <c r="B739" s="13"/>
      <c r="C739" s="13"/>
    </row>
    <row r="740" spans="1:3" ht="13" x14ac:dyDescent="0.15">
      <c r="A740" s="10"/>
      <c r="B740" s="13"/>
      <c r="C740" s="13"/>
    </row>
    <row r="741" spans="1:3" ht="13" x14ac:dyDescent="0.15">
      <c r="A741" s="10"/>
      <c r="B741" s="13"/>
      <c r="C741" s="13"/>
    </row>
    <row r="742" spans="1:3" ht="13" x14ac:dyDescent="0.15">
      <c r="A742" s="10"/>
      <c r="B742" s="13"/>
      <c r="C742" s="13"/>
    </row>
    <row r="743" spans="1:3" ht="13" x14ac:dyDescent="0.15">
      <c r="A743" s="10"/>
      <c r="B743" s="13"/>
      <c r="C743" s="13"/>
    </row>
    <row r="744" spans="1:3" ht="13" x14ac:dyDescent="0.15">
      <c r="A744" s="10"/>
      <c r="B744" s="13"/>
      <c r="C744" s="13"/>
    </row>
    <row r="745" spans="1:3" ht="13" x14ac:dyDescent="0.15">
      <c r="A745" s="10"/>
      <c r="B745" s="13"/>
      <c r="C745" s="13"/>
    </row>
    <row r="746" spans="1:3" ht="13" x14ac:dyDescent="0.15">
      <c r="A746" s="10"/>
      <c r="B746" s="13"/>
      <c r="C746" s="13"/>
    </row>
    <row r="747" spans="1:3" ht="13" x14ac:dyDescent="0.15">
      <c r="A747" s="10"/>
      <c r="B747" s="13"/>
      <c r="C747" s="13"/>
    </row>
    <row r="748" spans="1:3" ht="13" x14ac:dyDescent="0.15">
      <c r="A748" s="10"/>
      <c r="B748" s="13"/>
      <c r="C748" s="13"/>
    </row>
    <row r="749" spans="1:3" ht="13" x14ac:dyDescent="0.15">
      <c r="A749" s="10"/>
      <c r="B749" s="13"/>
      <c r="C749" s="13"/>
    </row>
    <row r="750" spans="1:3" ht="13" x14ac:dyDescent="0.15">
      <c r="A750" s="10"/>
      <c r="B750" s="13"/>
      <c r="C750" s="13"/>
    </row>
    <row r="751" spans="1:3" ht="13" x14ac:dyDescent="0.15">
      <c r="A751" s="10"/>
      <c r="B751" s="13"/>
      <c r="C751" s="13"/>
    </row>
    <row r="752" spans="1:3" ht="13" x14ac:dyDescent="0.15">
      <c r="A752" s="10"/>
      <c r="B752" s="13"/>
      <c r="C752" s="13"/>
    </row>
    <row r="753" spans="1:3" ht="13" x14ac:dyDescent="0.15">
      <c r="A753" s="10"/>
      <c r="B753" s="13"/>
      <c r="C753" s="13"/>
    </row>
    <row r="754" spans="1:3" ht="13" x14ac:dyDescent="0.15">
      <c r="A754" s="10"/>
      <c r="B754" s="13"/>
      <c r="C754" s="13"/>
    </row>
    <row r="755" spans="1:3" ht="13" x14ac:dyDescent="0.15">
      <c r="A755" s="10"/>
      <c r="B755" s="13"/>
      <c r="C755" s="13"/>
    </row>
    <row r="756" spans="1:3" ht="13" x14ac:dyDescent="0.15">
      <c r="A756" s="10"/>
      <c r="B756" s="13"/>
      <c r="C756" s="13"/>
    </row>
    <row r="757" spans="1:3" ht="13" x14ac:dyDescent="0.15">
      <c r="A757" s="10"/>
      <c r="B757" s="13"/>
      <c r="C757" s="13"/>
    </row>
    <row r="758" spans="1:3" ht="13" x14ac:dyDescent="0.15">
      <c r="A758" s="10"/>
      <c r="B758" s="13"/>
      <c r="C758" s="13"/>
    </row>
    <row r="759" spans="1:3" ht="13" x14ac:dyDescent="0.15">
      <c r="A759" s="10"/>
      <c r="B759" s="13"/>
      <c r="C759" s="13"/>
    </row>
    <row r="760" spans="1:3" ht="13" x14ac:dyDescent="0.15">
      <c r="A760" s="10"/>
      <c r="B760" s="13"/>
      <c r="C760" s="13"/>
    </row>
    <row r="761" spans="1:3" ht="13" x14ac:dyDescent="0.15">
      <c r="A761" s="10"/>
      <c r="B761" s="13"/>
      <c r="C761" s="13"/>
    </row>
    <row r="762" spans="1:3" ht="13" x14ac:dyDescent="0.15">
      <c r="A762" s="10"/>
      <c r="B762" s="13"/>
      <c r="C762" s="13"/>
    </row>
    <row r="763" spans="1:3" ht="13" x14ac:dyDescent="0.15">
      <c r="A763" s="10"/>
      <c r="B763" s="13"/>
      <c r="C763" s="13"/>
    </row>
    <row r="764" spans="1:3" ht="13" x14ac:dyDescent="0.15">
      <c r="A764" s="10"/>
      <c r="B764" s="13"/>
      <c r="C764" s="13"/>
    </row>
    <row r="765" spans="1:3" ht="13" x14ac:dyDescent="0.15">
      <c r="A765" s="10"/>
      <c r="B765" s="13"/>
      <c r="C765" s="13"/>
    </row>
    <row r="766" spans="1:3" ht="13" x14ac:dyDescent="0.15">
      <c r="A766" s="10"/>
      <c r="B766" s="13"/>
      <c r="C766" s="13"/>
    </row>
    <row r="767" spans="1:3" ht="13" x14ac:dyDescent="0.15">
      <c r="A767" s="10"/>
      <c r="B767" s="13"/>
      <c r="C767" s="13"/>
    </row>
    <row r="768" spans="1:3" ht="13" x14ac:dyDescent="0.15">
      <c r="A768" s="10"/>
      <c r="B768" s="13"/>
      <c r="C768" s="13"/>
    </row>
    <row r="769" spans="1:3" ht="13" x14ac:dyDescent="0.15">
      <c r="A769" s="10"/>
      <c r="B769" s="13"/>
      <c r="C769" s="13"/>
    </row>
    <row r="770" spans="1:3" ht="13" x14ac:dyDescent="0.15">
      <c r="A770" s="10"/>
      <c r="B770" s="13"/>
      <c r="C770" s="13"/>
    </row>
    <row r="771" spans="1:3" ht="13" x14ac:dyDescent="0.15">
      <c r="A771" s="10"/>
      <c r="B771" s="13"/>
      <c r="C771" s="13"/>
    </row>
    <row r="772" spans="1:3" ht="13" x14ac:dyDescent="0.15">
      <c r="A772" s="10"/>
      <c r="B772" s="13"/>
      <c r="C772" s="13"/>
    </row>
    <row r="773" spans="1:3" ht="13" x14ac:dyDescent="0.15">
      <c r="A773" s="10"/>
      <c r="B773" s="13"/>
      <c r="C773" s="13"/>
    </row>
    <row r="774" spans="1:3" ht="13" x14ac:dyDescent="0.15">
      <c r="A774" s="10"/>
      <c r="B774" s="13"/>
      <c r="C774" s="13"/>
    </row>
    <row r="775" spans="1:3" ht="13" x14ac:dyDescent="0.15">
      <c r="A775" s="10"/>
      <c r="B775" s="13"/>
      <c r="C775" s="13"/>
    </row>
    <row r="776" spans="1:3" ht="13" x14ac:dyDescent="0.15">
      <c r="A776" s="10"/>
      <c r="B776" s="13"/>
      <c r="C776" s="13"/>
    </row>
    <row r="777" spans="1:3" ht="13" x14ac:dyDescent="0.15">
      <c r="A777" s="10"/>
      <c r="B777" s="13"/>
      <c r="C777" s="13"/>
    </row>
    <row r="778" spans="1:3" ht="13" x14ac:dyDescent="0.15">
      <c r="A778" s="10"/>
      <c r="B778" s="13"/>
      <c r="C778" s="13"/>
    </row>
    <row r="779" spans="1:3" ht="13" x14ac:dyDescent="0.15">
      <c r="A779" s="10"/>
      <c r="B779" s="13"/>
      <c r="C779" s="13"/>
    </row>
    <row r="780" spans="1:3" ht="13" x14ac:dyDescent="0.15">
      <c r="A780" s="10"/>
      <c r="B780" s="13"/>
      <c r="C780" s="13"/>
    </row>
    <row r="781" spans="1:3" ht="13" x14ac:dyDescent="0.15">
      <c r="A781" s="10"/>
      <c r="B781" s="13"/>
      <c r="C781" s="13"/>
    </row>
    <row r="782" spans="1:3" ht="13" x14ac:dyDescent="0.15">
      <c r="A782" s="10"/>
      <c r="B782" s="13"/>
      <c r="C782" s="13"/>
    </row>
    <row r="783" spans="1:3" ht="13" x14ac:dyDescent="0.15">
      <c r="A783" s="10"/>
      <c r="B783" s="13"/>
      <c r="C783" s="13"/>
    </row>
    <row r="784" spans="1:3" ht="13" x14ac:dyDescent="0.15">
      <c r="A784" s="10"/>
      <c r="B784" s="13"/>
      <c r="C784" s="13"/>
    </row>
    <row r="785" spans="1:3" ht="13" x14ac:dyDescent="0.15">
      <c r="A785" s="10"/>
      <c r="B785" s="13"/>
      <c r="C785" s="13"/>
    </row>
    <row r="786" spans="1:3" ht="13" x14ac:dyDescent="0.15">
      <c r="A786" s="10"/>
      <c r="B786" s="13"/>
      <c r="C786" s="13"/>
    </row>
    <row r="787" spans="1:3" ht="13" x14ac:dyDescent="0.15">
      <c r="A787" s="10"/>
      <c r="B787" s="13"/>
      <c r="C787" s="13"/>
    </row>
    <row r="788" spans="1:3" ht="13" x14ac:dyDescent="0.15">
      <c r="A788" s="10"/>
      <c r="B788" s="13"/>
      <c r="C788" s="13"/>
    </row>
    <row r="789" spans="1:3" ht="13" x14ac:dyDescent="0.15">
      <c r="A789" s="10"/>
      <c r="B789" s="13"/>
      <c r="C789" s="13"/>
    </row>
    <row r="790" spans="1:3" ht="13" x14ac:dyDescent="0.15">
      <c r="A790" s="10"/>
      <c r="B790" s="13"/>
      <c r="C790" s="13"/>
    </row>
    <row r="791" spans="1:3" ht="13" x14ac:dyDescent="0.15">
      <c r="A791" s="10"/>
      <c r="B791" s="13"/>
      <c r="C791" s="13"/>
    </row>
    <row r="792" spans="1:3" ht="13" x14ac:dyDescent="0.15">
      <c r="A792" s="10"/>
      <c r="B792" s="13"/>
      <c r="C792" s="13"/>
    </row>
    <row r="793" spans="1:3" ht="13" x14ac:dyDescent="0.15">
      <c r="A793" s="10"/>
      <c r="B793" s="13"/>
      <c r="C793" s="13"/>
    </row>
    <row r="794" spans="1:3" ht="13" x14ac:dyDescent="0.15">
      <c r="A794" s="10"/>
      <c r="B794" s="13"/>
      <c r="C794" s="13"/>
    </row>
    <row r="795" spans="1:3" ht="13" x14ac:dyDescent="0.15">
      <c r="A795" s="10"/>
      <c r="B795" s="13"/>
      <c r="C795" s="13"/>
    </row>
    <row r="796" spans="1:3" ht="13" x14ac:dyDescent="0.15">
      <c r="A796" s="10"/>
      <c r="B796" s="13"/>
      <c r="C796" s="13"/>
    </row>
    <row r="797" spans="1:3" ht="13" x14ac:dyDescent="0.15">
      <c r="A797" s="10"/>
      <c r="B797" s="13"/>
      <c r="C797" s="13"/>
    </row>
    <row r="798" spans="1:3" ht="13" x14ac:dyDescent="0.15">
      <c r="A798" s="10"/>
      <c r="B798" s="13"/>
      <c r="C798" s="13"/>
    </row>
    <row r="799" spans="1:3" ht="13" x14ac:dyDescent="0.15">
      <c r="A799" s="10"/>
      <c r="B799" s="13"/>
      <c r="C799" s="13"/>
    </row>
    <row r="800" spans="1:3" ht="13" x14ac:dyDescent="0.15">
      <c r="A800" s="10"/>
      <c r="B800" s="13"/>
      <c r="C800" s="13"/>
    </row>
    <row r="801" spans="1:3" ht="13" x14ac:dyDescent="0.15">
      <c r="A801" s="10"/>
      <c r="B801" s="13"/>
      <c r="C801" s="13"/>
    </row>
    <row r="802" spans="1:3" ht="13" x14ac:dyDescent="0.15">
      <c r="A802" s="10"/>
      <c r="B802" s="13"/>
      <c r="C802" s="13"/>
    </row>
    <row r="803" spans="1:3" ht="13" x14ac:dyDescent="0.15">
      <c r="A803" s="10"/>
      <c r="B803" s="13"/>
      <c r="C803" s="13"/>
    </row>
    <row r="804" spans="1:3" ht="13" x14ac:dyDescent="0.15">
      <c r="A804" s="10"/>
      <c r="B804" s="13"/>
      <c r="C804" s="13"/>
    </row>
    <row r="805" spans="1:3" ht="13" x14ac:dyDescent="0.15">
      <c r="A805" s="10"/>
      <c r="B805" s="13"/>
      <c r="C805" s="13"/>
    </row>
    <row r="806" spans="1:3" ht="13" x14ac:dyDescent="0.15">
      <c r="A806" s="10"/>
      <c r="B806" s="13"/>
      <c r="C806" s="13"/>
    </row>
    <row r="807" spans="1:3" ht="13" x14ac:dyDescent="0.15">
      <c r="A807" s="10"/>
      <c r="B807" s="13"/>
      <c r="C807" s="13"/>
    </row>
    <row r="808" spans="1:3" ht="13" x14ac:dyDescent="0.15">
      <c r="A808" s="10"/>
      <c r="B808" s="13"/>
      <c r="C808" s="13"/>
    </row>
    <row r="809" spans="1:3" ht="13" x14ac:dyDescent="0.15">
      <c r="A809" s="10"/>
      <c r="B809" s="13"/>
      <c r="C809" s="13"/>
    </row>
    <row r="810" spans="1:3" ht="13" x14ac:dyDescent="0.15">
      <c r="A810" s="10"/>
      <c r="B810" s="13"/>
      <c r="C810" s="13"/>
    </row>
    <row r="811" spans="1:3" ht="13" x14ac:dyDescent="0.15">
      <c r="A811" s="10"/>
      <c r="B811" s="13"/>
      <c r="C811" s="13"/>
    </row>
    <row r="812" spans="1:3" ht="13" x14ac:dyDescent="0.15">
      <c r="A812" s="10"/>
      <c r="B812" s="13"/>
      <c r="C812" s="13"/>
    </row>
    <row r="813" spans="1:3" ht="13" x14ac:dyDescent="0.15">
      <c r="A813" s="10"/>
      <c r="B813" s="13"/>
      <c r="C813" s="13"/>
    </row>
    <row r="814" spans="1:3" ht="13" x14ac:dyDescent="0.15">
      <c r="A814" s="10"/>
      <c r="B814" s="13"/>
      <c r="C814" s="13"/>
    </row>
    <row r="815" spans="1:3" ht="13" x14ac:dyDescent="0.15">
      <c r="A815" s="10"/>
      <c r="B815" s="13"/>
      <c r="C815" s="13"/>
    </row>
    <row r="816" spans="1:3" ht="13" x14ac:dyDescent="0.15">
      <c r="A816" s="10"/>
      <c r="B816" s="13"/>
      <c r="C816" s="13"/>
    </row>
    <row r="817" spans="1:3" ht="13" x14ac:dyDescent="0.15">
      <c r="A817" s="10"/>
      <c r="B817" s="13"/>
      <c r="C817" s="13"/>
    </row>
    <row r="818" spans="1:3" ht="13" x14ac:dyDescent="0.15">
      <c r="A818" s="10"/>
      <c r="B818" s="13"/>
      <c r="C818" s="13"/>
    </row>
    <row r="819" spans="1:3" ht="13" x14ac:dyDescent="0.15">
      <c r="A819" s="10"/>
      <c r="B819" s="13"/>
      <c r="C819" s="13"/>
    </row>
    <row r="820" spans="1:3" ht="13" x14ac:dyDescent="0.15">
      <c r="A820" s="10"/>
      <c r="B820" s="13"/>
      <c r="C820" s="13"/>
    </row>
    <row r="821" spans="1:3" ht="13" x14ac:dyDescent="0.15">
      <c r="A821" s="10"/>
      <c r="B821" s="13"/>
      <c r="C821" s="13"/>
    </row>
    <row r="822" spans="1:3" ht="13" x14ac:dyDescent="0.15">
      <c r="A822" s="10"/>
      <c r="B822" s="13"/>
      <c r="C822" s="13"/>
    </row>
    <row r="823" spans="1:3" ht="13" x14ac:dyDescent="0.15">
      <c r="A823" s="10"/>
      <c r="B823" s="13"/>
      <c r="C823" s="13"/>
    </row>
    <row r="824" spans="1:3" ht="13" x14ac:dyDescent="0.15">
      <c r="A824" s="10"/>
      <c r="B824" s="13"/>
      <c r="C824" s="13"/>
    </row>
    <row r="825" spans="1:3" ht="13" x14ac:dyDescent="0.15">
      <c r="A825" s="10"/>
      <c r="B825" s="13"/>
      <c r="C825" s="13"/>
    </row>
    <row r="826" spans="1:3" ht="13" x14ac:dyDescent="0.15">
      <c r="A826" s="10"/>
      <c r="B826" s="13"/>
      <c r="C826" s="13"/>
    </row>
    <row r="827" spans="1:3" ht="13" x14ac:dyDescent="0.15">
      <c r="A827" s="10"/>
      <c r="B827" s="13"/>
      <c r="C827" s="13"/>
    </row>
    <row r="828" spans="1:3" ht="13" x14ac:dyDescent="0.15">
      <c r="A828" s="10"/>
      <c r="B828" s="13"/>
      <c r="C828" s="13"/>
    </row>
    <row r="829" spans="1:3" ht="13" x14ac:dyDescent="0.15">
      <c r="A829" s="10"/>
      <c r="B829" s="13"/>
      <c r="C829" s="13"/>
    </row>
    <row r="830" spans="1:3" ht="13" x14ac:dyDescent="0.15">
      <c r="A830" s="10"/>
      <c r="B830" s="13"/>
      <c r="C830" s="13"/>
    </row>
    <row r="831" spans="1:3" ht="13" x14ac:dyDescent="0.15">
      <c r="A831" s="10"/>
      <c r="B831" s="13"/>
      <c r="C831" s="13"/>
    </row>
    <row r="832" spans="1:3" ht="13" x14ac:dyDescent="0.15">
      <c r="A832" s="10"/>
      <c r="B832" s="13"/>
      <c r="C832" s="13"/>
    </row>
    <row r="833" spans="1:3" ht="13" x14ac:dyDescent="0.15">
      <c r="A833" s="10"/>
      <c r="B833" s="13"/>
      <c r="C833" s="13"/>
    </row>
    <row r="834" spans="1:3" ht="13" x14ac:dyDescent="0.15">
      <c r="A834" s="10"/>
      <c r="B834" s="13"/>
      <c r="C834" s="13"/>
    </row>
    <row r="835" spans="1:3" ht="13" x14ac:dyDescent="0.15">
      <c r="A835" s="10"/>
      <c r="B835" s="13"/>
      <c r="C835" s="13"/>
    </row>
    <row r="836" spans="1:3" ht="13" x14ac:dyDescent="0.15">
      <c r="A836" s="10"/>
      <c r="B836" s="13"/>
      <c r="C836" s="13"/>
    </row>
    <row r="837" spans="1:3" ht="13" x14ac:dyDescent="0.15">
      <c r="A837" s="10"/>
      <c r="B837" s="13"/>
      <c r="C837" s="13"/>
    </row>
    <row r="838" spans="1:3" ht="13" x14ac:dyDescent="0.15">
      <c r="A838" s="10"/>
      <c r="B838" s="13"/>
      <c r="C838" s="13"/>
    </row>
    <row r="839" spans="1:3" ht="13" x14ac:dyDescent="0.15">
      <c r="A839" s="10"/>
      <c r="B839" s="13"/>
      <c r="C839" s="13"/>
    </row>
    <row r="840" spans="1:3" ht="13" x14ac:dyDescent="0.15">
      <c r="A840" s="10"/>
      <c r="B840" s="13"/>
      <c r="C840" s="13"/>
    </row>
    <row r="841" spans="1:3" ht="13" x14ac:dyDescent="0.15">
      <c r="A841" s="10"/>
      <c r="B841" s="13"/>
      <c r="C841" s="13"/>
    </row>
    <row r="842" spans="1:3" ht="13" x14ac:dyDescent="0.15">
      <c r="A842" s="10"/>
      <c r="B842" s="13"/>
      <c r="C842" s="13"/>
    </row>
    <row r="843" spans="1:3" ht="13" x14ac:dyDescent="0.15">
      <c r="A843" s="10"/>
      <c r="B843" s="13"/>
      <c r="C843" s="13"/>
    </row>
    <row r="844" spans="1:3" ht="13" x14ac:dyDescent="0.15">
      <c r="A844" s="10"/>
      <c r="B844" s="13"/>
      <c r="C844" s="13"/>
    </row>
    <row r="845" spans="1:3" ht="13" x14ac:dyDescent="0.15">
      <c r="A845" s="10"/>
      <c r="B845" s="13"/>
      <c r="C845" s="13"/>
    </row>
    <row r="846" spans="1:3" ht="13" x14ac:dyDescent="0.15">
      <c r="A846" s="10"/>
      <c r="B846" s="13"/>
      <c r="C846" s="13"/>
    </row>
    <row r="847" spans="1:3" ht="13" x14ac:dyDescent="0.15">
      <c r="A847" s="10"/>
      <c r="B847" s="13"/>
      <c r="C847" s="13"/>
    </row>
    <row r="848" spans="1:3" ht="13" x14ac:dyDescent="0.15">
      <c r="A848" s="10"/>
      <c r="B848" s="13"/>
      <c r="C848" s="13"/>
    </row>
    <row r="849" spans="1:3" ht="13" x14ac:dyDescent="0.15">
      <c r="A849" s="10"/>
      <c r="B849" s="13"/>
      <c r="C849" s="13"/>
    </row>
    <row r="850" spans="1:3" ht="13" x14ac:dyDescent="0.15">
      <c r="A850" s="10"/>
      <c r="B850" s="13"/>
      <c r="C850" s="13"/>
    </row>
    <row r="851" spans="1:3" ht="13" x14ac:dyDescent="0.15">
      <c r="A851" s="10"/>
      <c r="B851" s="13"/>
      <c r="C851" s="13"/>
    </row>
    <row r="852" spans="1:3" ht="13" x14ac:dyDescent="0.15">
      <c r="A852" s="10"/>
      <c r="B852" s="13"/>
      <c r="C852" s="13"/>
    </row>
    <row r="853" spans="1:3" ht="13" x14ac:dyDescent="0.15">
      <c r="A853" s="10"/>
      <c r="B853" s="13"/>
      <c r="C853" s="13"/>
    </row>
    <row r="854" spans="1:3" ht="13" x14ac:dyDescent="0.15">
      <c r="A854" s="10"/>
      <c r="B854" s="13"/>
      <c r="C854" s="13"/>
    </row>
    <row r="855" spans="1:3" ht="13" x14ac:dyDescent="0.15">
      <c r="A855" s="10"/>
      <c r="B855" s="13"/>
      <c r="C855" s="13"/>
    </row>
    <row r="856" spans="1:3" ht="13" x14ac:dyDescent="0.15">
      <c r="A856" s="10"/>
      <c r="B856" s="13"/>
      <c r="C856" s="13"/>
    </row>
    <row r="857" spans="1:3" ht="13" x14ac:dyDescent="0.15">
      <c r="A857" s="10"/>
      <c r="B857" s="13"/>
      <c r="C857" s="13"/>
    </row>
    <row r="858" spans="1:3" ht="13" x14ac:dyDescent="0.15">
      <c r="A858" s="10"/>
      <c r="B858" s="13"/>
      <c r="C858" s="13"/>
    </row>
    <row r="859" spans="1:3" ht="13" x14ac:dyDescent="0.15">
      <c r="A859" s="10"/>
      <c r="B859" s="13"/>
      <c r="C859" s="13"/>
    </row>
    <row r="860" spans="1:3" ht="13" x14ac:dyDescent="0.15">
      <c r="A860" s="10"/>
      <c r="B860" s="13"/>
      <c r="C860" s="13"/>
    </row>
    <row r="861" spans="1:3" ht="13" x14ac:dyDescent="0.15">
      <c r="A861" s="10"/>
      <c r="B861" s="13"/>
      <c r="C861" s="13"/>
    </row>
    <row r="862" spans="1:3" ht="13" x14ac:dyDescent="0.15">
      <c r="A862" s="10"/>
      <c r="B862" s="13"/>
      <c r="C862" s="13"/>
    </row>
    <row r="863" spans="1:3" ht="13" x14ac:dyDescent="0.15">
      <c r="A863" s="10"/>
      <c r="B863" s="13"/>
      <c r="C863" s="13"/>
    </row>
    <row r="864" spans="1:3" ht="13" x14ac:dyDescent="0.15">
      <c r="A864" s="10"/>
      <c r="B864" s="13"/>
      <c r="C864" s="13"/>
    </row>
    <row r="865" spans="1:3" ht="13" x14ac:dyDescent="0.15">
      <c r="A865" s="10"/>
      <c r="B865" s="13"/>
      <c r="C865" s="13"/>
    </row>
    <row r="866" spans="1:3" ht="13" x14ac:dyDescent="0.15">
      <c r="A866" s="10"/>
      <c r="B866" s="13"/>
      <c r="C866" s="13"/>
    </row>
    <row r="867" spans="1:3" ht="13" x14ac:dyDescent="0.15">
      <c r="A867" s="10"/>
      <c r="B867" s="13"/>
      <c r="C867" s="13"/>
    </row>
    <row r="868" spans="1:3" ht="13" x14ac:dyDescent="0.15">
      <c r="A868" s="10"/>
      <c r="B868" s="13"/>
      <c r="C868" s="13"/>
    </row>
    <row r="869" spans="1:3" ht="13" x14ac:dyDescent="0.15">
      <c r="A869" s="10"/>
      <c r="B869" s="13"/>
      <c r="C869" s="13"/>
    </row>
    <row r="870" spans="1:3" ht="13" x14ac:dyDescent="0.15">
      <c r="A870" s="10"/>
      <c r="B870" s="13"/>
      <c r="C870" s="13"/>
    </row>
    <row r="871" spans="1:3" ht="13" x14ac:dyDescent="0.15">
      <c r="A871" s="10"/>
      <c r="B871" s="13"/>
      <c r="C871" s="13"/>
    </row>
    <row r="872" spans="1:3" ht="13" x14ac:dyDescent="0.15">
      <c r="A872" s="10"/>
      <c r="B872" s="13"/>
      <c r="C872" s="13"/>
    </row>
    <row r="873" spans="1:3" ht="13" x14ac:dyDescent="0.15">
      <c r="A873" s="10"/>
      <c r="B873" s="13"/>
      <c r="C873" s="13"/>
    </row>
    <row r="874" spans="1:3" ht="13" x14ac:dyDescent="0.15">
      <c r="A874" s="10"/>
      <c r="B874" s="13"/>
      <c r="C874" s="13"/>
    </row>
    <row r="875" spans="1:3" ht="13" x14ac:dyDescent="0.15">
      <c r="A875" s="10"/>
      <c r="B875" s="13"/>
      <c r="C875" s="13"/>
    </row>
    <row r="876" spans="1:3" ht="13" x14ac:dyDescent="0.15">
      <c r="A876" s="10"/>
      <c r="B876" s="13"/>
      <c r="C876" s="13"/>
    </row>
    <row r="877" spans="1:3" ht="13" x14ac:dyDescent="0.15">
      <c r="A877" s="10"/>
      <c r="B877" s="13"/>
      <c r="C877" s="13"/>
    </row>
    <row r="878" spans="1:3" ht="13" x14ac:dyDescent="0.15">
      <c r="A878" s="10"/>
      <c r="B878" s="13"/>
      <c r="C878" s="13"/>
    </row>
    <row r="879" spans="1:3" ht="13" x14ac:dyDescent="0.15">
      <c r="A879" s="10"/>
      <c r="B879" s="13"/>
      <c r="C879" s="13"/>
    </row>
    <row r="880" spans="1:3" ht="13" x14ac:dyDescent="0.15">
      <c r="A880" s="10"/>
      <c r="B880" s="13"/>
      <c r="C880" s="13"/>
    </row>
    <row r="881" spans="1:3" ht="13" x14ac:dyDescent="0.15">
      <c r="A881" s="10"/>
      <c r="B881" s="13"/>
      <c r="C881" s="13"/>
    </row>
    <row r="882" spans="1:3" ht="13" x14ac:dyDescent="0.15">
      <c r="A882" s="10"/>
      <c r="B882" s="13"/>
      <c r="C882" s="13"/>
    </row>
    <row r="883" spans="1:3" ht="13" x14ac:dyDescent="0.15">
      <c r="A883" s="10"/>
      <c r="B883" s="13"/>
      <c r="C883" s="13"/>
    </row>
    <row r="884" spans="1:3" ht="13" x14ac:dyDescent="0.15">
      <c r="A884" s="10"/>
      <c r="B884" s="13"/>
      <c r="C884" s="13"/>
    </row>
    <row r="885" spans="1:3" ht="13" x14ac:dyDescent="0.15">
      <c r="A885" s="10"/>
      <c r="B885" s="13"/>
      <c r="C885" s="13"/>
    </row>
    <row r="886" spans="1:3" ht="13" x14ac:dyDescent="0.15">
      <c r="A886" s="10"/>
      <c r="B886" s="13"/>
      <c r="C886" s="13"/>
    </row>
    <row r="887" spans="1:3" ht="13" x14ac:dyDescent="0.15">
      <c r="A887" s="10"/>
      <c r="B887" s="13"/>
      <c r="C887" s="13"/>
    </row>
    <row r="888" spans="1:3" ht="13" x14ac:dyDescent="0.15">
      <c r="A888" s="10"/>
      <c r="B888" s="13"/>
      <c r="C888" s="13"/>
    </row>
    <row r="889" spans="1:3" ht="13" x14ac:dyDescent="0.15">
      <c r="A889" s="10"/>
      <c r="B889" s="13"/>
      <c r="C889" s="13"/>
    </row>
    <row r="890" spans="1:3" ht="13" x14ac:dyDescent="0.15">
      <c r="A890" s="10"/>
      <c r="B890" s="13"/>
      <c r="C890" s="13"/>
    </row>
    <row r="891" spans="1:3" ht="13" x14ac:dyDescent="0.15">
      <c r="A891" s="10"/>
      <c r="B891" s="13"/>
      <c r="C891" s="13"/>
    </row>
    <row r="892" spans="1:3" ht="13" x14ac:dyDescent="0.15">
      <c r="A892" s="10"/>
      <c r="B892" s="13"/>
      <c r="C892" s="13"/>
    </row>
    <row r="893" spans="1:3" ht="13" x14ac:dyDescent="0.15">
      <c r="A893" s="10"/>
      <c r="B893" s="13"/>
      <c r="C893" s="13"/>
    </row>
    <row r="894" spans="1:3" ht="13" x14ac:dyDescent="0.15">
      <c r="A894" s="10"/>
      <c r="B894" s="13"/>
      <c r="C894" s="13"/>
    </row>
    <row r="895" spans="1:3" ht="13" x14ac:dyDescent="0.15">
      <c r="A895" s="10"/>
      <c r="B895" s="13"/>
      <c r="C895" s="13"/>
    </row>
    <row r="896" spans="1:3" ht="13" x14ac:dyDescent="0.15">
      <c r="A896" s="10"/>
      <c r="B896" s="13"/>
      <c r="C896" s="13"/>
    </row>
    <row r="897" spans="1:3" ht="13" x14ac:dyDescent="0.15">
      <c r="A897" s="10"/>
      <c r="B897" s="13"/>
      <c r="C897" s="13"/>
    </row>
    <row r="898" spans="1:3" ht="13" x14ac:dyDescent="0.15">
      <c r="A898" s="10"/>
      <c r="B898" s="13"/>
      <c r="C898" s="13"/>
    </row>
    <row r="899" spans="1:3" ht="13" x14ac:dyDescent="0.15">
      <c r="A899" s="10"/>
      <c r="B899" s="13"/>
      <c r="C899" s="13"/>
    </row>
    <row r="900" spans="1:3" ht="13" x14ac:dyDescent="0.15">
      <c r="A900" s="10"/>
      <c r="B900" s="13"/>
      <c r="C900" s="13"/>
    </row>
    <row r="901" spans="1:3" ht="13" x14ac:dyDescent="0.15">
      <c r="A901" s="10"/>
      <c r="B901" s="13"/>
      <c r="C901" s="13"/>
    </row>
    <row r="902" spans="1:3" ht="13" x14ac:dyDescent="0.15">
      <c r="A902" s="10"/>
      <c r="B902" s="13"/>
      <c r="C902" s="13"/>
    </row>
    <row r="903" spans="1:3" ht="13" x14ac:dyDescent="0.15">
      <c r="A903" s="10"/>
      <c r="B903" s="13"/>
      <c r="C903" s="13"/>
    </row>
    <row r="904" spans="1:3" ht="13" x14ac:dyDescent="0.15">
      <c r="A904" s="10"/>
      <c r="B904" s="13"/>
      <c r="C904" s="13"/>
    </row>
    <row r="905" spans="1:3" ht="13" x14ac:dyDescent="0.15">
      <c r="A905" s="10"/>
      <c r="B905" s="13"/>
      <c r="C905" s="13"/>
    </row>
    <row r="906" spans="1:3" ht="13" x14ac:dyDescent="0.15">
      <c r="A906" s="10"/>
      <c r="B906" s="13"/>
      <c r="C906" s="13"/>
    </row>
    <row r="907" spans="1:3" ht="13" x14ac:dyDescent="0.15">
      <c r="A907" s="10"/>
      <c r="B907" s="13"/>
      <c r="C907" s="13"/>
    </row>
    <row r="908" spans="1:3" ht="13" x14ac:dyDescent="0.15">
      <c r="A908" s="10"/>
      <c r="B908" s="13"/>
      <c r="C908" s="13"/>
    </row>
    <row r="909" spans="1:3" ht="13" x14ac:dyDescent="0.15">
      <c r="A909" s="10"/>
      <c r="B909" s="13"/>
      <c r="C909" s="13"/>
    </row>
    <row r="910" spans="1:3" ht="13" x14ac:dyDescent="0.15">
      <c r="A910" s="10"/>
      <c r="B910" s="13"/>
      <c r="C910" s="13"/>
    </row>
    <row r="911" spans="1:3" ht="13" x14ac:dyDescent="0.15">
      <c r="A911" s="10"/>
      <c r="B911" s="13"/>
      <c r="C911" s="13"/>
    </row>
    <row r="912" spans="1:3" ht="13" x14ac:dyDescent="0.15">
      <c r="A912" s="10"/>
      <c r="B912" s="13"/>
      <c r="C912" s="13"/>
    </row>
    <row r="913" spans="1:3" ht="13" x14ac:dyDescent="0.15">
      <c r="A913" s="10"/>
      <c r="B913" s="13"/>
      <c r="C913" s="13"/>
    </row>
    <row r="914" spans="1:3" ht="13" x14ac:dyDescent="0.15">
      <c r="A914" s="10"/>
      <c r="B914" s="13"/>
      <c r="C914" s="13"/>
    </row>
    <row r="915" spans="1:3" ht="13" x14ac:dyDescent="0.15">
      <c r="A915" s="10"/>
      <c r="B915" s="13"/>
      <c r="C915" s="13"/>
    </row>
    <row r="916" spans="1:3" ht="13" x14ac:dyDescent="0.15">
      <c r="A916" s="10"/>
      <c r="B916" s="13"/>
      <c r="C916" s="13"/>
    </row>
    <row r="917" spans="1:3" ht="13" x14ac:dyDescent="0.15">
      <c r="A917" s="10"/>
      <c r="B917" s="13"/>
      <c r="C917" s="13"/>
    </row>
    <row r="918" spans="1:3" ht="13" x14ac:dyDescent="0.15">
      <c r="A918" s="10"/>
      <c r="B918" s="13"/>
      <c r="C918" s="13"/>
    </row>
    <row r="919" spans="1:3" ht="13" x14ac:dyDescent="0.15">
      <c r="A919" s="10"/>
      <c r="B919" s="13"/>
      <c r="C919" s="13"/>
    </row>
    <row r="920" spans="1:3" ht="13" x14ac:dyDescent="0.15">
      <c r="A920" s="10"/>
      <c r="B920" s="13"/>
      <c r="C920" s="13"/>
    </row>
    <row r="921" spans="1:3" ht="13" x14ac:dyDescent="0.15">
      <c r="A921" s="10"/>
      <c r="B921" s="13"/>
      <c r="C921" s="13"/>
    </row>
    <row r="922" spans="1:3" ht="13" x14ac:dyDescent="0.15">
      <c r="A922" s="10"/>
      <c r="B922" s="13"/>
      <c r="C922" s="13"/>
    </row>
    <row r="923" spans="1:3" ht="13" x14ac:dyDescent="0.15">
      <c r="A923" s="10"/>
      <c r="B923" s="13"/>
      <c r="C923" s="13"/>
    </row>
    <row r="924" spans="1:3" ht="13" x14ac:dyDescent="0.15">
      <c r="A924" s="10"/>
      <c r="B924" s="13"/>
      <c r="C924" s="13"/>
    </row>
    <row r="925" spans="1:3" ht="13" x14ac:dyDescent="0.15">
      <c r="A925" s="10"/>
      <c r="B925" s="13"/>
      <c r="C925" s="13"/>
    </row>
    <row r="926" spans="1:3" ht="13" x14ac:dyDescent="0.15">
      <c r="A926" s="10"/>
      <c r="B926" s="13"/>
      <c r="C926" s="13"/>
    </row>
    <row r="927" spans="1:3" ht="13" x14ac:dyDescent="0.15">
      <c r="A927" s="10"/>
      <c r="B927" s="13"/>
      <c r="C927" s="13"/>
    </row>
    <row r="928" spans="1:3" ht="13" x14ac:dyDescent="0.15">
      <c r="A928" s="10"/>
      <c r="B928" s="13"/>
      <c r="C928" s="13"/>
    </row>
    <row r="929" spans="1:3" ht="13" x14ac:dyDescent="0.15">
      <c r="A929" s="10"/>
      <c r="B929" s="13"/>
      <c r="C929" s="13"/>
    </row>
    <row r="930" spans="1:3" ht="13" x14ac:dyDescent="0.15">
      <c r="A930" s="10"/>
      <c r="B930" s="13"/>
      <c r="C930" s="13"/>
    </row>
    <row r="931" spans="1:3" ht="13" x14ac:dyDescent="0.15">
      <c r="A931" s="10"/>
      <c r="B931" s="13"/>
      <c r="C931" s="13"/>
    </row>
    <row r="932" spans="1:3" ht="13" x14ac:dyDescent="0.15">
      <c r="A932" s="10"/>
      <c r="B932" s="13"/>
      <c r="C932" s="13"/>
    </row>
    <row r="933" spans="1:3" ht="13" x14ac:dyDescent="0.15">
      <c r="A933" s="10"/>
      <c r="B933" s="13"/>
      <c r="C933" s="13"/>
    </row>
    <row r="934" spans="1:3" ht="13" x14ac:dyDescent="0.15">
      <c r="A934" s="10"/>
      <c r="B934" s="13"/>
      <c r="C934" s="13"/>
    </row>
    <row r="935" spans="1:3" ht="13" x14ac:dyDescent="0.15">
      <c r="A935" s="10"/>
      <c r="B935" s="13"/>
      <c r="C935" s="13"/>
    </row>
    <row r="936" spans="1:3" ht="13" x14ac:dyDescent="0.15">
      <c r="A936" s="10"/>
      <c r="B936" s="13"/>
      <c r="C936" s="13"/>
    </row>
    <row r="937" spans="1:3" ht="13" x14ac:dyDescent="0.15">
      <c r="A937" s="10"/>
      <c r="B937" s="13"/>
      <c r="C937" s="13"/>
    </row>
    <row r="938" spans="1:3" ht="13" x14ac:dyDescent="0.15">
      <c r="A938" s="10"/>
      <c r="B938" s="13"/>
      <c r="C938" s="13"/>
    </row>
    <row r="939" spans="1:3" ht="13" x14ac:dyDescent="0.15">
      <c r="A939" s="10"/>
      <c r="B939" s="13"/>
      <c r="C939" s="13"/>
    </row>
    <row r="940" spans="1:3" ht="13" x14ac:dyDescent="0.15">
      <c r="A940" s="10"/>
      <c r="B940" s="13"/>
      <c r="C940" s="13"/>
    </row>
    <row r="941" spans="1:3" ht="13" x14ac:dyDescent="0.15">
      <c r="A941" s="10"/>
      <c r="B941" s="13"/>
      <c r="C941" s="13"/>
    </row>
    <row r="942" spans="1:3" ht="13" x14ac:dyDescent="0.15">
      <c r="A942" s="10"/>
      <c r="B942" s="13"/>
      <c r="C942" s="13"/>
    </row>
    <row r="943" spans="1:3" ht="13" x14ac:dyDescent="0.15">
      <c r="A943" s="10"/>
      <c r="B943" s="13"/>
      <c r="C943" s="13"/>
    </row>
    <row r="944" spans="1:3" ht="13" x14ac:dyDescent="0.15">
      <c r="A944" s="10"/>
      <c r="B944" s="13"/>
      <c r="C944" s="13"/>
    </row>
    <row r="945" spans="1:3" ht="13" x14ac:dyDescent="0.15">
      <c r="A945" s="10"/>
      <c r="B945" s="13"/>
      <c r="C945" s="13"/>
    </row>
    <row r="946" spans="1:3" ht="13" x14ac:dyDescent="0.15">
      <c r="A946" s="10"/>
      <c r="B946" s="13"/>
      <c r="C946" s="13"/>
    </row>
    <row r="947" spans="1:3" ht="13" x14ac:dyDescent="0.15">
      <c r="A947" s="10"/>
      <c r="B947" s="13"/>
      <c r="C947" s="13"/>
    </row>
    <row r="948" spans="1:3" ht="13" x14ac:dyDescent="0.15">
      <c r="A948" s="10"/>
      <c r="B948" s="13"/>
      <c r="C948" s="13"/>
    </row>
    <row r="949" spans="1:3" ht="13" x14ac:dyDescent="0.15">
      <c r="A949" s="10"/>
      <c r="B949" s="13"/>
      <c r="C949" s="13"/>
    </row>
    <row r="950" spans="1:3" ht="13" x14ac:dyDescent="0.15">
      <c r="A950" s="10"/>
      <c r="B950" s="13"/>
      <c r="C950" s="13"/>
    </row>
    <row r="951" spans="1:3" ht="13" x14ac:dyDescent="0.15">
      <c r="A951" s="10"/>
      <c r="B951" s="13"/>
      <c r="C951" s="13"/>
    </row>
    <row r="952" spans="1:3" ht="13" x14ac:dyDescent="0.15">
      <c r="A952" s="10"/>
      <c r="B952" s="13"/>
      <c r="C952" s="13"/>
    </row>
    <row r="953" spans="1:3" ht="13" x14ac:dyDescent="0.15">
      <c r="A953" s="10"/>
      <c r="B953" s="13"/>
      <c r="C953" s="13"/>
    </row>
    <row r="954" spans="1:3" ht="13" x14ac:dyDescent="0.15">
      <c r="A954" s="10"/>
      <c r="B954" s="13"/>
      <c r="C954" s="13"/>
    </row>
    <row r="955" spans="1:3" ht="13" x14ac:dyDescent="0.15">
      <c r="A955" s="10"/>
      <c r="B955" s="13"/>
      <c r="C955" s="13"/>
    </row>
    <row r="956" spans="1:3" ht="13" x14ac:dyDescent="0.15">
      <c r="A956" s="10"/>
      <c r="B956" s="13"/>
      <c r="C956" s="13"/>
    </row>
    <row r="957" spans="1:3" ht="13" x14ac:dyDescent="0.15">
      <c r="A957" s="10"/>
      <c r="B957" s="13"/>
      <c r="C957" s="13"/>
    </row>
    <row r="958" spans="1:3" ht="13" x14ac:dyDescent="0.15">
      <c r="A958" s="10"/>
      <c r="B958" s="13"/>
      <c r="C958" s="13"/>
    </row>
    <row r="959" spans="1:3" ht="13" x14ac:dyDescent="0.15">
      <c r="A959" s="10"/>
      <c r="B959" s="13"/>
      <c r="C959" s="13"/>
    </row>
    <row r="960" spans="1:3" ht="13" x14ac:dyDescent="0.15">
      <c r="A960" s="10"/>
      <c r="B960" s="13"/>
      <c r="C960" s="13"/>
    </row>
    <row r="961" spans="1:3" ht="13" x14ac:dyDescent="0.15">
      <c r="A961" s="10"/>
      <c r="B961" s="13"/>
      <c r="C961" s="13"/>
    </row>
    <row r="962" spans="1:3" ht="13" x14ac:dyDescent="0.15">
      <c r="A962" s="10"/>
      <c r="B962" s="13"/>
      <c r="C962" s="13"/>
    </row>
    <row r="963" spans="1:3" ht="13" x14ac:dyDescent="0.15">
      <c r="A963" s="10"/>
      <c r="B963" s="13"/>
      <c r="C963" s="13"/>
    </row>
    <row r="964" spans="1:3" ht="13" x14ac:dyDescent="0.15">
      <c r="A964" s="10"/>
      <c r="B964" s="13"/>
      <c r="C964" s="13"/>
    </row>
    <row r="965" spans="1:3" ht="13" x14ac:dyDescent="0.15">
      <c r="A965" s="10"/>
      <c r="B965" s="13"/>
      <c r="C965" s="13"/>
    </row>
    <row r="966" spans="1:3" ht="13" x14ac:dyDescent="0.15">
      <c r="A966" s="10"/>
      <c r="B966" s="13"/>
      <c r="C966" s="13"/>
    </row>
    <row r="967" spans="1:3" ht="13" x14ac:dyDescent="0.15">
      <c r="A967" s="10"/>
      <c r="B967" s="13"/>
      <c r="C967" s="13"/>
    </row>
    <row r="968" spans="1:3" ht="13" x14ac:dyDescent="0.15">
      <c r="A968" s="10"/>
      <c r="B968" s="13"/>
      <c r="C968" s="13"/>
    </row>
    <row r="969" spans="1:3" ht="13" x14ac:dyDescent="0.15">
      <c r="A969" s="10"/>
      <c r="B969" s="13"/>
      <c r="C969" s="13"/>
    </row>
    <row r="970" spans="1:3" ht="13" x14ac:dyDescent="0.15">
      <c r="A970" s="10"/>
      <c r="B970" s="13"/>
      <c r="C970" s="13"/>
    </row>
    <row r="971" spans="1:3" ht="13" x14ac:dyDescent="0.15">
      <c r="A971" s="10"/>
      <c r="B971" s="13"/>
      <c r="C971" s="13"/>
    </row>
    <row r="972" spans="1:3" ht="13" x14ac:dyDescent="0.15">
      <c r="A972" s="10"/>
      <c r="B972" s="13"/>
      <c r="C972" s="13"/>
    </row>
    <row r="973" spans="1:3" ht="13" x14ac:dyDescent="0.15">
      <c r="A973" s="10"/>
      <c r="B973" s="13"/>
      <c r="C973" s="13"/>
    </row>
    <row r="974" spans="1:3" ht="13" x14ac:dyDescent="0.15">
      <c r="A974" s="10"/>
      <c r="B974" s="13"/>
      <c r="C974" s="13"/>
    </row>
    <row r="975" spans="1:3" ht="13" x14ac:dyDescent="0.15">
      <c r="A975" s="10"/>
      <c r="B975" s="13"/>
      <c r="C975" s="13"/>
    </row>
    <row r="976" spans="1:3" ht="13" x14ac:dyDescent="0.15">
      <c r="A976" s="10"/>
      <c r="B976" s="13"/>
      <c r="C976" s="13"/>
    </row>
    <row r="977" spans="1:3" ht="13" x14ac:dyDescent="0.15">
      <c r="A977" s="10"/>
      <c r="B977" s="13"/>
      <c r="C977" s="13"/>
    </row>
    <row r="978" spans="1:3" ht="13" x14ac:dyDescent="0.15">
      <c r="A978" s="10"/>
      <c r="B978" s="13"/>
      <c r="C978" s="13"/>
    </row>
    <row r="979" spans="1:3" ht="13" x14ac:dyDescent="0.15">
      <c r="A979" s="10"/>
      <c r="B979" s="13"/>
      <c r="C979" s="13"/>
    </row>
    <row r="980" spans="1:3" ht="13" x14ac:dyDescent="0.15">
      <c r="A980" s="10"/>
      <c r="B980" s="13"/>
      <c r="C980" s="13"/>
    </row>
    <row r="981" spans="1:3" ht="13" x14ac:dyDescent="0.15">
      <c r="A981" s="10"/>
      <c r="B981" s="13"/>
      <c r="C981" s="13"/>
    </row>
    <row r="982" spans="1:3" ht="13" x14ac:dyDescent="0.15">
      <c r="A982" s="10"/>
      <c r="B982" s="13"/>
      <c r="C982" s="13"/>
    </row>
    <row r="983" spans="1:3" ht="13" x14ac:dyDescent="0.15">
      <c r="A983" s="10"/>
      <c r="B983" s="13"/>
      <c r="C983" s="13"/>
    </row>
    <row r="984" spans="1:3" ht="13" x14ac:dyDescent="0.15">
      <c r="A984" s="10"/>
      <c r="B984" s="13"/>
      <c r="C984" s="13"/>
    </row>
    <row r="985" spans="1:3" ht="13" x14ac:dyDescent="0.15">
      <c r="A985" s="10"/>
      <c r="B985" s="13"/>
      <c r="C985" s="13"/>
    </row>
    <row r="986" spans="1:3" ht="13" x14ac:dyDescent="0.15">
      <c r="A986" s="10"/>
      <c r="B986" s="13"/>
      <c r="C986" s="13"/>
    </row>
    <row r="987" spans="1:3" ht="13" x14ac:dyDescent="0.15">
      <c r="A987" s="10"/>
      <c r="B987" s="13"/>
      <c r="C987" s="13"/>
    </row>
    <row r="988" spans="1:3" ht="13" x14ac:dyDescent="0.15">
      <c r="A988" s="10"/>
      <c r="B988" s="13"/>
      <c r="C988" s="13"/>
    </row>
    <row r="989" spans="1:3" ht="13" x14ac:dyDescent="0.15">
      <c r="A989" s="10"/>
      <c r="B989" s="13"/>
      <c r="C989" s="13"/>
    </row>
    <row r="990" spans="1:3" ht="13" x14ac:dyDescent="0.15">
      <c r="A990" s="10"/>
      <c r="B990" s="13"/>
      <c r="C990" s="13"/>
    </row>
    <row r="991" spans="1:3" ht="13" x14ac:dyDescent="0.15">
      <c r="A991" s="10"/>
      <c r="B991" s="13"/>
      <c r="C991" s="13"/>
    </row>
    <row r="992" spans="1:3" ht="13" x14ac:dyDescent="0.15">
      <c r="A992" s="10"/>
      <c r="B992" s="13"/>
      <c r="C992" s="13"/>
    </row>
    <row r="993" spans="1:3" ht="13" x14ac:dyDescent="0.15">
      <c r="A993" s="10"/>
      <c r="B993" s="13"/>
      <c r="C993" s="13"/>
    </row>
    <row r="994" spans="1:3" ht="13" x14ac:dyDescent="0.15">
      <c r="A994" s="10"/>
      <c r="B994" s="13"/>
      <c r="C994" s="13"/>
    </row>
    <row r="995" spans="1:3" ht="13" x14ac:dyDescent="0.15">
      <c r="A995" s="10"/>
      <c r="B995" s="13"/>
      <c r="C995" s="13"/>
    </row>
    <row r="996" spans="1:3" ht="13" x14ac:dyDescent="0.15">
      <c r="A996" s="10"/>
      <c r="B996" s="13"/>
      <c r="C996" s="13"/>
    </row>
    <row r="997" spans="1:3" ht="13" x14ac:dyDescent="0.15">
      <c r="A997" s="10"/>
      <c r="B997" s="13"/>
      <c r="C997" s="13"/>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outlinePr summaryBelow="0" summaryRight="0"/>
  </sheetPr>
  <dimension ref="A1:D997"/>
  <sheetViews>
    <sheetView workbookViewId="0"/>
  </sheetViews>
  <sheetFormatPr baseColWidth="10" defaultColWidth="12.6640625" defaultRowHeight="15.75" customHeight="1" x14ac:dyDescent="0.15"/>
  <cols>
    <col min="1" max="1" width="71.5" customWidth="1"/>
    <col min="2" max="4" width="37.6640625" customWidth="1"/>
  </cols>
  <sheetData>
    <row r="1" spans="1:4" x14ac:dyDescent="0.2">
      <c r="A1" s="1"/>
      <c r="B1" s="21" t="str">
        <f ca="1">IFERROR(__xludf.DUMMYFUNCTION("IMPORTRANGE(""https://docs.google.com/spreadsheets/u/0/d/1_NcUY7_L0-VKMwwoDwesshr7eGsHFBVPNg4YI6jkjhk"", ""A14!B1:B22"")"),"Noelle Labadens")</f>
        <v>Noelle Labadens</v>
      </c>
      <c r="C1" s="10" t="str">
        <f ca="1">IFERROR(__xludf.DUMMYFUNCTION("IMPORTRANGE(""https://docs.google.com/spreadsheets/u/0/d/1e6QLf1_HeiTNz7JOFlwsfbt48UsSPCJuGTSppexqIJc"", ""A14!B1:B22"")"),"Tyler Thibodeaux")</f>
        <v>Tyler Thibodeaux</v>
      </c>
      <c r="D1" s="2" t="s">
        <v>1</v>
      </c>
    </row>
    <row r="2" spans="1:4" ht="15.75" customHeight="1" x14ac:dyDescent="0.15">
      <c r="A2" s="3" t="s">
        <v>2</v>
      </c>
      <c r="B2" s="15" t="str">
        <f ca="1">IFERROR(__xludf.DUMMYFUNCTION("""COMPUTED_VALUE"""),"9802-10389 FOR")</f>
        <v>9802-10389 FOR</v>
      </c>
      <c r="C2" s="15" t="str">
        <f ca="1">IFERROR(__xludf.DUMMYFUNCTION("""COMPUTED_VALUE""")," (9802 - 10389 ) FOR")</f>
        <v xml:space="preserve"> (9802 - 10389 ) FOR</v>
      </c>
      <c r="D2" s="4"/>
    </row>
    <row r="3" spans="1:4" ht="15.75" customHeight="1" x14ac:dyDescent="0.15">
      <c r="A3" s="5" t="s">
        <v>3</v>
      </c>
      <c r="B3" s="17" t="str">
        <f ca="1">IFERROR(__xludf.DUMMYFUNCTION("""COMPUTED_VALUE"""),"DNA Master: 14; Phamerator: 14")</f>
        <v>DNA Master: 14; Phamerator: 14</v>
      </c>
      <c r="C3" s="17" t="str">
        <f ca="1">IFERROR(__xludf.DUMMYFUNCTION("""COMPUTED_VALUE"""),"14 in both DNA M and PHAM")</f>
        <v>14 in both DNA M and PHAM</v>
      </c>
      <c r="D3" s="6"/>
    </row>
    <row r="4" spans="1:4" ht="15.75" customHeight="1" x14ac:dyDescent="0.15">
      <c r="A4" s="5" t="s">
        <v>4</v>
      </c>
      <c r="B4" s="17" t="str">
        <f ca="1">IFERROR(__xludf.DUMMYFUNCTION("""COMPUTED_VALUE"""),"Pham 217448 3/5/25")</f>
        <v>Pham 217448 3/5/25</v>
      </c>
      <c r="C4" s="17" t="str">
        <f ca="1">IFERROR(__xludf.DUMMYFUNCTION("""COMPUTED_VALUE"""),"pham 215680, 2-26-25")</f>
        <v>pham 215680, 2-26-25</v>
      </c>
      <c r="D4" s="6"/>
    </row>
    <row r="5" spans="1:4" ht="15.75" customHeight="1" x14ac:dyDescent="0.15">
      <c r="A5" s="5" t="s">
        <v>5</v>
      </c>
      <c r="B5" s="17"/>
      <c r="C5" s="17" t="str">
        <f ca="1">IFERROR(__xludf.DUMMYFUNCTION("""COMPUTED_VALUE"""),"Kovu_15")</f>
        <v>Kovu_15</v>
      </c>
      <c r="D5" s="6"/>
    </row>
    <row r="6" spans="1:4" ht="15.75" customHeight="1" x14ac:dyDescent="0.15">
      <c r="A6" s="5" t="s">
        <v>6</v>
      </c>
      <c r="B6" s="17" t="str">
        <f ca="1">IFERROR(__xludf.DUMMYFUNCTION("""COMPUTED_VALUE"""),"Both Glimer and Genemark called")</f>
        <v>Both Glimer and Genemark called</v>
      </c>
      <c r="C6" s="17" t="str">
        <f ca="1">IFERROR(__xludf.DUMMYFUNCTION("""COMPUTED_VALUE"""),"Original Glimmer call @bp 9802 has strength 10.52. CALLED BY BOTH")</f>
        <v>Original Glimmer call @bp 9802 has strength 10.52. CALLED BY BOTH</v>
      </c>
      <c r="D6" s="6"/>
    </row>
    <row r="7" spans="1:4" ht="15.75" customHeight="1" x14ac:dyDescent="0.15">
      <c r="A7" s="5" t="s">
        <v>7</v>
      </c>
      <c r="B7" s="17" t="str">
        <f ca="1">IFERROR(__xludf.DUMMYFUNCTION("""COMPUTED_VALUE"""),"good coding potential, captures almost whole gene")</f>
        <v>good coding potential, captures almost whole gene</v>
      </c>
      <c r="C7" s="17" t="str">
        <f ca="1">IFERROR(__xludf.DUMMYFUNCTION("""COMPUTED_VALUE"""),"Relatively good coding potential, It does cut off at around 4/5ths in to the coding though.")</f>
        <v>Relatively good coding potential, It does cut off at around 4/5ths in to the coding though.</v>
      </c>
      <c r="D7" s="6"/>
    </row>
    <row r="8" spans="1:4" ht="15.75" customHeight="1" x14ac:dyDescent="0.15">
      <c r="A8" s="5" t="s">
        <v>8</v>
      </c>
      <c r="B8" s="17" t="str">
        <f ca="1">IFERROR(__xludf.DUMMYFUNCTION("""COMPUTED_VALUE"""),"yes")</f>
        <v>yes</v>
      </c>
      <c r="C8" s="17" t="str">
        <f ca="1">IFERROR(__xludf.DUMMYFUNCTION("""COMPUTED_VALUE"""),"It is the longest ORF")</f>
        <v>It is the longest ORF</v>
      </c>
      <c r="D8" s="6"/>
    </row>
    <row r="9" spans="1:4" ht="15.75" customHeight="1" x14ac:dyDescent="0.15">
      <c r="A9" s="5" t="s">
        <v>9</v>
      </c>
      <c r="B9" s="17" t="str">
        <f ca="1">IFERROR(__xludf.DUMMYFUNCTION("""COMPUTED_VALUE"""),"24 nt gap")</f>
        <v>24 nt gap</v>
      </c>
      <c r="C9" s="17" t="str">
        <f ca="1">IFERROR(__xludf.DUMMYFUNCTION("""COMPUTED_VALUE"""),"56 nucleotide gap, no prior starts. ")</f>
        <v xml:space="preserve">56 nucleotide gap, no prior starts. </v>
      </c>
      <c r="D9" s="6"/>
    </row>
    <row r="10" spans="1:4" ht="15.75" customHeight="1" x14ac:dyDescent="0.15">
      <c r="A10" s="5" t="s">
        <v>10</v>
      </c>
      <c r="B10" s="17" t="str">
        <f ca="1">IFERROR(__xludf.DUMMYFUNCTION("""COMPUTED_VALUE"""),"raw SD: -2.210; Z score: 2.742. the rest are worse")</f>
        <v>raw SD: -2.210; Z score: 2.742. the rest are worse</v>
      </c>
      <c r="C10" s="17" t="str">
        <f ca="1">IFERROR(__xludf.DUMMYFUNCTION("""COMPUTED_VALUE"""),"9802- Z= 2.742, No other starts can be considered (the next start isn't before a stop codon) ")</f>
        <v xml:space="preserve">9802- Z= 2.742, No other starts can be considered (the next start isn't before a stop codon) </v>
      </c>
      <c r="D10" s="6"/>
    </row>
    <row r="11" spans="1:4" ht="15.75" customHeight="1" x14ac:dyDescent="0.15">
      <c r="A11" s="5" t="s">
        <v>11</v>
      </c>
      <c r="B11" s="17" t="str">
        <f ca="1">IFERROR(__xludf.DUMMYFUNCTION("""COMPUTED_VALUE"""),"there were a lot of decent hits. best was Kovu_15, 93%, e-105. q:1 s:1")</f>
        <v>there were a lot of decent hits. best was Kovu_15, 93%, e-105. q:1 s:1</v>
      </c>
      <c r="C11" s="17" t="str">
        <f ca="1">IFERROR(__xludf.DUMMYFUNCTION("""COMPUTED_VALUE"""),"Kovu SSB Protein, gene 15, 94% Identity, e=8e^-123, Start for 1 in Apokipo is Start 1 for Kovu")</f>
        <v>Kovu SSB Protein, gene 15, 94% Identity, e=8e^-123, Start for 1 in Apokipo is Start 1 for Kovu</v>
      </c>
      <c r="D11" s="6"/>
    </row>
    <row r="12" spans="1:4" ht="15.75" customHeight="1" x14ac:dyDescent="0.15">
      <c r="A12" s="5" t="s">
        <v>12</v>
      </c>
      <c r="B12" s="17" t="str">
        <f ca="1">IFERROR(__xludf.DUMMYFUNCTION("""COMPUTED_VALUE"""),"no, called 332/523. Kovu called this start as well. most called start")</f>
        <v>no, called 332/523. Kovu called this start as well. most called start</v>
      </c>
      <c r="C12" s="17" t="str">
        <f ca="1">IFERROR(__xludf.DUMMYFUNCTION("""COMPUTED_VALUE"""),"It is consevered for all members, It is being called a 99% of the time.  ")</f>
        <v xml:space="preserve">It is consevered for all members, It is being called a 99% of the time.  </v>
      </c>
      <c r="D12" s="6"/>
    </row>
    <row r="13" spans="1:4" ht="15.75" customHeight="1" x14ac:dyDescent="0.15">
      <c r="A13" s="5" t="s">
        <v>13</v>
      </c>
      <c r="B13" s="17" t="str">
        <f ca="1">IFERROR(__xludf.DUMMYFUNCTION("""COMPUTED_VALUE"""),"no, no compelling evidence to change. has good coding potential, other starts have a worse Z score, and similar genes have called this start.")</f>
        <v>no, no compelling evidence to change. has good coding potential, other starts have a worse Z score, and similar genes have called this start.</v>
      </c>
      <c r="C13" s="17" t="str">
        <f ca="1">IFERROR(__xludf.DUMMYFUNCTION("""COMPUTED_VALUE"""),"No")</f>
        <v>No</v>
      </c>
      <c r="D13" s="6"/>
    </row>
    <row r="14" spans="1:4" ht="15.75" customHeight="1" x14ac:dyDescent="0.15">
      <c r="A14" s="5" t="s">
        <v>14</v>
      </c>
      <c r="B14" s="17" t="str">
        <f ca="1">IFERROR(__xludf.DUMMYFUNCTION("""COMPUTED_VALUE"""),"Kovu_15 e-105")</f>
        <v>Kovu_15 e-105</v>
      </c>
      <c r="C14" s="17" t="str">
        <f ca="1">IFERROR(__xludf.DUMMYFUNCTION("""COMPUTED_VALUE"""),"Kovu_15, e^-113, mufasa8_48, e^-105")</f>
        <v>Kovu_15, e^-113, mufasa8_48, e^-105</v>
      </c>
      <c r="D14" s="6"/>
    </row>
    <row r="15" spans="1:4" ht="15.75" customHeight="1" x14ac:dyDescent="0.15">
      <c r="A15" s="5" t="s">
        <v>15</v>
      </c>
      <c r="B15" s="17" t="str">
        <f ca="1">IFERROR(__xludf.DUMMYFUNCTION("""COMPUTED_VALUE"""),"SSB Protien")</f>
        <v>SSB Protien</v>
      </c>
      <c r="C15" s="17" t="str">
        <f ca="1">IFERROR(__xludf.DUMMYFUNCTION("""COMPUTED_VALUE"""),"SSB Protein")</f>
        <v>SSB Protein</v>
      </c>
      <c r="D15" s="6"/>
    </row>
    <row r="16" spans="1:4" ht="15.75" customHeight="1" x14ac:dyDescent="0.15">
      <c r="A16" s="5" t="s">
        <v>16</v>
      </c>
      <c r="B16" s="17" t="str">
        <f ca="1">IFERROR(__xludf.DUMMYFUNCTION("""COMPUTED_VALUE"""),"good synteny, all surrounding genes are expected")</f>
        <v>good synteny, all surrounding genes are expected</v>
      </c>
      <c r="C16" s="17" t="str">
        <f ca="1">IFERROR(__xludf.DUMMYFUNCTION("""COMPUTED_VALUE"""),"It is in the same genetic enviornment as Kovu")</f>
        <v>It is in the same genetic enviornment as Kovu</v>
      </c>
      <c r="D16" s="6"/>
    </row>
    <row r="17" spans="1:4" ht="15.75" customHeight="1" x14ac:dyDescent="0.15">
      <c r="A17" s="5" t="s">
        <v>17</v>
      </c>
      <c r="B17" s="17" t="str">
        <f ca="1">IFERROR(__xludf.DUMMYFUNCTION("""COMPUTED_VALUE"""),"Single-stranded DNA-binding protein 2; Single-stranded DNA-binding protein, steptomyces Coelicolor, DNA damage, DNA rep; 100%, Q: 63.59%, T:62.31%; yes; no further exploration needed")</f>
        <v>Single-stranded DNA-binding protein 2; Single-stranded DNA-binding protein, steptomyces Coelicolor, DNA damage, DNA rep; 100%, Q: 63.59%, T:62.31%; yes; no further exploration needed</v>
      </c>
      <c r="C17" s="17" t="str">
        <f ca="1">IFERROR(__xludf.DUMMYFUNCTION("""COMPUTED_VALUE"""),"Single-stranded DNA-binding protein 2; Single-stranded DNA-binding protein, Streptomyces Coelicolor, DNA damage, DNA rep., 100 % probability, %Q= 63%, %T= 62%, The functional domain is within the target allignment . No further exploration needed")</f>
        <v>Single-stranded DNA-binding protein 2; Single-stranded DNA-binding protein, Streptomyces Coelicolor, DNA damage, DNA rep., 100 % probability, %Q= 63%, %T= 62%, The functional domain is within the target allignment . No further exploration needed</v>
      </c>
      <c r="D17" s="6"/>
    </row>
    <row r="18" spans="1:4" ht="15.75" customHeight="1" x14ac:dyDescent="0.15">
      <c r="A18" s="5" t="s">
        <v>18</v>
      </c>
      <c r="B18" s="17" t="str">
        <f ca="1">IFERROR(__xludf.DUMMYFUNCTION("""COMPUTED_VALUE"""),"many many! I see SSB in there if that means anything")</f>
        <v>many many! I see SSB in there if that means anything</v>
      </c>
      <c r="C18" s="17" t="str">
        <f ca="1">IFERROR(__xludf.DUMMYFUNCTION("""COMPUTED_VALUE"""),"PRK07772- an Single stranded Binding protein. ")</f>
        <v xml:space="preserve">PRK07772- an Single stranded Binding protein. </v>
      </c>
      <c r="D18" s="6"/>
    </row>
    <row r="19" spans="1:4" ht="15.75" customHeight="1" x14ac:dyDescent="0.15">
      <c r="A19" s="5" t="s">
        <v>19</v>
      </c>
      <c r="B19" s="17" t="str">
        <f ca="1">IFERROR(__xludf.DUMMYFUNCTION("""COMPUTED_VALUE"""),"none")</f>
        <v>none</v>
      </c>
      <c r="C19" s="17" t="str">
        <f ca="1">IFERROR(__xludf.DUMMYFUNCTION("""COMPUTED_VALUE"""),"None ")</f>
        <v xml:space="preserve">None </v>
      </c>
      <c r="D19" s="6"/>
    </row>
    <row r="20" spans="1:4" ht="15.75" customHeight="1" x14ac:dyDescent="0.15">
      <c r="A20" s="5" t="s">
        <v>20</v>
      </c>
      <c r="B20" s="17" t="str">
        <f ca="1">IFERROR(__xludf.DUMMYFUNCTION("""COMPUTED_VALUE"""),"SSB Protien, it matches Kovu and is a 100% match in HHPred")</f>
        <v>SSB Protien, it matches Kovu and is a 100% match in HHPred</v>
      </c>
      <c r="C20" s="17" t="str">
        <f ca="1">IFERROR(__xludf.DUMMYFUNCTION("""COMPUTED_VALUE"""),"SSB protein. Based on the HHPRED, NCIB blast, and the Functional domain being within the target allignment, it is pretty clear that the protein is a Single Stranded Binding Protein. ")</f>
        <v xml:space="preserve">SSB protein. Based on the HHPRED, NCIB blast, and the Functional domain being within the target allignment, it is pretty clear that the protein is a Single Stranded Binding Protein. </v>
      </c>
      <c r="D20" s="6"/>
    </row>
    <row r="21" spans="1:4" x14ac:dyDescent="0.2">
      <c r="A21" s="7"/>
      <c r="B21" s="19"/>
      <c r="C21" s="19"/>
      <c r="D21" s="8"/>
    </row>
    <row r="22" spans="1:4" ht="15.75" customHeight="1" x14ac:dyDescent="0.15">
      <c r="A22" s="9" t="s">
        <v>21</v>
      </c>
      <c r="B22" s="19"/>
      <c r="C22" s="19"/>
      <c r="D22" s="8"/>
    </row>
    <row r="23" spans="1:4" ht="15.75" customHeight="1" x14ac:dyDescent="0.15">
      <c r="A23" s="10"/>
      <c r="B23" s="13"/>
      <c r="C23" s="13"/>
    </row>
    <row r="24" spans="1:4" ht="15.75" customHeight="1" x14ac:dyDescent="0.15">
      <c r="A24" s="10"/>
      <c r="B24" s="13"/>
      <c r="C24" s="13"/>
    </row>
    <row r="25" spans="1:4" ht="15.75" customHeight="1" x14ac:dyDescent="0.15">
      <c r="A25" s="10"/>
      <c r="B25" s="13"/>
      <c r="C25" s="13"/>
    </row>
    <row r="26" spans="1:4" ht="15.75" customHeight="1" x14ac:dyDescent="0.15">
      <c r="A26" s="10"/>
      <c r="B26" s="13"/>
      <c r="C26" s="13"/>
    </row>
    <row r="27" spans="1:4" ht="15.75" customHeight="1" x14ac:dyDescent="0.15">
      <c r="A27" s="10"/>
      <c r="B27" s="13"/>
      <c r="C27" s="13"/>
    </row>
    <row r="28" spans="1:4" ht="15.75" customHeight="1" x14ac:dyDescent="0.15">
      <c r="A28" s="10"/>
      <c r="B28" s="13"/>
      <c r="C28" s="13"/>
    </row>
    <row r="29" spans="1:4" ht="15.75" customHeight="1" x14ac:dyDescent="0.15">
      <c r="A29" s="10"/>
      <c r="B29" s="13"/>
      <c r="C29" s="13"/>
    </row>
    <row r="30" spans="1:4" ht="15.75" customHeight="1" x14ac:dyDescent="0.15">
      <c r="A30" s="10"/>
      <c r="B30" s="13"/>
      <c r="C30" s="13"/>
    </row>
    <row r="31" spans="1:4" ht="15.75" customHeight="1" x14ac:dyDescent="0.15">
      <c r="A31" s="10"/>
      <c r="B31" s="13"/>
      <c r="C31" s="13"/>
    </row>
    <row r="32" spans="1:4" ht="15.75" customHeight="1" x14ac:dyDescent="0.15">
      <c r="A32" s="10"/>
      <c r="B32" s="13"/>
      <c r="C32" s="13"/>
    </row>
    <row r="33" spans="1:3" ht="15.75" customHeight="1" x14ac:dyDescent="0.15">
      <c r="A33" s="10"/>
      <c r="B33" s="13"/>
      <c r="C33" s="13"/>
    </row>
    <row r="34" spans="1:3" ht="15.75" customHeight="1" x14ac:dyDescent="0.15">
      <c r="A34" s="10"/>
      <c r="B34" s="13"/>
      <c r="C34" s="13"/>
    </row>
    <row r="35" spans="1:3" ht="15.75" customHeight="1" x14ac:dyDescent="0.15">
      <c r="A35" s="10"/>
      <c r="B35" s="13"/>
      <c r="C35" s="13"/>
    </row>
    <row r="36" spans="1:3" ht="15.75" customHeight="1" x14ac:dyDescent="0.15">
      <c r="A36" s="10"/>
      <c r="B36" s="13"/>
      <c r="C36" s="13"/>
    </row>
    <row r="37" spans="1:3" ht="15.75" customHeight="1" x14ac:dyDescent="0.15">
      <c r="A37" s="10"/>
      <c r="B37" s="13"/>
      <c r="C37" s="13"/>
    </row>
    <row r="38" spans="1:3" ht="15.75" customHeight="1" x14ac:dyDescent="0.15">
      <c r="A38" s="10"/>
      <c r="B38" s="13"/>
      <c r="C38" s="13"/>
    </row>
    <row r="39" spans="1:3" ht="13" x14ac:dyDescent="0.15">
      <c r="A39" s="10"/>
      <c r="B39" s="13"/>
      <c r="C39" s="13"/>
    </row>
    <row r="40" spans="1:3" ht="13" x14ac:dyDescent="0.15">
      <c r="A40" s="10"/>
      <c r="B40" s="13"/>
      <c r="C40" s="13"/>
    </row>
    <row r="41" spans="1:3" ht="13" x14ac:dyDescent="0.15">
      <c r="A41" s="10"/>
      <c r="B41" s="13"/>
      <c r="C41" s="13"/>
    </row>
    <row r="42" spans="1:3" ht="13" x14ac:dyDescent="0.15">
      <c r="A42" s="10"/>
      <c r="B42" s="13"/>
      <c r="C42" s="13"/>
    </row>
    <row r="43" spans="1:3" ht="13" x14ac:dyDescent="0.15">
      <c r="A43" s="10"/>
      <c r="B43" s="13"/>
      <c r="C43" s="13"/>
    </row>
    <row r="44" spans="1:3" ht="13" x14ac:dyDescent="0.15">
      <c r="A44" s="10"/>
      <c r="B44" s="13"/>
      <c r="C44" s="13"/>
    </row>
    <row r="45" spans="1:3" ht="13" x14ac:dyDescent="0.15">
      <c r="A45" s="10"/>
      <c r="B45" s="13"/>
      <c r="C45" s="13"/>
    </row>
    <row r="46" spans="1:3" ht="13" x14ac:dyDescent="0.15">
      <c r="A46" s="10"/>
      <c r="B46" s="13"/>
      <c r="C46" s="13"/>
    </row>
    <row r="47" spans="1:3" ht="13" x14ac:dyDescent="0.15">
      <c r="A47" s="10"/>
      <c r="B47" s="13"/>
      <c r="C47" s="13"/>
    </row>
    <row r="48" spans="1:3" ht="13" x14ac:dyDescent="0.15">
      <c r="A48" s="10"/>
      <c r="B48" s="13"/>
      <c r="C48" s="13"/>
    </row>
    <row r="49" spans="1:3" ht="13" x14ac:dyDescent="0.15">
      <c r="A49" s="10"/>
      <c r="B49" s="13"/>
      <c r="C49" s="13"/>
    </row>
    <row r="50" spans="1:3" ht="13" x14ac:dyDescent="0.15">
      <c r="A50" s="10"/>
      <c r="B50" s="13"/>
      <c r="C50" s="13"/>
    </row>
    <row r="51" spans="1:3" ht="13" x14ac:dyDescent="0.15">
      <c r="A51" s="10"/>
      <c r="B51" s="13"/>
      <c r="C51" s="13"/>
    </row>
    <row r="52" spans="1:3" ht="13" x14ac:dyDescent="0.15">
      <c r="A52" s="10"/>
      <c r="B52" s="13"/>
      <c r="C52" s="13"/>
    </row>
    <row r="53" spans="1:3" ht="13" x14ac:dyDescent="0.15">
      <c r="A53" s="10"/>
      <c r="B53" s="13"/>
      <c r="C53" s="13"/>
    </row>
    <row r="54" spans="1:3" ht="13" x14ac:dyDescent="0.15">
      <c r="A54" s="10"/>
      <c r="B54" s="13"/>
      <c r="C54" s="13"/>
    </row>
    <row r="55" spans="1:3" ht="13" x14ac:dyDescent="0.15">
      <c r="A55" s="10"/>
      <c r="B55" s="13"/>
      <c r="C55" s="13"/>
    </row>
    <row r="56" spans="1:3" ht="13" x14ac:dyDescent="0.15">
      <c r="A56" s="10"/>
      <c r="B56" s="13"/>
      <c r="C56" s="13"/>
    </row>
    <row r="57" spans="1:3" ht="13" x14ac:dyDescent="0.15">
      <c r="A57" s="10"/>
      <c r="B57" s="13"/>
      <c r="C57" s="13"/>
    </row>
    <row r="58" spans="1:3" ht="13" x14ac:dyDescent="0.15">
      <c r="A58" s="10"/>
      <c r="B58" s="13"/>
      <c r="C58" s="13"/>
    </row>
    <row r="59" spans="1:3" ht="13" x14ac:dyDescent="0.15">
      <c r="A59" s="10"/>
      <c r="B59" s="13"/>
      <c r="C59" s="13"/>
    </row>
    <row r="60" spans="1:3" ht="13" x14ac:dyDescent="0.15">
      <c r="A60" s="10"/>
      <c r="B60" s="13"/>
      <c r="C60" s="13"/>
    </row>
    <row r="61" spans="1:3" ht="13" x14ac:dyDescent="0.15">
      <c r="A61" s="10"/>
      <c r="B61" s="13"/>
      <c r="C61" s="13"/>
    </row>
    <row r="62" spans="1:3" ht="13" x14ac:dyDescent="0.15">
      <c r="A62" s="10"/>
      <c r="B62" s="13"/>
      <c r="C62" s="13"/>
    </row>
    <row r="63" spans="1:3" ht="13" x14ac:dyDescent="0.15">
      <c r="A63" s="10"/>
      <c r="B63" s="13"/>
      <c r="C63" s="13"/>
    </row>
    <row r="64" spans="1:3" ht="13" x14ac:dyDescent="0.15">
      <c r="A64" s="10"/>
      <c r="B64" s="13"/>
      <c r="C64" s="13"/>
    </row>
    <row r="65" spans="1:3" ht="13" x14ac:dyDescent="0.15">
      <c r="A65" s="10"/>
      <c r="B65" s="13"/>
      <c r="C65" s="13"/>
    </row>
    <row r="66" spans="1:3" ht="13" x14ac:dyDescent="0.15">
      <c r="A66" s="10"/>
      <c r="B66" s="13"/>
      <c r="C66" s="13"/>
    </row>
    <row r="67" spans="1:3" ht="13" x14ac:dyDescent="0.15">
      <c r="A67" s="10"/>
      <c r="B67" s="13"/>
      <c r="C67" s="13"/>
    </row>
    <row r="68" spans="1:3" ht="13" x14ac:dyDescent="0.15">
      <c r="A68" s="10"/>
      <c r="B68" s="13"/>
      <c r="C68" s="13"/>
    </row>
    <row r="69" spans="1:3" ht="13" x14ac:dyDescent="0.15">
      <c r="A69" s="10"/>
      <c r="B69" s="13"/>
      <c r="C69" s="13"/>
    </row>
    <row r="70" spans="1:3" ht="13" x14ac:dyDescent="0.15">
      <c r="A70" s="10"/>
      <c r="B70" s="13"/>
      <c r="C70" s="13"/>
    </row>
    <row r="71" spans="1:3" ht="13" x14ac:dyDescent="0.15">
      <c r="A71" s="10"/>
      <c r="B71" s="13"/>
      <c r="C71" s="13"/>
    </row>
    <row r="72" spans="1:3" ht="13" x14ac:dyDescent="0.15">
      <c r="A72" s="10"/>
      <c r="B72" s="13"/>
      <c r="C72" s="13"/>
    </row>
    <row r="73" spans="1:3" ht="13" x14ac:dyDescent="0.15">
      <c r="A73" s="10"/>
      <c r="B73" s="13"/>
      <c r="C73" s="13"/>
    </row>
    <row r="74" spans="1:3" ht="13" x14ac:dyDescent="0.15">
      <c r="A74" s="10"/>
      <c r="B74" s="13"/>
      <c r="C74" s="13"/>
    </row>
    <row r="75" spans="1:3" ht="13" x14ac:dyDescent="0.15">
      <c r="A75" s="10"/>
      <c r="B75" s="13"/>
      <c r="C75" s="13"/>
    </row>
    <row r="76" spans="1:3" ht="13" x14ac:dyDescent="0.15">
      <c r="A76" s="10"/>
      <c r="B76" s="13"/>
      <c r="C76" s="13"/>
    </row>
    <row r="77" spans="1:3" ht="13" x14ac:dyDescent="0.15">
      <c r="A77" s="10"/>
      <c r="B77" s="13"/>
      <c r="C77" s="13"/>
    </row>
    <row r="78" spans="1:3" ht="13" x14ac:dyDescent="0.15">
      <c r="A78" s="10"/>
      <c r="B78" s="13"/>
      <c r="C78" s="13"/>
    </row>
    <row r="79" spans="1:3" ht="13" x14ac:dyDescent="0.15">
      <c r="A79" s="10"/>
      <c r="B79" s="13"/>
      <c r="C79" s="13"/>
    </row>
    <row r="80" spans="1:3" ht="13" x14ac:dyDescent="0.15">
      <c r="A80" s="10"/>
      <c r="B80" s="13"/>
      <c r="C80" s="13"/>
    </row>
    <row r="81" spans="1:3" ht="13" x14ac:dyDescent="0.15">
      <c r="A81" s="10"/>
      <c r="B81" s="13"/>
      <c r="C81" s="13"/>
    </row>
    <row r="82" spans="1:3" ht="13" x14ac:dyDescent="0.15">
      <c r="A82" s="10"/>
      <c r="B82" s="13"/>
      <c r="C82" s="13"/>
    </row>
    <row r="83" spans="1:3" ht="13" x14ac:dyDescent="0.15">
      <c r="A83" s="10"/>
      <c r="B83" s="13"/>
      <c r="C83" s="13"/>
    </row>
    <row r="84" spans="1:3" ht="13" x14ac:dyDescent="0.15">
      <c r="A84" s="10"/>
      <c r="B84" s="13"/>
      <c r="C84" s="13"/>
    </row>
    <row r="85" spans="1:3" ht="13" x14ac:dyDescent="0.15">
      <c r="A85" s="10"/>
      <c r="B85" s="13"/>
      <c r="C85" s="13"/>
    </row>
    <row r="86" spans="1:3" ht="13" x14ac:dyDescent="0.15">
      <c r="A86" s="10"/>
      <c r="B86" s="13"/>
      <c r="C86" s="13"/>
    </row>
    <row r="87" spans="1:3" ht="13" x14ac:dyDescent="0.15">
      <c r="A87" s="10"/>
      <c r="B87" s="13"/>
      <c r="C87" s="13"/>
    </row>
    <row r="88" spans="1:3" ht="13" x14ac:dyDescent="0.15">
      <c r="A88" s="10"/>
      <c r="B88" s="13"/>
      <c r="C88" s="13"/>
    </row>
    <row r="89" spans="1:3" ht="13" x14ac:dyDescent="0.15">
      <c r="A89" s="10"/>
      <c r="B89" s="13"/>
      <c r="C89" s="13"/>
    </row>
    <row r="90" spans="1:3" ht="13" x14ac:dyDescent="0.15">
      <c r="A90" s="10"/>
      <c r="B90" s="13"/>
      <c r="C90" s="13"/>
    </row>
    <row r="91" spans="1:3" ht="13" x14ac:dyDescent="0.15">
      <c r="A91" s="10"/>
      <c r="B91" s="13"/>
      <c r="C91" s="13"/>
    </row>
    <row r="92" spans="1:3" ht="13" x14ac:dyDescent="0.15">
      <c r="A92" s="10"/>
      <c r="B92" s="13"/>
      <c r="C92" s="13"/>
    </row>
    <row r="93" spans="1:3" ht="13" x14ac:dyDescent="0.15">
      <c r="A93" s="10"/>
      <c r="B93" s="13"/>
      <c r="C93" s="13"/>
    </row>
    <row r="94" spans="1:3" ht="13" x14ac:dyDescent="0.15">
      <c r="A94" s="10"/>
      <c r="B94" s="13"/>
      <c r="C94" s="13"/>
    </row>
    <row r="95" spans="1:3" ht="13" x14ac:dyDescent="0.15">
      <c r="A95" s="10"/>
      <c r="B95" s="13"/>
      <c r="C95" s="13"/>
    </row>
    <row r="96" spans="1:3" ht="13" x14ac:dyDescent="0.15">
      <c r="A96" s="10"/>
      <c r="B96" s="13"/>
      <c r="C96" s="13"/>
    </row>
    <row r="97" spans="1:3" ht="13" x14ac:dyDescent="0.15">
      <c r="A97" s="10"/>
      <c r="B97" s="13"/>
      <c r="C97" s="13"/>
    </row>
    <row r="98" spans="1:3" ht="13" x14ac:dyDescent="0.15">
      <c r="A98" s="10"/>
      <c r="B98" s="13"/>
      <c r="C98" s="13"/>
    </row>
    <row r="99" spans="1:3" ht="13" x14ac:dyDescent="0.15">
      <c r="A99" s="10"/>
      <c r="B99" s="13"/>
      <c r="C99" s="13"/>
    </row>
    <row r="100" spans="1:3" ht="13" x14ac:dyDescent="0.15">
      <c r="A100" s="10"/>
      <c r="B100" s="13"/>
      <c r="C100" s="13"/>
    </row>
    <row r="101" spans="1:3" ht="13" x14ac:dyDescent="0.15">
      <c r="A101" s="10"/>
      <c r="B101" s="13"/>
      <c r="C101" s="13"/>
    </row>
    <row r="102" spans="1:3" ht="13" x14ac:dyDescent="0.15">
      <c r="A102" s="10"/>
      <c r="B102" s="13"/>
      <c r="C102" s="13"/>
    </row>
    <row r="103" spans="1:3" ht="13" x14ac:dyDescent="0.15">
      <c r="A103" s="10"/>
      <c r="B103" s="13"/>
      <c r="C103" s="13"/>
    </row>
    <row r="104" spans="1:3" ht="13" x14ac:dyDescent="0.15">
      <c r="A104" s="10"/>
      <c r="B104" s="13"/>
      <c r="C104" s="13"/>
    </row>
    <row r="105" spans="1:3" ht="13" x14ac:dyDescent="0.15">
      <c r="A105" s="10"/>
      <c r="B105" s="13"/>
      <c r="C105" s="13"/>
    </row>
    <row r="106" spans="1:3" ht="13" x14ac:dyDescent="0.15">
      <c r="A106" s="10"/>
      <c r="B106" s="13"/>
      <c r="C106" s="13"/>
    </row>
    <row r="107" spans="1:3" ht="13" x14ac:dyDescent="0.15">
      <c r="A107" s="10"/>
      <c r="B107" s="13"/>
      <c r="C107" s="13"/>
    </row>
    <row r="108" spans="1:3" ht="13" x14ac:dyDescent="0.15">
      <c r="A108" s="10"/>
      <c r="B108" s="13"/>
      <c r="C108" s="13"/>
    </row>
    <row r="109" spans="1:3" ht="13" x14ac:dyDescent="0.15">
      <c r="A109" s="10"/>
      <c r="B109" s="13"/>
      <c r="C109" s="13"/>
    </row>
    <row r="110" spans="1:3" ht="13" x14ac:dyDescent="0.15">
      <c r="A110" s="10"/>
      <c r="B110" s="13"/>
      <c r="C110" s="13"/>
    </row>
    <row r="111" spans="1:3" ht="13" x14ac:dyDescent="0.15">
      <c r="A111" s="10"/>
      <c r="B111" s="13"/>
      <c r="C111" s="13"/>
    </row>
    <row r="112" spans="1:3" ht="13" x14ac:dyDescent="0.15">
      <c r="A112" s="10"/>
      <c r="B112" s="13"/>
      <c r="C112" s="13"/>
    </row>
    <row r="113" spans="1:3" ht="13" x14ac:dyDescent="0.15">
      <c r="A113" s="10"/>
      <c r="B113" s="13"/>
      <c r="C113" s="13"/>
    </row>
    <row r="114" spans="1:3" ht="13" x14ac:dyDescent="0.15">
      <c r="A114" s="10"/>
      <c r="B114" s="13"/>
      <c r="C114" s="13"/>
    </row>
    <row r="115" spans="1:3" ht="13" x14ac:dyDescent="0.15">
      <c r="A115" s="10"/>
      <c r="B115" s="13"/>
      <c r="C115" s="13"/>
    </row>
    <row r="116" spans="1:3" ht="13" x14ac:dyDescent="0.15">
      <c r="A116" s="10"/>
      <c r="B116" s="13"/>
      <c r="C116" s="13"/>
    </row>
    <row r="117" spans="1:3" ht="13" x14ac:dyDescent="0.15">
      <c r="A117" s="10"/>
      <c r="B117" s="13"/>
      <c r="C117" s="13"/>
    </row>
    <row r="118" spans="1:3" ht="13" x14ac:dyDescent="0.15">
      <c r="A118" s="10"/>
      <c r="B118" s="13"/>
      <c r="C118" s="13"/>
    </row>
    <row r="119" spans="1:3" ht="13" x14ac:dyDescent="0.15">
      <c r="A119" s="10"/>
      <c r="B119" s="13"/>
      <c r="C119" s="13"/>
    </row>
    <row r="120" spans="1:3" ht="13" x14ac:dyDescent="0.15">
      <c r="A120" s="10"/>
      <c r="B120" s="13"/>
      <c r="C120" s="13"/>
    </row>
    <row r="121" spans="1:3" ht="13" x14ac:dyDescent="0.15">
      <c r="A121" s="10"/>
      <c r="B121" s="13"/>
      <c r="C121" s="13"/>
    </row>
    <row r="122" spans="1:3" ht="13" x14ac:dyDescent="0.15">
      <c r="A122" s="10"/>
      <c r="B122" s="13"/>
      <c r="C122" s="13"/>
    </row>
    <row r="123" spans="1:3" ht="13" x14ac:dyDescent="0.15">
      <c r="A123" s="10"/>
      <c r="B123" s="13"/>
      <c r="C123" s="13"/>
    </row>
    <row r="124" spans="1:3" ht="13" x14ac:dyDescent="0.15">
      <c r="A124" s="10"/>
      <c r="B124" s="13"/>
      <c r="C124" s="13"/>
    </row>
    <row r="125" spans="1:3" ht="13" x14ac:dyDescent="0.15">
      <c r="A125" s="10"/>
      <c r="B125" s="13"/>
      <c r="C125" s="13"/>
    </row>
    <row r="126" spans="1:3" ht="13" x14ac:dyDescent="0.15">
      <c r="A126" s="10"/>
      <c r="B126" s="13"/>
      <c r="C126" s="13"/>
    </row>
    <row r="127" spans="1:3" ht="13" x14ac:dyDescent="0.15">
      <c r="A127" s="10"/>
      <c r="B127" s="13"/>
      <c r="C127" s="13"/>
    </row>
    <row r="128" spans="1:3" ht="13" x14ac:dyDescent="0.15">
      <c r="A128" s="10"/>
      <c r="B128" s="13"/>
      <c r="C128" s="13"/>
    </row>
    <row r="129" spans="1:3" ht="13" x14ac:dyDescent="0.15">
      <c r="A129" s="10"/>
      <c r="B129" s="13"/>
      <c r="C129" s="13"/>
    </row>
    <row r="130" spans="1:3" ht="13" x14ac:dyDescent="0.15">
      <c r="A130" s="10"/>
      <c r="B130" s="13"/>
      <c r="C130" s="13"/>
    </row>
    <row r="131" spans="1:3" ht="13" x14ac:dyDescent="0.15">
      <c r="A131" s="10"/>
      <c r="B131" s="13"/>
      <c r="C131" s="13"/>
    </row>
    <row r="132" spans="1:3" ht="13" x14ac:dyDescent="0.15">
      <c r="A132" s="10"/>
      <c r="B132" s="13"/>
      <c r="C132" s="13"/>
    </row>
    <row r="133" spans="1:3" ht="13" x14ac:dyDescent="0.15">
      <c r="A133" s="10"/>
      <c r="B133" s="13"/>
      <c r="C133" s="13"/>
    </row>
    <row r="134" spans="1:3" ht="13" x14ac:dyDescent="0.15">
      <c r="A134" s="10"/>
      <c r="B134" s="13"/>
      <c r="C134" s="13"/>
    </row>
    <row r="135" spans="1:3" ht="13" x14ac:dyDescent="0.15">
      <c r="A135" s="10"/>
      <c r="B135" s="13"/>
      <c r="C135" s="13"/>
    </row>
    <row r="136" spans="1:3" ht="13" x14ac:dyDescent="0.15">
      <c r="A136" s="10"/>
      <c r="B136" s="13"/>
      <c r="C136" s="13"/>
    </row>
    <row r="137" spans="1:3" ht="13" x14ac:dyDescent="0.15">
      <c r="A137" s="10"/>
      <c r="B137" s="13"/>
      <c r="C137" s="13"/>
    </row>
    <row r="138" spans="1:3" ht="13" x14ac:dyDescent="0.15">
      <c r="A138" s="10"/>
      <c r="B138" s="13"/>
      <c r="C138" s="13"/>
    </row>
    <row r="139" spans="1:3" ht="13" x14ac:dyDescent="0.15">
      <c r="A139" s="10"/>
      <c r="B139" s="13"/>
      <c r="C139" s="13"/>
    </row>
    <row r="140" spans="1:3" ht="13" x14ac:dyDescent="0.15">
      <c r="A140" s="10"/>
      <c r="B140" s="13"/>
      <c r="C140" s="13"/>
    </row>
    <row r="141" spans="1:3" ht="13" x14ac:dyDescent="0.15">
      <c r="A141" s="10"/>
      <c r="B141" s="13"/>
      <c r="C141" s="13"/>
    </row>
    <row r="142" spans="1:3" ht="13" x14ac:dyDescent="0.15">
      <c r="A142" s="10"/>
      <c r="B142" s="13"/>
      <c r="C142" s="13"/>
    </row>
    <row r="143" spans="1:3" ht="13" x14ac:dyDescent="0.15">
      <c r="A143" s="10"/>
      <c r="B143" s="13"/>
      <c r="C143" s="13"/>
    </row>
    <row r="144" spans="1:3" ht="13" x14ac:dyDescent="0.15">
      <c r="A144" s="10"/>
      <c r="B144" s="13"/>
      <c r="C144" s="13"/>
    </row>
    <row r="145" spans="1:3" ht="13" x14ac:dyDescent="0.15">
      <c r="A145" s="10"/>
      <c r="B145" s="13"/>
      <c r="C145" s="13"/>
    </row>
    <row r="146" spans="1:3" ht="13" x14ac:dyDescent="0.15">
      <c r="A146" s="10"/>
      <c r="B146" s="13"/>
      <c r="C146" s="13"/>
    </row>
    <row r="147" spans="1:3" ht="13" x14ac:dyDescent="0.15">
      <c r="A147" s="10"/>
      <c r="B147" s="13"/>
      <c r="C147" s="13"/>
    </row>
    <row r="148" spans="1:3" ht="13" x14ac:dyDescent="0.15">
      <c r="A148" s="10"/>
      <c r="B148" s="13"/>
      <c r="C148" s="13"/>
    </row>
    <row r="149" spans="1:3" ht="13" x14ac:dyDescent="0.15">
      <c r="A149" s="10"/>
      <c r="B149" s="13"/>
      <c r="C149" s="13"/>
    </row>
    <row r="150" spans="1:3" ht="13" x14ac:dyDescent="0.15">
      <c r="A150" s="10"/>
      <c r="B150" s="13"/>
      <c r="C150" s="13"/>
    </row>
    <row r="151" spans="1:3" ht="13" x14ac:dyDescent="0.15">
      <c r="A151" s="10"/>
      <c r="B151" s="13"/>
      <c r="C151" s="13"/>
    </row>
    <row r="152" spans="1:3" ht="13" x14ac:dyDescent="0.15">
      <c r="A152" s="10"/>
      <c r="B152" s="13"/>
      <c r="C152" s="13"/>
    </row>
    <row r="153" spans="1:3" ht="13" x14ac:dyDescent="0.15">
      <c r="A153" s="10"/>
      <c r="B153" s="13"/>
      <c r="C153" s="13"/>
    </row>
    <row r="154" spans="1:3" ht="13" x14ac:dyDescent="0.15">
      <c r="A154" s="10"/>
      <c r="B154" s="13"/>
      <c r="C154" s="13"/>
    </row>
    <row r="155" spans="1:3" ht="13" x14ac:dyDescent="0.15">
      <c r="A155" s="10"/>
      <c r="B155" s="13"/>
      <c r="C155" s="13"/>
    </row>
    <row r="156" spans="1:3" ht="13" x14ac:dyDescent="0.15">
      <c r="A156" s="10"/>
      <c r="B156" s="13"/>
      <c r="C156" s="13"/>
    </row>
    <row r="157" spans="1:3" ht="13" x14ac:dyDescent="0.15">
      <c r="A157" s="10"/>
      <c r="B157" s="13"/>
      <c r="C157" s="13"/>
    </row>
    <row r="158" spans="1:3" ht="13" x14ac:dyDescent="0.15">
      <c r="A158" s="10"/>
      <c r="B158" s="13"/>
      <c r="C158" s="13"/>
    </row>
    <row r="159" spans="1:3" ht="13" x14ac:dyDescent="0.15">
      <c r="A159" s="10"/>
      <c r="B159" s="13"/>
      <c r="C159" s="13"/>
    </row>
    <row r="160" spans="1:3" ht="13" x14ac:dyDescent="0.15">
      <c r="A160" s="10"/>
      <c r="B160" s="13"/>
      <c r="C160" s="13"/>
    </row>
    <row r="161" spans="1:3" ht="13" x14ac:dyDescent="0.15">
      <c r="A161" s="10"/>
      <c r="B161" s="13"/>
      <c r="C161" s="13"/>
    </row>
    <row r="162" spans="1:3" ht="13" x14ac:dyDescent="0.15">
      <c r="A162" s="10"/>
      <c r="B162" s="13"/>
      <c r="C162" s="13"/>
    </row>
    <row r="163" spans="1:3" ht="13" x14ac:dyDescent="0.15">
      <c r="A163" s="10"/>
      <c r="B163" s="13"/>
      <c r="C163" s="13"/>
    </row>
    <row r="164" spans="1:3" ht="13" x14ac:dyDescent="0.15">
      <c r="A164" s="10"/>
      <c r="B164" s="13"/>
      <c r="C164" s="13"/>
    </row>
    <row r="165" spans="1:3" ht="13" x14ac:dyDescent="0.15">
      <c r="A165" s="10"/>
      <c r="B165" s="13"/>
      <c r="C165" s="13"/>
    </row>
    <row r="166" spans="1:3" ht="13" x14ac:dyDescent="0.15">
      <c r="A166" s="10"/>
      <c r="B166" s="13"/>
      <c r="C166" s="13"/>
    </row>
    <row r="167" spans="1:3" ht="13" x14ac:dyDescent="0.15">
      <c r="A167" s="10"/>
      <c r="B167" s="13"/>
      <c r="C167" s="13"/>
    </row>
    <row r="168" spans="1:3" ht="13" x14ac:dyDescent="0.15">
      <c r="A168" s="10"/>
      <c r="B168" s="13"/>
      <c r="C168" s="13"/>
    </row>
    <row r="169" spans="1:3" ht="13" x14ac:dyDescent="0.15">
      <c r="A169" s="10"/>
      <c r="B169" s="13"/>
      <c r="C169" s="13"/>
    </row>
    <row r="170" spans="1:3" ht="13" x14ac:dyDescent="0.15">
      <c r="A170" s="10"/>
      <c r="B170" s="13"/>
      <c r="C170" s="13"/>
    </row>
    <row r="171" spans="1:3" ht="13" x14ac:dyDescent="0.15">
      <c r="A171" s="10"/>
      <c r="B171" s="13"/>
      <c r="C171" s="13"/>
    </row>
    <row r="172" spans="1:3" ht="13" x14ac:dyDescent="0.15">
      <c r="A172" s="10"/>
      <c r="B172" s="13"/>
      <c r="C172" s="13"/>
    </row>
    <row r="173" spans="1:3" ht="13" x14ac:dyDescent="0.15">
      <c r="A173" s="10"/>
      <c r="B173" s="13"/>
      <c r="C173" s="13"/>
    </row>
    <row r="174" spans="1:3" ht="13" x14ac:dyDescent="0.15">
      <c r="A174" s="10"/>
      <c r="B174" s="13"/>
      <c r="C174" s="13"/>
    </row>
    <row r="175" spans="1:3" ht="13" x14ac:dyDescent="0.15">
      <c r="A175" s="10"/>
      <c r="B175" s="13"/>
      <c r="C175" s="13"/>
    </row>
    <row r="176" spans="1:3" ht="13" x14ac:dyDescent="0.15">
      <c r="A176" s="10"/>
      <c r="B176" s="13"/>
      <c r="C176" s="13"/>
    </row>
    <row r="177" spans="1:3" ht="13" x14ac:dyDescent="0.15">
      <c r="A177" s="10"/>
      <c r="B177" s="13"/>
      <c r="C177" s="13"/>
    </row>
    <row r="178" spans="1:3" ht="13" x14ac:dyDescent="0.15">
      <c r="A178" s="10"/>
      <c r="B178" s="13"/>
      <c r="C178" s="13"/>
    </row>
    <row r="179" spans="1:3" ht="13" x14ac:dyDescent="0.15">
      <c r="A179" s="10"/>
      <c r="B179" s="13"/>
      <c r="C179" s="13"/>
    </row>
    <row r="180" spans="1:3" ht="13" x14ac:dyDescent="0.15">
      <c r="A180" s="10"/>
      <c r="B180" s="13"/>
      <c r="C180" s="13"/>
    </row>
    <row r="181" spans="1:3" ht="13" x14ac:dyDescent="0.15">
      <c r="A181" s="10"/>
      <c r="B181" s="13"/>
      <c r="C181" s="13"/>
    </row>
    <row r="182" spans="1:3" ht="13" x14ac:dyDescent="0.15">
      <c r="A182" s="10"/>
      <c r="B182" s="13"/>
      <c r="C182" s="13"/>
    </row>
    <row r="183" spans="1:3" ht="13" x14ac:dyDescent="0.15">
      <c r="A183" s="10"/>
      <c r="B183" s="13"/>
      <c r="C183" s="13"/>
    </row>
    <row r="184" spans="1:3" ht="13" x14ac:dyDescent="0.15">
      <c r="A184" s="10"/>
      <c r="B184" s="13"/>
      <c r="C184" s="13"/>
    </row>
    <row r="185" spans="1:3" ht="13" x14ac:dyDescent="0.15">
      <c r="A185" s="10"/>
      <c r="B185" s="13"/>
      <c r="C185" s="13"/>
    </row>
    <row r="186" spans="1:3" ht="13" x14ac:dyDescent="0.15">
      <c r="A186" s="10"/>
      <c r="B186" s="13"/>
      <c r="C186" s="13"/>
    </row>
    <row r="187" spans="1:3" ht="13" x14ac:dyDescent="0.15">
      <c r="A187" s="10"/>
      <c r="B187" s="13"/>
      <c r="C187" s="13"/>
    </row>
    <row r="188" spans="1:3" ht="13" x14ac:dyDescent="0.15">
      <c r="A188" s="10"/>
      <c r="B188" s="13"/>
      <c r="C188" s="13"/>
    </row>
    <row r="189" spans="1:3" ht="13" x14ac:dyDescent="0.15">
      <c r="A189" s="10"/>
      <c r="B189" s="13"/>
      <c r="C189" s="13"/>
    </row>
    <row r="190" spans="1:3" ht="13" x14ac:dyDescent="0.15">
      <c r="A190" s="10"/>
      <c r="B190" s="13"/>
      <c r="C190" s="13"/>
    </row>
    <row r="191" spans="1:3" ht="13" x14ac:dyDescent="0.15">
      <c r="A191" s="10"/>
      <c r="B191" s="13"/>
      <c r="C191" s="13"/>
    </row>
    <row r="192" spans="1:3" ht="13" x14ac:dyDescent="0.15">
      <c r="A192" s="10"/>
      <c r="B192" s="13"/>
      <c r="C192" s="13"/>
    </row>
    <row r="193" spans="1:3" ht="13" x14ac:dyDescent="0.15">
      <c r="A193" s="10"/>
      <c r="B193" s="13"/>
      <c r="C193" s="13"/>
    </row>
    <row r="194" spans="1:3" ht="13" x14ac:dyDescent="0.15">
      <c r="A194" s="10"/>
      <c r="B194" s="13"/>
      <c r="C194" s="13"/>
    </row>
    <row r="195" spans="1:3" ht="13" x14ac:dyDescent="0.15">
      <c r="A195" s="10"/>
      <c r="B195" s="13"/>
      <c r="C195" s="13"/>
    </row>
    <row r="196" spans="1:3" ht="13" x14ac:dyDescent="0.15">
      <c r="A196" s="10"/>
      <c r="B196" s="13"/>
      <c r="C196" s="13"/>
    </row>
    <row r="197" spans="1:3" ht="13" x14ac:dyDescent="0.15">
      <c r="A197" s="10"/>
      <c r="B197" s="13"/>
      <c r="C197" s="13"/>
    </row>
    <row r="198" spans="1:3" ht="13" x14ac:dyDescent="0.15">
      <c r="A198" s="10"/>
      <c r="B198" s="13"/>
      <c r="C198" s="13"/>
    </row>
    <row r="199" spans="1:3" ht="13" x14ac:dyDescent="0.15">
      <c r="A199" s="10"/>
      <c r="B199" s="13"/>
      <c r="C199" s="13"/>
    </row>
    <row r="200" spans="1:3" ht="13" x14ac:dyDescent="0.15">
      <c r="A200" s="10"/>
      <c r="B200" s="13"/>
      <c r="C200" s="13"/>
    </row>
    <row r="201" spans="1:3" ht="13" x14ac:dyDescent="0.15">
      <c r="A201" s="10"/>
      <c r="B201" s="13"/>
      <c r="C201" s="13"/>
    </row>
    <row r="202" spans="1:3" ht="13" x14ac:dyDescent="0.15">
      <c r="A202" s="10"/>
      <c r="B202" s="13"/>
      <c r="C202" s="13"/>
    </row>
    <row r="203" spans="1:3" ht="13" x14ac:dyDescent="0.15">
      <c r="A203" s="10"/>
      <c r="B203" s="13"/>
      <c r="C203" s="13"/>
    </row>
    <row r="204" spans="1:3" ht="13" x14ac:dyDescent="0.15">
      <c r="A204" s="10"/>
      <c r="B204" s="13"/>
      <c r="C204" s="13"/>
    </row>
    <row r="205" spans="1:3" ht="13" x14ac:dyDescent="0.15">
      <c r="A205" s="10"/>
      <c r="B205" s="13"/>
      <c r="C205" s="13"/>
    </row>
    <row r="206" spans="1:3" ht="13" x14ac:dyDescent="0.15">
      <c r="A206" s="10"/>
      <c r="B206" s="13"/>
      <c r="C206" s="13"/>
    </row>
    <row r="207" spans="1:3" ht="13" x14ac:dyDescent="0.15">
      <c r="A207" s="10"/>
      <c r="B207" s="13"/>
      <c r="C207" s="13"/>
    </row>
    <row r="208" spans="1:3" ht="13" x14ac:dyDescent="0.15">
      <c r="A208" s="10"/>
      <c r="B208" s="13"/>
      <c r="C208" s="13"/>
    </row>
    <row r="209" spans="1:3" ht="13" x14ac:dyDescent="0.15">
      <c r="A209" s="10"/>
      <c r="B209" s="13"/>
      <c r="C209" s="13"/>
    </row>
    <row r="210" spans="1:3" ht="13" x14ac:dyDescent="0.15">
      <c r="A210" s="10"/>
      <c r="B210" s="13"/>
      <c r="C210" s="13"/>
    </row>
    <row r="211" spans="1:3" ht="13" x14ac:dyDescent="0.15">
      <c r="A211" s="10"/>
      <c r="B211" s="13"/>
      <c r="C211" s="13"/>
    </row>
    <row r="212" spans="1:3" ht="13" x14ac:dyDescent="0.15">
      <c r="A212" s="10"/>
      <c r="B212" s="13"/>
      <c r="C212" s="13"/>
    </row>
    <row r="213" spans="1:3" ht="13" x14ac:dyDescent="0.15">
      <c r="A213" s="10"/>
      <c r="B213" s="13"/>
      <c r="C213" s="13"/>
    </row>
    <row r="214" spans="1:3" ht="13" x14ac:dyDescent="0.15">
      <c r="A214" s="10"/>
      <c r="B214" s="13"/>
      <c r="C214" s="13"/>
    </row>
    <row r="215" spans="1:3" ht="13" x14ac:dyDescent="0.15">
      <c r="A215" s="10"/>
      <c r="B215" s="13"/>
      <c r="C215" s="13"/>
    </row>
    <row r="216" spans="1:3" ht="13" x14ac:dyDescent="0.15">
      <c r="A216" s="10"/>
      <c r="B216" s="13"/>
      <c r="C216" s="13"/>
    </row>
    <row r="217" spans="1:3" ht="13" x14ac:dyDescent="0.15">
      <c r="A217" s="10"/>
      <c r="B217" s="13"/>
      <c r="C217" s="13"/>
    </row>
    <row r="218" spans="1:3" ht="13" x14ac:dyDescent="0.15">
      <c r="A218" s="10"/>
      <c r="B218" s="13"/>
      <c r="C218" s="13"/>
    </row>
    <row r="219" spans="1:3" ht="13" x14ac:dyDescent="0.15">
      <c r="A219" s="10"/>
      <c r="B219" s="13"/>
      <c r="C219" s="13"/>
    </row>
    <row r="220" spans="1:3" ht="13" x14ac:dyDescent="0.15">
      <c r="A220" s="10"/>
      <c r="B220" s="13"/>
      <c r="C220" s="13"/>
    </row>
    <row r="221" spans="1:3" ht="13" x14ac:dyDescent="0.15">
      <c r="A221" s="10"/>
      <c r="B221" s="13"/>
      <c r="C221" s="13"/>
    </row>
    <row r="222" spans="1:3" ht="13" x14ac:dyDescent="0.15">
      <c r="A222" s="10"/>
      <c r="B222" s="13"/>
      <c r="C222" s="13"/>
    </row>
    <row r="223" spans="1:3" ht="13" x14ac:dyDescent="0.15">
      <c r="A223" s="10"/>
      <c r="B223" s="13"/>
      <c r="C223" s="13"/>
    </row>
    <row r="224" spans="1:3" ht="13" x14ac:dyDescent="0.15">
      <c r="A224" s="10"/>
      <c r="B224" s="13"/>
      <c r="C224" s="13"/>
    </row>
    <row r="225" spans="1:3" ht="13" x14ac:dyDescent="0.15">
      <c r="A225" s="10"/>
      <c r="B225" s="13"/>
      <c r="C225" s="13"/>
    </row>
    <row r="226" spans="1:3" ht="13" x14ac:dyDescent="0.15">
      <c r="A226" s="10"/>
      <c r="B226" s="13"/>
      <c r="C226" s="13"/>
    </row>
    <row r="227" spans="1:3" ht="13" x14ac:dyDescent="0.15">
      <c r="A227" s="10"/>
      <c r="B227" s="13"/>
      <c r="C227" s="13"/>
    </row>
    <row r="228" spans="1:3" ht="13" x14ac:dyDescent="0.15">
      <c r="A228" s="10"/>
      <c r="B228" s="13"/>
      <c r="C228" s="13"/>
    </row>
    <row r="229" spans="1:3" ht="13" x14ac:dyDescent="0.15">
      <c r="A229" s="10"/>
      <c r="B229" s="13"/>
      <c r="C229" s="13"/>
    </row>
    <row r="230" spans="1:3" ht="13" x14ac:dyDescent="0.15">
      <c r="A230" s="10"/>
      <c r="B230" s="13"/>
      <c r="C230" s="13"/>
    </row>
    <row r="231" spans="1:3" ht="13" x14ac:dyDescent="0.15">
      <c r="A231" s="10"/>
      <c r="B231" s="13"/>
      <c r="C231" s="13"/>
    </row>
    <row r="232" spans="1:3" ht="13" x14ac:dyDescent="0.15">
      <c r="A232" s="10"/>
      <c r="B232" s="13"/>
      <c r="C232" s="13"/>
    </row>
    <row r="233" spans="1:3" ht="13" x14ac:dyDescent="0.15">
      <c r="A233" s="10"/>
      <c r="B233" s="13"/>
      <c r="C233" s="13"/>
    </row>
    <row r="234" spans="1:3" ht="13" x14ac:dyDescent="0.15">
      <c r="A234" s="10"/>
      <c r="B234" s="13"/>
      <c r="C234" s="13"/>
    </row>
    <row r="235" spans="1:3" ht="13" x14ac:dyDescent="0.15">
      <c r="A235" s="10"/>
      <c r="B235" s="13"/>
      <c r="C235" s="13"/>
    </row>
    <row r="236" spans="1:3" ht="13" x14ac:dyDescent="0.15">
      <c r="A236" s="10"/>
      <c r="B236" s="13"/>
      <c r="C236" s="13"/>
    </row>
    <row r="237" spans="1:3" ht="13" x14ac:dyDescent="0.15">
      <c r="A237" s="10"/>
      <c r="B237" s="13"/>
      <c r="C237" s="13"/>
    </row>
    <row r="238" spans="1:3" ht="13" x14ac:dyDescent="0.15">
      <c r="A238" s="10"/>
      <c r="B238" s="13"/>
      <c r="C238" s="13"/>
    </row>
    <row r="239" spans="1:3" ht="13" x14ac:dyDescent="0.15">
      <c r="A239" s="10"/>
      <c r="B239" s="13"/>
      <c r="C239" s="13"/>
    </row>
    <row r="240" spans="1:3" ht="13" x14ac:dyDescent="0.15">
      <c r="A240" s="10"/>
      <c r="B240" s="13"/>
      <c r="C240" s="13"/>
    </row>
    <row r="241" spans="1:3" ht="13" x14ac:dyDescent="0.15">
      <c r="A241" s="10"/>
      <c r="B241" s="13"/>
      <c r="C241" s="13"/>
    </row>
    <row r="242" spans="1:3" ht="13" x14ac:dyDescent="0.15">
      <c r="A242" s="10"/>
      <c r="B242" s="13"/>
      <c r="C242" s="13"/>
    </row>
    <row r="243" spans="1:3" ht="13" x14ac:dyDescent="0.15">
      <c r="A243" s="10"/>
      <c r="B243" s="13"/>
      <c r="C243" s="13"/>
    </row>
    <row r="244" spans="1:3" ht="13" x14ac:dyDescent="0.15">
      <c r="A244" s="10"/>
      <c r="B244" s="13"/>
      <c r="C244" s="13"/>
    </row>
    <row r="245" spans="1:3" ht="13" x14ac:dyDescent="0.15">
      <c r="A245" s="10"/>
      <c r="B245" s="13"/>
      <c r="C245" s="13"/>
    </row>
    <row r="246" spans="1:3" ht="13" x14ac:dyDescent="0.15">
      <c r="A246" s="10"/>
      <c r="B246" s="13"/>
      <c r="C246" s="13"/>
    </row>
    <row r="247" spans="1:3" ht="13" x14ac:dyDescent="0.15">
      <c r="A247" s="10"/>
      <c r="B247" s="13"/>
      <c r="C247" s="13"/>
    </row>
    <row r="248" spans="1:3" ht="13" x14ac:dyDescent="0.15">
      <c r="A248" s="10"/>
      <c r="B248" s="13"/>
      <c r="C248" s="13"/>
    </row>
    <row r="249" spans="1:3" ht="13" x14ac:dyDescent="0.15">
      <c r="A249" s="10"/>
      <c r="B249" s="13"/>
      <c r="C249" s="13"/>
    </row>
    <row r="250" spans="1:3" ht="13" x14ac:dyDescent="0.15">
      <c r="A250" s="10"/>
      <c r="B250" s="13"/>
      <c r="C250" s="13"/>
    </row>
    <row r="251" spans="1:3" ht="13" x14ac:dyDescent="0.15">
      <c r="A251" s="10"/>
      <c r="B251" s="13"/>
      <c r="C251" s="13"/>
    </row>
    <row r="252" spans="1:3" ht="13" x14ac:dyDescent="0.15">
      <c r="A252" s="10"/>
      <c r="B252" s="13"/>
      <c r="C252" s="13"/>
    </row>
    <row r="253" spans="1:3" ht="13" x14ac:dyDescent="0.15">
      <c r="A253" s="10"/>
      <c r="B253" s="13"/>
      <c r="C253" s="13"/>
    </row>
    <row r="254" spans="1:3" ht="13" x14ac:dyDescent="0.15">
      <c r="A254" s="10"/>
      <c r="B254" s="13"/>
      <c r="C254" s="13"/>
    </row>
    <row r="255" spans="1:3" ht="13" x14ac:dyDescent="0.15">
      <c r="A255" s="10"/>
      <c r="B255" s="13"/>
      <c r="C255" s="13"/>
    </row>
    <row r="256" spans="1:3" ht="13" x14ac:dyDescent="0.15">
      <c r="A256" s="10"/>
      <c r="B256" s="13"/>
      <c r="C256" s="13"/>
    </row>
    <row r="257" spans="1:3" ht="13" x14ac:dyDescent="0.15">
      <c r="A257" s="10"/>
      <c r="B257" s="13"/>
      <c r="C257" s="13"/>
    </row>
    <row r="258" spans="1:3" ht="13" x14ac:dyDescent="0.15">
      <c r="A258" s="10"/>
      <c r="B258" s="13"/>
      <c r="C258" s="13"/>
    </row>
    <row r="259" spans="1:3" ht="13" x14ac:dyDescent="0.15">
      <c r="A259" s="10"/>
      <c r="B259" s="13"/>
      <c r="C259" s="13"/>
    </row>
    <row r="260" spans="1:3" ht="13" x14ac:dyDescent="0.15">
      <c r="A260" s="10"/>
      <c r="B260" s="13"/>
      <c r="C260" s="13"/>
    </row>
    <row r="261" spans="1:3" ht="13" x14ac:dyDescent="0.15">
      <c r="A261" s="10"/>
      <c r="B261" s="13"/>
      <c r="C261" s="13"/>
    </row>
    <row r="262" spans="1:3" ht="13" x14ac:dyDescent="0.15">
      <c r="A262" s="10"/>
      <c r="B262" s="13"/>
      <c r="C262" s="13"/>
    </row>
    <row r="263" spans="1:3" ht="13" x14ac:dyDescent="0.15">
      <c r="A263" s="10"/>
      <c r="B263" s="13"/>
      <c r="C263" s="13"/>
    </row>
    <row r="264" spans="1:3" ht="13" x14ac:dyDescent="0.15">
      <c r="A264" s="10"/>
      <c r="B264" s="13"/>
      <c r="C264" s="13"/>
    </row>
    <row r="265" spans="1:3" ht="13" x14ac:dyDescent="0.15">
      <c r="A265" s="10"/>
      <c r="B265" s="13"/>
      <c r="C265" s="13"/>
    </row>
    <row r="266" spans="1:3" ht="13" x14ac:dyDescent="0.15">
      <c r="A266" s="10"/>
      <c r="B266" s="13"/>
      <c r="C266" s="13"/>
    </row>
    <row r="267" spans="1:3" ht="13" x14ac:dyDescent="0.15">
      <c r="A267" s="10"/>
      <c r="B267" s="13"/>
      <c r="C267" s="13"/>
    </row>
    <row r="268" spans="1:3" ht="13" x14ac:dyDescent="0.15">
      <c r="A268" s="10"/>
      <c r="B268" s="13"/>
      <c r="C268" s="13"/>
    </row>
    <row r="269" spans="1:3" ht="13" x14ac:dyDescent="0.15">
      <c r="A269" s="10"/>
      <c r="B269" s="13"/>
      <c r="C269" s="13"/>
    </row>
    <row r="270" spans="1:3" ht="13" x14ac:dyDescent="0.15">
      <c r="A270" s="10"/>
      <c r="B270" s="13"/>
      <c r="C270" s="13"/>
    </row>
    <row r="271" spans="1:3" ht="13" x14ac:dyDescent="0.15">
      <c r="A271" s="10"/>
      <c r="B271" s="13"/>
      <c r="C271" s="13"/>
    </row>
    <row r="272" spans="1:3" ht="13" x14ac:dyDescent="0.15">
      <c r="A272" s="10"/>
      <c r="B272" s="13"/>
      <c r="C272" s="13"/>
    </row>
    <row r="273" spans="1:3" ht="13" x14ac:dyDescent="0.15">
      <c r="A273" s="10"/>
      <c r="B273" s="13"/>
      <c r="C273" s="13"/>
    </row>
    <row r="274" spans="1:3" ht="13" x14ac:dyDescent="0.15">
      <c r="A274" s="10"/>
      <c r="B274" s="13"/>
      <c r="C274" s="13"/>
    </row>
    <row r="275" spans="1:3" ht="13" x14ac:dyDescent="0.15">
      <c r="A275" s="10"/>
      <c r="B275" s="13"/>
      <c r="C275" s="13"/>
    </row>
    <row r="276" spans="1:3" ht="13" x14ac:dyDescent="0.15">
      <c r="A276" s="10"/>
      <c r="B276" s="13"/>
      <c r="C276" s="13"/>
    </row>
    <row r="277" spans="1:3" ht="13" x14ac:dyDescent="0.15">
      <c r="A277" s="10"/>
      <c r="B277" s="13"/>
      <c r="C277" s="13"/>
    </row>
    <row r="278" spans="1:3" ht="13" x14ac:dyDescent="0.15">
      <c r="A278" s="10"/>
      <c r="B278" s="13"/>
      <c r="C278" s="13"/>
    </row>
    <row r="279" spans="1:3" ht="13" x14ac:dyDescent="0.15">
      <c r="A279" s="10"/>
      <c r="B279" s="13"/>
      <c r="C279" s="13"/>
    </row>
    <row r="280" spans="1:3" ht="13" x14ac:dyDescent="0.15">
      <c r="A280" s="10"/>
      <c r="B280" s="13"/>
      <c r="C280" s="13"/>
    </row>
    <row r="281" spans="1:3" ht="13" x14ac:dyDescent="0.15">
      <c r="A281" s="10"/>
      <c r="B281" s="13"/>
      <c r="C281" s="13"/>
    </row>
    <row r="282" spans="1:3" ht="13" x14ac:dyDescent="0.15">
      <c r="A282" s="10"/>
      <c r="B282" s="13"/>
      <c r="C282" s="13"/>
    </row>
    <row r="283" spans="1:3" ht="13" x14ac:dyDescent="0.15">
      <c r="A283" s="10"/>
      <c r="B283" s="13"/>
      <c r="C283" s="13"/>
    </row>
    <row r="284" spans="1:3" ht="13" x14ac:dyDescent="0.15">
      <c r="A284" s="10"/>
      <c r="B284" s="13"/>
      <c r="C284" s="13"/>
    </row>
    <row r="285" spans="1:3" ht="13" x14ac:dyDescent="0.15">
      <c r="A285" s="10"/>
      <c r="B285" s="13"/>
      <c r="C285" s="13"/>
    </row>
    <row r="286" spans="1:3" ht="13" x14ac:dyDescent="0.15">
      <c r="A286" s="10"/>
      <c r="B286" s="13"/>
      <c r="C286" s="13"/>
    </row>
    <row r="287" spans="1:3" ht="13" x14ac:dyDescent="0.15">
      <c r="A287" s="10"/>
      <c r="B287" s="13"/>
      <c r="C287" s="13"/>
    </row>
    <row r="288" spans="1:3" ht="13" x14ac:dyDescent="0.15">
      <c r="A288" s="10"/>
      <c r="B288" s="13"/>
      <c r="C288" s="13"/>
    </row>
    <row r="289" spans="1:3" ht="13" x14ac:dyDescent="0.15">
      <c r="A289" s="10"/>
      <c r="B289" s="13"/>
      <c r="C289" s="13"/>
    </row>
    <row r="290" spans="1:3" ht="13" x14ac:dyDescent="0.15">
      <c r="A290" s="10"/>
      <c r="B290" s="13"/>
      <c r="C290" s="13"/>
    </row>
    <row r="291" spans="1:3" ht="13" x14ac:dyDescent="0.15">
      <c r="A291" s="10"/>
      <c r="B291" s="13"/>
      <c r="C291" s="13"/>
    </row>
    <row r="292" spans="1:3" ht="13" x14ac:dyDescent="0.15">
      <c r="A292" s="10"/>
      <c r="B292" s="13"/>
      <c r="C292" s="13"/>
    </row>
    <row r="293" spans="1:3" ht="13" x14ac:dyDescent="0.15">
      <c r="A293" s="10"/>
      <c r="B293" s="13"/>
      <c r="C293" s="13"/>
    </row>
    <row r="294" spans="1:3" ht="13" x14ac:dyDescent="0.15">
      <c r="A294" s="10"/>
      <c r="B294" s="13"/>
      <c r="C294" s="13"/>
    </row>
    <row r="295" spans="1:3" ht="13" x14ac:dyDescent="0.15">
      <c r="A295" s="10"/>
      <c r="B295" s="13"/>
      <c r="C295" s="13"/>
    </row>
    <row r="296" spans="1:3" ht="13" x14ac:dyDescent="0.15">
      <c r="A296" s="10"/>
      <c r="B296" s="13"/>
      <c r="C296" s="13"/>
    </row>
    <row r="297" spans="1:3" ht="13" x14ac:dyDescent="0.15">
      <c r="A297" s="10"/>
      <c r="B297" s="13"/>
      <c r="C297" s="13"/>
    </row>
    <row r="298" spans="1:3" ht="13" x14ac:dyDescent="0.15">
      <c r="A298" s="10"/>
      <c r="B298" s="13"/>
      <c r="C298" s="13"/>
    </row>
    <row r="299" spans="1:3" ht="13" x14ac:dyDescent="0.15">
      <c r="A299" s="10"/>
      <c r="B299" s="13"/>
      <c r="C299" s="13"/>
    </row>
    <row r="300" spans="1:3" ht="13" x14ac:dyDescent="0.15">
      <c r="A300" s="10"/>
      <c r="B300" s="13"/>
      <c r="C300" s="13"/>
    </row>
    <row r="301" spans="1:3" ht="13" x14ac:dyDescent="0.15">
      <c r="A301" s="10"/>
      <c r="B301" s="13"/>
      <c r="C301" s="13"/>
    </row>
    <row r="302" spans="1:3" ht="13" x14ac:dyDescent="0.15">
      <c r="A302" s="10"/>
      <c r="B302" s="13"/>
      <c r="C302" s="13"/>
    </row>
    <row r="303" spans="1:3" ht="13" x14ac:dyDescent="0.15">
      <c r="A303" s="10"/>
      <c r="B303" s="13"/>
      <c r="C303" s="13"/>
    </row>
    <row r="304" spans="1:3" ht="13" x14ac:dyDescent="0.15">
      <c r="A304" s="10"/>
      <c r="B304" s="13"/>
      <c r="C304" s="13"/>
    </row>
    <row r="305" spans="1:3" ht="13" x14ac:dyDescent="0.15">
      <c r="A305" s="10"/>
      <c r="B305" s="13"/>
      <c r="C305" s="13"/>
    </row>
    <row r="306" spans="1:3" ht="13" x14ac:dyDescent="0.15">
      <c r="A306" s="10"/>
      <c r="B306" s="13"/>
      <c r="C306" s="13"/>
    </row>
    <row r="307" spans="1:3" ht="13" x14ac:dyDescent="0.15">
      <c r="A307" s="10"/>
      <c r="B307" s="13"/>
      <c r="C307" s="13"/>
    </row>
    <row r="308" spans="1:3" ht="13" x14ac:dyDescent="0.15">
      <c r="A308" s="10"/>
      <c r="B308" s="13"/>
      <c r="C308" s="13"/>
    </row>
    <row r="309" spans="1:3" ht="13" x14ac:dyDescent="0.15">
      <c r="A309" s="10"/>
      <c r="B309" s="13"/>
      <c r="C309" s="13"/>
    </row>
    <row r="310" spans="1:3" ht="13" x14ac:dyDescent="0.15">
      <c r="A310" s="10"/>
      <c r="B310" s="13"/>
      <c r="C310" s="13"/>
    </row>
    <row r="311" spans="1:3" ht="13" x14ac:dyDescent="0.15">
      <c r="A311" s="10"/>
      <c r="B311" s="13"/>
      <c r="C311" s="13"/>
    </row>
    <row r="312" spans="1:3" ht="13" x14ac:dyDescent="0.15">
      <c r="A312" s="10"/>
      <c r="B312" s="13"/>
      <c r="C312" s="13"/>
    </row>
    <row r="313" spans="1:3" ht="13" x14ac:dyDescent="0.15">
      <c r="A313" s="10"/>
      <c r="B313" s="13"/>
      <c r="C313" s="13"/>
    </row>
    <row r="314" spans="1:3" ht="13" x14ac:dyDescent="0.15">
      <c r="A314" s="10"/>
      <c r="B314" s="13"/>
      <c r="C314" s="13"/>
    </row>
    <row r="315" spans="1:3" ht="13" x14ac:dyDescent="0.15">
      <c r="A315" s="10"/>
      <c r="B315" s="13"/>
      <c r="C315" s="13"/>
    </row>
    <row r="316" spans="1:3" ht="13" x14ac:dyDescent="0.15">
      <c r="A316" s="10"/>
      <c r="B316" s="13"/>
      <c r="C316" s="13"/>
    </row>
    <row r="317" spans="1:3" ht="13" x14ac:dyDescent="0.15">
      <c r="A317" s="10"/>
      <c r="B317" s="13"/>
      <c r="C317" s="13"/>
    </row>
    <row r="318" spans="1:3" ht="13" x14ac:dyDescent="0.15">
      <c r="A318" s="10"/>
      <c r="B318" s="13"/>
      <c r="C318" s="13"/>
    </row>
    <row r="319" spans="1:3" ht="13" x14ac:dyDescent="0.15">
      <c r="A319" s="10"/>
      <c r="B319" s="13"/>
      <c r="C319" s="13"/>
    </row>
    <row r="320" spans="1:3" ht="13" x14ac:dyDescent="0.15">
      <c r="A320" s="10"/>
      <c r="B320" s="13"/>
      <c r="C320" s="13"/>
    </row>
    <row r="321" spans="1:3" ht="13" x14ac:dyDescent="0.15">
      <c r="A321" s="10"/>
      <c r="B321" s="13"/>
      <c r="C321" s="13"/>
    </row>
    <row r="322" spans="1:3" ht="13" x14ac:dyDescent="0.15">
      <c r="A322" s="10"/>
      <c r="B322" s="13"/>
      <c r="C322" s="13"/>
    </row>
    <row r="323" spans="1:3" ht="13" x14ac:dyDescent="0.15">
      <c r="A323" s="10"/>
      <c r="B323" s="13"/>
      <c r="C323" s="13"/>
    </row>
    <row r="324" spans="1:3" ht="13" x14ac:dyDescent="0.15">
      <c r="A324" s="10"/>
      <c r="B324" s="13"/>
      <c r="C324" s="13"/>
    </row>
    <row r="325" spans="1:3" ht="13" x14ac:dyDescent="0.15">
      <c r="A325" s="10"/>
      <c r="B325" s="13"/>
      <c r="C325" s="13"/>
    </row>
    <row r="326" spans="1:3" ht="13" x14ac:dyDescent="0.15">
      <c r="A326" s="10"/>
      <c r="B326" s="13"/>
      <c r="C326" s="13"/>
    </row>
    <row r="327" spans="1:3" ht="13" x14ac:dyDescent="0.15">
      <c r="A327" s="10"/>
      <c r="B327" s="13"/>
      <c r="C327" s="13"/>
    </row>
    <row r="328" spans="1:3" ht="13" x14ac:dyDescent="0.15">
      <c r="A328" s="10"/>
      <c r="B328" s="13"/>
      <c r="C328" s="13"/>
    </row>
    <row r="329" spans="1:3" ht="13" x14ac:dyDescent="0.15">
      <c r="A329" s="10"/>
      <c r="B329" s="13"/>
      <c r="C329" s="13"/>
    </row>
    <row r="330" spans="1:3" ht="13" x14ac:dyDescent="0.15">
      <c r="A330" s="10"/>
      <c r="B330" s="13"/>
      <c r="C330" s="13"/>
    </row>
    <row r="331" spans="1:3" ht="13" x14ac:dyDescent="0.15">
      <c r="A331" s="10"/>
      <c r="B331" s="13"/>
      <c r="C331" s="13"/>
    </row>
    <row r="332" spans="1:3" ht="13" x14ac:dyDescent="0.15">
      <c r="A332" s="10"/>
      <c r="B332" s="13"/>
      <c r="C332" s="13"/>
    </row>
    <row r="333" spans="1:3" ht="13" x14ac:dyDescent="0.15">
      <c r="A333" s="10"/>
      <c r="B333" s="13"/>
      <c r="C333" s="13"/>
    </row>
    <row r="334" spans="1:3" ht="13" x14ac:dyDescent="0.15">
      <c r="A334" s="10"/>
      <c r="B334" s="13"/>
      <c r="C334" s="13"/>
    </row>
    <row r="335" spans="1:3" ht="13" x14ac:dyDescent="0.15">
      <c r="A335" s="10"/>
      <c r="B335" s="13"/>
      <c r="C335" s="13"/>
    </row>
    <row r="336" spans="1:3" ht="13" x14ac:dyDescent="0.15">
      <c r="A336" s="10"/>
      <c r="B336" s="13"/>
      <c r="C336" s="13"/>
    </row>
    <row r="337" spans="1:3" ht="13" x14ac:dyDescent="0.15">
      <c r="A337" s="10"/>
      <c r="B337" s="13"/>
      <c r="C337" s="13"/>
    </row>
    <row r="338" spans="1:3" ht="13" x14ac:dyDescent="0.15">
      <c r="A338" s="10"/>
      <c r="B338" s="13"/>
      <c r="C338" s="13"/>
    </row>
    <row r="339" spans="1:3" ht="13" x14ac:dyDescent="0.15">
      <c r="A339" s="10"/>
      <c r="B339" s="13"/>
      <c r="C339" s="13"/>
    </row>
    <row r="340" spans="1:3" ht="13" x14ac:dyDescent="0.15">
      <c r="A340" s="10"/>
      <c r="B340" s="13"/>
      <c r="C340" s="13"/>
    </row>
    <row r="341" spans="1:3" ht="13" x14ac:dyDescent="0.15">
      <c r="A341" s="10"/>
      <c r="B341" s="13"/>
      <c r="C341" s="13"/>
    </row>
    <row r="342" spans="1:3" ht="13" x14ac:dyDescent="0.15">
      <c r="A342" s="10"/>
      <c r="B342" s="13"/>
      <c r="C342" s="13"/>
    </row>
    <row r="343" spans="1:3" ht="13" x14ac:dyDescent="0.15">
      <c r="A343" s="10"/>
      <c r="B343" s="13"/>
      <c r="C343" s="13"/>
    </row>
    <row r="344" spans="1:3" ht="13" x14ac:dyDescent="0.15">
      <c r="A344" s="10"/>
      <c r="B344" s="13"/>
      <c r="C344" s="13"/>
    </row>
    <row r="345" spans="1:3" ht="13" x14ac:dyDescent="0.15">
      <c r="A345" s="10"/>
      <c r="B345" s="13"/>
      <c r="C345" s="13"/>
    </row>
    <row r="346" spans="1:3" ht="13" x14ac:dyDescent="0.15">
      <c r="A346" s="10"/>
      <c r="B346" s="13"/>
      <c r="C346" s="13"/>
    </row>
    <row r="347" spans="1:3" ht="13" x14ac:dyDescent="0.15">
      <c r="A347" s="10"/>
      <c r="B347" s="13"/>
      <c r="C347" s="13"/>
    </row>
    <row r="348" spans="1:3" ht="13" x14ac:dyDescent="0.15">
      <c r="A348" s="10"/>
      <c r="B348" s="13"/>
      <c r="C348" s="13"/>
    </row>
    <row r="349" spans="1:3" ht="13" x14ac:dyDescent="0.15">
      <c r="A349" s="10"/>
      <c r="B349" s="13"/>
      <c r="C349" s="13"/>
    </row>
    <row r="350" spans="1:3" ht="13" x14ac:dyDescent="0.15">
      <c r="A350" s="10"/>
      <c r="B350" s="13"/>
      <c r="C350" s="13"/>
    </row>
    <row r="351" spans="1:3" ht="13" x14ac:dyDescent="0.15">
      <c r="A351" s="10"/>
      <c r="B351" s="13"/>
      <c r="C351" s="13"/>
    </row>
    <row r="352" spans="1:3" ht="13" x14ac:dyDescent="0.15">
      <c r="A352" s="10"/>
      <c r="B352" s="13"/>
      <c r="C352" s="13"/>
    </row>
    <row r="353" spans="1:3" ht="13" x14ac:dyDescent="0.15">
      <c r="A353" s="10"/>
      <c r="B353" s="13"/>
      <c r="C353" s="13"/>
    </row>
    <row r="354" spans="1:3" ht="13" x14ac:dyDescent="0.15">
      <c r="A354" s="10"/>
      <c r="B354" s="13"/>
      <c r="C354" s="13"/>
    </row>
    <row r="355" spans="1:3" ht="13" x14ac:dyDescent="0.15">
      <c r="A355" s="10"/>
      <c r="B355" s="13"/>
      <c r="C355" s="13"/>
    </row>
    <row r="356" spans="1:3" ht="13" x14ac:dyDescent="0.15">
      <c r="A356" s="10"/>
      <c r="B356" s="13"/>
      <c r="C356" s="13"/>
    </row>
    <row r="357" spans="1:3" ht="13" x14ac:dyDescent="0.15">
      <c r="A357" s="10"/>
      <c r="B357" s="13"/>
      <c r="C357" s="13"/>
    </row>
    <row r="358" spans="1:3" ht="13" x14ac:dyDescent="0.15">
      <c r="A358" s="10"/>
      <c r="B358" s="13"/>
      <c r="C358" s="13"/>
    </row>
    <row r="359" spans="1:3" ht="13" x14ac:dyDescent="0.15">
      <c r="A359" s="10"/>
      <c r="B359" s="13"/>
      <c r="C359" s="13"/>
    </row>
    <row r="360" spans="1:3" ht="13" x14ac:dyDescent="0.15">
      <c r="A360" s="10"/>
      <c r="B360" s="13"/>
      <c r="C360" s="13"/>
    </row>
    <row r="361" spans="1:3" ht="13" x14ac:dyDescent="0.15">
      <c r="A361" s="10"/>
      <c r="B361" s="13"/>
      <c r="C361" s="13"/>
    </row>
    <row r="362" spans="1:3" ht="13" x14ac:dyDescent="0.15">
      <c r="A362" s="10"/>
      <c r="B362" s="13"/>
      <c r="C362" s="13"/>
    </row>
    <row r="363" spans="1:3" ht="13" x14ac:dyDescent="0.15">
      <c r="A363" s="10"/>
      <c r="B363" s="13"/>
      <c r="C363" s="13"/>
    </row>
    <row r="364" spans="1:3" ht="13" x14ac:dyDescent="0.15">
      <c r="A364" s="10"/>
      <c r="B364" s="13"/>
      <c r="C364" s="13"/>
    </row>
    <row r="365" spans="1:3" ht="13" x14ac:dyDescent="0.15">
      <c r="A365" s="10"/>
      <c r="B365" s="13"/>
      <c r="C365" s="13"/>
    </row>
    <row r="366" spans="1:3" ht="13" x14ac:dyDescent="0.15">
      <c r="A366" s="10"/>
      <c r="B366" s="13"/>
      <c r="C366" s="13"/>
    </row>
    <row r="367" spans="1:3" ht="13" x14ac:dyDescent="0.15">
      <c r="A367" s="10"/>
      <c r="B367" s="13"/>
      <c r="C367" s="13"/>
    </row>
    <row r="368" spans="1:3" ht="13" x14ac:dyDescent="0.15">
      <c r="A368" s="10"/>
      <c r="B368" s="13"/>
      <c r="C368" s="13"/>
    </row>
    <row r="369" spans="1:3" ht="13" x14ac:dyDescent="0.15">
      <c r="A369" s="10"/>
      <c r="B369" s="13"/>
      <c r="C369" s="13"/>
    </row>
    <row r="370" spans="1:3" ht="13" x14ac:dyDescent="0.15">
      <c r="A370" s="10"/>
      <c r="B370" s="13"/>
      <c r="C370" s="13"/>
    </row>
    <row r="371" spans="1:3" ht="13" x14ac:dyDescent="0.15">
      <c r="A371" s="10"/>
      <c r="B371" s="13"/>
      <c r="C371" s="13"/>
    </row>
    <row r="372" spans="1:3" ht="13" x14ac:dyDescent="0.15">
      <c r="A372" s="10"/>
      <c r="B372" s="13"/>
      <c r="C372" s="13"/>
    </row>
    <row r="373" spans="1:3" ht="13" x14ac:dyDescent="0.15">
      <c r="A373" s="10"/>
      <c r="B373" s="13"/>
      <c r="C373" s="13"/>
    </row>
    <row r="374" spans="1:3" ht="13" x14ac:dyDescent="0.15">
      <c r="A374" s="10"/>
      <c r="B374" s="13"/>
      <c r="C374" s="13"/>
    </row>
    <row r="375" spans="1:3" ht="13" x14ac:dyDescent="0.15">
      <c r="A375" s="10"/>
      <c r="B375" s="13"/>
      <c r="C375" s="13"/>
    </row>
    <row r="376" spans="1:3" ht="13" x14ac:dyDescent="0.15">
      <c r="A376" s="10"/>
      <c r="B376" s="13"/>
      <c r="C376" s="13"/>
    </row>
    <row r="377" spans="1:3" ht="13" x14ac:dyDescent="0.15">
      <c r="A377" s="10"/>
      <c r="B377" s="13"/>
      <c r="C377" s="13"/>
    </row>
    <row r="378" spans="1:3" ht="13" x14ac:dyDescent="0.15">
      <c r="A378" s="10"/>
      <c r="B378" s="13"/>
      <c r="C378" s="13"/>
    </row>
    <row r="379" spans="1:3" ht="13" x14ac:dyDescent="0.15">
      <c r="A379" s="10"/>
      <c r="B379" s="13"/>
      <c r="C379" s="13"/>
    </row>
    <row r="380" spans="1:3" ht="13" x14ac:dyDescent="0.15">
      <c r="A380" s="10"/>
      <c r="B380" s="13"/>
      <c r="C380" s="13"/>
    </row>
    <row r="381" spans="1:3" ht="13" x14ac:dyDescent="0.15">
      <c r="A381" s="10"/>
      <c r="B381" s="13"/>
      <c r="C381" s="13"/>
    </row>
    <row r="382" spans="1:3" ht="13" x14ac:dyDescent="0.15">
      <c r="A382" s="10"/>
      <c r="B382" s="13"/>
      <c r="C382" s="13"/>
    </row>
    <row r="383" spans="1:3" ht="13" x14ac:dyDescent="0.15">
      <c r="A383" s="10"/>
      <c r="B383" s="13"/>
      <c r="C383" s="13"/>
    </row>
    <row r="384" spans="1:3" ht="13" x14ac:dyDescent="0.15">
      <c r="A384" s="10"/>
      <c r="B384" s="13"/>
      <c r="C384" s="13"/>
    </row>
    <row r="385" spans="1:3" ht="13" x14ac:dyDescent="0.15">
      <c r="A385" s="10"/>
      <c r="B385" s="13"/>
      <c r="C385" s="13"/>
    </row>
    <row r="386" spans="1:3" ht="13" x14ac:dyDescent="0.15">
      <c r="A386" s="10"/>
      <c r="B386" s="13"/>
      <c r="C386" s="13"/>
    </row>
    <row r="387" spans="1:3" ht="13" x14ac:dyDescent="0.15">
      <c r="A387" s="10"/>
      <c r="B387" s="13"/>
      <c r="C387" s="13"/>
    </row>
    <row r="388" spans="1:3" ht="13" x14ac:dyDescent="0.15">
      <c r="A388" s="10"/>
      <c r="B388" s="13"/>
      <c r="C388" s="13"/>
    </row>
    <row r="389" spans="1:3" ht="13" x14ac:dyDescent="0.15">
      <c r="A389" s="10"/>
      <c r="B389" s="13"/>
      <c r="C389" s="13"/>
    </row>
    <row r="390" spans="1:3" ht="13" x14ac:dyDescent="0.15">
      <c r="A390" s="10"/>
      <c r="B390" s="13"/>
      <c r="C390" s="13"/>
    </row>
    <row r="391" spans="1:3" ht="13" x14ac:dyDescent="0.15">
      <c r="A391" s="10"/>
      <c r="B391" s="13"/>
      <c r="C391" s="13"/>
    </row>
    <row r="392" spans="1:3" ht="13" x14ac:dyDescent="0.15">
      <c r="A392" s="10"/>
      <c r="B392" s="13"/>
      <c r="C392" s="13"/>
    </row>
    <row r="393" spans="1:3" ht="13" x14ac:dyDescent="0.15">
      <c r="A393" s="10"/>
      <c r="B393" s="13"/>
      <c r="C393" s="13"/>
    </row>
    <row r="394" spans="1:3" ht="13" x14ac:dyDescent="0.15">
      <c r="A394" s="10"/>
      <c r="B394" s="13"/>
      <c r="C394" s="13"/>
    </row>
    <row r="395" spans="1:3" ht="13" x14ac:dyDescent="0.15">
      <c r="A395" s="10"/>
      <c r="B395" s="13"/>
      <c r="C395" s="13"/>
    </row>
    <row r="396" spans="1:3" ht="13" x14ac:dyDescent="0.15">
      <c r="A396" s="10"/>
      <c r="B396" s="13"/>
      <c r="C396" s="13"/>
    </row>
    <row r="397" spans="1:3" ht="13" x14ac:dyDescent="0.15">
      <c r="A397" s="10"/>
      <c r="B397" s="13"/>
      <c r="C397" s="13"/>
    </row>
    <row r="398" spans="1:3" ht="13" x14ac:dyDescent="0.15">
      <c r="A398" s="10"/>
      <c r="B398" s="13"/>
      <c r="C398" s="13"/>
    </row>
    <row r="399" spans="1:3" ht="13" x14ac:dyDescent="0.15">
      <c r="A399" s="10"/>
      <c r="B399" s="13"/>
      <c r="C399" s="13"/>
    </row>
    <row r="400" spans="1:3" ht="13" x14ac:dyDescent="0.15">
      <c r="A400" s="10"/>
      <c r="B400" s="13"/>
      <c r="C400" s="13"/>
    </row>
    <row r="401" spans="1:3" ht="13" x14ac:dyDescent="0.15">
      <c r="A401" s="10"/>
      <c r="B401" s="13"/>
      <c r="C401" s="13"/>
    </row>
    <row r="402" spans="1:3" ht="13" x14ac:dyDescent="0.15">
      <c r="A402" s="10"/>
      <c r="B402" s="13"/>
      <c r="C402" s="13"/>
    </row>
    <row r="403" spans="1:3" ht="13" x14ac:dyDescent="0.15">
      <c r="A403" s="10"/>
      <c r="B403" s="13"/>
      <c r="C403" s="13"/>
    </row>
    <row r="404" spans="1:3" ht="13" x14ac:dyDescent="0.15">
      <c r="A404" s="10"/>
      <c r="B404" s="13"/>
      <c r="C404" s="13"/>
    </row>
    <row r="405" spans="1:3" ht="13" x14ac:dyDescent="0.15">
      <c r="A405" s="10"/>
      <c r="B405" s="13"/>
      <c r="C405" s="13"/>
    </row>
    <row r="406" spans="1:3" ht="13" x14ac:dyDescent="0.15">
      <c r="A406" s="10"/>
      <c r="B406" s="13"/>
      <c r="C406" s="13"/>
    </row>
    <row r="407" spans="1:3" ht="13" x14ac:dyDescent="0.15">
      <c r="A407" s="10"/>
      <c r="B407" s="13"/>
      <c r="C407" s="13"/>
    </row>
    <row r="408" spans="1:3" ht="13" x14ac:dyDescent="0.15">
      <c r="A408" s="10"/>
      <c r="B408" s="13"/>
      <c r="C408" s="13"/>
    </row>
    <row r="409" spans="1:3" ht="13" x14ac:dyDescent="0.15">
      <c r="A409" s="10"/>
      <c r="B409" s="13"/>
      <c r="C409" s="13"/>
    </row>
    <row r="410" spans="1:3" ht="13" x14ac:dyDescent="0.15">
      <c r="A410" s="10"/>
      <c r="B410" s="13"/>
      <c r="C410" s="13"/>
    </row>
    <row r="411" spans="1:3" ht="13" x14ac:dyDescent="0.15">
      <c r="A411" s="10"/>
      <c r="B411" s="13"/>
      <c r="C411" s="13"/>
    </row>
    <row r="412" spans="1:3" ht="13" x14ac:dyDescent="0.15">
      <c r="A412" s="10"/>
      <c r="B412" s="13"/>
      <c r="C412" s="13"/>
    </row>
    <row r="413" spans="1:3" ht="13" x14ac:dyDescent="0.15">
      <c r="A413" s="10"/>
      <c r="B413" s="13"/>
      <c r="C413" s="13"/>
    </row>
    <row r="414" spans="1:3" ht="13" x14ac:dyDescent="0.15">
      <c r="A414" s="10"/>
      <c r="B414" s="13"/>
      <c r="C414" s="13"/>
    </row>
    <row r="415" spans="1:3" ht="13" x14ac:dyDescent="0.15">
      <c r="A415" s="10"/>
      <c r="B415" s="13"/>
      <c r="C415" s="13"/>
    </row>
    <row r="416" spans="1:3" ht="13" x14ac:dyDescent="0.15">
      <c r="A416" s="10"/>
      <c r="B416" s="13"/>
      <c r="C416" s="13"/>
    </row>
    <row r="417" spans="1:3" ht="13" x14ac:dyDescent="0.15">
      <c r="A417" s="10"/>
      <c r="B417" s="13"/>
      <c r="C417" s="13"/>
    </row>
    <row r="418" spans="1:3" ht="13" x14ac:dyDescent="0.15">
      <c r="A418" s="10"/>
      <c r="B418" s="13"/>
      <c r="C418" s="13"/>
    </row>
    <row r="419" spans="1:3" ht="13" x14ac:dyDescent="0.15">
      <c r="A419" s="10"/>
      <c r="B419" s="13"/>
      <c r="C419" s="13"/>
    </row>
    <row r="420" spans="1:3" ht="13" x14ac:dyDescent="0.15">
      <c r="A420" s="10"/>
      <c r="B420" s="13"/>
      <c r="C420" s="13"/>
    </row>
    <row r="421" spans="1:3" ht="13" x14ac:dyDescent="0.15">
      <c r="A421" s="10"/>
      <c r="B421" s="13"/>
      <c r="C421" s="13"/>
    </row>
    <row r="422" spans="1:3" ht="13" x14ac:dyDescent="0.15">
      <c r="A422" s="10"/>
      <c r="B422" s="13"/>
      <c r="C422" s="13"/>
    </row>
    <row r="423" spans="1:3" ht="13" x14ac:dyDescent="0.15">
      <c r="A423" s="10"/>
      <c r="B423" s="13"/>
      <c r="C423" s="13"/>
    </row>
    <row r="424" spans="1:3" ht="13" x14ac:dyDescent="0.15">
      <c r="A424" s="10"/>
      <c r="B424" s="13"/>
      <c r="C424" s="13"/>
    </row>
    <row r="425" spans="1:3" ht="13" x14ac:dyDescent="0.15">
      <c r="A425" s="10"/>
      <c r="B425" s="13"/>
      <c r="C425" s="13"/>
    </row>
    <row r="426" spans="1:3" ht="13" x14ac:dyDescent="0.15">
      <c r="A426" s="10"/>
      <c r="B426" s="13"/>
      <c r="C426" s="13"/>
    </row>
    <row r="427" spans="1:3" ht="13" x14ac:dyDescent="0.15">
      <c r="A427" s="10"/>
      <c r="B427" s="13"/>
      <c r="C427" s="13"/>
    </row>
    <row r="428" spans="1:3" ht="13" x14ac:dyDescent="0.15">
      <c r="A428" s="10"/>
      <c r="B428" s="13"/>
      <c r="C428" s="13"/>
    </row>
    <row r="429" spans="1:3" ht="13" x14ac:dyDescent="0.15">
      <c r="A429" s="10"/>
      <c r="B429" s="13"/>
      <c r="C429" s="13"/>
    </row>
    <row r="430" spans="1:3" ht="13" x14ac:dyDescent="0.15">
      <c r="A430" s="10"/>
      <c r="B430" s="13"/>
      <c r="C430" s="13"/>
    </row>
    <row r="431" spans="1:3" ht="13" x14ac:dyDescent="0.15">
      <c r="A431" s="10"/>
      <c r="B431" s="13"/>
      <c r="C431" s="13"/>
    </row>
    <row r="432" spans="1:3" ht="13" x14ac:dyDescent="0.15">
      <c r="A432" s="10"/>
      <c r="B432" s="13"/>
      <c r="C432" s="13"/>
    </row>
    <row r="433" spans="1:3" ht="13" x14ac:dyDescent="0.15">
      <c r="A433" s="10"/>
      <c r="B433" s="13"/>
      <c r="C433" s="13"/>
    </row>
    <row r="434" spans="1:3" ht="13" x14ac:dyDescent="0.15">
      <c r="A434" s="10"/>
      <c r="B434" s="13"/>
      <c r="C434" s="13"/>
    </row>
    <row r="435" spans="1:3" ht="13" x14ac:dyDescent="0.15">
      <c r="A435" s="10"/>
      <c r="B435" s="13"/>
      <c r="C435" s="13"/>
    </row>
    <row r="436" spans="1:3" ht="13" x14ac:dyDescent="0.15">
      <c r="A436" s="10"/>
      <c r="B436" s="13"/>
      <c r="C436" s="13"/>
    </row>
    <row r="437" spans="1:3" ht="13" x14ac:dyDescent="0.15">
      <c r="A437" s="10"/>
      <c r="B437" s="13"/>
      <c r="C437" s="13"/>
    </row>
    <row r="438" spans="1:3" ht="13" x14ac:dyDescent="0.15">
      <c r="A438" s="10"/>
      <c r="B438" s="13"/>
      <c r="C438" s="13"/>
    </row>
    <row r="439" spans="1:3" ht="13" x14ac:dyDescent="0.15">
      <c r="A439" s="10"/>
      <c r="B439" s="13"/>
      <c r="C439" s="13"/>
    </row>
    <row r="440" spans="1:3" ht="13" x14ac:dyDescent="0.15">
      <c r="A440" s="10"/>
      <c r="B440" s="13"/>
      <c r="C440" s="13"/>
    </row>
    <row r="441" spans="1:3" ht="13" x14ac:dyDescent="0.15">
      <c r="A441" s="10"/>
      <c r="B441" s="13"/>
      <c r="C441" s="13"/>
    </row>
    <row r="442" spans="1:3" ht="13" x14ac:dyDescent="0.15">
      <c r="A442" s="10"/>
      <c r="B442" s="13"/>
      <c r="C442" s="13"/>
    </row>
    <row r="443" spans="1:3" ht="13" x14ac:dyDescent="0.15">
      <c r="A443" s="10"/>
      <c r="B443" s="13"/>
      <c r="C443" s="13"/>
    </row>
    <row r="444" spans="1:3" ht="13" x14ac:dyDescent="0.15">
      <c r="A444" s="10"/>
      <c r="B444" s="13"/>
      <c r="C444" s="13"/>
    </row>
    <row r="445" spans="1:3" ht="13" x14ac:dyDescent="0.15">
      <c r="A445" s="10"/>
      <c r="B445" s="13"/>
      <c r="C445" s="13"/>
    </row>
    <row r="446" spans="1:3" ht="13" x14ac:dyDescent="0.15">
      <c r="A446" s="10"/>
      <c r="B446" s="13"/>
      <c r="C446" s="13"/>
    </row>
    <row r="447" spans="1:3" ht="13" x14ac:dyDescent="0.15">
      <c r="A447" s="10"/>
      <c r="B447" s="13"/>
      <c r="C447" s="13"/>
    </row>
    <row r="448" spans="1:3" ht="13" x14ac:dyDescent="0.15">
      <c r="A448" s="10"/>
      <c r="B448" s="13"/>
      <c r="C448" s="13"/>
    </row>
    <row r="449" spans="1:3" ht="13" x14ac:dyDescent="0.15">
      <c r="A449" s="10"/>
      <c r="B449" s="13"/>
      <c r="C449" s="13"/>
    </row>
    <row r="450" spans="1:3" ht="13" x14ac:dyDescent="0.15">
      <c r="A450" s="10"/>
      <c r="B450" s="13"/>
      <c r="C450" s="13"/>
    </row>
    <row r="451" spans="1:3" ht="13" x14ac:dyDescent="0.15">
      <c r="A451" s="10"/>
      <c r="B451" s="13"/>
      <c r="C451" s="13"/>
    </row>
    <row r="452" spans="1:3" ht="13" x14ac:dyDescent="0.15">
      <c r="A452" s="10"/>
      <c r="B452" s="13"/>
      <c r="C452" s="13"/>
    </row>
    <row r="453" spans="1:3" ht="13" x14ac:dyDescent="0.15">
      <c r="A453" s="10"/>
      <c r="B453" s="13"/>
      <c r="C453" s="13"/>
    </row>
    <row r="454" spans="1:3" ht="13" x14ac:dyDescent="0.15">
      <c r="A454" s="10"/>
      <c r="B454" s="13"/>
      <c r="C454" s="13"/>
    </row>
    <row r="455" spans="1:3" ht="13" x14ac:dyDescent="0.15">
      <c r="A455" s="10"/>
      <c r="B455" s="13"/>
      <c r="C455" s="13"/>
    </row>
    <row r="456" spans="1:3" ht="13" x14ac:dyDescent="0.15">
      <c r="A456" s="10"/>
      <c r="B456" s="13"/>
      <c r="C456" s="13"/>
    </row>
    <row r="457" spans="1:3" ht="13" x14ac:dyDescent="0.15">
      <c r="A457" s="10"/>
      <c r="B457" s="13"/>
      <c r="C457" s="13"/>
    </row>
    <row r="458" spans="1:3" ht="13" x14ac:dyDescent="0.15">
      <c r="A458" s="10"/>
      <c r="B458" s="13"/>
      <c r="C458" s="13"/>
    </row>
    <row r="459" spans="1:3" ht="13" x14ac:dyDescent="0.15">
      <c r="A459" s="10"/>
      <c r="B459" s="13"/>
      <c r="C459" s="13"/>
    </row>
    <row r="460" spans="1:3" ht="13" x14ac:dyDescent="0.15">
      <c r="A460" s="10"/>
      <c r="B460" s="13"/>
      <c r="C460" s="13"/>
    </row>
    <row r="461" spans="1:3" ht="13" x14ac:dyDescent="0.15">
      <c r="A461" s="10"/>
      <c r="B461" s="13"/>
      <c r="C461" s="13"/>
    </row>
    <row r="462" spans="1:3" ht="13" x14ac:dyDescent="0.15">
      <c r="A462" s="10"/>
      <c r="B462" s="13"/>
      <c r="C462" s="13"/>
    </row>
    <row r="463" spans="1:3" ht="13" x14ac:dyDescent="0.15">
      <c r="A463" s="10"/>
      <c r="B463" s="13"/>
      <c r="C463" s="13"/>
    </row>
    <row r="464" spans="1:3" ht="13" x14ac:dyDescent="0.15">
      <c r="A464" s="10"/>
      <c r="B464" s="13"/>
      <c r="C464" s="13"/>
    </row>
    <row r="465" spans="1:3" ht="13" x14ac:dyDescent="0.15">
      <c r="A465" s="10"/>
      <c r="B465" s="13"/>
      <c r="C465" s="13"/>
    </row>
    <row r="466" spans="1:3" ht="13" x14ac:dyDescent="0.15">
      <c r="A466" s="10"/>
      <c r="B466" s="13"/>
      <c r="C466" s="13"/>
    </row>
    <row r="467" spans="1:3" ht="13" x14ac:dyDescent="0.15">
      <c r="A467" s="10"/>
      <c r="B467" s="13"/>
      <c r="C467" s="13"/>
    </row>
    <row r="468" spans="1:3" ht="13" x14ac:dyDescent="0.15">
      <c r="A468" s="10"/>
      <c r="B468" s="13"/>
      <c r="C468" s="13"/>
    </row>
    <row r="469" spans="1:3" ht="13" x14ac:dyDescent="0.15">
      <c r="A469" s="10"/>
      <c r="B469" s="13"/>
      <c r="C469" s="13"/>
    </row>
    <row r="470" spans="1:3" ht="13" x14ac:dyDescent="0.15">
      <c r="A470" s="10"/>
      <c r="B470" s="13"/>
      <c r="C470" s="13"/>
    </row>
    <row r="471" spans="1:3" ht="13" x14ac:dyDescent="0.15">
      <c r="A471" s="10"/>
      <c r="B471" s="13"/>
      <c r="C471" s="13"/>
    </row>
    <row r="472" spans="1:3" ht="13" x14ac:dyDescent="0.15">
      <c r="A472" s="10"/>
      <c r="B472" s="13"/>
      <c r="C472" s="13"/>
    </row>
    <row r="473" spans="1:3" ht="13" x14ac:dyDescent="0.15">
      <c r="A473" s="10"/>
      <c r="B473" s="13"/>
      <c r="C473" s="13"/>
    </row>
    <row r="474" spans="1:3" ht="13" x14ac:dyDescent="0.15">
      <c r="A474" s="10"/>
      <c r="B474" s="13"/>
      <c r="C474" s="13"/>
    </row>
    <row r="475" spans="1:3" ht="13" x14ac:dyDescent="0.15">
      <c r="A475" s="10"/>
      <c r="B475" s="13"/>
      <c r="C475" s="13"/>
    </row>
    <row r="476" spans="1:3" ht="13" x14ac:dyDescent="0.15">
      <c r="A476" s="10"/>
      <c r="B476" s="13"/>
      <c r="C476" s="13"/>
    </row>
    <row r="477" spans="1:3" ht="13" x14ac:dyDescent="0.15">
      <c r="A477" s="10"/>
      <c r="B477" s="13"/>
      <c r="C477" s="13"/>
    </row>
    <row r="478" spans="1:3" ht="13" x14ac:dyDescent="0.15">
      <c r="A478" s="10"/>
      <c r="B478" s="13"/>
      <c r="C478" s="13"/>
    </row>
    <row r="479" spans="1:3" ht="13" x14ac:dyDescent="0.15">
      <c r="A479" s="10"/>
      <c r="B479" s="13"/>
      <c r="C479" s="13"/>
    </row>
    <row r="480" spans="1:3" ht="13" x14ac:dyDescent="0.15">
      <c r="A480" s="10"/>
      <c r="B480" s="13"/>
      <c r="C480" s="13"/>
    </row>
    <row r="481" spans="1:3" ht="13" x14ac:dyDescent="0.15">
      <c r="A481" s="10"/>
      <c r="B481" s="13"/>
      <c r="C481" s="13"/>
    </row>
    <row r="482" spans="1:3" ht="13" x14ac:dyDescent="0.15">
      <c r="A482" s="10"/>
      <c r="B482" s="13"/>
      <c r="C482" s="13"/>
    </row>
    <row r="483" spans="1:3" ht="13" x14ac:dyDescent="0.15">
      <c r="A483" s="10"/>
      <c r="B483" s="13"/>
      <c r="C483" s="13"/>
    </row>
    <row r="484" spans="1:3" ht="13" x14ac:dyDescent="0.15">
      <c r="A484" s="10"/>
      <c r="B484" s="13"/>
      <c r="C484" s="13"/>
    </row>
    <row r="485" spans="1:3" ht="13" x14ac:dyDescent="0.15">
      <c r="A485" s="10"/>
      <c r="B485" s="13"/>
      <c r="C485" s="13"/>
    </row>
    <row r="486" spans="1:3" ht="13" x14ac:dyDescent="0.15">
      <c r="A486" s="10"/>
      <c r="B486" s="13"/>
      <c r="C486" s="13"/>
    </row>
    <row r="487" spans="1:3" ht="13" x14ac:dyDescent="0.15">
      <c r="A487" s="10"/>
      <c r="B487" s="13"/>
      <c r="C487" s="13"/>
    </row>
    <row r="488" spans="1:3" ht="13" x14ac:dyDescent="0.15">
      <c r="A488" s="10"/>
      <c r="B488" s="13"/>
      <c r="C488" s="13"/>
    </row>
    <row r="489" spans="1:3" ht="13" x14ac:dyDescent="0.15">
      <c r="A489" s="10"/>
      <c r="B489" s="13"/>
      <c r="C489" s="13"/>
    </row>
    <row r="490" spans="1:3" ht="13" x14ac:dyDescent="0.15">
      <c r="A490" s="10"/>
      <c r="B490" s="13"/>
      <c r="C490" s="13"/>
    </row>
    <row r="491" spans="1:3" ht="13" x14ac:dyDescent="0.15">
      <c r="A491" s="10"/>
      <c r="B491" s="13"/>
      <c r="C491" s="13"/>
    </row>
    <row r="492" spans="1:3" ht="13" x14ac:dyDescent="0.15">
      <c r="A492" s="10"/>
      <c r="B492" s="13"/>
      <c r="C492" s="13"/>
    </row>
    <row r="493" spans="1:3" ht="13" x14ac:dyDescent="0.15">
      <c r="A493" s="10"/>
      <c r="B493" s="13"/>
      <c r="C493" s="13"/>
    </row>
    <row r="494" spans="1:3" ht="13" x14ac:dyDescent="0.15">
      <c r="A494" s="10"/>
      <c r="B494" s="13"/>
      <c r="C494" s="13"/>
    </row>
    <row r="495" spans="1:3" ht="13" x14ac:dyDescent="0.15">
      <c r="A495" s="10"/>
      <c r="B495" s="13"/>
      <c r="C495" s="13"/>
    </row>
    <row r="496" spans="1:3" ht="13" x14ac:dyDescent="0.15">
      <c r="A496" s="10"/>
      <c r="B496" s="13"/>
      <c r="C496" s="13"/>
    </row>
    <row r="497" spans="1:3" ht="13" x14ac:dyDescent="0.15">
      <c r="A497" s="10"/>
      <c r="B497" s="13"/>
      <c r="C497" s="13"/>
    </row>
    <row r="498" spans="1:3" ht="13" x14ac:dyDescent="0.15">
      <c r="A498" s="10"/>
      <c r="B498" s="13"/>
      <c r="C498" s="13"/>
    </row>
    <row r="499" spans="1:3" ht="13" x14ac:dyDescent="0.15">
      <c r="A499" s="10"/>
      <c r="B499" s="13"/>
      <c r="C499" s="13"/>
    </row>
    <row r="500" spans="1:3" ht="13" x14ac:dyDescent="0.15">
      <c r="A500" s="10"/>
      <c r="B500" s="13"/>
      <c r="C500" s="13"/>
    </row>
    <row r="501" spans="1:3" ht="13" x14ac:dyDescent="0.15">
      <c r="A501" s="10"/>
      <c r="B501" s="13"/>
      <c r="C501" s="13"/>
    </row>
    <row r="502" spans="1:3" ht="13" x14ac:dyDescent="0.15">
      <c r="A502" s="10"/>
      <c r="B502" s="13"/>
      <c r="C502" s="13"/>
    </row>
    <row r="503" spans="1:3" ht="13" x14ac:dyDescent="0.15">
      <c r="A503" s="10"/>
      <c r="B503" s="13"/>
      <c r="C503" s="13"/>
    </row>
    <row r="504" spans="1:3" ht="13" x14ac:dyDescent="0.15">
      <c r="A504" s="10"/>
      <c r="B504" s="13"/>
      <c r="C504" s="13"/>
    </row>
    <row r="505" spans="1:3" ht="13" x14ac:dyDescent="0.15">
      <c r="A505" s="10"/>
      <c r="B505" s="13"/>
      <c r="C505" s="13"/>
    </row>
    <row r="506" spans="1:3" ht="13" x14ac:dyDescent="0.15">
      <c r="A506" s="10"/>
      <c r="B506" s="13"/>
      <c r="C506" s="13"/>
    </row>
    <row r="507" spans="1:3" ht="13" x14ac:dyDescent="0.15">
      <c r="A507" s="10"/>
      <c r="B507" s="13"/>
      <c r="C507" s="13"/>
    </row>
    <row r="508" spans="1:3" ht="13" x14ac:dyDescent="0.15">
      <c r="A508" s="10"/>
      <c r="B508" s="13"/>
      <c r="C508" s="13"/>
    </row>
    <row r="509" spans="1:3" ht="13" x14ac:dyDescent="0.15">
      <c r="A509" s="10"/>
      <c r="B509" s="13"/>
      <c r="C509" s="13"/>
    </row>
    <row r="510" spans="1:3" ht="13" x14ac:dyDescent="0.15">
      <c r="A510" s="10"/>
      <c r="B510" s="13"/>
      <c r="C510" s="13"/>
    </row>
    <row r="511" spans="1:3" ht="13" x14ac:dyDescent="0.15">
      <c r="A511" s="10"/>
      <c r="B511" s="13"/>
      <c r="C511" s="13"/>
    </row>
    <row r="512" spans="1:3" ht="13" x14ac:dyDescent="0.15">
      <c r="A512" s="10"/>
      <c r="B512" s="13"/>
      <c r="C512" s="13"/>
    </row>
    <row r="513" spans="1:3" ht="13" x14ac:dyDescent="0.15">
      <c r="A513" s="10"/>
      <c r="B513" s="13"/>
      <c r="C513" s="13"/>
    </row>
    <row r="514" spans="1:3" ht="13" x14ac:dyDescent="0.15">
      <c r="A514" s="10"/>
      <c r="B514" s="13"/>
      <c r="C514" s="13"/>
    </row>
    <row r="515" spans="1:3" ht="13" x14ac:dyDescent="0.15">
      <c r="A515" s="10"/>
      <c r="B515" s="13"/>
      <c r="C515" s="13"/>
    </row>
    <row r="516" spans="1:3" ht="13" x14ac:dyDescent="0.15">
      <c r="A516" s="10"/>
      <c r="B516" s="13"/>
      <c r="C516" s="13"/>
    </row>
    <row r="517" spans="1:3" ht="13" x14ac:dyDescent="0.15">
      <c r="A517" s="10"/>
      <c r="B517" s="13"/>
      <c r="C517" s="13"/>
    </row>
    <row r="518" spans="1:3" ht="13" x14ac:dyDescent="0.15">
      <c r="A518" s="10"/>
      <c r="B518" s="13"/>
      <c r="C518" s="13"/>
    </row>
    <row r="519" spans="1:3" ht="13" x14ac:dyDescent="0.15">
      <c r="A519" s="10"/>
      <c r="B519" s="13"/>
      <c r="C519" s="13"/>
    </row>
    <row r="520" spans="1:3" ht="13" x14ac:dyDescent="0.15">
      <c r="A520" s="10"/>
      <c r="B520" s="13"/>
      <c r="C520" s="13"/>
    </row>
    <row r="521" spans="1:3" ht="13" x14ac:dyDescent="0.15">
      <c r="A521" s="10"/>
      <c r="B521" s="13"/>
      <c r="C521" s="13"/>
    </row>
    <row r="522" spans="1:3" ht="13" x14ac:dyDescent="0.15">
      <c r="A522" s="10"/>
      <c r="B522" s="13"/>
      <c r="C522" s="13"/>
    </row>
    <row r="523" spans="1:3" ht="13" x14ac:dyDescent="0.15">
      <c r="A523" s="10"/>
      <c r="B523" s="13"/>
      <c r="C523" s="13"/>
    </row>
    <row r="524" spans="1:3" ht="13" x14ac:dyDescent="0.15">
      <c r="A524" s="10"/>
      <c r="B524" s="13"/>
      <c r="C524" s="13"/>
    </row>
    <row r="525" spans="1:3" ht="13" x14ac:dyDescent="0.15">
      <c r="A525" s="10"/>
      <c r="B525" s="13"/>
      <c r="C525" s="13"/>
    </row>
    <row r="526" spans="1:3" ht="13" x14ac:dyDescent="0.15">
      <c r="A526" s="10"/>
      <c r="B526" s="13"/>
      <c r="C526" s="13"/>
    </row>
    <row r="527" spans="1:3" ht="13" x14ac:dyDescent="0.15">
      <c r="A527" s="10"/>
      <c r="B527" s="13"/>
      <c r="C527" s="13"/>
    </row>
    <row r="528" spans="1:3" ht="13" x14ac:dyDescent="0.15">
      <c r="A528" s="10"/>
      <c r="B528" s="13"/>
      <c r="C528" s="13"/>
    </row>
    <row r="529" spans="1:3" ht="13" x14ac:dyDescent="0.15">
      <c r="A529" s="10"/>
      <c r="B529" s="13"/>
      <c r="C529" s="13"/>
    </row>
    <row r="530" spans="1:3" ht="13" x14ac:dyDescent="0.15">
      <c r="A530" s="10"/>
      <c r="B530" s="13"/>
      <c r="C530" s="13"/>
    </row>
    <row r="531" spans="1:3" ht="13" x14ac:dyDescent="0.15">
      <c r="A531" s="10"/>
      <c r="B531" s="13"/>
      <c r="C531" s="13"/>
    </row>
    <row r="532" spans="1:3" ht="13" x14ac:dyDescent="0.15">
      <c r="A532" s="10"/>
      <c r="B532" s="13"/>
      <c r="C532" s="13"/>
    </row>
    <row r="533" spans="1:3" ht="13" x14ac:dyDescent="0.15">
      <c r="A533" s="10"/>
      <c r="B533" s="13"/>
      <c r="C533" s="13"/>
    </row>
    <row r="534" spans="1:3" ht="13" x14ac:dyDescent="0.15">
      <c r="A534" s="10"/>
      <c r="B534" s="13"/>
      <c r="C534" s="13"/>
    </row>
    <row r="535" spans="1:3" ht="13" x14ac:dyDescent="0.15">
      <c r="A535" s="10"/>
      <c r="B535" s="13"/>
      <c r="C535" s="13"/>
    </row>
    <row r="536" spans="1:3" ht="13" x14ac:dyDescent="0.15">
      <c r="A536" s="10"/>
      <c r="B536" s="13"/>
      <c r="C536" s="13"/>
    </row>
    <row r="537" spans="1:3" ht="13" x14ac:dyDescent="0.15">
      <c r="A537" s="10"/>
      <c r="B537" s="13"/>
      <c r="C537" s="13"/>
    </row>
    <row r="538" spans="1:3" ht="13" x14ac:dyDescent="0.15">
      <c r="A538" s="10"/>
      <c r="B538" s="13"/>
      <c r="C538" s="13"/>
    </row>
    <row r="539" spans="1:3" ht="13" x14ac:dyDescent="0.15">
      <c r="A539" s="10"/>
      <c r="B539" s="13"/>
      <c r="C539" s="13"/>
    </row>
    <row r="540" spans="1:3" ht="13" x14ac:dyDescent="0.15">
      <c r="A540" s="10"/>
      <c r="B540" s="13"/>
      <c r="C540" s="13"/>
    </row>
    <row r="541" spans="1:3" ht="13" x14ac:dyDescent="0.15">
      <c r="A541" s="10"/>
      <c r="B541" s="13"/>
      <c r="C541" s="13"/>
    </row>
    <row r="542" spans="1:3" ht="13" x14ac:dyDescent="0.15">
      <c r="A542" s="10"/>
      <c r="B542" s="13"/>
      <c r="C542" s="13"/>
    </row>
    <row r="543" spans="1:3" ht="13" x14ac:dyDescent="0.15">
      <c r="A543" s="10"/>
      <c r="B543" s="13"/>
      <c r="C543" s="13"/>
    </row>
    <row r="544" spans="1:3" ht="13" x14ac:dyDescent="0.15">
      <c r="A544" s="10"/>
      <c r="B544" s="13"/>
      <c r="C544" s="13"/>
    </row>
    <row r="545" spans="1:3" ht="13" x14ac:dyDescent="0.15">
      <c r="A545" s="10"/>
      <c r="B545" s="13"/>
      <c r="C545" s="13"/>
    </row>
    <row r="546" spans="1:3" ht="13" x14ac:dyDescent="0.15">
      <c r="A546" s="10"/>
      <c r="B546" s="13"/>
      <c r="C546" s="13"/>
    </row>
    <row r="547" spans="1:3" ht="13" x14ac:dyDescent="0.15">
      <c r="A547" s="10"/>
      <c r="B547" s="13"/>
      <c r="C547" s="13"/>
    </row>
    <row r="548" spans="1:3" ht="13" x14ac:dyDescent="0.15">
      <c r="A548" s="10"/>
      <c r="B548" s="13"/>
      <c r="C548" s="13"/>
    </row>
    <row r="549" spans="1:3" ht="13" x14ac:dyDescent="0.15">
      <c r="A549" s="10"/>
      <c r="B549" s="13"/>
      <c r="C549" s="13"/>
    </row>
    <row r="550" spans="1:3" ht="13" x14ac:dyDescent="0.15">
      <c r="A550" s="10"/>
      <c r="B550" s="13"/>
      <c r="C550" s="13"/>
    </row>
    <row r="551" spans="1:3" ht="13" x14ac:dyDescent="0.15">
      <c r="A551" s="10"/>
      <c r="B551" s="13"/>
      <c r="C551" s="13"/>
    </row>
    <row r="552" spans="1:3" ht="13" x14ac:dyDescent="0.15">
      <c r="A552" s="10"/>
      <c r="B552" s="13"/>
      <c r="C552" s="13"/>
    </row>
    <row r="553" spans="1:3" ht="13" x14ac:dyDescent="0.15">
      <c r="A553" s="10"/>
      <c r="B553" s="13"/>
      <c r="C553" s="13"/>
    </row>
    <row r="554" spans="1:3" ht="13" x14ac:dyDescent="0.15">
      <c r="A554" s="10"/>
      <c r="B554" s="13"/>
      <c r="C554" s="13"/>
    </row>
    <row r="555" spans="1:3" ht="13" x14ac:dyDescent="0.15">
      <c r="A555" s="10"/>
      <c r="B555" s="13"/>
      <c r="C555" s="13"/>
    </row>
    <row r="556" spans="1:3" ht="13" x14ac:dyDescent="0.15">
      <c r="A556" s="10"/>
      <c r="B556" s="13"/>
      <c r="C556" s="13"/>
    </row>
    <row r="557" spans="1:3" ht="13" x14ac:dyDescent="0.15">
      <c r="A557" s="10"/>
      <c r="B557" s="13"/>
      <c r="C557" s="13"/>
    </row>
    <row r="558" spans="1:3" ht="13" x14ac:dyDescent="0.15">
      <c r="A558" s="10"/>
      <c r="B558" s="13"/>
      <c r="C558" s="13"/>
    </row>
    <row r="559" spans="1:3" ht="13" x14ac:dyDescent="0.15">
      <c r="A559" s="10"/>
      <c r="B559" s="13"/>
      <c r="C559" s="13"/>
    </row>
    <row r="560" spans="1:3" ht="13" x14ac:dyDescent="0.15">
      <c r="A560" s="10"/>
      <c r="B560" s="13"/>
      <c r="C560" s="13"/>
    </row>
    <row r="561" spans="1:3" ht="13" x14ac:dyDescent="0.15">
      <c r="A561" s="10"/>
      <c r="B561" s="13"/>
      <c r="C561" s="13"/>
    </row>
    <row r="562" spans="1:3" ht="13" x14ac:dyDescent="0.15">
      <c r="A562" s="10"/>
      <c r="B562" s="13"/>
      <c r="C562" s="13"/>
    </row>
    <row r="563" spans="1:3" ht="13" x14ac:dyDescent="0.15">
      <c r="A563" s="10"/>
      <c r="B563" s="13"/>
      <c r="C563" s="13"/>
    </row>
    <row r="564" spans="1:3" ht="13" x14ac:dyDescent="0.15">
      <c r="A564" s="10"/>
      <c r="B564" s="13"/>
      <c r="C564" s="13"/>
    </row>
    <row r="565" spans="1:3" ht="13" x14ac:dyDescent="0.15">
      <c r="A565" s="10"/>
      <c r="B565" s="13"/>
      <c r="C565" s="13"/>
    </row>
    <row r="566" spans="1:3" ht="13" x14ac:dyDescent="0.15">
      <c r="A566" s="10"/>
      <c r="B566" s="13"/>
      <c r="C566" s="13"/>
    </row>
    <row r="567" spans="1:3" ht="13" x14ac:dyDescent="0.15">
      <c r="A567" s="10"/>
      <c r="B567" s="13"/>
      <c r="C567" s="13"/>
    </row>
    <row r="568" spans="1:3" ht="13" x14ac:dyDescent="0.15">
      <c r="A568" s="10"/>
      <c r="B568" s="13"/>
      <c r="C568" s="13"/>
    </row>
    <row r="569" spans="1:3" ht="13" x14ac:dyDescent="0.15">
      <c r="A569" s="10"/>
      <c r="B569" s="13"/>
      <c r="C569" s="13"/>
    </row>
    <row r="570" spans="1:3" ht="13" x14ac:dyDescent="0.15">
      <c r="A570" s="10"/>
      <c r="B570" s="13"/>
      <c r="C570" s="13"/>
    </row>
    <row r="571" spans="1:3" ht="13" x14ac:dyDescent="0.15">
      <c r="A571" s="10"/>
      <c r="B571" s="13"/>
      <c r="C571" s="13"/>
    </row>
    <row r="572" spans="1:3" ht="13" x14ac:dyDescent="0.15">
      <c r="A572" s="10"/>
      <c r="B572" s="13"/>
      <c r="C572" s="13"/>
    </row>
    <row r="573" spans="1:3" ht="13" x14ac:dyDescent="0.15">
      <c r="A573" s="10"/>
      <c r="B573" s="13"/>
      <c r="C573" s="13"/>
    </row>
    <row r="574" spans="1:3" ht="13" x14ac:dyDescent="0.15">
      <c r="A574" s="10"/>
      <c r="B574" s="13"/>
      <c r="C574" s="13"/>
    </row>
    <row r="575" spans="1:3" ht="13" x14ac:dyDescent="0.15">
      <c r="A575" s="10"/>
      <c r="B575" s="13"/>
      <c r="C575" s="13"/>
    </row>
    <row r="576" spans="1:3" ht="13" x14ac:dyDescent="0.15">
      <c r="A576" s="10"/>
      <c r="B576" s="13"/>
      <c r="C576" s="13"/>
    </row>
    <row r="577" spans="1:3" ht="13" x14ac:dyDescent="0.15">
      <c r="A577" s="10"/>
      <c r="B577" s="13"/>
      <c r="C577" s="13"/>
    </row>
    <row r="578" spans="1:3" ht="13" x14ac:dyDescent="0.15">
      <c r="A578" s="10"/>
      <c r="B578" s="13"/>
      <c r="C578" s="13"/>
    </row>
    <row r="579" spans="1:3" ht="13" x14ac:dyDescent="0.15">
      <c r="A579" s="10"/>
      <c r="B579" s="13"/>
      <c r="C579" s="13"/>
    </row>
    <row r="580" spans="1:3" ht="13" x14ac:dyDescent="0.15">
      <c r="A580" s="10"/>
      <c r="B580" s="13"/>
      <c r="C580" s="13"/>
    </row>
    <row r="581" spans="1:3" ht="13" x14ac:dyDescent="0.15">
      <c r="A581" s="10"/>
      <c r="B581" s="13"/>
      <c r="C581" s="13"/>
    </row>
    <row r="582" spans="1:3" ht="13" x14ac:dyDescent="0.15">
      <c r="A582" s="10"/>
      <c r="B582" s="13"/>
      <c r="C582" s="13"/>
    </row>
    <row r="583" spans="1:3" ht="13" x14ac:dyDescent="0.15">
      <c r="A583" s="10"/>
      <c r="B583" s="13"/>
      <c r="C583" s="13"/>
    </row>
    <row r="584" spans="1:3" ht="13" x14ac:dyDescent="0.15">
      <c r="A584" s="10"/>
      <c r="B584" s="13"/>
      <c r="C584" s="13"/>
    </row>
    <row r="585" spans="1:3" ht="13" x14ac:dyDescent="0.15">
      <c r="A585" s="10"/>
      <c r="B585" s="13"/>
      <c r="C585" s="13"/>
    </row>
    <row r="586" spans="1:3" ht="13" x14ac:dyDescent="0.15">
      <c r="A586" s="10"/>
      <c r="B586" s="13"/>
      <c r="C586" s="13"/>
    </row>
    <row r="587" spans="1:3" ht="13" x14ac:dyDescent="0.15">
      <c r="A587" s="10"/>
      <c r="B587" s="13"/>
      <c r="C587" s="13"/>
    </row>
    <row r="588" spans="1:3" ht="13" x14ac:dyDescent="0.15">
      <c r="A588" s="10"/>
      <c r="B588" s="13"/>
      <c r="C588" s="13"/>
    </row>
    <row r="589" spans="1:3" ht="13" x14ac:dyDescent="0.15">
      <c r="A589" s="10"/>
      <c r="B589" s="13"/>
      <c r="C589" s="13"/>
    </row>
    <row r="590" spans="1:3" ht="13" x14ac:dyDescent="0.15">
      <c r="A590" s="10"/>
      <c r="B590" s="13"/>
      <c r="C590" s="13"/>
    </row>
    <row r="591" spans="1:3" ht="13" x14ac:dyDescent="0.15">
      <c r="A591" s="10"/>
      <c r="B591" s="13"/>
      <c r="C591" s="13"/>
    </row>
    <row r="592" spans="1:3" ht="13" x14ac:dyDescent="0.15">
      <c r="A592" s="10"/>
      <c r="B592" s="13"/>
      <c r="C592" s="13"/>
    </row>
    <row r="593" spans="1:3" ht="13" x14ac:dyDescent="0.15">
      <c r="A593" s="10"/>
      <c r="B593" s="13"/>
      <c r="C593" s="13"/>
    </row>
    <row r="594" spans="1:3" ht="13" x14ac:dyDescent="0.15">
      <c r="A594" s="10"/>
      <c r="B594" s="13"/>
      <c r="C594" s="13"/>
    </row>
    <row r="595" spans="1:3" ht="13" x14ac:dyDescent="0.15">
      <c r="A595" s="10"/>
      <c r="B595" s="13"/>
      <c r="C595" s="13"/>
    </row>
    <row r="596" spans="1:3" ht="13" x14ac:dyDescent="0.15">
      <c r="A596" s="10"/>
      <c r="B596" s="13"/>
      <c r="C596" s="13"/>
    </row>
    <row r="597" spans="1:3" ht="13" x14ac:dyDescent="0.15">
      <c r="A597" s="10"/>
      <c r="B597" s="13"/>
      <c r="C597" s="13"/>
    </row>
    <row r="598" spans="1:3" ht="13" x14ac:dyDescent="0.15">
      <c r="A598" s="10"/>
      <c r="B598" s="13"/>
      <c r="C598" s="13"/>
    </row>
    <row r="599" spans="1:3" ht="13" x14ac:dyDescent="0.15">
      <c r="A599" s="10"/>
      <c r="B599" s="13"/>
      <c r="C599" s="13"/>
    </row>
    <row r="600" spans="1:3" ht="13" x14ac:dyDescent="0.15">
      <c r="A600" s="10"/>
      <c r="B600" s="13"/>
      <c r="C600" s="13"/>
    </row>
    <row r="601" spans="1:3" ht="13" x14ac:dyDescent="0.15">
      <c r="A601" s="10"/>
      <c r="B601" s="13"/>
      <c r="C601" s="13"/>
    </row>
    <row r="602" spans="1:3" ht="13" x14ac:dyDescent="0.15">
      <c r="A602" s="10"/>
      <c r="B602" s="13"/>
      <c r="C602" s="13"/>
    </row>
    <row r="603" spans="1:3" ht="13" x14ac:dyDescent="0.15">
      <c r="A603" s="10"/>
      <c r="B603" s="13"/>
      <c r="C603" s="13"/>
    </row>
    <row r="604" spans="1:3" ht="13" x14ac:dyDescent="0.15">
      <c r="A604" s="10"/>
      <c r="B604" s="13"/>
      <c r="C604" s="13"/>
    </row>
    <row r="605" spans="1:3" ht="13" x14ac:dyDescent="0.15">
      <c r="A605" s="10"/>
      <c r="B605" s="13"/>
      <c r="C605" s="13"/>
    </row>
    <row r="606" spans="1:3" ht="13" x14ac:dyDescent="0.15">
      <c r="A606" s="10"/>
      <c r="B606" s="13"/>
      <c r="C606" s="13"/>
    </row>
    <row r="607" spans="1:3" ht="13" x14ac:dyDescent="0.15">
      <c r="A607" s="10"/>
      <c r="B607" s="13"/>
      <c r="C607" s="13"/>
    </row>
    <row r="608" spans="1:3" ht="13" x14ac:dyDescent="0.15">
      <c r="A608" s="10"/>
      <c r="B608" s="13"/>
      <c r="C608" s="13"/>
    </row>
    <row r="609" spans="1:3" ht="13" x14ac:dyDescent="0.15">
      <c r="A609" s="10"/>
      <c r="B609" s="13"/>
      <c r="C609" s="13"/>
    </row>
    <row r="610" spans="1:3" ht="13" x14ac:dyDescent="0.15">
      <c r="A610" s="10"/>
      <c r="B610" s="13"/>
      <c r="C610" s="13"/>
    </row>
    <row r="611" spans="1:3" ht="13" x14ac:dyDescent="0.15">
      <c r="A611" s="10"/>
      <c r="B611" s="13"/>
      <c r="C611" s="13"/>
    </row>
    <row r="612" spans="1:3" ht="13" x14ac:dyDescent="0.15">
      <c r="A612" s="10"/>
      <c r="B612" s="13"/>
      <c r="C612" s="13"/>
    </row>
    <row r="613" spans="1:3" ht="13" x14ac:dyDescent="0.15">
      <c r="A613" s="10"/>
      <c r="B613" s="13"/>
      <c r="C613" s="13"/>
    </row>
    <row r="614" spans="1:3" ht="13" x14ac:dyDescent="0.15">
      <c r="A614" s="10"/>
      <c r="B614" s="13"/>
      <c r="C614" s="13"/>
    </row>
    <row r="615" spans="1:3" ht="13" x14ac:dyDescent="0.15">
      <c r="A615" s="10"/>
      <c r="B615" s="13"/>
      <c r="C615" s="13"/>
    </row>
    <row r="616" spans="1:3" ht="13" x14ac:dyDescent="0.15">
      <c r="A616" s="10"/>
      <c r="B616" s="13"/>
      <c r="C616" s="13"/>
    </row>
    <row r="617" spans="1:3" ht="13" x14ac:dyDescent="0.15">
      <c r="A617" s="10"/>
      <c r="B617" s="13"/>
      <c r="C617" s="13"/>
    </row>
    <row r="618" spans="1:3" ht="13" x14ac:dyDescent="0.15">
      <c r="A618" s="10"/>
      <c r="B618" s="13"/>
      <c r="C618" s="13"/>
    </row>
    <row r="619" spans="1:3" ht="13" x14ac:dyDescent="0.15">
      <c r="A619" s="10"/>
      <c r="B619" s="13"/>
      <c r="C619" s="13"/>
    </row>
    <row r="620" spans="1:3" ht="13" x14ac:dyDescent="0.15">
      <c r="A620" s="10"/>
      <c r="B620" s="13"/>
      <c r="C620" s="13"/>
    </row>
    <row r="621" spans="1:3" ht="13" x14ac:dyDescent="0.15">
      <c r="A621" s="10"/>
      <c r="B621" s="13"/>
      <c r="C621" s="13"/>
    </row>
    <row r="622" spans="1:3" ht="13" x14ac:dyDescent="0.15">
      <c r="A622" s="10"/>
      <c r="B622" s="13"/>
      <c r="C622" s="13"/>
    </row>
    <row r="623" spans="1:3" ht="13" x14ac:dyDescent="0.15">
      <c r="A623" s="10"/>
      <c r="B623" s="13"/>
      <c r="C623" s="13"/>
    </row>
    <row r="624" spans="1:3" ht="13" x14ac:dyDescent="0.15">
      <c r="A624" s="10"/>
      <c r="B624" s="13"/>
      <c r="C624" s="13"/>
    </row>
    <row r="625" spans="1:3" ht="13" x14ac:dyDescent="0.15">
      <c r="A625" s="10"/>
      <c r="B625" s="13"/>
      <c r="C625" s="13"/>
    </row>
    <row r="626" spans="1:3" ht="13" x14ac:dyDescent="0.15">
      <c r="A626" s="10"/>
      <c r="B626" s="13"/>
      <c r="C626" s="13"/>
    </row>
    <row r="627" spans="1:3" ht="13" x14ac:dyDescent="0.15">
      <c r="A627" s="10"/>
      <c r="B627" s="13"/>
      <c r="C627" s="13"/>
    </row>
    <row r="628" spans="1:3" ht="13" x14ac:dyDescent="0.15">
      <c r="A628" s="10"/>
      <c r="B628" s="13"/>
      <c r="C628" s="13"/>
    </row>
    <row r="629" spans="1:3" ht="13" x14ac:dyDescent="0.15">
      <c r="A629" s="10"/>
      <c r="B629" s="13"/>
      <c r="C629" s="13"/>
    </row>
    <row r="630" spans="1:3" ht="13" x14ac:dyDescent="0.15">
      <c r="A630" s="10"/>
      <c r="B630" s="13"/>
      <c r="C630" s="13"/>
    </row>
    <row r="631" spans="1:3" ht="13" x14ac:dyDescent="0.15">
      <c r="A631" s="10"/>
      <c r="B631" s="13"/>
      <c r="C631" s="13"/>
    </row>
    <row r="632" spans="1:3" ht="13" x14ac:dyDescent="0.15">
      <c r="A632" s="10"/>
      <c r="B632" s="13"/>
      <c r="C632" s="13"/>
    </row>
    <row r="633" spans="1:3" ht="13" x14ac:dyDescent="0.15">
      <c r="A633" s="10"/>
      <c r="B633" s="13"/>
      <c r="C633" s="13"/>
    </row>
    <row r="634" spans="1:3" ht="13" x14ac:dyDescent="0.15">
      <c r="A634" s="10"/>
      <c r="B634" s="13"/>
      <c r="C634" s="13"/>
    </row>
    <row r="635" spans="1:3" ht="13" x14ac:dyDescent="0.15">
      <c r="A635" s="10"/>
      <c r="B635" s="13"/>
      <c r="C635" s="13"/>
    </row>
    <row r="636" spans="1:3" ht="13" x14ac:dyDescent="0.15">
      <c r="A636" s="10"/>
      <c r="B636" s="13"/>
      <c r="C636" s="13"/>
    </row>
    <row r="637" spans="1:3" ht="13" x14ac:dyDescent="0.15">
      <c r="A637" s="10"/>
      <c r="B637" s="13"/>
      <c r="C637" s="13"/>
    </row>
    <row r="638" spans="1:3" ht="13" x14ac:dyDescent="0.15">
      <c r="A638" s="10"/>
      <c r="B638" s="13"/>
      <c r="C638" s="13"/>
    </row>
    <row r="639" spans="1:3" ht="13" x14ac:dyDescent="0.15">
      <c r="A639" s="10"/>
      <c r="B639" s="13"/>
      <c r="C639" s="13"/>
    </row>
    <row r="640" spans="1:3" ht="13" x14ac:dyDescent="0.15">
      <c r="A640" s="10"/>
      <c r="B640" s="13"/>
      <c r="C640" s="13"/>
    </row>
    <row r="641" spans="1:3" ht="13" x14ac:dyDescent="0.15">
      <c r="A641" s="10"/>
      <c r="B641" s="13"/>
      <c r="C641" s="13"/>
    </row>
    <row r="642" spans="1:3" ht="13" x14ac:dyDescent="0.15">
      <c r="A642" s="10"/>
      <c r="B642" s="13"/>
      <c r="C642" s="13"/>
    </row>
    <row r="643" spans="1:3" ht="13" x14ac:dyDescent="0.15">
      <c r="A643" s="10"/>
      <c r="B643" s="13"/>
      <c r="C643" s="13"/>
    </row>
    <row r="644" spans="1:3" ht="13" x14ac:dyDescent="0.15">
      <c r="A644" s="10"/>
      <c r="B644" s="13"/>
      <c r="C644" s="13"/>
    </row>
    <row r="645" spans="1:3" ht="13" x14ac:dyDescent="0.15">
      <c r="A645" s="10"/>
      <c r="B645" s="13"/>
      <c r="C645" s="13"/>
    </row>
    <row r="646" spans="1:3" ht="13" x14ac:dyDescent="0.15">
      <c r="A646" s="10"/>
      <c r="B646" s="13"/>
      <c r="C646" s="13"/>
    </row>
    <row r="647" spans="1:3" ht="13" x14ac:dyDescent="0.15">
      <c r="A647" s="10"/>
      <c r="B647" s="13"/>
      <c r="C647" s="13"/>
    </row>
    <row r="648" spans="1:3" ht="13" x14ac:dyDescent="0.15">
      <c r="A648" s="10"/>
      <c r="B648" s="13"/>
      <c r="C648" s="13"/>
    </row>
    <row r="649" spans="1:3" ht="13" x14ac:dyDescent="0.15">
      <c r="A649" s="10"/>
      <c r="B649" s="13"/>
      <c r="C649" s="13"/>
    </row>
    <row r="650" spans="1:3" ht="13" x14ac:dyDescent="0.15">
      <c r="A650" s="10"/>
      <c r="B650" s="13"/>
      <c r="C650" s="13"/>
    </row>
    <row r="651" spans="1:3" ht="13" x14ac:dyDescent="0.15">
      <c r="A651" s="10"/>
      <c r="B651" s="13"/>
      <c r="C651" s="13"/>
    </row>
    <row r="652" spans="1:3" ht="13" x14ac:dyDescent="0.15">
      <c r="A652" s="10"/>
      <c r="B652" s="13"/>
      <c r="C652" s="13"/>
    </row>
    <row r="653" spans="1:3" ht="13" x14ac:dyDescent="0.15">
      <c r="A653" s="10"/>
      <c r="B653" s="13"/>
      <c r="C653" s="13"/>
    </row>
    <row r="654" spans="1:3" ht="13" x14ac:dyDescent="0.15">
      <c r="A654" s="10"/>
      <c r="B654" s="13"/>
      <c r="C654" s="13"/>
    </row>
    <row r="655" spans="1:3" ht="13" x14ac:dyDescent="0.15">
      <c r="A655" s="10"/>
      <c r="B655" s="13"/>
      <c r="C655" s="13"/>
    </row>
    <row r="656" spans="1:3" ht="13" x14ac:dyDescent="0.15">
      <c r="A656" s="10"/>
      <c r="B656" s="13"/>
      <c r="C656" s="13"/>
    </row>
    <row r="657" spans="1:3" ht="13" x14ac:dyDescent="0.15">
      <c r="A657" s="10"/>
      <c r="B657" s="13"/>
      <c r="C657" s="13"/>
    </row>
    <row r="658" spans="1:3" ht="13" x14ac:dyDescent="0.15">
      <c r="A658" s="10"/>
      <c r="B658" s="13"/>
      <c r="C658" s="13"/>
    </row>
    <row r="659" spans="1:3" ht="13" x14ac:dyDescent="0.15">
      <c r="A659" s="10"/>
      <c r="B659" s="13"/>
      <c r="C659" s="13"/>
    </row>
    <row r="660" spans="1:3" ht="13" x14ac:dyDescent="0.15">
      <c r="A660" s="10"/>
      <c r="B660" s="13"/>
      <c r="C660" s="13"/>
    </row>
    <row r="661" spans="1:3" ht="13" x14ac:dyDescent="0.15">
      <c r="A661" s="10"/>
      <c r="B661" s="13"/>
      <c r="C661" s="13"/>
    </row>
    <row r="662" spans="1:3" ht="13" x14ac:dyDescent="0.15">
      <c r="A662" s="10"/>
      <c r="B662" s="13"/>
      <c r="C662" s="13"/>
    </row>
    <row r="663" spans="1:3" ht="13" x14ac:dyDescent="0.15">
      <c r="A663" s="10"/>
      <c r="B663" s="13"/>
      <c r="C663" s="13"/>
    </row>
    <row r="664" spans="1:3" ht="13" x14ac:dyDescent="0.15">
      <c r="A664" s="10"/>
      <c r="B664" s="13"/>
      <c r="C664" s="13"/>
    </row>
    <row r="665" spans="1:3" ht="13" x14ac:dyDescent="0.15">
      <c r="A665" s="10"/>
      <c r="B665" s="13"/>
      <c r="C665" s="13"/>
    </row>
    <row r="666" spans="1:3" ht="13" x14ac:dyDescent="0.15">
      <c r="A666" s="10"/>
      <c r="B666" s="13"/>
      <c r="C666" s="13"/>
    </row>
    <row r="667" spans="1:3" ht="13" x14ac:dyDescent="0.15">
      <c r="A667" s="10"/>
      <c r="B667" s="13"/>
      <c r="C667" s="13"/>
    </row>
    <row r="668" spans="1:3" ht="13" x14ac:dyDescent="0.15">
      <c r="A668" s="10"/>
      <c r="B668" s="13"/>
      <c r="C668" s="13"/>
    </row>
    <row r="669" spans="1:3" ht="13" x14ac:dyDescent="0.15">
      <c r="A669" s="10"/>
      <c r="B669" s="13"/>
      <c r="C669" s="13"/>
    </row>
    <row r="670" spans="1:3" ht="13" x14ac:dyDescent="0.15">
      <c r="A670" s="10"/>
      <c r="B670" s="13"/>
      <c r="C670" s="13"/>
    </row>
    <row r="671" spans="1:3" ht="13" x14ac:dyDescent="0.15">
      <c r="A671" s="10"/>
      <c r="B671" s="13"/>
      <c r="C671" s="13"/>
    </row>
    <row r="672" spans="1:3" ht="13" x14ac:dyDescent="0.15">
      <c r="A672" s="10"/>
      <c r="B672" s="13"/>
      <c r="C672" s="13"/>
    </row>
    <row r="673" spans="1:3" ht="13" x14ac:dyDescent="0.15">
      <c r="A673" s="10"/>
      <c r="B673" s="13"/>
      <c r="C673" s="13"/>
    </row>
    <row r="674" spans="1:3" ht="13" x14ac:dyDescent="0.15">
      <c r="A674" s="10"/>
      <c r="B674" s="13"/>
      <c r="C674" s="13"/>
    </row>
    <row r="675" spans="1:3" ht="13" x14ac:dyDescent="0.15">
      <c r="A675" s="10"/>
      <c r="B675" s="13"/>
      <c r="C675" s="13"/>
    </row>
    <row r="676" spans="1:3" ht="13" x14ac:dyDescent="0.15">
      <c r="A676" s="10"/>
      <c r="B676" s="13"/>
      <c r="C676" s="13"/>
    </row>
    <row r="677" spans="1:3" ht="13" x14ac:dyDescent="0.15">
      <c r="A677" s="10"/>
      <c r="B677" s="13"/>
      <c r="C677" s="13"/>
    </row>
    <row r="678" spans="1:3" ht="13" x14ac:dyDescent="0.15">
      <c r="A678" s="10"/>
      <c r="B678" s="13"/>
      <c r="C678" s="13"/>
    </row>
    <row r="679" spans="1:3" ht="13" x14ac:dyDescent="0.15">
      <c r="A679" s="10"/>
      <c r="B679" s="13"/>
      <c r="C679" s="13"/>
    </row>
    <row r="680" spans="1:3" ht="13" x14ac:dyDescent="0.15">
      <c r="A680" s="10"/>
      <c r="B680" s="13"/>
      <c r="C680" s="13"/>
    </row>
    <row r="681" spans="1:3" ht="13" x14ac:dyDescent="0.15">
      <c r="A681" s="10"/>
      <c r="B681" s="13"/>
      <c r="C681" s="13"/>
    </row>
    <row r="682" spans="1:3" ht="13" x14ac:dyDescent="0.15">
      <c r="A682" s="10"/>
      <c r="B682" s="13"/>
      <c r="C682" s="13"/>
    </row>
    <row r="683" spans="1:3" ht="13" x14ac:dyDescent="0.15">
      <c r="A683" s="10"/>
      <c r="B683" s="13"/>
      <c r="C683" s="13"/>
    </row>
    <row r="684" spans="1:3" ht="13" x14ac:dyDescent="0.15">
      <c r="A684" s="10"/>
      <c r="B684" s="13"/>
      <c r="C684" s="13"/>
    </row>
    <row r="685" spans="1:3" ht="13" x14ac:dyDescent="0.15">
      <c r="A685" s="10"/>
      <c r="B685" s="13"/>
      <c r="C685" s="13"/>
    </row>
    <row r="686" spans="1:3" ht="13" x14ac:dyDescent="0.15">
      <c r="A686" s="10"/>
      <c r="B686" s="13"/>
      <c r="C686" s="13"/>
    </row>
    <row r="687" spans="1:3" ht="13" x14ac:dyDescent="0.15">
      <c r="A687" s="10"/>
      <c r="B687" s="13"/>
      <c r="C687" s="13"/>
    </row>
    <row r="688" spans="1:3" ht="13" x14ac:dyDescent="0.15">
      <c r="A688" s="10"/>
      <c r="B688" s="13"/>
      <c r="C688" s="13"/>
    </row>
    <row r="689" spans="1:3" ht="13" x14ac:dyDescent="0.15">
      <c r="A689" s="10"/>
      <c r="B689" s="13"/>
      <c r="C689" s="13"/>
    </row>
    <row r="690" spans="1:3" ht="13" x14ac:dyDescent="0.15">
      <c r="A690" s="10"/>
      <c r="B690" s="13"/>
      <c r="C690" s="13"/>
    </row>
    <row r="691" spans="1:3" ht="13" x14ac:dyDescent="0.15">
      <c r="A691" s="10"/>
      <c r="B691" s="13"/>
      <c r="C691" s="13"/>
    </row>
    <row r="692" spans="1:3" ht="13" x14ac:dyDescent="0.15">
      <c r="A692" s="10"/>
      <c r="B692" s="13"/>
      <c r="C692" s="13"/>
    </row>
    <row r="693" spans="1:3" ht="13" x14ac:dyDescent="0.15">
      <c r="A693" s="10"/>
      <c r="B693" s="13"/>
      <c r="C693" s="13"/>
    </row>
    <row r="694" spans="1:3" ht="13" x14ac:dyDescent="0.15">
      <c r="A694" s="10"/>
      <c r="B694" s="13"/>
      <c r="C694" s="13"/>
    </row>
    <row r="695" spans="1:3" ht="13" x14ac:dyDescent="0.15">
      <c r="A695" s="10"/>
      <c r="B695" s="13"/>
      <c r="C695" s="13"/>
    </row>
    <row r="696" spans="1:3" ht="13" x14ac:dyDescent="0.15">
      <c r="A696" s="10"/>
      <c r="B696" s="13"/>
      <c r="C696" s="13"/>
    </row>
    <row r="697" spans="1:3" ht="13" x14ac:dyDescent="0.15">
      <c r="A697" s="10"/>
      <c r="B697" s="13"/>
      <c r="C697" s="13"/>
    </row>
    <row r="698" spans="1:3" ht="13" x14ac:dyDescent="0.15">
      <c r="A698" s="10"/>
      <c r="B698" s="13"/>
      <c r="C698" s="13"/>
    </row>
    <row r="699" spans="1:3" ht="13" x14ac:dyDescent="0.15">
      <c r="A699" s="10"/>
      <c r="B699" s="13"/>
      <c r="C699" s="13"/>
    </row>
    <row r="700" spans="1:3" ht="13" x14ac:dyDescent="0.15">
      <c r="A700" s="10"/>
      <c r="B700" s="13"/>
      <c r="C700" s="13"/>
    </row>
    <row r="701" spans="1:3" ht="13" x14ac:dyDescent="0.15">
      <c r="A701" s="10"/>
      <c r="B701" s="13"/>
      <c r="C701" s="13"/>
    </row>
    <row r="702" spans="1:3" ht="13" x14ac:dyDescent="0.15">
      <c r="A702" s="10"/>
      <c r="B702" s="13"/>
      <c r="C702" s="13"/>
    </row>
    <row r="703" spans="1:3" ht="13" x14ac:dyDescent="0.15">
      <c r="A703" s="10"/>
      <c r="B703" s="13"/>
      <c r="C703" s="13"/>
    </row>
    <row r="704" spans="1:3" ht="13" x14ac:dyDescent="0.15">
      <c r="A704" s="10"/>
      <c r="B704" s="13"/>
      <c r="C704" s="13"/>
    </row>
    <row r="705" spans="1:3" ht="13" x14ac:dyDescent="0.15">
      <c r="A705" s="10"/>
      <c r="B705" s="13"/>
      <c r="C705" s="13"/>
    </row>
    <row r="706" spans="1:3" ht="13" x14ac:dyDescent="0.15">
      <c r="A706" s="10"/>
      <c r="B706" s="13"/>
      <c r="C706" s="13"/>
    </row>
    <row r="707" spans="1:3" ht="13" x14ac:dyDescent="0.15">
      <c r="A707" s="10"/>
      <c r="B707" s="13"/>
      <c r="C707" s="13"/>
    </row>
    <row r="708" spans="1:3" ht="13" x14ac:dyDescent="0.15">
      <c r="A708" s="10"/>
      <c r="B708" s="13"/>
      <c r="C708" s="13"/>
    </row>
    <row r="709" spans="1:3" ht="13" x14ac:dyDescent="0.15">
      <c r="A709" s="10"/>
      <c r="B709" s="13"/>
      <c r="C709" s="13"/>
    </row>
    <row r="710" spans="1:3" ht="13" x14ac:dyDescent="0.15">
      <c r="A710" s="10"/>
      <c r="B710" s="13"/>
      <c r="C710" s="13"/>
    </row>
    <row r="711" spans="1:3" ht="13" x14ac:dyDescent="0.15">
      <c r="A711" s="10"/>
      <c r="B711" s="13"/>
      <c r="C711" s="13"/>
    </row>
    <row r="712" spans="1:3" ht="13" x14ac:dyDescent="0.15">
      <c r="A712" s="10"/>
      <c r="B712" s="13"/>
      <c r="C712" s="13"/>
    </row>
    <row r="713" spans="1:3" ht="13" x14ac:dyDescent="0.15">
      <c r="A713" s="10"/>
      <c r="B713" s="13"/>
      <c r="C713" s="13"/>
    </row>
    <row r="714" spans="1:3" ht="13" x14ac:dyDescent="0.15">
      <c r="A714" s="10"/>
      <c r="B714" s="13"/>
      <c r="C714" s="13"/>
    </row>
    <row r="715" spans="1:3" ht="13" x14ac:dyDescent="0.15">
      <c r="A715" s="10"/>
      <c r="B715" s="13"/>
      <c r="C715" s="13"/>
    </row>
    <row r="716" spans="1:3" ht="13" x14ac:dyDescent="0.15">
      <c r="A716" s="10"/>
      <c r="B716" s="13"/>
      <c r="C716" s="13"/>
    </row>
    <row r="717" spans="1:3" ht="13" x14ac:dyDescent="0.15">
      <c r="A717" s="10"/>
      <c r="B717" s="13"/>
      <c r="C717" s="13"/>
    </row>
    <row r="718" spans="1:3" ht="13" x14ac:dyDescent="0.15">
      <c r="A718" s="10"/>
      <c r="B718" s="13"/>
      <c r="C718" s="13"/>
    </row>
    <row r="719" spans="1:3" ht="13" x14ac:dyDescent="0.15">
      <c r="A719" s="10"/>
      <c r="B719" s="13"/>
      <c r="C719" s="13"/>
    </row>
    <row r="720" spans="1:3" ht="13" x14ac:dyDescent="0.15">
      <c r="A720" s="10"/>
      <c r="B720" s="13"/>
      <c r="C720" s="13"/>
    </row>
    <row r="721" spans="1:3" ht="13" x14ac:dyDescent="0.15">
      <c r="A721" s="10"/>
      <c r="B721" s="13"/>
      <c r="C721" s="13"/>
    </row>
    <row r="722" spans="1:3" ht="13" x14ac:dyDescent="0.15">
      <c r="A722" s="10"/>
      <c r="B722" s="13"/>
      <c r="C722" s="13"/>
    </row>
    <row r="723" spans="1:3" ht="13" x14ac:dyDescent="0.15">
      <c r="A723" s="10"/>
      <c r="B723" s="13"/>
      <c r="C723" s="13"/>
    </row>
    <row r="724" spans="1:3" ht="13" x14ac:dyDescent="0.15">
      <c r="A724" s="10"/>
      <c r="B724" s="13"/>
      <c r="C724" s="13"/>
    </row>
    <row r="725" spans="1:3" ht="13" x14ac:dyDescent="0.15">
      <c r="A725" s="10"/>
      <c r="B725" s="13"/>
      <c r="C725" s="13"/>
    </row>
    <row r="726" spans="1:3" ht="13" x14ac:dyDescent="0.15">
      <c r="A726" s="10"/>
      <c r="B726" s="13"/>
      <c r="C726" s="13"/>
    </row>
    <row r="727" spans="1:3" ht="13" x14ac:dyDescent="0.15">
      <c r="A727" s="10"/>
      <c r="B727" s="13"/>
      <c r="C727" s="13"/>
    </row>
    <row r="728" spans="1:3" ht="13" x14ac:dyDescent="0.15">
      <c r="A728" s="10"/>
      <c r="B728" s="13"/>
      <c r="C728" s="13"/>
    </row>
    <row r="729" spans="1:3" ht="13" x14ac:dyDescent="0.15">
      <c r="A729" s="10"/>
      <c r="B729" s="13"/>
      <c r="C729" s="13"/>
    </row>
    <row r="730" spans="1:3" ht="13" x14ac:dyDescent="0.15">
      <c r="A730" s="10"/>
      <c r="B730" s="13"/>
      <c r="C730" s="13"/>
    </row>
    <row r="731" spans="1:3" ht="13" x14ac:dyDescent="0.15">
      <c r="A731" s="10"/>
      <c r="B731" s="13"/>
      <c r="C731" s="13"/>
    </row>
    <row r="732" spans="1:3" ht="13" x14ac:dyDescent="0.15">
      <c r="A732" s="10"/>
      <c r="B732" s="13"/>
      <c r="C732" s="13"/>
    </row>
    <row r="733" spans="1:3" ht="13" x14ac:dyDescent="0.15">
      <c r="A733" s="10"/>
      <c r="B733" s="13"/>
      <c r="C733" s="13"/>
    </row>
    <row r="734" spans="1:3" ht="13" x14ac:dyDescent="0.15">
      <c r="A734" s="10"/>
      <c r="B734" s="13"/>
      <c r="C734" s="13"/>
    </row>
    <row r="735" spans="1:3" ht="13" x14ac:dyDescent="0.15">
      <c r="A735" s="10"/>
      <c r="B735" s="13"/>
      <c r="C735" s="13"/>
    </row>
    <row r="736" spans="1:3" ht="13" x14ac:dyDescent="0.15">
      <c r="A736" s="10"/>
      <c r="B736" s="13"/>
      <c r="C736" s="13"/>
    </row>
    <row r="737" spans="1:3" ht="13" x14ac:dyDescent="0.15">
      <c r="A737" s="10"/>
      <c r="B737" s="13"/>
      <c r="C737" s="13"/>
    </row>
    <row r="738" spans="1:3" ht="13" x14ac:dyDescent="0.15">
      <c r="A738" s="10"/>
      <c r="B738" s="13"/>
      <c r="C738" s="13"/>
    </row>
    <row r="739" spans="1:3" ht="13" x14ac:dyDescent="0.15">
      <c r="A739" s="10"/>
      <c r="B739" s="13"/>
      <c r="C739" s="13"/>
    </row>
    <row r="740" spans="1:3" ht="13" x14ac:dyDescent="0.15">
      <c r="A740" s="10"/>
      <c r="B740" s="13"/>
      <c r="C740" s="13"/>
    </row>
    <row r="741" spans="1:3" ht="13" x14ac:dyDescent="0.15">
      <c r="A741" s="10"/>
      <c r="B741" s="13"/>
      <c r="C741" s="13"/>
    </row>
    <row r="742" spans="1:3" ht="13" x14ac:dyDescent="0.15">
      <c r="A742" s="10"/>
      <c r="B742" s="13"/>
      <c r="C742" s="13"/>
    </row>
    <row r="743" spans="1:3" ht="13" x14ac:dyDescent="0.15">
      <c r="A743" s="10"/>
      <c r="B743" s="13"/>
      <c r="C743" s="13"/>
    </row>
    <row r="744" spans="1:3" ht="13" x14ac:dyDescent="0.15">
      <c r="A744" s="10"/>
      <c r="B744" s="13"/>
      <c r="C744" s="13"/>
    </row>
    <row r="745" spans="1:3" ht="13" x14ac:dyDescent="0.15">
      <c r="A745" s="10"/>
      <c r="B745" s="13"/>
      <c r="C745" s="13"/>
    </row>
    <row r="746" spans="1:3" ht="13" x14ac:dyDescent="0.15">
      <c r="A746" s="10"/>
      <c r="B746" s="13"/>
      <c r="C746" s="13"/>
    </row>
    <row r="747" spans="1:3" ht="13" x14ac:dyDescent="0.15">
      <c r="A747" s="10"/>
      <c r="B747" s="13"/>
      <c r="C747" s="13"/>
    </row>
    <row r="748" spans="1:3" ht="13" x14ac:dyDescent="0.15">
      <c r="A748" s="10"/>
      <c r="B748" s="13"/>
      <c r="C748" s="13"/>
    </row>
    <row r="749" spans="1:3" ht="13" x14ac:dyDescent="0.15">
      <c r="A749" s="10"/>
      <c r="B749" s="13"/>
      <c r="C749" s="13"/>
    </row>
    <row r="750" spans="1:3" ht="13" x14ac:dyDescent="0.15">
      <c r="A750" s="10"/>
      <c r="B750" s="13"/>
      <c r="C750" s="13"/>
    </row>
    <row r="751" spans="1:3" ht="13" x14ac:dyDescent="0.15">
      <c r="A751" s="10"/>
      <c r="B751" s="13"/>
      <c r="C751" s="13"/>
    </row>
    <row r="752" spans="1:3" ht="13" x14ac:dyDescent="0.15">
      <c r="A752" s="10"/>
      <c r="B752" s="13"/>
      <c r="C752" s="13"/>
    </row>
    <row r="753" spans="1:3" ht="13" x14ac:dyDescent="0.15">
      <c r="A753" s="10"/>
      <c r="B753" s="13"/>
      <c r="C753" s="13"/>
    </row>
    <row r="754" spans="1:3" ht="13" x14ac:dyDescent="0.15">
      <c r="A754" s="10"/>
      <c r="B754" s="13"/>
      <c r="C754" s="13"/>
    </row>
    <row r="755" spans="1:3" ht="13" x14ac:dyDescent="0.15">
      <c r="A755" s="10"/>
      <c r="B755" s="13"/>
      <c r="C755" s="13"/>
    </row>
    <row r="756" spans="1:3" ht="13" x14ac:dyDescent="0.15">
      <c r="A756" s="10"/>
      <c r="B756" s="13"/>
      <c r="C756" s="13"/>
    </row>
    <row r="757" spans="1:3" ht="13" x14ac:dyDescent="0.15">
      <c r="A757" s="10"/>
      <c r="B757" s="13"/>
      <c r="C757" s="13"/>
    </row>
    <row r="758" spans="1:3" ht="13" x14ac:dyDescent="0.15">
      <c r="A758" s="10"/>
      <c r="B758" s="13"/>
      <c r="C758" s="13"/>
    </row>
    <row r="759" spans="1:3" ht="13" x14ac:dyDescent="0.15">
      <c r="A759" s="10"/>
      <c r="B759" s="13"/>
      <c r="C759" s="13"/>
    </row>
    <row r="760" spans="1:3" ht="13" x14ac:dyDescent="0.15">
      <c r="A760" s="10"/>
      <c r="B760" s="13"/>
      <c r="C760" s="13"/>
    </row>
    <row r="761" spans="1:3" ht="13" x14ac:dyDescent="0.15">
      <c r="A761" s="10"/>
      <c r="B761" s="13"/>
      <c r="C761" s="13"/>
    </row>
    <row r="762" spans="1:3" ht="13" x14ac:dyDescent="0.15">
      <c r="A762" s="10"/>
      <c r="B762" s="13"/>
      <c r="C762" s="13"/>
    </row>
    <row r="763" spans="1:3" ht="13" x14ac:dyDescent="0.15">
      <c r="A763" s="10"/>
      <c r="B763" s="13"/>
      <c r="C763" s="13"/>
    </row>
    <row r="764" spans="1:3" ht="13" x14ac:dyDescent="0.15">
      <c r="A764" s="10"/>
      <c r="B764" s="13"/>
      <c r="C764" s="13"/>
    </row>
    <row r="765" spans="1:3" ht="13" x14ac:dyDescent="0.15">
      <c r="A765" s="10"/>
      <c r="B765" s="13"/>
      <c r="C765" s="13"/>
    </row>
    <row r="766" spans="1:3" ht="13" x14ac:dyDescent="0.15">
      <c r="A766" s="10"/>
      <c r="B766" s="13"/>
      <c r="C766" s="13"/>
    </row>
    <row r="767" spans="1:3" ht="13" x14ac:dyDescent="0.15">
      <c r="A767" s="10"/>
      <c r="B767" s="13"/>
      <c r="C767" s="13"/>
    </row>
    <row r="768" spans="1:3" ht="13" x14ac:dyDescent="0.15">
      <c r="A768" s="10"/>
      <c r="B768" s="13"/>
      <c r="C768" s="13"/>
    </row>
    <row r="769" spans="1:3" ht="13" x14ac:dyDescent="0.15">
      <c r="A769" s="10"/>
      <c r="B769" s="13"/>
      <c r="C769" s="13"/>
    </row>
    <row r="770" spans="1:3" ht="13" x14ac:dyDescent="0.15">
      <c r="A770" s="10"/>
      <c r="B770" s="13"/>
      <c r="C770" s="13"/>
    </row>
    <row r="771" spans="1:3" ht="13" x14ac:dyDescent="0.15">
      <c r="A771" s="10"/>
      <c r="B771" s="13"/>
      <c r="C771" s="13"/>
    </row>
    <row r="772" spans="1:3" ht="13" x14ac:dyDescent="0.15">
      <c r="A772" s="10"/>
      <c r="B772" s="13"/>
      <c r="C772" s="13"/>
    </row>
    <row r="773" spans="1:3" ht="13" x14ac:dyDescent="0.15">
      <c r="A773" s="10"/>
      <c r="B773" s="13"/>
      <c r="C773" s="13"/>
    </row>
    <row r="774" spans="1:3" ht="13" x14ac:dyDescent="0.15">
      <c r="A774" s="10"/>
      <c r="B774" s="13"/>
      <c r="C774" s="13"/>
    </row>
    <row r="775" spans="1:3" ht="13" x14ac:dyDescent="0.15">
      <c r="A775" s="10"/>
      <c r="B775" s="13"/>
      <c r="C775" s="13"/>
    </row>
    <row r="776" spans="1:3" ht="13" x14ac:dyDescent="0.15">
      <c r="A776" s="10"/>
      <c r="B776" s="13"/>
      <c r="C776" s="13"/>
    </row>
    <row r="777" spans="1:3" ht="13" x14ac:dyDescent="0.15">
      <c r="A777" s="10"/>
      <c r="B777" s="13"/>
      <c r="C777" s="13"/>
    </row>
    <row r="778" spans="1:3" ht="13" x14ac:dyDescent="0.15">
      <c r="A778" s="10"/>
      <c r="B778" s="13"/>
      <c r="C778" s="13"/>
    </row>
    <row r="779" spans="1:3" ht="13" x14ac:dyDescent="0.15">
      <c r="A779" s="10"/>
      <c r="B779" s="13"/>
      <c r="C779" s="13"/>
    </row>
    <row r="780" spans="1:3" ht="13" x14ac:dyDescent="0.15">
      <c r="A780" s="10"/>
      <c r="B780" s="13"/>
      <c r="C780" s="13"/>
    </row>
    <row r="781" spans="1:3" ht="13" x14ac:dyDescent="0.15">
      <c r="A781" s="10"/>
      <c r="B781" s="13"/>
      <c r="C781" s="13"/>
    </row>
    <row r="782" spans="1:3" ht="13" x14ac:dyDescent="0.15">
      <c r="A782" s="10"/>
      <c r="B782" s="13"/>
      <c r="C782" s="13"/>
    </row>
    <row r="783" spans="1:3" ht="13" x14ac:dyDescent="0.15">
      <c r="A783" s="10"/>
      <c r="B783" s="13"/>
      <c r="C783" s="13"/>
    </row>
    <row r="784" spans="1:3" ht="13" x14ac:dyDescent="0.15">
      <c r="A784" s="10"/>
      <c r="B784" s="13"/>
      <c r="C784" s="13"/>
    </row>
    <row r="785" spans="1:3" ht="13" x14ac:dyDescent="0.15">
      <c r="A785" s="10"/>
      <c r="B785" s="13"/>
      <c r="C785" s="13"/>
    </row>
    <row r="786" spans="1:3" ht="13" x14ac:dyDescent="0.15">
      <c r="A786" s="10"/>
      <c r="B786" s="13"/>
      <c r="C786" s="13"/>
    </row>
    <row r="787" spans="1:3" ht="13" x14ac:dyDescent="0.15">
      <c r="A787" s="10"/>
      <c r="B787" s="13"/>
      <c r="C787" s="13"/>
    </row>
    <row r="788" spans="1:3" ht="13" x14ac:dyDescent="0.15">
      <c r="A788" s="10"/>
      <c r="B788" s="13"/>
      <c r="C788" s="13"/>
    </row>
    <row r="789" spans="1:3" ht="13" x14ac:dyDescent="0.15">
      <c r="A789" s="10"/>
      <c r="B789" s="13"/>
      <c r="C789" s="13"/>
    </row>
    <row r="790" spans="1:3" ht="13" x14ac:dyDescent="0.15">
      <c r="A790" s="10"/>
      <c r="B790" s="13"/>
      <c r="C790" s="13"/>
    </row>
    <row r="791" spans="1:3" ht="13" x14ac:dyDescent="0.15">
      <c r="A791" s="10"/>
      <c r="B791" s="13"/>
      <c r="C791" s="13"/>
    </row>
    <row r="792" spans="1:3" ht="13" x14ac:dyDescent="0.15">
      <c r="A792" s="10"/>
      <c r="B792" s="13"/>
      <c r="C792" s="13"/>
    </row>
    <row r="793" spans="1:3" ht="13" x14ac:dyDescent="0.15">
      <c r="A793" s="10"/>
      <c r="B793" s="13"/>
      <c r="C793" s="13"/>
    </row>
    <row r="794" spans="1:3" ht="13" x14ac:dyDescent="0.15">
      <c r="A794" s="10"/>
      <c r="B794" s="13"/>
      <c r="C794" s="13"/>
    </row>
    <row r="795" spans="1:3" ht="13" x14ac:dyDescent="0.15">
      <c r="A795" s="10"/>
      <c r="B795" s="13"/>
      <c r="C795" s="13"/>
    </row>
    <row r="796" spans="1:3" ht="13" x14ac:dyDescent="0.15">
      <c r="A796" s="10"/>
      <c r="B796" s="13"/>
      <c r="C796" s="13"/>
    </row>
    <row r="797" spans="1:3" ht="13" x14ac:dyDescent="0.15">
      <c r="A797" s="10"/>
      <c r="B797" s="13"/>
      <c r="C797" s="13"/>
    </row>
    <row r="798" spans="1:3" ht="13" x14ac:dyDescent="0.15">
      <c r="A798" s="10"/>
      <c r="B798" s="13"/>
      <c r="C798" s="13"/>
    </row>
    <row r="799" spans="1:3" ht="13" x14ac:dyDescent="0.15">
      <c r="A799" s="10"/>
      <c r="B799" s="13"/>
      <c r="C799" s="13"/>
    </row>
    <row r="800" spans="1:3" ht="13" x14ac:dyDescent="0.15">
      <c r="A800" s="10"/>
      <c r="B800" s="13"/>
      <c r="C800" s="13"/>
    </row>
    <row r="801" spans="1:3" ht="13" x14ac:dyDescent="0.15">
      <c r="A801" s="10"/>
      <c r="B801" s="13"/>
      <c r="C801" s="13"/>
    </row>
    <row r="802" spans="1:3" ht="13" x14ac:dyDescent="0.15">
      <c r="A802" s="10"/>
      <c r="B802" s="13"/>
      <c r="C802" s="13"/>
    </row>
    <row r="803" spans="1:3" ht="13" x14ac:dyDescent="0.15">
      <c r="A803" s="10"/>
      <c r="B803" s="13"/>
      <c r="C803" s="13"/>
    </row>
    <row r="804" spans="1:3" ht="13" x14ac:dyDescent="0.15">
      <c r="A804" s="10"/>
      <c r="B804" s="13"/>
      <c r="C804" s="13"/>
    </row>
    <row r="805" spans="1:3" ht="13" x14ac:dyDescent="0.15">
      <c r="A805" s="10"/>
      <c r="B805" s="13"/>
      <c r="C805" s="13"/>
    </row>
    <row r="806" spans="1:3" ht="13" x14ac:dyDescent="0.15">
      <c r="A806" s="10"/>
      <c r="B806" s="13"/>
      <c r="C806" s="13"/>
    </row>
    <row r="807" spans="1:3" ht="13" x14ac:dyDescent="0.15">
      <c r="A807" s="10"/>
      <c r="B807" s="13"/>
      <c r="C807" s="13"/>
    </row>
    <row r="808" spans="1:3" ht="13" x14ac:dyDescent="0.15">
      <c r="A808" s="10"/>
      <c r="B808" s="13"/>
      <c r="C808" s="13"/>
    </row>
    <row r="809" spans="1:3" ht="13" x14ac:dyDescent="0.15">
      <c r="A809" s="10"/>
      <c r="B809" s="13"/>
      <c r="C809" s="13"/>
    </row>
    <row r="810" spans="1:3" ht="13" x14ac:dyDescent="0.15">
      <c r="A810" s="10"/>
      <c r="B810" s="13"/>
      <c r="C810" s="13"/>
    </row>
    <row r="811" spans="1:3" ht="13" x14ac:dyDescent="0.15">
      <c r="A811" s="10"/>
      <c r="B811" s="13"/>
      <c r="C811" s="13"/>
    </row>
    <row r="812" spans="1:3" ht="13" x14ac:dyDescent="0.15">
      <c r="A812" s="10"/>
      <c r="B812" s="13"/>
      <c r="C812" s="13"/>
    </row>
    <row r="813" spans="1:3" ht="13" x14ac:dyDescent="0.15">
      <c r="A813" s="10"/>
      <c r="B813" s="13"/>
      <c r="C813" s="13"/>
    </row>
    <row r="814" spans="1:3" ht="13" x14ac:dyDescent="0.15">
      <c r="A814" s="10"/>
      <c r="B814" s="13"/>
      <c r="C814" s="13"/>
    </row>
    <row r="815" spans="1:3" ht="13" x14ac:dyDescent="0.15">
      <c r="A815" s="10"/>
      <c r="B815" s="13"/>
      <c r="C815" s="13"/>
    </row>
    <row r="816" spans="1:3" ht="13" x14ac:dyDescent="0.15">
      <c r="A816" s="10"/>
      <c r="B816" s="13"/>
      <c r="C816" s="13"/>
    </row>
    <row r="817" spans="1:3" ht="13" x14ac:dyDescent="0.15">
      <c r="A817" s="10"/>
      <c r="B817" s="13"/>
      <c r="C817" s="13"/>
    </row>
    <row r="818" spans="1:3" ht="13" x14ac:dyDescent="0.15">
      <c r="A818" s="10"/>
      <c r="B818" s="13"/>
      <c r="C818" s="13"/>
    </row>
    <row r="819" spans="1:3" ht="13" x14ac:dyDescent="0.15">
      <c r="A819" s="10"/>
      <c r="B819" s="13"/>
      <c r="C819" s="13"/>
    </row>
    <row r="820" spans="1:3" ht="13" x14ac:dyDescent="0.15">
      <c r="A820" s="10"/>
      <c r="B820" s="13"/>
      <c r="C820" s="13"/>
    </row>
    <row r="821" spans="1:3" ht="13" x14ac:dyDescent="0.15">
      <c r="A821" s="10"/>
      <c r="B821" s="13"/>
      <c r="C821" s="13"/>
    </row>
    <row r="822" spans="1:3" ht="13" x14ac:dyDescent="0.15">
      <c r="A822" s="10"/>
      <c r="B822" s="13"/>
      <c r="C822" s="13"/>
    </row>
    <row r="823" spans="1:3" ht="13" x14ac:dyDescent="0.15">
      <c r="A823" s="10"/>
      <c r="B823" s="13"/>
      <c r="C823" s="13"/>
    </row>
    <row r="824" spans="1:3" ht="13" x14ac:dyDescent="0.15">
      <c r="A824" s="10"/>
      <c r="B824" s="13"/>
      <c r="C824" s="13"/>
    </row>
    <row r="825" spans="1:3" ht="13" x14ac:dyDescent="0.15">
      <c r="A825" s="10"/>
      <c r="B825" s="13"/>
      <c r="C825" s="13"/>
    </row>
    <row r="826" spans="1:3" ht="13" x14ac:dyDescent="0.15">
      <c r="A826" s="10"/>
      <c r="B826" s="13"/>
      <c r="C826" s="13"/>
    </row>
    <row r="827" spans="1:3" ht="13" x14ac:dyDescent="0.15">
      <c r="A827" s="10"/>
      <c r="B827" s="13"/>
      <c r="C827" s="13"/>
    </row>
    <row r="828" spans="1:3" ht="13" x14ac:dyDescent="0.15">
      <c r="A828" s="10"/>
      <c r="B828" s="13"/>
      <c r="C828" s="13"/>
    </row>
    <row r="829" spans="1:3" ht="13" x14ac:dyDescent="0.15">
      <c r="A829" s="10"/>
      <c r="B829" s="13"/>
      <c r="C829" s="13"/>
    </row>
    <row r="830" spans="1:3" ht="13" x14ac:dyDescent="0.15">
      <c r="A830" s="10"/>
      <c r="B830" s="13"/>
      <c r="C830" s="13"/>
    </row>
    <row r="831" spans="1:3" ht="13" x14ac:dyDescent="0.15">
      <c r="A831" s="10"/>
      <c r="B831" s="13"/>
      <c r="C831" s="13"/>
    </row>
    <row r="832" spans="1:3" ht="13" x14ac:dyDescent="0.15">
      <c r="A832" s="10"/>
      <c r="B832" s="13"/>
      <c r="C832" s="13"/>
    </row>
    <row r="833" spans="1:3" ht="13" x14ac:dyDescent="0.15">
      <c r="A833" s="10"/>
      <c r="B833" s="13"/>
      <c r="C833" s="13"/>
    </row>
    <row r="834" spans="1:3" ht="13" x14ac:dyDescent="0.15">
      <c r="A834" s="10"/>
      <c r="B834" s="13"/>
      <c r="C834" s="13"/>
    </row>
    <row r="835" spans="1:3" ht="13" x14ac:dyDescent="0.15">
      <c r="A835" s="10"/>
      <c r="B835" s="13"/>
      <c r="C835" s="13"/>
    </row>
    <row r="836" spans="1:3" ht="13" x14ac:dyDescent="0.15">
      <c r="A836" s="10"/>
      <c r="B836" s="13"/>
      <c r="C836" s="13"/>
    </row>
    <row r="837" spans="1:3" ht="13" x14ac:dyDescent="0.15">
      <c r="A837" s="10"/>
      <c r="B837" s="13"/>
      <c r="C837" s="13"/>
    </row>
    <row r="838" spans="1:3" ht="13" x14ac:dyDescent="0.15">
      <c r="A838" s="10"/>
      <c r="B838" s="13"/>
      <c r="C838" s="13"/>
    </row>
    <row r="839" spans="1:3" ht="13" x14ac:dyDescent="0.15">
      <c r="A839" s="10"/>
      <c r="B839" s="13"/>
      <c r="C839" s="13"/>
    </row>
    <row r="840" spans="1:3" ht="13" x14ac:dyDescent="0.15">
      <c r="A840" s="10"/>
      <c r="B840" s="13"/>
      <c r="C840" s="13"/>
    </row>
    <row r="841" spans="1:3" ht="13" x14ac:dyDescent="0.15">
      <c r="A841" s="10"/>
      <c r="B841" s="13"/>
      <c r="C841" s="13"/>
    </row>
    <row r="842" spans="1:3" ht="13" x14ac:dyDescent="0.15">
      <c r="A842" s="10"/>
      <c r="B842" s="13"/>
      <c r="C842" s="13"/>
    </row>
    <row r="843" spans="1:3" ht="13" x14ac:dyDescent="0.15">
      <c r="A843" s="10"/>
      <c r="B843" s="13"/>
      <c r="C843" s="13"/>
    </row>
    <row r="844" spans="1:3" ht="13" x14ac:dyDescent="0.15">
      <c r="A844" s="10"/>
      <c r="B844" s="13"/>
      <c r="C844" s="13"/>
    </row>
    <row r="845" spans="1:3" ht="13" x14ac:dyDescent="0.15">
      <c r="A845" s="10"/>
      <c r="B845" s="13"/>
      <c r="C845" s="13"/>
    </row>
    <row r="846" spans="1:3" ht="13" x14ac:dyDescent="0.15">
      <c r="A846" s="10"/>
      <c r="B846" s="13"/>
      <c r="C846" s="13"/>
    </row>
    <row r="847" spans="1:3" ht="13" x14ac:dyDescent="0.15">
      <c r="A847" s="10"/>
      <c r="B847" s="13"/>
      <c r="C847" s="13"/>
    </row>
    <row r="848" spans="1:3" ht="13" x14ac:dyDescent="0.15">
      <c r="A848" s="10"/>
      <c r="B848" s="13"/>
      <c r="C848" s="13"/>
    </row>
    <row r="849" spans="1:3" ht="13" x14ac:dyDescent="0.15">
      <c r="A849" s="10"/>
      <c r="B849" s="13"/>
      <c r="C849" s="13"/>
    </row>
    <row r="850" spans="1:3" ht="13" x14ac:dyDescent="0.15">
      <c r="A850" s="10"/>
      <c r="B850" s="13"/>
      <c r="C850" s="13"/>
    </row>
    <row r="851" spans="1:3" ht="13" x14ac:dyDescent="0.15">
      <c r="A851" s="10"/>
      <c r="B851" s="13"/>
      <c r="C851" s="13"/>
    </row>
    <row r="852" spans="1:3" ht="13" x14ac:dyDescent="0.15">
      <c r="A852" s="10"/>
      <c r="B852" s="13"/>
      <c r="C852" s="13"/>
    </row>
    <row r="853" spans="1:3" ht="13" x14ac:dyDescent="0.15">
      <c r="A853" s="10"/>
      <c r="B853" s="13"/>
      <c r="C853" s="13"/>
    </row>
    <row r="854" spans="1:3" ht="13" x14ac:dyDescent="0.15">
      <c r="A854" s="10"/>
      <c r="B854" s="13"/>
      <c r="C854" s="13"/>
    </row>
    <row r="855" spans="1:3" ht="13" x14ac:dyDescent="0.15">
      <c r="A855" s="10"/>
      <c r="B855" s="13"/>
      <c r="C855" s="13"/>
    </row>
    <row r="856" spans="1:3" ht="13" x14ac:dyDescent="0.15">
      <c r="A856" s="10"/>
      <c r="B856" s="13"/>
      <c r="C856" s="13"/>
    </row>
    <row r="857" spans="1:3" ht="13" x14ac:dyDescent="0.15">
      <c r="A857" s="10"/>
      <c r="B857" s="13"/>
      <c r="C857" s="13"/>
    </row>
    <row r="858" spans="1:3" ht="13" x14ac:dyDescent="0.15">
      <c r="A858" s="10"/>
      <c r="B858" s="13"/>
      <c r="C858" s="13"/>
    </row>
    <row r="859" spans="1:3" ht="13" x14ac:dyDescent="0.15">
      <c r="A859" s="10"/>
      <c r="B859" s="13"/>
      <c r="C859" s="13"/>
    </row>
    <row r="860" spans="1:3" ht="13" x14ac:dyDescent="0.15">
      <c r="A860" s="10"/>
      <c r="B860" s="13"/>
      <c r="C860" s="13"/>
    </row>
    <row r="861" spans="1:3" ht="13" x14ac:dyDescent="0.15">
      <c r="A861" s="10"/>
      <c r="B861" s="13"/>
      <c r="C861" s="13"/>
    </row>
    <row r="862" spans="1:3" ht="13" x14ac:dyDescent="0.15">
      <c r="A862" s="10"/>
      <c r="B862" s="13"/>
      <c r="C862" s="13"/>
    </row>
    <row r="863" spans="1:3" ht="13" x14ac:dyDescent="0.15">
      <c r="A863" s="10"/>
      <c r="B863" s="13"/>
      <c r="C863" s="13"/>
    </row>
    <row r="864" spans="1:3" ht="13" x14ac:dyDescent="0.15">
      <c r="A864" s="10"/>
      <c r="B864" s="13"/>
      <c r="C864" s="13"/>
    </row>
    <row r="865" spans="1:3" ht="13" x14ac:dyDescent="0.15">
      <c r="A865" s="10"/>
      <c r="B865" s="13"/>
      <c r="C865" s="13"/>
    </row>
    <row r="866" spans="1:3" ht="13" x14ac:dyDescent="0.15">
      <c r="A866" s="10"/>
      <c r="B866" s="13"/>
      <c r="C866" s="13"/>
    </row>
    <row r="867" spans="1:3" ht="13" x14ac:dyDescent="0.15">
      <c r="A867" s="10"/>
      <c r="B867" s="13"/>
      <c r="C867" s="13"/>
    </row>
    <row r="868" spans="1:3" ht="13" x14ac:dyDescent="0.15">
      <c r="A868" s="10"/>
      <c r="B868" s="13"/>
      <c r="C868" s="13"/>
    </row>
    <row r="869" spans="1:3" ht="13" x14ac:dyDescent="0.15">
      <c r="A869" s="10"/>
      <c r="B869" s="13"/>
      <c r="C869" s="13"/>
    </row>
    <row r="870" spans="1:3" ht="13" x14ac:dyDescent="0.15">
      <c r="A870" s="10"/>
      <c r="B870" s="13"/>
      <c r="C870" s="13"/>
    </row>
    <row r="871" spans="1:3" ht="13" x14ac:dyDescent="0.15">
      <c r="A871" s="10"/>
      <c r="B871" s="13"/>
      <c r="C871" s="13"/>
    </row>
    <row r="872" spans="1:3" ht="13" x14ac:dyDescent="0.15">
      <c r="A872" s="10"/>
      <c r="B872" s="13"/>
      <c r="C872" s="13"/>
    </row>
    <row r="873" spans="1:3" ht="13" x14ac:dyDescent="0.15">
      <c r="A873" s="10"/>
      <c r="B873" s="13"/>
      <c r="C873" s="13"/>
    </row>
    <row r="874" spans="1:3" ht="13" x14ac:dyDescent="0.15">
      <c r="A874" s="10"/>
      <c r="B874" s="13"/>
      <c r="C874" s="13"/>
    </row>
    <row r="875" spans="1:3" ht="13" x14ac:dyDescent="0.15">
      <c r="A875" s="10"/>
      <c r="B875" s="13"/>
      <c r="C875" s="13"/>
    </row>
    <row r="876" spans="1:3" ht="13" x14ac:dyDescent="0.15">
      <c r="A876" s="10"/>
      <c r="B876" s="13"/>
      <c r="C876" s="13"/>
    </row>
    <row r="877" spans="1:3" ht="13" x14ac:dyDescent="0.15">
      <c r="A877" s="10"/>
      <c r="B877" s="13"/>
      <c r="C877" s="13"/>
    </row>
    <row r="878" spans="1:3" ht="13" x14ac:dyDescent="0.15">
      <c r="A878" s="10"/>
      <c r="B878" s="13"/>
      <c r="C878" s="13"/>
    </row>
    <row r="879" spans="1:3" ht="13" x14ac:dyDescent="0.15">
      <c r="A879" s="10"/>
      <c r="B879" s="13"/>
      <c r="C879" s="13"/>
    </row>
    <row r="880" spans="1:3" ht="13" x14ac:dyDescent="0.15">
      <c r="A880" s="10"/>
      <c r="B880" s="13"/>
      <c r="C880" s="13"/>
    </row>
    <row r="881" spans="1:3" ht="13" x14ac:dyDescent="0.15">
      <c r="A881" s="10"/>
      <c r="B881" s="13"/>
      <c r="C881" s="13"/>
    </row>
    <row r="882" spans="1:3" ht="13" x14ac:dyDescent="0.15">
      <c r="A882" s="10"/>
      <c r="B882" s="13"/>
      <c r="C882" s="13"/>
    </row>
    <row r="883" spans="1:3" ht="13" x14ac:dyDescent="0.15">
      <c r="A883" s="10"/>
      <c r="B883" s="13"/>
      <c r="C883" s="13"/>
    </row>
    <row r="884" spans="1:3" ht="13" x14ac:dyDescent="0.15">
      <c r="A884" s="10"/>
      <c r="B884" s="13"/>
      <c r="C884" s="13"/>
    </row>
    <row r="885" spans="1:3" ht="13" x14ac:dyDescent="0.15">
      <c r="A885" s="10"/>
      <c r="B885" s="13"/>
      <c r="C885" s="13"/>
    </row>
    <row r="886" spans="1:3" ht="13" x14ac:dyDescent="0.15">
      <c r="A886" s="10"/>
      <c r="B886" s="13"/>
      <c r="C886" s="13"/>
    </row>
    <row r="887" spans="1:3" ht="13" x14ac:dyDescent="0.15">
      <c r="A887" s="10"/>
      <c r="B887" s="13"/>
      <c r="C887" s="13"/>
    </row>
    <row r="888" spans="1:3" ht="13" x14ac:dyDescent="0.15">
      <c r="A888" s="10"/>
      <c r="B888" s="13"/>
      <c r="C888" s="13"/>
    </row>
    <row r="889" spans="1:3" ht="13" x14ac:dyDescent="0.15">
      <c r="A889" s="10"/>
      <c r="B889" s="13"/>
      <c r="C889" s="13"/>
    </row>
    <row r="890" spans="1:3" ht="13" x14ac:dyDescent="0.15">
      <c r="A890" s="10"/>
      <c r="B890" s="13"/>
      <c r="C890" s="13"/>
    </row>
    <row r="891" spans="1:3" ht="13" x14ac:dyDescent="0.15">
      <c r="A891" s="10"/>
      <c r="B891" s="13"/>
      <c r="C891" s="13"/>
    </row>
    <row r="892" spans="1:3" ht="13" x14ac:dyDescent="0.15">
      <c r="A892" s="10"/>
      <c r="B892" s="13"/>
      <c r="C892" s="13"/>
    </row>
    <row r="893" spans="1:3" ht="13" x14ac:dyDescent="0.15">
      <c r="A893" s="10"/>
      <c r="B893" s="13"/>
      <c r="C893" s="13"/>
    </row>
    <row r="894" spans="1:3" ht="13" x14ac:dyDescent="0.15">
      <c r="A894" s="10"/>
      <c r="B894" s="13"/>
      <c r="C894" s="13"/>
    </row>
    <row r="895" spans="1:3" ht="13" x14ac:dyDescent="0.15">
      <c r="A895" s="10"/>
      <c r="B895" s="13"/>
      <c r="C895" s="13"/>
    </row>
    <row r="896" spans="1:3" ht="13" x14ac:dyDescent="0.15">
      <c r="A896" s="10"/>
      <c r="B896" s="13"/>
      <c r="C896" s="13"/>
    </row>
    <row r="897" spans="1:3" ht="13" x14ac:dyDescent="0.15">
      <c r="A897" s="10"/>
      <c r="B897" s="13"/>
      <c r="C897" s="13"/>
    </row>
    <row r="898" spans="1:3" ht="13" x14ac:dyDescent="0.15">
      <c r="A898" s="10"/>
      <c r="B898" s="13"/>
      <c r="C898" s="13"/>
    </row>
    <row r="899" spans="1:3" ht="13" x14ac:dyDescent="0.15">
      <c r="A899" s="10"/>
      <c r="B899" s="13"/>
      <c r="C899" s="13"/>
    </row>
    <row r="900" spans="1:3" ht="13" x14ac:dyDescent="0.15">
      <c r="A900" s="10"/>
      <c r="B900" s="13"/>
      <c r="C900" s="13"/>
    </row>
    <row r="901" spans="1:3" ht="13" x14ac:dyDescent="0.15">
      <c r="A901" s="10"/>
      <c r="B901" s="13"/>
      <c r="C901" s="13"/>
    </row>
    <row r="902" spans="1:3" ht="13" x14ac:dyDescent="0.15">
      <c r="A902" s="10"/>
      <c r="B902" s="13"/>
      <c r="C902" s="13"/>
    </row>
    <row r="903" spans="1:3" ht="13" x14ac:dyDescent="0.15">
      <c r="A903" s="10"/>
      <c r="B903" s="13"/>
      <c r="C903" s="13"/>
    </row>
    <row r="904" spans="1:3" ht="13" x14ac:dyDescent="0.15">
      <c r="A904" s="10"/>
      <c r="B904" s="13"/>
      <c r="C904" s="13"/>
    </row>
    <row r="905" spans="1:3" ht="13" x14ac:dyDescent="0.15">
      <c r="A905" s="10"/>
      <c r="B905" s="13"/>
      <c r="C905" s="13"/>
    </row>
    <row r="906" spans="1:3" ht="13" x14ac:dyDescent="0.15">
      <c r="A906" s="10"/>
      <c r="B906" s="13"/>
      <c r="C906" s="13"/>
    </row>
    <row r="907" spans="1:3" ht="13" x14ac:dyDescent="0.15">
      <c r="A907" s="10"/>
      <c r="B907" s="13"/>
      <c r="C907" s="13"/>
    </row>
    <row r="908" spans="1:3" ht="13" x14ac:dyDescent="0.15">
      <c r="A908" s="10"/>
      <c r="B908" s="13"/>
      <c r="C908" s="13"/>
    </row>
    <row r="909" spans="1:3" ht="13" x14ac:dyDescent="0.15">
      <c r="A909" s="10"/>
      <c r="B909" s="13"/>
      <c r="C909" s="13"/>
    </row>
    <row r="910" spans="1:3" ht="13" x14ac:dyDescent="0.15">
      <c r="A910" s="10"/>
      <c r="B910" s="13"/>
      <c r="C910" s="13"/>
    </row>
    <row r="911" spans="1:3" ht="13" x14ac:dyDescent="0.15">
      <c r="A911" s="10"/>
      <c r="B911" s="13"/>
      <c r="C911" s="13"/>
    </row>
    <row r="912" spans="1:3" ht="13" x14ac:dyDescent="0.15">
      <c r="A912" s="10"/>
      <c r="B912" s="13"/>
      <c r="C912" s="13"/>
    </row>
    <row r="913" spans="1:3" ht="13" x14ac:dyDescent="0.15">
      <c r="A913" s="10"/>
      <c r="B913" s="13"/>
      <c r="C913" s="13"/>
    </row>
    <row r="914" spans="1:3" ht="13" x14ac:dyDescent="0.15">
      <c r="A914" s="10"/>
      <c r="B914" s="13"/>
      <c r="C914" s="13"/>
    </row>
    <row r="915" spans="1:3" ht="13" x14ac:dyDescent="0.15">
      <c r="A915" s="10"/>
      <c r="B915" s="13"/>
      <c r="C915" s="13"/>
    </row>
    <row r="916" spans="1:3" ht="13" x14ac:dyDescent="0.15">
      <c r="A916" s="10"/>
      <c r="B916" s="13"/>
      <c r="C916" s="13"/>
    </row>
    <row r="917" spans="1:3" ht="13" x14ac:dyDescent="0.15">
      <c r="A917" s="10"/>
      <c r="B917" s="13"/>
      <c r="C917" s="13"/>
    </row>
    <row r="918" spans="1:3" ht="13" x14ac:dyDescent="0.15">
      <c r="A918" s="10"/>
      <c r="B918" s="13"/>
      <c r="C918" s="13"/>
    </row>
    <row r="919" spans="1:3" ht="13" x14ac:dyDescent="0.15">
      <c r="A919" s="10"/>
      <c r="B919" s="13"/>
      <c r="C919" s="13"/>
    </row>
    <row r="920" spans="1:3" ht="13" x14ac:dyDescent="0.15">
      <c r="A920" s="10"/>
      <c r="B920" s="13"/>
      <c r="C920" s="13"/>
    </row>
    <row r="921" spans="1:3" ht="13" x14ac:dyDescent="0.15">
      <c r="A921" s="10"/>
      <c r="B921" s="13"/>
      <c r="C921" s="13"/>
    </row>
    <row r="922" spans="1:3" ht="13" x14ac:dyDescent="0.15">
      <c r="A922" s="10"/>
      <c r="B922" s="13"/>
      <c r="C922" s="13"/>
    </row>
    <row r="923" spans="1:3" ht="13" x14ac:dyDescent="0.15">
      <c r="A923" s="10"/>
      <c r="B923" s="13"/>
      <c r="C923" s="13"/>
    </row>
    <row r="924" spans="1:3" ht="13" x14ac:dyDescent="0.15">
      <c r="A924" s="10"/>
      <c r="B924" s="13"/>
      <c r="C924" s="13"/>
    </row>
    <row r="925" spans="1:3" ht="13" x14ac:dyDescent="0.15">
      <c r="A925" s="10"/>
      <c r="B925" s="13"/>
      <c r="C925" s="13"/>
    </row>
    <row r="926" spans="1:3" ht="13" x14ac:dyDescent="0.15">
      <c r="A926" s="10"/>
      <c r="B926" s="13"/>
      <c r="C926" s="13"/>
    </row>
    <row r="927" spans="1:3" ht="13" x14ac:dyDescent="0.15">
      <c r="A927" s="10"/>
      <c r="B927" s="13"/>
      <c r="C927" s="13"/>
    </row>
    <row r="928" spans="1:3" ht="13" x14ac:dyDescent="0.15">
      <c r="A928" s="10"/>
      <c r="B928" s="13"/>
      <c r="C928" s="13"/>
    </row>
    <row r="929" spans="1:3" ht="13" x14ac:dyDescent="0.15">
      <c r="A929" s="10"/>
      <c r="B929" s="13"/>
      <c r="C929" s="13"/>
    </row>
    <row r="930" spans="1:3" ht="13" x14ac:dyDescent="0.15">
      <c r="A930" s="10"/>
      <c r="B930" s="13"/>
      <c r="C930" s="13"/>
    </row>
    <row r="931" spans="1:3" ht="13" x14ac:dyDescent="0.15">
      <c r="A931" s="10"/>
      <c r="B931" s="13"/>
      <c r="C931" s="13"/>
    </row>
    <row r="932" spans="1:3" ht="13" x14ac:dyDescent="0.15">
      <c r="A932" s="10"/>
      <c r="B932" s="13"/>
      <c r="C932" s="13"/>
    </row>
    <row r="933" spans="1:3" ht="13" x14ac:dyDescent="0.15">
      <c r="A933" s="10"/>
      <c r="B933" s="13"/>
      <c r="C933" s="13"/>
    </row>
    <row r="934" spans="1:3" ht="13" x14ac:dyDescent="0.15">
      <c r="A934" s="10"/>
      <c r="B934" s="13"/>
      <c r="C934" s="13"/>
    </row>
    <row r="935" spans="1:3" ht="13" x14ac:dyDescent="0.15">
      <c r="A935" s="10"/>
      <c r="B935" s="13"/>
      <c r="C935" s="13"/>
    </row>
    <row r="936" spans="1:3" ht="13" x14ac:dyDescent="0.15">
      <c r="A936" s="10"/>
      <c r="B936" s="13"/>
      <c r="C936" s="13"/>
    </row>
    <row r="937" spans="1:3" ht="13" x14ac:dyDescent="0.15">
      <c r="A937" s="10"/>
      <c r="B937" s="13"/>
      <c r="C937" s="13"/>
    </row>
    <row r="938" spans="1:3" ht="13" x14ac:dyDescent="0.15">
      <c r="A938" s="10"/>
      <c r="B938" s="13"/>
      <c r="C938" s="13"/>
    </row>
    <row r="939" spans="1:3" ht="13" x14ac:dyDescent="0.15">
      <c r="A939" s="10"/>
      <c r="B939" s="13"/>
      <c r="C939" s="13"/>
    </row>
    <row r="940" spans="1:3" ht="13" x14ac:dyDescent="0.15">
      <c r="A940" s="10"/>
      <c r="B940" s="13"/>
      <c r="C940" s="13"/>
    </row>
    <row r="941" spans="1:3" ht="13" x14ac:dyDescent="0.15">
      <c r="A941" s="10"/>
      <c r="B941" s="13"/>
      <c r="C941" s="13"/>
    </row>
    <row r="942" spans="1:3" ht="13" x14ac:dyDescent="0.15">
      <c r="A942" s="10"/>
      <c r="B942" s="13"/>
      <c r="C942" s="13"/>
    </row>
    <row r="943" spans="1:3" ht="13" x14ac:dyDescent="0.15">
      <c r="A943" s="10"/>
      <c r="B943" s="13"/>
      <c r="C943" s="13"/>
    </row>
    <row r="944" spans="1:3" ht="13" x14ac:dyDescent="0.15">
      <c r="A944" s="10"/>
      <c r="B944" s="13"/>
      <c r="C944" s="13"/>
    </row>
    <row r="945" spans="1:3" ht="13" x14ac:dyDescent="0.15">
      <c r="A945" s="10"/>
      <c r="B945" s="13"/>
      <c r="C945" s="13"/>
    </row>
    <row r="946" spans="1:3" ht="13" x14ac:dyDescent="0.15">
      <c r="A946" s="10"/>
      <c r="B946" s="13"/>
      <c r="C946" s="13"/>
    </row>
    <row r="947" spans="1:3" ht="13" x14ac:dyDescent="0.15">
      <c r="A947" s="10"/>
      <c r="B947" s="13"/>
      <c r="C947" s="13"/>
    </row>
    <row r="948" spans="1:3" ht="13" x14ac:dyDescent="0.15">
      <c r="A948" s="10"/>
      <c r="B948" s="13"/>
      <c r="C948" s="13"/>
    </row>
    <row r="949" spans="1:3" ht="13" x14ac:dyDescent="0.15">
      <c r="A949" s="10"/>
      <c r="B949" s="13"/>
      <c r="C949" s="13"/>
    </row>
    <row r="950" spans="1:3" ht="13" x14ac:dyDescent="0.15">
      <c r="A950" s="10"/>
      <c r="B950" s="13"/>
      <c r="C950" s="13"/>
    </row>
    <row r="951" spans="1:3" ht="13" x14ac:dyDescent="0.15">
      <c r="A951" s="10"/>
      <c r="B951" s="13"/>
      <c r="C951" s="13"/>
    </row>
    <row r="952" spans="1:3" ht="13" x14ac:dyDescent="0.15">
      <c r="A952" s="10"/>
      <c r="B952" s="13"/>
      <c r="C952" s="13"/>
    </row>
    <row r="953" spans="1:3" ht="13" x14ac:dyDescent="0.15">
      <c r="A953" s="10"/>
      <c r="B953" s="13"/>
      <c r="C953" s="13"/>
    </row>
    <row r="954" spans="1:3" ht="13" x14ac:dyDescent="0.15">
      <c r="A954" s="10"/>
      <c r="B954" s="13"/>
      <c r="C954" s="13"/>
    </row>
    <row r="955" spans="1:3" ht="13" x14ac:dyDescent="0.15">
      <c r="A955" s="10"/>
      <c r="B955" s="13"/>
      <c r="C955" s="13"/>
    </row>
    <row r="956" spans="1:3" ht="13" x14ac:dyDescent="0.15">
      <c r="A956" s="10"/>
      <c r="B956" s="13"/>
      <c r="C956" s="13"/>
    </row>
    <row r="957" spans="1:3" ht="13" x14ac:dyDescent="0.15">
      <c r="A957" s="10"/>
      <c r="B957" s="13"/>
      <c r="C957" s="13"/>
    </row>
    <row r="958" spans="1:3" ht="13" x14ac:dyDescent="0.15">
      <c r="A958" s="10"/>
      <c r="B958" s="13"/>
      <c r="C958" s="13"/>
    </row>
    <row r="959" spans="1:3" ht="13" x14ac:dyDescent="0.15">
      <c r="A959" s="10"/>
      <c r="B959" s="13"/>
      <c r="C959" s="13"/>
    </row>
    <row r="960" spans="1:3" ht="13" x14ac:dyDescent="0.15">
      <c r="A960" s="10"/>
      <c r="B960" s="13"/>
      <c r="C960" s="13"/>
    </row>
    <row r="961" spans="1:3" ht="13" x14ac:dyDescent="0.15">
      <c r="A961" s="10"/>
      <c r="B961" s="13"/>
      <c r="C961" s="13"/>
    </row>
    <row r="962" spans="1:3" ht="13" x14ac:dyDescent="0.15">
      <c r="A962" s="10"/>
      <c r="B962" s="13"/>
      <c r="C962" s="13"/>
    </row>
    <row r="963" spans="1:3" ht="13" x14ac:dyDescent="0.15">
      <c r="A963" s="10"/>
      <c r="B963" s="13"/>
      <c r="C963" s="13"/>
    </row>
    <row r="964" spans="1:3" ht="13" x14ac:dyDescent="0.15">
      <c r="A964" s="10"/>
      <c r="B964" s="13"/>
      <c r="C964" s="13"/>
    </row>
    <row r="965" spans="1:3" ht="13" x14ac:dyDescent="0.15">
      <c r="A965" s="10"/>
      <c r="B965" s="13"/>
      <c r="C965" s="13"/>
    </row>
    <row r="966" spans="1:3" ht="13" x14ac:dyDescent="0.15">
      <c r="A966" s="10"/>
      <c r="B966" s="13"/>
      <c r="C966" s="13"/>
    </row>
    <row r="967" spans="1:3" ht="13" x14ac:dyDescent="0.15">
      <c r="A967" s="10"/>
      <c r="B967" s="13"/>
      <c r="C967" s="13"/>
    </row>
    <row r="968" spans="1:3" ht="13" x14ac:dyDescent="0.15">
      <c r="A968" s="10"/>
      <c r="B968" s="13"/>
      <c r="C968" s="13"/>
    </row>
    <row r="969" spans="1:3" ht="13" x14ac:dyDescent="0.15">
      <c r="A969" s="10"/>
      <c r="B969" s="13"/>
      <c r="C969" s="13"/>
    </row>
    <row r="970" spans="1:3" ht="13" x14ac:dyDescent="0.15">
      <c r="A970" s="10"/>
      <c r="B970" s="13"/>
      <c r="C970" s="13"/>
    </row>
    <row r="971" spans="1:3" ht="13" x14ac:dyDescent="0.15">
      <c r="A971" s="10"/>
      <c r="B971" s="13"/>
      <c r="C971" s="13"/>
    </row>
    <row r="972" spans="1:3" ht="13" x14ac:dyDescent="0.15">
      <c r="A972" s="10"/>
      <c r="B972" s="13"/>
      <c r="C972" s="13"/>
    </row>
    <row r="973" spans="1:3" ht="13" x14ac:dyDescent="0.15">
      <c r="A973" s="10"/>
      <c r="B973" s="13"/>
      <c r="C973" s="13"/>
    </row>
    <row r="974" spans="1:3" ht="13" x14ac:dyDescent="0.15">
      <c r="A974" s="10"/>
      <c r="B974" s="13"/>
      <c r="C974" s="13"/>
    </row>
    <row r="975" spans="1:3" ht="13" x14ac:dyDescent="0.15">
      <c r="A975" s="10"/>
      <c r="B975" s="13"/>
      <c r="C975" s="13"/>
    </row>
    <row r="976" spans="1:3" ht="13" x14ac:dyDescent="0.15">
      <c r="A976" s="10"/>
      <c r="B976" s="13"/>
      <c r="C976" s="13"/>
    </row>
    <row r="977" spans="1:3" ht="13" x14ac:dyDescent="0.15">
      <c r="A977" s="10"/>
      <c r="B977" s="13"/>
      <c r="C977" s="13"/>
    </row>
    <row r="978" spans="1:3" ht="13" x14ac:dyDescent="0.15">
      <c r="A978" s="10"/>
      <c r="B978" s="13"/>
      <c r="C978" s="13"/>
    </row>
    <row r="979" spans="1:3" ht="13" x14ac:dyDescent="0.15">
      <c r="A979" s="10"/>
      <c r="B979" s="13"/>
      <c r="C979" s="13"/>
    </row>
    <row r="980" spans="1:3" ht="13" x14ac:dyDescent="0.15">
      <c r="A980" s="10"/>
      <c r="B980" s="13"/>
      <c r="C980" s="13"/>
    </row>
    <row r="981" spans="1:3" ht="13" x14ac:dyDescent="0.15">
      <c r="A981" s="10"/>
      <c r="B981" s="13"/>
      <c r="C981" s="13"/>
    </row>
    <row r="982" spans="1:3" ht="13" x14ac:dyDescent="0.15">
      <c r="A982" s="10"/>
      <c r="B982" s="13"/>
      <c r="C982" s="13"/>
    </row>
    <row r="983" spans="1:3" ht="13" x14ac:dyDescent="0.15">
      <c r="A983" s="10"/>
      <c r="B983" s="13"/>
      <c r="C983" s="13"/>
    </row>
    <row r="984" spans="1:3" ht="13" x14ac:dyDescent="0.15">
      <c r="A984" s="10"/>
      <c r="B984" s="13"/>
      <c r="C984" s="13"/>
    </row>
    <row r="985" spans="1:3" ht="13" x14ac:dyDescent="0.15">
      <c r="A985" s="10"/>
      <c r="B985" s="13"/>
      <c r="C985" s="13"/>
    </row>
    <row r="986" spans="1:3" ht="13" x14ac:dyDescent="0.15">
      <c r="A986" s="10"/>
      <c r="B986" s="13"/>
      <c r="C986" s="13"/>
    </row>
    <row r="987" spans="1:3" ht="13" x14ac:dyDescent="0.15">
      <c r="A987" s="10"/>
      <c r="B987" s="13"/>
      <c r="C987" s="13"/>
    </row>
    <row r="988" spans="1:3" ht="13" x14ac:dyDescent="0.15">
      <c r="A988" s="10"/>
      <c r="B988" s="13"/>
      <c r="C988" s="13"/>
    </row>
    <row r="989" spans="1:3" ht="13" x14ac:dyDescent="0.15">
      <c r="A989" s="10"/>
      <c r="B989" s="13"/>
      <c r="C989" s="13"/>
    </row>
    <row r="990" spans="1:3" ht="13" x14ac:dyDescent="0.15">
      <c r="A990" s="10"/>
      <c r="B990" s="13"/>
      <c r="C990" s="13"/>
    </row>
    <row r="991" spans="1:3" ht="13" x14ac:dyDescent="0.15">
      <c r="A991" s="10"/>
      <c r="B991" s="13"/>
      <c r="C991" s="13"/>
    </row>
    <row r="992" spans="1:3" ht="13" x14ac:dyDescent="0.15">
      <c r="A992" s="10"/>
      <c r="B992" s="13"/>
      <c r="C992" s="13"/>
    </row>
    <row r="993" spans="1:3" ht="13" x14ac:dyDescent="0.15">
      <c r="A993" s="10"/>
      <c r="B993" s="13"/>
      <c r="C993" s="13"/>
    </row>
    <row r="994" spans="1:3" ht="13" x14ac:dyDescent="0.15">
      <c r="A994" s="10"/>
      <c r="B994" s="13"/>
      <c r="C994" s="13"/>
    </row>
    <row r="995" spans="1:3" ht="13" x14ac:dyDescent="0.15">
      <c r="A995" s="10"/>
      <c r="B995" s="13"/>
      <c r="C995" s="13"/>
    </row>
    <row r="996" spans="1:3" ht="13" x14ac:dyDescent="0.15">
      <c r="A996" s="10"/>
      <c r="B996" s="13"/>
      <c r="C996" s="13"/>
    </row>
    <row r="997" spans="1:3" ht="13" x14ac:dyDescent="0.15">
      <c r="A997" s="10"/>
      <c r="B997" s="13"/>
      <c r="C997" s="13"/>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outlinePr summaryBelow="0" summaryRight="0"/>
  </sheetPr>
  <dimension ref="A1:D997"/>
  <sheetViews>
    <sheetView workbookViewId="0"/>
  </sheetViews>
  <sheetFormatPr baseColWidth="10" defaultColWidth="12.6640625" defaultRowHeight="15.75" customHeight="1" x14ac:dyDescent="0.15"/>
  <cols>
    <col min="1" max="1" width="71.5" customWidth="1"/>
    <col min="2" max="4" width="37.6640625" customWidth="1"/>
  </cols>
  <sheetData>
    <row r="1" spans="1:4" x14ac:dyDescent="0.2">
      <c r="A1" s="1"/>
      <c r="B1" s="21" t="str">
        <f ca="1">IFERROR(__xludf.DUMMYFUNCTION("IMPORTRANGE(""https://docs.google.com/spreadsheets/d/1Eq2M_a4_TeZImjU1FJcBSaIp6Xib8-RIHm3cQ24mbRI"", ""A15!B1:B22"")"),"Zachary Edwards")</f>
        <v>Zachary Edwards</v>
      </c>
      <c r="C1" s="10" t="str">
        <f ca="1">IFERROR(__xludf.DUMMYFUNCTION("IMPORTRANGE(""https://docs.google.com/spreadsheets/u/0/d/1Rfwd61p8X8kU1VBE4PFTeYG7-2eZzi6BYhKfon6XtRs"", ""A15!B1:B22"")"),"Korie Hall")</f>
        <v>Korie Hall</v>
      </c>
      <c r="D1" s="2" t="s">
        <v>1</v>
      </c>
    </row>
    <row r="2" spans="1:4" ht="15.75" customHeight="1" x14ac:dyDescent="0.15">
      <c r="A2" s="3" t="s">
        <v>2</v>
      </c>
      <c r="B2" s="15" t="str">
        <f ca="1">IFERROR(__xludf.DUMMYFUNCTION("""COMPUTED_VALUE"""),"Start: 10562 DNAM &amp; PHAM
Stop: 10729 DNAM &amp; PHAM
FOR")</f>
        <v>Start: 10562 DNAM &amp; PHAM
Stop: 10729 DNAM &amp; PHAM
FOR</v>
      </c>
      <c r="C2" s="15" t="str">
        <f ca="1">IFERROR(__xludf.DUMMYFUNCTION("""COMPUTED_VALUE"""),"Start: 10562")</f>
        <v>Start: 10562</v>
      </c>
      <c r="D2" s="4"/>
    </row>
    <row r="3" spans="1:4" ht="15.75" customHeight="1" x14ac:dyDescent="0.15">
      <c r="A3" s="5" t="s">
        <v>3</v>
      </c>
      <c r="B3" s="17" t="str">
        <f ca="1">IFERROR(__xludf.DUMMYFUNCTION("""COMPUTED_VALUE"""),"Gene 15 in both")</f>
        <v>Gene 15 in both</v>
      </c>
      <c r="C3" s="17" t="str">
        <f ca="1">IFERROR(__xludf.DUMMYFUNCTION("""COMPUTED_VALUE"""),"DNA Master: Gene 15")</f>
        <v>DNA Master: Gene 15</v>
      </c>
      <c r="D3" s="6"/>
    </row>
    <row r="4" spans="1:4" ht="15.75" customHeight="1" x14ac:dyDescent="0.15">
      <c r="A4" s="5" t="s">
        <v>4</v>
      </c>
      <c r="B4" s="17" t="str">
        <f ca="1">IFERROR(__xludf.DUMMYFUNCTION("""COMPUTED_VALUE"""),"20262 2/26/25")</f>
        <v>20262 2/26/25</v>
      </c>
      <c r="C4" s="17">
        <f ca="1">IFERROR(__xludf.DUMMYFUNCTION("""COMPUTED_VALUE"""),20262)</f>
        <v>20262</v>
      </c>
      <c r="D4" s="6"/>
    </row>
    <row r="5" spans="1:4" ht="15.75" customHeight="1" x14ac:dyDescent="0.15">
      <c r="A5" s="5" t="s">
        <v>5</v>
      </c>
      <c r="B5" s="17" t="str">
        <f ca="1">IFERROR(__xludf.DUMMYFUNCTION("""COMPUTED_VALUE"""),"Kovu_16")</f>
        <v>Kovu_16</v>
      </c>
      <c r="C5" s="17" t="str">
        <f ca="1">IFERROR(__xludf.DUMMYFUNCTION("""COMPUTED_VALUE"""),"Kovu_16")</f>
        <v>Kovu_16</v>
      </c>
      <c r="D5" s="6"/>
    </row>
    <row r="6" spans="1:4" ht="15.75" customHeight="1" x14ac:dyDescent="0.15">
      <c r="A6" s="5" t="s">
        <v>6</v>
      </c>
      <c r="B6" s="17" t="str">
        <f ca="1">IFERROR(__xludf.DUMMYFUNCTION("""COMPUTED_VALUE"""),"Glimmer Start: 10562
GeneMark Start: 10553")</f>
        <v>Glimmer Start: 10562
GeneMark Start: 10553</v>
      </c>
      <c r="C6" s="17" t="str">
        <f ca="1">IFERROR(__xludf.DUMMYFUNCTION("""COMPUTED_VALUE"""),"Glimmer calls at 10562")</f>
        <v>Glimmer calls at 10562</v>
      </c>
      <c r="D6" s="6"/>
    </row>
    <row r="7" spans="1:4" ht="15.75" customHeight="1" x14ac:dyDescent="0.15">
      <c r="A7" s="5" t="s">
        <v>7</v>
      </c>
      <c r="B7" s="17" t="str">
        <f ca="1">IFERROR(__xludf.DUMMYFUNCTION("""COMPUTED_VALUE"""),"Yes, all of the gene is barely included")</f>
        <v>Yes, all of the gene is barely included</v>
      </c>
      <c r="C7" s="17" t="str">
        <f ca="1">IFERROR(__xludf.DUMMYFUNCTION("""COMPUTED_VALUE"""),"All coding potential is called at start 10562")</f>
        <v>All coding potential is called at start 10562</v>
      </c>
      <c r="D7" s="6"/>
    </row>
    <row r="8" spans="1:4" ht="15.75" customHeight="1" x14ac:dyDescent="0.15">
      <c r="A8" s="5" t="s">
        <v>8</v>
      </c>
      <c r="B8" s="17" t="str">
        <f ca="1">IFERROR(__xludf.DUMMYFUNCTION("""COMPUTED_VALUE"""),"No, there is an early start. ")</f>
        <v xml:space="preserve">No, there is an early start. </v>
      </c>
      <c r="C8" s="17" t="str">
        <f ca="1">IFERROR(__xludf.DUMMYFUNCTION("""COMPUTED_VALUE"""),"No, there are two possible starts but the z-values aren't the best comapred to the one being called")</f>
        <v>No, there are two possible starts but the z-values aren't the best comapred to the one being called</v>
      </c>
      <c r="D8" s="6"/>
    </row>
    <row r="9" spans="1:4" ht="15.75" customHeight="1" x14ac:dyDescent="0.15">
      <c r="A9" s="5" t="s">
        <v>9</v>
      </c>
      <c r="B9" s="17" t="str">
        <f ca="1">IFERROR(__xludf.DUMMYFUNCTION("""COMPUTED_VALUE"""),"About a 7 NT overlap at the end")</f>
        <v>About a 7 NT overlap at the end</v>
      </c>
      <c r="C9" s="17" t="str">
        <f ca="1">IFERROR(__xludf.DUMMYFUNCTION("""COMPUTED_VALUE"""),"7 bp overlap between the stop codon of gene 15 and start codon of gene 16")</f>
        <v>7 bp overlap between the stop codon of gene 15 and start codon of gene 16</v>
      </c>
      <c r="D9" s="6"/>
    </row>
    <row r="10" spans="1:4" ht="15.75" customHeight="1" x14ac:dyDescent="0.15">
      <c r="A10" s="5" t="s">
        <v>10</v>
      </c>
      <c r="B10" s="17" t="str">
        <f ca="1">IFERROR(__xludf.DUMMYFUNCTION("""COMPUTED_VALUE"""),"2.396 Z-Score this is the best score")</f>
        <v>2.396 Z-Score this is the best score</v>
      </c>
      <c r="C10" s="17" t="str">
        <f ca="1">IFERROR(__xludf.DUMMYFUNCTION("""COMPUTED_VALUE"""),"Z-value: 2.396")</f>
        <v>Z-value: 2.396</v>
      </c>
      <c r="D10" s="6"/>
    </row>
    <row r="11" spans="1:4" ht="15.75" customHeight="1" x14ac:dyDescent="0.15">
      <c r="A11" s="5" t="s">
        <v>11</v>
      </c>
      <c r="B11" s="17" t="str">
        <f ca="1">IFERROR(__xludf.DUMMYFUNCTION("""COMPUTED_VALUE"""),"There is only one hit Kovu_16
%ID: 69.23%
E: 6.1e-15
1:1 unitl the end")</f>
        <v>There is only one hit Kovu_16
%ID: 69.23%
E: 6.1e-15
1:1 unitl the end</v>
      </c>
      <c r="C11" s="17" t="str">
        <f ca="1">IFERROR(__xludf.DUMMYFUNCTION("""COMPUTED_VALUE"""),"Kovu_16 - % identity: 69.23% / e-value: 6e-15 / q:1s:1")</f>
        <v>Kovu_16 - % identity: 69.23% / e-value: 6e-15 / q:1s:1</v>
      </c>
      <c r="D11" s="6"/>
    </row>
    <row r="12" spans="1:4" ht="15.75" customHeight="1" x14ac:dyDescent="0.15">
      <c r="A12" s="5" t="s">
        <v>12</v>
      </c>
      <c r="B12" s="17" t="str">
        <f ca="1">IFERROR(__xludf.DUMMYFUNCTION("""COMPUTED_VALUE"""),"Alignment is Equal with Kovu at Start 5")</f>
        <v>Alignment is Equal with Kovu at Start 5</v>
      </c>
      <c r="C12" s="17" t="str">
        <f ca="1">IFERROR(__xludf.DUMMYFUNCTION("""COMPUTED_VALUE"""),"Conserved in all members of the pham")</f>
        <v>Conserved in all members of the pham</v>
      </c>
      <c r="D12" s="6"/>
    </row>
    <row r="13" spans="1:4" ht="15.75" customHeight="1" x14ac:dyDescent="0.15">
      <c r="A13" s="5" t="s">
        <v>13</v>
      </c>
      <c r="B13" s="17" t="str">
        <f ca="1">IFERROR(__xludf.DUMMYFUNCTION("""COMPUTED_VALUE"""),"No, Glimmer's start is a good start")</f>
        <v>No, Glimmer's start is a good start</v>
      </c>
      <c r="C13" s="17" t="str">
        <f ca="1">IFERROR(__xludf.DUMMYFUNCTION("""COMPUTED_VALUE"""),"No, start codon has the best potential ")</f>
        <v xml:space="preserve">No, start codon has the best potential </v>
      </c>
      <c r="D13" s="6"/>
    </row>
    <row r="14" spans="1:4" ht="15.75" customHeight="1" x14ac:dyDescent="0.15">
      <c r="A14" s="5" t="s">
        <v>14</v>
      </c>
      <c r="B14" s="17" t="str">
        <f ca="1">IFERROR(__xludf.DUMMYFUNCTION("""COMPUTED_VALUE"""),"Kovu_16
E: 6.1e-15")</f>
        <v>Kovu_16
E: 6.1e-15</v>
      </c>
      <c r="C14" s="17" t="str">
        <f ca="1">IFERROR(__xludf.DUMMYFUNCTION("""COMPUTED_VALUE"""),"Kovu_16 / e-value: 3e-24")</f>
        <v>Kovu_16 / e-value: 3e-24</v>
      </c>
      <c r="D14" s="6"/>
    </row>
    <row r="15" spans="1:4" ht="15.75" customHeight="1" x14ac:dyDescent="0.15">
      <c r="A15" s="5" t="s">
        <v>15</v>
      </c>
      <c r="B15" s="17" t="str">
        <f ca="1">IFERROR(__xludf.DUMMYFUNCTION("""COMPUTED_VALUE"""),"No identfied function")</f>
        <v>No identfied function</v>
      </c>
      <c r="C15" s="17" t="str">
        <f ca="1">IFERROR(__xludf.DUMMYFUNCTION("""COMPUTED_VALUE"""),"Kovu_16")</f>
        <v>Kovu_16</v>
      </c>
      <c r="D15" s="6"/>
    </row>
    <row r="16" spans="1:4" ht="15.75" customHeight="1" x14ac:dyDescent="0.15">
      <c r="A16" s="5" t="s">
        <v>16</v>
      </c>
      <c r="B16" s="17" t="str">
        <f ca="1">IFERROR(__xludf.DUMMYFUNCTION("""COMPUTED_VALUE"""),"Found in the same genetic environemtn as Kovu")</f>
        <v>Found in the same genetic environemtn as Kovu</v>
      </c>
      <c r="C16" s="17" t="str">
        <f ca="1">IFERROR(__xludf.DUMMYFUNCTION("""COMPUTED_VALUE"""),"Yes, gene alignment is as follows / adjacent to Kovu_16")</f>
        <v>Yes, gene alignment is as follows / adjacent to Kovu_16</v>
      </c>
      <c r="D16" s="6"/>
    </row>
    <row r="17" spans="1:4" ht="15.75" customHeight="1" x14ac:dyDescent="0.15">
      <c r="A17" s="5" t="s">
        <v>17</v>
      </c>
      <c r="B17" s="17" t="str">
        <f ca="1">IFERROR(__xludf.DUMMYFUNCTION("""COMPUTED_VALUE"""),"Nothing of Comparabilty that is a SEA-PHAGE accepted function. HHPRED does compare the gene to some other genes with non accpeted functions. These comparitors also are above 90% However NCBI blast only compares the gene to Hypothetical Proteins")</f>
        <v>Nothing of Comparabilty that is a SEA-PHAGE accepted function. HHPRED does compare the gene to some other genes with non accpeted functions. These comparitors also are above 90% However NCBI blast only compares the gene to Hypothetical Proteins</v>
      </c>
      <c r="C17" s="17" t="str">
        <f ca="1">IFERROR(__xludf.DUMMYFUNCTION("""COMPUTED_VALUE"""),"Q9T1Q1; VP47_BPAPS purtative protein")</f>
        <v>Q9T1Q1; VP47_BPAPS purtative protein</v>
      </c>
      <c r="D17" s="6"/>
    </row>
    <row r="18" spans="1:4" ht="15.75" customHeight="1" x14ac:dyDescent="0.15">
      <c r="A18" s="5" t="s">
        <v>18</v>
      </c>
      <c r="B18" s="17" t="str">
        <f ca="1">IFERROR(__xludf.DUMMYFUNCTION("""COMPUTED_VALUE"""),"DUF")</f>
        <v>DUF</v>
      </c>
      <c r="C18" s="17" t="str">
        <f ca="1">IFERROR(__xludf.DUMMYFUNCTION("""COMPUTED_VALUE"""),"No conserved domain")</f>
        <v>No conserved domain</v>
      </c>
      <c r="D18" s="6"/>
    </row>
    <row r="19" spans="1:4" ht="15.75" customHeight="1" x14ac:dyDescent="0.15">
      <c r="A19" s="5" t="s">
        <v>19</v>
      </c>
      <c r="B19" s="17" t="str">
        <f ca="1">IFERROR(__xludf.DUMMYFUNCTION("""COMPUTED_VALUE"""),"No")</f>
        <v>No</v>
      </c>
      <c r="C19" s="17" t="str">
        <f ca="1">IFERROR(__xludf.DUMMYFUNCTION("""COMPUTED_VALUE"""),"No conserved domain")</f>
        <v>No conserved domain</v>
      </c>
      <c r="D19" s="6"/>
    </row>
    <row r="20" spans="1:4" ht="15.75" customHeight="1" x14ac:dyDescent="0.15">
      <c r="A20" s="5" t="s">
        <v>20</v>
      </c>
      <c r="B20" s="17" t="str">
        <f ca="1">IFERROR(__xludf.DUMMYFUNCTION("""COMPUTED_VALUE"""),"Hypothetical Protein       ")</f>
        <v xml:space="preserve">Hypothetical Protein       </v>
      </c>
      <c r="C20" s="17" t="str">
        <f ca="1">IFERROR(__xludf.DUMMYFUNCTION("""COMPUTED_VALUE"""),"Hypothetical protein ( Rationale: all three members of the pham have unknown function and there is no other reliable data to back on )")</f>
        <v>Hypothetical protein ( Rationale: all three members of the pham have unknown function and there is no other reliable data to back on )</v>
      </c>
      <c r="D20" s="6"/>
    </row>
    <row r="21" spans="1:4" x14ac:dyDescent="0.2">
      <c r="A21" s="7"/>
      <c r="B21" s="19"/>
      <c r="C21" s="19"/>
      <c r="D21" s="8"/>
    </row>
    <row r="22" spans="1:4" ht="15.75" customHeight="1" x14ac:dyDescent="0.15">
      <c r="A22" s="9" t="s">
        <v>21</v>
      </c>
      <c r="B22" s="19"/>
      <c r="C22" s="19"/>
      <c r="D22" s="8"/>
    </row>
    <row r="23" spans="1:4" ht="15.75" customHeight="1" x14ac:dyDescent="0.15">
      <c r="A23" s="10"/>
      <c r="B23" s="13"/>
      <c r="C23" s="13"/>
    </row>
    <row r="24" spans="1:4" ht="15.75" customHeight="1" x14ac:dyDescent="0.15">
      <c r="A24" s="10"/>
      <c r="B24" s="13"/>
      <c r="C24" s="13"/>
    </row>
    <row r="25" spans="1:4" ht="15.75" customHeight="1" x14ac:dyDescent="0.15">
      <c r="A25" s="10"/>
      <c r="B25" s="13"/>
      <c r="C25" s="13"/>
    </row>
    <row r="26" spans="1:4" ht="15.75" customHeight="1" x14ac:dyDescent="0.15">
      <c r="A26" s="10"/>
      <c r="B26" s="13"/>
      <c r="C26" s="13"/>
    </row>
    <row r="27" spans="1:4" ht="15.75" customHeight="1" x14ac:dyDescent="0.15">
      <c r="A27" s="10"/>
      <c r="B27" s="13"/>
      <c r="C27" s="13"/>
    </row>
    <row r="28" spans="1:4" ht="15.75" customHeight="1" x14ac:dyDescent="0.15">
      <c r="A28" s="10"/>
      <c r="B28" s="13"/>
      <c r="C28" s="13"/>
    </row>
    <row r="29" spans="1:4" ht="15.75" customHeight="1" x14ac:dyDescent="0.15">
      <c r="A29" s="10"/>
      <c r="B29" s="13"/>
      <c r="C29" s="13"/>
    </row>
    <row r="30" spans="1:4" ht="15.75" customHeight="1" x14ac:dyDescent="0.15">
      <c r="A30" s="10"/>
      <c r="B30" s="13"/>
      <c r="C30" s="13"/>
    </row>
    <row r="31" spans="1:4" ht="15.75" customHeight="1" x14ac:dyDescent="0.15">
      <c r="A31" s="10"/>
      <c r="B31" s="13"/>
      <c r="C31" s="13"/>
    </row>
    <row r="32" spans="1:4" ht="15.75" customHeight="1" x14ac:dyDescent="0.15">
      <c r="A32" s="10"/>
      <c r="B32" s="13"/>
      <c r="C32" s="13"/>
    </row>
    <row r="33" spans="1:3" ht="15.75" customHeight="1" x14ac:dyDescent="0.15">
      <c r="A33" s="10"/>
      <c r="B33" s="13"/>
      <c r="C33" s="13"/>
    </row>
    <row r="34" spans="1:3" ht="15.75" customHeight="1" x14ac:dyDescent="0.15">
      <c r="A34" s="10"/>
      <c r="B34" s="13"/>
      <c r="C34" s="13"/>
    </row>
    <row r="35" spans="1:3" ht="15.75" customHeight="1" x14ac:dyDescent="0.15">
      <c r="A35" s="10"/>
      <c r="B35" s="13"/>
      <c r="C35" s="13"/>
    </row>
    <row r="36" spans="1:3" ht="15.75" customHeight="1" x14ac:dyDescent="0.15">
      <c r="A36" s="10"/>
      <c r="B36" s="13"/>
      <c r="C36" s="13"/>
    </row>
    <row r="37" spans="1:3" ht="15.75" customHeight="1" x14ac:dyDescent="0.15">
      <c r="A37" s="10"/>
      <c r="B37" s="13"/>
      <c r="C37" s="13"/>
    </row>
    <row r="38" spans="1:3" ht="15.75" customHeight="1" x14ac:dyDescent="0.15">
      <c r="A38" s="10"/>
      <c r="B38" s="13"/>
      <c r="C38" s="13"/>
    </row>
    <row r="39" spans="1:3" ht="13" x14ac:dyDescent="0.15">
      <c r="A39" s="10"/>
      <c r="B39" s="13"/>
      <c r="C39" s="13"/>
    </row>
    <row r="40" spans="1:3" ht="13" x14ac:dyDescent="0.15">
      <c r="A40" s="10"/>
      <c r="B40" s="13"/>
      <c r="C40" s="13"/>
    </row>
    <row r="41" spans="1:3" ht="13" x14ac:dyDescent="0.15">
      <c r="A41" s="10"/>
      <c r="B41" s="13"/>
      <c r="C41" s="13"/>
    </row>
    <row r="42" spans="1:3" ht="13" x14ac:dyDescent="0.15">
      <c r="A42" s="10"/>
      <c r="B42" s="13"/>
      <c r="C42" s="13"/>
    </row>
    <row r="43" spans="1:3" ht="13" x14ac:dyDescent="0.15">
      <c r="A43" s="10"/>
      <c r="B43" s="13"/>
      <c r="C43" s="13"/>
    </row>
    <row r="44" spans="1:3" ht="13" x14ac:dyDescent="0.15">
      <c r="A44" s="10"/>
      <c r="B44" s="13"/>
      <c r="C44" s="13"/>
    </row>
    <row r="45" spans="1:3" ht="13" x14ac:dyDescent="0.15">
      <c r="A45" s="10"/>
      <c r="B45" s="13"/>
      <c r="C45" s="13"/>
    </row>
    <row r="46" spans="1:3" ht="13" x14ac:dyDescent="0.15">
      <c r="A46" s="10"/>
      <c r="B46" s="13"/>
      <c r="C46" s="13"/>
    </row>
    <row r="47" spans="1:3" ht="13" x14ac:dyDescent="0.15">
      <c r="A47" s="10"/>
      <c r="B47" s="13"/>
      <c r="C47" s="13"/>
    </row>
    <row r="48" spans="1:3" ht="13" x14ac:dyDescent="0.15">
      <c r="A48" s="10"/>
      <c r="B48" s="13"/>
      <c r="C48" s="13"/>
    </row>
    <row r="49" spans="1:3" ht="13" x14ac:dyDescent="0.15">
      <c r="A49" s="10"/>
      <c r="B49" s="13"/>
      <c r="C49" s="13"/>
    </row>
    <row r="50" spans="1:3" ht="13" x14ac:dyDescent="0.15">
      <c r="A50" s="10"/>
      <c r="B50" s="13"/>
      <c r="C50" s="13"/>
    </row>
    <row r="51" spans="1:3" ht="13" x14ac:dyDescent="0.15">
      <c r="A51" s="10"/>
      <c r="B51" s="13"/>
      <c r="C51" s="13"/>
    </row>
    <row r="52" spans="1:3" ht="13" x14ac:dyDescent="0.15">
      <c r="A52" s="10"/>
      <c r="B52" s="13"/>
      <c r="C52" s="13"/>
    </row>
    <row r="53" spans="1:3" ht="13" x14ac:dyDescent="0.15">
      <c r="A53" s="10"/>
      <c r="B53" s="13"/>
      <c r="C53" s="13"/>
    </row>
    <row r="54" spans="1:3" ht="13" x14ac:dyDescent="0.15">
      <c r="A54" s="10"/>
      <c r="B54" s="13"/>
      <c r="C54" s="13"/>
    </row>
    <row r="55" spans="1:3" ht="13" x14ac:dyDescent="0.15">
      <c r="A55" s="10"/>
      <c r="B55" s="13"/>
      <c r="C55" s="13"/>
    </row>
    <row r="56" spans="1:3" ht="13" x14ac:dyDescent="0.15">
      <c r="A56" s="10"/>
      <c r="B56" s="13"/>
      <c r="C56" s="13"/>
    </row>
    <row r="57" spans="1:3" ht="13" x14ac:dyDescent="0.15">
      <c r="A57" s="10"/>
      <c r="B57" s="13"/>
      <c r="C57" s="13"/>
    </row>
    <row r="58" spans="1:3" ht="13" x14ac:dyDescent="0.15">
      <c r="A58" s="10"/>
      <c r="B58" s="13"/>
      <c r="C58" s="13"/>
    </row>
    <row r="59" spans="1:3" ht="13" x14ac:dyDescent="0.15">
      <c r="A59" s="10"/>
      <c r="B59" s="13"/>
      <c r="C59" s="13"/>
    </row>
    <row r="60" spans="1:3" ht="13" x14ac:dyDescent="0.15">
      <c r="A60" s="10"/>
      <c r="B60" s="13"/>
      <c r="C60" s="13"/>
    </row>
    <row r="61" spans="1:3" ht="13" x14ac:dyDescent="0.15">
      <c r="A61" s="10"/>
      <c r="B61" s="13"/>
      <c r="C61" s="13"/>
    </row>
    <row r="62" spans="1:3" ht="13" x14ac:dyDescent="0.15">
      <c r="A62" s="10"/>
      <c r="B62" s="13"/>
      <c r="C62" s="13"/>
    </row>
    <row r="63" spans="1:3" ht="13" x14ac:dyDescent="0.15">
      <c r="A63" s="10"/>
      <c r="B63" s="13"/>
      <c r="C63" s="13"/>
    </row>
    <row r="64" spans="1:3" ht="13" x14ac:dyDescent="0.15">
      <c r="A64" s="10"/>
      <c r="B64" s="13"/>
      <c r="C64" s="13"/>
    </row>
    <row r="65" spans="1:3" ht="13" x14ac:dyDescent="0.15">
      <c r="A65" s="10"/>
      <c r="B65" s="13"/>
      <c r="C65" s="13"/>
    </row>
    <row r="66" spans="1:3" ht="13" x14ac:dyDescent="0.15">
      <c r="A66" s="10"/>
      <c r="B66" s="13"/>
      <c r="C66" s="13"/>
    </row>
    <row r="67" spans="1:3" ht="13" x14ac:dyDescent="0.15">
      <c r="A67" s="10"/>
      <c r="B67" s="13"/>
      <c r="C67" s="13"/>
    </row>
    <row r="68" spans="1:3" ht="13" x14ac:dyDescent="0.15">
      <c r="A68" s="10"/>
      <c r="B68" s="13"/>
      <c r="C68" s="13"/>
    </row>
    <row r="69" spans="1:3" ht="13" x14ac:dyDescent="0.15">
      <c r="A69" s="10"/>
      <c r="B69" s="13"/>
      <c r="C69" s="13"/>
    </row>
    <row r="70" spans="1:3" ht="13" x14ac:dyDescent="0.15">
      <c r="A70" s="10"/>
      <c r="B70" s="13"/>
      <c r="C70" s="13"/>
    </row>
    <row r="71" spans="1:3" ht="13" x14ac:dyDescent="0.15">
      <c r="A71" s="10"/>
      <c r="B71" s="13"/>
      <c r="C71" s="13"/>
    </row>
    <row r="72" spans="1:3" ht="13" x14ac:dyDescent="0.15">
      <c r="A72" s="10"/>
      <c r="B72" s="13"/>
      <c r="C72" s="13"/>
    </row>
    <row r="73" spans="1:3" ht="13" x14ac:dyDescent="0.15">
      <c r="A73" s="10"/>
      <c r="B73" s="13"/>
      <c r="C73" s="13"/>
    </row>
    <row r="74" spans="1:3" ht="13" x14ac:dyDescent="0.15">
      <c r="A74" s="10"/>
      <c r="B74" s="13"/>
      <c r="C74" s="13"/>
    </row>
    <row r="75" spans="1:3" ht="13" x14ac:dyDescent="0.15">
      <c r="A75" s="10"/>
      <c r="B75" s="13"/>
      <c r="C75" s="13"/>
    </row>
    <row r="76" spans="1:3" ht="13" x14ac:dyDescent="0.15">
      <c r="A76" s="10"/>
      <c r="B76" s="13"/>
      <c r="C76" s="13"/>
    </row>
    <row r="77" spans="1:3" ht="13" x14ac:dyDescent="0.15">
      <c r="A77" s="10"/>
      <c r="B77" s="13"/>
      <c r="C77" s="13"/>
    </row>
    <row r="78" spans="1:3" ht="13" x14ac:dyDescent="0.15">
      <c r="A78" s="10"/>
      <c r="B78" s="13"/>
      <c r="C78" s="13"/>
    </row>
    <row r="79" spans="1:3" ht="13" x14ac:dyDescent="0.15">
      <c r="A79" s="10"/>
      <c r="B79" s="13"/>
      <c r="C79" s="13"/>
    </row>
    <row r="80" spans="1:3" ht="13" x14ac:dyDescent="0.15">
      <c r="A80" s="10"/>
      <c r="B80" s="13"/>
      <c r="C80" s="13"/>
    </row>
    <row r="81" spans="1:3" ht="13" x14ac:dyDescent="0.15">
      <c r="A81" s="10"/>
      <c r="B81" s="13"/>
      <c r="C81" s="13"/>
    </row>
    <row r="82" spans="1:3" ht="13" x14ac:dyDescent="0.15">
      <c r="A82" s="10"/>
      <c r="B82" s="13"/>
      <c r="C82" s="13"/>
    </row>
    <row r="83" spans="1:3" ht="13" x14ac:dyDescent="0.15">
      <c r="A83" s="10"/>
      <c r="B83" s="13"/>
      <c r="C83" s="13"/>
    </row>
    <row r="84" spans="1:3" ht="13" x14ac:dyDescent="0.15">
      <c r="A84" s="10"/>
      <c r="B84" s="13"/>
      <c r="C84" s="13"/>
    </row>
    <row r="85" spans="1:3" ht="13" x14ac:dyDescent="0.15">
      <c r="A85" s="10"/>
      <c r="B85" s="13"/>
      <c r="C85" s="13"/>
    </row>
    <row r="86" spans="1:3" ht="13" x14ac:dyDescent="0.15">
      <c r="A86" s="10"/>
      <c r="B86" s="13"/>
      <c r="C86" s="13"/>
    </row>
    <row r="87" spans="1:3" ht="13" x14ac:dyDescent="0.15">
      <c r="A87" s="10"/>
      <c r="B87" s="13"/>
      <c r="C87" s="13"/>
    </row>
    <row r="88" spans="1:3" ht="13" x14ac:dyDescent="0.15">
      <c r="A88" s="10"/>
      <c r="B88" s="13"/>
      <c r="C88" s="13"/>
    </row>
    <row r="89" spans="1:3" ht="13" x14ac:dyDescent="0.15">
      <c r="A89" s="10"/>
      <c r="B89" s="13"/>
      <c r="C89" s="13"/>
    </row>
    <row r="90" spans="1:3" ht="13" x14ac:dyDescent="0.15">
      <c r="A90" s="10"/>
      <c r="B90" s="13"/>
      <c r="C90" s="13"/>
    </row>
    <row r="91" spans="1:3" ht="13" x14ac:dyDescent="0.15">
      <c r="A91" s="10"/>
      <c r="B91" s="13"/>
      <c r="C91" s="13"/>
    </row>
    <row r="92" spans="1:3" ht="13" x14ac:dyDescent="0.15">
      <c r="A92" s="10"/>
      <c r="B92" s="13"/>
      <c r="C92" s="13"/>
    </row>
    <row r="93" spans="1:3" ht="13" x14ac:dyDescent="0.15">
      <c r="A93" s="10"/>
      <c r="B93" s="13"/>
      <c r="C93" s="13"/>
    </row>
    <row r="94" spans="1:3" ht="13" x14ac:dyDescent="0.15">
      <c r="A94" s="10"/>
      <c r="B94" s="13"/>
      <c r="C94" s="13"/>
    </row>
    <row r="95" spans="1:3" ht="13" x14ac:dyDescent="0.15">
      <c r="A95" s="10"/>
      <c r="B95" s="13"/>
      <c r="C95" s="13"/>
    </row>
    <row r="96" spans="1:3" ht="13" x14ac:dyDescent="0.15">
      <c r="A96" s="10"/>
      <c r="B96" s="13"/>
      <c r="C96" s="13"/>
    </row>
    <row r="97" spans="1:3" ht="13" x14ac:dyDescent="0.15">
      <c r="A97" s="10"/>
      <c r="B97" s="13"/>
      <c r="C97" s="13"/>
    </row>
    <row r="98" spans="1:3" ht="13" x14ac:dyDescent="0.15">
      <c r="A98" s="10"/>
      <c r="B98" s="13"/>
      <c r="C98" s="13"/>
    </row>
    <row r="99" spans="1:3" ht="13" x14ac:dyDescent="0.15">
      <c r="A99" s="10"/>
      <c r="B99" s="13"/>
      <c r="C99" s="13"/>
    </row>
    <row r="100" spans="1:3" ht="13" x14ac:dyDescent="0.15">
      <c r="A100" s="10"/>
      <c r="B100" s="13"/>
      <c r="C100" s="13"/>
    </row>
    <row r="101" spans="1:3" ht="13" x14ac:dyDescent="0.15">
      <c r="A101" s="10"/>
      <c r="B101" s="13"/>
      <c r="C101" s="13"/>
    </row>
    <row r="102" spans="1:3" ht="13" x14ac:dyDescent="0.15">
      <c r="A102" s="10"/>
      <c r="B102" s="13"/>
      <c r="C102" s="13"/>
    </row>
    <row r="103" spans="1:3" ht="13" x14ac:dyDescent="0.15">
      <c r="A103" s="10"/>
      <c r="B103" s="13"/>
      <c r="C103" s="13"/>
    </row>
    <row r="104" spans="1:3" ht="13" x14ac:dyDescent="0.15">
      <c r="A104" s="10"/>
      <c r="B104" s="13"/>
      <c r="C104" s="13"/>
    </row>
    <row r="105" spans="1:3" ht="13" x14ac:dyDescent="0.15">
      <c r="A105" s="10"/>
      <c r="B105" s="13"/>
      <c r="C105" s="13"/>
    </row>
    <row r="106" spans="1:3" ht="13" x14ac:dyDescent="0.15">
      <c r="A106" s="10"/>
      <c r="B106" s="13"/>
      <c r="C106" s="13"/>
    </row>
    <row r="107" spans="1:3" ht="13" x14ac:dyDescent="0.15">
      <c r="A107" s="10"/>
      <c r="B107" s="13"/>
      <c r="C107" s="13"/>
    </row>
    <row r="108" spans="1:3" ht="13" x14ac:dyDescent="0.15">
      <c r="A108" s="10"/>
      <c r="B108" s="13"/>
      <c r="C108" s="13"/>
    </row>
    <row r="109" spans="1:3" ht="13" x14ac:dyDescent="0.15">
      <c r="A109" s="10"/>
      <c r="B109" s="13"/>
      <c r="C109" s="13"/>
    </row>
    <row r="110" spans="1:3" ht="13" x14ac:dyDescent="0.15">
      <c r="A110" s="10"/>
      <c r="B110" s="13"/>
      <c r="C110" s="13"/>
    </row>
    <row r="111" spans="1:3" ht="13" x14ac:dyDescent="0.15">
      <c r="A111" s="10"/>
      <c r="B111" s="13"/>
      <c r="C111" s="13"/>
    </row>
    <row r="112" spans="1:3" ht="13" x14ac:dyDescent="0.15">
      <c r="A112" s="10"/>
      <c r="B112" s="13"/>
      <c r="C112" s="13"/>
    </row>
    <row r="113" spans="1:3" ht="13" x14ac:dyDescent="0.15">
      <c r="A113" s="10"/>
      <c r="B113" s="13"/>
      <c r="C113" s="13"/>
    </row>
    <row r="114" spans="1:3" ht="13" x14ac:dyDescent="0.15">
      <c r="A114" s="10"/>
      <c r="B114" s="13"/>
      <c r="C114" s="13"/>
    </row>
    <row r="115" spans="1:3" ht="13" x14ac:dyDescent="0.15">
      <c r="A115" s="10"/>
      <c r="B115" s="13"/>
      <c r="C115" s="13"/>
    </row>
    <row r="116" spans="1:3" ht="13" x14ac:dyDescent="0.15">
      <c r="A116" s="10"/>
      <c r="B116" s="13"/>
      <c r="C116" s="13"/>
    </row>
    <row r="117" spans="1:3" ht="13" x14ac:dyDescent="0.15">
      <c r="A117" s="10"/>
      <c r="B117" s="13"/>
      <c r="C117" s="13"/>
    </row>
    <row r="118" spans="1:3" ht="13" x14ac:dyDescent="0.15">
      <c r="A118" s="10"/>
      <c r="B118" s="13"/>
      <c r="C118" s="13"/>
    </row>
    <row r="119" spans="1:3" ht="13" x14ac:dyDescent="0.15">
      <c r="A119" s="10"/>
      <c r="B119" s="13"/>
      <c r="C119" s="13"/>
    </row>
    <row r="120" spans="1:3" ht="13" x14ac:dyDescent="0.15">
      <c r="A120" s="10"/>
      <c r="B120" s="13"/>
      <c r="C120" s="13"/>
    </row>
    <row r="121" spans="1:3" ht="13" x14ac:dyDescent="0.15">
      <c r="A121" s="10"/>
      <c r="B121" s="13"/>
      <c r="C121" s="13"/>
    </row>
    <row r="122" spans="1:3" ht="13" x14ac:dyDescent="0.15">
      <c r="A122" s="10"/>
      <c r="B122" s="13"/>
      <c r="C122" s="13"/>
    </row>
    <row r="123" spans="1:3" ht="13" x14ac:dyDescent="0.15">
      <c r="A123" s="10"/>
      <c r="B123" s="13"/>
      <c r="C123" s="13"/>
    </row>
    <row r="124" spans="1:3" ht="13" x14ac:dyDescent="0.15">
      <c r="A124" s="10"/>
      <c r="B124" s="13"/>
      <c r="C124" s="13"/>
    </row>
    <row r="125" spans="1:3" ht="13" x14ac:dyDescent="0.15">
      <c r="A125" s="10"/>
      <c r="B125" s="13"/>
      <c r="C125" s="13"/>
    </row>
    <row r="126" spans="1:3" ht="13" x14ac:dyDescent="0.15">
      <c r="A126" s="10"/>
      <c r="B126" s="13"/>
      <c r="C126" s="13"/>
    </row>
    <row r="127" spans="1:3" ht="13" x14ac:dyDescent="0.15">
      <c r="A127" s="10"/>
      <c r="B127" s="13"/>
      <c r="C127" s="13"/>
    </row>
    <row r="128" spans="1:3" ht="13" x14ac:dyDescent="0.15">
      <c r="A128" s="10"/>
      <c r="B128" s="13"/>
      <c r="C128" s="13"/>
    </row>
    <row r="129" spans="1:3" ht="13" x14ac:dyDescent="0.15">
      <c r="A129" s="10"/>
      <c r="B129" s="13"/>
      <c r="C129" s="13"/>
    </row>
    <row r="130" spans="1:3" ht="13" x14ac:dyDescent="0.15">
      <c r="A130" s="10"/>
      <c r="B130" s="13"/>
      <c r="C130" s="13"/>
    </row>
    <row r="131" spans="1:3" ht="13" x14ac:dyDescent="0.15">
      <c r="A131" s="10"/>
      <c r="B131" s="13"/>
      <c r="C131" s="13"/>
    </row>
    <row r="132" spans="1:3" ht="13" x14ac:dyDescent="0.15">
      <c r="A132" s="10"/>
      <c r="B132" s="13"/>
      <c r="C132" s="13"/>
    </row>
    <row r="133" spans="1:3" ht="13" x14ac:dyDescent="0.15">
      <c r="A133" s="10"/>
      <c r="B133" s="13"/>
      <c r="C133" s="13"/>
    </row>
    <row r="134" spans="1:3" ht="13" x14ac:dyDescent="0.15">
      <c r="A134" s="10"/>
      <c r="B134" s="13"/>
      <c r="C134" s="13"/>
    </row>
    <row r="135" spans="1:3" ht="13" x14ac:dyDescent="0.15">
      <c r="A135" s="10"/>
      <c r="B135" s="13"/>
      <c r="C135" s="13"/>
    </row>
    <row r="136" spans="1:3" ht="13" x14ac:dyDescent="0.15">
      <c r="A136" s="10"/>
      <c r="B136" s="13"/>
      <c r="C136" s="13"/>
    </row>
    <row r="137" spans="1:3" ht="13" x14ac:dyDescent="0.15">
      <c r="A137" s="10"/>
      <c r="B137" s="13"/>
      <c r="C137" s="13"/>
    </row>
    <row r="138" spans="1:3" ht="13" x14ac:dyDescent="0.15">
      <c r="A138" s="10"/>
      <c r="B138" s="13"/>
      <c r="C138" s="13"/>
    </row>
    <row r="139" spans="1:3" ht="13" x14ac:dyDescent="0.15">
      <c r="A139" s="10"/>
      <c r="B139" s="13"/>
      <c r="C139" s="13"/>
    </row>
    <row r="140" spans="1:3" ht="13" x14ac:dyDescent="0.15">
      <c r="A140" s="10"/>
      <c r="B140" s="13"/>
      <c r="C140" s="13"/>
    </row>
    <row r="141" spans="1:3" ht="13" x14ac:dyDescent="0.15">
      <c r="A141" s="10"/>
      <c r="B141" s="13"/>
      <c r="C141" s="13"/>
    </row>
    <row r="142" spans="1:3" ht="13" x14ac:dyDescent="0.15">
      <c r="A142" s="10"/>
      <c r="B142" s="13"/>
      <c r="C142" s="13"/>
    </row>
    <row r="143" spans="1:3" ht="13" x14ac:dyDescent="0.15">
      <c r="A143" s="10"/>
      <c r="B143" s="13"/>
      <c r="C143" s="13"/>
    </row>
    <row r="144" spans="1:3" ht="13" x14ac:dyDescent="0.15">
      <c r="A144" s="10"/>
      <c r="B144" s="13"/>
      <c r="C144" s="13"/>
    </row>
    <row r="145" spans="1:3" ht="13" x14ac:dyDescent="0.15">
      <c r="A145" s="10"/>
      <c r="B145" s="13"/>
      <c r="C145" s="13"/>
    </row>
    <row r="146" spans="1:3" ht="13" x14ac:dyDescent="0.15">
      <c r="A146" s="10"/>
      <c r="B146" s="13"/>
      <c r="C146" s="13"/>
    </row>
    <row r="147" spans="1:3" ht="13" x14ac:dyDescent="0.15">
      <c r="A147" s="10"/>
      <c r="B147" s="13"/>
      <c r="C147" s="13"/>
    </row>
    <row r="148" spans="1:3" ht="13" x14ac:dyDescent="0.15">
      <c r="A148" s="10"/>
      <c r="B148" s="13"/>
      <c r="C148" s="13"/>
    </row>
    <row r="149" spans="1:3" ht="13" x14ac:dyDescent="0.15">
      <c r="A149" s="10"/>
      <c r="B149" s="13"/>
      <c r="C149" s="13"/>
    </row>
    <row r="150" spans="1:3" ht="13" x14ac:dyDescent="0.15">
      <c r="A150" s="10"/>
      <c r="B150" s="13"/>
      <c r="C150" s="13"/>
    </row>
    <row r="151" spans="1:3" ht="13" x14ac:dyDescent="0.15">
      <c r="A151" s="10"/>
      <c r="B151" s="13"/>
      <c r="C151" s="13"/>
    </row>
    <row r="152" spans="1:3" ht="13" x14ac:dyDescent="0.15">
      <c r="A152" s="10"/>
      <c r="B152" s="13"/>
      <c r="C152" s="13"/>
    </row>
    <row r="153" spans="1:3" ht="13" x14ac:dyDescent="0.15">
      <c r="A153" s="10"/>
      <c r="B153" s="13"/>
      <c r="C153" s="13"/>
    </row>
    <row r="154" spans="1:3" ht="13" x14ac:dyDescent="0.15">
      <c r="A154" s="10"/>
      <c r="B154" s="13"/>
      <c r="C154" s="13"/>
    </row>
    <row r="155" spans="1:3" ht="13" x14ac:dyDescent="0.15">
      <c r="A155" s="10"/>
      <c r="B155" s="13"/>
      <c r="C155" s="13"/>
    </row>
    <row r="156" spans="1:3" ht="13" x14ac:dyDescent="0.15">
      <c r="A156" s="10"/>
      <c r="B156" s="13"/>
      <c r="C156" s="13"/>
    </row>
    <row r="157" spans="1:3" ht="13" x14ac:dyDescent="0.15">
      <c r="A157" s="10"/>
      <c r="B157" s="13"/>
      <c r="C157" s="13"/>
    </row>
    <row r="158" spans="1:3" ht="13" x14ac:dyDescent="0.15">
      <c r="A158" s="10"/>
      <c r="B158" s="13"/>
      <c r="C158" s="13"/>
    </row>
    <row r="159" spans="1:3" ht="13" x14ac:dyDescent="0.15">
      <c r="A159" s="10"/>
      <c r="B159" s="13"/>
      <c r="C159" s="13"/>
    </row>
    <row r="160" spans="1:3" ht="13" x14ac:dyDescent="0.15">
      <c r="A160" s="10"/>
      <c r="B160" s="13"/>
      <c r="C160" s="13"/>
    </row>
    <row r="161" spans="1:3" ht="13" x14ac:dyDescent="0.15">
      <c r="A161" s="10"/>
      <c r="B161" s="13"/>
      <c r="C161" s="13"/>
    </row>
    <row r="162" spans="1:3" ht="13" x14ac:dyDescent="0.15">
      <c r="A162" s="10"/>
      <c r="B162" s="13"/>
      <c r="C162" s="13"/>
    </row>
    <row r="163" spans="1:3" ht="13" x14ac:dyDescent="0.15">
      <c r="A163" s="10"/>
      <c r="B163" s="13"/>
      <c r="C163" s="13"/>
    </row>
    <row r="164" spans="1:3" ht="13" x14ac:dyDescent="0.15">
      <c r="A164" s="10"/>
      <c r="B164" s="13"/>
      <c r="C164" s="13"/>
    </row>
    <row r="165" spans="1:3" ht="13" x14ac:dyDescent="0.15">
      <c r="A165" s="10"/>
      <c r="B165" s="13"/>
      <c r="C165" s="13"/>
    </row>
    <row r="166" spans="1:3" ht="13" x14ac:dyDescent="0.15">
      <c r="A166" s="10"/>
      <c r="B166" s="13"/>
      <c r="C166" s="13"/>
    </row>
    <row r="167" spans="1:3" ht="13" x14ac:dyDescent="0.15">
      <c r="A167" s="10"/>
      <c r="B167" s="13"/>
      <c r="C167" s="13"/>
    </row>
    <row r="168" spans="1:3" ht="13" x14ac:dyDescent="0.15">
      <c r="A168" s="10"/>
      <c r="B168" s="13"/>
      <c r="C168" s="13"/>
    </row>
    <row r="169" spans="1:3" ht="13" x14ac:dyDescent="0.15">
      <c r="A169" s="10"/>
      <c r="B169" s="13"/>
      <c r="C169" s="13"/>
    </row>
    <row r="170" spans="1:3" ht="13" x14ac:dyDescent="0.15">
      <c r="A170" s="10"/>
      <c r="B170" s="13"/>
      <c r="C170" s="13"/>
    </row>
    <row r="171" spans="1:3" ht="13" x14ac:dyDescent="0.15">
      <c r="A171" s="10"/>
      <c r="B171" s="13"/>
      <c r="C171" s="13"/>
    </row>
    <row r="172" spans="1:3" ht="13" x14ac:dyDescent="0.15">
      <c r="A172" s="10"/>
      <c r="B172" s="13"/>
      <c r="C172" s="13"/>
    </row>
    <row r="173" spans="1:3" ht="13" x14ac:dyDescent="0.15">
      <c r="A173" s="10"/>
      <c r="B173" s="13"/>
      <c r="C173" s="13"/>
    </row>
    <row r="174" spans="1:3" ht="13" x14ac:dyDescent="0.15">
      <c r="A174" s="10"/>
      <c r="B174" s="13"/>
      <c r="C174" s="13"/>
    </row>
    <row r="175" spans="1:3" ht="13" x14ac:dyDescent="0.15">
      <c r="A175" s="10"/>
      <c r="B175" s="13"/>
      <c r="C175" s="13"/>
    </row>
    <row r="176" spans="1:3" ht="13" x14ac:dyDescent="0.15">
      <c r="A176" s="10"/>
      <c r="B176" s="13"/>
      <c r="C176" s="13"/>
    </row>
    <row r="177" spans="1:3" ht="13" x14ac:dyDescent="0.15">
      <c r="A177" s="10"/>
      <c r="B177" s="13"/>
      <c r="C177" s="13"/>
    </row>
    <row r="178" spans="1:3" ht="13" x14ac:dyDescent="0.15">
      <c r="A178" s="10"/>
      <c r="B178" s="13"/>
      <c r="C178" s="13"/>
    </row>
    <row r="179" spans="1:3" ht="13" x14ac:dyDescent="0.15">
      <c r="A179" s="10"/>
      <c r="B179" s="13"/>
      <c r="C179" s="13"/>
    </row>
    <row r="180" spans="1:3" ht="13" x14ac:dyDescent="0.15">
      <c r="A180" s="10"/>
      <c r="B180" s="13"/>
      <c r="C180" s="13"/>
    </row>
    <row r="181" spans="1:3" ht="13" x14ac:dyDescent="0.15">
      <c r="A181" s="10"/>
      <c r="B181" s="13"/>
      <c r="C181" s="13"/>
    </row>
    <row r="182" spans="1:3" ht="13" x14ac:dyDescent="0.15">
      <c r="A182" s="10"/>
      <c r="B182" s="13"/>
      <c r="C182" s="13"/>
    </row>
    <row r="183" spans="1:3" ht="13" x14ac:dyDescent="0.15">
      <c r="A183" s="10"/>
      <c r="B183" s="13"/>
      <c r="C183" s="13"/>
    </row>
    <row r="184" spans="1:3" ht="13" x14ac:dyDescent="0.15">
      <c r="A184" s="10"/>
      <c r="B184" s="13"/>
      <c r="C184" s="13"/>
    </row>
    <row r="185" spans="1:3" ht="13" x14ac:dyDescent="0.15">
      <c r="A185" s="10"/>
      <c r="B185" s="13"/>
      <c r="C185" s="13"/>
    </row>
    <row r="186" spans="1:3" ht="13" x14ac:dyDescent="0.15">
      <c r="A186" s="10"/>
      <c r="B186" s="13"/>
      <c r="C186" s="13"/>
    </row>
    <row r="187" spans="1:3" ht="13" x14ac:dyDescent="0.15">
      <c r="A187" s="10"/>
      <c r="B187" s="13"/>
      <c r="C187" s="13"/>
    </row>
    <row r="188" spans="1:3" ht="13" x14ac:dyDescent="0.15">
      <c r="A188" s="10"/>
      <c r="B188" s="13"/>
      <c r="C188" s="13"/>
    </row>
    <row r="189" spans="1:3" ht="13" x14ac:dyDescent="0.15">
      <c r="A189" s="10"/>
      <c r="B189" s="13"/>
      <c r="C189" s="13"/>
    </row>
    <row r="190" spans="1:3" ht="13" x14ac:dyDescent="0.15">
      <c r="A190" s="10"/>
      <c r="B190" s="13"/>
      <c r="C190" s="13"/>
    </row>
    <row r="191" spans="1:3" ht="13" x14ac:dyDescent="0.15">
      <c r="A191" s="10"/>
      <c r="B191" s="13"/>
      <c r="C191" s="13"/>
    </row>
    <row r="192" spans="1:3" ht="13" x14ac:dyDescent="0.15">
      <c r="A192" s="10"/>
      <c r="B192" s="13"/>
      <c r="C192" s="13"/>
    </row>
    <row r="193" spans="1:3" ht="13" x14ac:dyDescent="0.15">
      <c r="A193" s="10"/>
      <c r="B193" s="13"/>
      <c r="C193" s="13"/>
    </row>
    <row r="194" spans="1:3" ht="13" x14ac:dyDescent="0.15">
      <c r="A194" s="10"/>
      <c r="B194" s="13"/>
      <c r="C194" s="13"/>
    </row>
    <row r="195" spans="1:3" ht="13" x14ac:dyDescent="0.15">
      <c r="A195" s="10"/>
      <c r="B195" s="13"/>
      <c r="C195" s="13"/>
    </row>
    <row r="196" spans="1:3" ht="13" x14ac:dyDescent="0.15">
      <c r="A196" s="10"/>
      <c r="B196" s="13"/>
      <c r="C196" s="13"/>
    </row>
    <row r="197" spans="1:3" ht="13" x14ac:dyDescent="0.15">
      <c r="A197" s="10"/>
      <c r="B197" s="13"/>
      <c r="C197" s="13"/>
    </row>
    <row r="198" spans="1:3" ht="13" x14ac:dyDescent="0.15">
      <c r="A198" s="10"/>
      <c r="B198" s="13"/>
      <c r="C198" s="13"/>
    </row>
    <row r="199" spans="1:3" ht="13" x14ac:dyDescent="0.15">
      <c r="A199" s="10"/>
      <c r="B199" s="13"/>
      <c r="C199" s="13"/>
    </row>
    <row r="200" spans="1:3" ht="13" x14ac:dyDescent="0.15">
      <c r="A200" s="10"/>
      <c r="B200" s="13"/>
      <c r="C200" s="13"/>
    </row>
    <row r="201" spans="1:3" ht="13" x14ac:dyDescent="0.15">
      <c r="A201" s="10"/>
      <c r="B201" s="13"/>
      <c r="C201" s="13"/>
    </row>
    <row r="202" spans="1:3" ht="13" x14ac:dyDescent="0.15">
      <c r="A202" s="10"/>
      <c r="B202" s="13"/>
      <c r="C202" s="13"/>
    </row>
    <row r="203" spans="1:3" ht="13" x14ac:dyDescent="0.15">
      <c r="A203" s="10"/>
      <c r="B203" s="13"/>
      <c r="C203" s="13"/>
    </row>
    <row r="204" spans="1:3" ht="13" x14ac:dyDescent="0.15">
      <c r="A204" s="10"/>
      <c r="B204" s="13"/>
      <c r="C204" s="13"/>
    </row>
    <row r="205" spans="1:3" ht="13" x14ac:dyDescent="0.15">
      <c r="A205" s="10"/>
      <c r="B205" s="13"/>
      <c r="C205" s="13"/>
    </row>
    <row r="206" spans="1:3" ht="13" x14ac:dyDescent="0.15">
      <c r="A206" s="10"/>
      <c r="B206" s="13"/>
      <c r="C206" s="13"/>
    </row>
    <row r="207" spans="1:3" ht="13" x14ac:dyDescent="0.15">
      <c r="A207" s="10"/>
      <c r="B207" s="13"/>
      <c r="C207" s="13"/>
    </row>
    <row r="208" spans="1:3" ht="13" x14ac:dyDescent="0.15">
      <c r="A208" s="10"/>
      <c r="B208" s="13"/>
      <c r="C208" s="13"/>
    </row>
    <row r="209" spans="1:3" ht="13" x14ac:dyDescent="0.15">
      <c r="A209" s="10"/>
      <c r="B209" s="13"/>
      <c r="C209" s="13"/>
    </row>
    <row r="210" spans="1:3" ht="13" x14ac:dyDescent="0.15">
      <c r="A210" s="10"/>
      <c r="B210" s="13"/>
      <c r="C210" s="13"/>
    </row>
    <row r="211" spans="1:3" ht="13" x14ac:dyDescent="0.15">
      <c r="A211" s="10"/>
      <c r="B211" s="13"/>
      <c r="C211" s="13"/>
    </row>
    <row r="212" spans="1:3" ht="13" x14ac:dyDescent="0.15">
      <c r="A212" s="10"/>
      <c r="B212" s="13"/>
      <c r="C212" s="13"/>
    </row>
    <row r="213" spans="1:3" ht="13" x14ac:dyDescent="0.15">
      <c r="A213" s="10"/>
      <c r="B213" s="13"/>
      <c r="C213" s="13"/>
    </row>
    <row r="214" spans="1:3" ht="13" x14ac:dyDescent="0.15">
      <c r="A214" s="10"/>
      <c r="B214" s="13"/>
      <c r="C214" s="13"/>
    </row>
    <row r="215" spans="1:3" ht="13" x14ac:dyDescent="0.15">
      <c r="A215" s="10"/>
      <c r="B215" s="13"/>
      <c r="C215" s="13"/>
    </row>
    <row r="216" spans="1:3" ht="13" x14ac:dyDescent="0.15">
      <c r="A216" s="10"/>
      <c r="B216" s="13"/>
      <c r="C216" s="13"/>
    </row>
    <row r="217" spans="1:3" ht="13" x14ac:dyDescent="0.15">
      <c r="A217" s="10"/>
      <c r="B217" s="13"/>
      <c r="C217" s="13"/>
    </row>
    <row r="218" spans="1:3" ht="13" x14ac:dyDescent="0.15">
      <c r="A218" s="10"/>
      <c r="B218" s="13"/>
      <c r="C218" s="13"/>
    </row>
    <row r="219" spans="1:3" ht="13" x14ac:dyDescent="0.15">
      <c r="A219" s="10"/>
      <c r="B219" s="13"/>
      <c r="C219" s="13"/>
    </row>
    <row r="220" spans="1:3" ht="13" x14ac:dyDescent="0.15">
      <c r="A220" s="10"/>
      <c r="B220" s="13"/>
      <c r="C220" s="13"/>
    </row>
    <row r="221" spans="1:3" ht="13" x14ac:dyDescent="0.15">
      <c r="A221" s="10"/>
      <c r="B221" s="13"/>
      <c r="C221" s="13"/>
    </row>
    <row r="222" spans="1:3" ht="13" x14ac:dyDescent="0.15">
      <c r="A222" s="10"/>
      <c r="B222" s="13"/>
      <c r="C222" s="13"/>
    </row>
    <row r="223" spans="1:3" ht="13" x14ac:dyDescent="0.15">
      <c r="A223" s="10"/>
      <c r="B223" s="13"/>
      <c r="C223" s="13"/>
    </row>
    <row r="224" spans="1:3" ht="13" x14ac:dyDescent="0.15">
      <c r="A224" s="10"/>
      <c r="B224" s="13"/>
      <c r="C224" s="13"/>
    </row>
    <row r="225" spans="1:3" ht="13" x14ac:dyDescent="0.15">
      <c r="A225" s="10"/>
      <c r="B225" s="13"/>
      <c r="C225" s="13"/>
    </row>
    <row r="226" spans="1:3" ht="13" x14ac:dyDescent="0.15">
      <c r="A226" s="10"/>
      <c r="B226" s="13"/>
      <c r="C226" s="13"/>
    </row>
    <row r="227" spans="1:3" ht="13" x14ac:dyDescent="0.15">
      <c r="A227" s="10"/>
      <c r="B227" s="13"/>
      <c r="C227" s="13"/>
    </row>
    <row r="228" spans="1:3" ht="13" x14ac:dyDescent="0.15">
      <c r="A228" s="10"/>
      <c r="B228" s="13"/>
      <c r="C228" s="13"/>
    </row>
    <row r="229" spans="1:3" ht="13" x14ac:dyDescent="0.15">
      <c r="A229" s="10"/>
      <c r="B229" s="13"/>
      <c r="C229" s="13"/>
    </row>
    <row r="230" spans="1:3" ht="13" x14ac:dyDescent="0.15">
      <c r="A230" s="10"/>
      <c r="B230" s="13"/>
      <c r="C230" s="13"/>
    </row>
    <row r="231" spans="1:3" ht="13" x14ac:dyDescent="0.15">
      <c r="A231" s="10"/>
      <c r="B231" s="13"/>
      <c r="C231" s="13"/>
    </row>
    <row r="232" spans="1:3" ht="13" x14ac:dyDescent="0.15">
      <c r="A232" s="10"/>
      <c r="B232" s="13"/>
      <c r="C232" s="13"/>
    </row>
    <row r="233" spans="1:3" ht="13" x14ac:dyDescent="0.15">
      <c r="A233" s="10"/>
      <c r="B233" s="13"/>
      <c r="C233" s="13"/>
    </row>
    <row r="234" spans="1:3" ht="13" x14ac:dyDescent="0.15">
      <c r="A234" s="10"/>
      <c r="B234" s="13"/>
      <c r="C234" s="13"/>
    </row>
    <row r="235" spans="1:3" ht="13" x14ac:dyDescent="0.15">
      <c r="A235" s="10"/>
      <c r="B235" s="13"/>
      <c r="C235" s="13"/>
    </row>
    <row r="236" spans="1:3" ht="13" x14ac:dyDescent="0.15">
      <c r="A236" s="10"/>
      <c r="B236" s="13"/>
      <c r="C236" s="13"/>
    </row>
    <row r="237" spans="1:3" ht="13" x14ac:dyDescent="0.15">
      <c r="A237" s="10"/>
      <c r="B237" s="13"/>
      <c r="C237" s="13"/>
    </row>
    <row r="238" spans="1:3" ht="13" x14ac:dyDescent="0.15">
      <c r="A238" s="10"/>
      <c r="B238" s="13"/>
      <c r="C238" s="13"/>
    </row>
    <row r="239" spans="1:3" ht="13" x14ac:dyDescent="0.15">
      <c r="A239" s="10"/>
      <c r="B239" s="13"/>
      <c r="C239" s="13"/>
    </row>
    <row r="240" spans="1:3" ht="13" x14ac:dyDescent="0.15">
      <c r="A240" s="10"/>
      <c r="B240" s="13"/>
      <c r="C240" s="13"/>
    </row>
    <row r="241" spans="1:3" ht="13" x14ac:dyDescent="0.15">
      <c r="A241" s="10"/>
      <c r="B241" s="13"/>
      <c r="C241" s="13"/>
    </row>
    <row r="242" spans="1:3" ht="13" x14ac:dyDescent="0.15">
      <c r="A242" s="10"/>
      <c r="B242" s="13"/>
      <c r="C242" s="13"/>
    </row>
    <row r="243" spans="1:3" ht="13" x14ac:dyDescent="0.15">
      <c r="A243" s="10"/>
      <c r="B243" s="13"/>
      <c r="C243" s="13"/>
    </row>
    <row r="244" spans="1:3" ht="13" x14ac:dyDescent="0.15">
      <c r="A244" s="10"/>
      <c r="B244" s="13"/>
      <c r="C244" s="13"/>
    </row>
    <row r="245" spans="1:3" ht="13" x14ac:dyDescent="0.15">
      <c r="A245" s="10"/>
      <c r="B245" s="13"/>
      <c r="C245" s="13"/>
    </row>
    <row r="246" spans="1:3" ht="13" x14ac:dyDescent="0.15">
      <c r="A246" s="10"/>
      <c r="B246" s="13"/>
      <c r="C246" s="13"/>
    </row>
    <row r="247" spans="1:3" ht="13" x14ac:dyDescent="0.15">
      <c r="A247" s="10"/>
      <c r="B247" s="13"/>
      <c r="C247" s="13"/>
    </row>
    <row r="248" spans="1:3" ht="13" x14ac:dyDescent="0.15">
      <c r="A248" s="10"/>
      <c r="B248" s="13"/>
      <c r="C248" s="13"/>
    </row>
    <row r="249" spans="1:3" ht="13" x14ac:dyDescent="0.15">
      <c r="A249" s="10"/>
      <c r="B249" s="13"/>
      <c r="C249" s="13"/>
    </row>
    <row r="250" spans="1:3" ht="13" x14ac:dyDescent="0.15">
      <c r="A250" s="10"/>
      <c r="B250" s="13"/>
      <c r="C250" s="13"/>
    </row>
    <row r="251" spans="1:3" ht="13" x14ac:dyDescent="0.15">
      <c r="A251" s="10"/>
      <c r="B251" s="13"/>
      <c r="C251" s="13"/>
    </row>
    <row r="252" spans="1:3" ht="13" x14ac:dyDescent="0.15">
      <c r="A252" s="10"/>
      <c r="B252" s="13"/>
      <c r="C252" s="13"/>
    </row>
    <row r="253" spans="1:3" ht="13" x14ac:dyDescent="0.15">
      <c r="A253" s="10"/>
      <c r="B253" s="13"/>
      <c r="C253" s="13"/>
    </row>
    <row r="254" spans="1:3" ht="13" x14ac:dyDescent="0.15">
      <c r="A254" s="10"/>
      <c r="B254" s="13"/>
      <c r="C254" s="13"/>
    </row>
    <row r="255" spans="1:3" ht="13" x14ac:dyDescent="0.15">
      <c r="A255" s="10"/>
      <c r="B255" s="13"/>
      <c r="C255" s="13"/>
    </row>
    <row r="256" spans="1:3" ht="13" x14ac:dyDescent="0.15">
      <c r="A256" s="10"/>
      <c r="B256" s="13"/>
      <c r="C256" s="13"/>
    </row>
    <row r="257" spans="1:3" ht="13" x14ac:dyDescent="0.15">
      <c r="A257" s="10"/>
      <c r="B257" s="13"/>
      <c r="C257" s="13"/>
    </row>
    <row r="258" spans="1:3" ht="13" x14ac:dyDescent="0.15">
      <c r="A258" s="10"/>
      <c r="B258" s="13"/>
      <c r="C258" s="13"/>
    </row>
    <row r="259" spans="1:3" ht="13" x14ac:dyDescent="0.15">
      <c r="A259" s="10"/>
      <c r="B259" s="13"/>
      <c r="C259" s="13"/>
    </row>
    <row r="260" spans="1:3" ht="13" x14ac:dyDescent="0.15">
      <c r="A260" s="10"/>
      <c r="B260" s="13"/>
      <c r="C260" s="13"/>
    </row>
    <row r="261" spans="1:3" ht="13" x14ac:dyDescent="0.15">
      <c r="A261" s="10"/>
      <c r="B261" s="13"/>
      <c r="C261" s="13"/>
    </row>
    <row r="262" spans="1:3" ht="13" x14ac:dyDescent="0.15">
      <c r="A262" s="10"/>
      <c r="B262" s="13"/>
      <c r="C262" s="13"/>
    </row>
    <row r="263" spans="1:3" ht="13" x14ac:dyDescent="0.15">
      <c r="A263" s="10"/>
      <c r="B263" s="13"/>
      <c r="C263" s="13"/>
    </row>
    <row r="264" spans="1:3" ht="13" x14ac:dyDescent="0.15">
      <c r="A264" s="10"/>
      <c r="B264" s="13"/>
      <c r="C264" s="13"/>
    </row>
    <row r="265" spans="1:3" ht="13" x14ac:dyDescent="0.15">
      <c r="A265" s="10"/>
      <c r="B265" s="13"/>
      <c r="C265" s="13"/>
    </row>
    <row r="266" spans="1:3" ht="13" x14ac:dyDescent="0.15">
      <c r="A266" s="10"/>
      <c r="B266" s="13"/>
      <c r="C266" s="13"/>
    </row>
    <row r="267" spans="1:3" ht="13" x14ac:dyDescent="0.15">
      <c r="A267" s="10"/>
      <c r="B267" s="13"/>
      <c r="C267" s="13"/>
    </row>
    <row r="268" spans="1:3" ht="13" x14ac:dyDescent="0.15">
      <c r="A268" s="10"/>
      <c r="B268" s="13"/>
      <c r="C268" s="13"/>
    </row>
    <row r="269" spans="1:3" ht="13" x14ac:dyDescent="0.15">
      <c r="A269" s="10"/>
      <c r="B269" s="13"/>
      <c r="C269" s="13"/>
    </row>
    <row r="270" spans="1:3" ht="13" x14ac:dyDescent="0.15">
      <c r="A270" s="10"/>
      <c r="B270" s="13"/>
      <c r="C270" s="13"/>
    </row>
    <row r="271" spans="1:3" ht="13" x14ac:dyDescent="0.15">
      <c r="A271" s="10"/>
      <c r="B271" s="13"/>
      <c r="C271" s="13"/>
    </row>
    <row r="272" spans="1:3" ht="13" x14ac:dyDescent="0.15">
      <c r="A272" s="10"/>
      <c r="B272" s="13"/>
      <c r="C272" s="13"/>
    </row>
    <row r="273" spans="1:3" ht="13" x14ac:dyDescent="0.15">
      <c r="A273" s="10"/>
      <c r="B273" s="13"/>
      <c r="C273" s="13"/>
    </row>
    <row r="274" spans="1:3" ht="13" x14ac:dyDescent="0.15">
      <c r="A274" s="10"/>
      <c r="B274" s="13"/>
      <c r="C274" s="13"/>
    </row>
    <row r="275" spans="1:3" ht="13" x14ac:dyDescent="0.15">
      <c r="A275" s="10"/>
      <c r="B275" s="13"/>
      <c r="C275" s="13"/>
    </row>
    <row r="276" spans="1:3" ht="13" x14ac:dyDescent="0.15">
      <c r="A276" s="10"/>
      <c r="B276" s="13"/>
      <c r="C276" s="13"/>
    </row>
    <row r="277" spans="1:3" ht="13" x14ac:dyDescent="0.15">
      <c r="A277" s="10"/>
      <c r="B277" s="13"/>
      <c r="C277" s="13"/>
    </row>
    <row r="278" spans="1:3" ht="13" x14ac:dyDescent="0.15">
      <c r="A278" s="10"/>
      <c r="B278" s="13"/>
      <c r="C278" s="13"/>
    </row>
    <row r="279" spans="1:3" ht="13" x14ac:dyDescent="0.15">
      <c r="A279" s="10"/>
      <c r="B279" s="13"/>
      <c r="C279" s="13"/>
    </row>
    <row r="280" spans="1:3" ht="13" x14ac:dyDescent="0.15">
      <c r="A280" s="10"/>
      <c r="B280" s="13"/>
      <c r="C280" s="13"/>
    </row>
    <row r="281" spans="1:3" ht="13" x14ac:dyDescent="0.15">
      <c r="A281" s="10"/>
      <c r="B281" s="13"/>
      <c r="C281" s="13"/>
    </row>
    <row r="282" spans="1:3" ht="13" x14ac:dyDescent="0.15">
      <c r="A282" s="10"/>
      <c r="B282" s="13"/>
      <c r="C282" s="13"/>
    </row>
    <row r="283" spans="1:3" ht="13" x14ac:dyDescent="0.15">
      <c r="A283" s="10"/>
      <c r="B283" s="13"/>
      <c r="C283" s="13"/>
    </row>
    <row r="284" spans="1:3" ht="13" x14ac:dyDescent="0.15">
      <c r="A284" s="10"/>
      <c r="B284" s="13"/>
      <c r="C284" s="13"/>
    </row>
    <row r="285" spans="1:3" ht="13" x14ac:dyDescent="0.15">
      <c r="A285" s="10"/>
      <c r="B285" s="13"/>
      <c r="C285" s="13"/>
    </row>
    <row r="286" spans="1:3" ht="13" x14ac:dyDescent="0.15">
      <c r="A286" s="10"/>
      <c r="B286" s="13"/>
      <c r="C286" s="13"/>
    </row>
    <row r="287" spans="1:3" ht="13" x14ac:dyDescent="0.15">
      <c r="A287" s="10"/>
      <c r="B287" s="13"/>
      <c r="C287" s="13"/>
    </row>
    <row r="288" spans="1:3" ht="13" x14ac:dyDescent="0.15">
      <c r="A288" s="10"/>
      <c r="B288" s="13"/>
      <c r="C288" s="13"/>
    </row>
    <row r="289" spans="1:3" ht="13" x14ac:dyDescent="0.15">
      <c r="A289" s="10"/>
      <c r="B289" s="13"/>
      <c r="C289" s="13"/>
    </row>
    <row r="290" spans="1:3" ht="13" x14ac:dyDescent="0.15">
      <c r="A290" s="10"/>
      <c r="B290" s="13"/>
      <c r="C290" s="13"/>
    </row>
    <row r="291" spans="1:3" ht="13" x14ac:dyDescent="0.15">
      <c r="A291" s="10"/>
      <c r="B291" s="13"/>
      <c r="C291" s="13"/>
    </row>
    <row r="292" spans="1:3" ht="13" x14ac:dyDescent="0.15">
      <c r="A292" s="10"/>
      <c r="B292" s="13"/>
      <c r="C292" s="13"/>
    </row>
    <row r="293" spans="1:3" ht="13" x14ac:dyDescent="0.15">
      <c r="A293" s="10"/>
      <c r="B293" s="13"/>
      <c r="C293" s="13"/>
    </row>
    <row r="294" spans="1:3" ht="13" x14ac:dyDescent="0.15">
      <c r="A294" s="10"/>
      <c r="B294" s="13"/>
      <c r="C294" s="13"/>
    </row>
    <row r="295" spans="1:3" ht="13" x14ac:dyDescent="0.15">
      <c r="A295" s="10"/>
      <c r="B295" s="13"/>
      <c r="C295" s="13"/>
    </row>
    <row r="296" spans="1:3" ht="13" x14ac:dyDescent="0.15">
      <c r="A296" s="10"/>
      <c r="B296" s="13"/>
      <c r="C296" s="13"/>
    </row>
    <row r="297" spans="1:3" ht="13" x14ac:dyDescent="0.15">
      <c r="A297" s="10"/>
      <c r="B297" s="13"/>
      <c r="C297" s="13"/>
    </row>
    <row r="298" spans="1:3" ht="13" x14ac:dyDescent="0.15">
      <c r="A298" s="10"/>
      <c r="B298" s="13"/>
      <c r="C298" s="13"/>
    </row>
    <row r="299" spans="1:3" ht="13" x14ac:dyDescent="0.15">
      <c r="A299" s="10"/>
      <c r="B299" s="13"/>
      <c r="C299" s="13"/>
    </row>
    <row r="300" spans="1:3" ht="13" x14ac:dyDescent="0.15">
      <c r="A300" s="10"/>
      <c r="B300" s="13"/>
      <c r="C300" s="13"/>
    </row>
    <row r="301" spans="1:3" ht="13" x14ac:dyDescent="0.15">
      <c r="A301" s="10"/>
      <c r="B301" s="13"/>
      <c r="C301" s="13"/>
    </row>
    <row r="302" spans="1:3" ht="13" x14ac:dyDescent="0.15">
      <c r="A302" s="10"/>
      <c r="B302" s="13"/>
      <c r="C302" s="13"/>
    </row>
    <row r="303" spans="1:3" ht="13" x14ac:dyDescent="0.15">
      <c r="A303" s="10"/>
      <c r="B303" s="13"/>
      <c r="C303" s="13"/>
    </row>
    <row r="304" spans="1:3" ht="13" x14ac:dyDescent="0.15">
      <c r="A304" s="10"/>
      <c r="B304" s="13"/>
      <c r="C304" s="13"/>
    </row>
    <row r="305" spans="1:3" ht="13" x14ac:dyDescent="0.15">
      <c r="A305" s="10"/>
      <c r="B305" s="13"/>
      <c r="C305" s="13"/>
    </row>
    <row r="306" spans="1:3" ht="13" x14ac:dyDescent="0.15">
      <c r="A306" s="10"/>
      <c r="B306" s="13"/>
      <c r="C306" s="13"/>
    </row>
    <row r="307" spans="1:3" ht="13" x14ac:dyDescent="0.15">
      <c r="A307" s="10"/>
      <c r="B307" s="13"/>
      <c r="C307" s="13"/>
    </row>
    <row r="308" spans="1:3" ht="13" x14ac:dyDescent="0.15">
      <c r="A308" s="10"/>
      <c r="B308" s="13"/>
      <c r="C308" s="13"/>
    </row>
    <row r="309" spans="1:3" ht="13" x14ac:dyDescent="0.15">
      <c r="A309" s="10"/>
      <c r="B309" s="13"/>
      <c r="C309" s="13"/>
    </row>
    <row r="310" spans="1:3" ht="13" x14ac:dyDescent="0.15">
      <c r="A310" s="10"/>
      <c r="B310" s="13"/>
      <c r="C310" s="13"/>
    </row>
    <row r="311" spans="1:3" ht="13" x14ac:dyDescent="0.15">
      <c r="A311" s="10"/>
      <c r="B311" s="13"/>
      <c r="C311" s="13"/>
    </row>
    <row r="312" spans="1:3" ht="13" x14ac:dyDescent="0.15">
      <c r="A312" s="10"/>
      <c r="B312" s="13"/>
      <c r="C312" s="13"/>
    </row>
    <row r="313" spans="1:3" ht="13" x14ac:dyDescent="0.15">
      <c r="A313" s="10"/>
      <c r="B313" s="13"/>
      <c r="C313" s="13"/>
    </row>
    <row r="314" spans="1:3" ht="13" x14ac:dyDescent="0.15">
      <c r="A314" s="10"/>
      <c r="B314" s="13"/>
      <c r="C314" s="13"/>
    </row>
    <row r="315" spans="1:3" ht="13" x14ac:dyDescent="0.15">
      <c r="A315" s="10"/>
      <c r="B315" s="13"/>
      <c r="C315" s="13"/>
    </row>
    <row r="316" spans="1:3" ht="13" x14ac:dyDescent="0.15">
      <c r="A316" s="10"/>
      <c r="B316" s="13"/>
      <c r="C316" s="13"/>
    </row>
    <row r="317" spans="1:3" ht="13" x14ac:dyDescent="0.15">
      <c r="A317" s="10"/>
      <c r="B317" s="13"/>
      <c r="C317" s="13"/>
    </row>
    <row r="318" spans="1:3" ht="13" x14ac:dyDescent="0.15">
      <c r="A318" s="10"/>
      <c r="B318" s="13"/>
      <c r="C318" s="13"/>
    </row>
    <row r="319" spans="1:3" ht="13" x14ac:dyDescent="0.15">
      <c r="A319" s="10"/>
      <c r="B319" s="13"/>
      <c r="C319" s="13"/>
    </row>
    <row r="320" spans="1:3" ht="13" x14ac:dyDescent="0.15">
      <c r="A320" s="10"/>
      <c r="B320" s="13"/>
      <c r="C320" s="13"/>
    </row>
    <row r="321" spans="1:3" ht="13" x14ac:dyDescent="0.15">
      <c r="A321" s="10"/>
      <c r="B321" s="13"/>
      <c r="C321" s="13"/>
    </row>
    <row r="322" spans="1:3" ht="13" x14ac:dyDescent="0.15">
      <c r="A322" s="10"/>
      <c r="B322" s="13"/>
      <c r="C322" s="13"/>
    </row>
    <row r="323" spans="1:3" ht="13" x14ac:dyDescent="0.15">
      <c r="A323" s="10"/>
      <c r="B323" s="13"/>
      <c r="C323" s="13"/>
    </row>
    <row r="324" spans="1:3" ht="13" x14ac:dyDescent="0.15">
      <c r="A324" s="10"/>
      <c r="B324" s="13"/>
      <c r="C324" s="13"/>
    </row>
    <row r="325" spans="1:3" ht="13" x14ac:dyDescent="0.15">
      <c r="A325" s="10"/>
      <c r="B325" s="13"/>
      <c r="C325" s="13"/>
    </row>
    <row r="326" spans="1:3" ht="13" x14ac:dyDescent="0.15">
      <c r="A326" s="10"/>
      <c r="B326" s="13"/>
      <c r="C326" s="13"/>
    </row>
    <row r="327" spans="1:3" ht="13" x14ac:dyDescent="0.15">
      <c r="A327" s="10"/>
      <c r="B327" s="13"/>
      <c r="C327" s="13"/>
    </row>
    <row r="328" spans="1:3" ht="13" x14ac:dyDescent="0.15">
      <c r="A328" s="10"/>
      <c r="B328" s="13"/>
      <c r="C328" s="13"/>
    </row>
    <row r="329" spans="1:3" ht="13" x14ac:dyDescent="0.15">
      <c r="A329" s="10"/>
      <c r="B329" s="13"/>
      <c r="C329" s="13"/>
    </row>
    <row r="330" spans="1:3" ht="13" x14ac:dyDescent="0.15">
      <c r="A330" s="10"/>
      <c r="B330" s="13"/>
      <c r="C330" s="13"/>
    </row>
    <row r="331" spans="1:3" ht="13" x14ac:dyDescent="0.15">
      <c r="A331" s="10"/>
      <c r="B331" s="13"/>
      <c r="C331" s="13"/>
    </row>
    <row r="332" spans="1:3" ht="13" x14ac:dyDescent="0.15">
      <c r="A332" s="10"/>
      <c r="B332" s="13"/>
      <c r="C332" s="13"/>
    </row>
    <row r="333" spans="1:3" ht="13" x14ac:dyDescent="0.15">
      <c r="A333" s="10"/>
      <c r="B333" s="13"/>
      <c r="C333" s="13"/>
    </row>
    <row r="334" spans="1:3" ht="13" x14ac:dyDescent="0.15">
      <c r="A334" s="10"/>
      <c r="B334" s="13"/>
      <c r="C334" s="13"/>
    </row>
    <row r="335" spans="1:3" ht="13" x14ac:dyDescent="0.15">
      <c r="A335" s="10"/>
      <c r="B335" s="13"/>
      <c r="C335" s="13"/>
    </row>
    <row r="336" spans="1:3" ht="13" x14ac:dyDescent="0.15">
      <c r="A336" s="10"/>
      <c r="B336" s="13"/>
      <c r="C336" s="13"/>
    </row>
    <row r="337" spans="1:3" ht="13" x14ac:dyDescent="0.15">
      <c r="A337" s="10"/>
      <c r="B337" s="13"/>
      <c r="C337" s="13"/>
    </row>
    <row r="338" spans="1:3" ht="13" x14ac:dyDescent="0.15">
      <c r="A338" s="10"/>
      <c r="B338" s="13"/>
      <c r="C338" s="13"/>
    </row>
    <row r="339" spans="1:3" ht="13" x14ac:dyDescent="0.15">
      <c r="A339" s="10"/>
      <c r="B339" s="13"/>
      <c r="C339" s="13"/>
    </row>
    <row r="340" spans="1:3" ht="13" x14ac:dyDescent="0.15">
      <c r="A340" s="10"/>
      <c r="B340" s="13"/>
      <c r="C340" s="13"/>
    </row>
    <row r="341" spans="1:3" ht="13" x14ac:dyDescent="0.15">
      <c r="A341" s="10"/>
      <c r="B341" s="13"/>
      <c r="C341" s="13"/>
    </row>
    <row r="342" spans="1:3" ht="13" x14ac:dyDescent="0.15">
      <c r="A342" s="10"/>
      <c r="B342" s="13"/>
      <c r="C342" s="13"/>
    </row>
    <row r="343" spans="1:3" ht="13" x14ac:dyDescent="0.15">
      <c r="A343" s="10"/>
      <c r="B343" s="13"/>
      <c r="C343" s="13"/>
    </row>
    <row r="344" spans="1:3" ht="13" x14ac:dyDescent="0.15">
      <c r="A344" s="10"/>
      <c r="B344" s="13"/>
      <c r="C344" s="13"/>
    </row>
    <row r="345" spans="1:3" ht="13" x14ac:dyDescent="0.15">
      <c r="A345" s="10"/>
      <c r="B345" s="13"/>
      <c r="C345" s="13"/>
    </row>
    <row r="346" spans="1:3" ht="13" x14ac:dyDescent="0.15">
      <c r="A346" s="10"/>
      <c r="B346" s="13"/>
      <c r="C346" s="13"/>
    </row>
    <row r="347" spans="1:3" ht="13" x14ac:dyDescent="0.15">
      <c r="A347" s="10"/>
      <c r="B347" s="13"/>
      <c r="C347" s="13"/>
    </row>
    <row r="348" spans="1:3" ht="13" x14ac:dyDescent="0.15">
      <c r="A348" s="10"/>
      <c r="B348" s="13"/>
      <c r="C348" s="13"/>
    </row>
    <row r="349" spans="1:3" ht="13" x14ac:dyDescent="0.15">
      <c r="A349" s="10"/>
      <c r="B349" s="13"/>
      <c r="C349" s="13"/>
    </row>
    <row r="350" spans="1:3" ht="13" x14ac:dyDescent="0.15">
      <c r="A350" s="10"/>
      <c r="B350" s="13"/>
      <c r="C350" s="13"/>
    </row>
    <row r="351" spans="1:3" ht="13" x14ac:dyDescent="0.15">
      <c r="A351" s="10"/>
      <c r="B351" s="13"/>
      <c r="C351" s="13"/>
    </row>
    <row r="352" spans="1:3" ht="13" x14ac:dyDescent="0.15">
      <c r="A352" s="10"/>
      <c r="B352" s="13"/>
      <c r="C352" s="13"/>
    </row>
    <row r="353" spans="1:3" ht="13" x14ac:dyDescent="0.15">
      <c r="A353" s="10"/>
      <c r="B353" s="13"/>
      <c r="C353" s="13"/>
    </row>
    <row r="354" spans="1:3" ht="13" x14ac:dyDescent="0.15">
      <c r="A354" s="10"/>
      <c r="B354" s="13"/>
      <c r="C354" s="13"/>
    </row>
    <row r="355" spans="1:3" ht="13" x14ac:dyDescent="0.15">
      <c r="A355" s="10"/>
      <c r="B355" s="13"/>
      <c r="C355" s="13"/>
    </row>
    <row r="356" spans="1:3" ht="13" x14ac:dyDescent="0.15">
      <c r="A356" s="10"/>
      <c r="B356" s="13"/>
      <c r="C356" s="13"/>
    </row>
    <row r="357" spans="1:3" ht="13" x14ac:dyDescent="0.15">
      <c r="A357" s="10"/>
      <c r="B357" s="13"/>
      <c r="C357" s="13"/>
    </row>
    <row r="358" spans="1:3" ht="13" x14ac:dyDescent="0.15">
      <c r="A358" s="10"/>
      <c r="B358" s="13"/>
      <c r="C358" s="13"/>
    </row>
    <row r="359" spans="1:3" ht="13" x14ac:dyDescent="0.15">
      <c r="A359" s="10"/>
      <c r="B359" s="13"/>
      <c r="C359" s="13"/>
    </row>
    <row r="360" spans="1:3" ht="13" x14ac:dyDescent="0.15">
      <c r="A360" s="10"/>
      <c r="B360" s="13"/>
      <c r="C360" s="13"/>
    </row>
    <row r="361" spans="1:3" ht="13" x14ac:dyDescent="0.15">
      <c r="A361" s="10"/>
      <c r="B361" s="13"/>
      <c r="C361" s="13"/>
    </row>
    <row r="362" spans="1:3" ht="13" x14ac:dyDescent="0.15">
      <c r="A362" s="10"/>
      <c r="B362" s="13"/>
      <c r="C362" s="13"/>
    </row>
    <row r="363" spans="1:3" ht="13" x14ac:dyDescent="0.15">
      <c r="A363" s="10"/>
      <c r="B363" s="13"/>
      <c r="C363" s="13"/>
    </row>
    <row r="364" spans="1:3" ht="13" x14ac:dyDescent="0.15">
      <c r="A364" s="10"/>
      <c r="B364" s="13"/>
      <c r="C364" s="13"/>
    </row>
    <row r="365" spans="1:3" ht="13" x14ac:dyDescent="0.15">
      <c r="A365" s="10"/>
      <c r="B365" s="13"/>
      <c r="C365" s="13"/>
    </row>
    <row r="366" spans="1:3" ht="13" x14ac:dyDescent="0.15">
      <c r="A366" s="10"/>
      <c r="B366" s="13"/>
      <c r="C366" s="13"/>
    </row>
    <row r="367" spans="1:3" ht="13" x14ac:dyDescent="0.15">
      <c r="A367" s="10"/>
      <c r="B367" s="13"/>
      <c r="C367" s="13"/>
    </row>
    <row r="368" spans="1:3" ht="13" x14ac:dyDescent="0.15">
      <c r="A368" s="10"/>
      <c r="B368" s="13"/>
      <c r="C368" s="13"/>
    </row>
    <row r="369" spans="1:3" ht="13" x14ac:dyDescent="0.15">
      <c r="A369" s="10"/>
      <c r="B369" s="13"/>
      <c r="C369" s="13"/>
    </row>
    <row r="370" spans="1:3" ht="13" x14ac:dyDescent="0.15">
      <c r="A370" s="10"/>
      <c r="B370" s="13"/>
      <c r="C370" s="13"/>
    </row>
    <row r="371" spans="1:3" ht="13" x14ac:dyDescent="0.15">
      <c r="A371" s="10"/>
      <c r="B371" s="13"/>
      <c r="C371" s="13"/>
    </row>
    <row r="372" spans="1:3" ht="13" x14ac:dyDescent="0.15">
      <c r="A372" s="10"/>
      <c r="B372" s="13"/>
      <c r="C372" s="13"/>
    </row>
    <row r="373" spans="1:3" ht="13" x14ac:dyDescent="0.15">
      <c r="A373" s="10"/>
      <c r="B373" s="13"/>
      <c r="C373" s="13"/>
    </row>
    <row r="374" spans="1:3" ht="13" x14ac:dyDescent="0.15">
      <c r="A374" s="10"/>
      <c r="B374" s="13"/>
      <c r="C374" s="13"/>
    </row>
    <row r="375" spans="1:3" ht="13" x14ac:dyDescent="0.15">
      <c r="A375" s="10"/>
      <c r="B375" s="13"/>
      <c r="C375" s="13"/>
    </row>
    <row r="376" spans="1:3" ht="13" x14ac:dyDescent="0.15">
      <c r="A376" s="10"/>
      <c r="B376" s="13"/>
      <c r="C376" s="13"/>
    </row>
    <row r="377" spans="1:3" ht="13" x14ac:dyDescent="0.15">
      <c r="A377" s="10"/>
      <c r="B377" s="13"/>
      <c r="C377" s="13"/>
    </row>
    <row r="378" spans="1:3" ht="13" x14ac:dyDescent="0.15">
      <c r="A378" s="10"/>
      <c r="B378" s="13"/>
      <c r="C378" s="13"/>
    </row>
    <row r="379" spans="1:3" ht="13" x14ac:dyDescent="0.15">
      <c r="A379" s="10"/>
      <c r="B379" s="13"/>
      <c r="C379" s="13"/>
    </row>
    <row r="380" spans="1:3" ht="13" x14ac:dyDescent="0.15">
      <c r="A380" s="10"/>
      <c r="B380" s="13"/>
      <c r="C380" s="13"/>
    </row>
    <row r="381" spans="1:3" ht="13" x14ac:dyDescent="0.15">
      <c r="A381" s="10"/>
      <c r="B381" s="13"/>
      <c r="C381" s="13"/>
    </row>
    <row r="382" spans="1:3" ht="13" x14ac:dyDescent="0.15">
      <c r="A382" s="10"/>
      <c r="B382" s="13"/>
      <c r="C382" s="13"/>
    </row>
    <row r="383" spans="1:3" ht="13" x14ac:dyDescent="0.15">
      <c r="A383" s="10"/>
      <c r="B383" s="13"/>
      <c r="C383" s="13"/>
    </row>
    <row r="384" spans="1:3" ht="13" x14ac:dyDescent="0.15">
      <c r="A384" s="10"/>
      <c r="B384" s="13"/>
      <c r="C384" s="13"/>
    </row>
    <row r="385" spans="1:3" ht="13" x14ac:dyDescent="0.15">
      <c r="A385" s="10"/>
      <c r="B385" s="13"/>
      <c r="C385" s="13"/>
    </row>
    <row r="386" spans="1:3" ht="13" x14ac:dyDescent="0.15">
      <c r="A386" s="10"/>
      <c r="B386" s="13"/>
      <c r="C386" s="13"/>
    </row>
    <row r="387" spans="1:3" ht="13" x14ac:dyDescent="0.15">
      <c r="A387" s="10"/>
      <c r="B387" s="13"/>
      <c r="C387" s="13"/>
    </row>
    <row r="388" spans="1:3" ht="13" x14ac:dyDescent="0.15">
      <c r="A388" s="10"/>
      <c r="B388" s="13"/>
      <c r="C388" s="13"/>
    </row>
    <row r="389" spans="1:3" ht="13" x14ac:dyDescent="0.15">
      <c r="A389" s="10"/>
      <c r="B389" s="13"/>
      <c r="C389" s="13"/>
    </row>
    <row r="390" spans="1:3" ht="13" x14ac:dyDescent="0.15">
      <c r="A390" s="10"/>
      <c r="B390" s="13"/>
      <c r="C390" s="13"/>
    </row>
    <row r="391" spans="1:3" ht="13" x14ac:dyDescent="0.15">
      <c r="A391" s="10"/>
      <c r="B391" s="13"/>
      <c r="C391" s="13"/>
    </row>
    <row r="392" spans="1:3" ht="13" x14ac:dyDescent="0.15">
      <c r="A392" s="10"/>
      <c r="B392" s="13"/>
      <c r="C392" s="13"/>
    </row>
    <row r="393" spans="1:3" ht="13" x14ac:dyDescent="0.15">
      <c r="A393" s="10"/>
      <c r="B393" s="13"/>
      <c r="C393" s="13"/>
    </row>
    <row r="394" spans="1:3" ht="13" x14ac:dyDescent="0.15">
      <c r="A394" s="10"/>
      <c r="B394" s="13"/>
      <c r="C394" s="13"/>
    </row>
    <row r="395" spans="1:3" ht="13" x14ac:dyDescent="0.15">
      <c r="A395" s="10"/>
      <c r="B395" s="13"/>
      <c r="C395" s="13"/>
    </row>
    <row r="396" spans="1:3" ht="13" x14ac:dyDescent="0.15">
      <c r="A396" s="10"/>
      <c r="B396" s="13"/>
      <c r="C396" s="13"/>
    </row>
    <row r="397" spans="1:3" ht="13" x14ac:dyDescent="0.15">
      <c r="A397" s="10"/>
      <c r="B397" s="13"/>
      <c r="C397" s="13"/>
    </row>
    <row r="398" spans="1:3" ht="13" x14ac:dyDescent="0.15">
      <c r="A398" s="10"/>
      <c r="B398" s="13"/>
      <c r="C398" s="13"/>
    </row>
    <row r="399" spans="1:3" ht="13" x14ac:dyDescent="0.15">
      <c r="A399" s="10"/>
      <c r="B399" s="13"/>
      <c r="C399" s="13"/>
    </row>
    <row r="400" spans="1:3" ht="13" x14ac:dyDescent="0.15">
      <c r="A400" s="10"/>
      <c r="B400" s="13"/>
      <c r="C400" s="13"/>
    </row>
    <row r="401" spans="1:3" ht="13" x14ac:dyDescent="0.15">
      <c r="A401" s="10"/>
      <c r="B401" s="13"/>
      <c r="C401" s="13"/>
    </row>
    <row r="402" spans="1:3" ht="13" x14ac:dyDescent="0.15">
      <c r="A402" s="10"/>
      <c r="B402" s="13"/>
      <c r="C402" s="13"/>
    </row>
    <row r="403" spans="1:3" ht="13" x14ac:dyDescent="0.15">
      <c r="A403" s="10"/>
      <c r="B403" s="13"/>
      <c r="C403" s="13"/>
    </row>
    <row r="404" spans="1:3" ht="13" x14ac:dyDescent="0.15">
      <c r="A404" s="10"/>
      <c r="B404" s="13"/>
      <c r="C404" s="13"/>
    </row>
    <row r="405" spans="1:3" ht="13" x14ac:dyDescent="0.15">
      <c r="A405" s="10"/>
      <c r="B405" s="13"/>
      <c r="C405" s="13"/>
    </row>
    <row r="406" spans="1:3" ht="13" x14ac:dyDescent="0.15">
      <c r="A406" s="10"/>
      <c r="B406" s="13"/>
      <c r="C406" s="13"/>
    </row>
    <row r="407" spans="1:3" ht="13" x14ac:dyDescent="0.15">
      <c r="A407" s="10"/>
      <c r="B407" s="13"/>
      <c r="C407" s="13"/>
    </row>
    <row r="408" spans="1:3" ht="13" x14ac:dyDescent="0.15">
      <c r="A408" s="10"/>
      <c r="B408" s="13"/>
      <c r="C408" s="13"/>
    </row>
    <row r="409" spans="1:3" ht="13" x14ac:dyDescent="0.15">
      <c r="A409" s="10"/>
      <c r="B409" s="13"/>
      <c r="C409" s="13"/>
    </row>
    <row r="410" spans="1:3" ht="13" x14ac:dyDescent="0.15">
      <c r="A410" s="10"/>
      <c r="B410" s="13"/>
      <c r="C410" s="13"/>
    </row>
    <row r="411" spans="1:3" ht="13" x14ac:dyDescent="0.15">
      <c r="A411" s="10"/>
      <c r="B411" s="13"/>
      <c r="C411" s="13"/>
    </row>
    <row r="412" spans="1:3" ht="13" x14ac:dyDescent="0.15">
      <c r="A412" s="10"/>
      <c r="B412" s="13"/>
      <c r="C412" s="13"/>
    </row>
    <row r="413" spans="1:3" ht="13" x14ac:dyDescent="0.15">
      <c r="A413" s="10"/>
      <c r="B413" s="13"/>
      <c r="C413" s="13"/>
    </row>
    <row r="414" spans="1:3" ht="13" x14ac:dyDescent="0.15">
      <c r="A414" s="10"/>
      <c r="B414" s="13"/>
      <c r="C414" s="13"/>
    </row>
    <row r="415" spans="1:3" ht="13" x14ac:dyDescent="0.15">
      <c r="A415" s="10"/>
      <c r="B415" s="13"/>
      <c r="C415" s="13"/>
    </row>
    <row r="416" spans="1:3" ht="13" x14ac:dyDescent="0.15">
      <c r="A416" s="10"/>
      <c r="B416" s="13"/>
      <c r="C416" s="13"/>
    </row>
    <row r="417" spans="1:3" ht="13" x14ac:dyDescent="0.15">
      <c r="A417" s="10"/>
      <c r="B417" s="13"/>
      <c r="C417" s="13"/>
    </row>
    <row r="418" spans="1:3" ht="13" x14ac:dyDescent="0.15">
      <c r="A418" s="10"/>
      <c r="B418" s="13"/>
      <c r="C418" s="13"/>
    </row>
    <row r="419" spans="1:3" ht="13" x14ac:dyDescent="0.15">
      <c r="A419" s="10"/>
      <c r="B419" s="13"/>
      <c r="C419" s="13"/>
    </row>
    <row r="420" spans="1:3" ht="13" x14ac:dyDescent="0.15">
      <c r="A420" s="10"/>
      <c r="B420" s="13"/>
      <c r="C420" s="13"/>
    </row>
    <row r="421" spans="1:3" ht="13" x14ac:dyDescent="0.15">
      <c r="A421" s="10"/>
      <c r="B421" s="13"/>
      <c r="C421" s="13"/>
    </row>
    <row r="422" spans="1:3" ht="13" x14ac:dyDescent="0.15">
      <c r="A422" s="10"/>
      <c r="B422" s="13"/>
      <c r="C422" s="13"/>
    </row>
    <row r="423" spans="1:3" ht="13" x14ac:dyDescent="0.15">
      <c r="A423" s="10"/>
      <c r="B423" s="13"/>
      <c r="C423" s="13"/>
    </row>
    <row r="424" spans="1:3" ht="13" x14ac:dyDescent="0.15">
      <c r="A424" s="10"/>
      <c r="B424" s="13"/>
      <c r="C424" s="13"/>
    </row>
    <row r="425" spans="1:3" ht="13" x14ac:dyDescent="0.15">
      <c r="A425" s="10"/>
      <c r="B425" s="13"/>
      <c r="C425" s="13"/>
    </row>
    <row r="426" spans="1:3" ht="13" x14ac:dyDescent="0.15">
      <c r="A426" s="10"/>
      <c r="B426" s="13"/>
      <c r="C426" s="13"/>
    </row>
    <row r="427" spans="1:3" ht="13" x14ac:dyDescent="0.15">
      <c r="A427" s="10"/>
      <c r="B427" s="13"/>
      <c r="C427" s="13"/>
    </row>
    <row r="428" spans="1:3" ht="13" x14ac:dyDescent="0.15">
      <c r="A428" s="10"/>
      <c r="B428" s="13"/>
      <c r="C428" s="13"/>
    </row>
    <row r="429" spans="1:3" ht="13" x14ac:dyDescent="0.15">
      <c r="A429" s="10"/>
      <c r="B429" s="13"/>
      <c r="C429" s="13"/>
    </row>
    <row r="430" spans="1:3" ht="13" x14ac:dyDescent="0.15">
      <c r="A430" s="10"/>
      <c r="B430" s="13"/>
      <c r="C430" s="13"/>
    </row>
    <row r="431" spans="1:3" ht="13" x14ac:dyDescent="0.15">
      <c r="A431" s="10"/>
      <c r="B431" s="13"/>
      <c r="C431" s="13"/>
    </row>
    <row r="432" spans="1:3" ht="13" x14ac:dyDescent="0.15">
      <c r="A432" s="10"/>
      <c r="B432" s="13"/>
      <c r="C432" s="13"/>
    </row>
    <row r="433" spans="1:3" ht="13" x14ac:dyDescent="0.15">
      <c r="A433" s="10"/>
      <c r="B433" s="13"/>
      <c r="C433" s="13"/>
    </row>
    <row r="434" spans="1:3" ht="13" x14ac:dyDescent="0.15">
      <c r="A434" s="10"/>
      <c r="B434" s="13"/>
      <c r="C434" s="13"/>
    </row>
    <row r="435" spans="1:3" ht="13" x14ac:dyDescent="0.15">
      <c r="A435" s="10"/>
      <c r="B435" s="13"/>
      <c r="C435" s="13"/>
    </row>
    <row r="436" spans="1:3" ht="13" x14ac:dyDescent="0.15">
      <c r="A436" s="10"/>
      <c r="B436" s="13"/>
      <c r="C436" s="13"/>
    </row>
    <row r="437" spans="1:3" ht="13" x14ac:dyDescent="0.15">
      <c r="A437" s="10"/>
      <c r="B437" s="13"/>
      <c r="C437" s="13"/>
    </row>
    <row r="438" spans="1:3" ht="13" x14ac:dyDescent="0.15">
      <c r="A438" s="10"/>
      <c r="B438" s="13"/>
      <c r="C438" s="13"/>
    </row>
    <row r="439" spans="1:3" ht="13" x14ac:dyDescent="0.15">
      <c r="A439" s="10"/>
      <c r="B439" s="13"/>
      <c r="C439" s="13"/>
    </row>
    <row r="440" spans="1:3" ht="13" x14ac:dyDescent="0.15">
      <c r="A440" s="10"/>
      <c r="B440" s="13"/>
      <c r="C440" s="13"/>
    </row>
    <row r="441" spans="1:3" ht="13" x14ac:dyDescent="0.15">
      <c r="A441" s="10"/>
      <c r="B441" s="13"/>
      <c r="C441" s="13"/>
    </row>
    <row r="442" spans="1:3" ht="13" x14ac:dyDescent="0.15">
      <c r="A442" s="10"/>
      <c r="B442" s="13"/>
      <c r="C442" s="13"/>
    </row>
    <row r="443" spans="1:3" ht="13" x14ac:dyDescent="0.15">
      <c r="A443" s="10"/>
      <c r="B443" s="13"/>
      <c r="C443" s="13"/>
    </row>
    <row r="444" spans="1:3" ht="13" x14ac:dyDescent="0.15">
      <c r="A444" s="10"/>
      <c r="B444" s="13"/>
      <c r="C444" s="13"/>
    </row>
    <row r="445" spans="1:3" ht="13" x14ac:dyDescent="0.15">
      <c r="A445" s="10"/>
      <c r="B445" s="13"/>
      <c r="C445" s="13"/>
    </row>
    <row r="446" spans="1:3" ht="13" x14ac:dyDescent="0.15">
      <c r="A446" s="10"/>
      <c r="B446" s="13"/>
      <c r="C446" s="13"/>
    </row>
    <row r="447" spans="1:3" ht="13" x14ac:dyDescent="0.15">
      <c r="A447" s="10"/>
      <c r="B447" s="13"/>
      <c r="C447" s="13"/>
    </row>
    <row r="448" spans="1:3" ht="13" x14ac:dyDescent="0.15">
      <c r="A448" s="10"/>
      <c r="B448" s="13"/>
      <c r="C448" s="13"/>
    </row>
    <row r="449" spans="1:3" ht="13" x14ac:dyDescent="0.15">
      <c r="A449" s="10"/>
      <c r="B449" s="13"/>
      <c r="C449" s="13"/>
    </row>
    <row r="450" spans="1:3" ht="13" x14ac:dyDescent="0.15">
      <c r="A450" s="10"/>
      <c r="B450" s="13"/>
      <c r="C450" s="13"/>
    </row>
    <row r="451" spans="1:3" ht="13" x14ac:dyDescent="0.15">
      <c r="A451" s="10"/>
      <c r="B451" s="13"/>
      <c r="C451" s="13"/>
    </row>
    <row r="452" spans="1:3" ht="13" x14ac:dyDescent="0.15">
      <c r="A452" s="10"/>
      <c r="B452" s="13"/>
      <c r="C452" s="13"/>
    </row>
    <row r="453" spans="1:3" ht="13" x14ac:dyDescent="0.15">
      <c r="A453" s="10"/>
      <c r="B453" s="13"/>
      <c r="C453" s="13"/>
    </row>
    <row r="454" spans="1:3" ht="13" x14ac:dyDescent="0.15">
      <c r="A454" s="10"/>
      <c r="B454" s="13"/>
      <c r="C454" s="13"/>
    </row>
    <row r="455" spans="1:3" ht="13" x14ac:dyDescent="0.15">
      <c r="A455" s="10"/>
      <c r="B455" s="13"/>
      <c r="C455" s="13"/>
    </row>
    <row r="456" spans="1:3" ht="13" x14ac:dyDescent="0.15">
      <c r="A456" s="10"/>
      <c r="B456" s="13"/>
      <c r="C456" s="13"/>
    </row>
    <row r="457" spans="1:3" ht="13" x14ac:dyDescent="0.15">
      <c r="A457" s="10"/>
      <c r="B457" s="13"/>
      <c r="C457" s="13"/>
    </row>
    <row r="458" spans="1:3" ht="13" x14ac:dyDescent="0.15">
      <c r="A458" s="10"/>
      <c r="B458" s="13"/>
      <c r="C458" s="13"/>
    </row>
    <row r="459" spans="1:3" ht="13" x14ac:dyDescent="0.15">
      <c r="A459" s="10"/>
      <c r="B459" s="13"/>
      <c r="C459" s="13"/>
    </row>
    <row r="460" spans="1:3" ht="13" x14ac:dyDescent="0.15">
      <c r="A460" s="10"/>
      <c r="B460" s="13"/>
      <c r="C460" s="13"/>
    </row>
    <row r="461" spans="1:3" ht="13" x14ac:dyDescent="0.15">
      <c r="A461" s="10"/>
      <c r="B461" s="13"/>
      <c r="C461" s="13"/>
    </row>
    <row r="462" spans="1:3" ht="13" x14ac:dyDescent="0.15">
      <c r="A462" s="10"/>
      <c r="B462" s="13"/>
      <c r="C462" s="13"/>
    </row>
    <row r="463" spans="1:3" ht="13" x14ac:dyDescent="0.15">
      <c r="A463" s="10"/>
      <c r="B463" s="13"/>
      <c r="C463" s="13"/>
    </row>
    <row r="464" spans="1:3" ht="13" x14ac:dyDescent="0.15">
      <c r="A464" s="10"/>
      <c r="B464" s="13"/>
      <c r="C464" s="13"/>
    </row>
    <row r="465" spans="1:3" ht="13" x14ac:dyDescent="0.15">
      <c r="A465" s="10"/>
      <c r="B465" s="13"/>
      <c r="C465" s="13"/>
    </row>
    <row r="466" spans="1:3" ht="13" x14ac:dyDescent="0.15">
      <c r="A466" s="10"/>
      <c r="B466" s="13"/>
      <c r="C466" s="13"/>
    </row>
    <row r="467" spans="1:3" ht="13" x14ac:dyDescent="0.15">
      <c r="A467" s="10"/>
      <c r="B467" s="13"/>
      <c r="C467" s="13"/>
    </row>
    <row r="468" spans="1:3" ht="13" x14ac:dyDescent="0.15">
      <c r="A468" s="10"/>
      <c r="B468" s="13"/>
      <c r="C468" s="13"/>
    </row>
    <row r="469" spans="1:3" ht="13" x14ac:dyDescent="0.15">
      <c r="A469" s="10"/>
      <c r="B469" s="13"/>
      <c r="C469" s="13"/>
    </row>
    <row r="470" spans="1:3" ht="13" x14ac:dyDescent="0.15">
      <c r="A470" s="10"/>
      <c r="B470" s="13"/>
      <c r="C470" s="13"/>
    </row>
    <row r="471" spans="1:3" ht="13" x14ac:dyDescent="0.15">
      <c r="A471" s="10"/>
      <c r="B471" s="13"/>
      <c r="C471" s="13"/>
    </row>
    <row r="472" spans="1:3" ht="13" x14ac:dyDescent="0.15">
      <c r="A472" s="10"/>
      <c r="B472" s="13"/>
      <c r="C472" s="13"/>
    </row>
    <row r="473" spans="1:3" ht="13" x14ac:dyDescent="0.15">
      <c r="A473" s="10"/>
      <c r="B473" s="13"/>
      <c r="C473" s="13"/>
    </row>
    <row r="474" spans="1:3" ht="13" x14ac:dyDescent="0.15">
      <c r="A474" s="10"/>
      <c r="B474" s="13"/>
      <c r="C474" s="13"/>
    </row>
    <row r="475" spans="1:3" ht="13" x14ac:dyDescent="0.15">
      <c r="A475" s="10"/>
      <c r="B475" s="13"/>
      <c r="C475" s="13"/>
    </row>
    <row r="476" spans="1:3" ht="13" x14ac:dyDescent="0.15">
      <c r="A476" s="10"/>
      <c r="B476" s="13"/>
      <c r="C476" s="13"/>
    </row>
    <row r="477" spans="1:3" ht="13" x14ac:dyDescent="0.15">
      <c r="A477" s="10"/>
      <c r="B477" s="13"/>
      <c r="C477" s="13"/>
    </row>
    <row r="478" spans="1:3" ht="13" x14ac:dyDescent="0.15">
      <c r="A478" s="10"/>
      <c r="B478" s="13"/>
      <c r="C478" s="13"/>
    </row>
    <row r="479" spans="1:3" ht="13" x14ac:dyDescent="0.15">
      <c r="A479" s="10"/>
      <c r="B479" s="13"/>
      <c r="C479" s="13"/>
    </row>
    <row r="480" spans="1:3" ht="13" x14ac:dyDescent="0.15">
      <c r="A480" s="10"/>
      <c r="B480" s="13"/>
      <c r="C480" s="13"/>
    </row>
    <row r="481" spans="1:3" ht="13" x14ac:dyDescent="0.15">
      <c r="A481" s="10"/>
      <c r="B481" s="13"/>
      <c r="C481" s="13"/>
    </row>
    <row r="482" spans="1:3" ht="13" x14ac:dyDescent="0.15">
      <c r="A482" s="10"/>
      <c r="B482" s="13"/>
      <c r="C482" s="13"/>
    </row>
    <row r="483" spans="1:3" ht="13" x14ac:dyDescent="0.15">
      <c r="A483" s="10"/>
      <c r="B483" s="13"/>
      <c r="C483" s="13"/>
    </row>
    <row r="484" spans="1:3" ht="13" x14ac:dyDescent="0.15">
      <c r="A484" s="10"/>
      <c r="B484" s="13"/>
      <c r="C484" s="13"/>
    </row>
    <row r="485" spans="1:3" ht="13" x14ac:dyDescent="0.15">
      <c r="A485" s="10"/>
      <c r="B485" s="13"/>
      <c r="C485" s="13"/>
    </row>
    <row r="486" spans="1:3" ht="13" x14ac:dyDescent="0.15">
      <c r="A486" s="10"/>
      <c r="B486" s="13"/>
      <c r="C486" s="13"/>
    </row>
    <row r="487" spans="1:3" ht="13" x14ac:dyDescent="0.15">
      <c r="A487" s="10"/>
      <c r="B487" s="13"/>
      <c r="C487" s="13"/>
    </row>
    <row r="488" spans="1:3" ht="13" x14ac:dyDescent="0.15">
      <c r="A488" s="10"/>
      <c r="B488" s="13"/>
      <c r="C488" s="13"/>
    </row>
    <row r="489" spans="1:3" ht="13" x14ac:dyDescent="0.15">
      <c r="A489" s="10"/>
      <c r="B489" s="13"/>
      <c r="C489" s="13"/>
    </row>
    <row r="490" spans="1:3" ht="13" x14ac:dyDescent="0.15">
      <c r="A490" s="10"/>
      <c r="B490" s="13"/>
      <c r="C490" s="13"/>
    </row>
    <row r="491" spans="1:3" ht="13" x14ac:dyDescent="0.15">
      <c r="A491" s="10"/>
      <c r="B491" s="13"/>
      <c r="C491" s="13"/>
    </row>
    <row r="492" spans="1:3" ht="13" x14ac:dyDescent="0.15">
      <c r="A492" s="10"/>
      <c r="B492" s="13"/>
      <c r="C492" s="13"/>
    </row>
    <row r="493" spans="1:3" ht="13" x14ac:dyDescent="0.15">
      <c r="A493" s="10"/>
      <c r="B493" s="13"/>
      <c r="C493" s="13"/>
    </row>
    <row r="494" spans="1:3" ht="13" x14ac:dyDescent="0.15">
      <c r="A494" s="10"/>
      <c r="B494" s="13"/>
      <c r="C494" s="13"/>
    </row>
    <row r="495" spans="1:3" ht="13" x14ac:dyDescent="0.15">
      <c r="A495" s="10"/>
      <c r="B495" s="13"/>
      <c r="C495" s="13"/>
    </row>
    <row r="496" spans="1:3" ht="13" x14ac:dyDescent="0.15">
      <c r="A496" s="10"/>
      <c r="B496" s="13"/>
      <c r="C496" s="13"/>
    </row>
    <row r="497" spans="1:3" ht="13" x14ac:dyDescent="0.15">
      <c r="A497" s="10"/>
      <c r="B497" s="13"/>
      <c r="C497" s="13"/>
    </row>
    <row r="498" spans="1:3" ht="13" x14ac:dyDescent="0.15">
      <c r="A498" s="10"/>
      <c r="B498" s="13"/>
      <c r="C498" s="13"/>
    </row>
    <row r="499" spans="1:3" ht="13" x14ac:dyDescent="0.15">
      <c r="A499" s="10"/>
      <c r="B499" s="13"/>
      <c r="C499" s="13"/>
    </row>
    <row r="500" spans="1:3" ht="13" x14ac:dyDescent="0.15">
      <c r="A500" s="10"/>
      <c r="B500" s="13"/>
      <c r="C500" s="13"/>
    </row>
    <row r="501" spans="1:3" ht="13" x14ac:dyDescent="0.15">
      <c r="A501" s="10"/>
      <c r="B501" s="13"/>
      <c r="C501" s="13"/>
    </row>
    <row r="502" spans="1:3" ht="13" x14ac:dyDescent="0.15">
      <c r="A502" s="10"/>
      <c r="B502" s="13"/>
      <c r="C502" s="13"/>
    </row>
    <row r="503" spans="1:3" ht="13" x14ac:dyDescent="0.15">
      <c r="A503" s="10"/>
      <c r="B503" s="13"/>
      <c r="C503" s="13"/>
    </row>
    <row r="504" spans="1:3" ht="13" x14ac:dyDescent="0.15">
      <c r="A504" s="10"/>
      <c r="B504" s="13"/>
      <c r="C504" s="13"/>
    </row>
    <row r="505" spans="1:3" ht="13" x14ac:dyDescent="0.15">
      <c r="A505" s="10"/>
      <c r="B505" s="13"/>
      <c r="C505" s="13"/>
    </row>
    <row r="506" spans="1:3" ht="13" x14ac:dyDescent="0.15">
      <c r="A506" s="10"/>
      <c r="B506" s="13"/>
      <c r="C506" s="13"/>
    </row>
    <row r="507" spans="1:3" ht="13" x14ac:dyDescent="0.15">
      <c r="A507" s="10"/>
      <c r="B507" s="13"/>
      <c r="C507" s="13"/>
    </row>
    <row r="508" spans="1:3" ht="13" x14ac:dyDescent="0.15">
      <c r="A508" s="10"/>
      <c r="B508" s="13"/>
      <c r="C508" s="13"/>
    </row>
    <row r="509" spans="1:3" ht="13" x14ac:dyDescent="0.15">
      <c r="A509" s="10"/>
      <c r="B509" s="13"/>
      <c r="C509" s="13"/>
    </row>
    <row r="510" spans="1:3" ht="13" x14ac:dyDescent="0.15">
      <c r="A510" s="10"/>
      <c r="B510" s="13"/>
      <c r="C510" s="13"/>
    </row>
    <row r="511" spans="1:3" ht="13" x14ac:dyDescent="0.15">
      <c r="A511" s="10"/>
      <c r="B511" s="13"/>
      <c r="C511" s="13"/>
    </row>
    <row r="512" spans="1:3" ht="13" x14ac:dyDescent="0.15">
      <c r="A512" s="10"/>
      <c r="B512" s="13"/>
      <c r="C512" s="13"/>
    </row>
    <row r="513" spans="1:3" ht="13" x14ac:dyDescent="0.15">
      <c r="A513" s="10"/>
      <c r="B513" s="13"/>
      <c r="C513" s="13"/>
    </row>
    <row r="514" spans="1:3" ht="13" x14ac:dyDescent="0.15">
      <c r="A514" s="10"/>
      <c r="B514" s="13"/>
      <c r="C514" s="13"/>
    </row>
    <row r="515" spans="1:3" ht="13" x14ac:dyDescent="0.15">
      <c r="A515" s="10"/>
      <c r="B515" s="13"/>
      <c r="C515" s="13"/>
    </row>
    <row r="516" spans="1:3" ht="13" x14ac:dyDescent="0.15">
      <c r="A516" s="10"/>
      <c r="B516" s="13"/>
      <c r="C516" s="13"/>
    </row>
    <row r="517" spans="1:3" ht="13" x14ac:dyDescent="0.15">
      <c r="A517" s="10"/>
      <c r="B517" s="13"/>
      <c r="C517" s="13"/>
    </row>
    <row r="518" spans="1:3" ht="13" x14ac:dyDescent="0.15">
      <c r="A518" s="10"/>
      <c r="B518" s="13"/>
      <c r="C518" s="13"/>
    </row>
    <row r="519" spans="1:3" ht="13" x14ac:dyDescent="0.15">
      <c r="A519" s="10"/>
      <c r="B519" s="13"/>
      <c r="C519" s="13"/>
    </row>
    <row r="520" spans="1:3" ht="13" x14ac:dyDescent="0.15">
      <c r="A520" s="10"/>
      <c r="B520" s="13"/>
      <c r="C520" s="13"/>
    </row>
    <row r="521" spans="1:3" ht="13" x14ac:dyDescent="0.15">
      <c r="A521" s="10"/>
      <c r="B521" s="13"/>
      <c r="C521" s="13"/>
    </row>
    <row r="522" spans="1:3" ht="13" x14ac:dyDescent="0.15">
      <c r="A522" s="10"/>
      <c r="B522" s="13"/>
      <c r="C522" s="13"/>
    </row>
    <row r="523" spans="1:3" ht="13" x14ac:dyDescent="0.15">
      <c r="A523" s="10"/>
      <c r="B523" s="13"/>
      <c r="C523" s="13"/>
    </row>
    <row r="524" spans="1:3" ht="13" x14ac:dyDescent="0.15">
      <c r="A524" s="10"/>
      <c r="B524" s="13"/>
      <c r="C524" s="13"/>
    </row>
    <row r="525" spans="1:3" ht="13" x14ac:dyDescent="0.15">
      <c r="A525" s="10"/>
      <c r="B525" s="13"/>
      <c r="C525" s="13"/>
    </row>
    <row r="526" spans="1:3" ht="13" x14ac:dyDescent="0.15">
      <c r="A526" s="10"/>
      <c r="B526" s="13"/>
      <c r="C526" s="13"/>
    </row>
    <row r="527" spans="1:3" ht="13" x14ac:dyDescent="0.15">
      <c r="A527" s="10"/>
      <c r="B527" s="13"/>
      <c r="C527" s="13"/>
    </row>
    <row r="528" spans="1:3" ht="13" x14ac:dyDescent="0.15">
      <c r="A528" s="10"/>
      <c r="B528" s="13"/>
      <c r="C528" s="13"/>
    </row>
    <row r="529" spans="1:3" ht="13" x14ac:dyDescent="0.15">
      <c r="A529" s="10"/>
      <c r="B529" s="13"/>
      <c r="C529" s="13"/>
    </row>
    <row r="530" spans="1:3" ht="13" x14ac:dyDescent="0.15">
      <c r="A530" s="10"/>
      <c r="B530" s="13"/>
      <c r="C530" s="13"/>
    </row>
    <row r="531" spans="1:3" ht="13" x14ac:dyDescent="0.15">
      <c r="A531" s="10"/>
      <c r="B531" s="13"/>
      <c r="C531" s="13"/>
    </row>
    <row r="532" spans="1:3" ht="13" x14ac:dyDescent="0.15">
      <c r="A532" s="10"/>
      <c r="B532" s="13"/>
      <c r="C532" s="13"/>
    </row>
    <row r="533" spans="1:3" ht="13" x14ac:dyDescent="0.15">
      <c r="A533" s="10"/>
      <c r="B533" s="13"/>
      <c r="C533" s="13"/>
    </row>
    <row r="534" spans="1:3" ht="13" x14ac:dyDescent="0.15">
      <c r="A534" s="10"/>
      <c r="B534" s="13"/>
      <c r="C534" s="13"/>
    </row>
    <row r="535" spans="1:3" ht="13" x14ac:dyDescent="0.15">
      <c r="A535" s="10"/>
      <c r="B535" s="13"/>
      <c r="C535" s="13"/>
    </row>
    <row r="536" spans="1:3" ht="13" x14ac:dyDescent="0.15">
      <c r="A536" s="10"/>
      <c r="B536" s="13"/>
      <c r="C536" s="13"/>
    </row>
    <row r="537" spans="1:3" ht="13" x14ac:dyDescent="0.15">
      <c r="A537" s="10"/>
      <c r="B537" s="13"/>
      <c r="C537" s="13"/>
    </row>
    <row r="538" spans="1:3" ht="13" x14ac:dyDescent="0.15">
      <c r="A538" s="10"/>
      <c r="B538" s="13"/>
      <c r="C538" s="13"/>
    </row>
    <row r="539" spans="1:3" ht="13" x14ac:dyDescent="0.15">
      <c r="A539" s="10"/>
      <c r="B539" s="13"/>
      <c r="C539" s="13"/>
    </row>
    <row r="540" spans="1:3" ht="13" x14ac:dyDescent="0.15">
      <c r="A540" s="10"/>
      <c r="B540" s="13"/>
      <c r="C540" s="13"/>
    </row>
    <row r="541" spans="1:3" ht="13" x14ac:dyDescent="0.15">
      <c r="A541" s="10"/>
      <c r="B541" s="13"/>
      <c r="C541" s="13"/>
    </row>
    <row r="542" spans="1:3" ht="13" x14ac:dyDescent="0.15">
      <c r="A542" s="10"/>
      <c r="B542" s="13"/>
      <c r="C542" s="13"/>
    </row>
    <row r="543" spans="1:3" ht="13" x14ac:dyDescent="0.15">
      <c r="A543" s="10"/>
      <c r="B543" s="13"/>
      <c r="C543" s="13"/>
    </row>
    <row r="544" spans="1:3" ht="13" x14ac:dyDescent="0.15">
      <c r="A544" s="10"/>
      <c r="B544" s="13"/>
      <c r="C544" s="13"/>
    </row>
    <row r="545" spans="1:3" ht="13" x14ac:dyDescent="0.15">
      <c r="A545" s="10"/>
      <c r="B545" s="13"/>
      <c r="C545" s="13"/>
    </row>
    <row r="546" spans="1:3" ht="13" x14ac:dyDescent="0.15">
      <c r="A546" s="10"/>
      <c r="B546" s="13"/>
      <c r="C546" s="13"/>
    </row>
    <row r="547" spans="1:3" ht="13" x14ac:dyDescent="0.15">
      <c r="A547" s="10"/>
      <c r="B547" s="13"/>
      <c r="C547" s="13"/>
    </row>
    <row r="548" spans="1:3" ht="13" x14ac:dyDescent="0.15">
      <c r="A548" s="10"/>
      <c r="B548" s="13"/>
      <c r="C548" s="13"/>
    </row>
    <row r="549" spans="1:3" ht="13" x14ac:dyDescent="0.15">
      <c r="A549" s="10"/>
      <c r="B549" s="13"/>
      <c r="C549" s="13"/>
    </row>
    <row r="550" spans="1:3" ht="13" x14ac:dyDescent="0.15">
      <c r="A550" s="10"/>
      <c r="B550" s="13"/>
      <c r="C550" s="13"/>
    </row>
    <row r="551" spans="1:3" ht="13" x14ac:dyDescent="0.15">
      <c r="A551" s="10"/>
      <c r="B551" s="13"/>
      <c r="C551" s="13"/>
    </row>
    <row r="552" spans="1:3" ht="13" x14ac:dyDescent="0.15">
      <c r="A552" s="10"/>
      <c r="B552" s="13"/>
      <c r="C552" s="13"/>
    </row>
    <row r="553" spans="1:3" ht="13" x14ac:dyDescent="0.15">
      <c r="A553" s="10"/>
      <c r="B553" s="13"/>
      <c r="C553" s="13"/>
    </row>
    <row r="554" spans="1:3" ht="13" x14ac:dyDescent="0.15">
      <c r="A554" s="10"/>
      <c r="B554" s="13"/>
      <c r="C554" s="13"/>
    </row>
    <row r="555" spans="1:3" ht="13" x14ac:dyDescent="0.15">
      <c r="A555" s="10"/>
      <c r="B555" s="13"/>
      <c r="C555" s="13"/>
    </row>
    <row r="556" spans="1:3" ht="13" x14ac:dyDescent="0.15">
      <c r="A556" s="10"/>
      <c r="B556" s="13"/>
      <c r="C556" s="13"/>
    </row>
    <row r="557" spans="1:3" ht="13" x14ac:dyDescent="0.15">
      <c r="A557" s="10"/>
      <c r="B557" s="13"/>
      <c r="C557" s="13"/>
    </row>
    <row r="558" spans="1:3" ht="13" x14ac:dyDescent="0.15">
      <c r="A558" s="10"/>
      <c r="B558" s="13"/>
      <c r="C558" s="13"/>
    </row>
    <row r="559" spans="1:3" ht="13" x14ac:dyDescent="0.15">
      <c r="A559" s="10"/>
      <c r="B559" s="13"/>
      <c r="C559" s="13"/>
    </row>
    <row r="560" spans="1:3" ht="13" x14ac:dyDescent="0.15">
      <c r="A560" s="10"/>
      <c r="B560" s="13"/>
      <c r="C560" s="13"/>
    </row>
    <row r="561" spans="1:3" ht="13" x14ac:dyDescent="0.15">
      <c r="A561" s="10"/>
      <c r="B561" s="13"/>
      <c r="C561" s="13"/>
    </row>
    <row r="562" spans="1:3" ht="13" x14ac:dyDescent="0.15">
      <c r="A562" s="10"/>
      <c r="B562" s="13"/>
      <c r="C562" s="13"/>
    </row>
    <row r="563" spans="1:3" ht="13" x14ac:dyDescent="0.15">
      <c r="A563" s="10"/>
      <c r="B563" s="13"/>
      <c r="C563" s="13"/>
    </row>
    <row r="564" spans="1:3" ht="13" x14ac:dyDescent="0.15">
      <c r="A564" s="10"/>
      <c r="B564" s="13"/>
      <c r="C564" s="13"/>
    </row>
    <row r="565" spans="1:3" ht="13" x14ac:dyDescent="0.15">
      <c r="A565" s="10"/>
      <c r="B565" s="13"/>
      <c r="C565" s="13"/>
    </row>
    <row r="566" spans="1:3" ht="13" x14ac:dyDescent="0.15">
      <c r="A566" s="10"/>
      <c r="B566" s="13"/>
      <c r="C566" s="13"/>
    </row>
    <row r="567" spans="1:3" ht="13" x14ac:dyDescent="0.15">
      <c r="A567" s="10"/>
      <c r="B567" s="13"/>
      <c r="C567" s="13"/>
    </row>
    <row r="568" spans="1:3" ht="13" x14ac:dyDescent="0.15">
      <c r="A568" s="10"/>
      <c r="B568" s="13"/>
      <c r="C568" s="13"/>
    </row>
    <row r="569" spans="1:3" ht="13" x14ac:dyDescent="0.15">
      <c r="A569" s="10"/>
      <c r="B569" s="13"/>
      <c r="C569" s="13"/>
    </row>
    <row r="570" spans="1:3" ht="13" x14ac:dyDescent="0.15">
      <c r="A570" s="10"/>
      <c r="B570" s="13"/>
      <c r="C570" s="13"/>
    </row>
    <row r="571" spans="1:3" ht="13" x14ac:dyDescent="0.15">
      <c r="A571" s="10"/>
      <c r="B571" s="13"/>
      <c r="C571" s="13"/>
    </row>
    <row r="572" spans="1:3" ht="13" x14ac:dyDescent="0.15">
      <c r="A572" s="10"/>
      <c r="B572" s="13"/>
      <c r="C572" s="13"/>
    </row>
    <row r="573" spans="1:3" ht="13" x14ac:dyDescent="0.15">
      <c r="A573" s="10"/>
      <c r="B573" s="13"/>
      <c r="C573" s="13"/>
    </row>
    <row r="574" spans="1:3" ht="13" x14ac:dyDescent="0.15">
      <c r="A574" s="10"/>
      <c r="B574" s="13"/>
      <c r="C574" s="13"/>
    </row>
    <row r="575" spans="1:3" ht="13" x14ac:dyDescent="0.15">
      <c r="A575" s="10"/>
      <c r="B575" s="13"/>
      <c r="C575" s="13"/>
    </row>
    <row r="576" spans="1:3" ht="13" x14ac:dyDescent="0.15">
      <c r="A576" s="10"/>
      <c r="B576" s="13"/>
      <c r="C576" s="13"/>
    </row>
    <row r="577" spans="1:3" ht="13" x14ac:dyDescent="0.15">
      <c r="A577" s="10"/>
      <c r="B577" s="13"/>
      <c r="C577" s="13"/>
    </row>
    <row r="578" spans="1:3" ht="13" x14ac:dyDescent="0.15">
      <c r="A578" s="10"/>
      <c r="B578" s="13"/>
      <c r="C578" s="13"/>
    </row>
    <row r="579" spans="1:3" ht="13" x14ac:dyDescent="0.15">
      <c r="A579" s="10"/>
      <c r="B579" s="13"/>
      <c r="C579" s="13"/>
    </row>
    <row r="580" spans="1:3" ht="13" x14ac:dyDescent="0.15">
      <c r="A580" s="10"/>
      <c r="B580" s="13"/>
      <c r="C580" s="13"/>
    </row>
    <row r="581" spans="1:3" ht="13" x14ac:dyDescent="0.15">
      <c r="A581" s="10"/>
      <c r="B581" s="13"/>
      <c r="C581" s="13"/>
    </row>
    <row r="582" spans="1:3" ht="13" x14ac:dyDescent="0.15">
      <c r="A582" s="10"/>
      <c r="B582" s="13"/>
      <c r="C582" s="13"/>
    </row>
    <row r="583" spans="1:3" ht="13" x14ac:dyDescent="0.15">
      <c r="A583" s="10"/>
      <c r="B583" s="13"/>
      <c r="C583" s="13"/>
    </row>
    <row r="584" spans="1:3" ht="13" x14ac:dyDescent="0.15">
      <c r="A584" s="10"/>
      <c r="B584" s="13"/>
      <c r="C584" s="13"/>
    </row>
    <row r="585" spans="1:3" ht="13" x14ac:dyDescent="0.15">
      <c r="A585" s="10"/>
      <c r="B585" s="13"/>
      <c r="C585" s="13"/>
    </row>
    <row r="586" spans="1:3" ht="13" x14ac:dyDescent="0.15">
      <c r="A586" s="10"/>
      <c r="B586" s="13"/>
      <c r="C586" s="13"/>
    </row>
    <row r="587" spans="1:3" ht="13" x14ac:dyDescent="0.15">
      <c r="A587" s="10"/>
      <c r="B587" s="13"/>
      <c r="C587" s="13"/>
    </row>
    <row r="588" spans="1:3" ht="13" x14ac:dyDescent="0.15">
      <c r="A588" s="10"/>
      <c r="B588" s="13"/>
      <c r="C588" s="13"/>
    </row>
    <row r="589" spans="1:3" ht="13" x14ac:dyDescent="0.15">
      <c r="A589" s="10"/>
      <c r="B589" s="13"/>
      <c r="C589" s="13"/>
    </row>
    <row r="590" spans="1:3" ht="13" x14ac:dyDescent="0.15">
      <c r="A590" s="10"/>
      <c r="B590" s="13"/>
      <c r="C590" s="13"/>
    </row>
    <row r="591" spans="1:3" ht="13" x14ac:dyDescent="0.15">
      <c r="A591" s="10"/>
      <c r="B591" s="13"/>
      <c r="C591" s="13"/>
    </row>
    <row r="592" spans="1:3" ht="13" x14ac:dyDescent="0.15">
      <c r="A592" s="10"/>
      <c r="B592" s="13"/>
      <c r="C592" s="13"/>
    </row>
    <row r="593" spans="1:3" ht="13" x14ac:dyDescent="0.15">
      <c r="A593" s="10"/>
      <c r="B593" s="13"/>
      <c r="C593" s="13"/>
    </row>
    <row r="594" spans="1:3" ht="13" x14ac:dyDescent="0.15">
      <c r="A594" s="10"/>
      <c r="B594" s="13"/>
      <c r="C594" s="13"/>
    </row>
    <row r="595" spans="1:3" ht="13" x14ac:dyDescent="0.15">
      <c r="A595" s="10"/>
      <c r="B595" s="13"/>
      <c r="C595" s="13"/>
    </row>
    <row r="596" spans="1:3" ht="13" x14ac:dyDescent="0.15">
      <c r="A596" s="10"/>
      <c r="B596" s="13"/>
      <c r="C596" s="13"/>
    </row>
    <row r="597" spans="1:3" ht="13" x14ac:dyDescent="0.15">
      <c r="A597" s="10"/>
      <c r="B597" s="13"/>
      <c r="C597" s="13"/>
    </row>
    <row r="598" spans="1:3" ht="13" x14ac:dyDescent="0.15">
      <c r="A598" s="10"/>
      <c r="B598" s="13"/>
      <c r="C598" s="13"/>
    </row>
    <row r="599" spans="1:3" ht="13" x14ac:dyDescent="0.15">
      <c r="A599" s="10"/>
      <c r="B599" s="13"/>
      <c r="C599" s="13"/>
    </row>
    <row r="600" spans="1:3" ht="13" x14ac:dyDescent="0.15">
      <c r="A600" s="10"/>
      <c r="B600" s="13"/>
      <c r="C600" s="13"/>
    </row>
    <row r="601" spans="1:3" ht="13" x14ac:dyDescent="0.15">
      <c r="A601" s="10"/>
      <c r="B601" s="13"/>
      <c r="C601" s="13"/>
    </row>
    <row r="602" spans="1:3" ht="13" x14ac:dyDescent="0.15">
      <c r="A602" s="10"/>
      <c r="B602" s="13"/>
      <c r="C602" s="13"/>
    </row>
    <row r="603" spans="1:3" ht="13" x14ac:dyDescent="0.15">
      <c r="A603" s="10"/>
      <c r="B603" s="13"/>
      <c r="C603" s="13"/>
    </row>
    <row r="604" spans="1:3" ht="13" x14ac:dyDescent="0.15">
      <c r="A604" s="10"/>
      <c r="B604" s="13"/>
      <c r="C604" s="13"/>
    </row>
    <row r="605" spans="1:3" ht="13" x14ac:dyDescent="0.15">
      <c r="A605" s="10"/>
      <c r="B605" s="13"/>
      <c r="C605" s="13"/>
    </row>
    <row r="606" spans="1:3" ht="13" x14ac:dyDescent="0.15">
      <c r="A606" s="10"/>
      <c r="B606" s="13"/>
      <c r="C606" s="13"/>
    </row>
    <row r="607" spans="1:3" ht="13" x14ac:dyDescent="0.15">
      <c r="A607" s="10"/>
      <c r="B607" s="13"/>
      <c r="C607" s="13"/>
    </row>
    <row r="608" spans="1:3" ht="13" x14ac:dyDescent="0.15">
      <c r="A608" s="10"/>
      <c r="B608" s="13"/>
      <c r="C608" s="13"/>
    </row>
    <row r="609" spans="1:3" ht="13" x14ac:dyDescent="0.15">
      <c r="A609" s="10"/>
      <c r="B609" s="13"/>
      <c r="C609" s="13"/>
    </row>
    <row r="610" spans="1:3" ht="13" x14ac:dyDescent="0.15">
      <c r="A610" s="10"/>
      <c r="B610" s="13"/>
      <c r="C610" s="13"/>
    </row>
    <row r="611" spans="1:3" ht="13" x14ac:dyDescent="0.15">
      <c r="A611" s="10"/>
      <c r="B611" s="13"/>
      <c r="C611" s="13"/>
    </row>
    <row r="612" spans="1:3" ht="13" x14ac:dyDescent="0.15">
      <c r="A612" s="10"/>
      <c r="B612" s="13"/>
      <c r="C612" s="13"/>
    </row>
    <row r="613" spans="1:3" ht="13" x14ac:dyDescent="0.15">
      <c r="A613" s="10"/>
      <c r="B613" s="13"/>
      <c r="C613" s="13"/>
    </row>
    <row r="614" spans="1:3" ht="13" x14ac:dyDescent="0.15">
      <c r="A614" s="10"/>
      <c r="B614" s="13"/>
      <c r="C614" s="13"/>
    </row>
    <row r="615" spans="1:3" ht="13" x14ac:dyDescent="0.15">
      <c r="A615" s="10"/>
      <c r="B615" s="13"/>
      <c r="C615" s="13"/>
    </row>
    <row r="616" spans="1:3" ht="13" x14ac:dyDescent="0.15">
      <c r="A616" s="10"/>
      <c r="B616" s="13"/>
      <c r="C616" s="13"/>
    </row>
    <row r="617" spans="1:3" ht="13" x14ac:dyDescent="0.15">
      <c r="A617" s="10"/>
      <c r="B617" s="13"/>
      <c r="C617" s="13"/>
    </row>
    <row r="618" spans="1:3" ht="13" x14ac:dyDescent="0.15">
      <c r="A618" s="10"/>
      <c r="B618" s="13"/>
      <c r="C618" s="13"/>
    </row>
    <row r="619" spans="1:3" ht="13" x14ac:dyDescent="0.15">
      <c r="A619" s="10"/>
      <c r="B619" s="13"/>
      <c r="C619" s="13"/>
    </row>
    <row r="620" spans="1:3" ht="13" x14ac:dyDescent="0.15">
      <c r="A620" s="10"/>
      <c r="B620" s="13"/>
      <c r="C620" s="13"/>
    </row>
    <row r="621" spans="1:3" ht="13" x14ac:dyDescent="0.15">
      <c r="A621" s="10"/>
      <c r="B621" s="13"/>
      <c r="C621" s="13"/>
    </row>
    <row r="622" spans="1:3" ht="13" x14ac:dyDescent="0.15">
      <c r="A622" s="10"/>
      <c r="B622" s="13"/>
      <c r="C622" s="13"/>
    </row>
    <row r="623" spans="1:3" ht="13" x14ac:dyDescent="0.15">
      <c r="A623" s="10"/>
      <c r="B623" s="13"/>
      <c r="C623" s="13"/>
    </row>
    <row r="624" spans="1:3" ht="13" x14ac:dyDescent="0.15">
      <c r="A624" s="10"/>
      <c r="B624" s="13"/>
      <c r="C624" s="13"/>
    </row>
    <row r="625" spans="1:3" ht="13" x14ac:dyDescent="0.15">
      <c r="A625" s="10"/>
      <c r="B625" s="13"/>
      <c r="C625" s="13"/>
    </row>
    <row r="626" spans="1:3" ht="13" x14ac:dyDescent="0.15">
      <c r="A626" s="10"/>
      <c r="B626" s="13"/>
      <c r="C626" s="13"/>
    </row>
    <row r="627" spans="1:3" ht="13" x14ac:dyDescent="0.15">
      <c r="A627" s="10"/>
      <c r="B627" s="13"/>
      <c r="C627" s="13"/>
    </row>
    <row r="628" spans="1:3" ht="13" x14ac:dyDescent="0.15">
      <c r="A628" s="10"/>
      <c r="B628" s="13"/>
      <c r="C628" s="13"/>
    </row>
    <row r="629" spans="1:3" ht="13" x14ac:dyDescent="0.15">
      <c r="A629" s="10"/>
      <c r="B629" s="13"/>
      <c r="C629" s="13"/>
    </row>
    <row r="630" spans="1:3" ht="13" x14ac:dyDescent="0.15">
      <c r="A630" s="10"/>
      <c r="B630" s="13"/>
      <c r="C630" s="13"/>
    </row>
    <row r="631" spans="1:3" ht="13" x14ac:dyDescent="0.15">
      <c r="A631" s="10"/>
      <c r="B631" s="13"/>
      <c r="C631" s="13"/>
    </row>
    <row r="632" spans="1:3" ht="13" x14ac:dyDescent="0.15">
      <c r="A632" s="10"/>
      <c r="B632" s="13"/>
      <c r="C632" s="13"/>
    </row>
    <row r="633" spans="1:3" ht="13" x14ac:dyDescent="0.15">
      <c r="A633" s="10"/>
      <c r="B633" s="13"/>
      <c r="C633" s="13"/>
    </row>
    <row r="634" spans="1:3" ht="13" x14ac:dyDescent="0.15">
      <c r="A634" s="10"/>
      <c r="B634" s="13"/>
      <c r="C634" s="13"/>
    </row>
    <row r="635" spans="1:3" ht="13" x14ac:dyDescent="0.15">
      <c r="A635" s="10"/>
      <c r="B635" s="13"/>
      <c r="C635" s="13"/>
    </row>
    <row r="636" spans="1:3" ht="13" x14ac:dyDescent="0.15">
      <c r="A636" s="10"/>
      <c r="B636" s="13"/>
      <c r="C636" s="13"/>
    </row>
    <row r="637" spans="1:3" ht="13" x14ac:dyDescent="0.15">
      <c r="A637" s="10"/>
      <c r="B637" s="13"/>
      <c r="C637" s="13"/>
    </row>
    <row r="638" spans="1:3" ht="13" x14ac:dyDescent="0.15">
      <c r="A638" s="10"/>
      <c r="B638" s="13"/>
      <c r="C638" s="13"/>
    </row>
    <row r="639" spans="1:3" ht="13" x14ac:dyDescent="0.15">
      <c r="A639" s="10"/>
      <c r="B639" s="13"/>
      <c r="C639" s="13"/>
    </row>
    <row r="640" spans="1:3" ht="13" x14ac:dyDescent="0.15">
      <c r="A640" s="10"/>
      <c r="B640" s="13"/>
      <c r="C640" s="13"/>
    </row>
    <row r="641" spans="1:3" ht="13" x14ac:dyDescent="0.15">
      <c r="A641" s="10"/>
      <c r="B641" s="13"/>
      <c r="C641" s="13"/>
    </row>
    <row r="642" spans="1:3" ht="13" x14ac:dyDescent="0.15">
      <c r="A642" s="10"/>
      <c r="B642" s="13"/>
      <c r="C642" s="13"/>
    </row>
    <row r="643" spans="1:3" ht="13" x14ac:dyDescent="0.15">
      <c r="A643" s="10"/>
      <c r="B643" s="13"/>
      <c r="C643" s="13"/>
    </row>
    <row r="644" spans="1:3" ht="13" x14ac:dyDescent="0.15">
      <c r="A644" s="10"/>
      <c r="B644" s="13"/>
      <c r="C644" s="13"/>
    </row>
    <row r="645" spans="1:3" ht="13" x14ac:dyDescent="0.15">
      <c r="A645" s="10"/>
      <c r="B645" s="13"/>
      <c r="C645" s="13"/>
    </row>
    <row r="646" spans="1:3" ht="13" x14ac:dyDescent="0.15">
      <c r="A646" s="10"/>
      <c r="B646" s="13"/>
      <c r="C646" s="13"/>
    </row>
    <row r="647" spans="1:3" ht="13" x14ac:dyDescent="0.15">
      <c r="A647" s="10"/>
      <c r="B647" s="13"/>
      <c r="C647" s="13"/>
    </row>
    <row r="648" spans="1:3" ht="13" x14ac:dyDescent="0.15">
      <c r="A648" s="10"/>
      <c r="B648" s="13"/>
      <c r="C648" s="13"/>
    </row>
    <row r="649" spans="1:3" ht="13" x14ac:dyDescent="0.15">
      <c r="A649" s="10"/>
      <c r="B649" s="13"/>
      <c r="C649" s="13"/>
    </row>
    <row r="650" spans="1:3" ht="13" x14ac:dyDescent="0.15">
      <c r="A650" s="10"/>
      <c r="B650" s="13"/>
      <c r="C650" s="13"/>
    </row>
    <row r="651" spans="1:3" ht="13" x14ac:dyDescent="0.15">
      <c r="A651" s="10"/>
      <c r="B651" s="13"/>
      <c r="C651" s="13"/>
    </row>
    <row r="652" spans="1:3" ht="13" x14ac:dyDescent="0.15">
      <c r="A652" s="10"/>
      <c r="B652" s="13"/>
      <c r="C652" s="13"/>
    </row>
    <row r="653" spans="1:3" ht="13" x14ac:dyDescent="0.15">
      <c r="A653" s="10"/>
      <c r="B653" s="13"/>
      <c r="C653" s="13"/>
    </row>
    <row r="654" spans="1:3" ht="13" x14ac:dyDescent="0.15">
      <c r="A654" s="10"/>
      <c r="B654" s="13"/>
      <c r="C654" s="13"/>
    </row>
    <row r="655" spans="1:3" ht="13" x14ac:dyDescent="0.15">
      <c r="A655" s="10"/>
      <c r="B655" s="13"/>
      <c r="C655" s="13"/>
    </row>
    <row r="656" spans="1:3" ht="13" x14ac:dyDescent="0.15">
      <c r="A656" s="10"/>
      <c r="B656" s="13"/>
      <c r="C656" s="13"/>
    </row>
    <row r="657" spans="1:3" ht="13" x14ac:dyDescent="0.15">
      <c r="A657" s="10"/>
      <c r="B657" s="13"/>
      <c r="C657" s="13"/>
    </row>
    <row r="658" spans="1:3" ht="13" x14ac:dyDescent="0.15">
      <c r="A658" s="10"/>
      <c r="B658" s="13"/>
      <c r="C658" s="13"/>
    </row>
    <row r="659" spans="1:3" ht="13" x14ac:dyDescent="0.15">
      <c r="A659" s="10"/>
      <c r="B659" s="13"/>
      <c r="C659" s="13"/>
    </row>
    <row r="660" spans="1:3" ht="13" x14ac:dyDescent="0.15">
      <c r="A660" s="10"/>
      <c r="B660" s="13"/>
      <c r="C660" s="13"/>
    </row>
    <row r="661" spans="1:3" ht="13" x14ac:dyDescent="0.15">
      <c r="A661" s="10"/>
      <c r="B661" s="13"/>
      <c r="C661" s="13"/>
    </row>
    <row r="662" spans="1:3" ht="13" x14ac:dyDescent="0.15">
      <c r="A662" s="10"/>
      <c r="B662" s="13"/>
      <c r="C662" s="13"/>
    </row>
    <row r="663" spans="1:3" ht="13" x14ac:dyDescent="0.15">
      <c r="A663" s="10"/>
      <c r="B663" s="13"/>
      <c r="C663" s="13"/>
    </row>
    <row r="664" spans="1:3" ht="13" x14ac:dyDescent="0.15">
      <c r="A664" s="10"/>
      <c r="B664" s="13"/>
      <c r="C664" s="13"/>
    </row>
    <row r="665" spans="1:3" ht="13" x14ac:dyDescent="0.15">
      <c r="A665" s="10"/>
      <c r="B665" s="13"/>
      <c r="C665" s="13"/>
    </row>
    <row r="666" spans="1:3" ht="13" x14ac:dyDescent="0.15">
      <c r="A666" s="10"/>
      <c r="B666" s="13"/>
      <c r="C666" s="13"/>
    </row>
    <row r="667" spans="1:3" ht="13" x14ac:dyDescent="0.15">
      <c r="A667" s="10"/>
      <c r="B667" s="13"/>
      <c r="C667" s="13"/>
    </row>
    <row r="668" spans="1:3" ht="13" x14ac:dyDescent="0.15">
      <c r="A668" s="10"/>
      <c r="B668" s="13"/>
      <c r="C668" s="13"/>
    </row>
    <row r="669" spans="1:3" ht="13" x14ac:dyDescent="0.15">
      <c r="A669" s="10"/>
      <c r="B669" s="13"/>
      <c r="C669" s="13"/>
    </row>
    <row r="670" spans="1:3" ht="13" x14ac:dyDescent="0.15">
      <c r="A670" s="10"/>
      <c r="B670" s="13"/>
      <c r="C670" s="13"/>
    </row>
    <row r="671" spans="1:3" ht="13" x14ac:dyDescent="0.15">
      <c r="A671" s="10"/>
      <c r="B671" s="13"/>
      <c r="C671" s="13"/>
    </row>
    <row r="672" spans="1:3" ht="13" x14ac:dyDescent="0.15">
      <c r="A672" s="10"/>
      <c r="B672" s="13"/>
      <c r="C672" s="13"/>
    </row>
    <row r="673" spans="1:3" ht="13" x14ac:dyDescent="0.15">
      <c r="A673" s="10"/>
      <c r="B673" s="13"/>
      <c r="C673" s="13"/>
    </row>
    <row r="674" spans="1:3" ht="13" x14ac:dyDescent="0.15">
      <c r="A674" s="10"/>
      <c r="B674" s="13"/>
      <c r="C674" s="13"/>
    </row>
    <row r="675" spans="1:3" ht="13" x14ac:dyDescent="0.15">
      <c r="A675" s="10"/>
      <c r="B675" s="13"/>
      <c r="C675" s="13"/>
    </row>
    <row r="676" spans="1:3" ht="13" x14ac:dyDescent="0.15">
      <c r="A676" s="10"/>
      <c r="B676" s="13"/>
      <c r="C676" s="13"/>
    </row>
    <row r="677" spans="1:3" ht="13" x14ac:dyDescent="0.15">
      <c r="A677" s="10"/>
      <c r="B677" s="13"/>
      <c r="C677" s="13"/>
    </row>
    <row r="678" spans="1:3" ht="13" x14ac:dyDescent="0.15">
      <c r="A678" s="10"/>
      <c r="B678" s="13"/>
      <c r="C678" s="13"/>
    </row>
    <row r="679" spans="1:3" ht="13" x14ac:dyDescent="0.15">
      <c r="A679" s="10"/>
      <c r="B679" s="13"/>
      <c r="C679" s="13"/>
    </row>
    <row r="680" spans="1:3" ht="13" x14ac:dyDescent="0.15">
      <c r="A680" s="10"/>
      <c r="B680" s="13"/>
      <c r="C680" s="13"/>
    </row>
    <row r="681" spans="1:3" ht="13" x14ac:dyDescent="0.15">
      <c r="A681" s="10"/>
      <c r="B681" s="13"/>
      <c r="C681" s="13"/>
    </row>
    <row r="682" spans="1:3" ht="13" x14ac:dyDescent="0.15">
      <c r="A682" s="10"/>
      <c r="B682" s="13"/>
      <c r="C682" s="13"/>
    </row>
    <row r="683" spans="1:3" ht="13" x14ac:dyDescent="0.15">
      <c r="A683" s="10"/>
      <c r="B683" s="13"/>
      <c r="C683" s="13"/>
    </row>
    <row r="684" spans="1:3" ht="13" x14ac:dyDescent="0.15">
      <c r="A684" s="10"/>
      <c r="B684" s="13"/>
      <c r="C684" s="13"/>
    </row>
    <row r="685" spans="1:3" ht="13" x14ac:dyDescent="0.15">
      <c r="A685" s="10"/>
      <c r="B685" s="13"/>
      <c r="C685" s="13"/>
    </row>
    <row r="686" spans="1:3" ht="13" x14ac:dyDescent="0.15">
      <c r="A686" s="10"/>
      <c r="B686" s="13"/>
      <c r="C686" s="13"/>
    </row>
    <row r="687" spans="1:3" ht="13" x14ac:dyDescent="0.15">
      <c r="A687" s="10"/>
      <c r="B687" s="13"/>
      <c r="C687" s="13"/>
    </row>
    <row r="688" spans="1:3" ht="13" x14ac:dyDescent="0.15">
      <c r="A688" s="10"/>
      <c r="B688" s="13"/>
      <c r="C688" s="13"/>
    </row>
    <row r="689" spans="1:3" ht="13" x14ac:dyDescent="0.15">
      <c r="A689" s="10"/>
      <c r="B689" s="13"/>
      <c r="C689" s="13"/>
    </row>
    <row r="690" spans="1:3" ht="13" x14ac:dyDescent="0.15">
      <c r="A690" s="10"/>
      <c r="B690" s="13"/>
      <c r="C690" s="13"/>
    </row>
    <row r="691" spans="1:3" ht="13" x14ac:dyDescent="0.15">
      <c r="A691" s="10"/>
      <c r="B691" s="13"/>
      <c r="C691" s="13"/>
    </row>
    <row r="692" spans="1:3" ht="13" x14ac:dyDescent="0.15">
      <c r="A692" s="10"/>
      <c r="B692" s="13"/>
      <c r="C692" s="13"/>
    </row>
    <row r="693" spans="1:3" ht="13" x14ac:dyDescent="0.15">
      <c r="A693" s="10"/>
      <c r="B693" s="13"/>
      <c r="C693" s="13"/>
    </row>
    <row r="694" spans="1:3" ht="13" x14ac:dyDescent="0.15">
      <c r="A694" s="10"/>
      <c r="B694" s="13"/>
      <c r="C694" s="13"/>
    </row>
    <row r="695" spans="1:3" ht="13" x14ac:dyDescent="0.15">
      <c r="A695" s="10"/>
      <c r="B695" s="13"/>
      <c r="C695" s="13"/>
    </row>
    <row r="696" spans="1:3" ht="13" x14ac:dyDescent="0.15">
      <c r="A696" s="10"/>
      <c r="B696" s="13"/>
      <c r="C696" s="13"/>
    </row>
    <row r="697" spans="1:3" ht="13" x14ac:dyDescent="0.15">
      <c r="A697" s="10"/>
      <c r="B697" s="13"/>
      <c r="C697" s="13"/>
    </row>
    <row r="698" spans="1:3" ht="13" x14ac:dyDescent="0.15">
      <c r="A698" s="10"/>
      <c r="B698" s="13"/>
      <c r="C698" s="13"/>
    </row>
    <row r="699" spans="1:3" ht="13" x14ac:dyDescent="0.15">
      <c r="A699" s="10"/>
      <c r="B699" s="13"/>
      <c r="C699" s="13"/>
    </row>
    <row r="700" spans="1:3" ht="13" x14ac:dyDescent="0.15">
      <c r="A700" s="10"/>
      <c r="B700" s="13"/>
      <c r="C700" s="13"/>
    </row>
    <row r="701" spans="1:3" ht="13" x14ac:dyDescent="0.15">
      <c r="A701" s="10"/>
      <c r="B701" s="13"/>
      <c r="C701" s="13"/>
    </row>
    <row r="702" spans="1:3" ht="13" x14ac:dyDescent="0.15">
      <c r="A702" s="10"/>
      <c r="B702" s="13"/>
      <c r="C702" s="13"/>
    </row>
    <row r="703" spans="1:3" ht="13" x14ac:dyDescent="0.15">
      <c r="A703" s="10"/>
      <c r="B703" s="13"/>
      <c r="C703" s="13"/>
    </row>
    <row r="704" spans="1:3" ht="13" x14ac:dyDescent="0.15">
      <c r="A704" s="10"/>
      <c r="B704" s="13"/>
      <c r="C704" s="13"/>
    </row>
    <row r="705" spans="1:3" ht="13" x14ac:dyDescent="0.15">
      <c r="A705" s="10"/>
      <c r="B705" s="13"/>
      <c r="C705" s="13"/>
    </row>
    <row r="706" spans="1:3" ht="13" x14ac:dyDescent="0.15">
      <c r="A706" s="10"/>
      <c r="B706" s="13"/>
      <c r="C706" s="13"/>
    </row>
    <row r="707" spans="1:3" ht="13" x14ac:dyDescent="0.15">
      <c r="A707" s="10"/>
      <c r="B707" s="13"/>
      <c r="C707" s="13"/>
    </row>
    <row r="708" spans="1:3" ht="13" x14ac:dyDescent="0.15">
      <c r="A708" s="10"/>
      <c r="B708" s="13"/>
      <c r="C708" s="13"/>
    </row>
    <row r="709" spans="1:3" ht="13" x14ac:dyDescent="0.15">
      <c r="A709" s="10"/>
      <c r="B709" s="13"/>
      <c r="C709" s="13"/>
    </row>
    <row r="710" spans="1:3" ht="13" x14ac:dyDescent="0.15">
      <c r="A710" s="10"/>
      <c r="B710" s="13"/>
      <c r="C710" s="13"/>
    </row>
    <row r="711" spans="1:3" ht="13" x14ac:dyDescent="0.15">
      <c r="A711" s="10"/>
      <c r="B711" s="13"/>
      <c r="C711" s="13"/>
    </row>
    <row r="712" spans="1:3" ht="13" x14ac:dyDescent="0.15">
      <c r="A712" s="10"/>
      <c r="B712" s="13"/>
      <c r="C712" s="13"/>
    </row>
    <row r="713" spans="1:3" ht="13" x14ac:dyDescent="0.15">
      <c r="A713" s="10"/>
      <c r="B713" s="13"/>
      <c r="C713" s="13"/>
    </row>
    <row r="714" spans="1:3" ht="13" x14ac:dyDescent="0.15">
      <c r="A714" s="10"/>
      <c r="B714" s="13"/>
      <c r="C714" s="13"/>
    </row>
    <row r="715" spans="1:3" ht="13" x14ac:dyDescent="0.15">
      <c r="A715" s="10"/>
      <c r="B715" s="13"/>
      <c r="C715" s="13"/>
    </row>
    <row r="716" spans="1:3" ht="13" x14ac:dyDescent="0.15">
      <c r="A716" s="10"/>
      <c r="B716" s="13"/>
      <c r="C716" s="13"/>
    </row>
    <row r="717" spans="1:3" ht="13" x14ac:dyDescent="0.15">
      <c r="A717" s="10"/>
      <c r="B717" s="13"/>
      <c r="C717" s="13"/>
    </row>
    <row r="718" spans="1:3" ht="13" x14ac:dyDescent="0.15">
      <c r="A718" s="10"/>
      <c r="B718" s="13"/>
      <c r="C718" s="13"/>
    </row>
    <row r="719" spans="1:3" ht="13" x14ac:dyDescent="0.15">
      <c r="A719" s="10"/>
      <c r="B719" s="13"/>
      <c r="C719" s="13"/>
    </row>
    <row r="720" spans="1:3" ht="13" x14ac:dyDescent="0.15">
      <c r="A720" s="10"/>
      <c r="B720" s="13"/>
      <c r="C720" s="13"/>
    </row>
    <row r="721" spans="1:3" ht="13" x14ac:dyDescent="0.15">
      <c r="A721" s="10"/>
      <c r="B721" s="13"/>
      <c r="C721" s="13"/>
    </row>
    <row r="722" spans="1:3" ht="13" x14ac:dyDescent="0.15">
      <c r="A722" s="10"/>
      <c r="B722" s="13"/>
      <c r="C722" s="13"/>
    </row>
    <row r="723" spans="1:3" ht="13" x14ac:dyDescent="0.15">
      <c r="A723" s="10"/>
      <c r="B723" s="13"/>
      <c r="C723" s="13"/>
    </row>
    <row r="724" spans="1:3" ht="13" x14ac:dyDescent="0.15">
      <c r="A724" s="10"/>
      <c r="B724" s="13"/>
      <c r="C724" s="13"/>
    </row>
    <row r="725" spans="1:3" ht="13" x14ac:dyDescent="0.15">
      <c r="A725" s="10"/>
      <c r="B725" s="13"/>
      <c r="C725" s="13"/>
    </row>
    <row r="726" spans="1:3" ht="13" x14ac:dyDescent="0.15">
      <c r="A726" s="10"/>
      <c r="B726" s="13"/>
      <c r="C726" s="13"/>
    </row>
    <row r="727" spans="1:3" ht="13" x14ac:dyDescent="0.15">
      <c r="A727" s="10"/>
      <c r="B727" s="13"/>
      <c r="C727" s="13"/>
    </row>
    <row r="728" spans="1:3" ht="13" x14ac:dyDescent="0.15">
      <c r="A728" s="10"/>
      <c r="B728" s="13"/>
      <c r="C728" s="13"/>
    </row>
    <row r="729" spans="1:3" ht="13" x14ac:dyDescent="0.15">
      <c r="A729" s="10"/>
      <c r="B729" s="13"/>
      <c r="C729" s="13"/>
    </row>
    <row r="730" spans="1:3" ht="13" x14ac:dyDescent="0.15">
      <c r="A730" s="10"/>
      <c r="B730" s="13"/>
      <c r="C730" s="13"/>
    </row>
    <row r="731" spans="1:3" ht="13" x14ac:dyDescent="0.15">
      <c r="A731" s="10"/>
      <c r="B731" s="13"/>
      <c r="C731" s="13"/>
    </row>
    <row r="732" spans="1:3" ht="13" x14ac:dyDescent="0.15">
      <c r="A732" s="10"/>
      <c r="B732" s="13"/>
      <c r="C732" s="13"/>
    </row>
    <row r="733" spans="1:3" ht="13" x14ac:dyDescent="0.15">
      <c r="A733" s="10"/>
      <c r="B733" s="13"/>
      <c r="C733" s="13"/>
    </row>
    <row r="734" spans="1:3" ht="13" x14ac:dyDescent="0.15">
      <c r="A734" s="10"/>
      <c r="B734" s="13"/>
      <c r="C734" s="13"/>
    </row>
    <row r="735" spans="1:3" ht="13" x14ac:dyDescent="0.15">
      <c r="A735" s="10"/>
      <c r="B735" s="13"/>
      <c r="C735" s="13"/>
    </row>
    <row r="736" spans="1:3" ht="13" x14ac:dyDescent="0.15">
      <c r="A736" s="10"/>
      <c r="B736" s="13"/>
      <c r="C736" s="13"/>
    </row>
    <row r="737" spans="1:3" ht="13" x14ac:dyDescent="0.15">
      <c r="A737" s="10"/>
      <c r="B737" s="13"/>
      <c r="C737" s="13"/>
    </row>
    <row r="738" spans="1:3" ht="13" x14ac:dyDescent="0.15">
      <c r="A738" s="10"/>
      <c r="B738" s="13"/>
      <c r="C738" s="13"/>
    </row>
    <row r="739" spans="1:3" ht="13" x14ac:dyDescent="0.15">
      <c r="A739" s="10"/>
      <c r="B739" s="13"/>
      <c r="C739" s="13"/>
    </row>
    <row r="740" spans="1:3" ht="13" x14ac:dyDescent="0.15">
      <c r="A740" s="10"/>
      <c r="B740" s="13"/>
      <c r="C740" s="13"/>
    </row>
    <row r="741" spans="1:3" ht="13" x14ac:dyDescent="0.15">
      <c r="A741" s="10"/>
      <c r="B741" s="13"/>
      <c r="C741" s="13"/>
    </row>
    <row r="742" spans="1:3" ht="13" x14ac:dyDescent="0.15">
      <c r="A742" s="10"/>
      <c r="B742" s="13"/>
      <c r="C742" s="13"/>
    </row>
    <row r="743" spans="1:3" ht="13" x14ac:dyDescent="0.15">
      <c r="A743" s="10"/>
      <c r="B743" s="13"/>
      <c r="C743" s="13"/>
    </row>
    <row r="744" spans="1:3" ht="13" x14ac:dyDescent="0.15">
      <c r="A744" s="10"/>
      <c r="B744" s="13"/>
      <c r="C744" s="13"/>
    </row>
    <row r="745" spans="1:3" ht="13" x14ac:dyDescent="0.15">
      <c r="A745" s="10"/>
      <c r="B745" s="13"/>
      <c r="C745" s="13"/>
    </row>
    <row r="746" spans="1:3" ht="13" x14ac:dyDescent="0.15">
      <c r="A746" s="10"/>
      <c r="B746" s="13"/>
      <c r="C746" s="13"/>
    </row>
    <row r="747" spans="1:3" ht="13" x14ac:dyDescent="0.15">
      <c r="A747" s="10"/>
      <c r="B747" s="13"/>
      <c r="C747" s="13"/>
    </row>
    <row r="748" spans="1:3" ht="13" x14ac:dyDescent="0.15">
      <c r="A748" s="10"/>
      <c r="B748" s="13"/>
      <c r="C748" s="13"/>
    </row>
    <row r="749" spans="1:3" ht="13" x14ac:dyDescent="0.15">
      <c r="A749" s="10"/>
      <c r="B749" s="13"/>
      <c r="C749" s="13"/>
    </row>
    <row r="750" spans="1:3" ht="13" x14ac:dyDescent="0.15">
      <c r="A750" s="10"/>
      <c r="B750" s="13"/>
      <c r="C750" s="13"/>
    </row>
    <row r="751" spans="1:3" ht="13" x14ac:dyDescent="0.15">
      <c r="A751" s="10"/>
      <c r="B751" s="13"/>
      <c r="C751" s="13"/>
    </row>
    <row r="752" spans="1:3" ht="13" x14ac:dyDescent="0.15">
      <c r="A752" s="10"/>
      <c r="B752" s="13"/>
      <c r="C752" s="13"/>
    </row>
    <row r="753" spans="1:3" ht="13" x14ac:dyDescent="0.15">
      <c r="A753" s="10"/>
      <c r="B753" s="13"/>
      <c r="C753" s="13"/>
    </row>
    <row r="754" spans="1:3" ht="13" x14ac:dyDescent="0.15">
      <c r="A754" s="10"/>
      <c r="B754" s="13"/>
      <c r="C754" s="13"/>
    </row>
    <row r="755" spans="1:3" ht="13" x14ac:dyDescent="0.15">
      <c r="A755" s="10"/>
      <c r="B755" s="13"/>
      <c r="C755" s="13"/>
    </row>
    <row r="756" spans="1:3" ht="13" x14ac:dyDescent="0.15">
      <c r="A756" s="10"/>
      <c r="B756" s="13"/>
      <c r="C756" s="13"/>
    </row>
    <row r="757" spans="1:3" ht="13" x14ac:dyDescent="0.15">
      <c r="A757" s="10"/>
      <c r="B757" s="13"/>
      <c r="C757" s="13"/>
    </row>
    <row r="758" spans="1:3" ht="13" x14ac:dyDescent="0.15">
      <c r="A758" s="10"/>
      <c r="B758" s="13"/>
      <c r="C758" s="13"/>
    </row>
    <row r="759" spans="1:3" ht="13" x14ac:dyDescent="0.15">
      <c r="A759" s="10"/>
      <c r="B759" s="13"/>
      <c r="C759" s="13"/>
    </row>
    <row r="760" spans="1:3" ht="13" x14ac:dyDescent="0.15">
      <c r="A760" s="10"/>
      <c r="B760" s="13"/>
      <c r="C760" s="13"/>
    </row>
    <row r="761" spans="1:3" ht="13" x14ac:dyDescent="0.15">
      <c r="A761" s="10"/>
      <c r="B761" s="13"/>
      <c r="C761" s="13"/>
    </row>
    <row r="762" spans="1:3" ht="13" x14ac:dyDescent="0.15">
      <c r="A762" s="10"/>
      <c r="B762" s="13"/>
      <c r="C762" s="13"/>
    </row>
    <row r="763" spans="1:3" ht="13" x14ac:dyDescent="0.15">
      <c r="A763" s="10"/>
      <c r="B763" s="13"/>
      <c r="C763" s="13"/>
    </row>
    <row r="764" spans="1:3" ht="13" x14ac:dyDescent="0.15">
      <c r="A764" s="10"/>
      <c r="B764" s="13"/>
      <c r="C764" s="13"/>
    </row>
    <row r="765" spans="1:3" ht="13" x14ac:dyDescent="0.15">
      <c r="A765" s="10"/>
      <c r="B765" s="13"/>
      <c r="C765" s="13"/>
    </row>
    <row r="766" spans="1:3" ht="13" x14ac:dyDescent="0.15">
      <c r="A766" s="10"/>
      <c r="B766" s="13"/>
      <c r="C766" s="13"/>
    </row>
    <row r="767" spans="1:3" ht="13" x14ac:dyDescent="0.15">
      <c r="A767" s="10"/>
      <c r="B767" s="13"/>
      <c r="C767" s="13"/>
    </row>
    <row r="768" spans="1:3" ht="13" x14ac:dyDescent="0.15">
      <c r="A768" s="10"/>
      <c r="B768" s="13"/>
      <c r="C768" s="13"/>
    </row>
    <row r="769" spans="1:3" ht="13" x14ac:dyDescent="0.15">
      <c r="A769" s="10"/>
      <c r="B769" s="13"/>
      <c r="C769" s="13"/>
    </row>
    <row r="770" spans="1:3" ht="13" x14ac:dyDescent="0.15">
      <c r="A770" s="10"/>
      <c r="B770" s="13"/>
      <c r="C770" s="13"/>
    </row>
    <row r="771" spans="1:3" ht="13" x14ac:dyDescent="0.15">
      <c r="A771" s="10"/>
      <c r="B771" s="13"/>
      <c r="C771" s="13"/>
    </row>
    <row r="772" spans="1:3" ht="13" x14ac:dyDescent="0.15">
      <c r="A772" s="10"/>
      <c r="B772" s="13"/>
      <c r="C772" s="13"/>
    </row>
    <row r="773" spans="1:3" ht="13" x14ac:dyDescent="0.15">
      <c r="A773" s="10"/>
      <c r="B773" s="13"/>
      <c r="C773" s="13"/>
    </row>
    <row r="774" spans="1:3" ht="13" x14ac:dyDescent="0.15">
      <c r="A774" s="10"/>
      <c r="B774" s="13"/>
      <c r="C774" s="13"/>
    </row>
    <row r="775" spans="1:3" ht="13" x14ac:dyDescent="0.15">
      <c r="A775" s="10"/>
      <c r="B775" s="13"/>
      <c r="C775" s="13"/>
    </row>
    <row r="776" spans="1:3" ht="13" x14ac:dyDescent="0.15">
      <c r="A776" s="10"/>
      <c r="B776" s="13"/>
      <c r="C776" s="13"/>
    </row>
    <row r="777" spans="1:3" ht="13" x14ac:dyDescent="0.15">
      <c r="A777" s="10"/>
      <c r="B777" s="13"/>
      <c r="C777" s="13"/>
    </row>
    <row r="778" spans="1:3" ht="13" x14ac:dyDescent="0.15">
      <c r="A778" s="10"/>
      <c r="B778" s="13"/>
      <c r="C778" s="13"/>
    </row>
    <row r="779" spans="1:3" ht="13" x14ac:dyDescent="0.15">
      <c r="A779" s="10"/>
      <c r="B779" s="13"/>
      <c r="C779" s="13"/>
    </row>
    <row r="780" spans="1:3" ht="13" x14ac:dyDescent="0.15">
      <c r="A780" s="10"/>
      <c r="B780" s="13"/>
      <c r="C780" s="13"/>
    </row>
    <row r="781" spans="1:3" ht="13" x14ac:dyDescent="0.15">
      <c r="A781" s="10"/>
      <c r="B781" s="13"/>
      <c r="C781" s="13"/>
    </row>
    <row r="782" spans="1:3" ht="13" x14ac:dyDescent="0.15">
      <c r="A782" s="10"/>
      <c r="B782" s="13"/>
      <c r="C782" s="13"/>
    </row>
    <row r="783" spans="1:3" ht="13" x14ac:dyDescent="0.15">
      <c r="A783" s="10"/>
      <c r="B783" s="13"/>
      <c r="C783" s="13"/>
    </row>
    <row r="784" spans="1:3" ht="13" x14ac:dyDescent="0.15">
      <c r="A784" s="10"/>
      <c r="B784" s="13"/>
      <c r="C784" s="13"/>
    </row>
    <row r="785" spans="1:3" ht="13" x14ac:dyDescent="0.15">
      <c r="A785" s="10"/>
      <c r="B785" s="13"/>
      <c r="C785" s="13"/>
    </row>
    <row r="786" spans="1:3" ht="13" x14ac:dyDescent="0.15">
      <c r="A786" s="10"/>
      <c r="B786" s="13"/>
      <c r="C786" s="13"/>
    </row>
    <row r="787" spans="1:3" ht="13" x14ac:dyDescent="0.15">
      <c r="A787" s="10"/>
      <c r="B787" s="13"/>
      <c r="C787" s="13"/>
    </row>
    <row r="788" spans="1:3" ht="13" x14ac:dyDescent="0.15">
      <c r="A788" s="10"/>
      <c r="B788" s="13"/>
      <c r="C788" s="13"/>
    </row>
    <row r="789" spans="1:3" ht="13" x14ac:dyDescent="0.15">
      <c r="A789" s="10"/>
      <c r="B789" s="13"/>
      <c r="C789" s="13"/>
    </row>
    <row r="790" spans="1:3" ht="13" x14ac:dyDescent="0.15">
      <c r="A790" s="10"/>
      <c r="B790" s="13"/>
      <c r="C790" s="13"/>
    </row>
    <row r="791" spans="1:3" ht="13" x14ac:dyDescent="0.15">
      <c r="A791" s="10"/>
      <c r="B791" s="13"/>
      <c r="C791" s="13"/>
    </row>
    <row r="792" spans="1:3" ht="13" x14ac:dyDescent="0.15">
      <c r="A792" s="10"/>
      <c r="B792" s="13"/>
      <c r="C792" s="13"/>
    </row>
    <row r="793" spans="1:3" ht="13" x14ac:dyDescent="0.15">
      <c r="A793" s="10"/>
      <c r="B793" s="13"/>
      <c r="C793" s="13"/>
    </row>
    <row r="794" spans="1:3" ht="13" x14ac:dyDescent="0.15">
      <c r="A794" s="10"/>
      <c r="B794" s="13"/>
      <c r="C794" s="13"/>
    </row>
    <row r="795" spans="1:3" ht="13" x14ac:dyDescent="0.15">
      <c r="A795" s="10"/>
      <c r="B795" s="13"/>
      <c r="C795" s="13"/>
    </row>
    <row r="796" spans="1:3" ht="13" x14ac:dyDescent="0.15">
      <c r="A796" s="10"/>
      <c r="B796" s="13"/>
      <c r="C796" s="13"/>
    </row>
    <row r="797" spans="1:3" ht="13" x14ac:dyDescent="0.15">
      <c r="A797" s="10"/>
      <c r="B797" s="13"/>
      <c r="C797" s="13"/>
    </row>
    <row r="798" spans="1:3" ht="13" x14ac:dyDescent="0.15">
      <c r="A798" s="10"/>
      <c r="B798" s="13"/>
      <c r="C798" s="13"/>
    </row>
    <row r="799" spans="1:3" ht="13" x14ac:dyDescent="0.15">
      <c r="A799" s="10"/>
      <c r="B799" s="13"/>
      <c r="C799" s="13"/>
    </row>
    <row r="800" spans="1:3" ht="13" x14ac:dyDescent="0.15">
      <c r="A800" s="10"/>
      <c r="B800" s="13"/>
      <c r="C800" s="13"/>
    </row>
    <row r="801" spans="1:3" ht="13" x14ac:dyDescent="0.15">
      <c r="A801" s="10"/>
      <c r="B801" s="13"/>
      <c r="C801" s="13"/>
    </row>
    <row r="802" spans="1:3" ht="13" x14ac:dyDescent="0.15">
      <c r="A802" s="10"/>
      <c r="B802" s="13"/>
      <c r="C802" s="13"/>
    </row>
    <row r="803" spans="1:3" ht="13" x14ac:dyDescent="0.15">
      <c r="A803" s="10"/>
      <c r="B803" s="13"/>
      <c r="C803" s="13"/>
    </row>
    <row r="804" spans="1:3" ht="13" x14ac:dyDescent="0.15">
      <c r="A804" s="10"/>
      <c r="B804" s="13"/>
      <c r="C804" s="13"/>
    </row>
    <row r="805" spans="1:3" ht="13" x14ac:dyDescent="0.15">
      <c r="A805" s="10"/>
      <c r="B805" s="13"/>
      <c r="C805" s="13"/>
    </row>
    <row r="806" spans="1:3" ht="13" x14ac:dyDescent="0.15">
      <c r="A806" s="10"/>
      <c r="B806" s="13"/>
      <c r="C806" s="13"/>
    </row>
    <row r="807" spans="1:3" ht="13" x14ac:dyDescent="0.15">
      <c r="A807" s="10"/>
      <c r="B807" s="13"/>
      <c r="C807" s="13"/>
    </row>
    <row r="808" spans="1:3" ht="13" x14ac:dyDescent="0.15">
      <c r="A808" s="10"/>
      <c r="B808" s="13"/>
      <c r="C808" s="13"/>
    </row>
    <row r="809" spans="1:3" ht="13" x14ac:dyDescent="0.15">
      <c r="A809" s="10"/>
      <c r="B809" s="13"/>
      <c r="C809" s="13"/>
    </row>
    <row r="810" spans="1:3" ht="13" x14ac:dyDescent="0.15">
      <c r="A810" s="10"/>
      <c r="B810" s="13"/>
      <c r="C810" s="13"/>
    </row>
    <row r="811" spans="1:3" ht="13" x14ac:dyDescent="0.15">
      <c r="A811" s="10"/>
      <c r="B811" s="13"/>
      <c r="C811" s="13"/>
    </row>
    <row r="812" spans="1:3" ht="13" x14ac:dyDescent="0.15">
      <c r="A812" s="10"/>
      <c r="B812" s="13"/>
      <c r="C812" s="13"/>
    </row>
    <row r="813" spans="1:3" ht="13" x14ac:dyDescent="0.15">
      <c r="A813" s="10"/>
      <c r="B813" s="13"/>
      <c r="C813" s="13"/>
    </row>
    <row r="814" spans="1:3" ht="13" x14ac:dyDescent="0.15">
      <c r="A814" s="10"/>
      <c r="B814" s="13"/>
      <c r="C814" s="13"/>
    </row>
    <row r="815" spans="1:3" ht="13" x14ac:dyDescent="0.15">
      <c r="A815" s="10"/>
      <c r="B815" s="13"/>
      <c r="C815" s="13"/>
    </row>
    <row r="816" spans="1:3" ht="13" x14ac:dyDescent="0.15">
      <c r="A816" s="10"/>
      <c r="B816" s="13"/>
      <c r="C816" s="13"/>
    </row>
    <row r="817" spans="1:3" ht="13" x14ac:dyDescent="0.15">
      <c r="A817" s="10"/>
      <c r="B817" s="13"/>
      <c r="C817" s="13"/>
    </row>
    <row r="818" spans="1:3" ht="13" x14ac:dyDescent="0.15">
      <c r="A818" s="10"/>
      <c r="B818" s="13"/>
      <c r="C818" s="13"/>
    </row>
    <row r="819" spans="1:3" ht="13" x14ac:dyDescent="0.15">
      <c r="A819" s="10"/>
      <c r="B819" s="13"/>
      <c r="C819" s="13"/>
    </row>
    <row r="820" spans="1:3" ht="13" x14ac:dyDescent="0.15">
      <c r="A820" s="10"/>
      <c r="B820" s="13"/>
      <c r="C820" s="13"/>
    </row>
    <row r="821" spans="1:3" ht="13" x14ac:dyDescent="0.15">
      <c r="A821" s="10"/>
      <c r="B821" s="13"/>
      <c r="C821" s="13"/>
    </row>
    <row r="822" spans="1:3" ht="13" x14ac:dyDescent="0.15">
      <c r="A822" s="10"/>
      <c r="B822" s="13"/>
      <c r="C822" s="13"/>
    </row>
    <row r="823" spans="1:3" ht="13" x14ac:dyDescent="0.15">
      <c r="A823" s="10"/>
      <c r="B823" s="13"/>
      <c r="C823" s="13"/>
    </row>
    <row r="824" spans="1:3" ht="13" x14ac:dyDescent="0.15">
      <c r="A824" s="10"/>
      <c r="B824" s="13"/>
      <c r="C824" s="13"/>
    </row>
    <row r="825" spans="1:3" ht="13" x14ac:dyDescent="0.15">
      <c r="A825" s="10"/>
      <c r="B825" s="13"/>
      <c r="C825" s="13"/>
    </row>
    <row r="826" spans="1:3" ht="13" x14ac:dyDescent="0.15">
      <c r="A826" s="10"/>
      <c r="B826" s="13"/>
      <c r="C826" s="13"/>
    </row>
    <row r="827" spans="1:3" ht="13" x14ac:dyDescent="0.15">
      <c r="A827" s="10"/>
      <c r="B827" s="13"/>
      <c r="C827" s="13"/>
    </row>
    <row r="828" spans="1:3" ht="13" x14ac:dyDescent="0.15">
      <c r="A828" s="10"/>
      <c r="B828" s="13"/>
      <c r="C828" s="13"/>
    </row>
    <row r="829" spans="1:3" ht="13" x14ac:dyDescent="0.15">
      <c r="A829" s="10"/>
      <c r="B829" s="13"/>
      <c r="C829" s="13"/>
    </row>
    <row r="830" spans="1:3" ht="13" x14ac:dyDescent="0.15">
      <c r="A830" s="10"/>
      <c r="B830" s="13"/>
      <c r="C830" s="13"/>
    </row>
    <row r="831" spans="1:3" ht="13" x14ac:dyDescent="0.15">
      <c r="A831" s="10"/>
      <c r="B831" s="13"/>
      <c r="C831" s="13"/>
    </row>
    <row r="832" spans="1:3" ht="13" x14ac:dyDescent="0.15">
      <c r="A832" s="10"/>
      <c r="B832" s="13"/>
      <c r="C832" s="13"/>
    </row>
    <row r="833" spans="1:3" ht="13" x14ac:dyDescent="0.15">
      <c r="A833" s="10"/>
      <c r="B833" s="13"/>
      <c r="C833" s="13"/>
    </row>
    <row r="834" spans="1:3" ht="13" x14ac:dyDescent="0.15">
      <c r="A834" s="10"/>
      <c r="B834" s="13"/>
      <c r="C834" s="13"/>
    </row>
    <row r="835" spans="1:3" ht="13" x14ac:dyDescent="0.15">
      <c r="A835" s="10"/>
      <c r="B835" s="13"/>
      <c r="C835" s="13"/>
    </row>
    <row r="836" spans="1:3" ht="13" x14ac:dyDescent="0.15">
      <c r="A836" s="10"/>
      <c r="B836" s="13"/>
      <c r="C836" s="13"/>
    </row>
    <row r="837" spans="1:3" ht="13" x14ac:dyDescent="0.15">
      <c r="A837" s="10"/>
      <c r="B837" s="13"/>
      <c r="C837" s="13"/>
    </row>
    <row r="838" spans="1:3" ht="13" x14ac:dyDescent="0.15">
      <c r="A838" s="10"/>
      <c r="B838" s="13"/>
      <c r="C838" s="13"/>
    </row>
    <row r="839" spans="1:3" ht="13" x14ac:dyDescent="0.15">
      <c r="A839" s="10"/>
      <c r="B839" s="13"/>
      <c r="C839" s="13"/>
    </row>
    <row r="840" spans="1:3" ht="13" x14ac:dyDescent="0.15">
      <c r="A840" s="10"/>
      <c r="B840" s="13"/>
      <c r="C840" s="13"/>
    </row>
    <row r="841" spans="1:3" ht="13" x14ac:dyDescent="0.15">
      <c r="A841" s="10"/>
      <c r="B841" s="13"/>
      <c r="C841" s="13"/>
    </row>
    <row r="842" spans="1:3" ht="13" x14ac:dyDescent="0.15">
      <c r="A842" s="10"/>
      <c r="B842" s="13"/>
      <c r="C842" s="13"/>
    </row>
    <row r="843" spans="1:3" ht="13" x14ac:dyDescent="0.15">
      <c r="A843" s="10"/>
      <c r="B843" s="13"/>
      <c r="C843" s="13"/>
    </row>
    <row r="844" spans="1:3" ht="13" x14ac:dyDescent="0.15">
      <c r="A844" s="10"/>
      <c r="B844" s="13"/>
      <c r="C844" s="13"/>
    </row>
    <row r="845" spans="1:3" ht="13" x14ac:dyDescent="0.15">
      <c r="A845" s="10"/>
      <c r="B845" s="13"/>
      <c r="C845" s="13"/>
    </row>
    <row r="846" spans="1:3" ht="13" x14ac:dyDescent="0.15">
      <c r="A846" s="10"/>
      <c r="B846" s="13"/>
      <c r="C846" s="13"/>
    </row>
    <row r="847" spans="1:3" ht="13" x14ac:dyDescent="0.15">
      <c r="A847" s="10"/>
      <c r="B847" s="13"/>
      <c r="C847" s="13"/>
    </row>
    <row r="848" spans="1:3" ht="13" x14ac:dyDescent="0.15">
      <c r="A848" s="10"/>
      <c r="B848" s="13"/>
      <c r="C848" s="13"/>
    </row>
    <row r="849" spans="1:3" ht="13" x14ac:dyDescent="0.15">
      <c r="A849" s="10"/>
      <c r="B849" s="13"/>
      <c r="C849" s="13"/>
    </row>
    <row r="850" spans="1:3" ht="13" x14ac:dyDescent="0.15">
      <c r="A850" s="10"/>
      <c r="B850" s="13"/>
      <c r="C850" s="13"/>
    </row>
    <row r="851" spans="1:3" ht="13" x14ac:dyDescent="0.15">
      <c r="A851" s="10"/>
      <c r="B851" s="13"/>
      <c r="C851" s="13"/>
    </row>
    <row r="852" spans="1:3" ht="13" x14ac:dyDescent="0.15">
      <c r="A852" s="10"/>
      <c r="B852" s="13"/>
      <c r="C852" s="13"/>
    </row>
    <row r="853" spans="1:3" ht="13" x14ac:dyDescent="0.15">
      <c r="A853" s="10"/>
      <c r="B853" s="13"/>
      <c r="C853" s="13"/>
    </row>
    <row r="854" spans="1:3" ht="13" x14ac:dyDescent="0.15">
      <c r="A854" s="10"/>
      <c r="B854" s="13"/>
      <c r="C854" s="13"/>
    </row>
    <row r="855" spans="1:3" ht="13" x14ac:dyDescent="0.15">
      <c r="A855" s="10"/>
      <c r="B855" s="13"/>
      <c r="C855" s="13"/>
    </row>
    <row r="856" spans="1:3" ht="13" x14ac:dyDescent="0.15">
      <c r="A856" s="10"/>
      <c r="B856" s="13"/>
      <c r="C856" s="13"/>
    </row>
    <row r="857" spans="1:3" ht="13" x14ac:dyDescent="0.15">
      <c r="A857" s="10"/>
      <c r="B857" s="13"/>
      <c r="C857" s="13"/>
    </row>
    <row r="858" spans="1:3" ht="13" x14ac:dyDescent="0.15">
      <c r="A858" s="10"/>
      <c r="B858" s="13"/>
      <c r="C858" s="13"/>
    </row>
    <row r="859" spans="1:3" ht="13" x14ac:dyDescent="0.15">
      <c r="A859" s="10"/>
      <c r="B859" s="13"/>
      <c r="C859" s="13"/>
    </row>
    <row r="860" spans="1:3" ht="13" x14ac:dyDescent="0.15">
      <c r="A860" s="10"/>
      <c r="B860" s="13"/>
      <c r="C860" s="13"/>
    </row>
    <row r="861" spans="1:3" ht="13" x14ac:dyDescent="0.15">
      <c r="A861" s="10"/>
      <c r="B861" s="13"/>
      <c r="C861" s="13"/>
    </row>
    <row r="862" spans="1:3" ht="13" x14ac:dyDescent="0.15">
      <c r="A862" s="10"/>
      <c r="B862" s="13"/>
      <c r="C862" s="13"/>
    </row>
    <row r="863" spans="1:3" ht="13" x14ac:dyDescent="0.15">
      <c r="A863" s="10"/>
      <c r="B863" s="13"/>
      <c r="C863" s="13"/>
    </row>
    <row r="864" spans="1:3" ht="13" x14ac:dyDescent="0.15">
      <c r="A864" s="10"/>
      <c r="B864" s="13"/>
      <c r="C864" s="13"/>
    </row>
    <row r="865" spans="1:3" ht="13" x14ac:dyDescent="0.15">
      <c r="A865" s="10"/>
      <c r="B865" s="13"/>
      <c r="C865" s="13"/>
    </row>
    <row r="866" spans="1:3" ht="13" x14ac:dyDescent="0.15">
      <c r="A866" s="10"/>
      <c r="B866" s="13"/>
      <c r="C866" s="13"/>
    </row>
    <row r="867" spans="1:3" ht="13" x14ac:dyDescent="0.15">
      <c r="A867" s="10"/>
      <c r="B867" s="13"/>
      <c r="C867" s="13"/>
    </row>
    <row r="868" spans="1:3" ht="13" x14ac:dyDescent="0.15">
      <c r="A868" s="10"/>
      <c r="B868" s="13"/>
      <c r="C868" s="13"/>
    </row>
    <row r="869" spans="1:3" ht="13" x14ac:dyDescent="0.15">
      <c r="A869" s="10"/>
      <c r="B869" s="13"/>
      <c r="C869" s="13"/>
    </row>
    <row r="870" spans="1:3" ht="13" x14ac:dyDescent="0.15">
      <c r="A870" s="10"/>
      <c r="B870" s="13"/>
      <c r="C870" s="13"/>
    </row>
    <row r="871" spans="1:3" ht="13" x14ac:dyDescent="0.15">
      <c r="A871" s="10"/>
      <c r="B871" s="13"/>
      <c r="C871" s="13"/>
    </row>
    <row r="872" spans="1:3" ht="13" x14ac:dyDescent="0.15">
      <c r="A872" s="10"/>
      <c r="B872" s="13"/>
      <c r="C872" s="13"/>
    </row>
    <row r="873" spans="1:3" ht="13" x14ac:dyDescent="0.15">
      <c r="A873" s="10"/>
      <c r="B873" s="13"/>
      <c r="C873" s="13"/>
    </row>
    <row r="874" spans="1:3" ht="13" x14ac:dyDescent="0.15">
      <c r="A874" s="10"/>
      <c r="B874" s="13"/>
      <c r="C874" s="13"/>
    </row>
    <row r="875" spans="1:3" ht="13" x14ac:dyDescent="0.15">
      <c r="A875" s="10"/>
      <c r="B875" s="13"/>
      <c r="C875" s="13"/>
    </row>
    <row r="876" spans="1:3" ht="13" x14ac:dyDescent="0.15">
      <c r="A876" s="10"/>
      <c r="B876" s="13"/>
      <c r="C876" s="13"/>
    </row>
    <row r="877" spans="1:3" ht="13" x14ac:dyDescent="0.15">
      <c r="A877" s="10"/>
      <c r="B877" s="13"/>
      <c r="C877" s="13"/>
    </row>
    <row r="878" spans="1:3" ht="13" x14ac:dyDescent="0.15">
      <c r="A878" s="10"/>
      <c r="B878" s="13"/>
      <c r="C878" s="13"/>
    </row>
    <row r="879" spans="1:3" ht="13" x14ac:dyDescent="0.15">
      <c r="A879" s="10"/>
      <c r="B879" s="13"/>
      <c r="C879" s="13"/>
    </row>
    <row r="880" spans="1:3" ht="13" x14ac:dyDescent="0.15">
      <c r="A880" s="10"/>
      <c r="B880" s="13"/>
      <c r="C880" s="13"/>
    </row>
    <row r="881" spans="1:3" ht="13" x14ac:dyDescent="0.15">
      <c r="A881" s="10"/>
      <c r="B881" s="13"/>
      <c r="C881" s="13"/>
    </row>
    <row r="882" spans="1:3" ht="13" x14ac:dyDescent="0.15">
      <c r="A882" s="10"/>
      <c r="B882" s="13"/>
      <c r="C882" s="13"/>
    </row>
    <row r="883" spans="1:3" ht="13" x14ac:dyDescent="0.15">
      <c r="A883" s="10"/>
      <c r="B883" s="13"/>
      <c r="C883" s="13"/>
    </row>
    <row r="884" spans="1:3" ht="13" x14ac:dyDescent="0.15">
      <c r="A884" s="10"/>
      <c r="B884" s="13"/>
      <c r="C884" s="13"/>
    </row>
    <row r="885" spans="1:3" ht="13" x14ac:dyDescent="0.15">
      <c r="A885" s="10"/>
      <c r="B885" s="13"/>
      <c r="C885" s="13"/>
    </row>
    <row r="886" spans="1:3" ht="13" x14ac:dyDescent="0.15">
      <c r="A886" s="10"/>
      <c r="B886" s="13"/>
      <c r="C886" s="13"/>
    </row>
    <row r="887" spans="1:3" ht="13" x14ac:dyDescent="0.15">
      <c r="A887" s="10"/>
      <c r="B887" s="13"/>
      <c r="C887" s="13"/>
    </row>
    <row r="888" spans="1:3" ht="13" x14ac:dyDescent="0.15">
      <c r="A888" s="10"/>
      <c r="B888" s="13"/>
      <c r="C888" s="13"/>
    </row>
    <row r="889" spans="1:3" ht="13" x14ac:dyDescent="0.15">
      <c r="A889" s="10"/>
      <c r="B889" s="13"/>
      <c r="C889" s="13"/>
    </row>
    <row r="890" spans="1:3" ht="13" x14ac:dyDescent="0.15">
      <c r="A890" s="10"/>
      <c r="B890" s="13"/>
      <c r="C890" s="13"/>
    </row>
    <row r="891" spans="1:3" ht="13" x14ac:dyDescent="0.15">
      <c r="A891" s="10"/>
      <c r="B891" s="13"/>
      <c r="C891" s="13"/>
    </row>
    <row r="892" spans="1:3" ht="13" x14ac:dyDescent="0.15">
      <c r="A892" s="10"/>
      <c r="B892" s="13"/>
      <c r="C892" s="13"/>
    </row>
    <row r="893" spans="1:3" ht="13" x14ac:dyDescent="0.15">
      <c r="A893" s="10"/>
      <c r="B893" s="13"/>
      <c r="C893" s="13"/>
    </row>
    <row r="894" spans="1:3" ht="13" x14ac:dyDescent="0.15">
      <c r="A894" s="10"/>
      <c r="B894" s="13"/>
      <c r="C894" s="13"/>
    </row>
    <row r="895" spans="1:3" ht="13" x14ac:dyDescent="0.15">
      <c r="A895" s="10"/>
      <c r="B895" s="13"/>
      <c r="C895" s="13"/>
    </row>
    <row r="896" spans="1:3" ht="13" x14ac:dyDescent="0.15">
      <c r="A896" s="10"/>
      <c r="B896" s="13"/>
      <c r="C896" s="13"/>
    </row>
    <row r="897" spans="1:3" ht="13" x14ac:dyDescent="0.15">
      <c r="A897" s="10"/>
      <c r="B897" s="13"/>
      <c r="C897" s="13"/>
    </row>
    <row r="898" spans="1:3" ht="13" x14ac:dyDescent="0.15">
      <c r="A898" s="10"/>
      <c r="B898" s="13"/>
      <c r="C898" s="13"/>
    </row>
    <row r="899" spans="1:3" ht="13" x14ac:dyDescent="0.15">
      <c r="A899" s="10"/>
      <c r="B899" s="13"/>
      <c r="C899" s="13"/>
    </row>
    <row r="900" spans="1:3" ht="13" x14ac:dyDescent="0.15">
      <c r="A900" s="10"/>
      <c r="B900" s="13"/>
      <c r="C900" s="13"/>
    </row>
    <row r="901" spans="1:3" ht="13" x14ac:dyDescent="0.15">
      <c r="A901" s="10"/>
      <c r="B901" s="13"/>
      <c r="C901" s="13"/>
    </row>
    <row r="902" spans="1:3" ht="13" x14ac:dyDescent="0.15">
      <c r="A902" s="10"/>
      <c r="B902" s="13"/>
      <c r="C902" s="13"/>
    </row>
    <row r="903" spans="1:3" ht="13" x14ac:dyDescent="0.15">
      <c r="A903" s="10"/>
      <c r="B903" s="13"/>
      <c r="C903" s="13"/>
    </row>
    <row r="904" spans="1:3" ht="13" x14ac:dyDescent="0.15">
      <c r="A904" s="10"/>
      <c r="B904" s="13"/>
      <c r="C904" s="13"/>
    </row>
    <row r="905" spans="1:3" ht="13" x14ac:dyDescent="0.15">
      <c r="A905" s="10"/>
      <c r="B905" s="13"/>
      <c r="C905" s="13"/>
    </row>
    <row r="906" spans="1:3" ht="13" x14ac:dyDescent="0.15">
      <c r="A906" s="10"/>
      <c r="B906" s="13"/>
      <c r="C906" s="13"/>
    </row>
    <row r="907" spans="1:3" ht="13" x14ac:dyDescent="0.15">
      <c r="A907" s="10"/>
      <c r="B907" s="13"/>
      <c r="C907" s="13"/>
    </row>
    <row r="908" spans="1:3" ht="13" x14ac:dyDescent="0.15">
      <c r="A908" s="10"/>
      <c r="B908" s="13"/>
      <c r="C908" s="13"/>
    </row>
    <row r="909" spans="1:3" ht="13" x14ac:dyDescent="0.15">
      <c r="A909" s="10"/>
      <c r="B909" s="13"/>
      <c r="C909" s="13"/>
    </row>
    <row r="910" spans="1:3" ht="13" x14ac:dyDescent="0.15">
      <c r="A910" s="10"/>
      <c r="B910" s="13"/>
      <c r="C910" s="13"/>
    </row>
    <row r="911" spans="1:3" ht="13" x14ac:dyDescent="0.15">
      <c r="A911" s="10"/>
      <c r="B911" s="13"/>
      <c r="C911" s="13"/>
    </row>
    <row r="912" spans="1:3" ht="13" x14ac:dyDescent="0.15">
      <c r="A912" s="10"/>
      <c r="B912" s="13"/>
      <c r="C912" s="13"/>
    </row>
    <row r="913" spans="1:3" ht="13" x14ac:dyDescent="0.15">
      <c r="A913" s="10"/>
      <c r="B913" s="13"/>
      <c r="C913" s="13"/>
    </row>
    <row r="914" spans="1:3" ht="13" x14ac:dyDescent="0.15">
      <c r="A914" s="10"/>
      <c r="B914" s="13"/>
      <c r="C914" s="13"/>
    </row>
    <row r="915" spans="1:3" ht="13" x14ac:dyDescent="0.15">
      <c r="A915" s="10"/>
      <c r="B915" s="13"/>
      <c r="C915" s="13"/>
    </row>
    <row r="916" spans="1:3" ht="13" x14ac:dyDescent="0.15">
      <c r="A916" s="10"/>
      <c r="B916" s="13"/>
      <c r="C916" s="13"/>
    </row>
    <row r="917" spans="1:3" ht="13" x14ac:dyDescent="0.15">
      <c r="A917" s="10"/>
      <c r="B917" s="13"/>
      <c r="C917" s="13"/>
    </row>
    <row r="918" spans="1:3" ht="13" x14ac:dyDescent="0.15">
      <c r="A918" s="10"/>
      <c r="B918" s="13"/>
      <c r="C918" s="13"/>
    </row>
    <row r="919" spans="1:3" ht="13" x14ac:dyDescent="0.15">
      <c r="A919" s="10"/>
      <c r="B919" s="13"/>
      <c r="C919" s="13"/>
    </row>
    <row r="920" spans="1:3" ht="13" x14ac:dyDescent="0.15">
      <c r="A920" s="10"/>
      <c r="B920" s="13"/>
      <c r="C920" s="13"/>
    </row>
    <row r="921" spans="1:3" ht="13" x14ac:dyDescent="0.15">
      <c r="A921" s="10"/>
      <c r="B921" s="13"/>
      <c r="C921" s="13"/>
    </row>
    <row r="922" spans="1:3" ht="13" x14ac:dyDescent="0.15">
      <c r="A922" s="10"/>
      <c r="B922" s="13"/>
      <c r="C922" s="13"/>
    </row>
    <row r="923" spans="1:3" ht="13" x14ac:dyDescent="0.15">
      <c r="A923" s="10"/>
      <c r="B923" s="13"/>
      <c r="C923" s="13"/>
    </row>
    <row r="924" spans="1:3" ht="13" x14ac:dyDescent="0.15">
      <c r="A924" s="10"/>
      <c r="B924" s="13"/>
      <c r="C924" s="13"/>
    </row>
    <row r="925" spans="1:3" ht="13" x14ac:dyDescent="0.15">
      <c r="A925" s="10"/>
      <c r="B925" s="13"/>
      <c r="C925" s="13"/>
    </row>
    <row r="926" spans="1:3" ht="13" x14ac:dyDescent="0.15">
      <c r="A926" s="10"/>
      <c r="B926" s="13"/>
      <c r="C926" s="13"/>
    </row>
    <row r="927" spans="1:3" ht="13" x14ac:dyDescent="0.15">
      <c r="A927" s="10"/>
      <c r="B927" s="13"/>
      <c r="C927" s="13"/>
    </row>
    <row r="928" spans="1:3" ht="13" x14ac:dyDescent="0.15">
      <c r="A928" s="10"/>
      <c r="B928" s="13"/>
      <c r="C928" s="13"/>
    </row>
    <row r="929" spans="1:3" ht="13" x14ac:dyDescent="0.15">
      <c r="A929" s="10"/>
      <c r="B929" s="13"/>
      <c r="C929" s="13"/>
    </row>
    <row r="930" spans="1:3" ht="13" x14ac:dyDescent="0.15">
      <c r="A930" s="10"/>
      <c r="B930" s="13"/>
      <c r="C930" s="13"/>
    </row>
    <row r="931" spans="1:3" ht="13" x14ac:dyDescent="0.15">
      <c r="A931" s="10"/>
      <c r="B931" s="13"/>
      <c r="C931" s="13"/>
    </row>
    <row r="932" spans="1:3" ht="13" x14ac:dyDescent="0.15">
      <c r="A932" s="10"/>
      <c r="B932" s="13"/>
      <c r="C932" s="13"/>
    </row>
    <row r="933" spans="1:3" ht="13" x14ac:dyDescent="0.15">
      <c r="A933" s="10"/>
      <c r="B933" s="13"/>
      <c r="C933" s="13"/>
    </row>
    <row r="934" spans="1:3" ht="13" x14ac:dyDescent="0.15">
      <c r="A934" s="10"/>
      <c r="B934" s="13"/>
      <c r="C934" s="13"/>
    </row>
    <row r="935" spans="1:3" ht="13" x14ac:dyDescent="0.15">
      <c r="A935" s="10"/>
      <c r="B935" s="13"/>
      <c r="C935" s="13"/>
    </row>
    <row r="936" spans="1:3" ht="13" x14ac:dyDescent="0.15">
      <c r="A936" s="10"/>
      <c r="B936" s="13"/>
      <c r="C936" s="13"/>
    </row>
    <row r="937" spans="1:3" ht="13" x14ac:dyDescent="0.15">
      <c r="A937" s="10"/>
      <c r="B937" s="13"/>
      <c r="C937" s="13"/>
    </row>
    <row r="938" spans="1:3" ht="13" x14ac:dyDescent="0.15">
      <c r="A938" s="10"/>
      <c r="B938" s="13"/>
      <c r="C938" s="13"/>
    </row>
    <row r="939" spans="1:3" ht="13" x14ac:dyDescent="0.15">
      <c r="A939" s="10"/>
      <c r="B939" s="13"/>
      <c r="C939" s="13"/>
    </row>
    <row r="940" spans="1:3" ht="13" x14ac:dyDescent="0.15">
      <c r="A940" s="10"/>
      <c r="B940" s="13"/>
      <c r="C940" s="13"/>
    </row>
    <row r="941" spans="1:3" ht="13" x14ac:dyDescent="0.15">
      <c r="A941" s="10"/>
      <c r="B941" s="13"/>
      <c r="C941" s="13"/>
    </row>
    <row r="942" spans="1:3" ht="13" x14ac:dyDescent="0.15">
      <c r="A942" s="10"/>
      <c r="B942" s="13"/>
      <c r="C942" s="13"/>
    </row>
    <row r="943" spans="1:3" ht="13" x14ac:dyDescent="0.15">
      <c r="A943" s="10"/>
      <c r="B943" s="13"/>
      <c r="C943" s="13"/>
    </row>
    <row r="944" spans="1:3" ht="13" x14ac:dyDescent="0.15">
      <c r="A944" s="10"/>
      <c r="B944" s="13"/>
      <c r="C944" s="13"/>
    </row>
    <row r="945" spans="1:3" ht="13" x14ac:dyDescent="0.15">
      <c r="A945" s="10"/>
      <c r="B945" s="13"/>
      <c r="C945" s="13"/>
    </row>
    <row r="946" spans="1:3" ht="13" x14ac:dyDescent="0.15">
      <c r="A946" s="10"/>
      <c r="B946" s="13"/>
      <c r="C946" s="13"/>
    </row>
    <row r="947" spans="1:3" ht="13" x14ac:dyDescent="0.15">
      <c r="A947" s="10"/>
      <c r="B947" s="13"/>
      <c r="C947" s="13"/>
    </row>
    <row r="948" spans="1:3" ht="13" x14ac:dyDescent="0.15">
      <c r="A948" s="10"/>
      <c r="B948" s="13"/>
      <c r="C948" s="13"/>
    </row>
    <row r="949" spans="1:3" ht="13" x14ac:dyDescent="0.15">
      <c r="A949" s="10"/>
      <c r="B949" s="13"/>
      <c r="C949" s="13"/>
    </row>
    <row r="950" spans="1:3" ht="13" x14ac:dyDescent="0.15">
      <c r="A950" s="10"/>
      <c r="B950" s="13"/>
      <c r="C950" s="13"/>
    </row>
    <row r="951" spans="1:3" ht="13" x14ac:dyDescent="0.15">
      <c r="A951" s="10"/>
      <c r="B951" s="13"/>
      <c r="C951" s="13"/>
    </row>
    <row r="952" spans="1:3" ht="13" x14ac:dyDescent="0.15">
      <c r="A952" s="10"/>
      <c r="B952" s="13"/>
      <c r="C952" s="13"/>
    </row>
    <row r="953" spans="1:3" ht="13" x14ac:dyDescent="0.15">
      <c r="A953" s="10"/>
      <c r="B953" s="13"/>
      <c r="C953" s="13"/>
    </row>
    <row r="954" spans="1:3" ht="13" x14ac:dyDescent="0.15">
      <c r="A954" s="10"/>
      <c r="B954" s="13"/>
      <c r="C954" s="13"/>
    </row>
    <row r="955" spans="1:3" ht="13" x14ac:dyDescent="0.15">
      <c r="A955" s="10"/>
      <c r="B955" s="13"/>
      <c r="C955" s="13"/>
    </row>
    <row r="956" spans="1:3" ht="13" x14ac:dyDescent="0.15">
      <c r="A956" s="10"/>
      <c r="B956" s="13"/>
      <c r="C956" s="13"/>
    </row>
    <row r="957" spans="1:3" ht="13" x14ac:dyDescent="0.15">
      <c r="A957" s="10"/>
      <c r="B957" s="13"/>
      <c r="C957" s="13"/>
    </row>
    <row r="958" spans="1:3" ht="13" x14ac:dyDescent="0.15">
      <c r="A958" s="10"/>
      <c r="B958" s="13"/>
      <c r="C958" s="13"/>
    </row>
    <row r="959" spans="1:3" ht="13" x14ac:dyDescent="0.15">
      <c r="A959" s="10"/>
      <c r="B959" s="13"/>
      <c r="C959" s="13"/>
    </row>
    <row r="960" spans="1:3" ht="13" x14ac:dyDescent="0.15">
      <c r="A960" s="10"/>
      <c r="B960" s="13"/>
      <c r="C960" s="13"/>
    </row>
    <row r="961" spans="1:3" ht="13" x14ac:dyDescent="0.15">
      <c r="A961" s="10"/>
      <c r="B961" s="13"/>
      <c r="C961" s="13"/>
    </row>
    <row r="962" spans="1:3" ht="13" x14ac:dyDescent="0.15">
      <c r="A962" s="10"/>
      <c r="B962" s="13"/>
      <c r="C962" s="13"/>
    </row>
    <row r="963" spans="1:3" ht="13" x14ac:dyDescent="0.15">
      <c r="A963" s="10"/>
      <c r="B963" s="13"/>
      <c r="C963" s="13"/>
    </row>
    <row r="964" spans="1:3" ht="13" x14ac:dyDescent="0.15">
      <c r="A964" s="10"/>
      <c r="B964" s="13"/>
      <c r="C964" s="13"/>
    </row>
    <row r="965" spans="1:3" ht="13" x14ac:dyDescent="0.15">
      <c r="A965" s="10"/>
      <c r="B965" s="13"/>
      <c r="C965" s="13"/>
    </row>
    <row r="966" spans="1:3" ht="13" x14ac:dyDescent="0.15">
      <c r="A966" s="10"/>
      <c r="B966" s="13"/>
      <c r="C966" s="13"/>
    </row>
    <row r="967" spans="1:3" ht="13" x14ac:dyDescent="0.15">
      <c r="A967" s="10"/>
      <c r="B967" s="13"/>
      <c r="C967" s="13"/>
    </row>
    <row r="968" spans="1:3" ht="13" x14ac:dyDescent="0.15">
      <c r="A968" s="10"/>
      <c r="B968" s="13"/>
      <c r="C968" s="13"/>
    </row>
    <row r="969" spans="1:3" ht="13" x14ac:dyDescent="0.15">
      <c r="A969" s="10"/>
      <c r="B969" s="13"/>
      <c r="C969" s="13"/>
    </row>
    <row r="970" spans="1:3" ht="13" x14ac:dyDescent="0.15">
      <c r="A970" s="10"/>
      <c r="B970" s="13"/>
      <c r="C970" s="13"/>
    </row>
    <row r="971" spans="1:3" ht="13" x14ac:dyDescent="0.15">
      <c r="A971" s="10"/>
      <c r="B971" s="13"/>
      <c r="C971" s="13"/>
    </row>
    <row r="972" spans="1:3" ht="13" x14ac:dyDescent="0.15">
      <c r="A972" s="10"/>
      <c r="B972" s="13"/>
      <c r="C972" s="13"/>
    </row>
    <row r="973" spans="1:3" ht="13" x14ac:dyDescent="0.15">
      <c r="A973" s="10"/>
      <c r="B973" s="13"/>
      <c r="C973" s="13"/>
    </row>
    <row r="974" spans="1:3" ht="13" x14ac:dyDescent="0.15">
      <c r="A974" s="10"/>
      <c r="B974" s="13"/>
      <c r="C974" s="13"/>
    </row>
    <row r="975" spans="1:3" ht="13" x14ac:dyDescent="0.15">
      <c r="A975" s="10"/>
      <c r="B975" s="13"/>
      <c r="C975" s="13"/>
    </row>
    <row r="976" spans="1:3" ht="13" x14ac:dyDescent="0.15">
      <c r="A976" s="10"/>
      <c r="B976" s="13"/>
      <c r="C976" s="13"/>
    </row>
    <row r="977" spans="1:3" ht="13" x14ac:dyDescent="0.15">
      <c r="A977" s="10"/>
      <c r="B977" s="13"/>
      <c r="C977" s="13"/>
    </row>
    <row r="978" spans="1:3" ht="13" x14ac:dyDescent="0.15">
      <c r="A978" s="10"/>
      <c r="B978" s="13"/>
      <c r="C978" s="13"/>
    </row>
    <row r="979" spans="1:3" ht="13" x14ac:dyDescent="0.15">
      <c r="A979" s="10"/>
      <c r="B979" s="13"/>
      <c r="C979" s="13"/>
    </row>
    <row r="980" spans="1:3" ht="13" x14ac:dyDescent="0.15">
      <c r="A980" s="10"/>
      <c r="B980" s="13"/>
      <c r="C980" s="13"/>
    </row>
    <row r="981" spans="1:3" ht="13" x14ac:dyDescent="0.15">
      <c r="A981" s="10"/>
      <c r="B981" s="13"/>
      <c r="C981" s="13"/>
    </row>
    <row r="982" spans="1:3" ht="13" x14ac:dyDescent="0.15">
      <c r="A982" s="10"/>
      <c r="B982" s="13"/>
      <c r="C982" s="13"/>
    </row>
    <row r="983" spans="1:3" ht="13" x14ac:dyDescent="0.15">
      <c r="A983" s="10"/>
      <c r="B983" s="13"/>
      <c r="C983" s="13"/>
    </row>
    <row r="984" spans="1:3" ht="13" x14ac:dyDescent="0.15">
      <c r="A984" s="10"/>
      <c r="B984" s="13"/>
      <c r="C984" s="13"/>
    </row>
    <row r="985" spans="1:3" ht="13" x14ac:dyDescent="0.15">
      <c r="A985" s="10"/>
      <c r="B985" s="13"/>
      <c r="C985" s="13"/>
    </row>
    <row r="986" spans="1:3" ht="13" x14ac:dyDescent="0.15">
      <c r="A986" s="10"/>
      <c r="B986" s="13"/>
      <c r="C986" s="13"/>
    </row>
    <row r="987" spans="1:3" ht="13" x14ac:dyDescent="0.15">
      <c r="A987" s="10"/>
      <c r="B987" s="13"/>
      <c r="C987" s="13"/>
    </row>
    <row r="988" spans="1:3" ht="13" x14ac:dyDescent="0.15">
      <c r="A988" s="10"/>
      <c r="B988" s="13"/>
      <c r="C988" s="13"/>
    </row>
    <row r="989" spans="1:3" ht="13" x14ac:dyDescent="0.15">
      <c r="A989" s="10"/>
      <c r="B989" s="13"/>
      <c r="C989" s="13"/>
    </row>
    <row r="990" spans="1:3" ht="13" x14ac:dyDescent="0.15">
      <c r="A990" s="10"/>
      <c r="B990" s="13"/>
      <c r="C990" s="13"/>
    </row>
    <row r="991" spans="1:3" ht="13" x14ac:dyDescent="0.15">
      <c r="A991" s="10"/>
      <c r="B991" s="13"/>
      <c r="C991" s="13"/>
    </row>
    <row r="992" spans="1:3" ht="13" x14ac:dyDescent="0.15">
      <c r="A992" s="10"/>
      <c r="B992" s="13"/>
      <c r="C992" s="13"/>
    </row>
    <row r="993" spans="1:3" ht="13" x14ac:dyDescent="0.15">
      <c r="A993" s="10"/>
      <c r="B993" s="13"/>
      <c r="C993" s="13"/>
    </row>
    <row r="994" spans="1:3" ht="13" x14ac:dyDescent="0.15">
      <c r="A994" s="10"/>
      <c r="B994" s="13"/>
      <c r="C994" s="13"/>
    </row>
    <row r="995" spans="1:3" ht="13" x14ac:dyDescent="0.15">
      <c r="A995" s="10"/>
      <c r="B995" s="13"/>
      <c r="C995" s="13"/>
    </row>
    <row r="996" spans="1:3" ht="13" x14ac:dyDescent="0.15">
      <c r="A996" s="10"/>
      <c r="B996" s="13"/>
      <c r="C996" s="13"/>
    </row>
    <row r="997" spans="1:3" ht="13" x14ac:dyDescent="0.15">
      <c r="A997" s="10"/>
      <c r="B997" s="13"/>
      <c r="C997" s="13"/>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outlinePr summaryBelow="0" summaryRight="0"/>
  </sheetPr>
  <dimension ref="A1:D997"/>
  <sheetViews>
    <sheetView workbookViewId="0"/>
  </sheetViews>
  <sheetFormatPr baseColWidth="10" defaultColWidth="12.6640625" defaultRowHeight="15.75" customHeight="1" x14ac:dyDescent="0.15"/>
  <cols>
    <col min="1" max="1" width="71.5" customWidth="1"/>
    <col min="2" max="4" width="37.6640625" customWidth="1"/>
  </cols>
  <sheetData>
    <row r="1" spans="1:4" ht="15.75" customHeight="1" x14ac:dyDescent="0.15">
      <c r="A1" s="1"/>
      <c r="B1" s="10" t="s">
        <v>22</v>
      </c>
      <c r="C1" s="12" t="s">
        <v>0</v>
      </c>
      <c r="D1" s="2" t="s">
        <v>1</v>
      </c>
    </row>
    <row r="2" spans="1:4" ht="15.75" customHeight="1" x14ac:dyDescent="0.15">
      <c r="A2" s="3" t="s">
        <v>2</v>
      </c>
      <c r="B2" s="24" t="s">
        <v>23</v>
      </c>
      <c r="C2" s="15"/>
      <c r="D2" s="4"/>
    </row>
    <row r="3" spans="1:4" ht="15.75" customHeight="1" x14ac:dyDescent="0.15">
      <c r="A3" s="5" t="s">
        <v>3</v>
      </c>
      <c r="B3" s="24" t="s">
        <v>24</v>
      </c>
      <c r="C3" s="17"/>
      <c r="D3" s="6"/>
    </row>
    <row r="4" spans="1:4" ht="15.75" customHeight="1" x14ac:dyDescent="0.15">
      <c r="A4" s="5" t="s">
        <v>4</v>
      </c>
      <c r="B4" s="24" t="s">
        <v>25</v>
      </c>
      <c r="C4" s="17"/>
      <c r="D4" s="6"/>
    </row>
    <row r="5" spans="1:4" ht="15.75" customHeight="1" x14ac:dyDescent="0.15">
      <c r="A5" s="5" t="s">
        <v>5</v>
      </c>
      <c r="B5" s="24" t="s">
        <v>26</v>
      </c>
      <c r="C5" s="17"/>
      <c r="D5" s="6"/>
    </row>
    <row r="6" spans="1:4" ht="15.75" customHeight="1" x14ac:dyDescent="0.15">
      <c r="A6" s="5" t="s">
        <v>6</v>
      </c>
      <c r="B6" s="25" t="s">
        <v>27</v>
      </c>
      <c r="C6" s="17"/>
      <c r="D6" s="6"/>
    </row>
    <row r="7" spans="1:4" ht="15.75" customHeight="1" x14ac:dyDescent="0.15">
      <c r="A7" s="5" t="s">
        <v>7</v>
      </c>
      <c r="B7" s="25" t="s">
        <v>28</v>
      </c>
      <c r="C7" s="17"/>
      <c r="D7" s="6"/>
    </row>
    <row r="8" spans="1:4" ht="15.75" customHeight="1" x14ac:dyDescent="0.15">
      <c r="A8" s="5" t="s">
        <v>8</v>
      </c>
      <c r="B8" s="24" t="s">
        <v>29</v>
      </c>
      <c r="C8" s="17"/>
      <c r="D8" s="6"/>
    </row>
    <row r="9" spans="1:4" ht="15.75" customHeight="1" x14ac:dyDescent="0.15">
      <c r="A9" s="5" t="s">
        <v>9</v>
      </c>
      <c r="B9" s="25" t="s">
        <v>30</v>
      </c>
      <c r="C9" s="17"/>
      <c r="D9" s="6"/>
    </row>
    <row r="10" spans="1:4" ht="15.75" customHeight="1" x14ac:dyDescent="0.15">
      <c r="A10" s="5" t="s">
        <v>10</v>
      </c>
      <c r="B10" s="25" t="s">
        <v>31</v>
      </c>
      <c r="C10" s="17"/>
      <c r="D10" s="6"/>
    </row>
    <row r="11" spans="1:4" ht="15.75" customHeight="1" x14ac:dyDescent="0.15">
      <c r="A11" s="5" t="s">
        <v>11</v>
      </c>
      <c r="B11" s="24" t="s">
        <v>32</v>
      </c>
      <c r="C11" s="17"/>
      <c r="D11" s="6"/>
    </row>
    <row r="12" spans="1:4" ht="15.75" customHeight="1" x14ac:dyDescent="0.15">
      <c r="A12" s="5" t="s">
        <v>12</v>
      </c>
      <c r="B12" s="24" t="s">
        <v>33</v>
      </c>
      <c r="C12" s="17"/>
      <c r="D12" s="6"/>
    </row>
    <row r="13" spans="1:4" ht="15.75" customHeight="1" x14ac:dyDescent="0.15">
      <c r="A13" s="5" t="s">
        <v>13</v>
      </c>
      <c r="B13" s="24" t="s">
        <v>34</v>
      </c>
      <c r="C13" s="17"/>
      <c r="D13" s="6"/>
    </row>
    <row r="14" spans="1:4" ht="15.75" customHeight="1" x14ac:dyDescent="0.15">
      <c r="A14" s="5" t="s">
        <v>14</v>
      </c>
      <c r="B14" s="25" t="s">
        <v>35</v>
      </c>
      <c r="C14" s="17"/>
      <c r="D14" s="6"/>
    </row>
    <row r="15" spans="1:4" ht="15.75" customHeight="1" x14ac:dyDescent="0.15">
      <c r="A15" s="5" t="s">
        <v>15</v>
      </c>
      <c r="B15" s="24" t="s">
        <v>36</v>
      </c>
      <c r="C15" s="17"/>
      <c r="D15" s="6"/>
    </row>
    <row r="16" spans="1:4" ht="15.75" customHeight="1" x14ac:dyDescent="0.15">
      <c r="A16" s="5" t="s">
        <v>16</v>
      </c>
      <c r="B16" s="24" t="s">
        <v>37</v>
      </c>
      <c r="C16" s="17"/>
      <c r="D16" s="6"/>
    </row>
    <row r="17" spans="1:4" ht="15.75" customHeight="1" x14ac:dyDescent="0.15">
      <c r="A17" s="5" t="s">
        <v>17</v>
      </c>
      <c r="B17" s="26" t="s">
        <v>38</v>
      </c>
      <c r="C17" s="17"/>
      <c r="D17" s="6"/>
    </row>
    <row r="18" spans="1:4" ht="15.75" customHeight="1" x14ac:dyDescent="0.15">
      <c r="A18" s="5" t="s">
        <v>18</v>
      </c>
      <c r="B18" s="24" t="s">
        <v>39</v>
      </c>
      <c r="C18" s="17"/>
      <c r="D18" s="6"/>
    </row>
    <row r="19" spans="1:4" ht="15.75" customHeight="1" x14ac:dyDescent="0.15">
      <c r="A19" s="5" t="s">
        <v>19</v>
      </c>
      <c r="B19" s="24" t="s">
        <v>40</v>
      </c>
      <c r="C19" s="17"/>
      <c r="D19" s="6"/>
    </row>
    <row r="20" spans="1:4" ht="15.75" customHeight="1" x14ac:dyDescent="0.15">
      <c r="A20" s="5" t="s">
        <v>20</v>
      </c>
      <c r="B20" s="24" t="s">
        <v>41</v>
      </c>
      <c r="C20" s="17"/>
      <c r="D20" s="6"/>
    </row>
    <row r="21" spans="1:4" x14ac:dyDescent="0.2">
      <c r="A21" s="7"/>
      <c r="B21" s="19"/>
      <c r="C21" s="19"/>
      <c r="D21" s="8"/>
    </row>
    <row r="22" spans="1:4" ht="15.75" customHeight="1" x14ac:dyDescent="0.15">
      <c r="A22" s="9" t="s">
        <v>21</v>
      </c>
      <c r="B22" s="19"/>
      <c r="C22" s="19"/>
      <c r="D22" s="8"/>
    </row>
    <row r="23" spans="1:4" ht="15.75" customHeight="1" x14ac:dyDescent="0.15">
      <c r="A23" s="10"/>
      <c r="B23" s="13"/>
      <c r="C23" s="13"/>
    </row>
    <row r="24" spans="1:4" ht="15.75" customHeight="1" x14ac:dyDescent="0.15">
      <c r="A24" s="10"/>
      <c r="B24" s="13"/>
      <c r="C24" s="13"/>
    </row>
    <row r="25" spans="1:4" ht="15.75" customHeight="1" x14ac:dyDescent="0.15">
      <c r="A25" s="10"/>
      <c r="B25" s="13"/>
      <c r="C25" s="13"/>
    </row>
    <row r="26" spans="1:4" ht="15.75" customHeight="1" x14ac:dyDescent="0.15">
      <c r="A26" s="10"/>
      <c r="B26" s="13"/>
      <c r="C26" s="13"/>
    </row>
    <row r="27" spans="1:4" ht="15.75" customHeight="1" x14ac:dyDescent="0.15">
      <c r="A27" s="10"/>
      <c r="B27" s="13"/>
      <c r="C27" s="13"/>
    </row>
    <row r="28" spans="1:4" ht="15.75" customHeight="1" x14ac:dyDescent="0.15">
      <c r="A28" s="10"/>
      <c r="B28" s="13"/>
      <c r="C28" s="13"/>
    </row>
    <row r="29" spans="1:4" ht="15.75" customHeight="1" x14ac:dyDescent="0.15">
      <c r="A29" s="10"/>
      <c r="B29" s="13"/>
      <c r="C29" s="13"/>
    </row>
    <row r="30" spans="1:4" ht="15.75" customHeight="1" x14ac:dyDescent="0.15">
      <c r="A30" s="10"/>
      <c r="B30" s="13"/>
      <c r="C30" s="13"/>
    </row>
    <row r="31" spans="1:4" ht="15.75" customHeight="1" x14ac:dyDescent="0.15">
      <c r="A31" s="10"/>
      <c r="B31" s="13"/>
      <c r="C31" s="13"/>
    </row>
    <row r="32" spans="1:4" ht="15.75" customHeight="1" x14ac:dyDescent="0.15">
      <c r="A32" s="10"/>
      <c r="B32" s="13"/>
      <c r="C32" s="13"/>
    </row>
    <row r="33" spans="1:3" ht="15.75" customHeight="1" x14ac:dyDescent="0.15">
      <c r="A33" s="10"/>
      <c r="B33" s="13"/>
      <c r="C33" s="13"/>
    </row>
    <row r="34" spans="1:3" ht="15.75" customHeight="1" x14ac:dyDescent="0.15">
      <c r="A34" s="10"/>
      <c r="B34" s="13"/>
      <c r="C34" s="13"/>
    </row>
    <row r="35" spans="1:3" ht="15.75" customHeight="1" x14ac:dyDescent="0.15">
      <c r="A35" s="10"/>
      <c r="B35" s="13"/>
      <c r="C35" s="13"/>
    </row>
    <row r="36" spans="1:3" ht="15.75" customHeight="1" x14ac:dyDescent="0.15">
      <c r="A36" s="10"/>
      <c r="B36" s="13"/>
      <c r="C36" s="13"/>
    </row>
    <row r="37" spans="1:3" ht="15.75" customHeight="1" x14ac:dyDescent="0.15">
      <c r="A37" s="10"/>
      <c r="B37" s="13"/>
      <c r="C37" s="13"/>
    </row>
    <row r="38" spans="1:3" ht="15.75" customHeight="1" x14ac:dyDescent="0.15">
      <c r="A38" s="10"/>
      <c r="B38" s="13"/>
      <c r="C38" s="13"/>
    </row>
    <row r="39" spans="1:3" ht="13" x14ac:dyDescent="0.15">
      <c r="A39" s="10"/>
      <c r="B39" s="13"/>
      <c r="C39" s="13"/>
    </row>
    <row r="40" spans="1:3" ht="13" x14ac:dyDescent="0.15">
      <c r="A40" s="10"/>
      <c r="B40" s="13"/>
      <c r="C40" s="13"/>
    </row>
    <row r="41" spans="1:3" ht="13" x14ac:dyDescent="0.15">
      <c r="A41" s="10"/>
      <c r="B41" s="13"/>
      <c r="C41" s="13"/>
    </row>
    <row r="42" spans="1:3" ht="13" x14ac:dyDescent="0.15">
      <c r="A42" s="10"/>
      <c r="B42" s="13"/>
      <c r="C42" s="13"/>
    </row>
    <row r="43" spans="1:3" ht="13" x14ac:dyDescent="0.15">
      <c r="A43" s="10"/>
      <c r="B43" s="13"/>
      <c r="C43" s="13"/>
    </row>
    <row r="44" spans="1:3" ht="13" x14ac:dyDescent="0.15">
      <c r="A44" s="10"/>
      <c r="B44" s="13"/>
      <c r="C44" s="13"/>
    </row>
    <row r="45" spans="1:3" ht="13" x14ac:dyDescent="0.15">
      <c r="A45" s="10"/>
      <c r="B45" s="13"/>
      <c r="C45" s="13"/>
    </row>
    <row r="46" spans="1:3" ht="13" x14ac:dyDescent="0.15">
      <c r="A46" s="10"/>
      <c r="B46" s="13"/>
      <c r="C46" s="13"/>
    </row>
    <row r="47" spans="1:3" ht="13" x14ac:dyDescent="0.15">
      <c r="A47" s="10"/>
      <c r="B47" s="13"/>
      <c r="C47" s="13"/>
    </row>
    <row r="48" spans="1:3" ht="13" x14ac:dyDescent="0.15">
      <c r="A48" s="10"/>
      <c r="B48" s="13"/>
      <c r="C48" s="13"/>
    </row>
    <row r="49" spans="1:3" ht="13" x14ac:dyDescent="0.15">
      <c r="A49" s="10"/>
      <c r="B49" s="13"/>
      <c r="C49" s="13"/>
    </row>
    <row r="50" spans="1:3" ht="13" x14ac:dyDescent="0.15">
      <c r="A50" s="10"/>
      <c r="B50" s="13"/>
      <c r="C50" s="13"/>
    </row>
    <row r="51" spans="1:3" ht="13" x14ac:dyDescent="0.15">
      <c r="A51" s="10"/>
      <c r="B51" s="13"/>
      <c r="C51" s="13"/>
    </row>
    <row r="52" spans="1:3" ht="13" x14ac:dyDescent="0.15">
      <c r="A52" s="10"/>
      <c r="B52" s="13"/>
      <c r="C52" s="13"/>
    </row>
    <row r="53" spans="1:3" ht="13" x14ac:dyDescent="0.15">
      <c r="A53" s="10"/>
      <c r="B53" s="13"/>
      <c r="C53" s="13"/>
    </row>
    <row r="54" spans="1:3" ht="13" x14ac:dyDescent="0.15">
      <c r="A54" s="10"/>
      <c r="B54" s="13"/>
      <c r="C54" s="13"/>
    </row>
    <row r="55" spans="1:3" ht="13" x14ac:dyDescent="0.15">
      <c r="A55" s="10"/>
      <c r="B55" s="13"/>
      <c r="C55" s="13"/>
    </row>
    <row r="56" spans="1:3" ht="13" x14ac:dyDescent="0.15">
      <c r="A56" s="10"/>
      <c r="B56" s="13"/>
      <c r="C56" s="13"/>
    </row>
    <row r="57" spans="1:3" ht="13" x14ac:dyDescent="0.15">
      <c r="A57" s="10"/>
      <c r="B57" s="13"/>
      <c r="C57" s="13"/>
    </row>
    <row r="58" spans="1:3" ht="13" x14ac:dyDescent="0.15">
      <c r="A58" s="10"/>
      <c r="B58" s="13"/>
      <c r="C58" s="13"/>
    </row>
    <row r="59" spans="1:3" ht="13" x14ac:dyDescent="0.15">
      <c r="A59" s="10"/>
      <c r="B59" s="13"/>
      <c r="C59" s="13"/>
    </row>
    <row r="60" spans="1:3" ht="13" x14ac:dyDescent="0.15">
      <c r="A60" s="10"/>
      <c r="B60" s="13"/>
      <c r="C60" s="13"/>
    </row>
    <row r="61" spans="1:3" ht="13" x14ac:dyDescent="0.15">
      <c r="A61" s="10"/>
      <c r="B61" s="13"/>
      <c r="C61" s="13"/>
    </row>
    <row r="62" spans="1:3" ht="13" x14ac:dyDescent="0.15">
      <c r="A62" s="10"/>
      <c r="B62" s="13"/>
      <c r="C62" s="13"/>
    </row>
    <row r="63" spans="1:3" ht="13" x14ac:dyDescent="0.15">
      <c r="A63" s="10"/>
      <c r="B63" s="13"/>
      <c r="C63" s="13"/>
    </row>
    <row r="64" spans="1:3" ht="13" x14ac:dyDescent="0.15">
      <c r="A64" s="10"/>
      <c r="B64" s="13"/>
      <c r="C64" s="13"/>
    </row>
    <row r="65" spans="1:3" ht="13" x14ac:dyDescent="0.15">
      <c r="A65" s="10"/>
      <c r="B65" s="13"/>
      <c r="C65" s="13"/>
    </row>
    <row r="66" spans="1:3" ht="13" x14ac:dyDescent="0.15">
      <c r="A66" s="10"/>
      <c r="B66" s="13"/>
      <c r="C66" s="13"/>
    </row>
    <row r="67" spans="1:3" ht="13" x14ac:dyDescent="0.15">
      <c r="A67" s="10"/>
      <c r="B67" s="13"/>
      <c r="C67" s="13"/>
    </row>
    <row r="68" spans="1:3" ht="13" x14ac:dyDescent="0.15">
      <c r="A68" s="10"/>
      <c r="B68" s="13"/>
      <c r="C68" s="13"/>
    </row>
    <row r="69" spans="1:3" ht="13" x14ac:dyDescent="0.15">
      <c r="A69" s="10"/>
      <c r="B69" s="13"/>
      <c r="C69" s="13"/>
    </row>
    <row r="70" spans="1:3" ht="13" x14ac:dyDescent="0.15">
      <c r="A70" s="10"/>
      <c r="B70" s="13"/>
      <c r="C70" s="13"/>
    </row>
    <row r="71" spans="1:3" ht="13" x14ac:dyDescent="0.15">
      <c r="A71" s="10"/>
      <c r="B71" s="13"/>
      <c r="C71" s="13"/>
    </row>
    <row r="72" spans="1:3" ht="13" x14ac:dyDescent="0.15">
      <c r="A72" s="10"/>
      <c r="B72" s="13"/>
      <c r="C72" s="13"/>
    </row>
    <row r="73" spans="1:3" ht="13" x14ac:dyDescent="0.15">
      <c r="A73" s="10"/>
      <c r="B73" s="13"/>
      <c r="C73" s="13"/>
    </row>
    <row r="74" spans="1:3" ht="13" x14ac:dyDescent="0.15">
      <c r="A74" s="10"/>
      <c r="B74" s="13"/>
      <c r="C74" s="13"/>
    </row>
    <row r="75" spans="1:3" ht="13" x14ac:dyDescent="0.15">
      <c r="A75" s="10"/>
      <c r="B75" s="13"/>
      <c r="C75" s="13"/>
    </row>
    <row r="76" spans="1:3" ht="13" x14ac:dyDescent="0.15">
      <c r="A76" s="10"/>
      <c r="B76" s="13"/>
      <c r="C76" s="13"/>
    </row>
    <row r="77" spans="1:3" ht="13" x14ac:dyDescent="0.15">
      <c r="A77" s="10"/>
      <c r="B77" s="13"/>
      <c r="C77" s="13"/>
    </row>
    <row r="78" spans="1:3" ht="13" x14ac:dyDescent="0.15">
      <c r="A78" s="10"/>
      <c r="B78" s="13"/>
      <c r="C78" s="13"/>
    </row>
    <row r="79" spans="1:3" ht="13" x14ac:dyDescent="0.15">
      <c r="A79" s="10"/>
      <c r="B79" s="13"/>
      <c r="C79" s="13"/>
    </row>
    <row r="80" spans="1:3" ht="13" x14ac:dyDescent="0.15">
      <c r="A80" s="10"/>
      <c r="B80" s="13"/>
      <c r="C80" s="13"/>
    </row>
    <row r="81" spans="1:3" ht="13" x14ac:dyDescent="0.15">
      <c r="A81" s="10"/>
      <c r="B81" s="13"/>
      <c r="C81" s="13"/>
    </row>
    <row r="82" spans="1:3" ht="13" x14ac:dyDescent="0.15">
      <c r="A82" s="10"/>
      <c r="B82" s="13"/>
      <c r="C82" s="13"/>
    </row>
    <row r="83" spans="1:3" ht="13" x14ac:dyDescent="0.15">
      <c r="A83" s="10"/>
      <c r="B83" s="13"/>
      <c r="C83" s="13"/>
    </row>
    <row r="84" spans="1:3" ht="13" x14ac:dyDescent="0.15">
      <c r="A84" s="10"/>
      <c r="B84" s="13"/>
      <c r="C84" s="13"/>
    </row>
    <row r="85" spans="1:3" ht="13" x14ac:dyDescent="0.15">
      <c r="A85" s="10"/>
      <c r="B85" s="13"/>
      <c r="C85" s="13"/>
    </row>
    <row r="86" spans="1:3" ht="13" x14ac:dyDescent="0.15">
      <c r="A86" s="10"/>
      <c r="B86" s="13"/>
      <c r="C86" s="13"/>
    </row>
    <row r="87" spans="1:3" ht="13" x14ac:dyDescent="0.15">
      <c r="A87" s="10"/>
      <c r="B87" s="13"/>
      <c r="C87" s="13"/>
    </row>
    <row r="88" spans="1:3" ht="13" x14ac:dyDescent="0.15">
      <c r="A88" s="10"/>
      <c r="B88" s="13"/>
      <c r="C88" s="13"/>
    </row>
    <row r="89" spans="1:3" ht="13" x14ac:dyDescent="0.15">
      <c r="A89" s="10"/>
      <c r="B89" s="13"/>
      <c r="C89" s="13"/>
    </row>
    <row r="90" spans="1:3" ht="13" x14ac:dyDescent="0.15">
      <c r="A90" s="10"/>
      <c r="B90" s="13"/>
      <c r="C90" s="13"/>
    </row>
    <row r="91" spans="1:3" ht="13" x14ac:dyDescent="0.15">
      <c r="A91" s="10"/>
      <c r="B91" s="13"/>
      <c r="C91" s="13"/>
    </row>
    <row r="92" spans="1:3" ht="13" x14ac:dyDescent="0.15">
      <c r="A92" s="10"/>
      <c r="B92" s="13"/>
      <c r="C92" s="13"/>
    </row>
    <row r="93" spans="1:3" ht="13" x14ac:dyDescent="0.15">
      <c r="A93" s="10"/>
      <c r="B93" s="13"/>
      <c r="C93" s="13"/>
    </row>
    <row r="94" spans="1:3" ht="13" x14ac:dyDescent="0.15">
      <c r="A94" s="10"/>
      <c r="B94" s="13"/>
      <c r="C94" s="13"/>
    </row>
    <row r="95" spans="1:3" ht="13" x14ac:dyDescent="0.15">
      <c r="A95" s="10"/>
      <c r="B95" s="13"/>
      <c r="C95" s="13"/>
    </row>
    <row r="96" spans="1:3" ht="13" x14ac:dyDescent="0.15">
      <c r="A96" s="10"/>
      <c r="B96" s="13"/>
      <c r="C96" s="13"/>
    </row>
    <row r="97" spans="1:3" ht="13" x14ac:dyDescent="0.15">
      <c r="A97" s="10"/>
      <c r="B97" s="13"/>
      <c r="C97" s="13"/>
    </row>
    <row r="98" spans="1:3" ht="13" x14ac:dyDescent="0.15">
      <c r="A98" s="10"/>
      <c r="B98" s="13"/>
      <c r="C98" s="13"/>
    </row>
    <row r="99" spans="1:3" ht="13" x14ac:dyDescent="0.15">
      <c r="A99" s="10"/>
      <c r="B99" s="13"/>
      <c r="C99" s="13"/>
    </row>
    <row r="100" spans="1:3" ht="13" x14ac:dyDescent="0.15">
      <c r="A100" s="10"/>
      <c r="B100" s="13"/>
      <c r="C100" s="13"/>
    </row>
    <row r="101" spans="1:3" ht="13" x14ac:dyDescent="0.15">
      <c r="A101" s="10"/>
      <c r="B101" s="13"/>
      <c r="C101" s="13"/>
    </row>
    <row r="102" spans="1:3" ht="13" x14ac:dyDescent="0.15">
      <c r="A102" s="10"/>
      <c r="B102" s="13"/>
      <c r="C102" s="13"/>
    </row>
    <row r="103" spans="1:3" ht="13" x14ac:dyDescent="0.15">
      <c r="A103" s="10"/>
      <c r="B103" s="13"/>
      <c r="C103" s="13"/>
    </row>
    <row r="104" spans="1:3" ht="13" x14ac:dyDescent="0.15">
      <c r="A104" s="10"/>
      <c r="B104" s="13"/>
      <c r="C104" s="13"/>
    </row>
    <row r="105" spans="1:3" ht="13" x14ac:dyDescent="0.15">
      <c r="A105" s="10"/>
      <c r="B105" s="13"/>
      <c r="C105" s="13"/>
    </row>
    <row r="106" spans="1:3" ht="13" x14ac:dyDescent="0.15">
      <c r="A106" s="10"/>
      <c r="B106" s="13"/>
      <c r="C106" s="13"/>
    </row>
    <row r="107" spans="1:3" ht="13" x14ac:dyDescent="0.15">
      <c r="A107" s="10"/>
      <c r="B107" s="13"/>
      <c r="C107" s="13"/>
    </row>
    <row r="108" spans="1:3" ht="13" x14ac:dyDescent="0.15">
      <c r="A108" s="10"/>
      <c r="B108" s="13"/>
      <c r="C108" s="13"/>
    </row>
    <row r="109" spans="1:3" ht="13" x14ac:dyDescent="0.15">
      <c r="A109" s="10"/>
      <c r="B109" s="13"/>
      <c r="C109" s="13"/>
    </row>
    <row r="110" spans="1:3" ht="13" x14ac:dyDescent="0.15">
      <c r="A110" s="10"/>
      <c r="B110" s="13"/>
      <c r="C110" s="13"/>
    </row>
    <row r="111" spans="1:3" ht="13" x14ac:dyDescent="0.15">
      <c r="A111" s="10"/>
      <c r="B111" s="13"/>
      <c r="C111" s="13"/>
    </row>
    <row r="112" spans="1:3" ht="13" x14ac:dyDescent="0.15">
      <c r="A112" s="10"/>
      <c r="B112" s="13"/>
      <c r="C112" s="13"/>
    </row>
    <row r="113" spans="1:3" ht="13" x14ac:dyDescent="0.15">
      <c r="A113" s="10"/>
      <c r="B113" s="13"/>
      <c r="C113" s="13"/>
    </row>
    <row r="114" spans="1:3" ht="13" x14ac:dyDescent="0.15">
      <c r="A114" s="10"/>
      <c r="B114" s="13"/>
      <c r="C114" s="13"/>
    </row>
    <row r="115" spans="1:3" ht="13" x14ac:dyDescent="0.15">
      <c r="A115" s="10"/>
      <c r="B115" s="13"/>
      <c r="C115" s="13"/>
    </row>
    <row r="116" spans="1:3" ht="13" x14ac:dyDescent="0.15">
      <c r="A116" s="10"/>
      <c r="B116" s="13"/>
      <c r="C116" s="13"/>
    </row>
    <row r="117" spans="1:3" ht="13" x14ac:dyDescent="0.15">
      <c r="A117" s="10"/>
      <c r="B117" s="13"/>
      <c r="C117" s="13"/>
    </row>
    <row r="118" spans="1:3" ht="13" x14ac:dyDescent="0.15">
      <c r="A118" s="10"/>
      <c r="B118" s="13"/>
      <c r="C118" s="13"/>
    </row>
    <row r="119" spans="1:3" ht="13" x14ac:dyDescent="0.15">
      <c r="A119" s="10"/>
      <c r="B119" s="13"/>
      <c r="C119" s="13"/>
    </row>
    <row r="120" spans="1:3" ht="13" x14ac:dyDescent="0.15">
      <c r="A120" s="10"/>
      <c r="B120" s="13"/>
      <c r="C120" s="13"/>
    </row>
    <row r="121" spans="1:3" ht="13" x14ac:dyDescent="0.15">
      <c r="A121" s="10"/>
      <c r="B121" s="13"/>
      <c r="C121" s="13"/>
    </row>
    <row r="122" spans="1:3" ht="13" x14ac:dyDescent="0.15">
      <c r="A122" s="10"/>
      <c r="B122" s="13"/>
      <c r="C122" s="13"/>
    </row>
    <row r="123" spans="1:3" ht="13" x14ac:dyDescent="0.15">
      <c r="A123" s="10"/>
      <c r="B123" s="13"/>
      <c r="C123" s="13"/>
    </row>
    <row r="124" spans="1:3" ht="13" x14ac:dyDescent="0.15">
      <c r="A124" s="10"/>
      <c r="B124" s="13"/>
      <c r="C124" s="13"/>
    </row>
    <row r="125" spans="1:3" ht="13" x14ac:dyDescent="0.15">
      <c r="A125" s="10"/>
      <c r="B125" s="13"/>
      <c r="C125" s="13"/>
    </row>
    <row r="126" spans="1:3" ht="13" x14ac:dyDescent="0.15">
      <c r="A126" s="10"/>
      <c r="B126" s="13"/>
      <c r="C126" s="13"/>
    </row>
    <row r="127" spans="1:3" ht="13" x14ac:dyDescent="0.15">
      <c r="A127" s="10"/>
      <c r="B127" s="13"/>
      <c r="C127" s="13"/>
    </row>
    <row r="128" spans="1:3" ht="13" x14ac:dyDescent="0.15">
      <c r="A128" s="10"/>
      <c r="B128" s="13"/>
      <c r="C128" s="13"/>
    </row>
    <row r="129" spans="1:3" ht="13" x14ac:dyDescent="0.15">
      <c r="A129" s="10"/>
      <c r="B129" s="13"/>
      <c r="C129" s="13"/>
    </row>
    <row r="130" spans="1:3" ht="13" x14ac:dyDescent="0.15">
      <c r="A130" s="10"/>
      <c r="B130" s="13"/>
      <c r="C130" s="13"/>
    </row>
    <row r="131" spans="1:3" ht="13" x14ac:dyDescent="0.15">
      <c r="A131" s="10"/>
      <c r="B131" s="13"/>
      <c r="C131" s="13"/>
    </row>
    <row r="132" spans="1:3" ht="13" x14ac:dyDescent="0.15">
      <c r="A132" s="10"/>
      <c r="B132" s="13"/>
      <c r="C132" s="13"/>
    </row>
    <row r="133" spans="1:3" ht="13" x14ac:dyDescent="0.15">
      <c r="A133" s="10"/>
      <c r="B133" s="13"/>
      <c r="C133" s="13"/>
    </row>
    <row r="134" spans="1:3" ht="13" x14ac:dyDescent="0.15">
      <c r="A134" s="10"/>
      <c r="B134" s="13"/>
      <c r="C134" s="13"/>
    </row>
    <row r="135" spans="1:3" ht="13" x14ac:dyDescent="0.15">
      <c r="A135" s="10"/>
      <c r="B135" s="13"/>
      <c r="C135" s="13"/>
    </row>
    <row r="136" spans="1:3" ht="13" x14ac:dyDescent="0.15">
      <c r="A136" s="10"/>
      <c r="B136" s="13"/>
      <c r="C136" s="13"/>
    </row>
    <row r="137" spans="1:3" ht="13" x14ac:dyDescent="0.15">
      <c r="A137" s="10"/>
      <c r="B137" s="13"/>
      <c r="C137" s="13"/>
    </row>
    <row r="138" spans="1:3" ht="13" x14ac:dyDescent="0.15">
      <c r="A138" s="10"/>
      <c r="B138" s="13"/>
      <c r="C138" s="13"/>
    </row>
    <row r="139" spans="1:3" ht="13" x14ac:dyDescent="0.15">
      <c r="A139" s="10"/>
      <c r="B139" s="13"/>
      <c r="C139" s="13"/>
    </row>
    <row r="140" spans="1:3" ht="13" x14ac:dyDescent="0.15">
      <c r="A140" s="10"/>
      <c r="B140" s="13"/>
      <c r="C140" s="13"/>
    </row>
    <row r="141" spans="1:3" ht="13" x14ac:dyDescent="0.15">
      <c r="A141" s="10"/>
      <c r="B141" s="13"/>
      <c r="C141" s="13"/>
    </row>
    <row r="142" spans="1:3" ht="13" x14ac:dyDescent="0.15">
      <c r="A142" s="10"/>
      <c r="B142" s="13"/>
      <c r="C142" s="13"/>
    </row>
    <row r="143" spans="1:3" ht="13" x14ac:dyDescent="0.15">
      <c r="A143" s="10"/>
      <c r="B143" s="13"/>
      <c r="C143" s="13"/>
    </row>
    <row r="144" spans="1:3" ht="13" x14ac:dyDescent="0.15">
      <c r="A144" s="10"/>
      <c r="B144" s="13"/>
      <c r="C144" s="13"/>
    </row>
    <row r="145" spans="1:3" ht="13" x14ac:dyDescent="0.15">
      <c r="A145" s="10"/>
      <c r="B145" s="13"/>
      <c r="C145" s="13"/>
    </row>
    <row r="146" spans="1:3" ht="13" x14ac:dyDescent="0.15">
      <c r="A146" s="10"/>
      <c r="B146" s="13"/>
      <c r="C146" s="13"/>
    </row>
    <row r="147" spans="1:3" ht="13" x14ac:dyDescent="0.15">
      <c r="A147" s="10"/>
      <c r="B147" s="13"/>
      <c r="C147" s="13"/>
    </row>
    <row r="148" spans="1:3" ht="13" x14ac:dyDescent="0.15">
      <c r="A148" s="10"/>
      <c r="B148" s="13"/>
      <c r="C148" s="13"/>
    </row>
    <row r="149" spans="1:3" ht="13" x14ac:dyDescent="0.15">
      <c r="A149" s="10"/>
      <c r="B149" s="13"/>
      <c r="C149" s="13"/>
    </row>
    <row r="150" spans="1:3" ht="13" x14ac:dyDescent="0.15">
      <c r="A150" s="10"/>
      <c r="B150" s="13"/>
      <c r="C150" s="13"/>
    </row>
    <row r="151" spans="1:3" ht="13" x14ac:dyDescent="0.15">
      <c r="A151" s="10"/>
      <c r="B151" s="13"/>
      <c r="C151" s="13"/>
    </row>
    <row r="152" spans="1:3" ht="13" x14ac:dyDescent="0.15">
      <c r="A152" s="10"/>
      <c r="B152" s="13"/>
      <c r="C152" s="13"/>
    </row>
    <row r="153" spans="1:3" ht="13" x14ac:dyDescent="0.15">
      <c r="A153" s="10"/>
      <c r="B153" s="13"/>
      <c r="C153" s="13"/>
    </row>
    <row r="154" spans="1:3" ht="13" x14ac:dyDescent="0.15">
      <c r="A154" s="10"/>
      <c r="B154" s="13"/>
      <c r="C154" s="13"/>
    </row>
    <row r="155" spans="1:3" ht="13" x14ac:dyDescent="0.15">
      <c r="A155" s="10"/>
      <c r="B155" s="13"/>
      <c r="C155" s="13"/>
    </row>
    <row r="156" spans="1:3" ht="13" x14ac:dyDescent="0.15">
      <c r="A156" s="10"/>
      <c r="B156" s="13"/>
      <c r="C156" s="13"/>
    </row>
    <row r="157" spans="1:3" ht="13" x14ac:dyDescent="0.15">
      <c r="A157" s="10"/>
      <c r="B157" s="13"/>
      <c r="C157" s="13"/>
    </row>
    <row r="158" spans="1:3" ht="13" x14ac:dyDescent="0.15">
      <c r="A158" s="10"/>
      <c r="B158" s="13"/>
      <c r="C158" s="13"/>
    </row>
    <row r="159" spans="1:3" ht="13" x14ac:dyDescent="0.15">
      <c r="A159" s="10"/>
      <c r="B159" s="13"/>
      <c r="C159" s="13"/>
    </row>
    <row r="160" spans="1:3" ht="13" x14ac:dyDescent="0.15">
      <c r="A160" s="10"/>
      <c r="B160" s="13"/>
      <c r="C160" s="13"/>
    </row>
    <row r="161" spans="1:3" ht="13" x14ac:dyDescent="0.15">
      <c r="A161" s="10"/>
      <c r="B161" s="13"/>
      <c r="C161" s="13"/>
    </row>
    <row r="162" spans="1:3" ht="13" x14ac:dyDescent="0.15">
      <c r="A162" s="10"/>
      <c r="B162" s="13"/>
      <c r="C162" s="13"/>
    </row>
    <row r="163" spans="1:3" ht="13" x14ac:dyDescent="0.15">
      <c r="A163" s="10"/>
      <c r="B163" s="13"/>
      <c r="C163" s="13"/>
    </row>
    <row r="164" spans="1:3" ht="13" x14ac:dyDescent="0.15">
      <c r="A164" s="10"/>
      <c r="B164" s="13"/>
      <c r="C164" s="13"/>
    </row>
    <row r="165" spans="1:3" ht="13" x14ac:dyDescent="0.15">
      <c r="A165" s="10"/>
      <c r="B165" s="13"/>
      <c r="C165" s="13"/>
    </row>
    <row r="166" spans="1:3" ht="13" x14ac:dyDescent="0.15">
      <c r="A166" s="10"/>
      <c r="B166" s="13"/>
      <c r="C166" s="13"/>
    </row>
    <row r="167" spans="1:3" ht="13" x14ac:dyDescent="0.15">
      <c r="A167" s="10"/>
      <c r="B167" s="13"/>
      <c r="C167" s="13"/>
    </row>
    <row r="168" spans="1:3" ht="13" x14ac:dyDescent="0.15">
      <c r="A168" s="10"/>
      <c r="B168" s="13"/>
      <c r="C168" s="13"/>
    </row>
    <row r="169" spans="1:3" ht="13" x14ac:dyDescent="0.15">
      <c r="A169" s="10"/>
      <c r="B169" s="13"/>
      <c r="C169" s="13"/>
    </row>
    <row r="170" spans="1:3" ht="13" x14ac:dyDescent="0.15">
      <c r="A170" s="10"/>
      <c r="B170" s="13"/>
      <c r="C170" s="13"/>
    </row>
    <row r="171" spans="1:3" ht="13" x14ac:dyDescent="0.15">
      <c r="A171" s="10"/>
      <c r="B171" s="13"/>
      <c r="C171" s="13"/>
    </row>
    <row r="172" spans="1:3" ht="13" x14ac:dyDescent="0.15">
      <c r="A172" s="10"/>
      <c r="B172" s="13"/>
      <c r="C172" s="13"/>
    </row>
    <row r="173" spans="1:3" ht="13" x14ac:dyDescent="0.15">
      <c r="A173" s="10"/>
      <c r="B173" s="13"/>
      <c r="C173" s="13"/>
    </row>
    <row r="174" spans="1:3" ht="13" x14ac:dyDescent="0.15">
      <c r="A174" s="10"/>
      <c r="B174" s="13"/>
      <c r="C174" s="13"/>
    </row>
    <row r="175" spans="1:3" ht="13" x14ac:dyDescent="0.15">
      <c r="A175" s="10"/>
      <c r="B175" s="13"/>
      <c r="C175" s="13"/>
    </row>
    <row r="176" spans="1:3" ht="13" x14ac:dyDescent="0.15">
      <c r="A176" s="10"/>
      <c r="B176" s="13"/>
      <c r="C176" s="13"/>
    </row>
    <row r="177" spans="1:3" ht="13" x14ac:dyDescent="0.15">
      <c r="A177" s="10"/>
      <c r="B177" s="13"/>
      <c r="C177" s="13"/>
    </row>
    <row r="178" spans="1:3" ht="13" x14ac:dyDescent="0.15">
      <c r="A178" s="10"/>
      <c r="B178" s="13"/>
      <c r="C178" s="13"/>
    </row>
    <row r="179" spans="1:3" ht="13" x14ac:dyDescent="0.15">
      <c r="A179" s="10"/>
      <c r="B179" s="13"/>
      <c r="C179" s="13"/>
    </row>
    <row r="180" spans="1:3" ht="13" x14ac:dyDescent="0.15">
      <c r="A180" s="10"/>
      <c r="B180" s="13"/>
      <c r="C180" s="13"/>
    </row>
    <row r="181" spans="1:3" ht="13" x14ac:dyDescent="0.15">
      <c r="A181" s="10"/>
      <c r="B181" s="13"/>
      <c r="C181" s="13"/>
    </row>
    <row r="182" spans="1:3" ht="13" x14ac:dyDescent="0.15">
      <c r="A182" s="10"/>
      <c r="B182" s="13"/>
      <c r="C182" s="13"/>
    </row>
    <row r="183" spans="1:3" ht="13" x14ac:dyDescent="0.15">
      <c r="A183" s="10"/>
      <c r="B183" s="13"/>
      <c r="C183" s="13"/>
    </row>
    <row r="184" spans="1:3" ht="13" x14ac:dyDescent="0.15">
      <c r="A184" s="10"/>
      <c r="B184" s="13"/>
      <c r="C184" s="13"/>
    </row>
    <row r="185" spans="1:3" ht="13" x14ac:dyDescent="0.15">
      <c r="A185" s="10"/>
      <c r="B185" s="13"/>
      <c r="C185" s="13"/>
    </row>
    <row r="186" spans="1:3" ht="13" x14ac:dyDescent="0.15">
      <c r="A186" s="10"/>
      <c r="B186" s="13"/>
      <c r="C186" s="13"/>
    </row>
    <row r="187" spans="1:3" ht="13" x14ac:dyDescent="0.15">
      <c r="A187" s="10"/>
      <c r="B187" s="13"/>
      <c r="C187" s="13"/>
    </row>
    <row r="188" spans="1:3" ht="13" x14ac:dyDescent="0.15">
      <c r="A188" s="10"/>
      <c r="B188" s="13"/>
      <c r="C188" s="13"/>
    </row>
    <row r="189" spans="1:3" ht="13" x14ac:dyDescent="0.15">
      <c r="A189" s="10"/>
      <c r="B189" s="13"/>
      <c r="C189" s="13"/>
    </row>
    <row r="190" spans="1:3" ht="13" x14ac:dyDescent="0.15">
      <c r="A190" s="10"/>
      <c r="B190" s="13"/>
      <c r="C190" s="13"/>
    </row>
    <row r="191" spans="1:3" ht="13" x14ac:dyDescent="0.15">
      <c r="A191" s="10"/>
      <c r="B191" s="13"/>
      <c r="C191" s="13"/>
    </row>
    <row r="192" spans="1:3" ht="13" x14ac:dyDescent="0.15">
      <c r="A192" s="10"/>
      <c r="B192" s="13"/>
      <c r="C192" s="13"/>
    </row>
    <row r="193" spans="1:3" ht="13" x14ac:dyDescent="0.15">
      <c r="A193" s="10"/>
      <c r="B193" s="13"/>
      <c r="C193" s="13"/>
    </row>
    <row r="194" spans="1:3" ht="13" x14ac:dyDescent="0.15">
      <c r="A194" s="10"/>
      <c r="B194" s="13"/>
      <c r="C194" s="13"/>
    </row>
    <row r="195" spans="1:3" ht="13" x14ac:dyDescent="0.15">
      <c r="A195" s="10"/>
      <c r="B195" s="13"/>
      <c r="C195" s="13"/>
    </row>
    <row r="196" spans="1:3" ht="13" x14ac:dyDescent="0.15">
      <c r="A196" s="10"/>
      <c r="B196" s="13"/>
      <c r="C196" s="13"/>
    </row>
    <row r="197" spans="1:3" ht="13" x14ac:dyDescent="0.15">
      <c r="A197" s="10"/>
      <c r="B197" s="13"/>
      <c r="C197" s="13"/>
    </row>
    <row r="198" spans="1:3" ht="13" x14ac:dyDescent="0.15">
      <c r="A198" s="10"/>
      <c r="B198" s="13"/>
      <c r="C198" s="13"/>
    </row>
    <row r="199" spans="1:3" ht="13" x14ac:dyDescent="0.15">
      <c r="A199" s="10"/>
      <c r="B199" s="13"/>
      <c r="C199" s="13"/>
    </row>
    <row r="200" spans="1:3" ht="13" x14ac:dyDescent="0.15">
      <c r="A200" s="10"/>
      <c r="B200" s="13"/>
      <c r="C200" s="13"/>
    </row>
    <row r="201" spans="1:3" ht="13" x14ac:dyDescent="0.15">
      <c r="A201" s="10"/>
      <c r="B201" s="13"/>
      <c r="C201" s="13"/>
    </row>
    <row r="202" spans="1:3" ht="13" x14ac:dyDescent="0.15">
      <c r="A202" s="10"/>
      <c r="B202" s="13"/>
      <c r="C202" s="13"/>
    </row>
    <row r="203" spans="1:3" ht="13" x14ac:dyDescent="0.15">
      <c r="A203" s="10"/>
      <c r="B203" s="13"/>
      <c r="C203" s="13"/>
    </row>
    <row r="204" spans="1:3" ht="13" x14ac:dyDescent="0.15">
      <c r="A204" s="10"/>
      <c r="B204" s="13"/>
      <c r="C204" s="13"/>
    </row>
    <row r="205" spans="1:3" ht="13" x14ac:dyDescent="0.15">
      <c r="A205" s="10"/>
      <c r="B205" s="13"/>
      <c r="C205" s="13"/>
    </row>
    <row r="206" spans="1:3" ht="13" x14ac:dyDescent="0.15">
      <c r="A206" s="10"/>
      <c r="B206" s="13"/>
      <c r="C206" s="13"/>
    </row>
    <row r="207" spans="1:3" ht="13" x14ac:dyDescent="0.15">
      <c r="A207" s="10"/>
      <c r="B207" s="13"/>
      <c r="C207" s="13"/>
    </row>
    <row r="208" spans="1:3" ht="13" x14ac:dyDescent="0.15">
      <c r="A208" s="10"/>
      <c r="B208" s="13"/>
      <c r="C208" s="13"/>
    </row>
    <row r="209" spans="1:3" ht="13" x14ac:dyDescent="0.15">
      <c r="A209" s="10"/>
      <c r="B209" s="13"/>
      <c r="C209" s="13"/>
    </row>
    <row r="210" spans="1:3" ht="13" x14ac:dyDescent="0.15">
      <c r="A210" s="10"/>
      <c r="B210" s="13"/>
      <c r="C210" s="13"/>
    </row>
    <row r="211" spans="1:3" ht="13" x14ac:dyDescent="0.15">
      <c r="A211" s="10"/>
      <c r="B211" s="13"/>
      <c r="C211" s="13"/>
    </row>
    <row r="212" spans="1:3" ht="13" x14ac:dyDescent="0.15">
      <c r="A212" s="10"/>
      <c r="B212" s="13"/>
      <c r="C212" s="13"/>
    </row>
    <row r="213" spans="1:3" ht="13" x14ac:dyDescent="0.15">
      <c r="A213" s="10"/>
      <c r="B213" s="13"/>
      <c r="C213" s="13"/>
    </row>
    <row r="214" spans="1:3" ht="13" x14ac:dyDescent="0.15">
      <c r="A214" s="10"/>
      <c r="B214" s="13"/>
      <c r="C214" s="13"/>
    </row>
    <row r="215" spans="1:3" ht="13" x14ac:dyDescent="0.15">
      <c r="A215" s="10"/>
      <c r="B215" s="13"/>
      <c r="C215" s="13"/>
    </row>
    <row r="216" spans="1:3" ht="13" x14ac:dyDescent="0.15">
      <c r="A216" s="10"/>
      <c r="B216" s="13"/>
      <c r="C216" s="13"/>
    </row>
    <row r="217" spans="1:3" ht="13" x14ac:dyDescent="0.15">
      <c r="A217" s="10"/>
      <c r="B217" s="13"/>
      <c r="C217" s="13"/>
    </row>
    <row r="218" spans="1:3" ht="13" x14ac:dyDescent="0.15">
      <c r="A218" s="10"/>
      <c r="B218" s="13"/>
      <c r="C218" s="13"/>
    </row>
    <row r="219" spans="1:3" ht="13" x14ac:dyDescent="0.15">
      <c r="A219" s="10"/>
      <c r="B219" s="13"/>
      <c r="C219" s="13"/>
    </row>
    <row r="220" spans="1:3" ht="13" x14ac:dyDescent="0.15">
      <c r="A220" s="10"/>
      <c r="B220" s="13"/>
      <c r="C220" s="13"/>
    </row>
    <row r="221" spans="1:3" ht="13" x14ac:dyDescent="0.15">
      <c r="A221" s="10"/>
      <c r="B221" s="13"/>
      <c r="C221" s="13"/>
    </row>
    <row r="222" spans="1:3" ht="13" x14ac:dyDescent="0.15">
      <c r="A222" s="10"/>
      <c r="B222" s="13"/>
      <c r="C222" s="13"/>
    </row>
    <row r="223" spans="1:3" ht="13" x14ac:dyDescent="0.15">
      <c r="A223" s="10"/>
      <c r="B223" s="13"/>
      <c r="C223" s="13"/>
    </row>
    <row r="224" spans="1:3" ht="13" x14ac:dyDescent="0.15">
      <c r="A224" s="10"/>
      <c r="B224" s="13"/>
      <c r="C224" s="13"/>
    </row>
    <row r="225" spans="1:3" ht="13" x14ac:dyDescent="0.15">
      <c r="A225" s="10"/>
      <c r="B225" s="13"/>
      <c r="C225" s="13"/>
    </row>
    <row r="226" spans="1:3" ht="13" x14ac:dyDescent="0.15">
      <c r="A226" s="10"/>
      <c r="B226" s="13"/>
      <c r="C226" s="13"/>
    </row>
    <row r="227" spans="1:3" ht="13" x14ac:dyDescent="0.15">
      <c r="A227" s="10"/>
      <c r="B227" s="13"/>
      <c r="C227" s="13"/>
    </row>
    <row r="228" spans="1:3" ht="13" x14ac:dyDescent="0.15">
      <c r="A228" s="10"/>
      <c r="B228" s="13"/>
      <c r="C228" s="13"/>
    </row>
    <row r="229" spans="1:3" ht="13" x14ac:dyDescent="0.15">
      <c r="A229" s="10"/>
      <c r="B229" s="13"/>
      <c r="C229" s="13"/>
    </row>
    <row r="230" spans="1:3" ht="13" x14ac:dyDescent="0.15">
      <c r="A230" s="10"/>
      <c r="B230" s="13"/>
      <c r="C230" s="13"/>
    </row>
    <row r="231" spans="1:3" ht="13" x14ac:dyDescent="0.15">
      <c r="A231" s="10"/>
      <c r="B231" s="13"/>
      <c r="C231" s="13"/>
    </row>
    <row r="232" spans="1:3" ht="13" x14ac:dyDescent="0.15">
      <c r="A232" s="10"/>
      <c r="B232" s="13"/>
      <c r="C232" s="13"/>
    </row>
    <row r="233" spans="1:3" ht="13" x14ac:dyDescent="0.15">
      <c r="A233" s="10"/>
      <c r="B233" s="13"/>
      <c r="C233" s="13"/>
    </row>
    <row r="234" spans="1:3" ht="13" x14ac:dyDescent="0.15">
      <c r="A234" s="10"/>
      <c r="B234" s="13"/>
      <c r="C234" s="13"/>
    </row>
    <row r="235" spans="1:3" ht="13" x14ac:dyDescent="0.15">
      <c r="A235" s="10"/>
      <c r="B235" s="13"/>
      <c r="C235" s="13"/>
    </row>
    <row r="236" spans="1:3" ht="13" x14ac:dyDescent="0.15">
      <c r="A236" s="10"/>
      <c r="B236" s="13"/>
      <c r="C236" s="13"/>
    </row>
    <row r="237" spans="1:3" ht="13" x14ac:dyDescent="0.15">
      <c r="A237" s="10"/>
      <c r="B237" s="13"/>
      <c r="C237" s="13"/>
    </row>
    <row r="238" spans="1:3" ht="13" x14ac:dyDescent="0.15">
      <c r="A238" s="10"/>
      <c r="B238" s="13"/>
      <c r="C238" s="13"/>
    </row>
    <row r="239" spans="1:3" ht="13" x14ac:dyDescent="0.15">
      <c r="A239" s="10"/>
      <c r="B239" s="13"/>
      <c r="C239" s="13"/>
    </row>
    <row r="240" spans="1:3" ht="13" x14ac:dyDescent="0.15">
      <c r="A240" s="10"/>
      <c r="B240" s="13"/>
      <c r="C240" s="13"/>
    </row>
    <row r="241" spans="1:3" ht="13" x14ac:dyDescent="0.15">
      <c r="A241" s="10"/>
      <c r="B241" s="13"/>
      <c r="C241" s="13"/>
    </row>
    <row r="242" spans="1:3" ht="13" x14ac:dyDescent="0.15">
      <c r="A242" s="10"/>
      <c r="B242" s="13"/>
      <c r="C242" s="13"/>
    </row>
    <row r="243" spans="1:3" ht="13" x14ac:dyDescent="0.15">
      <c r="A243" s="10"/>
      <c r="B243" s="13"/>
      <c r="C243" s="13"/>
    </row>
    <row r="244" spans="1:3" ht="13" x14ac:dyDescent="0.15">
      <c r="A244" s="10"/>
      <c r="B244" s="13"/>
      <c r="C244" s="13"/>
    </row>
    <row r="245" spans="1:3" ht="13" x14ac:dyDescent="0.15">
      <c r="A245" s="10"/>
      <c r="B245" s="13"/>
      <c r="C245" s="13"/>
    </row>
    <row r="246" spans="1:3" ht="13" x14ac:dyDescent="0.15">
      <c r="A246" s="10"/>
      <c r="B246" s="13"/>
      <c r="C246" s="13"/>
    </row>
    <row r="247" spans="1:3" ht="13" x14ac:dyDescent="0.15">
      <c r="A247" s="10"/>
      <c r="B247" s="13"/>
      <c r="C247" s="13"/>
    </row>
    <row r="248" spans="1:3" ht="13" x14ac:dyDescent="0.15">
      <c r="A248" s="10"/>
      <c r="B248" s="13"/>
      <c r="C248" s="13"/>
    </row>
    <row r="249" spans="1:3" ht="13" x14ac:dyDescent="0.15">
      <c r="A249" s="10"/>
      <c r="B249" s="13"/>
      <c r="C249" s="13"/>
    </row>
    <row r="250" spans="1:3" ht="13" x14ac:dyDescent="0.15">
      <c r="A250" s="10"/>
      <c r="B250" s="13"/>
      <c r="C250" s="13"/>
    </row>
    <row r="251" spans="1:3" ht="13" x14ac:dyDescent="0.15">
      <c r="A251" s="10"/>
      <c r="B251" s="13"/>
      <c r="C251" s="13"/>
    </row>
    <row r="252" spans="1:3" ht="13" x14ac:dyDescent="0.15">
      <c r="A252" s="10"/>
      <c r="B252" s="13"/>
      <c r="C252" s="13"/>
    </row>
    <row r="253" spans="1:3" ht="13" x14ac:dyDescent="0.15">
      <c r="A253" s="10"/>
      <c r="B253" s="13"/>
      <c r="C253" s="13"/>
    </row>
    <row r="254" spans="1:3" ht="13" x14ac:dyDescent="0.15">
      <c r="A254" s="10"/>
      <c r="B254" s="13"/>
      <c r="C254" s="13"/>
    </row>
    <row r="255" spans="1:3" ht="13" x14ac:dyDescent="0.15">
      <c r="A255" s="10"/>
      <c r="B255" s="13"/>
      <c r="C255" s="13"/>
    </row>
    <row r="256" spans="1:3" ht="13" x14ac:dyDescent="0.15">
      <c r="A256" s="10"/>
      <c r="B256" s="13"/>
      <c r="C256" s="13"/>
    </row>
    <row r="257" spans="1:3" ht="13" x14ac:dyDescent="0.15">
      <c r="A257" s="10"/>
      <c r="B257" s="13"/>
      <c r="C257" s="13"/>
    </row>
    <row r="258" spans="1:3" ht="13" x14ac:dyDescent="0.15">
      <c r="A258" s="10"/>
      <c r="B258" s="13"/>
      <c r="C258" s="13"/>
    </row>
    <row r="259" spans="1:3" ht="13" x14ac:dyDescent="0.15">
      <c r="A259" s="10"/>
      <c r="B259" s="13"/>
      <c r="C259" s="13"/>
    </row>
    <row r="260" spans="1:3" ht="13" x14ac:dyDescent="0.15">
      <c r="A260" s="10"/>
      <c r="B260" s="13"/>
      <c r="C260" s="13"/>
    </row>
    <row r="261" spans="1:3" ht="13" x14ac:dyDescent="0.15">
      <c r="A261" s="10"/>
      <c r="B261" s="13"/>
      <c r="C261" s="13"/>
    </row>
    <row r="262" spans="1:3" ht="13" x14ac:dyDescent="0.15">
      <c r="A262" s="10"/>
      <c r="B262" s="13"/>
      <c r="C262" s="13"/>
    </row>
    <row r="263" spans="1:3" ht="13" x14ac:dyDescent="0.15">
      <c r="A263" s="10"/>
      <c r="B263" s="13"/>
      <c r="C263" s="13"/>
    </row>
    <row r="264" spans="1:3" ht="13" x14ac:dyDescent="0.15">
      <c r="A264" s="10"/>
      <c r="B264" s="13"/>
      <c r="C264" s="13"/>
    </row>
    <row r="265" spans="1:3" ht="13" x14ac:dyDescent="0.15">
      <c r="A265" s="10"/>
      <c r="B265" s="13"/>
      <c r="C265" s="13"/>
    </row>
    <row r="266" spans="1:3" ht="13" x14ac:dyDescent="0.15">
      <c r="A266" s="10"/>
      <c r="B266" s="13"/>
      <c r="C266" s="13"/>
    </row>
    <row r="267" spans="1:3" ht="13" x14ac:dyDescent="0.15">
      <c r="A267" s="10"/>
      <c r="B267" s="13"/>
      <c r="C267" s="13"/>
    </row>
    <row r="268" spans="1:3" ht="13" x14ac:dyDescent="0.15">
      <c r="A268" s="10"/>
      <c r="B268" s="13"/>
      <c r="C268" s="13"/>
    </row>
    <row r="269" spans="1:3" ht="13" x14ac:dyDescent="0.15">
      <c r="A269" s="10"/>
      <c r="B269" s="13"/>
      <c r="C269" s="13"/>
    </row>
    <row r="270" spans="1:3" ht="13" x14ac:dyDescent="0.15">
      <c r="A270" s="10"/>
      <c r="B270" s="13"/>
      <c r="C270" s="13"/>
    </row>
    <row r="271" spans="1:3" ht="13" x14ac:dyDescent="0.15">
      <c r="A271" s="10"/>
      <c r="B271" s="13"/>
      <c r="C271" s="13"/>
    </row>
    <row r="272" spans="1:3" ht="13" x14ac:dyDescent="0.15">
      <c r="A272" s="10"/>
      <c r="B272" s="13"/>
      <c r="C272" s="13"/>
    </row>
    <row r="273" spans="1:3" ht="13" x14ac:dyDescent="0.15">
      <c r="A273" s="10"/>
      <c r="B273" s="13"/>
      <c r="C273" s="13"/>
    </row>
    <row r="274" spans="1:3" ht="13" x14ac:dyDescent="0.15">
      <c r="A274" s="10"/>
      <c r="B274" s="13"/>
      <c r="C274" s="13"/>
    </row>
    <row r="275" spans="1:3" ht="13" x14ac:dyDescent="0.15">
      <c r="A275" s="10"/>
      <c r="B275" s="13"/>
      <c r="C275" s="13"/>
    </row>
    <row r="276" spans="1:3" ht="13" x14ac:dyDescent="0.15">
      <c r="A276" s="10"/>
      <c r="B276" s="13"/>
      <c r="C276" s="13"/>
    </row>
    <row r="277" spans="1:3" ht="13" x14ac:dyDescent="0.15">
      <c r="A277" s="10"/>
      <c r="B277" s="13"/>
      <c r="C277" s="13"/>
    </row>
    <row r="278" spans="1:3" ht="13" x14ac:dyDescent="0.15">
      <c r="A278" s="10"/>
      <c r="B278" s="13"/>
      <c r="C278" s="13"/>
    </row>
    <row r="279" spans="1:3" ht="13" x14ac:dyDescent="0.15">
      <c r="A279" s="10"/>
      <c r="B279" s="13"/>
      <c r="C279" s="13"/>
    </row>
    <row r="280" spans="1:3" ht="13" x14ac:dyDescent="0.15">
      <c r="A280" s="10"/>
      <c r="B280" s="13"/>
      <c r="C280" s="13"/>
    </row>
    <row r="281" spans="1:3" ht="13" x14ac:dyDescent="0.15">
      <c r="A281" s="10"/>
      <c r="B281" s="13"/>
      <c r="C281" s="13"/>
    </row>
    <row r="282" spans="1:3" ht="13" x14ac:dyDescent="0.15">
      <c r="A282" s="10"/>
      <c r="B282" s="13"/>
      <c r="C282" s="13"/>
    </row>
    <row r="283" spans="1:3" ht="13" x14ac:dyDescent="0.15">
      <c r="A283" s="10"/>
      <c r="B283" s="13"/>
      <c r="C283" s="13"/>
    </row>
    <row r="284" spans="1:3" ht="13" x14ac:dyDescent="0.15">
      <c r="A284" s="10"/>
      <c r="B284" s="13"/>
      <c r="C284" s="13"/>
    </row>
    <row r="285" spans="1:3" ht="13" x14ac:dyDescent="0.15">
      <c r="A285" s="10"/>
      <c r="B285" s="13"/>
      <c r="C285" s="13"/>
    </row>
    <row r="286" spans="1:3" ht="13" x14ac:dyDescent="0.15">
      <c r="A286" s="10"/>
      <c r="B286" s="13"/>
      <c r="C286" s="13"/>
    </row>
    <row r="287" spans="1:3" ht="13" x14ac:dyDescent="0.15">
      <c r="A287" s="10"/>
      <c r="B287" s="13"/>
      <c r="C287" s="13"/>
    </row>
    <row r="288" spans="1:3" ht="13" x14ac:dyDescent="0.15">
      <c r="A288" s="10"/>
      <c r="B288" s="13"/>
      <c r="C288" s="13"/>
    </row>
    <row r="289" spans="1:3" ht="13" x14ac:dyDescent="0.15">
      <c r="A289" s="10"/>
      <c r="B289" s="13"/>
      <c r="C289" s="13"/>
    </row>
    <row r="290" spans="1:3" ht="13" x14ac:dyDescent="0.15">
      <c r="A290" s="10"/>
      <c r="B290" s="13"/>
      <c r="C290" s="13"/>
    </row>
    <row r="291" spans="1:3" ht="13" x14ac:dyDescent="0.15">
      <c r="A291" s="10"/>
      <c r="B291" s="13"/>
      <c r="C291" s="13"/>
    </row>
    <row r="292" spans="1:3" ht="13" x14ac:dyDescent="0.15">
      <c r="A292" s="10"/>
      <c r="B292" s="13"/>
      <c r="C292" s="13"/>
    </row>
    <row r="293" spans="1:3" ht="13" x14ac:dyDescent="0.15">
      <c r="A293" s="10"/>
      <c r="B293" s="13"/>
      <c r="C293" s="13"/>
    </row>
    <row r="294" spans="1:3" ht="13" x14ac:dyDescent="0.15">
      <c r="A294" s="10"/>
      <c r="B294" s="13"/>
      <c r="C294" s="13"/>
    </row>
    <row r="295" spans="1:3" ht="13" x14ac:dyDescent="0.15">
      <c r="A295" s="10"/>
      <c r="B295" s="13"/>
      <c r="C295" s="13"/>
    </row>
    <row r="296" spans="1:3" ht="13" x14ac:dyDescent="0.15">
      <c r="A296" s="10"/>
      <c r="B296" s="13"/>
      <c r="C296" s="13"/>
    </row>
    <row r="297" spans="1:3" ht="13" x14ac:dyDescent="0.15">
      <c r="A297" s="10"/>
      <c r="B297" s="13"/>
      <c r="C297" s="13"/>
    </row>
    <row r="298" spans="1:3" ht="13" x14ac:dyDescent="0.15">
      <c r="A298" s="10"/>
      <c r="B298" s="13"/>
      <c r="C298" s="13"/>
    </row>
    <row r="299" spans="1:3" ht="13" x14ac:dyDescent="0.15">
      <c r="A299" s="10"/>
      <c r="B299" s="13"/>
      <c r="C299" s="13"/>
    </row>
    <row r="300" spans="1:3" ht="13" x14ac:dyDescent="0.15">
      <c r="A300" s="10"/>
      <c r="B300" s="13"/>
      <c r="C300" s="13"/>
    </row>
    <row r="301" spans="1:3" ht="13" x14ac:dyDescent="0.15">
      <c r="A301" s="10"/>
      <c r="B301" s="13"/>
      <c r="C301" s="13"/>
    </row>
    <row r="302" spans="1:3" ht="13" x14ac:dyDescent="0.15">
      <c r="A302" s="10"/>
      <c r="B302" s="13"/>
      <c r="C302" s="13"/>
    </row>
    <row r="303" spans="1:3" ht="13" x14ac:dyDescent="0.15">
      <c r="A303" s="10"/>
      <c r="B303" s="13"/>
      <c r="C303" s="13"/>
    </row>
    <row r="304" spans="1:3" ht="13" x14ac:dyDescent="0.15">
      <c r="A304" s="10"/>
      <c r="B304" s="13"/>
      <c r="C304" s="13"/>
    </row>
    <row r="305" spans="1:3" ht="13" x14ac:dyDescent="0.15">
      <c r="A305" s="10"/>
      <c r="B305" s="13"/>
      <c r="C305" s="13"/>
    </row>
    <row r="306" spans="1:3" ht="13" x14ac:dyDescent="0.15">
      <c r="A306" s="10"/>
      <c r="B306" s="13"/>
      <c r="C306" s="13"/>
    </row>
    <row r="307" spans="1:3" ht="13" x14ac:dyDescent="0.15">
      <c r="A307" s="10"/>
      <c r="B307" s="13"/>
      <c r="C307" s="13"/>
    </row>
    <row r="308" spans="1:3" ht="13" x14ac:dyDescent="0.15">
      <c r="A308" s="10"/>
      <c r="B308" s="13"/>
      <c r="C308" s="13"/>
    </row>
    <row r="309" spans="1:3" ht="13" x14ac:dyDescent="0.15">
      <c r="A309" s="10"/>
      <c r="B309" s="13"/>
      <c r="C309" s="13"/>
    </row>
    <row r="310" spans="1:3" ht="13" x14ac:dyDescent="0.15">
      <c r="A310" s="10"/>
      <c r="B310" s="13"/>
      <c r="C310" s="13"/>
    </row>
    <row r="311" spans="1:3" ht="13" x14ac:dyDescent="0.15">
      <c r="A311" s="10"/>
      <c r="B311" s="13"/>
      <c r="C311" s="13"/>
    </row>
    <row r="312" spans="1:3" ht="13" x14ac:dyDescent="0.15">
      <c r="A312" s="10"/>
      <c r="B312" s="13"/>
      <c r="C312" s="13"/>
    </row>
    <row r="313" spans="1:3" ht="13" x14ac:dyDescent="0.15">
      <c r="A313" s="10"/>
      <c r="B313" s="13"/>
      <c r="C313" s="13"/>
    </row>
    <row r="314" spans="1:3" ht="13" x14ac:dyDescent="0.15">
      <c r="A314" s="10"/>
      <c r="B314" s="13"/>
      <c r="C314" s="13"/>
    </row>
    <row r="315" spans="1:3" ht="13" x14ac:dyDescent="0.15">
      <c r="A315" s="10"/>
      <c r="B315" s="13"/>
      <c r="C315" s="13"/>
    </row>
    <row r="316" spans="1:3" ht="13" x14ac:dyDescent="0.15">
      <c r="A316" s="10"/>
      <c r="B316" s="13"/>
      <c r="C316" s="13"/>
    </row>
    <row r="317" spans="1:3" ht="13" x14ac:dyDescent="0.15">
      <c r="A317" s="10"/>
      <c r="B317" s="13"/>
      <c r="C317" s="13"/>
    </row>
    <row r="318" spans="1:3" ht="13" x14ac:dyDescent="0.15">
      <c r="A318" s="10"/>
      <c r="B318" s="13"/>
      <c r="C318" s="13"/>
    </row>
    <row r="319" spans="1:3" ht="13" x14ac:dyDescent="0.15">
      <c r="A319" s="10"/>
      <c r="B319" s="13"/>
      <c r="C319" s="13"/>
    </row>
    <row r="320" spans="1:3" ht="13" x14ac:dyDescent="0.15">
      <c r="A320" s="10"/>
      <c r="B320" s="13"/>
      <c r="C320" s="13"/>
    </row>
    <row r="321" spans="1:3" ht="13" x14ac:dyDescent="0.15">
      <c r="A321" s="10"/>
      <c r="B321" s="13"/>
      <c r="C321" s="13"/>
    </row>
    <row r="322" spans="1:3" ht="13" x14ac:dyDescent="0.15">
      <c r="A322" s="10"/>
      <c r="B322" s="13"/>
      <c r="C322" s="13"/>
    </row>
    <row r="323" spans="1:3" ht="13" x14ac:dyDescent="0.15">
      <c r="A323" s="10"/>
      <c r="B323" s="13"/>
      <c r="C323" s="13"/>
    </row>
    <row r="324" spans="1:3" ht="13" x14ac:dyDescent="0.15">
      <c r="A324" s="10"/>
      <c r="B324" s="13"/>
      <c r="C324" s="13"/>
    </row>
    <row r="325" spans="1:3" ht="13" x14ac:dyDescent="0.15">
      <c r="A325" s="10"/>
      <c r="B325" s="13"/>
      <c r="C325" s="13"/>
    </row>
    <row r="326" spans="1:3" ht="13" x14ac:dyDescent="0.15">
      <c r="A326" s="10"/>
      <c r="B326" s="13"/>
      <c r="C326" s="13"/>
    </row>
    <row r="327" spans="1:3" ht="13" x14ac:dyDescent="0.15">
      <c r="A327" s="10"/>
      <c r="B327" s="13"/>
      <c r="C327" s="13"/>
    </row>
    <row r="328" spans="1:3" ht="13" x14ac:dyDescent="0.15">
      <c r="A328" s="10"/>
      <c r="B328" s="13"/>
      <c r="C328" s="13"/>
    </row>
    <row r="329" spans="1:3" ht="13" x14ac:dyDescent="0.15">
      <c r="A329" s="10"/>
      <c r="B329" s="13"/>
      <c r="C329" s="13"/>
    </row>
    <row r="330" spans="1:3" ht="13" x14ac:dyDescent="0.15">
      <c r="A330" s="10"/>
      <c r="B330" s="13"/>
      <c r="C330" s="13"/>
    </row>
    <row r="331" spans="1:3" ht="13" x14ac:dyDescent="0.15">
      <c r="A331" s="10"/>
      <c r="B331" s="13"/>
      <c r="C331" s="13"/>
    </row>
    <row r="332" spans="1:3" ht="13" x14ac:dyDescent="0.15">
      <c r="A332" s="10"/>
      <c r="B332" s="13"/>
      <c r="C332" s="13"/>
    </row>
    <row r="333" spans="1:3" ht="13" x14ac:dyDescent="0.15">
      <c r="A333" s="10"/>
      <c r="B333" s="13"/>
      <c r="C333" s="13"/>
    </row>
    <row r="334" spans="1:3" ht="13" x14ac:dyDescent="0.15">
      <c r="A334" s="10"/>
      <c r="B334" s="13"/>
      <c r="C334" s="13"/>
    </row>
    <row r="335" spans="1:3" ht="13" x14ac:dyDescent="0.15">
      <c r="A335" s="10"/>
      <c r="B335" s="13"/>
      <c r="C335" s="13"/>
    </row>
    <row r="336" spans="1:3" ht="13" x14ac:dyDescent="0.15">
      <c r="A336" s="10"/>
      <c r="B336" s="13"/>
      <c r="C336" s="13"/>
    </row>
    <row r="337" spans="1:3" ht="13" x14ac:dyDescent="0.15">
      <c r="A337" s="10"/>
      <c r="B337" s="13"/>
      <c r="C337" s="13"/>
    </row>
    <row r="338" spans="1:3" ht="13" x14ac:dyDescent="0.15">
      <c r="A338" s="10"/>
      <c r="B338" s="13"/>
      <c r="C338" s="13"/>
    </row>
    <row r="339" spans="1:3" ht="13" x14ac:dyDescent="0.15">
      <c r="A339" s="10"/>
      <c r="B339" s="13"/>
      <c r="C339" s="13"/>
    </row>
    <row r="340" spans="1:3" ht="13" x14ac:dyDescent="0.15">
      <c r="A340" s="10"/>
      <c r="B340" s="13"/>
      <c r="C340" s="13"/>
    </row>
    <row r="341" spans="1:3" ht="13" x14ac:dyDescent="0.15">
      <c r="A341" s="10"/>
      <c r="B341" s="13"/>
      <c r="C341" s="13"/>
    </row>
    <row r="342" spans="1:3" ht="13" x14ac:dyDescent="0.15">
      <c r="A342" s="10"/>
      <c r="B342" s="13"/>
      <c r="C342" s="13"/>
    </row>
    <row r="343" spans="1:3" ht="13" x14ac:dyDescent="0.15">
      <c r="A343" s="10"/>
      <c r="B343" s="13"/>
      <c r="C343" s="13"/>
    </row>
    <row r="344" spans="1:3" ht="13" x14ac:dyDescent="0.15">
      <c r="A344" s="10"/>
      <c r="B344" s="13"/>
      <c r="C344" s="13"/>
    </row>
    <row r="345" spans="1:3" ht="13" x14ac:dyDescent="0.15">
      <c r="A345" s="10"/>
      <c r="B345" s="13"/>
      <c r="C345" s="13"/>
    </row>
    <row r="346" spans="1:3" ht="13" x14ac:dyDescent="0.15">
      <c r="A346" s="10"/>
      <c r="B346" s="13"/>
      <c r="C346" s="13"/>
    </row>
    <row r="347" spans="1:3" ht="13" x14ac:dyDescent="0.15">
      <c r="A347" s="10"/>
      <c r="B347" s="13"/>
      <c r="C347" s="13"/>
    </row>
    <row r="348" spans="1:3" ht="13" x14ac:dyDescent="0.15">
      <c r="A348" s="10"/>
      <c r="B348" s="13"/>
      <c r="C348" s="13"/>
    </row>
    <row r="349" spans="1:3" ht="13" x14ac:dyDescent="0.15">
      <c r="A349" s="10"/>
      <c r="B349" s="13"/>
      <c r="C349" s="13"/>
    </row>
    <row r="350" spans="1:3" ht="13" x14ac:dyDescent="0.15">
      <c r="A350" s="10"/>
      <c r="B350" s="13"/>
      <c r="C350" s="13"/>
    </row>
    <row r="351" spans="1:3" ht="13" x14ac:dyDescent="0.15">
      <c r="A351" s="10"/>
      <c r="B351" s="13"/>
      <c r="C351" s="13"/>
    </row>
    <row r="352" spans="1:3" ht="13" x14ac:dyDescent="0.15">
      <c r="A352" s="10"/>
      <c r="B352" s="13"/>
      <c r="C352" s="13"/>
    </row>
    <row r="353" spans="1:3" ht="13" x14ac:dyDescent="0.15">
      <c r="A353" s="10"/>
      <c r="B353" s="13"/>
      <c r="C353" s="13"/>
    </row>
    <row r="354" spans="1:3" ht="13" x14ac:dyDescent="0.15">
      <c r="A354" s="10"/>
      <c r="B354" s="13"/>
      <c r="C354" s="13"/>
    </row>
    <row r="355" spans="1:3" ht="13" x14ac:dyDescent="0.15">
      <c r="A355" s="10"/>
      <c r="B355" s="13"/>
      <c r="C355" s="13"/>
    </row>
    <row r="356" spans="1:3" ht="13" x14ac:dyDescent="0.15">
      <c r="A356" s="10"/>
      <c r="B356" s="13"/>
      <c r="C356" s="13"/>
    </row>
    <row r="357" spans="1:3" ht="13" x14ac:dyDescent="0.15">
      <c r="A357" s="10"/>
      <c r="B357" s="13"/>
      <c r="C357" s="13"/>
    </row>
    <row r="358" spans="1:3" ht="13" x14ac:dyDescent="0.15">
      <c r="A358" s="10"/>
      <c r="B358" s="13"/>
      <c r="C358" s="13"/>
    </row>
    <row r="359" spans="1:3" ht="13" x14ac:dyDescent="0.15">
      <c r="A359" s="10"/>
      <c r="B359" s="13"/>
      <c r="C359" s="13"/>
    </row>
    <row r="360" spans="1:3" ht="13" x14ac:dyDescent="0.15">
      <c r="A360" s="10"/>
      <c r="B360" s="13"/>
      <c r="C360" s="13"/>
    </row>
    <row r="361" spans="1:3" ht="13" x14ac:dyDescent="0.15">
      <c r="A361" s="10"/>
      <c r="B361" s="13"/>
      <c r="C361" s="13"/>
    </row>
    <row r="362" spans="1:3" ht="13" x14ac:dyDescent="0.15">
      <c r="A362" s="10"/>
      <c r="B362" s="13"/>
      <c r="C362" s="13"/>
    </row>
    <row r="363" spans="1:3" ht="13" x14ac:dyDescent="0.15">
      <c r="A363" s="10"/>
      <c r="B363" s="13"/>
      <c r="C363" s="13"/>
    </row>
    <row r="364" spans="1:3" ht="13" x14ac:dyDescent="0.15">
      <c r="A364" s="10"/>
      <c r="B364" s="13"/>
      <c r="C364" s="13"/>
    </row>
    <row r="365" spans="1:3" ht="13" x14ac:dyDescent="0.15">
      <c r="A365" s="10"/>
      <c r="B365" s="13"/>
      <c r="C365" s="13"/>
    </row>
    <row r="366" spans="1:3" ht="13" x14ac:dyDescent="0.15">
      <c r="A366" s="10"/>
      <c r="B366" s="13"/>
      <c r="C366" s="13"/>
    </row>
    <row r="367" spans="1:3" ht="13" x14ac:dyDescent="0.15">
      <c r="A367" s="10"/>
      <c r="B367" s="13"/>
      <c r="C367" s="13"/>
    </row>
    <row r="368" spans="1:3" ht="13" x14ac:dyDescent="0.15">
      <c r="A368" s="10"/>
      <c r="B368" s="13"/>
      <c r="C368" s="13"/>
    </row>
    <row r="369" spans="1:3" ht="13" x14ac:dyDescent="0.15">
      <c r="A369" s="10"/>
      <c r="B369" s="13"/>
      <c r="C369" s="13"/>
    </row>
    <row r="370" spans="1:3" ht="13" x14ac:dyDescent="0.15">
      <c r="A370" s="10"/>
      <c r="B370" s="13"/>
      <c r="C370" s="13"/>
    </row>
    <row r="371" spans="1:3" ht="13" x14ac:dyDescent="0.15">
      <c r="A371" s="10"/>
      <c r="B371" s="13"/>
      <c r="C371" s="13"/>
    </row>
    <row r="372" spans="1:3" ht="13" x14ac:dyDescent="0.15">
      <c r="A372" s="10"/>
      <c r="B372" s="13"/>
      <c r="C372" s="13"/>
    </row>
    <row r="373" spans="1:3" ht="13" x14ac:dyDescent="0.15">
      <c r="A373" s="10"/>
      <c r="B373" s="13"/>
      <c r="C373" s="13"/>
    </row>
    <row r="374" spans="1:3" ht="13" x14ac:dyDescent="0.15">
      <c r="A374" s="10"/>
      <c r="B374" s="13"/>
      <c r="C374" s="13"/>
    </row>
    <row r="375" spans="1:3" ht="13" x14ac:dyDescent="0.15">
      <c r="A375" s="10"/>
      <c r="B375" s="13"/>
      <c r="C375" s="13"/>
    </row>
    <row r="376" spans="1:3" ht="13" x14ac:dyDescent="0.15">
      <c r="A376" s="10"/>
      <c r="B376" s="13"/>
      <c r="C376" s="13"/>
    </row>
    <row r="377" spans="1:3" ht="13" x14ac:dyDescent="0.15">
      <c r="A377" s="10"/>
      <c r="B377" s="13"/>
      <c r="C377" s="13"/>
    </row>
    <row r="378" spans="1:3" ht="13" x14ac:dyDescent="0.15">
      <c r="A378" s="10"/>
      <c r="B378" s="13"/>
      <c r="C378" s="13"/>
    </row>
    <row r="379" spans="1:3" ht="13" x14ac:dyDescent="0.15">
      <c r="A379" s="10"/>
      <c r="B379" s="13"/>
      <c r="C379" s="13"/>
    </row>
    <row r="380" spans="1:3" ht="13" x14ac:dyDescent="0.15">
      <c r="A380" s="10"/>
      <c r="B380" s="13"/>
      <c r="C380" s="13"/>
    </row>
    <row r="381" spans="1:3" ht="13" x14ac:dyDescent="0.15">
      <c r="A381" s="10"/>
      <c r="B381" s="13"/>
      <c r="C381" s="13"/>
    </row>
    <row r="382" spans="1:3" ht="13" x14ac:dyDescent="0.15">
      <c r="A382" s="10"/>
      <c r="B382" s="13"/>
      <c r="C382" s="13"/>
    </row>
    <row r="383" spans="1:3" ht="13" x14ac:dyDescent="0.15">
      <c r="A383" s="10"/>
      <c r="B383" s="13"/>
      <c r="C383" s="13"/>
    </row>
    <row r="384" spans="1:3" ht="13" x14ac:dyDescent="0.15">
      <c r="A384" s="10"/>
      <c r="B384" s="13"/>
      <c r="C384" s="13"/>
    </row>
    <row r="385" spans="1:3" ht="13" x14ac:dyDescent="0.15">
      <c r="A385" s="10"/>
      <c r="B385" s="13"/>
      <c r="C385" s="13"/>
    </row>
    <row r="386" spans="1:3" ht="13" x14ac:dyDescent="0.15">
      <c r="A386" s="10"/>
      <c r="B386" s="13"/>
      <c r="C386" s="13"/>
    </row>
    <row r="387" spans="1:3" ht="13" x14ac:dyDescent="0.15">
      <c r="A387" s="10"/>
      <c r="B387" s="13"/>
      <c r="C387" s="13"/>
    </row>
    <row r="388" spans="1:3" ht="13" x14ac:dyDescent="0.15">
      <c r="A388" s="10"/>
      <c r="B388" s="13"/>
      <c r="C388" s="13"/>
    </row>
    <row r="389" spans="1:3" ht="13" x14ac:dyDescent="0.15">
      <c r="A389" s="10"/>
      <c r="B389" s="13"/>
      <c r="C389" s="13"/>
    </row>
    <row r="390" spans="1:3" ht="13" x14ac:dyDescent="0.15">
      <c r="A390" s="10"/>
      <c r="B390" s="13"/>
      <c r="C390" s="13"/>
    </row>
    <row r="391" spans="1:3" ht="13" x14ac:dyDescent="0.15">
      <c r="A391" s="10"/>
      <c r="B391" s="13"/>
      <c r="C391" s="13"/>
    </row>
    <row r="392" spans="1:3" ht="13" x14ac:dyDescent="0.15">
      <c r="A392" s="10"/>
      <c r="B392" s="13"/>
      <c r="C392" s="13"/>
    </row>
    <row r="393" spans="1:3" ht="13" x14ac:dyDescent="0.15">
      <c r="A393" s="10"/>
      <c r="B393" s="13"/>
      <c r="C393" s="13"/>
    </row>
    <row r="394" spans="1:3" ht="13" x14ac:dyDescent="0.15">
      <c r="A394" s="10"/>
      <c r="B394" s="13"/>
      <c r="C394" s="13"/>
    </row>
    <row r="395" spans="1:3" ht="13" x14ac:dyDescent="0.15">
      <c r="A395" s="10"/>
      <c r="B395" s="13"/>
      <c r="C395" s="13"/>
    </row>
    <row r="396" spans="1:3" ht="13" x14ac:dyDescent="0.15">
      <c r="A396" s="10"/>
      <c r="B396" s="13"/>
      <c r="C396" s="13"/>
    </row>
    <row r="397" spans="1:3" ht="13" x14ac:dyDescent="0.15">
      <c r="A397" s="10"/>
      <c r="B397" s="13"/>
      <c r="C397" s="13"/>
    </row>
    <row r="398" spans="1:3" ht="13" x14ac:dyDescent="0.15">
      <c r="A398" s="10"/>
      <c r="B398" s="13"/>
      <c r="C398" s="13"/>
    </row>
    <row r="399" spans="1:3" ht="13" x14ac:dyDescent="0.15">
      <c r="A399" s="10"/>
      <c r="B399" s="13"/>
      <c r="C399" s="13"/>
    </row>
    <row r="400" spans="1:3" ht="13" x14ac:dyDescent="0.15">
      <c r="A400" s="10"/>
      <c r="B400" s="13"/>
      <c r="C400" s="13"/>
    </row>
    <row r="401" spans="1:3" ht="13" x14ac:dyDescent="0.15">
      <c r="A401" s="10"/>
      <c r="B401" s="13"/>
      <c r="C401" s="13"/>
    </row>
    <row r="402" spans="1:3" ht="13" x14ac:dyDescent="0.15">
      <c r="A402" s="10"/>
      <c r="B402" s="13"/>
      <c r="C402" s="13"/>
    </row>
    <row r="403" spans="1:3" ht="13" x14ac:dyDescent="0.15">
      <c r="A403" s="10"/>
      <c r="B403" s="13"/>
      <c r="C403" s="13"/>
    </row>
    <row r="404" spans="1:3" ht="13" x14ac:dyDescent="0.15">
      <c r="A404" s="10"/>
      <c r="B404" s="13"/>
      <c r="C404" s="13"/>
    </row>
    <row r="405" spans="1:3" ht="13" x14ac:dyDescent="0.15">
      <c r="A405" s="10"/>
      <c r="B405" s="13"/>
      <c r="C405" s="13"/>
    </row>
    <row r="406" spans="1:3" ht="13" x14ac:dyDescent="0.15">
      <c r="A406" s="10"/>
      <c r="B406" s="13"/>
      <c r="C406" s="13"/>
    </row>
    <row r="407" spans="1:3" ht="13" x14ac:dyDescent="0.15">
      <c r="A407" s="10"/>
      <c r="B407" s="13"/>
      <c r="C407" s="13"/>
    </row>
    <row r="408" spans="1:3" ht="13" x14ac:dyDescent="0.15">
      <c r="A408" s="10"/>
      <c r="B408" s="13"/>
      <c r="C408" s="13"/>
    </row>
    <row r="409" spans="1:3" ht="13" x14ac:dyDescent="0.15">
      <c r="A409" s="10"/>
      <c r="B409" s="13"/>
      <c r="C409" s="13"/>
    </row>
    <row r="410" spans="1:3" ht="13" x14ac:dyDescent="0.15">
      <c r="A410" s="10"/>
      <c r="B410" s="13"/>
      <c r="C410" s="13"/>
    </row>
    <row r="411" spans="1:3" ht="13" x14ac:dyDescent="0.15">
      <c r="A411" s="10"/>
      <c r="B411" s="13"/>
      <c r="C411" s="13"/>
    </row>
    <row r="412" spans="1:3" ht="13" x14ac:dyDescent="0.15">
      <c r="A412" s="10"/>
      <c r="B412" s="13"/>
      <c r="C412" s="13"/>
    </row>
    <row r="413" spans="1:3" ht="13" x14ac:dyDescent="0.15">
      <c r="A413" s="10"/>
      <c r="B413" s="13"/>
      <c r="C413" s="13"/>
    </row>
    <row r="414" spans="1:3" ht="13" x14ac:dyDescent="0.15">
      <c r="A414" s="10"/>
      <c r="B414" s="13"/>
      <c r="C414" s="13"/>
    </row>
    <row r="415" spans="1:3" ht="13" x14ac:dyDescent="0.15">
      <c r="A415" s="10"/>
      <c r="B415" s="13"/>
      <c r="C415" s="13"/>
    </row>
    <row r="416" spans="1:3" ht="13" x14ac:dyDescent="0.15">
      <c r="A416" s="10"/>
      <c r="B416" s="13"/>
      <c r="C416" s="13"/>
    </row>
    <row r="417" spans="1:3" ht="13" x14ac:dyDescent="0.15">
      <c r="A417" s="10"/>
      <c r="B417" s="13"/>
      <c r="C417" s="13"/>
    </row>
    <row r="418" spans="1:3" ht="13" x14ac:dyDescent="0.15">
      <c r="A418" s="10"/>
      <c r="B418" s="13"/>
      <c r="C418" s="13"/>
    </row>
    <row r="419" spans="1:3" ht="13" x14ac:dyDescent="0.15">
      <c r="A419" s="10"/>
      <c r="B419" s="13"/>
      <c r="C419" s="13"/>
    </row>
    <row r="420" spans="1:3" ht="13" x14ac:dyDescent="0.15">
      <c r="A420" s="10"/>
      <c r="B420" s="13"/>
      <c r="C420" s="13"/>
    </row>
    <row r="421" spans="1:3" ht="13" x14ac:dyDescent="0.15">
      <c r="A421" s="10"/>
      <c r="B421" s="13"/>
      <c r="C421" s="13"/>
    </row>
    <row r="422" spans="1:3" ht="13" x14ac:dyDescent="0.15">
      <c r="A422" s="10"/>
      <c r="B422" s="13"/>
      <c r="C422" s="13"/>
    </row>
    <row r="423" spans="1:3" ht="13" x14ac:dyDescent="0.15">
      <c r="A423" s="10"/>
      <c r="B423" s="13"/>
      <c r="C423" s="13"/>
    </row>
    <row r="424" spans="1:3" ht="13" x14ac:dyDescent="0.15">
      <c r="A424" s="10"/>
      <c r="B424" s="13"/>
      <c r="C424" s="13"/>
    </row>
    <row r="425" spans="1:3" ht="13" x14ac:dyDescent="0.15">
      <c r="A425" s="10"/>
      <c r="B425" s="13"/>
      <c r="C425" s="13"/>
    </row>
    <row r="426" spans="1:3" ht="13" x14ac:dyDescent="0.15">
      <c r="A426" s="10"/>
      <c r="B426" s="13"/>
      <c r="C426" s="13"/>
    </row>
    <row r="427" spans="1:3" ht="13" x14ac:dyDescent="0.15">
      <c r="A427" s="10"/>
      <c r="B427" s="13"/>
      <c r="C427" s="13"/>
    </row>
    <row r="428" spans="1:3" ht="13" x14ac:dyDescent="0.15">
      <c r="A428" s="10"/>
      <c r="B428" s="13"/>
      <c r="C428" s="13"/>
    </row>
    <row r="429" spans="1:3" ht="13" x14ac:dyDescent="0.15">
      <c r="A429" s="10"/>
      <c r="B429" s="13"/>
      <c r="C429" s="13"/>
    </row>
    <row r="430" spans="1:3" ht="13" x14ac:dyDescent="0.15">
      <c r="A430" s="10"/>
      <c r="B430" s="13"/>
      <c r="C430" s="13"/>
    </row>
    <row r="431" spans="1:3" ht="13" x14ac:dyDescent="0.15">
      <c r="A431" s="10"/>
      <c r="B431" s="13"/>
      <c r="C431" s="13"/>
    </row>
    <row r="432" spans="1:3" ht="13" x14ac:dyDescent="0.15">
      <c r="A432" s="10"/>
      <c r="B432" s="13"/>
      <c r="C432" s="13"/>
    </row>
    <row r="433" spans="1:3" ht="13" x14ac:dyDescent="0.15">
      <c r="A433" s="10"/>
      <c r="B433" s="13"/>
      <c r="C433" s="13"/>
    </row>
    <row r="434" spans="1:3" ht="13" x14ac:dyDescent="0.15">
      <c r="A434" s="10"/>
      <c r="B434" s="13"/>
      <c r="C434" s="13"/>
    </row>
    <row r="435" spans="1:3" ht="13" x14ac:dyDescent="0.15">
      <c r="A435" s="10"/>
      <c r="B435" s="13"/>
      <c r="C435" s="13"/>
    </row>
    <row r="436" spans="1:3" ht="13" x14ac:dyDescent="0.15">
      <c r="A436" s="10"/>
      <c r="B436" s="13"/>
      <c r="C436" s="13"/>
    </row>
    <row r="437" spans="1:3" ht="13" x14ac:dyDescent="0.15">
      <c r="A437" s="10"/>
      <c r="B437" s="13"/>
      <c r="C437" s="13"/>
    </row>
    <row r="438" spans="1:3" ht="13" x14ac:dyDescent="0.15">
      <c r="A438" s="10"/>
      <c r="B438" s="13"/>
      <c r="C438" s="13"/>
    </row>
    <row r="439" spans="1:3" ht="13" x14ac:dyDescent="0.15">
      <c r="A439" s="10"/>
      <c r="B439" s="13"/>
      <c r="C439" s="13"/>
    </row>
    <row r="440" spans="1:3" ht="13" x14ac:dyDescent="0.15">
      <c r="A440" s="10"/>
      <c r="B440" s="13"/>
      <c r="C440" s="13"/>
    </row>
    <row r="441" spans="1:3" ht="13" x14ac:dyDescent="0.15">
      <c r="A441" s="10"/>
      <c r="B441" s="13"/>
      <c r="C441" s="13"/>
    </row>
    <row r="442" spans="1:3" ht="13" x14ac:dyDescent="0.15">
      <c r="A442" s="10"/>
      <c r="B442" s="13"/>
      <c r="C442" s="13"/>
    </row>
    <row r="443" spans="1:3" ht="13" x14ac:dyDescent="0.15">
      <c r="A443" s="10"/>
      <c r="B443" s="13"/>
      <c r="C443" s="13"/>
    </row>
    <row r="444" spans="1:3" ht="13" x14ac:dyDescent="0.15">
      <c r="A444" s="10"/>
      <c r="B444" s="13"/>
      <c r="C444" s="13"/>
    </row>
    <row r="445" spans="1:3" ht="13" x14ac:dyDescent="0.15">
      <c r="A445" s="10"/>
      <c r="B445" s="13"/>
      <c r="C445" s="13"/>
    </row>
    <row r="446" spans="1:3" ht="13" x14ac:dyDescent="0.15">
      <c r="A446" s="10"/>
      <c r="B446" s="13"/>
      <c r="C446" s="13"/>
    </row>
    <row r="447" spans="1:3" ht="13" x14ac:dyDescent="0.15">
      <c r="A447" s="10"/>
      <c r="B447" s="13"/>
      <c r="C447" s="13"/>
    </row>
    <row r="448" spans="1:3" ht="13" x14ac:dyDescent="0.15">
      <c r="A448" s="10"/>
      <c r="B448" s="13"/>
      <c r="C448" s="13"/>
    </row>
    <row r="449" spans="1:3" ht="13" x14ac:dyDescent="0.15">
      <c r="A449" s="10"/>
      <c r="B449" s="13"/>
      <c r="C449" s="13"/>
    </row>
    <row r="450" spans="1:3" ht="13" x14ac:dyDescent="0.15">
      <c r="A450" s="10"/>
      <c r="B450" s="13"/>
      <c r="C450" s="13"/>
    </row>
    <row r="451" spans="1:3" ht="13" x14ac:dyDescent="0.15">
      <c r="A451" s="10"/>
      <c r="B451" s="13"/>
      <c r="C451" s="13"/>
    </row>
    <row r="452" spans="1:3" ht="13" x14ac:dyDescent="0.15">
      <c r="A452" s="10"/>
      <c r="B452" s="13"/>
      <c r="C452" s="13"/>
    </row>
    <row r="453" spans="1:3" ht="13" x14ac:dyDescent="0.15">
      <c r="A453" s="10"/>
      <c r="B453" s="13"/>
      <c r="C453" s="13"/>
    </row>
    <row r="454" spans="1:3" ht="13" x14ac:dyDescent="0.15">
      <c r="A454" s="10"/>
      <c r="B454" s="13"/>
      <c r="C454" s="13"/>
    </row>
    <row r="455" spans="1:3" ht="13" x14ac:dyDescent="0.15">
      <c r="A455" s="10"/>
      <c r="B455" s="13"/>
      <c r="C455" s="13"/>
    </row>
    <row r="456" spans="1:3" ht="13" x14ac:dyDescent="0.15">
      <c r="A456" s="10"/>
      <c r="B456" s="13"/>
      <c r="C456" s="13"/>
    </row>
    <row r="457" spans="1:3" ht="13" x14ac:dyDescent="0.15">
      <c r="A457" s="10"/>
      <c r="B457" s="13"/>
      <c r="C457" s="13"/>
    </row>
    <row r="458" spans="1:3" ht="13" x14ac:dyDescent="0.15">
      <c r="A458" s="10"/>
      <c r="B458" s="13"/>
      <c r="C458" s="13"/>
    </row>
    <row r="459" spans="1:3" ht="13" x14ac:dyDescent="0.15">
      <c r="A459" s="10"/>
      <c r="B459" s="13"/>
      <c r="C459" s="13"/>
    </row>
    <row r="460" spans="1:3" ht="13" x14ac:dyDescent="0.15">
      <c r="A460" s="10"/>
      <c r="B460" s="13"/>
      <c r="C460" s="13"/>
    </row>
    <row r="461" spans="1:3" ht="13" x14ac:dyDescent="0.15">
      <c r="A461" s="10"/>
      <c r="B461" s="13"/>
      <c r="C461" s="13"/>
    </row>
    <row r="462" spans="1:3" ht="13" x14ac:dyDescent="0.15">
      <c r="A462" s="10"/>
      <c r="B462" s="13"/>
      <c r="C462" s="13"/>
    </row>
    <row r="463" spans="1:3" ht="13" x14ac:dyDescent="0.15">
      <c r="A463" s="10"/>
      <c r="B463" s="13"/>
      <c r="C463" s="13"/>
    </row>
    <row r="464" spans="1:3" ht="13" x14ac:dyDescent="0.15">
      <c r="A464" s="10"/>
      <c r="B464" s="13"/>
      <c r="C464" s="13"/>
    </row>
    <row r="465" spans="1:3" ht="13" x14ac:dyDescent="0.15">
      <c r="A465" s="10"/>
      <c r="B465" s="13"/>
      <c r="C465" s="13"/>
    </row>
    <row r="466" spans="1:3" ht="13" x14ac:dyDescent="0.15">
      <c r="A466" s="10"/>
      <c r="B466" s="13"/>
      <c r="C466" s="13"/>
    </row>
    <row r="467" spans="1:3" ht="13" x14ac:dyDescent="0.15">
      <c r="A467" s="10"/>
      <c r="B467" s="13"/>
      <c r="C467" s="13"/>
    </row>
    <row r="468" spans="1:3" ht="13" x14ac:dyDescent="0.15">
      <c r="A468" s="10"/>
      <c r="B468" s="13"/>
      <c r="C468" s="13"/>
    </row>
    <row r="469" spans="1:3" ht="13" x14ac:dyDescent="0.15">
      <c r="A469" s="10"/>
      <c r="B469" s="13"/>
      <c r="C469" s="13"/>
    </row>
    <row r="470" spans="1:3" ht="13" x14ac:dyDescent="0.15">
      <c r="A470" s="10"/>
      <c r="B470" s="13"/>
      <c r="C470" s="13"/>
    </row>
    <row r="471" spans="1:3" ht="13" x14ac:dyDescent="0.15">
      <c r="A471" s="10"/>
      <c r="B471" s="13"/>
      <c r="C471" s="13"/>
    </row>
    <row r="472" spans="1:3" ht="13" x14ac:dyDescent="0.15">
      <c r="A472" s="10"/>
      <c r="B472" s="13"/>
      <c r="C472" s="13"/>
    </row>
    <row r="473" spans="1:3" ht="13" x14ac:dyDescent="0.15">
      <c r="A473" s="10"/>
      <c r="B473" s="13"/>
      <c r="C473" s="13"/>
    </row>
    <row r="474" spans="1:3" ht="13" x14ac:dyDescent="0.15">
      <c r="A474" s="10"/>
      <c r="B474" s="13"/>
      <c r="C474" s="13"/>
    </row>
    <row r="475" spans="1:3" ht="13" x14ac:dyDescent="0.15">
      <c r="A475" s="10"/>
      <c r="B475" s="13"/>
      <c r="C475" s="13"/>
    </row>
    <row r="476" spans="1:3" ht="13" x14ac:dyDescent="0.15">
      <c r="A476" s="10"/>
      <c r="B476" s="13"/>
      <c r="C476" s="13"/>
    </row>
    <row r="477" spans="1:3" ht="13" x14ac:dyDescent="0.15">
      <c r="A477" s="10"/>
      <c r="B477" s="13"/>
      <c r="C477" s="13"/>
    </row>
    <row r="478" spans="1:3" ht="13" x14ac:dyDescent="0.15">
      <c r="A478" s="10"/>
      <c r="B478" s="13"/>
      <c r="C478" s="13"/>
    </row>
    <row r="479" spans="1:3" ht="13" x14ac:dyDescent="0.15">
      <c r="A479" s="10"/>
      <c r="B479" s="13"/>
      <c r="C479" s="13"/>
    </row>
    <row r="480" spans="1:3" ht="13" x14ac:dyDescent="0.15">
      <c r="A480" s="10"/>
      <c r="B480" s="13"/>
      <c r="C480" s="13"/>
    </row>
    <row r="481" spans="1:3" ht="13" x14ac:dyDescent="0.15">
      <c r="A481" s="10"/>
      <c r="B481" s="13"/>
      <c r="C481" s="13"/>
    </row>
    <row r="482" spans="1:3" ht="13" x14ac:dyDescent="0.15">
      <c r="A482" s="10"/>
      <c r="B482" s="13"/>
      <c r="C482" s="13"/>
    </row>
    <row r="483" spans="1:3" ht="13" x14ac:dyDescent="0.15">
      <c r="A483" s="10"/>
      <c r="B483" s="13"/>
      <c r="C483" s="13"/>
    </row>
    <row r="484" spans="1:3" ht="13" x14ac:dyDescent="0.15">
      <c r="A484" s="10"/>
      <c r="B484" s="13"/>
      <c r="C484" s="13"/>
    </row>
    <row r="485" spans="1:3" ht="13" x14ac:dyDescent="0.15">
      <c r="A485" s="10"/>
      <c r="B485" s="13"/>
      <c r="C485" s="13"/>
    </row>
    <row r="486" spans="1:3" ht="13" x14ac:dyDescent="0.15">
      <c r="A486" s="10"/>
      <c r="B486" s="13"/>
      <c r="C486" s="13"/>
    </row>
    <row r="487" spans="1:3" ht="13" x14ac:dyDescent="0.15">
      <c r="A487" s="10"/>
      <c r="B487" s="13"/>
      <c r="C487" s="13"/>
    </row>
    <row r="488" spans="1:3" ht="13" x14ac:dyDescent="0.15">
      <c r="A488" s="10"/>
      <c r="B488" s="13"/>
      <c r="C488" s="13"/>
    </row>
    <row r="489" spans="1:3" ht="13" x14ac:dyDescent="0.15">
      <c r="A489" s="10"/>
      <c r="B489" s="13"/>
      <c r="C489" s="13"/>
    </row>
    <row r="490" spans="1:3" ht="13" x14ac:dyDescent="0.15">
      <c r="A490" s="10"/>
      <c r="B490" s="13"/>
      <c r="C490" s="13"/>
    </row>
    <row r="491" spans="1:3" ht="13" x14ac:dyDescent="0.15">
      <c r="A491" s="10"/>
      <c r="B491" s="13"/>
      <c r="C491" s="13"/>
    </row>
    <row r="492" spans="1:3" ht="13" x14ac:dyDescent="0.15">
      <c r="A492" s="10"/>
      <c r="B492" s="13"/>
      <c r="C492" s="13"/>
    </row>
    <row r="493" spans="1:3" ht="13" x14ac:dyDescent="0.15">
      <c r="A493" s="10"/>
      <c r="B493" s="13"/>
      <c r="C493" s="13"/>
    </row>
    <row r="494" spans="1:3" ht="13" x14ac:dyDescent="0.15">
      <c r="A494" s="10"/>
      <c r="B494" s="13"/>
      <c r="C494" s="13"/>
    </row>
    <row r="495" spans="1:3" ht="13" x14ac:dyDescent="0.15">
      <c r="A495" s="10"/>
      <c r="B495" s="13"/>
      <c r="C495" s="13"/>
    </row>
    <row r="496" spans="1:3" ht="13" x14ac:dyDescent="0.15">
      <c r="A496" s="10"/>
      <c r="B496" s="13"/>
      <c r="C496" s="13"/>
    </row>
    <row r="497" spans="1:3" ht="13" x14ac:dyDescent="0.15">
      <c r="A497" s="10"/>
      <c r="B497" s="13"/>
      <c r="C497" s="13"/>
    </row>
    <row r="498" spans="1:3" ht="13" x14ac:dyDescent="0.15">
      <c r="A498" s="10"/>
      <c r="B498" s="13"/>
      <c r="C498" s="13"/>
    </row>
    <row r="499" spans="1:3" ht="13" x14ac:dyDescent="0.15">
      <c r="A499" s="10"/>
      <c r="B499" s="13"/>
      <c r="C499" s="13"/>
    </row>
    <row r="500" spans="1:3" ht="13" x14ac:dyDescent="0.15">
      <c r="A500" s="10"/>
      <c r="B500" s="13"/>
      <c r="C500" s="13"/>
    </row>
    <row r="501" spans="1:3" ht="13" x14ac:dyDescent="0.15">
      <c r="A501" s="10"/>
      <c r="B501" s="13"/>
      <c r="C501" s="13"/>
    </row>
    <row r="502" spans="1:3" ht="13" x14ac:dyDescent="0.15">
      <c r="A502" s="10"/>
      <c r="B502" s="13"/>
      <c r="C502" s="13"/>
    </row>
    <row r="503" spans="1:3" ht="13" x14ac:dyDescent="0.15">
      <c r="A503" s="10"/>
      <c r="B503" s="13"/>
      <c r="C503" s="13"/>
    </row>
    <row r="504" spans="1:3" ht="13" x14ac:dyDescent="0.15">
      <c r="A504" s="10"/>
      <c r="B504" s="13"/>
      <c r="C504" s="13"/>
    </row>
    <row r="505" spans="1:3" ht="13" x14ac:dyDescent="0.15">
      <c r="A505" s="10"/>
      <c r="B505" s="13"/>
      <c r="C505" s="13"/>
    </row>
    <row r="506" spans="1:3" ht="13" x14ac:dyDescent="0.15">
      <c r="A506" s="10"/>
      <c r="B506" s="13"/>
      <c r="C506" s="13"/>
    </row>
    <row r="507" spans="1:3" ht="13" x14ac:dyDescent="0.15">
      <c r="A507" s="10"/>
      <c r="B507" s="13"/>
      <c r="C507" s="13"/>
    </row>
    <row r="508" spans="1:3" ht="13" x14ac:dyDescent="0.15">
      <c r="A508" s="10"/>
      <c r="B508" s="13"/>
      <c r="C508" s="13"/>
    </row>
    <row r="509" spans="1:3" ht="13" x14ac:dyDescent="0.15">
      <c r="A509" s="10"/>
      <c r="B509" s="13"/>
      <c r="C509" s="13"/>
    </row>
    <row r="510" spans="1:3" ht="13" x14ac:dyDescent="0.15">
      <c r="A510" s="10"/>
      <c r="B510" s="13"/>
      <c r="C510" s="13"/>
    </row>
    <row r="511" spans="1:3" ht="13" x14ac:dyDescent="0.15">
      <c r="A511" s="10"/>
      <c r="B511" s="13"/>
      <c r="C511" s="13"/>
    </row>
    <row r="512" spans="1:3" ht="13" x14ac:dyDescent="0.15">
      <c r="A512" s="10"/>
      <c r="B512" s="13"/>
      <c r="C512" s="13"/>
    </row>
    <row r="513" spans="1:3" ht="13" x14ac:dyDescent="0.15">
      <c r="A513" s="10"/>
      <c r="B513" s="13"/>
      <c r="C513" s="13"/>
    </row>
    <row r="514" spans="1:3" ht="13" x14ac:dyDescent="0.15">
      <c r="A514" s="10"/>
      <c r="B514" s="13"/>
      <c r="C514" s="13"/>
    </row>
    <row r="515" spans="1:3" ht="13" x14ac:dyDescent="0.15">
      <c r="A515" s="10"/>
      <c r="B515" s="13"/>
      <c r="C515" s="13"/>
    </row>
    <row r="516" spans="1:3" ht="13" x14ac:dyDescent="0.15">
      <c r="A516" s="10"/>
      <c r="B516" s="13"/>
      <c r="C516" s="13"/>
    </row>
    <row r="517" spans="1:3" ht="13" x14ac:dyDescent="0.15">
      <c r="A517" s="10"/>
      <c r="B517" s="13"/>
      <c r="C517" s="13"/>
    </row>
    <row r="518" spans="1:3" ht="13" x14ac:dyDescent="0.15">
      <c r="A518" s="10"/>
      <c r="B518" s="13"/>
      <c r="C518" s="13"/>
    </row>
    <row r="519" spans="1:3" ht="13" x14ac:dyDescent="0.15">
      <c r="A519" s="10"/>
      <c r="B519" s="13"/>
      <c r="C519" s="13"/>
    </row>
    <row r="520" spans="1:3" ht="13" x14ac:dyDescent="0.15">
      <c r="A520" s="10"/>
      <c r="B520" s="13"/>
      <c r="C520" s="13"/>
    </row>
    <row r="521" spans="1:3" ht="13" x14ac:dyDescent="0.15">
      <c r="A521" s="10"/>
      <c r="B521" s="13"/>
      <c r="C521" s="13"/>
    </row>
    <row r="522" spans="1:3" ht="13" x14ac:dyDescent="0.15">
      <c r="A522" s="10"/>
      <c r="B522" s="13"/>
      <c r="C522" s="13"/>
    </row>
    <row r="523" spans="1:3" ht="13" x14ac:dyDescent="0.15">
      <c r="A523" s="10"/>
      <c r="B523" s="13"/>
      <c r="C523" s="13"/>
    </row>
    <row r="524" spans="1:3" ht="13" x14ac:dyDescent="0.15">
      <c r="A524" s="10"/>
      <c r="B524" s="13"/>
      <c r="C524" s="13"/>
    </row>
    <row r="525" spans="1:3" ht="13" x14ac:dyDescent="0.15">
      <c r="A525" s="10"/>
      <c r="B525" s="13"/>
      <c r="C525" s="13"/>
    </row>
    <row r="526" spans="1:3" ht="13" x14ac:dyDescent="0.15">
      <c r="A526" s="10"/>
      <c r="B526" s="13"/>
      <c r="C526" s="13"/>
    </row>
    <row r="527" spans="1:3" ht="13" x14ac:dyDescent="0.15">
      <c r="A527" s="10"/>
      <c r="B527" s="13"/>
      <c r="C527" s="13"/>
    </row>
    <row r="528" spans="1:3" ht="13" x14ac:dyDescent="0.15">
      <c r="A528" s="10"/>
      <c r="B528" s="13"/>
      <c r="C528" s="13"/>
    </row>
    <row r="529" spans="1:3" ht="13" x14ac:dyDescent="0.15">
      <c r="A529" s="10"/>
      <c r="B529" s="13"/>
      <c r="C529" s="13"/>
    </row>
    <row r="530" spans="1:3" ht="13" x14ac:dyDescent="0.15">
      <c r="A530" s="10"/>
      <c r="B530" s="13"/>
      <c r="C530" s="13"/>
    </row>
    <row r="531" spans="1:3" ht="13" x14ac:dyDescent="0.15">
      <c r="A531" s="10"/>
      <c r="B531" s="13"/>
      <c r="C531" s="13"/>
    </row>
    <row r="532" spans="1:3" ht="13" x14ac:dyDescent="0.15">
      <c r="A532" s="10"/>
      <c r="B532" s="13"/>
      <c r="C532" s="13"/>
    </row>
    <row r="533" spans="1:3" ht="13" x14ac:dyDescent="0.15">
      <c r="A533" s="10"/>
      <c r="B533" s="13"/>
      <c r="C533" s="13"/>
    </row>
    <row r="534" spans="1:3" ht="13" x14ac:dyDescent="0.15">
      <c r="A534" s="10"/>
      <c r="B534" s="13"/>
      <c r="C534" s="13"/>
    </row>
    <row r="535" spans="1:3" ht="13" x14ac:dyDescent="0.15">
      <c r="A535" s="10"/>
      <c r="B535" s="13"/>
      <c r="C535" s="13"/>
    </row>
    <row r="536" spans="1:3" ht="13" x14ac:dyDescent="0.15">
      <c r="A536" s="10"/>
      <c r="B536" s="13"/>
      <c r="C536" s="13"/>
    </row>
    <row r="537" spans="1:3" ht="13" x14ac:dyDescent="0.15">
      <c r="A537" s="10"/>
      <c r="B537" s="13"/>
      <c r="C537" s="13"/>
    </row>
    <row r="538" spans="1:3" ht="13" x14ac:dyDescent="0.15">
      <c r="A538" s="10"/>
      <c r="B538" s="13"/>
      <c r="C538" s="13"/>
    </row>
    <row r="539" spans="1:3" ht="13" x14ac:dyDescent="0.15">
      <c r="A539" s="10"/>
      <c r="B539" s="13"/>
      <c r="C539" s="13"/>
    </row>
    <row r="540" spans="1:3" ht="13" x14ac:dyDescent="0.15">
      <c r="A540" s="10"/>
      <c r="B540" s="13"/>
      <c r="C540" s="13"/>
    </row>
    <row r="541" spans="1:3" ht="13" x14ac:dyDescent="0.15">
      <c r="A541" s="10"/>
      <c r="B541" s="13"/>
      <c r="C541" s="13"/>
    </row>
    <row r="542" spans="1:3" ht="13" x14ac:dyDescent="0.15">
      <c r="A542" s="10"/>
      <c r="B542" s="13"/>
      <c r="C542" s="13"/>
    </row>
    <row r="543" spans="1:3" ht="13" x14ac:dyDescent="0.15">
      <c r="A543" s="10"/>
      <c r="B543" s="13"/>
      <c r="C543" s="13"/>
    </row>
    <row r="544" spans="1:3" ht="13" x14ac:dyDescent="0.15">
      <c r="A544" s="10"/>
      <c r="B544" s="13"/>
      <c r="C544" s="13"/>
    </row>
    <row r="545" spans="1:3" ht="13" x14ac:dyDescent="0.15">
      <c r="A545" s="10"/>
      <c r="B545" s="13"/>
      <c r="C545" s="13"/>
    </row>
    <row r="546" spans="1:3" ht="13" x14ac:dyDescent="0.15">
      <c r="A546" s="10"/>
      <c r="B546" s="13"/>
      <c r="C546" s="13"/>
    </row>
    <row r="547" spans="1:3" ht="13" x14ac:dyDescent="0.15">
      <c r="A547" s="10"/>
      <c r="B547" s="13"/>
      <c r="C547" s="13"/>
    </row>
    <row r="548" spans="1:3" ht="13" x14ac:dyDescent="0.15">
      <c r="A548" s="10"/>
      <c r="B548" s="13"/>
      <c r="C548" s="13"/>
    </row>
    <row r="549" spans="1:3" ht="13" x14ac:dyDescent="0.15">
      <c r="A549" s="10"/>
      <c r="B549" s="13"/>
      <c r="C549" s="13"/>
    </row>
    <row r="550" spans="1:3" ht="13" x14ac:dyDescent="0.15">
      <c r="A550" s="10"/>
      <c r="B550" s="13"/>
      <c r="C550" s="13"/>
    </row>
    <row r="551" spans="1:3" ht="13" x14ac:dyDescent="0.15">
      <c r="A551" s="10"/>
      <c r="B551" s="13"/>
      <c r="C551" s="13"/>
    </row>
    <row r="552" spans="1:3" ht="13" x14ac:dyDescent="0.15">
      <c r="A552" s="10"/>
      <c r="B552" s="13"/>
      <c r="C552" s="13"/>
    </row>
    <row r="553" spans="1:3" ht="13" x14ac:dyDescent="0.15">
      <c r="A553" s="10"/>
      <c r="B553" s="13"/>
      <c r="C553" s="13"/>
    </row>
    <row r="554" spans="1:3" ht="13" x14ac:dyDescent="0.15">
      <c r="A554" s="10"/>
      <c r="B554" s="13"/>
      <c r="C554" s="13"/>
    </row>
    <row r="555" spans="1:3" ht="13" x14ac:dyDescent="0.15">
      <c r="A555" s="10"/>
      <c r="B555" s="13"/>
      <c r="C555" s="13"/>
    </row>
    <row r="556" spans="1:3" ht="13" x14ac:dyDescent="0.15">
      <c r="A556" s="10"/>
      <c r="B556" s="13"/>
      <c r="C556" s="13"/>
    </row>
    <row r="557" spans="1:3" ht="13" x14ac:dyDescent="0.15">
      <c r="A557" s="10"/>
      <c r="B557" s="13"/>
      <c r="C557" s="13"/>
    </row>
    <row r="558" spans="1:3" ht="13" x14ac:dyDescent="0.15">
      <c r="A558" s="10"/>
      <c r="B558" s="13"/>
      <c r="C558" s="13"/>
    </row>
    <row r="559" spans="1:3" ht="13" x14ac:dyDescent="0.15">
      <c r="A559" s="10"/>
      <c r="B559" s="13"/>
      <c r="C559" s="13"/>
    </row>
    <row r="560" spans="1:3" ht="13" x14ac:dyDescent="0.15">
      <c r="A560" s="10"/>
      <c r="B560" s="13"/>
      <c r="C560" s="13"/>
    </row>
    <row r="561" spans="1:3" ht="13" x14ac:dyDescent="0.15">
      <c r="A561" s="10"/>
      <c r="B561" s="13"/>
      <c r="C561" s="13"/>
    </row>
    <row r="562" spans="1:3" ht="13" x14ac:dyDescent="0.15">
      <c r="A562" s="10"/>
      <c r="B562" s="13"/>
      <c r="C562" s="13"/>
    </row>
    <row r="563" spans="1:3" ht="13" x14ac:dyDescent="0.15">
      <c r="A563" s="10"/>
      <c r="B563" s="13"/>
      <c r="C563" s="13"/>
    </row>
    <row r="564" spans="1:3" ht="13" x14ac:dyDescent="0.15">
      <c r="A564" s="10"/>
      <c r="B564" s="13"/>
      <c r="C564" s="13"/>
    </row>
    <row r="565" spans="1:3" ht="13" x14ac:dyDescent="0.15">
      <c r="A565" s="10"/>
      <c r="B565" s="13"/>
      <c r="C565" s="13"/>
    </row>
    <row r="566" spans="1:3" ht="13" x14ac:dyDescent="0.15">
      <c r="A566" s="10"/>
      <c r="B566" s="13"/>
      <c r="C566" s="13"/>
    </row>
    <row r="567" spans="1:3" ht="13" x14ac:dyDescent="0.15">
      <c r="A567" s="10"/>
      <c r="B567" s="13"/>
      <c r="C567" s="13"/>
    </row>
    <row r="568" spans="1:3" ht="13" x14ac:dyDescent="0.15">
      <c r="A568" s="10"/>
      <c r="B568" s="13"/>
      <c r="C568" s="13"/>
    </row>
    <row r="569" spans="1:3" ht="13" x14ac:dyDescent="0.15">
      <c r="A569" s="10"/>
      <c r="B569" s="13"/>
      <c r="C569" s="13"/>
    </row>
    <row r="570" spans="1:3" ht="13" x14ac:dyDescent="0.15">
      <c r="A570" s="10"/>
      <c r="B570" s="13"/>
      <c r="C570" s="13"/>
    </row>
    <row r="571" spans="1:3" ht="13" x14ac:dyDescent="0.15">
      <c r="A571" s="10"/>
      <c r="B571" s="13"/>
      <c r="C571" s="13"/>
    </row>
    <row r="572" spans="1:3" ht="13" x14ac:dyDescent="0.15">
      <c r="A572" s="10"/>
      <c r="B572" s="13"/>
      <c r="C572" s="13"/>
    </row>
    <row r="573" spans="1:3" ht="13" x14ac:dyDescent="0.15">
      <c r="A573" s="10"/>
      <c r="B573" s="13"/>
      <c r="C573" s="13"/>
    </row>
    <row r="574" spans="1:3" ht="13" x14ac:dyDescent="0.15">
      <c r="A574" s="10"/>
      <c r="B574" s="13"/>
      <c r="C574" s="13"/>
    </row>
    <row r="575" spans="1:3" ht="13" x14ac:dyDescent="0.15">
      <c r="A575" s="10"/>
      <c r="B575" s="13"/>
      <c r="C575" s="13"/>
    </row>
    <row r="576" spans="1:3" ht="13" x14ac:dyDescent="0.15">
      <c r="A576" s="10"/>
      <c r="B576" s="13"/>
      <c r="C576" s="13"/>
    </row>
    <row r="577" spans="1:3" ht="13" x14ac:dyDescent="0.15">
      <c r="A577" s="10"/>
      <c r="B577" s="13"/>
      <c r="C577" s="13"/>
    </row>
    <row r="578" spans="1:3" ht="13" x14ac:dyDescent="0.15">
      <c r="A578" s="10"/>
      <c r="B578" s="13"/>
      <c r="C578" s="13"/>
    </row>
    <row r="579" spans="1:3" ht="13" x14ac:dyDescent="0.15">
      <c r="A579" s="10"/>
      <c r="B579" s="13"/>
      <c r="C579" s="13"/>
    </row>
    <row r="580" spans="1:3" ht="13" x14ac:dyDescent="0.15">
      <c r="A580" s="10"/>
      <c r="B580" s="13"/>
      <c r="C580" s="13"/>
    </row>
    <row r="581" spans="1:3" ht="13" x14ac:dyDescent="0.15">
      <c r="A581" s="10"/>
      <c r="B581" s="13"/>
      <c r="C581" s="13"/>
    </row>
    <row r="582" spans="1:3" ht="13" x14ac:dyDescent="0.15">
      <c r="A582" s="10"/>
      <c r="B582" s="13"/>
      <c r="C582" s="13"/>
    </row>
    <row r="583" spans="1:3" ht="13" x14ac:dyDescent="0.15">
      <c r="A583" s="10"/>
      <c r="B583" s="13"/>
      <c r="C583" s="13"/>
    </row>
    <row r="584" spans="1:3" ht="13" x14ac:dyDescent="0.15">
      <c r="A584" s="10"/>
      <c r="B584" s="13"/>
      <c r="C584" s="13"/>
    </row>
    <row r="585" spans="1:3" ht="13" x14ac:dyDescent="0.15">
      <c r="A585" s="10"/>
      <c r="B585" s="13"/>
      <c r="C585" s="13"/>
    </row>
    <row r="586" spans="1:3" ht="13" x14ac:dyDescent="0.15">
      <c r="A586" s="10"/>
      <c r="B586" s="13"/>
      <c r="C586" s="13"/>
    </row>
    <row r="587" spans="1:3" ht="13" x14ac:dyDescent="0.15">
      <c r="A587" s="10"/>
      <c r="B587" s="13"/>
      <c r="C587" s="13"/>
    </row>
    <row r="588" spans="1:3" ht="13" x14ac:dyDescent="0.15">
      <c r="A588" s="10"/>
      <c r="B588" s="13"/>
      <c r="C588" s="13"/>
    </row>
    <row r="589" spans="1:3" ht="13" x14ac:dyDescent="0.15">
      <c r="A589" s="10"/>
      <c r="B589" s="13"/>
      <c r="C589" s="13"/>
    </row>
    <row r="590" spans="1:3" ht="13" x14ac:dyDescent="0.15">
      <c r="A590" s="10"/>
      <c r="B590" s="13"/>
      <c r="C590" s="13"/>
    </row>
    <row r="591" spans="1:3" ht="13" x14ac:dyDescent="0.15">
      <c r="A591" s="10"/>
      <c r="B591" s="13"/>
      <c r="C591" s="13"/>
    </row>
    <row r="592" spans="1:3" ht="13" x14ac:dyDescent="0.15">
      <c r="A592" s="10"/>
      <c r="B592" s="13"/>
      <c r="C592" s="13"/>
    </row>
    <row r="593" spans="1:3" ht="13" x14ac:dyDescent="0.15">
      <c r="A593" s="10"/>
      <c r="B593" s="13"/>
      <c r="C593" s="13"/>
    </row>
    <row r="594" spans="1:3" ht="13" x14ac:dyDescent="0.15">
      <c r="A594" s="10"/>
      <c r="B594" s="13"/>
      <c r="C594" s="13"/>
    </row>
    <row r="595" spans="1:3" ht="13" x14ac:dyDescent="0.15">
      <c r="A595" s="10"/>
      <c r="B595" s="13"/>
      <c r="C595" s="13"/>
    </row>
    <row r="596" spans="1:3" ht="13" x14ac:dyDescent="0.15">
      <c r="A596" s="10"/>
      <c r="B596" s="13"/>
      <c r="C596" s="13"/>
    </row>
    <row r="597" spans="1:3" ht="13" x14ac:dyDescent="0.15">
      <c r="A597" s="10"/>
      <c r="B597" s="13"/>
      <c r="C597" s="13"/>
    </row>
    <row r="598" spans="1:3" ht="13" x14ac:dyDescent="0.15">
      <c r="A598" s="10"/>
      <c r="B598" s="13"/>
      <c r="C598" s="13"/>
    </row>
    <row r="599" spans="1:3" ht="13" x14ac:dyDescent="0.15">
      <c r="A599" s="10"/>
      <c r="B599" s="13"/>
      <c r="C599" s="13"/>
    </row>
    <row r="600" spans="1:3" ht="13" x14ac:dyDescent="0.15">
      <c r="A600" s="10"/>
      <c r="B600" s="13"/>
      <c r="C600" s="13"/>
    </row>
    <row r="601" spans="1:3" ht="13" x14ac:dyDescent="0.15">
      <c r="A601" s="10"/>
      <c r="B601" s="13"/>
      <c r="C601" s="13"/>
    </row>
    <row r="602" spans="1:3" ht="13" x14ac:dyDescent="0.15">
      <c r="A602" s="10"/>
      <c r="B602" s="13"/>
      <c r="C602" s="13"/>
    </row>
    <row r="603" spans="1:3" ht="13" x14ac:dyDescent="0.15">
      <c r="A603" s="10"/>
      <c r="B603" s="13"/>
      <c r="C603" s="13"/>
    </row>
    <row r="604" spans="1:3" ht="13" x14ac:dyDescent="0.15">
      <c r="A604" s="10"/>
      <c r="B604" s="13"/>
      <c r="C604" s="13"/>
    </row>
    <row r="605" spans="1:3" ht="13" x14ac:dyDescent="0.15">
      <c r="A605" s="10"/>
      <c r="B605" s="13"/>
      <c r="C605" s="13"/>
    </row>
    <row r="606" spans="1:3" ht="13" x14ac:dyDescent="0.15">
      <c r="A606" s="10"/>
      <c r="B606" s="13"/>
      <c r="C606" s="13"/>
    </row>
    <row r="607" spans="1:3" ht="13" x14ac:dyDescent="0.15">
      <c r="A607" s="10"/>
      <c r="B607" s="13"/>
      <c r="C607" s="13"/>
    </row>
    <row r="608" spans="1:3" ht="13" x14ac:dyDescent="0.15">
      <c r="A608" s="10"/>
      <c r="B608" s="13"/>
      <c r="C608" s="13"/>
    </row>
    <row r="609" spans="1:3" ht="13" x14ac:dyDescent="0.15">
      <c r="A609" s="10"/>
      <c r="B609" s="13"/>
      <c r="C609" s="13"/>
    </row>
    <row r="610" spans="1:3" ht="13" x14ac:dyDescent="0.15">
      <c r="A610" s="10"/>
      <c r="B610" s="13"/>
      <c r="C610" s="13"/>
    </row>
    <row r="611" spans="1:3" ht="13" x14ac:dyDescent="0.15">
      <c r="A611" s="10"/>
      <c r="B611" s="13"/>
      <c r="C611" s="13"/>
    </row>
    <row r="612" spans="1:3" ht="13" x14ac:dyDescent="0.15">
      <c r="A612" s="10"/>
      <c r="B612" s="13"/>
      <c r="C612" s="13"/>
    </row>
    <row r="613" spans="1:3" ht="13" x14ac:dyDescent="0.15">
      <c r="A613" s="10"/>
      <c r="B613" s="13"/>
      <c r="C613" s="13"/>
    </row>
    <row r="614" spans="1:3" ht="13" x14ac:dyDescent="0.15">
      <c r="A614" s="10"/>
      <c r="B614" s="13"/>
      <c r="C614" s="13"/>
    </row>
    <row r="615" spans="1:3" ht="13" x14ac:dyDescent="0.15">
      <c r="A615" s="10"/>
      <c r="B615" s="13"/>
      <c r="C615" s="13"/>
    </row>
    <row r="616" spans="1:3" ht="13" x14ac:dyDescent="0.15">
      <c r="A616" s="10"/>
      <c r="B616" s="13"/>
      <c r="C616" s="13"/>
    </row>
    <row r="617" spans="1:3" ht="13" x14ac:dyDescent="0.15">
      <c r="A617" s="10"/>
      <c r="B617" s="13"/>
      <c r="C617" s="13"/>
    </row>
    <row r="618" spans="1:3" ht="13" x14ac:dyDescent="0.15">
      <c r="A618" s="10"/>
      <c r="B618" s="13"/>
      <c r="C618" s="13"/>
    </row>
    <row r="619" spans="1:3" ht="13" x14ac:dyDescent="0.15">
      <c r="A619" s="10"/>
      <c r="B619" s="13"/>
      <c r="C619" s="13"/>
    </row>
    <row r="620" spans="1:3" ht="13" x14ac:dyDescent="0.15">
      <c r="A620" s="10"/>
      <c r="B620" s="13"/>
      <c r="C620" s="13"/>
    </row>
    <row r="621" spans="1:3" ht="13" x14ac:dyDescent="0.15">
      <c r="A621" s="10"/>
      <c r="B621" s="13"/>
      <c r="C621" s="13"/>
    </row>
    <row r="622" spans="1:3" ht="13" x14ac:dyDescent="0.15">
      <c r="A622" s="10"/>
      <c r="B622" s="13"/>
      <c r="C622" s="13"/>
    </row>
    <row r="623" spans="1:3" ht="13" x14ac:dyDescent="0.15">
      <c r="A623" s="10"/>
      <c r="B623" s="13"/>
      <c r="C623" s="13"/>
    </row>
    <row r="624" spans="1:3" ht="13" x14ac:dyDescent="0.15">
      <c r="A624" s="10"/>
      <c r="B624" s="13"/>
      <c r="C624" s="13"/>
    </row>
    <row r="625" spans="1:3" ht="13" x14ac:dyDescent="0.15">
      <c r="A625" s="10"/>
      <c r="B625" s="13"/>
      <c r="C625" s="13"/>
    </row>
    <row r="626" spans="1:3" ht="13" x14ac:dyDescent="0.15">
      <c r="A626" s="10"/>
      <c r="B626" s="13"/>
      <c r="C626" s="13"/>
    </row>
    <row r="627" spans="1:3" ht="13" x14ac:dyDescent="0.15">
      <c r="A627" s="10"/>
      <c r="B627" s="13"/>
      <c r="C627" s="13"/>
    </row>
    <row r="628" spans="1:3" ht="13" x14ac:dyDescent="0.15">
      <c r="A628" s="10"/>
      <c r="B628" s="13"/>
      <c r="C628" s="13"/>
    </row>
    <row r="629" spans="1:3" ht="13" x14ac:dyDescent="0.15">
      <c r="A629" s="10"/>
      <c r="B629" s="13"/>
      <c r="C629" s="13"/>
    </row>
    <row r="630" spans="1:3" ht="13" x14ac:dyDescent="0.15">
      <c r="A630" s="10"/>
      <c r="B630" s="13"/>
      <c r="C630" s="13"/>
    </row>
    <row r="631" spans="1:3" ht="13" x14ac:dyDescent="0.15">
      <c r="A631" s="10"/>
      <c r="B631" s="13"/>
      <c r="C631" s="13"/>
    </row>
    <row r="632" spans="1:3" ht="13" x14ac:dyDescent="0.15">
      <c r="A632" s="10"/>
      <c r="B632" s="13"/>
      <c r="C632" s="13"/>
    </row>
    <row r="633" spans="1:3" ht="13" x14ac:dyDescent="0.15">
      <c r="A633" s="10"/>
      <c r="B633" s="13"/>
      <c r="C633" s="13"/>
    </row>
    <row r="634" spans="1:3" ht="13" x14ac:dyDescent="0.15">
      <c r="A634" s="10"/>
      <c r="B634" s="13"/>
      <c r="C634" s="13"/>
    </row>
    <row r="635" spans="1:3" ht="13" x14ac:dyDescent="0.15">
      <c r="A635" s="10"/>
      <c r="B635" s="13"/>
      <c r="C635" s="13"/>
    </row>
    <row r="636" spans="1:3" ht="13" x14ac:dyDescent="0.15">
      <c r="A636" s="10"/>
      <c r="B636" s="13"/>
      <c r="C636" s="13"/>
    </row>
    <row r="637" spans="1:3" ht="13" x14ac:dyDescent="0.15">
      <c r="A637" s="10"/>
      <c r="B637" s="13"/>
      <c r="C637" s="13"/>
    </row>
    <row r="638" spans="1:3" ht="13" x14ac:dyDescent="0.15">
      <c r="A638" s="10"/>
      <c r="B638" s="13"/>
      <c r="C638" s="13"/>
    </row>
    <row r="639" spans="1:3" ht="13" x14ac:dyDescent="0.15">
      <c r="A639" s="10"/>
      <c r="B639" s="13"/>
      <c r="C639" s="13"/>
    </row>
    <row r="640" spans="1:3" ht="13" x14ac:dyDescent="0.15">
      <c r="A640" s="10"/>
      <c r="B640" s="13"/>
      <c r="C640" s="13"/>
    </row>
    <row r="641" spans="1:3" ht="13" x14ac:dyDescent="0.15">
      <c r="A641" s="10"/>
      <c r="B641" s="13"/>
      <c r="C641" s="13"/>
    </row>
    <row r="642" spans="1:3" ht="13" x14ac:dyDescent="0.15">
      <c r="A642" s="10"/>
      <c r="B642" s="13"/>
      <c r="C642" s="13"/>
    </row>
    <row r="643" spans="1:3" ht="13" x14ac:dyDescent="0.15">
      <c r="A643" s="10"/>
      <c r="B643" s="13"/>
      <c r="C643" s="13"/>
    </row>
    <row r="644" spans="1:3" ht="13" x14ac:dyDescent="0.15">
      <c r="A644" s="10"/>
      <c r="B644" s="13"/>
      <c r="C644" s="13"/>
    </row>
    <row r="645" spans="1:3" ht="13" x14ac:dyDescent="0.15">
      <c r="A645" s="10"/>
      <c r="B645" s="13"/>
      <c r="C645" s="13"/>
    </row>
    <row r="646" spans="1:3" ht="13" x14ac:dyDescent="0.15">
      <c r="A646" s="10"/>
      <c r="B646" s="13"/>
      <c r="C646" s="13"/>
    </row>
    <row r="647" spans="1:3" ht="13" x14ac:dyDescent="0.15">
      <c r="A647" s="10"/>
      <c r="B647" s="13"/>
      <c r="C647" s="13"/>
    </row>
    <row r="648" spans="1:3" ht="13" x14ac:dyDescent="0.15">
      <c r="A648" s="10"/>
      <c r="B648" s="13"/>
      <c r="C648" s="13"/>
    </row>
    <row r="649" spans="1:3" ht="13" x14ac:dyDescent="0.15">
      <c r="A649" s="10"/>
      <c r="B649" s="13"/>
      <c r="C649" s="13"/>
    </row>
    <row r="650" spans="1:3" ht="13" x14ac:dyDescent="0.15">
      <c r="A650" s="10"/>
      <c r="B650" s="13"/>
      <c r="C650" s="13"/>
    </row>
    <row r="651" spans="1:3" ht="13" x14ac:dyDescent="0.15">
      <c r="A651" s="10"/>
      <c r="B651" s="13"/>
      <c r="C651" s="13"/>
    </row>
    <row r="652" spans="1:3" ht="13" x14ac:dyDescent="0.15">
      <c r="A652" s="10"/>
      <c r="B652" s="13"/>
      <c r="C652" s="13"/>
    </row>
    <row r="653" spans="1:3" ht="13" x14ac:dyDescent="0.15">
      <c r="A653" s="10"/>
      <c r="B653" s="13"/>
      <c r="C653" s="13"/>
    </row>
    <row r="654" spans="1:3" ht="13" x14ac:dyDescent="0.15">
      <c r="A654" s="10"/>
      <c r="B654" s="13"/>
      <c r="C654" s="13"/>
    </row>
    <row r="655" spans="1:3" ht="13" x14ac:dyDescent="0.15">
      <c r="A655" s="10"/>
      <c r="B655" s="13"/>
      <c r="C655" s="13"/>
    </row>
    <row r="656" spans="1:3" ht="13" x14ac:dyDescent="0.15">
      <c r="A656" s="10"/>
      <c r="B656" s="13"/>
      <c r="C656" s="13"/>
    </row>
    <row r="657" spans="1:3" ht="13" x14ac:dyDescent="0.15">
      <c r="A657" s="10"/>
      <c r="B657" s="13"/>
      <c r="C657" s="13"/>
    </row>
    <row r="658" spans="1:3" ht="13" x14ac:dyDescent="0.15">
      <c r="A658" s="10"/>
      <c r="B658" s="13"/>
      <c r="C658" s="13"/>
    </row>
    <row r="659" spans="1:3" ht="13" x14ac:dyDescent="0.15">
      <c r="A659" s="10"/>
      <c r="B659" s="13"/>
      <c r="C659" s="13"/>
    </row>
    <row r="660" spans="1:3" ht="13" x14ac:dyDescent="0.15">
      <c r="A660" s="10"/>
      <c r="B660" s="13"/>
      <c r="C660" s="13"/>
    </row>
    <row r="661" spans="1:3" ht="13" x14ac:dyDescent="0.15">
      <c r="A661" s="10"/>
      <c r="B661" s="13"/>
      <c r="C661" s="13"/>
    </row>
    <row r="662" spans="1:3" ht="13" x14ac:dyDescent="0.15">
      <c r="A662" s="10"/>
      <c r="B662" s="13"/>
      <c r="C662" s="13"/>
    </row>
    <row r="663" spans="1:3" ht="13" x14ac:dyDescent="0.15">
      <c r="A663" s="10"/>
      <c r="B663" s="13"/>
      <c r="C663" s="13"/>
    </row>
    <row r="664" spans="1:3" ht="13" x14ac:dyDescent="0.15">
      <c r="A664" s="10"/>
      <c r="B664" s="13"/>
      <c r="C664" s="13"/>
    </row>
    <row r="665" spans="1:3" ht="13" x14ac:dyDescent="0.15">
      <c r="A665" s="10"/>
      <c r="B665" s="13"/>
      <c r="C665" s="13"/>
    </row>
    <row r="666" spans="1:3" ht="13" x14ac:dyDescent="0.15">
      <c r="A666" s="10"/>
      <c r="B666" s="13"/>
      <c r="C666" s="13"/>
    </row>
    <row r="667" spans="1:3" ht="13" x14ac:dyDescent="0.15">
      <c r="A667" s="10"/>
      <c r="B667" s="13"/>
      <c r="C667" s="13"/>
    </row>
    <row r="668" spans="1:3" ht="13" x14ac:dyDescent="0.15">
      <c r="A668" s="10"/>
      <c r="B668" s="13"/>
      <c r="C668" s="13"/>
    </row>
    <row r="669" spans="1:3" ht="13" x14ac:dyDescent="0.15">
      <c r="A669" s="10"/>
      <c r="B669" s="13"/>
      <c r="C669" s="13"/>
    </row>
    <row r="670" spans="1:3" ht="13" x14ac:dyDescent="0.15">
      <c r="A670" s="10"/>
      <c r="B670" s="13"/>
      <c r="C670" s="13"/>
    </row>
    <row r="671" spans="1:3" ht="13" x14ac:dyDescent="0.15">
      <c r="A671" s="10"/>
      <c r="B671" s="13"/>
      <c r="C671" s="13"/>
    </row>
    <row r="672" spans="1:3" ht="13" x14ac:dyDescent="0.15">
      <c r="A672" s="10"/>
      <c r="B672" s="13"/>
      <c r="C672" s="13"/>
    </row>
    <row r="673" spans="1:3" ht="13" x14ac:dyDescent="0.15">
      <c r="A673" s="10"/>
      <c r="B673" s="13"/>
      <c r="C673" s="13"/>
    </row>
    <row r="674" spans="1:3" ht="13" x14ac:dyDescent="0.15">
      <c r="A674" s="10"/>
      <c r="B674" s="13"/>
      <c r="C674" s="13"/>
    </row>
    <row r="675" spans="1:3" ht="13" x14ac:dyDescent="0.15">
      <c r="A675" s="10"/>
      <c r="B675" s="13"/>
      <c r="C675" s="13"/>
    </row>
    <row r="676" spans="1:3" ht="13" x14ac:dyDescent="0.15">
      <c r="A676" s="10"/>
      <c r="B676" s="13"/>
      <c r="C676" s="13"/>
    </row>
    <row r="677" spans="1:3" ht="13" x14ac:dyDescent="0.15">
      <c r="A677" s="10"/>
      <c r="B677" s="13"/>
      <c r="C677" s="13"/>
    </row>
    <row r="678" spans="1:3" ht="13" x14ac:dyDescent="0.15">
      <c r="A678" s="10"/>
      <c r="B678" s="13"/>
      <c r="C678" s="13"/>
    </row>
    <row r="679" spans="1:3" ht="13" x14ac:dyDescent="0.15">
      <c r="A679" s="10"/>
      <c r="B679" s="13"/>
      <c r="C679" s="13"/>
    </row>
    <row r="680" spans="1:3" ht="13" x14ac:dyDescent="0.15">
      <c r="A680" s="10"/>
      <c r="B680" s="13"/>
      <c r="C680" s="13"/>
    </row>
    <row r="681" spans="1:3" ht="13" x14ac:dyDescent="0.15">
      <c r="A681" s="10"/>
      <c r="B681" s="13"/>
      <c r="C681" s="13"/>
    </row>
    <row r="682" spans="1:3" ht="13" x14ac:dyDescent="0.15">
      <c r="A682" s="10"/>
      <c r="B682" s="13"/>
      <c r="C682" s="13"/>
    </row>
    <row r="683" spans="1:3" ht="13" x14ac:dyDescent="0.15">
      <c r="A683" s="10"/>
      <c r="B683" s="13"/>
      <c r="C683" s="13"/>
    </row>
    <row r="684" spans="1:3" ht="13" x14ac:dyDescent="0.15">
      <c r="A684" s="10"/>
      <c r="B684" s="13"/>
      <c r="C684" s="13"/>
    </row>
    <row r="685" spans="1:3" ht="13" x14ac:dyDescent="0.15">
      <c r="A685" s="10"/>
      <c r="B685" s="13"/>
      <c r="C685" s="13"/>
    </row>
    <row r="686" spans="1:3" ht="13" x14ac:dyDescent="0.15">
      <c r="A686" s="10"/>
      <c r="B686" s="13"/>
      <c r="C686" s="13"/>
    </row>
    <row r="687" spans="1:3" ht="13" x14ac:dyDescent="0.15">
      <c r="A687" s="10"/>
      <c r="B687" s="13"/>
      <c r="C687" s="13"/>
    </row>
    <row r="688" spans="1:3" ht="13" x14ac:dyDescent="0.15">
      <c r="A688" s="10"/>
      <c r="B688" s="13"/>
      <c r="C688" s="13"/>
    </row>
    <row r="689" spans="1:3" ht="13" x14ac:dyDescent="0.15">
      <c r="A689" s="10"/>
      <c r="B689" s="13"/>
      <c r="C689" s="13"/>
    </row>
    <row r="690" spans="1:3" ht="13" x14ac:dyDescent="0.15">
      <c r="A690" s="10"/>
      <c r="B690" s="13"/>
      <c r="C690" s="13"/>
    </row>
    <row r="691" spans="1:3" ht="13" x14ac:dyDescent="0.15">
      <c r="A691" s="10"/>
      <c r="B691" s="13"/>
      <c r="C691" s="13"/>
    </row>
    <row r="692" spans="1:3" ht="13" x14ac:dyDescent="0.15">
      <c r="A692" s="10"/>
      <c r="B692" s="13"/>
      <c r="C692" s="13"/>
    </row>
    <row r="693" spans="1:3" ht="13" x14ac:dyDescent="0.15">
      <c r="A693" s="10"/>
      <c r="B693" s="13"/>
      <c r="C693" s="13"/>
    </row>
    <row r="694" spans="1:3" ht="13" x14ac:dyDescent="0.15">
      <c r="A694" s="10"/>
      <c r="B694" s="13"/>
      <c r="C694" s="13"/>
    </row>
    <row r="695" spans="1:3" ht="13" x14ac:dyDescent="0.15">
      <c r="A695" s="10"/>
      <c r="B695" s="13"/>
      <c r="C695" s="13"/>
    </row>
    <row r="696" spans="1:3" ht="13" x14ac:dyDescent="0.15">
      <c r="A696" s="10"/>
      <c r="B696" s="13"/>
      <c r="C696" s="13"/>
    </row>
    <row r="697" spans="1:3" ht="13" x14ac:dyDescent="0.15">
      <c r="A697" s="10"/>
      <c r="B697" s="13"/>
      <c r="C697" s="13"/>
    </row>
    <row r="698" spans="1:3" ht="13" x14ac:dyDescent="0.15">
      <c r="A698" s="10"/>
      <c r="B698" s="13"/>
      <c r="C698" s="13"/>
    </row>
    <row r="699" spans="1:3" ht="13" x14ac:dyDescent="0.15">
      <c r="A699" s="10"/>
      <c r="B699" s="13"/>
      <c r="C699" s="13"/>
    </row>
    <row r="700" spans="1:3" ht="13" x14ac:dyDescent="0.15">
      <c r="A700" s="10"/>
      <c r="B700" s="13"/>
      <c r="C700" s="13"/>
    </row>
    <row r="701" spans="1:3" ht="13" x14ac:dyDescent="0.15">
      <c r="A701" s="10"/>
      <c r="B701" s="13"/>
      <c r="C701" s="13"/>
    </row>
    <row r="702" spans="1:3" ht="13" x14ac:dyDescent="0.15">
      <c r="A702" s="10"/>
      <c r="B702" s="13"/>
      <c r="C702" s="13"/>
    </row>
    <row r="703" spans="1:3" ht="13" x14ac:dyDescent="0.15">
      <c r="A703" s="10"/>
      <c r="B703" s="13"/>
      <c r="C703" s="13"/>
    </row>
    <row r="704" spans="1:3" ht="13" x14ac:dyDescent="0.15">
      <c r="A704" s="10"/>
      <c r="B704" s="13"/>
      <c r="C704" s="13"/>
    </row>
    <row r="705" spans="1:3" ht="13" x14ac:dyDescent="0.15">
      <c r="A705" s="10"/>
      <c r="B705" s="13"/>
      <c r="C705" s="13"/>
    </row>
    <row r="706" spans="1:3" ht="13" x14ac:dyDescent="0.15">
      <c r="A706" s="10"/>
      <c r="B706" s="13"/>
      <c r="C706" s="13"/>
    </row>
    <row r="707" spans="1:3" ht="13" x14ac:dyDescent="0.15">
      <c r="A707" s="10"/>
      <c r="B707" s="13"/>
      <c r="C707" s="13"/>
    </row>
    <row r="708" spans="1:3" ht="13" x14ac:dyDescent="0.15">
      <c r="A708" s="10"/>
      <c r="B708" s="13"/>
      <c r="C708" s="13"/>
    </row>
    <row r="709" spans="1:3" ht="13" x14ac:dyDescent="0.15">
      <c r="A709" s="10"/>
      <c r="B709" s="13"/>
      <c r="C709" s="13"/>
    </row>
    <row r="710" spans="1:3" ht="13" x14ac:dyDescent="0.15">
      <c r="A710" s="10"/>
      <c r="B710" s="13"/>
      <c r="C710" s="13"/>
    </row>
    <row r="711" spans="1:3" ht="13" x14ac:dyDescent="0.15">
      <c r="A711" s="10"/>
      <c r="B711" s="13"/>
      <c r="C711" s="13"/>
    </row>
    <row r="712" spans="1:3" ht="13" x14ac:dyDescent="0.15">
      <c r="A712" s="10"/>
      <c r="B712" s="13"/>
      <c r="C712" s="13"/>
    </row>
    <row r="713" spans="1:3" ht="13" x14ac:dyDescent="0.15">
      <c r="A713" s="10"/>
      <c r="B713" s="13"/>
      <c r="C713" s="13"/>
    </row>
    <row r="714" spans="1:3" ht="13" x14ac:dyDescent="0.15">
      <c r="A714" s="10"/>
      <c r="B714" s="13"/>
      <c r="C714" s="13"/>
    </row>
    <row r="715" spans="1:3" ht="13" x14ac:dyDescent="0.15">
      <c r="A715" s="10"/>
      <c r="B715" s="13"/>
      <c r="C715" s="13"/>
    </row>
    <row r="716" spans="1:3" ht="13" x14ac:dyDescent="0.15">
      <c r="A716" s="10"/>
      <c r="B716" s="13"/>
      <c r="C716" s="13"/>
    </row>
    <row r="717" spans="1:3" ht="13" x14ac:dyDescent="0.15">
      <c r="A717" s="10"/>
      <c r="B717" s="13"/>
      <c r="C717" s="13"/>
    </row>
    <row r="718" spans="1:3" ht="13" x14ac:dyDescent="0.15">
      <c r="A718" s="10"/>
      <c r="B718" s="13"/>
      <c r="C718" s="13"/>
    </row>
    <row r="719" spans="1:3" ht="13" x14ac:dyDescent="0.15">
      <c r="A719" s="10"/>
      <c r="B719" s="13"/>
      <c r="C719" s="13"/>
    </row>
    <row r="720" spans="1:3" ht="13" x14ac:dyDescent="0.15">
      <c r="A720" s="10"/>
      <c r="B720" s="13"/>
      <c r="C720" s="13"/>
    </row>
    <row r="721" spans="1:3" ht="13" x14ac:dyDescent="0.15">
      <c r="A721" s="10"/>
      <c r="B721" s="13"/>
      <c r="C721" s="13"/>
    </row>
    <row r="722" spans="1:3" ht="13" x14ac:dyDescent="0.15">
      <c r="A722" s="10"/>
      <c r="B722" s="13"/>
      <c r="C722" s="13"/>
    </row>
    <row r="723" spans="1:3" ht="13" x14ac:dyDescent="0.15">
      <c r="A723" s="10"/>
      <c r="B723" s="13"/>
      <c r="C723" s="13"/>
    </row>
    <row r="724" spans="1:3" ht="13" x14ac:dyDescent="0.15">
      <c r="A724" s="10"/>
      <c r="B724" s="13"/>
      <c r="C724" s="13"/>
    </row>
    <row r="725" spans="1:3" ht="13" x14ac:dyDescent="0.15">
      <c r="A725" s="10"/>
      <c r="B725" s="13"/>
      <c r="C725" s="13"/>
    </row>
    <row r="726" spans="1:3" ht="13" x14ac:dyDescent="0.15">
      <c r="A726" s="10"/>
      <c r="B726" s="13"/>
      <c r="C726" s="13"/>
    </row>
    <row r="727" spans="1:3" ht="13" x14ac:dyDescent="0.15">
      <c r="A727" s="10"/>
      <c r="B727" s="13"/>
      <c r="C727" s="13"/>
    </row>
    <row r="728" spans="1:3" ht="13" x14ac:dyDescent="0.15">
      <c r="A728" s="10"/>
      <c r="B728" s="13"/>
      <c r="C728" s="13"/>
    </row>
    <row r="729" spans="1:3" ht="13" x14ac:dyDescent="0.15">
      <c r="A729" s="10"/>
      <c r="B729" s="13"/>
      <c r="C729" s="13"/>
    </row>
    <row r="730" spans="1:3" ht="13" x14ac:dyDescent="0.15">
      <c r="A730" s="10"/>
      <c r="B730" s="13"/>
      <c r="C730" s="13"/>
    </row>
    <row r="731" spans="1:3" ht="13" x14ac:dyDescent="0.15">
      <c r="A731" s="10"/>
      <c r="B731" s="13"/>
      <c r="C731" s="13"/>
    </row>
    <row r="732" spans="1:3" ht="13" x14ac:dyDescent="0.15">
      <c r="A732" s="10"/>
      <c r="B732" s="13"/>
      <c r="C732" s="13"/>
    </row>
    <row r="733" spans="1:3" ht="13" x14ac:dyDescent="0.15">
      <c r="A733" s="10"/>
      <c r="B733" s="13"/>
      <c r="C733" s="13"/>
    </row>
    <row r="734" spans="1:3" ht="13" x14ac:dyDescent="0.15">
      <c r="A734" s="10"/>
      <c r="B734" s="13"/>
      <c r="C734" s="13"/>
    </row>
    <row r="735" spans="1:3" ht="13" x14ac:dyDescent="0.15">
      <c r="A735" s="10"/>
      <c r="B735" s="13"/>
      <c r="C735" s="13"/>
    </row>
    <row r="736" spans="1:3" ht="13" x14ac:dyDescent="0.15">
      <c r="A736" s="10"/>
      <c r="B736" s="13"/>
      <c r="C736" s="13"/>
    </row>
    <row r="737" spans="1:3" ht="13" x14ac:dyDescent="0.15">
      <c r="A737" s="10"/>
      <c r="B737" s="13"/>
      <c r="C737" s="13"/>
    </row>
    <row r="738" spans="1:3" ht="13" x14ac:dyDescent="0.15">
      <c r="A738" s="10"/>
      <c r="B738" s="13"/>
      <c r="C738" s="13"/>
    </row>
    <row r="739" spans="1:3" ht="13" x14ac:dyDescent="0.15">
      <c r="A739" s="10"/>
      <c r="B739" s="13"/>
      <c r="C739" s="13"/>
    </row>
    <row r="740" spans="1:3" ht="13" x14ac:dyDescent="0.15">
      <c r="A740" s="10"/>
      <c r="B740" s="13"/>
      <c r="C740" s="13"/>
    </row>
    <row r="741" spans="1:3" ht="13" x14ac:dyDescent="0.15">
      <c r="A741" s="10"/>
      <c r="B741" s="13"/>
      <c r="C741" s="13"/>
    </row>
    <row r="742" spans="1:3" ht="13" x14ac:dyDescent="0.15">
      <c r="A742" s="10"/>
      <c r="B742" s="13"/>
      <c r="C742" s="13"/>
    </row>
    <row r="743" spans="1:3" ht="13" x14ac:dyDescent="0.15">
      <c r="A743" s="10"/>
      <c r="B743" s="13"/>
      <c r="C743" s="13"/>
    </row>
    <row r="744" spans="1:3" ht="13" x14ac:dyDescent="0.15">
      <c r="A744" s="10"/>
      <c r="B744" s="13"/>
      <c r="C744" s="13"/>
    </row>
    <row r="745" spans="1:3" ht="13" x14ac:dyDescent="0.15">
      <c r="A745" s="10"/>
      <c r="B745" s="13"/>
      <c r="C745" s="13"/>
    </row>
    <row r="746" spans="1:3" ht="13" x14ac:dyDescent="0.15">
      <c r="A746" s="10"/>
      <c r="B746" s="13"/>
      <c r="C746" s="13"/>
    </row>
    <row r="747" spans="1:3" ht="13" x14ac:dyDescent="0.15">
      <c r="A747" s="10"/>
      <c r="B747" s="13"/>
      <c r="C747" s="13"/>
    </row>
    <row r="748" spans="1:3" ht="13" x14ac:dyDescent="0.15">
      <c r="A748" s="10"/>
      <c r="B748" s="13"/>
      <c r="C748" s="13"/>
    </row>
    <row r="749" spans="1:3" ht="13" x14ac:dyDescent="0.15">
      <c r="A749" s="10"/>
      <c r="B749" s="13"/>
      <c r="C749" s="13"/>
    </row>
    <row r="750" spans="1:3" ht="13" x14ac:dyDescent="0.15">
      <c r="A750" s="10"/>
      <c r="B750" s="13"/>
      <c r="C750" s="13"/>
    </row>
    <row r="751" spans="1:3" ht="13" x14ac:dyDescent="0.15">
      <c r="A751" s="10"/>
      <c r="B751" s="13"/>
      <c r="C751" s="13"/>
    </row>
    <row r="752" spans="1:3" ht="13" x14ac:dyDescent="0.15">
      <c r="A752" s="10"/>
      <c r="B752" s="13"/>
      <c r="C752" s="13"/>
    </row>
    <row r="753" spans="1:3" ht="13" x14ac:dyDescent="0.15">
      <c r="A753" s="10"/>
      <c r="B753" s="13"/>
      <c r="C753" s="13"/>
    </row>
    <row r="754" spans="1:3" ht="13" x14ac:dyDescent="0.15">
      <c r="A754" s="10"/>
      <c r="B754" s="13"/>
      <c r="C754" s="13"/>
    </row>
    <row r="755" spans="1:3" ht="13" x14ac:dyDescent="0.15">
      <c r="A755" s="10"/>
      <c r="B755" s="13"/>
      <c r="C755" s="13"/>
    </row>
    <row r="756" spans="1:3" ht="13" x14ac:dyDescent="0.15">
      <c r="A756" s="10"/>
      <c r="B756" s="13"/>
      <c r="C756" s="13"/>
    </row>
    <row r="757" spans="1:3" ht="13" x14ac:dyDescent="0.15">
      <c r="A757" s="10"/>
      <c r="B757" s="13"/>
      <c r="C757" s="13"/>
    </row>
    <row r="758" spans="1:3" ht="13" x14ac:dyDescent="0.15">
      <c r="A758" s="10"/>
      <c r="B758" s="13"/>
      <c r="C758" s="13"/>
    </row>
    <row r="759" spans="1:3" ht="13" x14ac:dyDescent="0.15">
      <c r="A759" s="10"/>
      <c r="B759" s="13"/>
      <c r="C759" s="13"/>
    </row>
    <row r="760" spans="1:3" ht="13" x14ac:dyDescent="0.15">
      <c r="A760" s="10"/>
      <c r="B760" s="13"/>
      <c r="C760" s="13"/>
    </row>
    <row r="761" spans="1:3" ht="13" x14ac:dyDescent="0.15">
      <c r="A761" s="10"/>
      <c r="B761" s="13"/>
      <c r="C761" s="13"/>
    </row>
    <row r="762" spans="1:3" ht="13" x14ac:dyDescent="0.15">
      <c r="A762" s="10"/>
      <c r="B762" s="13"/>
      <c r="C762" s="13"/>
    </row>
    <row r="763" spans="1:3" ht="13" x14ac:dyDescent="0.15">
      <c r="A763" s="10"/>
      <c r="B763" s="13"/>
      <c r="C763" s="13"/>
    </row>
    <row r="764" spans="1:3" ht="13" x14ac:dyDescent="0.15">
      <c r="A764" s="10"/>
      <c r="B764" s="13"/>
      <c r="C764" s="13"/>
    </row>
    <row r="765" spans="1:3" ht="13" x14ac:dyDescent="0.15">
      <c r="A765" s="10"/>
      <c r="B765" s="13"/>
      <c r="C765" s="13"/>
    </row>
    <row r="766" spans="1:3" ht="13" x14ac:dyDescent="0.15">
      <c r="A766" s="10"/>
      <c r="B766" s="13"/>
      <c r="C766" s="13"/>
    </row>
    <row r="767" spans="1:3" ht="13" x14ac:dyDescent="0.15">
      <c r="A767" s="10"/>
      <c r="B767" s="13"/>
      <c r="C767" s="13"/>
    </row>
    <row r="768" spans="1:3" ht="13" x14ac:dyDescent="0.15">
      <c r="A768" s="10"/>
      <c r="B768" s="13"/>
      <c r="C768" s="13"/>
    </row>
    <row r="769" spans="1:3" ht="13" x14ac:dyDescent="0.15">
      <c r="A769" s="10"/>
      <c r="B769" s="13"/>
      <c r="C769" s="13"/>
    </row>
    <row r="770" spans="1:3" ht="13" x14ac:dyDescent="0.15">
      <c r="A770" s="10"/>
      <c r="B770" s="13"/>
      <c r="C770" s="13"/>
    </row>
    <row r="771" spans="1:3" ht="13" x14ac:dyDescent="0.15">
      <c r="A771" s="10"/>
      <c r="B771" s="13"/>
      <c r="C771" s="13"/>
    </row>
    <row r="772" spans="1:3" ht="13" x14ac:dyDescent="0.15">
      <c r="A772" s="10"/>
      <c r="B772" s="13"/>
      <c r="C772" s="13"/>
    </row>
    <row r="773" spans="1:3" ht="13" x14ac:dyDescent="0.15">
      <c r="A773" s="10"/>
      <c r="B773" s="13"/>
      <c r="C773" s="13"/>
    </row>
    <row r="774" spans="1:3" ht="13" x14ac:dyDescent="0.15">
      <c r="A774" s="10"/>
      <c r="B774" s="13"/>
      <c r="C774" s="13"/>
    </row>
    <row r="775" spans="1:3" ht="13" x14ac:dyDescent="0.15">
      <c r="A775" s="10"/>
      <c r="B775" s="13"/>
      <c r="C775" s="13"/>
    </row>
    <row r="776" spans="1:3" ht="13" x14ac:dyDescent="0.15">
      <c r="A776" s="10"/>
      <c r="B776" s="13"/>
      <c r="C776" s="13"/>
    </row>
    <row r="777" spans="1:3" ht="13" x14ac:dyDescent="0.15">
      <c r="A777" s="10"/>
      <c r="B777" s="13"/>
      <c r="C777" s="13"/>
    </row>
    <row r="778" spans="1:3" ht="13" x14ac:dyDescent="0.15">
      <c r="A778" s="10"/>
      <c r="B778" s="13"/>
      <c r="C778" s="13"/>
    </row>
    <row r="779" spans="1:3" ht="13" x14ac:dyDescent="0.15">
      <c r="A779" s="10"/>
      <c r="B779" s="13"/>
      <c r="C779" s="13"/>
    </row>
    <row r="780" spans="1:3" ht="13" x14ac:dyDescent="0.15">
      <c r="A780" s="10"/>
      <c r="B780" s="13"/>
      <c r="C780" s="13"/>
    </row>
    <row r="781" spans="1:3" ht="13" x14ac:dyDescent="0.15">
      <c r="A781" s="10"/>
      <c r="B781" s="13"/>
      <c r="C781" s="13"/>
    </row>
    <row r="782" spans="1:3" ht="13" x14ac:dyDescent="0.15">
      <c r="A782" s="10"/>
      <c r="B782" s="13"/>
      <c r="C782" s="13"/>
    </row>
    <row r="783" spans="1:3" ht="13" x14ac:dyDescent="0.15">
      <c r="A783" s="10"/>
      <c r="B783" s="13"/>
      <c r="C783" s="13"/>
    </row>
    <row r="784" spans="1:3" ht="13" x14ac:dyDescent="0.15">
      <c r="A784" s="10"/>
      <c r="B784" s="13"/>
      <c r="C784" s="13"/>
    </row>
    <row r="785" spans="1:3" ht="13" x14ac:dyDescent="0.15">
      <c r="A785" s="10"/>
      <c r="B785" s="13"/>
      <c r="C785" s="13"/>
    </row>
    <row r="786" spans="1:3" ht="13" x14ac:dyDescent="0.15">
      <c r="A786" s="10"/>
      <c r="B786" s="13"/>
      <c r="C786" s="13"/>
    </row>
    <row r="787" spans="1:3" ht="13" x14ac:dyDescent="0.15">
      <c r="A787" s="10"/>
      <c r="B787" s="13"/>
      <c r="C787" s="13"/>
    </row>
    <row r="788" spans="1:3" ht="13" x14ac:dyDescent="0.15">
      <c r="A788" s="10"/>
      <c r="B788" s="13"/>
      <c r="C788" s="13"/>
    </row>
    <row r="789" spans="1:3" ht="13" x14ac:dyDescent="0.15">
      <c r="A789" s="10"/>
      <c r="B789" s="13"/>
      <c r="C789" s="13"/>
    </row>
    <row r="790" spans="1:3" ht="13" x14ac:dyDescent="0.15">
      <c r="A790" s="10"/>
      <c r="B790" s="13"/>
      <c r="C790" s="13"/>
    </row>
    <row r="791" spans="1:3" ht="13" x14ac:dyDescent="0.15">
      <c r="A791" s="10"/>
      <c r="B791" s="13"/>
      <c r="C791" s="13"/>
    </row>
    <row r="792" spans="1:3" ht="13" x14ac:dyDescent="0.15">
      <c r="A792" s="10"/>
      <c r="B792" s="13"/>
      <c r="C792" s="13"/>
    </row>
    <row r="793" spans="1:3" ht="13" x14ac:dyDescent="0.15">
      <c r="A793" s="10"/>
      <c r="B793" s="13"/>
      <c r="C793" s="13"/>
    </row>
    <row r="794" spans="1:3" ht="13" x14ac:dyDescent="0.15">
      <c r="A794" s="10"/>
      <c r="B794" s="13"/>
      <c r="C794" s="13"/>
    </row>
    <row r="795" spans="1:3" ht="13" x14ac:dyDescent="0.15">
      <c r="A795" s="10"/>
      <c r="B795" s="13"/>
      <c r="C795" s="13"/>
    </row>
    <row r="796" spans="1:3" ht="13" x14ac:dyDescent="0.15">
      <c r="A796" s="10"/>
      <c r="B796" s="13"/>
      <c r="C796" s="13"/>
    </row>
    <row r="797" spans="1:3" ht="13" x14ac:dyDescent="0.15">
      <c r="A797" s="10"/>
      <c r="B797" s="13"/>
      <c r="C797" s="13"/>
    </row>
    <row r="798" spans="1:3" ht="13" x14ac:dyDescent="0.15">
      <c r="A798" s="10"/>
      <c r="B798" s="13"/>
      <c r="C798" s="13"/>
    </row>
    <row r="799" spans="1:3" ht="13" x14ac:dyDescent="0.15">
      <c r="A799" s="10"/>
      <c r="B799" s="13"/>
      <c r="C799" s="13"/>
    </row>
    <row r="800" spans="1:3" ht="13" x14ac:dyDescent="0.15">
      <c r="A800" s="10"/>
      <c r="B800" s="13"/>
      <c r="C800" s="13"/>
    </row>
    <row r="801" spans="1:3" ht="13" x14ac:dyDescent="0.15">
      <c r="A801" s="10"/>
      <c r="B801" s="13"/>
      <c r="C801" s="13"/>
    </row>
    <row r="802" spans="1:3" ht="13" x14ac:dyDescent="0.15">
      <c r="A802" s="10"/>
      <c r="B802" s="13"/>
      <c r="C802" s="13"/>
    </row>
    <row r="803" spans="1:3" ht="13" x14ac:dyDescent="0.15">
      <c r="A803" s="10"/>
      <c r="B803" s="13"/>
      <c r="C803" s="13"/>
    </row>
    <row r="804" spans="1:3" ht="13" x14ac:dyDescent="0.15">
      <c r="A804" s="10"/>
      <c r="B804" s="13"/>
      <c r="C804" s="13"/>
    </row>
    <row r="805" spans="1:3" ht="13" x14ac:dyDescent="0.15">
      <c r="A805" s="10"/>
      <c r="B805" s="13"/>
      <c r="C805" s="13"/>
    </row>
    <row r="806" spans="1:3" ht="13" x14ac:dyDescent="0.15">
      <c r="A806" s="10"/>
      <c r="B806" s="13"/>
      <c r="C806" s="13"/>
    </row>
    <row r="807" spans="1:3" ht="13" x14ac:dyDescent="0.15">
      <c r="A807" s="10"/>
      <c r="B807" s="13"/>
      <c r="C807" s="13"/>
    </row>
    <row r="808" spans="1:3" ht="13" x14ac:dyDescent="0.15">
      <c r="A808" s="10"/>
      <c r="B808" s="13"/>
      <c r="C808" s="13"/>
    </row>
    <row r="809" spans="1:3" ht="13" x14ac:dyDescent="0.15">
      <c r="A809" s="10"/>
      <c r="B809" s="13"/>
      <c r="C809" s="13"/>
    </row>
    <row r="810" spans="1:3" ht="13" x14ac:dyDescent="0.15">
      <c r="A810" s="10"/>
      <c r="B810" s="13"/>
      <c r="C810" s="13"/>
    </row>
    <row r="811" spans="1:3" ht="13" x14ac:dyDescent="0.15">
      <c r="A811" s="10"/>
      <c r="B811" s="13"/>
      <c r="C811" s="13"/>
    </row>
    <row r="812" spans="1:3" ht="13" x14ac:dyDescent="0.15">
      <c r="A812" s="10"/>
      <c r="B812" s="13"/>
      <c r="C812" s="13"/>
    </row>
    <row r="813" spans="1:3" ht="13" x14ac:dyDescent="0.15">
      <c r="A813" s="10"/>
      <c r="B813" s="13"/>
      <c r="C813" s="13"/>
    </row>
    <row r="814" spans="1:3" ht="13" x14ac:dyDescent="0.15">
      <c r="A814" s="10"/>
      <c r="B814" s="13"/>
      <c r="C814" s="13"/>
    </row>
    <row r="815" spans="1:3" ht="13" x14ac:dyDescent="0.15">
      <c r="A815" s="10"/>
      <c r="B815" s="13"/>
      <c r="C815" s="13"/>
    </row>
    <row r="816" spans="1:3" ht="13" x14ac:dyDescent="0.15">
      <c r="A816" s="10"/>
      <c r="B816" s="13"/>
      <c r="C816" s="13"/>
    </row>
    <row r="817" spans="1:3" ht="13" x14ac:dyDescent="0.15">
      <c r="A817" s="10"/>
      <c r="B817" s="13"/>
      <c r="C817" s="13"/>
    </row>
    <row r="818" spans="1:3" ht="13" x14ac:dyDescent="0.15">
      <c r="A818" s="10"/>
      <c r="B818" s="13"/>
      <c r="C818" s="13"/>
    </row>
    <row r="819" spans="1:3" ht="13" x14ac:dyDescent="0.15">
      <c r="A819" s="10"/>
      <c r="B819" s="13"/>
      <c r="C819" s="13"/>
    </row>
    <row r="820" spans="1:3" ht="13" x14ac:dyDescent="0.15">
      <c r="A820" s="10"/>
      <c r="B820" s="13"/>
      <c r="C820" s="13"/>
    </row>
    <row r="821" spans="1:3" ht="13" x14ac:dyDescent="0.15">
      <c r="A821" s="10"/>
      <c r="B821" s="13"/>
      <c r="C821" s="13"/>
    </row>
    <row r="822" spans="1:3" ht="13" x14ac:dyDescent="0.15">
      <c r="A822" s="10"/>
      <c r="B822" s="13"/>
      <c r="C822" s="13"/>
    </row>
    <row r="823" spans="1:3" ht="13" x14ac:dyDescent="0.15">
      <c r="A823" s="10"/>
      <c r="B823" s="13"/>
      <c r="C823" s="13"/>
    </row>
    <row r="824" spans="1:3" ht="13" x14ac:dyDescent="0.15">
      <c r="A824" s="10"/>
      <c r="B824" s="13"/>
      <c r="C824" s="13"/>
    </row>
    <row r="825" spans="1:3" ht="13" x14ac:dyDescent="0.15">
      <c r="A825" s="10"/>
      <c r="B825" s="13"/>
      <c r="C825" s="13"/>
    </row>
    <row r="826" spans="1:3" ht="13" x14ac:dyDescent="0.15">
      <c r="A826" s="10"/>
      <c r="B826" s="13"/>
      <c r="C826" s="13"/>
    </row>
    <row r="827" spans="1:3" ht="13" x14ac:dyDescent="0.15">
      <c r="A827" s="10"/>
      <c r="B827" s="13"/>
      <c r="C827" s="13"/>
    </row>
    <row r="828" spans="1:3" ht="13" x14ac:dyDescent="0.15">
      <c r="A828" s="10"/>
      <c r="B828" s="13"/>
      <c r="C828" s="13"/>
    </row>
    <row r="829" spans="1:3" ht="13" x14ac:dyDescent="0.15">
      <c r="A829" s="10"/>
      <c r="B829" s="13"/>
      <c r="C829" s="13"/>
    </row>
    <row r="830" spans="1:3" ht="13" x14ac:dyDescent="0.15">
      <c r="A830" s="10"/>
      <c r="B830" s="13"/>
      <c r="C830" s="13"/>
    </row>
    <row r="831" spans="1:3" ht="13" x14ac:dyDescent="0.15">
      <c r="A831" s="10"/>
      <c r="B831" s="13"/>
      <c r="C831" s="13"/>
    </row>
    <row r="832" spans="1:3" ht="13" x14ac:dyDescent="0.15">
      <c r="A832" s="10"/>
      <c r="B832" s="13"/>
      <c r="C832" s="13"/>
    </row>
    <row r="833" spans="1:3" ht="13" x14ac:dyDescent="0.15">
      <c r="A833" s="10"/>
      <c r="B833" s="13"/>
      <c r="C833" s="13"/>
    </row>
    <row r="834" spans="1:3" ht="13" x14ac:dyDescent="0.15">
      <c r="A834" s="10"/>
      <c r="B834" s="13"/>
      <c r="C834" s="13"/>
    </row>
    <row r="835" spans="1:3" ht="13" x14ac:dyDescent="0.15">
      <c r="A835" s="10"/>
      <c r="B835" s="13"/>
      <c r="C835" s="13"/>
    </row>
    <row r="836" spans="1:3" ht="13" x14ac:dyDescent="0.15">
      <c r="A836" s="10"/>
      <c r="B836" s="13"/>
      <c r="C836" s="13"/>
    </row>
    <row r="837" spans="1:3" ht="13" x14ac:dyDescent="0.15">
      <c r="A837" s="10"/>
      <c r="B837" s="13"/>
      <c r="C837" s="13"/>
    </row>
    <row r="838" spans="1:3" ht="13" x14ac:dyDescent="0.15">
      <c r="A838" s="10"/>
      <c r="B838" s="13"/>
      <c r="C838" s="13"/>
    </row>
    <row r="839" spans="1:3" ht="13" x14ac:dyDescent="0.15">
      <c r="A839" s="10"/>
      <c r="B839" s="13"/>
      <c r="C839" s="13"/>
    </row>
    <row r="840" spans="1:3" ht="13" x14ac:dyDescent="0.15">
      <c r="A840" s="10"/>
      <c r="B840" s="13"/>
      <c r="C840" s="13"/>
    </row>
    <row r="841" spans="1:3" ht="13" x14ac:dyDescent="0.15">
      <c r="A841" s="10"/>
      <c r="B841" s="13"/>
      <c r="C841" s="13"/>
    </row>
    <row r="842" spans="1:3" ht="13" x14ac:dyDescent="0.15">
      <c r="A842" s="10"/>
      <c r="B842" s="13"/>
      <c r="C842" s="13"/>
    </row>
    <row r="843" spans="1:3" ht="13" x14ac:dyDescent="0.15">
      <c r="A843" s="10"/>
      <c r="B843" s="13"/>
      <c r="C843" s="13"/>
    </row>
    <row r="844" spans="1:3" ht="13" x14ac:dyDescent="0.15">
      <c r="A844" s="10"/>
      <c r="B844" s="13"/>
      <c r="C844" s="13"/>
    </row>
    <row r="845" spans="1:3" ht="13" x14ac:dyDescent="0.15">
      <c r="A845" s="10"/>
      <c r="B845" s="13"/>
      <c r="C845" s="13"/>
    </row>
    <row r="846" spans="1:3" ht="13" x14ac:dyDescent="0.15">
      <c r="A846" s="10"/>
      <c r="B846" s="13"/>
      <c r="C846" s="13"/>
    </row>
    <row r="847" spans="1:3" ht="13" x14ac:dyDescent="0.15">
      <c r="A847" s="10"/>
      <c r="B847" s="13"/>
      <c r="C847" s="13"/>
    </row>
    <row r="848" spans="1:3" ht="13" x14ac:dyDescent="0.15">
      <c r="A848" s="10"/>
      <c r="B848" s="13"/>
      <c r="C848" s="13"/>
    </row>
    <row r="849" spans="1:3" ht="13" x14ac:dyDescent="0.15">
      <c r="A849" s="10"/>
      <c r="B849" s="13"/>
      <c r="C849" s="13"/>
    </row>
    <row r="850" spans="1:3" ht="13" x14ac:dyDescent="0.15">
      <c r="A850" s="10"/>
      <c r="B850" s="13"/>
      <c r="C850" s="13"/>
    </row>
    <row r="851" spans="1:3" ht="13" x14ac:dyDescent="0.15">
      <c r="A851" s="10"/>
      <c r="B851" s="13"/>
      <c r="C851" s="13"/>
    </row>
    <row r="852" spans="1:3" ht="13" x14ac:dyDescent="0.15">
      <c r="A852" s="10"/>
      <c r="B852" s="13"/>
      <c r="C852" s="13"/>
    </row>
    <row r="853" spans="1:3" ht="13" x14ac:dyDescent="0.15">
      <c r="A853" s="10"/>
      <c r="B853" s="13"/>
      <c r="C853" s="13"/>
    </row>
    <row r="854" spans="1:3" ht="13" x14ac:dyDescent="0.15">
      <c r="A854" s="10"/>
      <c r="B854" s="13"/>
      <c r="C854" s="13"/>
    </row>
    <row r="855" spans="1:3" ht="13" x14ac:dyDescent="0.15">
      <c r="A855" s="10"/>
      <c r="B855" s="13"/>
      <c r="C855" s="13"/>
    </row>
    <row r="856" spans="1:3" ht="13" x14ac:dyDescent="0.15">
      <c r="A856" s="10"/>
      <c r="B856" s="13"/>
      <c r="C856" s="13"/>
    </row>
    <row r="857" spans="1:3" ht="13" x14ac:dyDescent="0.15">
      <c r="A857" s="10"/>
      <c r="B857" s="13"/>
      <c r="C857" s="13"/>
    </row>
    <row r="858" spans="1:3" ht="13" x14ac:dyDescent="0.15">
      <c r="A858" s="10"/>
      <c r="B858" s="13"/>
      <c r="C858" s="13"/>
    </row>
    <row r="859" spans="1:3" ht="13" x14ac:dyDescent="0.15">
      <c r="A859" s="10"/>
      <c r="B859" s="13"/>
      <c r="C859" s="13"/>
    </row>
    <row r="860" spans="1:3" ht="13" x14ac:dyDescent="0.15">
      <c r="A860" s="10"/>
      <c r="B860" s="13"/>
      <c r="C860" s="13"/>
    </row>
    <row r="861" spans="1:3" ht="13" x14ac:dyDescent="0.15">
      <c r="A861" s="10"/>
      <c r="B861" s="13"/>
      <c r="C861" s="13"/>
    </row>
    <row r="862" spans="1:3" ht="13" x14ac:dyDescent="0.15">
      <c r="A862" s="10"/>
      <c r="B862" s="13"/>
      <c r="C862" s="13"/>
    </row>
    <row r="863" spans="1:3" ht="13" x14ac:dyDescent="0.15">
      <c r="A863" s="10"/>
      <c r="B863" s="13"/>
      <c r="C863" s="13"/>
    </row>
    <row r="864" spans="1:3" ht="13" x14ac:dyDescent="0.15">
      <c r="A864" s="10"/>
      <c r="B864" s="13"/>
      <c r="C864" s="13"/>
    </row>
    <row r="865" spans="1:3" ht="13" x14ac:dyDescent="0.15">
      <c r="A865" s="10"/>
      <c r="B865" s="13"/>
      <c r="C865" s="13"/>
    </row>
    <row r="866" spans="1:3" ht="13" x14ac:dyDescent="0.15">
      <c r="A866" s="10"/>
      <c r="B866" s="13"/>
      <c r="C866" s="13"/>
    </row>
    <row r="867" spans="1:3" ht="13" x14ac:dyDescent="0.15">
      <c r="A867" s="10"/>
      <c r="B867" s="13"/>
      <c r="C867" s="13"/>
    </row>
    <row r="868" spans="1:3" ht="13" x14ac:dyDescent="0.15">
      <c r="A868" s="10"/>
      <c r="B868" s="13"/>
      <c r="C868" s="13"/>
    </row>
    <row r="869" spans="1:3" ht="13" x14ac:dyDescent="0.15">
      <c r="A869" s="10"/>
      <c r="B869" s="13"/>
      <c r="C869" s="13"/>
    </row>
    <row r="870" spans="1:3" ht="13" x14ac:dyDescent="0.15">
      <c r="A870" s="10"/>
      <c r="B870" s="13"/>
      <c r="C870" s="13"/>
    </row>
    <row r="871" spans="1:3" ht="13" x14ac:dyDescent="0.15">
      <c r="A871" s="10"/>
      <c r="B871" s="13"/>
      <c r="C871" s="13"/>
    </row>
    <row r="872" spans="1:3" ht="13" x14ac:dyDescent="0.15">
      <c r="A872" s="10"/>
      <c r="B872" s="13"/>
      <c r="C872" s="13"/>
    </row>
    <row r="873" spans="1:3" ht="13" x14ac:dyDescent="0.15">
      <c r="A873" s="10"/>
      <c r="B873" s="13"/>
      <c r="C873" s="13"/>
    </row>
    <row r="874" spans="1:3" ht="13" x14ac:dyDescent="0.15">
      <c r="A874" s="10"/>
      <c r="B874" s="13"/>
      <c r="C874" s="13"/>
    </row>
    <row r="875" spans="1:3" ht="13" x14ac:dyDescent="0.15">
      <c r="A875" s="10"/>
      <c r="B875" s="13"/>
      <c r="C875" s="13"/>
    </row>
    <row r="876" spans="1:3" ht="13" x14ac:dyDescent="0.15">
      <c r="A876" s="10"/>
      <c r="B876" s="13"/>
      <c r="C876" s="13"/>
    </row>
    <row r="877" spans="1:3" ht="13" x14ac:dyDescent="0.15">
      <c r="A877" s="10"/>
      <c r="B877" s="13"/>
      <c r="C877" s="13"/>
    </row>
    <row r="878" spans="1:3" ht="13" x14ac:dyDescent="0.15">
      <c r="A878" s="10"/>
      <c r="B878" s="13"/>
      <c r="C878" s="13"/>
    </row>
    <row r="879" spans="1:3" ht="13" x14ac:dyDescent="0.15">
      <c r="A879" s="10"/>
      <c r="B879" s="13"/>
      <c r="C879" s="13"/>
    </row>
    <row r="880" spans="1:3" ht="13" x14ac:dyDescent="0.15">
      <c r="A880" s="10"/>
      <c r="B880" s="13"/>
      <c r="C880" s="13"/>
    </row>
    <row r="881" spans="1:3" ht="13" x14ac:dyDescent="0.15">
      <c r="A881" s="10"/>
      <c r="B881" s="13"/>
      <c r="C881" s="13"/>
    </row>
    <row r="882" spans="1:3" ht="13" x14ac:dyDescent="0.15">
      <c r="A882" s="10"/>
      <c r="B882" s="13"/>
      <c r="C882" s="13"/>
    </row>
    <row r="883" spans="1:3" ht="13" x14ac:dyDescent="0.15">
      <c r="A883" s="10"/>
      <c r="B883" s="13"/>
      <c r="C883" s="13"/>
    </row>
    <row r="884" spans="1:3" ht="13" x14ac:dyDescent="0.15">
      <c r="A884" s="10"/>
      <c r="B884" s="13"/>
      <c r="C884" s="13"/>
    </row>
    <row r="885" spans="1:3" ht="13" x14ac:dyDescent="0.15">
      <c r="A885" s="10"/>
      <c r="B885" s="13"/>
      <c r="C885" s="13"/>
    </row>
    <row r="886" spans="1:3" ht="13" x14ac:dyDescent="0.15">
      <c r="A886" s="10"/>
      <c r="B886" s="13"/>
      <c r="C886" s="13"/>
    </row>
    <row r="887" spans="1:3" ht="13" x14ac:dyDescent="0.15">
      <c r="A887" s="10"/>
      <c r="B887" s="13"/>
      <c r="C887" s="13"/>
    </row>
    <row r="888" spans="1:3" ht="13" x14ac:dyDescent="0.15">
      <c r="A888" s="10"/>
      <c r="B888" s="13"/>
      <c r="C888" s="13"/>
    </row>
    <row r="889" spans="1:3" ht="13" x14ac:dyDescent="0.15">
      <c r="A889" s="10"/>
      <c r="B889" s="13"/>
      <c r="C889" s="13"/>
    </row>
    <row r="890" spans="1:3" ht="13" x14ac:dyDescent="0.15">
      <c r="A890" s="10"/>
      <c r="B890" s="13"/>
      <c r="C890" s="13"/>
    </row>
    <row r="891" spans="1:3" ht="13" x14ac:dyDescent="0.15">
      <c r="A891" s="10"/>
      <c r="B891" s="13"/>
      <c r="C891" s="13"/>
    </row>
    <row r="892" spans="1:3" ht="13" x14ac:dyDescent="0.15">
      <c r="A892" s="10"/>
      <c r="B892" s="13"/>
      <c r="C892" s="13"/>
    </row>
    <row r="893" spans="1:3" ht="13" x14ac:dyDescent="0.15">
      <c r="A893" s="10"/>
      <c r="B893" s="13"/>
      <c r="C893" s="13"/>
    </row>
    <row r="894" spans="1:3" ht="13" x14ac:dyDescent="0.15">
      <c r="A894" s="10"/>
      <c r="B894" s="13"/>
      <c r="C894" s="13"/>
    </row>
    <row r="895" spans="1:3" ht="13" x14ac:dyDescent="0.15">
      <c r="A895" s="10"/>
      <c r="B895" s="13"/>
      <c r="C895" s="13"/>
    </row>
    <row r="896" spans="1:3" ht="13" x14ac:dyDescent="0.15">
      <c r="A896" s="10"/>
      <c r="B896" s="13"/>
      <c r="C896" s="13"/>
    </row>
    <row r="897" spans="1:3" ht="13" x14ac:dyDescent="0.15">
      <c r="A897" s="10"/>
      <c r="B897" s="13"/>
      <c r="C897" s="13"/>
    </row>
    <row r="898" spans="1:3" ht="13" x14ac:dyDescent="0.15">
      <c r="A898" s="10"/>
      <c r="B898" s="13"/>
      <c r="C898" s="13"/>
    </row>
    <row r="899" spans="1:3" ht="13" x14ac:dyDescent="0.15">
      <c r="A899" s="10"/>
      <c r="B899" s="13"/>
      <c r="C899" s="13"/>
    </row>
    <row r="900" spans="1:3" ht="13" x14ac:dyDescent="0.15">
      <c r="A900" s="10"/>
      <c r="B900" s="13"/>
      <c r="C900" s="13"/>
    </row>
    <row r="901" spans="1:3" ht="13" x14ac:dyDescent="0.15">
      <c r="A901" s="10"/>
      <c r="B901" s="13"/>
      <c r="C901" s="13"/>
    </row>
    <row r="902" spans="1:3" ht="13" x14ac:dyDescent="0.15">
      <c r="A902" s="10"/>
      <c r="B902" s="13"/>
      <c r="C902" s="13"/>
    </row>
    <row r="903" spans="1:3" ht="13" x14ac:dyDescent="0.15">
      <c r="A903" s="10"/>
      <c r="B903" s="13"/>
      <c r="C903" s="13"/>
    </row>
    <row r="904" spans="1:3" ht="13" x14ac:dyDescent="0.15">
      <c r="A904" s="10"/>
      <c r="B904" s="13"/>
      <c r="C904" s="13"/>
    </row>
    <row r="905" spans="1:3" ht="13" x14ac:dyDescent="0.15">
      <c r="A905" s="10"/>
      <c r="B905" s="13"/>
      <c r="C905" s="13"/>
    </row>
    <row r="906" spans="1:3" ht="13" x14ac:dyDescent="0.15">
      <c r="A906" s="10"/>
      <c r="B906" s="13"/>
      <c r="C906" s="13"/>
    </row>
    <row r="907" spans="1:3" ht="13" x14ac:dyDescent="0.15">
      <c r="A907" s="10"/>
      <c r="B907" s="13"/>
      <c r="C907" s="13"/>
    </row>
    <row r="908" spans="1:3" ht="13" x14ac:dyDescent="0.15">
      <c r="A908" s="10"/>
      <c r="B908" s="13"/>
      <c r="C908" s="13"/>
    </row>
    <row r="909" spans="1:3" ht="13" x14ac:dyDescent="0.15">
      <c r="A909" s="10"/>
      <c r="B909" s="13"/>
      <c r="C909" s="13"/>
    </row>
    <row r="910" spans="1:3" ht="13" x14ac:dyDescent="0.15">
      <c r="A910" s="10"/>
      <c r="B910" s="13"/>
      <c r="C910" s="13"/>
    </row>
    <row r="911" spans="1:3" ht="13" x14ac:dyDescent="0.15">
      <c r="A911" s="10"/>
      <c r="B911" s="13"/>
      <c r="C911" s="13"/>
    </row>
    <row r="912" spans="1:3" ht="13" x14ac:dyDescent="0.15">
      <c r="A912" s="10"/>
      <c r="B912" s="13"/>
      <c r="C912" s="13"/>
    </row>
    <row r="913" spans="1:3" ht="13" x14ac:dyDescent="0.15">
      <c r="A913" s="10"/>
      <c r="B913" s="13"/>
      <c r="C913" s="13"/>
    </row>
    <row r="914" spans="1:3" ht="13" x14ac:dyDescent="0.15">
      <c r="A914" s="10"/>
      <c r="B914" s="13"/>
      <c r="C914" s="13"/>
    </row>
    <row r="915" spans="1:3" ht="13" x14ac:dyDescent="0.15">
      <c r="A915" s="10"/>
      <c r="B915" s="13"/>
      <c r="C915" s="13"/>
    </row>
    <row r="916" spans="1:3" ht="13" x14ac:dyDescent="0.15">
      <c r="A916" s="10"/>
      <c r="B916" s="13"/>
      <c r="C916" s="13"/>
    </row>
    <row r="917" spans="1:3" ht="13" x14ac:dyDescent="0.15">
      <c r="A917" s="10"/>
      <c r="B917" s="13"/>
      <c r="C917" s="13"/>
    </row>
    <row r="918" spans="1:3" ht="13" x14ac:dyDescent="0.15">
      <c r="A918" s="10"/>
      <c r="B918" s="13"/>
      <c r="C918" s="13"/>
    </row>
    <row r="919" spans="1:3" ht="13" x14ac:dyDescent="0.15">
      <c r="A919" s="10"/>
      <c r="B919" s="13"/>
      <c r="C919" s="13"/>
    </row>
    <row r="920" spans="1:3" ht="13" x14ac:dyDescent="0.15">
      <c r="A920" s="10"/>
      <c r="B920" s="13"/>
      <c r="C920" s="13"/>
    </row>
    <row r="921" spans="1:3" ht="13" x14ac:dyDescent="0.15">
      <c r="A921" s="10"/>
      <c r="B921" s="13"/>
      <c r="C921" s="13"/>
    </row>
    <row r="922" spans="1:3" ht="13" x14ac:dyDescent="0.15">
      <c r="A922" s="10"/>
      <c r="B922" s="13"/>
      <c r="C922" s="13"/>
    </row>
    <row r="923" spans="1:3" ht="13" x14ac:dyDescent="0.15">
      <c r="A923" s="10"/>
      <c r="B923" s="13"/>
      <c r="C923" s="13"/>
    </row>
    <row r="924" spans="1:3" ht="13" x14ac:dyDescent="0.15">
      <c r="A924" s="10"/>
      <c r="B924" s="13"/>
      <c r="C924" s="13"/>
    </row>
    <row r="925" spans="1:3" ht="13" x14ac:dyDescent="0.15">
      <c r="A925" s="10"/>
      <c r="B925" s="13"/>
      <c r="C925" s="13"/>
    </row>
    <row r="926" spans="1:3" ht="13" x14ac:dyDescent="0.15">
      <c r="A926" s="10"/>
      <c r="B926" s="13"/>
      <c r="C926" s="13"/>
    </row>
    <row r="927" spans="1:3" ht="13" x14ac:dyDescent="0.15">
      <c r="A927" s="10"/>
      <c r="B927" s="13"/>
      <c r="C927" s="13"/>
    </row>
    <row r="928" spans="1:3" ht="13" x14ac:dyDescent="0.15">
      <c r="A928" s="10"/>
      <c r="B928" s="13"/>
      <c r="C928" s="13"/>
    </row>
    <row r="929" spans="1:3" ht="13" x14ac:dyDescent="0.15">
      <c r="A929" s="10"/>
      <c r="B929" s="13"/>
      <c r="C929" s="13"/>
    </row>
    <row r="930" spans="1:3" ht="13" x14ac:dyDescent="0.15">
      <c r="A930" s="10"/>
      <c r="B930" s="13"/>
      <c r="C930" s="13"/>
    </row>
    <row r="931" spans="1:3" ht="13" x14ac:dyDescent="0.15">
      <c r="A931" s="10"/>
      <c r="B931" s="13"/>
      <c r="C931" s="13"/>
    </row>
    <row r="932" spans="1:3" ht="13" x14ac:dyDescent="0.15">
      <c r="A932" s="10"/>
      <c r="B932" s="13"/>
      <c r="C932" s="13"/>
    </row>
    <row r="933" spans="1:3" ht="13" x14ac:dyDescent="0.15">
      <c r="A933" s="10"/>
      <c r="B933" s="13"/>
      <c r="C933" s="13"/>
    </row>
    <row r="934" spans="1:3" ht="13" x14ac:dyDescent="0.15">
      <c r="A934" s="10"/>
      <c r="B934" s="13"/>
      <c r="C934" s="13"/>
    </row>
    <row r="935" spans="1:3" ht="13" x14ac:dyDescent="0.15">
      <c r="A935" s="10"/>
      <c r="B935" s="13"/>
      <c r="C935" s="13"/>
    </row>
    <row r="936" spans="1:3" ht="13" x14ac:dyDescent="0.15">
      <c r="A936" s="10"/>
      <c r="B936" s="13"/>
      <c r="C936" s="13"/>
    </row>
    <row r="937" spans="1:3" ht="13" x14ac:dyDescent="0.15">
      <c r="A937" s="10"/>
      <c r="B937" s="13"/>
      <c r="C937" s="13"/>
    </row>
    <row r="938" spans="1:3" ht="13" x14ac:dyDescent="0.15">
      <c r="A938" s="10"/>
      <c r="B938" s="13"/>
      <c r="C938" s="13"/>
    </row>
    <row r="939" spans="1:3" ht="13" x14ac:dyDescent="0.15">
      <c r="A939" s="10"/>
      <c r="B939" s="13"/>
      <c r="C939" s="13"/>
    </row>
    <row r="940" spans="1:3" ht="13" x14ac:dyDescent="0.15">
      <c r="A940" s="10"/>
      <c r="B940" s="13"/>
      <c r="C940" s="13"/>
    </row>
    <row r="941" spans="1:3" ht="13" x14ac:dyDescent="0.15">
      <c r="A941" s="10"/>
      <c r="B941" s="13"/>
      <c r="C941" s="13"/>
    </row>
    <row r="942" spans="1:3" ht="13" x14ac:dyDescent="0.15">
      <c r="A942" s="10"/>
      <c r="B942" s="13"/>
      <c r="C942" s="13"/>
    </row>
    <row r="943" spans="1:3" ht="13" x14ac:dyDescent="0.15">
      <c r="A943" s="10"/>
      <c r="B943" s="13"/>
      <c r="C943" s="13"/>
    </row>
    <row r="944" spans="1:3" ht="13" x14ac:dyDescent="0.15">
      <c r="A944" s="10"/>
      <c r="B944" s="13"/>
      <c r="C944" s="13"/>
    </row>
    <row r="945" spans="1:3" ht="13" x14ac:dyDescent="0.15">
      <c r="A945" s="10"/>
      <c r="B945" s="13"/>
      <c r="C945" s="13"/>
    </row>
    <row r="946" spans="1:3" ht="13" x14ac:dyDescent="0.15">
      <c r="A946" s="10"/>
      <c r="B946" s="13"/>
      <c r="C946" s="13"/>
    </row>
    <row r="947" spans="1:3" ht="13" x14ac:dyDescent="0.15">
      <c r="A947" s="10"/>
      <c r="B947" s="13"/>
      <c r="C947" s="13"/>
    </row>
    <row r="948" spans="1:3" ht="13" x14ac:dyDescent="0.15">
      <c r="A948" s="10"/>
      <c r="B948" s="13"/>
      <c r="C948" s="13"/>
    </row>
    <row r="949" spans="1:3" ht="13" x14ac:dyDescent="0.15">
      <c r="A949" s="10"/>
      <c r="B949" s="13"/>
      <c r="C949" s="13"/>
    </row>
    <row r="950" spans="1:3" ht="13" x14ac:dyDescent="0.15">
      <c r="A950" s="10"/>
      <c r="B950" s="13"/>
      <c r="C950" s="13"/>
    </row>
    <row r="951" spans="1:3" ht="13" x14ac:dyDescent="0.15">
      <c r="A951" s="10"/>
      <c r="B951" s="13"/>
      <c r="C951" s="13"/>
    </row>
    <row r="952" spans="1:3" ht="13" x14ac:dyDescent="0.15">
      <c r="A952" s="10"/>
      <c r="B952" s="13"/>
      <c r="C952" s="13"/>
    </row>
    <row r="953" spans="1:3" ht="13" x14ac:dyDescent="0.15">
      <c r="A953" s="10"/>
      <c r="B953" s="13"/>
      <c r="C953" s="13"/>
    </row>
    <row r="954" spans="1:3" ht="13" x14ac:dyDescent="0.15">
      <c r="A954" s="10"/>
      <c r="B954" s="13"/>
      <c r="C954" s="13"/>
    </row>
    <row r="955" spans="1:3" ht="13" x14ac:dyDescent="0.15">
      <c r="A955" s="10"/>
      <c r="B955" s="13"/>
      <c r="C955" s="13"/>
    </row>
    <row r="956" spans="1:3" ht="13" x14ac:dyDescent="0.15">
      <c r="A956" s="10"/>
      <c r="B956" s="13"/>
      <c r="C956" s="13"/>
    </row>
    <row r="957" spans="1:3" ht="13" x14ac:dyDescent="0.15">
      <c r="A957" s="10"/>
      <c r="B957" s="13"/>
      <c r="C957" s="13"/>
    </row>
    <row r="958" spans="1:3" ht="13" x14ac:dyDescent="0.15">
      <c r="A958" s="10"/>
      <c r="B958" s="13"/>
      <c r="C958" s="13"/>
    </row>
    <row r="959" spans="1:3" ht="13" x14ac:dyDescent="0.15">
      <c r="A959" s="10"/>
      <c r="B959" s="13"/>
      <c r="C959" s="13"/>
    </row>
    <row r="960" spans="1:3" ht="13" x14ac:dyDescent="0.15">
      <c r="A960" s="10"/>
      <c r="B960" s="13"/>
      <c r="C960" s="13"/>
    </row>
    <row r="961" spans="1:3" ht="13" x14ac:dyDescent="0.15">
      <c r="A961" s="10"/>
      <c r="B961" s="13"/>
      <c r="C961" s="13"/>
    </row>
    <row r="962" spans="1:3" ht="13" x14ac:dyDescent="0.15">
      <c r="A962" s="10"/>
      <c r="B962" s="13"/>
      <c r="C962" s="13"/>
    </row>
    <row r="963" spans="1:3" ht="13" x14ac:dyDescent="0.15">
      <c r="A963" s="10"/>
      <c r="B963" s="13"/>
      <c r="C963" s="13"/>
    </row>
    <row r="964" spans="1:3" ht="13" x14ac:dyDescent="0.15">
      <c r="A964" s="10"/>
      <c r="B964" s="13"/>
      <c r="C964" s="13"/>
    </row>
    <row r="965" spans="1:3" ht="13" x14ac:dyDescent="0.15">
      <c r="A965" s="10"/>
      <c r="B965" s="13"/>
      <c r="C965" s="13"/>
    </row>
    <row r="966" spans="1:3" ht="13" x14ac:dyDescent="0.15">
      <c r="A966" s="10"/>
      <c r="B966" s="13"/>
      <c r="C966" s="13"/>
    </row>
    <row r="967" spans="1:3" ht="13" x14ac:dyDescent="0.15">
      <c r="A967" s="10"/>
      <c r="B967" s="13"/>
      <c r="C967" s="13"/>
    </row>
    <row r="968" spans="1:3" ht="13" x14ac:dyDescent="0.15">
      <c r="A968" s="10"/>
      <c r="B968" s="13"/>
      <c r="C968" s="13"/>
    </row>
    <row r="969" spans="1:3" ht="13" x14ac:dyDescent="0.15">
      <c r="A969" s="10"/>
      <c r="B969" s="13"/>
      <c r="C969" s="13"/>
    </row>
    <row r="970" spans="1:3" ht="13" x14ac:dyDescent="0.15">
      <c r="A970" s="10"/>
      <c r="B970" s="13"/>
      <c r="C970" s="13"/>
    </row>
    <row r="971" spans="1:3" ht="13" x14ac:dyDescent="0.15">
      <c r="A971" s="10"/>
      <c r="B971" s="13"/>
      <c r="C971" s="13"/>
    </row>
    <row r="972" spans="1:3" ht="13" x14ac:dyDescent="0.15">
      <c r="A972" s="10"/>
      <c r="B972" s="13"/>
      <c r="C972" s="13"/>
    </row>
    <row r="973" spans="1:3" ht="13" x14ac:dyDescent="0.15">
      <c r="A973" s="10"/>
      <c r="B973" s="13"/>
      <c r="C973" s="13"/>
    </row>
    <row r="974" spans="1:3" ht="13" x14ac:dyDescent="0.15">
      <c r="A974" s="10"/>
      <c r="B974" s="13"/>
      <c r="C974" s="13"/>
    </row>
    <row r="975" spans="1:3" ht="13" x14ac:dyDescent="0.15">
      <c r="A975" s="10"/>
      <c r="B975" s="13"/>
      <c r="C975" s="13"/>
    </row>
    <row r="976" spans="1:3" ht="13" x14ac:dyDescent="0.15">
      <c r="A976" s="10"/>
      <c r="B976" s="13"/>
      <c r="C976" s="13"/>
    </row>
    <row r="977" spans="1:3" ht="13" x14ac:dyDescent="0.15">
      <c r="A977" s="10"/>
      <c r="B977" s="13"/>
      <c r="C977" s="13"/>
    </row>
    <row r="978" spans="1:3" ht="13" x14ac:dyDescent="0.15">
      <c r="A978" s="10"/>
      <c r="B978" s="13"/>
      <c r="C978" s="13"/>
    </row>
    <row r="979" spans="1:3" ht="13" x14ac:dyDescent="0.15">
      <c r="A979" s="10"/>
      <c r="B979" s="13"/>
      <c r="C979" s="13"/>
    </row>
    <row r="980" spans="1:3" ht="13" x14ac:dyDescent="0.15">
      <c r="A980" s="10"/>
      <c r="B980" s="13"/>
      <c r="C980" s="13"/>
    </row>
    <row r="981" spans="1:3" ht="13" x14ac:dyDescent="0.15">
      <c r="A981" s="10"/>
      <c r="B981" s="13"/>
      <c r="C981" s="13"/>
    </row>
    <row r="982" spans="1:3" ht="13" x14ac:dyDescent="0.15">
      <c r="A982" s="10"/>
      <c r="B982" s="13"/>
      <c r="C982" s="13"/>
    </row>
    <row r="983" spans="1:3" ht="13" x14ac:dyDescent="0.15">
      <c r="A983" s="10"/>
      <c r="B983" s="13"/>
      <c r="C983" s="13"/>
    </row>
    <row r="984" spans="1:3" ht="13" x14ac:dyDescent="0.15">
      <c r="A984" s="10"/>
      <c r="B984" s="13"/>
      <c r="C984" s="13"/>
    </row>
    <row r="985" spans="1:3" ht="13" x14ac:dyDescent="0.15">
      <c r="A985" s="10"/>
      <c r="B985" s="13"/>
      <c r="C985" s="13"/>
    </row>
    <row r="986" spans="1:3" ht="13" x14ac:dyDescent="0.15">
      <c r="A986" s="10"/>
      <c r="B986" s="13"/>
      <c r="C986" s="13"/>
    </row>
    <row r="987" spans="1:3" ht="13" x14ac:dyDescent="0.15">
      <c r="A987" s="10"/>
      <c r="B987" s="13"/>
      <c r="C987" s="13"/>
    </row>
    <row r="988" spans="1:3" ht="13" x14ac:dyDescent="0.15">
      <c r="A988" s="10"/>
      <c r="B988" s="13"/>
      <c r="C988" s="13"/>
    </row>
    <row r="989" spans="1:3" ht="13" x14ac:dyDescent="0.15">
      <c r="A989" s="10"/>
      <c r="B989" s="13"/>
      <c r="C989" s="13"/>
    </row>
    <row r="990" spans="1:3" ht="13" x14ac:dyDescent="0.15">
      <c r="A990" s="10"/>
      <c r="B990" s="13"/>
      <c r="C990" s="13"/>
    </row>
    <row r="991" spans="1:3" ht="13" x14ac:dyDescent="0.15">
      <c r="A991" s="10"/>
      <c r="B991" s="13"/>
      <c r="C991" s="13"/>
    </row>
    <row r="992" spans="1:3" ht="13" x14ac:dyDescent="0.15">
      <c r="A992" s="10"/>
      <c r="B992" s="13"/>
      <c r="C992" s="13"/>
    </row>
    <row r="993" spans="1:3" ht="13" x14ac:dyDescent="0.15">
      <c r="A993" s="10"/>
      <c r="B993" s="13"/>
      <c r="C993" s="13"/>
    </row>
    <row r="994" spans="1:3" ht="13" x14ac:dyDescent="0.15">
      <c r="A994" s="10"/>
      <c r="B994" s="13"/>
      <c r="C994" s="13"/>
    </row>
    <row r="995" spans="1:3" ht="13" x14ac:dyDescent="0.15">
      <c r="A995" s="10"/>
      <c r="B995" s="13"/>
      <c r="C995" s="13"/>
    </row>
    <row r="996" spans="1:3" ht="13" x14ac:dyDescent="0.15">
      <c r="A996" s="10"/>
      <c r="B996" s="13"/>
      <c r="C996" s="13"/>
    </row>
    <row r="997" spans="1:3" ht="13" x14ac:dyDescent="0.15">
      <c r="A997" s="10"/>
      <c r="B997" s="13"/>
      <c r="C997" s="13"/>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outlinePr summaryBelow="0" summaryRight="0"/>
  </sheetPr>
  <dimension ref="A1:D997"/>
  <sheetViews>
    <sheetView workbookViewId="0"/>
  </sheetViews>
  <sheetFormatPr baseColWidth="10" defaultColWidth="12.6640625" defaultRowHeight="15.75" customHeight="1" x14ac:dyDescent="0.15"/>
  <cols>
    <col min="1" max="1" width="71.5" customWidth="1"/>
    <col min="2" max="4" width="37.6640625" customWidth="1"/>
  </cols>
  <sheetData>
    <row r="1" spans="1:4" x14ac:dyDescent="0.2">
      <c r="A1" s="1"/>
      <c r="B1" s="21" t="str">
        <f ca="1">IFERROR(__xludf.DUMMYFUNCTION("IMPORTRANGE(""https://docs.google.com/spreadsheets/u/0/d/1_NcUY7_L0-VKMwwoDwesshr7eGsHFBVPNg4YI6jkjhk"", ""A17!B1:B22"")"),"Noelle Labadens")</f>
        <v>Noelle Labadens</v>
      </c>
      <c r="C1" s="10" t="str">
        <f ca="1">IFERROR(__xludf.DUMMYFUNCTION("IMPORTRANGE(""https://docs.google.com/spreadsheets/u/0/d/1e6QLf1_HeiTNz7JOFlwsfbt48UsSPCJuGTSppexqIJc"", ""17!B1:B22"")"),"Tyler Thibodeaux")</f>
        <v>Tyler Thibodeaux</v>
      </c>
      <c r="D1" s="2" t="s">
        <v>1</v>
      </c>
    </row>
    <row r="2" spans="1:4" ht="15.75" customHeight="1" x14ac:dyDescent="0.15">
      <c r="A2" s="3" t="s">
        <v>2</v>
      </c>
      <c r="B2" s="15" t="str">
        <f ca="1">IFERROR(__xludf.DUMMYFUNCTION("""COMPUTED_VALUE"""),"12229-13782 FOR")</f>
        <v>12229-13782 FOR</v>
      </c>
      <c r="C2" s="15" t="str">
        <f ca="1">IFERROR(__xludf.DUMMYFUNCTION("""COMPUTED_VALUE"""),"(12229 - 13782 ) FOR")</f>
        <v>(12229 - 13782 ) FOR</v>
      </c>
      <c r="D2" s="4"/>
    </row>
    <row r="3" spans="1:4" ht="15.75" customHeight="1" x14ac:dyDescent="0.15">
      <c r="A3" s="5" t="s">
        <v>3</v>
      </c>
      <c r="B3" s="17" t="str">
        <f ca="1">IFERROR(__xludf.DUMMYFUNCTION("""COMPUTED_VALUE"""),"DNA Master: 17 Phamerator: 17")</f>
        <v>DNA Master: 17 Phamerator: 17</v>
      </c>
      <c r="C3" s="17" t="str">
        <f ca="1">IFERROR(__xludf.DUMMYFUNCTION("""COMPUTED_VALUE"""),"17 In DNAm and PHAM")</f>
        <v>17 In DNAm and PHAM</v>
      </c>
      <c r="D3" s="6"/>
    </row>
    <row r="4" spans="1:4" ht="15.75" customHeight="1" x14ac:dyDescent="0.15">
      <c r="A4" s="5" t="s">
        <v>4</v>
      </c>
      <c r="B4" s="17" t="str">
        <f ca="1">IFERROR(__xludf.DUMMYFUNCTION("""COMPUTED_VALUE"""),"Pham 5968 3/5/25")</f>
        <v>Pham 5968 3/5/25</v>
      </c>
      <c r="C4" s="17" t="str">
        <f ca="1">IFERROR(__xludf.DUMMYFUNCTION("""COMPUTED_VALUE"""),"pham 5968, 2-27-25")</f>
        <v>pham 5968, 2-27-25</v>
      </c>
      <c r="D4" s="6"/>
    </row>
    <row r="5" spans="1:4" ht="15.75" customHeight="1" x14ac:dyDescent="0.15">
      <c r="A5" s="5" t="s">
        <v>5</v>
      </c>
      <c r="B5" s="17" t="str">
        <f ca="1">IFERROR(__xludf.DUMMYFUNCTION("""COMPUTED_VALUE"""),"ApoKipo_18, Salgado_17, LiSara_17")</f>
        <v>ApoKipo_18, Salgado_17, LiSara_17</v>
      </c>
      <c r="C5" s="17" t="str">
        <f ca="1">IFERROR(__xludf.DUMMYFUNCTION("""COMPUTED_VALUE"""),"Kovu_18")</f>
        <v>Kovu_18</v>
      </c>
      <c r="D5" s="6"/>
    </row>
    <row r="6" spans="1:4" ht="15.75" customHeight="1" x14ac:dyDescent="0.15">
      <c r="A6" s="5" t="s">
        <v>6</v>
      </c>
      <c r="B6" s="17" t="str">
        <f ca="1">IFERROR(__xludf.DUMMYFUNCTION("""COMPUTED_VALUE"""),"Both called")</f>
        <v>Both called</v>
      </c>
      <c r="C6" s="17" t="str">
        <f ca="1">IFERROR(__xludf.DUMMYFUNCTION("""COMPUTED_VALUE"""),"Original Glimmer call @bp 12229, BOTH CALLED for this ")</f>
        <v xml:space="preserve">Original Glimmer call @bp 12229, BOTH CALLED for this </v>
      </c>
      <c r="D6" s="6"/>
    </row>
    <row r="7" spans="1:4" ht="15.75" customHeight="1" x14ac:dyDescent="0.15">
      <c r="A7" s="5" t="s">
        <v>7</v>
      </c>
      <c r="B7" s="17" t="str">
        <f ca="1">IFERROR(__xludf.DUMMYFUNCTION("""COMPUTED_VALUE"""),"good coding potential, catures almost all gene")</f>
        <v>good coding potential, catures almost all gene</v>
      </c>
      <c r="C7" s="17" t="str">
        <f ca="1">IFERROR(__xludf.DUMMYFUNCTION("""COMPUTED_VALUE"""),"It does have good coding potential. Not all of the coding is included in the start however. ")</f>
        <v xml:space="preserve">It does have good coding potential. Not all of the coding is included in the start however. </v>
      </c>
      <c r="D7" s="6"/>
    </row>
    <row r="8" spans="1:4" ht="15.75" customHeight="1" x14ac:dyDescent="0.15">
      <c r="A8" s="5" t="s">
        <v>8</v>
      </c>
      <c r="B8" s="17" t="str">
        <f ca="1">IFERROR(__xludf.DUMMYFUNCTION("""COMPUTED_VALUE"""),"no, there are 4 other starts before the chosen one. All other starts create overlaps")</f>
        <v>no, there are 4 other starts before the chosen one. All other starts create overlaps</v>
      </c>
      <c r="C8" s="17" t="str">
        <f ca="1">IFERROR(__xludf.DUMMYFUNCTION("""COMPUTED_VALUE"""),"It is longest ORF because moving the start would create an overlap")</f>
        <v>It is longest ORF because moving the start would create an overlap</v>
      </c>
      <c r="D8" s="6"/>
    </row>
    <row r="9" spans="1:4" ht="15.75" customHeight="1" x14ac:dyDescent="0.15">
      <c r="A9" s="5" t="s">
        <v>9</v>
      </c>
      <c r="B9" s="17" t="str">
        <f ca="1">IFERROR(__xludf.DUMMYFUNCTION("""COMPUTED_VALUE"""),"35 nt gap")</f>
        <v>35 nt gap</v>
      </c>
      <c r="C9" s="17" t="str">
        <f ca="1">IFERROR(__xludf.DUMMYFUNCTION("""COMPUTED_VALUE"""),"23 Nucleotide Gap on DNAm")</f>
        <v>23 Nucleotide Gap on DNAm</v>
      </c>
      <c r="D9" s="6"/>
    </row>
    <row r="10" spans="1:4" ht="15.75" customHeight="1" x14ac:dyDescent="0.15">
      <c r="A10" s="5" t="s">
        <v>10</v>
      </c>
      <c r="B10" s="17" t="str">
        <f ca="1">IFERROR(__xludf.DUMMYFUNCTION("""COMPUTED_VALUE"""),"raw SD: -3.431; Z score: 2.175. Three others with a score above 2: starts 1,2, and 3")</f>
        <v>raw SD: -3.431; Z score: 2.175. Three others with a score above 2: starts 1,2, and 3</v>
      </c>
      <c r="C10" s="17" t="str">
        <f ca="1">IFERROR(__xludf.DUMMYFUNCTION("""COMPUTED_VALUE"""),"Good Z score. Z= 2.388. There are no other better scores ")</f>
        <v xml:space="preserve">Good Z score. Z= 2.388. There are no other better scores </v>
      </c>
      <c r="D10" s="6"/>
    </row>
    <row r="11" spans="1:4" ht="15.75" customHeight="1" x14ac:dyDescent="0.15">
      <c r="A11" s="5" t="s">
        <v>11</v>
      </c>
      <c r="B11" s="17" t="str">
        <f ca="1">IFERROR(__xludf.DUMMYFUNCTION("""COMPUTED_VALUE"""),"Kovu_18, 88%, e 0.0; q:1 s:36")</f>
        <v>Kovu_18, 88%, e 0.0; q:1 s:36</v>
      </c>
      <c r="C11" s="17" t="str">
        <f ca="1">IFERROR(__xludf.DUMMYFUNCTION("""COMPUTED_VALUE"""),"Kovu capsid maturation protease, gene 18, 100 % Identity, e=0.0, start 1 in Apokipo = start 1 in Kovu")</f>
        <v>Kovu capsid maturation protease, gene 18, 100 % Identity, e=0.0, start 1 in Apokipo = start 1 in Kovu</v>
      </c>
      <c r="D11" s="6"/>
    </row>
    <row r="12" spans="1:4" ht="15.75" customHeight="1" x14ac:dyDescent="0.15">
      <c r="A12" s="5" t="s">
        <v>12</v>
      </c>
      <c r="B12" s="17" t="str">
        <f ca="1">IFERROR(__xludf.DUMMYFUNCTION("""COMPUTED_VALUE"""),"no, 100% of the time when present because ApoKipo is the only one with this start")</f>
        <v>no, 100% of the time when present because ApoKipo is the only one with this start</v>
      </c>
      <c r="C12" s="17" t="str">
        <f ca="1">IFERROR(__xludf.DUMMYFUNCTION("""COMPUTED_VALUE"""),"It is only conserved in Kovu. No info on call %.")</f>
        <v>It is only conserved in Kovu. No info on call %.</v>
      </c>
      <c r="D12" s="6"/>
    </row>
    <row r="13" spans="1:4" ht="15.75" customHeight="1" x14ac:dyDescent="0.15">
      <c r="A13" s="5" t="s">
        <v>13</v>
      </c>
      <c r="B13" s="17" t="str">
        <f ca="1">IFERROR(__xludf.DUMMYFUNCTION("""COMPUTED_VALUE"""),"no, moving the start to match Kovu creates an overlap, the coding potential is good, and the z score is good")</f>
        <v>no, moving the start to match Kovu creates an overlap, the coding potential is good, and the z score is good</v>
      </c>
      <c r="C13" s="17" t="str">
        <f ca="1">IFERROR(__xludf.DUMMYFUNCTION("""COMPUTED_VALUE"""),"No")</f>
        <v>No</v>
      </c>
      <c r="D13" s="6"/>
    </row>
    <row r="14" spans="1:4" ht="15.75" customHeight="1" x14ac:dyDescent="0.15">
      <c r="A14" s="5" t="s">
        <v>14</v>
      </c>
      <c r="B14" s="17" t="str">
        <f ca="1">IFERROR(__xludf.DUMMYFUNCTION("""COMPUTED_VALUE"""),"Kovu_18, e 0.0")</f>
        <v>Kovu_18, e 0.0</v>
      </c>
      <c r="C14" s="17" t="str">
        <f ca="1">IFERROR(__xludf.DUMMYFUNCTION("""COMPUTED_VALUE"""),"Kovu_18, e =0.0, Salgado_17, e=0.0")</f>
        <v>Kovu_18, e =0.0, Salgado_17, e=0.0</v>
      </c>
      <c r="D14" s="6"/>
    </row>
    <row r="15" spans="1:4" ht="15.75" customHeight="1" x14ac:dyDescent="0.15">
      <c r="A15" s="5" t="s">
        <v>15</v>
      </c>
      <c r="B15" s="17" t="str">
        <f ca="1">IFERROR(__xludf.DUMMYFUNCTION("""COMPUTED_VALUE"""),"capsid maturation protease")</f>
        <v>capsid maturation protease</v>
      </c>
      <c r="C15" s="17" t="str">
        <f ca="1">IFERROR(__xludf.DUMMYFUNCTION("""COMPUTED_VALUE""")," capsid maturation protease, Kovu_18")</f>
        <v xml:space="preserve"> capsid maturation protease, Kovu_18</v>
      </c>
      <c r="D15" s="6"/>
    </row>
    <row r="16" spans="1:4" ht="15.75" customHeight="1" x14ac:dyDescent="0.15">
      <c r="A16" s="5" t="s">
        <v>16</v>
      </c>
      <c r="B16" s="17" t="str">
        <f ca="1">IFERROR(__xludf.DUMMYFUNCTION("""COMPUTED_VALUE"""),"good synteny, all surrounding genes as expected")</f>
        <v>good synteny, all surrounding genes as expected</v>
      </c>
      <c r="C16" s="17" t="str">
        <f ca="1">IFERROR(__xludf.DUMMYFUNCTION("""COMPUTED_VALUE"""),"It is in the same genetic enviornment as Kovu. ")</f>
        <v xml:space="preserve">It is in the same genetic enviornment as Kovu. </v>
      </c>
      <c r="D16" s="6"/>
    </row>
    <row r="17" spans="1:4" ht="15.75" customHeight="1" x14ac:dyDescent="0.15">
      <c r="A17" s="5" t="s">
        <v>17</v>
      </c>
      <c r="B17" s="17" t="str">
        <f ca="1">IFERROR(__xludf.DUMMYFUNCTION("""COMPUTED_VALUE"""),"honestly not the most helpful. not a lot of matches, but the 7 were over 90%. the only one that captured the whole gene was: GP7_BPSPP Minor head protein GP7 OS=Bacillus phage SPP1 OX=10724 GN=7 PE=1 SV=2, 99.82%, Q:33.85%, T: 56.82%. No functional domain"&amp;" listed. May need further exploration.")</f>
        <v>honestly not the most helpful. not a lot of matches, but the 7 were over 90%. the only one that captured the whole gene was: GP7_BPSPP Minor head protein GP7 OS=Bacillus phage SPP1 OX=10724 GN=7 PE=1 SV=2, 99.82%, Q:33.85%, T: 56.82%. No functional domain listed. May need further exploration.</v>
      </c>
      <c r="C17" s="17" t="str">
        <f ca="1">IFERROR(__xludf.DUMMYFUNCTION("""COMPUTED_VALUE"""),"GPF_BPMU Putative capsid assembly protein F OS=Escherichia phage Mu OX=10677 GN=F PE=2 SV=2, %Probability: 99.78%, %Q=36%, %T= 43, It is within the functional domain. No futher exploration ")</f>
        <v xml:space="preserve">GPF_BPMU Putative capsid assembly protein F OS=Escherichia phage Mu OX=10677 GN=F PE=2 SV=2, %Probability: 99.78%, %Q=36%, %T= 43, It is within the functional domain. No futher exploration </v>
      </c>
      <c r="D17" s="6"/>
    </row>
    <row r="18" spans="1:4" ht="15.75" customHeight="1" x14ac:dyDescent="0.15">
      <c r="A18" s="5" t="s">
        <v>18</v>
      </c>
      <c r="B18" s="17" t="str">
        <f ca="1">IFERROR(__xludf.DUMMYFUNCTION("""COMPUTED_VALUE"""),"yes")</f>
        <v>yes</v>
      </c>
      <c r="C18" s="17" t="str">
        <f ca="1">IFERROR(__xludf.DUMMYFUNCTION("""COMPUTED_VALUE"""),"Phage_Mu_F")</f>
        <v>Phage_Mu_F</v>
      </c>
      <c r="D18" s="6"/>
    </row>
    <row r="19" spans="1:4" ht="15.75" customHeight="1" x14ac:dyDescent="0.15">
      <c r="A19" s="5" t="s">
        <v>19</v>
      </c>
      <c r="B19" s="17" t="str">
        <f ca="1">IFERROR(__xludf.DUMMYFUNCTION("""COMPUTED_VALUE"""),"none")</f>
        <v>none</v>
      </c>
      <c r="C19" s="17" t="str">
        <f ca="1">IFERROR(__xludf.DUMMYFUNCTION("""COMPUTED_VALUE"""),"None")</f>
        <v>None</v>
      </c>
      <c r="D19" s="6"/>
    </row>
    <row r="20" spans="1:4" ht="15.75" customHeight="1" x14ac:dyDescent="0.15">
      <c r="A20" s="5" t="s">
        <v>20</v>
      </c>
      <c r="B20" s="17" t="str">
        <f ca="1">IFERROR(__xludf.DUMMYFUNCTION("""COMPUTED_VALUE"""),"Capsid maturation protease. HHPred wasn't really helpful, although I did see some with ""Capsid"" in the function. It's very similar to Kovu.")</f>
        <v>Capsid maturation protease. HHPred wasn't really helpful, although I did see some with "Capsid" in the function. It's very similar to Kovu.</v>
      </c>
      <c r="C20" s="17" t="str">
        <f ca="1">IFERROR(__xludf.DUMMYFUNCTION("""COMPUTED_VALUE"""),"capsid maturation protease. Based on NCBI blast, PhagesDB blast, and HHPRED, I would assume that the Caspid Maturation Protease is the function. ")</f>
        <v xml:space="preserve">capsid maturation protease. Based on NCBI blast, PhagesDB blast, and HHPRED, I would assume that the Caspid Maturation Protease is the function. </v>
      </c>
      <c r="D20" s="6"/>
    </row>
    <row r="21" spans="1:4" x14ac:dyDescent="0.2">
      <c r="A21" s="7"/>
      <c r="B21" s="19"/>
      <c r="C21" s="19"/>
      <c r="D21" s="8"/>
    </row>
    <row r="22" spans="1:4" ht="15.75" customHeight="1" x14ac:dyDescent="0.15">
      <c r="A22" s="9" t="s">
        <v>21</v>
      </c>
      <c r="B22" s="19"/>
      <c r="C22" s="19"/>
      <c r="D22" s="8"/>
    </row>
    <row r="23" spans="1:4" ht="15.75" customHeight="1" x14ac:dyDescent="0.15">
      <c r="A23" s="10"/>
      <c r="B23" s="13"/>
      <c r="C23" s="13"/>
    </row>
    <row r="24" spans="1:4" ht="15.75" customHeight="1" x14ac:dyDescent="0.15">
      <c r="A24" s="10"/>
      <c r="B24" s="13"/>
      <c r="C24" s="13"/>
    </row>
    <row r="25" spans="1:4" ht="15.75" customHeight="1" x14ac:dyDescent="0.15">
      <c r="A25" s="10"/>
      <c r="B25" s="13"/>
      <c r="C25" s="13"/>
    </row>
    <row r="26" spans="1:4" ht="15.75" customHeight="1" x14ac:dyDescent="0.15">
      <c r="A26" s="10"/>
      <c r="B26" s="13"/>
      <c r="C26" s="13"/>
    </row>
    <row r="27" spans="1:4" ht="15.75" customHeight="1" x14ac:dyDescent="0.15">
      <c r="A27" s="10"/>
      <c r="B27" s="13"/>
      <c r="C27" s="13"/>
    </row>
    <row r="28" spans="1:4" ht="15.75" customHeight="1" x14ac:dyDescent="0.15">
      <c r="A28" s="10"/>
      <c r="B28" s="13"/>
      <c r="C28" s="13"/>
    </row>
    <row r="29" spans="1:4" ht="15.75" customHeight="1" x14ac:dyDescent="0.15">
      <c r="A29" s="10"/>
      <c r="B29" s="13"/>
      <c r="C29" s="13"/>
    </row>
    <row r="30" spans="1:4" ht="15.75" customHeight="1" x14ac:dyDescent="0.15">
      <c r="A30" s="10"/>
      <c r="B30" s="13"/>
      <c r="C30" s="13"/>
    </row>
    <row r="31" spans="1:4" ht="15.75" customHeight="1" x14ac:dyDescent="0.15">
      <c r="A31" s="10"/>
      <c r="B31" s="13"/>
      <c r="C31" s="13"/>
    </row>
    <row r="32" spans="1:4" ht="15.75" customHeight="1" x14ac:dyDescent="0.15">
      <c r="A32" s="10"/>
      <c r="B32" s="13"/>
      <c r="C32" s="13"/>
    </row>
    <row r="33" spans="1:3" ht="15.75" customHeight="1" x14ac:dyDescent="0.15">
      <c r="A33" s="10"/>
      <c r="B33" s="13"/>
      <c r="C33" s="13"/>
    </row>
    <row r="34" spans="1:3" ht="15.75" customHeight="1" x14ac:dyDescent="0.15">
      <c r="A34" s="10"/>
      <c r="B34" s="13"/>
      <c r="C34" s="13"/>
    </row>
    <row r="35" spans="1:3" ht="15.75" customHeight="1" x14ac:dyDescent="0.15">
      <c r="A35" s="10"/>
      <c r="B35" s="13"/>
      <c r="C35" s="13"/>
    </row>
    <row r="36" spans="1:3" ht="15.75" customHeight="1" x14ac:dyDescent="0.15">
      <c r="A36" s="10"/>
      <c r="B36" s="13"/>
      <c r="C36" s="13"/>
    </row>
    <row r="37" spans="1:3" ht="15.75" customHeight="1" x14ac:dyDescent="0.15">
      <c r="A37" s="10"/>
      <c r="B37" s="13"/>
      <c r="C37" s="13"/>
    </row>
    <row r="38" spans="1:3" ht="15.75" customHeight="1" x14ac:dyDescent="0.15">
      <c r="A38" s="10"/>
      <c r="B38" s="13"/>
      <c r="C38" s="13"/>
    </row>
    <row r="39" spans="1:3" ht="13" x14ac:dyDescent="0.15">
      <c r="A39" s="10"/>
      <c r="B39" s="13"/>
      <c r="C39" s="13"/>
    </row>
    <row r="40" spans="1:3" ht="13" x14ac:dyDescent="0.15">
      <c r="A40" s="10"/>
      <c r="B40" s="13"/>
      <c r="C40" s="13"/>
    </row>
    <row r="41" spans="1:3" ht="13" x14ac:dyDescent="0.15">
      <c r="A41" s="10"/>
      <c r="B41" s="13"/>
      <c r="C41" s="13"/>
    </row>
    <row r="42" spans="1:3" ht="13" x14ac:dyDescent="0.15">
      <c r="A42" s="10"/>
      <c r="B42" s="13"/>
      <c r="C42" s="13"/>
    </row>
    <row r="43" spans="1:3" ht="13" x14ac:dyDescent="0.15">
      <c r="A43" s="10"/>
      <c r="B43" s="13"/>
      <c r="C43" s="13"/>
    </row>
    <row r="44" spans="1:3" ht="13" x14ac:dyDescent="0.15">
      <c r="A44" s="10"/>
      <c r="B44" s="13"/>
      <c r="C44" s="13"/>
    </row>
    <row r="45" spans="1:3" ht="13" x14ac:dyDescent="0.15">
      <c r="A45" s="10"/>
      <c r="B45" s="13"/>
      <c r="C45" s="13"/>
    </row>
    <row r="46" spans="1:3" ht="13" x14ac:dyDescent="0.15">
      <c r="A46" s="10"/>
      <c r="B46" s="13"/>
      <c r="C46" s="13"/>
    </row>
    <row r="47" spans="1:3" ht="13" x14ac:dyDescent="0.15">
      <c r="A47" s="10"/>
      <c r="B47" s="13"/>
      <c r="C47" s="13"/>
    </row>
    <row r="48" spans="1:3" ht="13" x14ac:dyDescent="0.15">
      <c r="A48" s="10"/>
      <c r="B48" s="13"/>
      <c r="C48" s="13"/>
    </row>
    <row r="49" spans="1:3" ht="13" x14ac:dyDescent="0.15">
      <c r="A49" s="10"/>
      <c r="B49" s="13"/>
      <c r="C49" s="13"/>
    </row>
    <row r="50" spans="1:3" ht="13" x14ac:dyDescent="0.15">
      <c r="A50" s="10"/>
      <c r="B50" s="13"/>
      <c r="C50" s="13"/>
    </row>
    <row r="51" spans="1:3" ht="13" x14ac:dyDescent="0.15">
      <c r="A51" s="10"/>
      <c r="B51" s="13"/>
      <c r="C51" s="13"/>
    </row>
    <row r="52" spans="1:3" ht="13" x14ac:dyDescent="0.15">
      <c r="A52" s="10"/>
      <c r="B52" s="13"/>
      <c r="C52" s="13"/>
    </row>
    <row r="53" spans="1:3" ht="13" x14ac:dyDescent="0.15">
      <c r="A53" s="10"/>
      <c r="B53" s="13"/>
      <c r="C53" s="13"/>
    </row>
    <row r="54" spans="1:3" ht="13" x14ac:dyDescent="0.15">
      <c r="A54" s="10"/>
      <c r="B54" s="13"/>
      <c r="C54" s="13"/>
    </row>
    <row r="55" spans="1:3" ht="13" x14ac:dyDescent="0.15">
      <c r="A55" s="10"/>
      <c r="B55" s="13"/>
      <c r="C55" s="13"/>
    </row>
    <row r="56" spans="1:3" ht="13" x14ac:dyDescent="0.15">
      <c r="A56" s="10"/>
      <c r="B56" s="13"/>
      <c r="C56" s="13"/>
    </row>
    <row r="57" spans="1:3" ht="13" x14ac:dyDescent="0.15">
      <c r="A57" s="10"/>
      <c r="B57" s="13"/>
      <c r="C57" s="13"/>
    </row>
    <row r="58" spans="1:3" ht="13" x14ac:dyDescent="0.15">
      <c r="A58" s="10"/>
      <c r="B58" s="13"/>
      <c r="C58" s="13"/>
    </row>
    <row r="59" spans="1:3" ht="13" x14ac:dyDescent="0.15">
      <c r="A59" s="10"/>
      <c r="B59" s="13"/>
      <c r="C59" s="13"/>
    </row>
    <row r="60" spans="1:3" ht="13" x14ac:dyDescent="0.15">
      <c r="A60" s="10"/>
      <c r="B60" s="13"/>
      <c r="C60" s="13"/>
    </row>
    <row r="61" spans="1:3" ht="13" x14ac:dyDescent="0.15">
      <c r="A61" s="10"/>
      <c r="B61" s="13"/>
      <c r="C61" s="13"/>
    </row>
    <row r="62" spans="1:3" ht="13" x14ac:dyDescent="0.15">
      <c r="A62" s="10"/>
      <c r="B62" s="13"/>
      <c r="C62" s="13"/>
    </row>
    <row r="63" spans="1:3" ht="13" x14ac:dyDescent="0.15">
      <c r="A63" s="10"/>
      <c r="B63" s="13"/>
      <c r="C63" s="13"/>
    </row>
    <row r="64" spans="1:3" ht="13" x14ac:dyDescent="0.15">
      <c r="A64" s="10"/>
      <c r="B64" s="13"/>
      <c r="C64" s="13"/>
    </row>
    <row r="65" spans="1:3" ht="13" x14ac:dyDescent="0.15">
      <c r="A65" s="10"/>
      <c r="B65" s="13"/>
      <c r="C65" s="13"/>
    </row>
    <row r="66" spans="1:3" ht="13" x14ac:dyDescent="0.15">
      <c r="A66" s="10"/>
      <c r="B66" s="13"/>
      <c r="C66" s="13"/>
    </row>
    <row r="67" spans="1:3" ht="13" x14ac:dyDescent="0.15">
      <c r="A67" s="10"/>
      <c r="B67" s="13"/>
      <c r="C67" s="13"/>
    </row>
    <row r="68" spans="1:3" ht="13" x14ac:dyDescent="0.15">
      <c r="A68" s="10"/>
      <c r="B68" s="13"/>
      <c r="C68" s="13"/>
    </row>
    <row r="69" spans="1:3" ht="13" x14ac:dyDescent="0.15">
      <c r="A69" s="10"/>
      <c r="B69" s="13"/>
      <c r="C69" s="13"/>
    </row>
    <row r="70" spans="1:3" ht="13" x14ac:dyDescent="0.15">
      <c r="A70" s="10"/>
      <c r="B70" s="13"/>
      <c r="C70" s="13"/>
    </row>
    <row r="71" spans="1:3" ht="13" x14ac:dyDescent="0.15">
      <c r="A71" s="10"/>
      <c r="B71" s="13"/>
      <c r="C71" s="13"/>
    </row>
    <row r="72" spans="1:3" ht="13" x14ac:dyDescent="0.15">
      <c r="A72" s="10"/>
      <c r="B72" s="13"/>
      <c r="C72" s="13"/>
    </row>
    <row r="73" spans="1:3" ht="13" x14ac:dyDescent="0.15">
      <c r="A73" s="10"/>
      <c r="B73" s="13"/>
      <c r="C73" s="13"/>
    </row>
    <row r="74" spans="1:3" ht="13" x14ac:dyDescent="0.15">
      <c r="A74" s="10"/>
      <c r="B74" s="13"/>
      <c r="C74" s="13"/>
    </row>
    <row r="75" spans="1:3" ht="13" x14ac:dyDescent="0.15">
      <c r="A75" s="10"/>
      <c r="B75" s="13"/>
      <c r="C75" s="13"/>
    </row>
    <row r="76" spans="1:3" ht="13" x14ac:dyDescent="0.15">
      <c r="A76" s="10"/>
      <c r="B76" s="13"/>
      <c r="C76" s="13"/>
    </row>
    <row r="77" spans="1:3" ht="13" x14ac:dyDescent="0.15">
      <c r="A77" s="10"/>
      <c r="B77" s="13"/>
      <c r="C77" s="13"/>
    </row>
    <row r="78" spans="1:3" ht="13" x14ac:dyDescent="0.15">
      <c r="A78" s="10"/>
      <c r="B78" s="13"/>
      <c r="C78" s="13"/>
    </row>
    <row r="79" spans="1:3" ht="13" x14ac:dyDescent="0.15">
      <c r="A79" s="10"/>
      <c r="B79" s="13"/>
      <c r="C79" s="13"/>
    </row>
    <row r="80" spans="1:3" ht="13" x14ac:dyDescent="0.15">
      <c r="A80" s="10"/>
      <c r="B80" s="13"/>
      <c r="C80" s="13"/>
    </row>
    <row r="81" spans="1:3" ht="13" x14ac:dyDescent="0.15">
      <c r="A81" s="10"/>
      <c r="B81" s="13"/>
      <c r="C81" s="13"/>
    </row>
    <row r="82" spans="1:3" ht="13" x14ac:dyDescent="0.15">
      <c r="A82" s="10"/>
      <c r="B82" s="13"/>
      <c r="C82" s="13"/>
    </row>
    <row r="83" spans="1:3" ht="13" x14ac:dyDescent="0.15">
      <c r="A83" s="10"/>
      <c r="B83" s="13"/>
      <c r="C83" s="13"/>
    </row>
    <row r="84" spans="1:3" ht="13" x14ac:dyDescent="0.15">
      <c r="A84" s="10"/>
      <c r="B84" s="13"/>
      <c r="C84" s="13"/>
    </row>
    <row r="85" spans="1:3" ht="13" x14ac:dyDescent="0.15">
      <c r="A85" s="10"/>
      <c r="B85" s="13"/>
      <c r="C85" s="13"/>
    </row>
    <row r="86" spans="1:3" ht="13" x14ac:dyDescent="0.15">
      <c r="A86" s="10"/>
      <c r="B86" s="13"/>
      <c r="C86" s="13"/>
    </row>
    <row r="87" spans="1:3" ht="13" x14ac:dyDescent="0.15">
      <c r="A87" s="10"/>
      <c r="B87" s="13"/>
      <c r="C87" s="13"/>
    </row>
    <row r="88" spans="1:3" ht="13" x14ac:dyDescent="0.15">
      <c r="A88" s="10"/>
      <c r="B88" s="13"/>
      <c r="C88" s="13"/>
    </row>
    <row r="89" spans="1:3" ht="13" x14ac:dyDescent="0.15">
      <c r="A89" s="10"/>
      <c r="B89" s="13"/>
      <c r="C89" s="13"/>
    </row>
    <row r="90" spans="1:3" ht="13" x14ac:dyDescent="0.15">
      <c r="A90" s="10"/>
      <c r="B90" s="13"/>
      <c r="C90" s="13"/>
    </row>
    <row r="91" spans="1:3" ht="13" x14ac:dyDescent="0.15">
      <c r="A91" s="10"/>
      <c r="B91" s="13"/>
      <c r="C91" s="13"/>
    </row>
    <row r="92" spans="1:3" ht="13" x14ac:dyDescent="0.15">
      <c r="A92" s="10"/>
      <c r="B92" s="13"/>
      <c r="C92" s="13"/>
    </row>
    <row r="93" spans="1:3" ht="13" x14ac:dyDescent="0.15">
      <c r="A93" s="10"/>
      <c r="B93" s="13"/>
      <c r="C93" s="13"/>
    </row>
    <row r="94" spans="1:3" ht="13" x14ac:dyDescent="0.15">
      <c r="A94" s="10"/>
      <c r="B94" s="13"/>
      <c r="C94" s="13"/>
    </row>
    <row r="95" spans="1:3" ht="13" x14ac:dyDescent="0.15">
      <c r="A95" s="10"/>
      <c r="B95" s="13"/>
      <c r="C95" s="13"/>
    </row>
    <row r="96" spans="1:3" ht="13" x14ac:dyDescent="0.15">
      <c r="A96" s="10"/>
      <c r="B96" s="13"/>
      <c r="C96" s="13"/>
    </row>
    <row r="97" spans="1:3" ht="13" x14ac:dyDescent="0.15">
      <c r="A97" s="10"/>
      <c r="B97" s="13"/>
      <c r="C97" s="13"/>
    </row>
    <row r="98" spans="1:3" ht="13" x14ac:dyDescent="0.15">
      <c r="A98" s="10"/>
      <c r="B98" s="13"/>
      <c r="C98" s="13"/>
    </row>
    <row r="99" spans="1:3" ht="13" x14ac:dyDescent="0.15">
      <c r="A99" s="10"/>
      <c r="B99" s="13"/>
      <c r="C99" s="13"/>
    </row>
    <row r="100" spans="1:3" ht="13" x14ac:dyDescent="0.15">
      <c r="A100" s="10"/>
      <c r="B100" s="13"/>
      <c r="C100" s="13"/>
    </row>
    <row r="101" spans="1:3" ht="13" x14ac:dyDescent="0.15">
      <c r="A101" s="10"/>
      <c r="B101" s="13"/>
      <c r="C101" s="13"/>
    </row>
    <row r="102" spans="1:3" ht="13" x14ac:dyDescent="0.15">
      <c r="A102" s="10"/>
      <c r="B102" s="13"/>
      <c r="C102" s="13"/>
    </row>
    <row r="103" spans="1:3" ht="13" x14ac:dyDescent="0.15">
      <c r="A103" s="10"/>
      <c r="B103" s="13"/>
      <c r="C103" s="13"/>
    </row>
    <row r="104" spans="1:3" ht="13" x14ac:dyDescent="0.15">
      <c r="A104" s="10"/>
      <c r="B104" s="13"/>
      <c r="C104" s="13"/>
    </row>
    <row r="105" spans="1:3" ht="13" x14ac:dyDescent="0.15">
      <c r="A105" s="10"/>
      <c r="B105" s="13"/>
      <c r="C105" s="13"/>
    </row>
    <row r="106" spans="1:3" ht="13" x14ac:dyDescent="0.15">
      <c r="A106" s="10"/>
      <c r="B106" s="13"/>
      <c r="C106" s="13"/>
    </row>
    <row r="107" spans="1:3" ht="13" x14ac:dyDescent="0.15">
      <c r="A107" s="10"/>
      <c r="B107" s="13"/>
      <c r="C107" s="13"/>
    </row>
    <row r="108" spans="1:3" ht="13" x14ac:dyDescent="0.15">
      <c r="A108" s="10"/>
      <c r="B108" s="13"/>
      <c r="C108" s="13"/>
    </row>
    <row r="109" spans="1:3" ht="13" x14ac:dyDescent="0.15">
      <c r="A109" s="10"/>
      <c r="B109" s="13"/>
      <c r="C109" s="13"/>
    </row>
    <row r="110" spans="1:3" ht="13" x14ac:dyDescent="0.15">
      <c r="A110" s="10"/>
      <c r="B110" s="13"/>
      <c r="C110" s="13"/>
    </row>
    <row r="111" spans="1:3" ht="13" x14ac:dyDescent="0.15">
      <c r="A111" s="10"/>
      <c r="B111" s="13"/>
      <c r="C111" s="13"/>
    </row>
    <row r="112" spans="1:3" ht="13" x14ac:dyDescent="0.15">
      <c r="A112" s="10"/>
      <c r="B112" s="13"/>
      <c r="C112" s="13"/>
    </row>
    <row r="113" spans="1:3" ht="13" x14ac:dyDescent="0.15">
      <c r="A113" s="10"/>
      <c r="B113" s="13"/>
      <c r="C113" s="13"/>
    </row>
    <row r="114" spans="1:3" ht="13" x14ac:dyDescent="0.15">
      <c r="A114" s="10"/>
      <c r="B114" s="13"/>
      <c r="C114" s="13"/>
    </row>
    <row r="115" spans="1:3" ht="13" x14ac:dyDescent="0.15">
      <c r="A115" s="10"/>
      <c r="B115" s="13"/>
      <c r="C115" s="13"/>
    </row>
    <row r="116" spans="1:3" ht="13" x14ac:dyDescent="0.15">
      <c r="A116" s="10"/>
      <c r="B116" s="13"/>
      <c r="C116" s="13"/>
    </row>
    <row r="117" spans="1:3" ht="13" x14ac:dyDescent="0.15">
      <c r="A117" s="10"/>
      <c r="B117" s="13"/>
      <c r="C117" s="13"/>
    </row>
    <row r="118" spans="1:3" ht="13" x14ac:dyDescent="0.15">
      <c r="A118" s="10"/>
      <c r="B118" s="13"/>
      <c r="C118" s="13"/>
    </row>
    <row r="119" spans="1:3" ht="13" x14ac:dyDescent="0.15">
      <c r="A119" s="10"/>
      <c r="B119" s="13"/>
      <c r="C119" s="13"/>
    </row>
    <row r="120" spans="1:3" ht="13" x14ac:dyDescent="0.15">
      <c r="A120" s="10"/>
      <c r="B120" s="13"/>
      <c r="C120" s="13"/>
    </row>
    <row r="121" spans="1:3" ht="13" x14ac:dyDescent="0.15">
      <c r="A121" s="10"/>
      <c r="B121" s="13"/>
      <c r="C121" s="13"/>
    </row>
    <row r="122" spans="1:3" ht="13" x14ac:dyDescent="0.15">
      <c r="A122" s="10"/>
      <c r="B122" s="13"/>
      <c r="C122" s="13"/>
    </row>
    <row r="123" spans="1:3" ht="13" x14ac:dyDescent="0.15">
      <c r="A123" s="10"/>
      <c r="B123" s="13"/>
      <c r="C123" s="13"/>
    </row>
    <row r="124" spans="1:3" ht="13" x14ac:dyDescent="0.15">
      <c r="A124" s="10"/>
      <c r="B124" s="13"/>
      <c r="C124" s="13"/>
    </row>
    <row r="125" spans="1:3" ht="13" x14ac:dyDescent="0.15">
      <c r="A125" s="10"/>
      <c r="B125" s="13"/>
      <c r="C125" s="13"/>
    </row>
    <row r="126" spans="1:3" ht="13" x14ac:dyDescent="0.15">
      <c r="A126" s="10"/>
      <c r="B126" s="13"/>
      <c r="C126" s="13"/>
    </row>
    <row r="127" spans="1:3" ht="13" x14ac:dyDescent="0.15">
      <c r="A127" s="10"/>
      <c r="B127" s="13"/>
      <c r="C127" s="13"/>
    </row>
    <row r="128" spans="1:3" ht="13" x14ac:dyDescent="0.15">
      <c r="A128" s="10"/>
      <c r="B128" s="13"/>
      <c r="C128" s="13"/>
    </row>
    <row r="129" spans="1:3" ht="13" x14ac:dyDescent="0.15">
      <c r="A129" s="10"/>
      <c r="B129" s="13"/>
      <c r="C129" s="13"/>
    </row>
    <row r="130" spans="1:3" ht="13" x14ac:dyDescent="0.15">
      <c r="A130" s="10"/>
      <c r="B130" s="13"/>
      <c r="C130" s="13"/>
    </row>
    <row r="131" spans="1:3" ht="13" x14ac:dyDescent="0.15">
      <c r="A131" s="10"/>
      <c r="B131" s="13"/>
      <c r="C131" s="13"/>
    </row>
    <row r="132" spans="1:3" ht="13" x14ac:dyDescent="0.15">
      <c r="A132" s="10"/>
      <c r="B132" s="13"/>
      <c r="C132" s="13"/>
    </row>
    <row r="133" spans="1:3" ht="13" x14ac:dyDescent="0.15">
      <c r="A133" s="10"/>
      <c r="B133" s="13"/>
      <c r="C133" s="13"/>
    </row>
    <row r="134" spans="1:3" ht="13" x14ac:dyDescent="0.15">
      <c r="A134" s="10"/>
      <c r="B134" s="13"/>
      <c r="C134" s="13"/>
    </row>
    <row r="135" spans="1:3" ht="13" x14ac:dyDescent="0.15">
      <c r="A135" s="10"/>
      <c r="B135" s="13"/>
      <c r="C135" s="13"/>
    </row>
    <row r="136" spans="1:3" ht="13" x14ac:dyDescent="0.15">
      <c r="A136" s="10"/>
      <c r="B136" s="13"/>
      <c r="C136" s="13"/>
    </row>
    <row r="137" spans="1:3" ht="13" x14ac:dyDescent="0.15">
      <c r="A137" s="10"/>
      <c r="B137" s="13"/>
      <c r="C137" s="13"/>
    </row>
    <row r="138" spans="1:3" ht="13" x14ac:dyDescent="0.15">
      <c r="A138" s="10"/>
      <c r="B138" s="13"/>
      <c r="C138" s="13"/>
    </row>
    <row r="139" spans="1:3" ht="13" x14ac:dyDescent="0.15">
      <c r="A139" s="10"/>
      <c r="B139" s="13"/>
      <c r="C139" s="13"/>
    </row>
    <row r="140" spans="1:3" ht="13" x14ac:dyDescent="0.15">
      <c r="A140" s="10"/>
      <c r="B140" s="13"/>
      <c r="C140" s="13"/>
    </row>
    <row r="141" spans="1:3" ht="13" x14ac:dyDescent="0.15">
      <c r="A141" s="10"/>
      <c r="B141" s="13"/>
      <c r="C141" s="13"/>
    </row>
    <row r="142" spans="1:3" ht="13" x14ac:dyDescent="0.15">
      <c r="A142" s="10"/>
      <c r="B142" s="13"/>
      <c r="C142" s="13"/>
    </row>
    <row r="143" spans="1:3" ht="13" x14ac:dyDescent="0.15">
      <c r="A143" s="10"/>
      <c r="B143" s="13"/>
      <c r="C143" s="13"/>
    </row>
    <row r="144" spans="1:3" ht="13" x14ac:dyDescent="0.15">
      <c r="A144" s="10"/>
      <c r="B144" s="13"/>
      <c r="C144" s="13"/>
    </row>
    <row r="145" spans="1:3" ht="13" x14ac:dyDescent="0.15">
      <c r="A145" s="10"/>
      <c r="B145" s="13"/>
      <c r="C145" s="13"/>
    </row>
    <row r="146" spans="1:3" ht="13" x14ac:dyDescent="0.15">
      <c r="A146" s="10"/>
      <c r="B146" s="13"/>
      <c r="C146" s="13"/>
    </row>
    <row r="147" spans="1:3" ht="13" x14ac:dyDescent="0.15">
      <c r="A147" s="10"/>
      <c r="B147" s="13"/>
      <c r="C147" s="13"/>
    </row>
    <row r="148" spans="1:3" ht="13" x14ac:dyDescent="0.15">
      <c r="A148" s="10"/>
      <c r="B148" s="13"/>
      <c r="C148" s="13"/>
    </row>
    <row r="149" spans="1:3" ht="13" x14ac:dyDescent="0.15">
      <c r="A149" s="10"/>
      <c r="B149" s="13"/>
      <c r="C149" s="13"/>
    </row>
    <row r="150" spans="1:3" ht="13" x14ac:dyDescent="0.15">
      <c r="A150" s="10"/>
      <c r="B150" s="13"/>
      <c r="C150" s="13"/>
    </row>
    <row r="151" spans="1:3" ht="13" x14ac:dyDescent="0.15">
      <c r="A151" s="10"/>
      <c r="B151" s="13"/>
      <c r="C151" s="13"/>
    </row>
    <row r="152" spans="1:3" ht="13" x14ac:dyDescent="0.15">
      <c r="A152" s="10"/>
      <c r="B152" s="13"/>
      <c r="C152" s="13"/>
    </row>
    <row r="153" spans="1:3" ht="13" x14ac:dyDescent="0.15">
      <c r="A153" s="10"/>
      <c r="B153" s="13"/>
      <c r="C153" s="13"/>
    </row>
    <row r="154" spans="1:3" ht="13" x14ac:dyDescent="0.15">
      <c r="A154" s="10"/>
      <c r="B154" s="13"/>
      <c r="C154" s="13"/>
    </row>
    <row r="155" spans="1:3" ht="13" x14ac:dyDescent="0.15">
      <c r="A155" s="10"/>
      <c r="B155" s="13"/>
      <c r="C155" s="13"/>
    </row>
    <row r="156" spans="1:3" ht="13" x14ac:dyDescent="0.15">
      <c r="A156" s="10"/>
      <c r="B156" s="13"/>
      <c r="C156" s="13"/>
    </row>
    <row r="157" spans="1:3" ht="13" x14ac:dyDescent="0.15">
      <c r="A157" s="10"/>
      <c r="B157" s="13"/>
      <c r="C157" s="13"/>
    </row>
    <row r="158" spans="1:3" ht="13" x14ac:dyDescent="0.15">
      <c r="A158" s="10"/>
      <c r="B158" s="13"/>
      <c r="C158" s="13"/>
    </row>
    <row r="159" spans="1:3" ht="13" x14ac:dyDescent="0.15">
      <c r="A159" s="10"/>
      <c r="B159" s="13"/>
      <c r="C159" s="13"/>
    </row>
    <row r="160" spans="1:3" ht="13" x14ac:dyDescent="0.15">
      <c r="A160" s="10"/>
      <c r="B160" s="13"/>
      <c r="C160" s="13"/>
    </row>
    <row r="161" spans="1:3" ht="13" x14ac:dyDescent="0.15">
      <c r="A161" s="10"/>
      <c r="B161" s="13"/>
      <c r="C161" s="13"/>
    </row>
    <row r="162" spans="1:3" ht="13" x14ac:dyDescent="0.15">
      <c r="A162" s="10"/>
      <c r="B162" s="13"/>
      <c r="C162" s="13"/>
    </row>
    <row r="163" spans="1:3" ht="13" x14ac:dyDescent="0.15">
      <c r="A163" s="10"/>
      <c r="B163" s="13"/>
      <c r="C163" s="13"/>
    </row>
    <row r="164" spans="1:3" ht="13" x14ac:dyDescent="0.15">
      <c r="A164" s="10"/>
      <c r="B164" s="13"/>
      <c r="C164" s="13"/>
    </row>
    <row r="165" spans="1:3" ht="13" x14ac:dyDescent="0.15">
      <c r="A165" s="10"/>
      <c r="B165" s="13"/>
      <c r="C165" s="13"/>
    </row>
    <row r="166" spans="1:3" ht="13" x14ac:dyDescent="0.15">
      <c r="A166" s="10"/>
      <c r="B166" s="13"/>
      <c r="C166" s="13"/>
    </row>
    <row r="167" spans="1:3" ht="13" x14ac:dyDescent="0.15">
      <c r="A167" s="10"/>
      <c r="B167" s="13"/>
      <c r="C167" s="13"/>
    </row>
    <row r="168" spans="1:3" ht="13" x14ac:dyDescent="0.15">
      <c r="A168" s="10"/>
      <c r="B168" s="13"/>
      <c r="C168" s="13"/>
    </row>
    <row r="169" spans="1:3" ht="13" x14ac:dyDescent="0.15">
      <c r="A169" s="10"/>
      <c r="B169" s="13"/>
      <c r="C169" s="13"/>
    </row>
    <row r="170" spans="1:3" ht="13" x14ac:dyDescent="0.15">
      <c r="A170" s="10"/>
      <c r="B170" s="13"/>
      <c r="C170" s="13"/>
    </row>
    <row r="171" spans="1:3" ht="13" x14ac:dyDescent="0.15">
      <c r="A171" s="10"/>
      <c r="B171" s="13"/>
      <c r="C171" s="13"/>
    </row>
    <row r="172" spans="1:3" ht="13" x14ac:dyDescent="0.15">
      <c r="A172" s="10"/>
      <c r="B172" s="13"/>
      <c r="C172" s="13"/>
    </row>
    <row r="173" spans="1:3" ht="13" x14ac:dyDescent="0.15">
      <c r="A173" s="10"/>
      <c r="B173" s="13"/>
      <c r="C173" s="13"/>
    </row>
    <row r="174" spans="1:3" ht="13" x14ac:dyDescent="0.15">
      <c r="A174" s="10"/>
      <c r="B174" s="13"/>
      <c r="C174" s="13"/>
    </row>
    <row r="175" spans="1:3" ht="13" x14ac:dyDescent="0.15">
      <c r="A175" s="10"/>
      <c r="B175" s="13"/>
      <c r="C175" s="13"/>
    </row>
    <row r="176" spans="1:3" ht="13" x14ac:dyDescent="0.15">
      <c r="A176" s="10"/>
      <c r="B176" s="13"/>
      <c r="C176" s="13"/>
    </row>
    <row r="177" spans="1:3" ht="13" x14ac:dyDescent="0.15">
      <c r="A177" s="10"/>
      <c r="B177" s="13"/>
      <c r="C177" s="13"/>
    </row>
    <row r="178" spans="1:3" ht="13" x14ac:dyDescent="0.15">
      <c r="A178" s="10"/>
      <c r="B178" s="13"/>
      <c r="C178" s="13"/>
    </row>
    <row r="179" spans="1:3" ht="13" x14ac:dyDescent="0.15">
      <c r="A179" s="10"/>
      <c r="B179" s="13"/>
      <c r="C179" s="13"/>
    </row>
    <row r="180" spans="1:3" ht="13" x14ac:dyDescent="0.15">
      <c r="A180" s="10"/>
      <c r="B180" s="13"/>
      <c r="C180" s="13"/>
    </row>
    <row r="181" spans="1:3" ht="13" x14ac:dyDescent="0.15">
      <c r="A181" s="10"/>
      <c r="B181" s="13"/>
      <c r="C181" s="13"/>
    </row>
    <row r="182" spans="1:3" ht="13" x14ac:dyDescent="0.15">
      <c r="A182" s="10"/>
      <c r="B182" s="13"/>
      <c r="C182" s="13"/>
    </row>
    <row r="183" spans="1:3" ht="13" x14ac:dyDescent="0.15">
      <c r="A183" s="10"/>
      <c r="B183" s="13"/>
      <c r="C183" s="13"/>
    </row>
    <row r="184" spans="1:3" ht="13" x14ac:dyDescent="0.15">
      <c r="A184" s="10"/>
      <c r="B184" s="13"/>
      <c r="C184" s="13"/>
    </row>
    <row r="185" spans="1:3" ht="13" x14ac:dyDescent="0.15">
      <c r="A185" s="10"/>
      <c r="B185" s="13"/>
      <c r="C185" s="13"/>
    </row>
    <row r="186" spans="1:3" ht="13" x14ac:dyDescent="0.15">
      <c r="A186" s="10"/>
      <c r="B186" s="13"/>
      <c r="C186" s="13"/>
    </row>
    <row r="187" spans="1:3" ht="13" x14ac:dyDescent="0.15">
      <c r="A187" s="10"/>
      <c r="B187" s="13"/>
      <c r="C187" s="13"/>
    </row>
    <row r="188" spans="1:3" ht="13" x14ac:dyDescent="0.15">
      <c r="A188" s="10"/>
      <c r="B188" s="13"/>
      <c r="C188" s="13"/>
    </row>
    <row r="189" spans="1:3" ht="13" x14ac:dyDescent="0.15">
      <c r="A189" s="10"/>
      <c r="B189" s="13"/>
      <c r="C189" s="13"/>
    </row>
    <row r="190" spans="1:3" ht="13" x14ac:dyDescent="0.15">
      <c r="A190" s="10"/>
      <c r="B190" s="13"/>
      <c r="C190" s="13"/>
    </row>
    <row r="191" spans="1:3" ht="13" x14ac:dyDescent="0.15">
      <c r="A191" s="10"/>
      <c r="B191" s="13"/>
      <c r="C191" s="13"/>
    </row>
    <row r="192" spans="1:3" ht="13" x14ac:dyDescent="0.15">
      <c r="A192" s="10"/>
      <c r="B192" s="13"/>
      <c r="C192" s="13"/>
    </row>
    <row r="193" spans="1:3" ht="13" x14ac:dyDescent="0.15">
      <c r="A193" s="10"/>
      <c r="B193" s="13"/>
      <c r="C193" s="13"/>
    </row>
    <row r="194" spans="1:3" ht="13" x14ac:dyDescent="0.15">
      <c r="A194" s="10"/>
      <c r="B194" s="13"/>
      <c r="C194" s="13"/>
    </row>
    <row r="195" spans="1:3" ht="13" x14ac:dyDescent="0.15">
      <c r="A195" s="10"/>
      <c r="B195" s="13"/>
      <c r="C195" s="13"/>
    </row>
    <row r="196" spans="1:3" ht="13" x14ac:dyDescent="0.15">
      <c r="A196" s="10"/>
      <c r="B196" s="13"/>
      <c r="C196" s="13"/>
    </row>
    <row r="197" spans="1:3" ht="13" x14ac:dyDescent="0.15">
      <c r="A197" s="10"/>
      <c r="B197" s="13"/>
      <c r="C197" s="13"/>
    </row>
    <row r="198" spans="1:3" ht="13" x14ac:dyDescent="0.15">
      <c r="A198" s="10"/>
      <c r="B198" s="13"/>
      <c r="C198" s="13"/>
    </row>
    <row r="199" spans="1:3" ht="13" x14ac:dyDescent="0.15">
      <c r="A199" s="10"/>
      <c r="B199" s="13"/>
      <c r="C199" s="13"/>
    </row>
    <row r="200" spans="1:3" ht="13" x14ac:dyDescent="0.15">
      <c r="A200" s="10"/>
      <c r="B200" s="13"/>
      <c r="C200" s="13"/>
    </row>
    <row r="201" spans="1:3" ht="13" x14ac:dyDescent="0.15">
      <c r="A201" s="10"/>
      <c r="B201" s="13"/>
      <c r="C201" s="13"/>
    </row>
    <row r="202" spans="1:3" ht="13" x14ac:dyDescent="0.15">
      <c r="A202" s="10"/>
      <c r="B202" s="13"/>
      <c r="C202" s="13"/>
    </row>
    <row r="203" spans="1:3" ht="13" x14ac:dyDescent="0.15">
      <c r="A203" s="10"/>
      <c r="B203" s="13"/>
      <c r="C203" s="13"/>
    </row>
    <row r="204" spans="1:3" ht="13" x14ac:dyDescent="0.15">
      <c r="A204" s="10"/>
      <c r="B204" s="13"/>
      <c r="C204" s="13"/>
    </row>
    <row r="205" spans="1:3" ht="13" x14ac:dyDescent="0.15">
      <c r="A205" s="10"/>
      <c r="B205" s="13"/>
      <c r="C205" s="13"/>
    </row>
    <row r="206" spans="1:3" ht="13" x14ac:dyDescent="0.15">
      <c r="A206" s="10"/>
      <c r="B206" s="13"/>
      <c r="C206" s="13"/>
    </row>
    <row r="207" spans="1:3" ht="13" x14ac:dyDescent="0.15">
      <c r="A207" s="10"/>
      <c r="B207" s="13"/>
      <c r="C207" s="13"/>
    </row>
    <row r="208" spans="1:3" ht="13" x14ac:dyDescent="0.15">
      <c r="A208" s="10"/>
      <c r="B208" s="13"/>
      <c r="C208" s="13"/>
    </row>
    <row r="209" spans="1:3" ht="13" x14ac:dyDescent="0.15">
      <c r="A209" s="10"/>
      <c r="B209" s="13"/>
      <c r="C209" s="13"/>
    </row>
    <row r="210" spans="1:3" ht="13" x14ac:dyDescent="0.15">
      <c r="A210" s="10"/>
      <c r="B210" s="13"/>
      <c r="C210" s="13"/>
    </row>
    <row r="211" spans="1:3" ht="13" x14ac:dyDescent="0.15">
      <c r="A211" s="10"/>
      <c r="B211" s="13"/>
      <c r="C211" s="13"/>
    </row>
    <row r="212" spans="1:3" ht="13" x14ac:dyDescent="0.15">
      <c r="A212" s="10"/>
      <c r="B212" s="13"/>
      <c r="C212" s="13"/>
    </row>
    <row r="213" spans="1:3" ht="13" x14ac:dyDescent="0.15">
      <c r="A213" s="10"/>
      <c r="B213" s="13"/>
      <c r="C213" s="13"/>
    </row>
    <row r="214" spans="1:3" ht="13" x14ac:dyDescent="0.15">
      <c r="A214" s="10"/>
      <c r="B214" s="13"/>
      <c r="C214" s="13"/>
    </row>
    <row r="215" spans="1:3" ht="13" x14ac:dyDescent="0.15">
      <c r="A215" s="10"/>
      <c r="B215" s="13"/>
      <c r="C215" s="13"/>
    </row>
    <row r="216" spans="1:3" ht="13" x14ac:dyDescent="0.15">
      <c r="A216" s="10"/>
      <c r="B216" s="13"/>
      <c r="C216" s="13"/>
    </row>
    <row r="217" spans="1:3" ht="13" x14ac:dyDescent="0.15">
      <c r="A217" s="10"/>
      <c r="B217" s="13"/>
      <c r="C217" s="13"/>
    </row>
    <row r="218" spans="1:3" ht="13" x14ac:dyDescent="0.15">
      <c r="A218" s="10"/>
      <c r="B218" s="13"/>
      <c r="C218" s="13"/>
    </row>
    <row r="219" spans="1:3" ht="13" x14ac:dyDescent="0.15">
      <c r="A219" s="10"/>
      <c r="B219" s="13"/>
      <c r="C219" s="13"/>
    </row>
    <row r="220" spans="1:3" ht="13" x14ac:dyDescent="0.15">
      <c r="A220" s="10"/>
      <c r="B220" s="13"/>
      <c r="C220" s="13"/>
    </row>
    <row r="221" spans="1:3" ht="13" x14ac:dyDescent="0.15">
      <c r="A221" s="10"/>
      <c r="B221" s="13"/>
      <c r="C221" s="13"/>
    </row>
    <row r="222" spans="1:3" ht="13" x14ac:dyDescent="0.15">
      <c r="A222" s="10"/>
      <c r="B222" s="13"/>
      <c r="C222" s="13"/>
    </row>
    <row r="223" spans="1:3" ht="13" x14ac:dyDescent="0.15">
      <c r="A223" s="10"/>
      <c r="B223" s="13"/>
      <c r="C223" s="13"/>
    </row>
    <row r="224" spans="1:3" ht="13" x14ac:dyDescent="0.15">
      <c r="A224" s="10"/>
      <c r="B224" s="13"/>
      <c r="C224" s="13"/>
    </row>
    <row r="225" spans="1:3" ht="13" x14ac:dyDescent="0.15">
      <c r="A225" s="10"/>
      <c r="B225" s="13"/>
      <c r="C225" s="13"/>
    </row>
    <row r="226" spans="1:3" ht="13" x14ac:dyDescent="0.15">
      <c r="A226" s="10"/>
      <c r="B226" s="13"/>
      <c r="C226" s="13"/>
    </row>
    <row r="227" spans="1:3" ht="13" x14ac:dyDescent="0.15">
      <c r="A227" s="10"/>
      <c r="B227" s="13"/>
      <c r="C227" s="13"/>
    </row>
    <row r="228" spans="1:3" ht="13" x14ac:dyDescent="0.15">
      <c r="A228" s="10"/>
      <c r="B228" s="13"/>
      <c r="C228" s="13"/>
    </row>
    <row r="229" spans="1:3" ht="13" x14ac:dyDescent="0.15">
      <c r="A229" s="10"/>
      <c r="B229" s="13"/>
      <c r="C229" s="13"/>
    </row>
    <row r="230" spans="1:3" ht="13" x14ac:dyDescent="0.15">
      <c r="A230" s="10"/>
      <c r="B230" s="13"/>
      <c r="C230" s="13"/>
    </row>
    <row r="231" spans="1:3" ht="13" x14ac:dyDescent="0.15">
      <c r="A231" s="10"/>
      <c r="B231" s="13"/>
      <c r="C231" s="13"/>
    </row>
    <row r="232" spans="1:3" ht="13" x14ac:dyDescent="0.15">
      <c r="A232" s="10"/>
      <c r="B232" s="13"/>
      <c r="C232" s="13"/>
    </row>
    <row r="233" spans="1:3" ht="13" x14ac:dyDescent="0.15">
      <c r="A233" s="10"/>
      <c r="B233" s="13"/>
      <c r="C233" s="13"/>
    </row>
    <row r="234" spans="1:3" ht="13" x14ac:dyDescent="0.15">
      <c r="A234" s="10"/>
      <c r="B234" s="13"/>
      <c r="C234" s="13"/>
    </row>
    <row r="235" spans="1:3" ht="13" x14ac:dyDescent="0.15">
      <c r="A235" s="10"/>
      <c r="B235" s="13"/>
      <c r="C235" s="13"/>
    </row>
    <row r="236" spans="1:3" ht="13" x14ac:dyDescent="0.15">
      <c r="A236" s="10"/>
      <c r="B236" s="13"/>
      <c r="C236" s="13"/>
    </row>
    <row r="237" spans="1:3" ht="13" x14ac:dyDescent="0.15">
      <c r="A237" s="10"/>
      <c r="B237" s="13"/>
      <c r="C237" s="13"/>
    </row>
    <row r="238" spans="1:3" ht="13" x14ac:dyDescent="0.15">
      <c r="A238" s="10"/>
      <c r="B238" s="13"/>
      <c r="C238" s="13"/>
    </row>
    <row r="239" spans="1:3" ht="13" x14ac:dyDescent="0.15">
      <c r="A239" s="10"/>
      <c r="B239" s="13"/>
      <c r="C239" s="13"/>
    </row>
    <row r="240" spans="1:3" ht="13" x14ac:dyDescent="0.15">
      <c r="A240" s="10"/>
      <c r="B240" s="13"/>
      <c r="C240" s="13"/>
    </row>
    <row r="241" spans="1:3" ht="13" x14ac:dyDescent="0.15">
      <c r="A241" s="10"/>
      <c r="B241" s="13"/>
      <c r="C241" s="13"/>
    </row>
    <row r="242" spans="1:3" ht="13" x14ac:dyDescent="0.15">
      <c r="A242" s="10"/>
      <c r="B242" s="13"/>
      <c r="C242" s="13"/>
    </row>
    <row r="243" spans="1:3" ht="13" x14ac:dyDescent="0.15">
      <c r="A243" s="10"/>
      <c r="B243" s="13"/>
      <c r="C243" s="13"/>
    </row>
    <row r="244" spans="1:3" ht="13" x14ac:dyDescent="0.15">
      <c r="A244" s="10"/>
      <c r="B244" s="13"/>
      <c r="C244" s="13"/>
    </row>
    <row r="245" spans="1:3" ht="13" x14ac:dyDescent="0.15">
      <c r="A245" s="10"/>
      <c r="B245" s="13"/>
      <c r="C245" s="13"/>
    </row>
    <row r="246" spans="1:3" ht="13" x14ac:dyDescent="0.15">
      <c r="A246" s="10"/>
      <c r="B246" s="13"/>
      <c r="C246" s="13"/>
    </row>
    <row r="247" spans="1:3" ht="13" x14ac:dyDescent="0.15">
      <c r="A247" s="10"/>
      <c r="B247" s="13"/>
      <c r="C247" s="13"/>
    </row>
    <row r="248" spans="1:3" ht="13" x14ac:dyDescent="0.15">
      <c r="A248" s="10"/>
      <c r="B248" s="13"/>
      <c r="C248" s="13"/>
    </row>
    <row r="249" spans="1:3" ht="13" x14ac:dyDescent="0.15">
      <c r="A249" s="10"/>
      <c r="B249" s="13"/>
      <c r="C249" s="13"/>
    </row>
    <row r="250" spans="1:3" ht="13" x14ac:dyDescent="0.15">
      <c r="A250" s="10"/>
      <c r="B250" s="13"/>
      <c r="C250" s="13"/>
    </row>
    <row r="251" spans="1:3" ht="13" x14ac:dyDescent="0.15">
      <c r="A251" s="10"/>
      <c r="B251" s="13"/>
      <c r="C251" s="13"/>
    </row>
    <row r="252" spans="1:3" ht="13" x14ac:dyDescent="0.15">
      <c r="A252" s="10"/>
      <c r="B252" s="13"/>
      <c r="C252" s="13"/>
    </row>
    <row r="253" spans="1:3" ht="13" x14ac:dyDescent="0.15">
      <c r="A253" s="10"/>
      <c r="B253" s="13"/>
      <c r="C253" s="13"/>
    </row>
    <row r="254" spans="1:3" ht="13" x14ac:dyDescent="0.15">
      <c r="A254" s="10"/>
      <c r="B254" s="13"/>
      <c r="C254" s="13"/>
    </row>
    <row r="255" spans="1:3" ht="13" x14ac:dyDescent="0.15">
      <c r="A255" s="10"/>
      <c r="B255" s="13"/>
      <c r="C255" s="13"/>
    </row>
    <row r="256" spans="1:3" ht="13" x14ac:dyDescent="0.15">
      <c r="A256" s="10"/>
      <c r="B256" s="13"/>
      <c r="C256" s="13"/>
    </row>
    <row r="257" spans="1:3" ht="13" x14ac:dyDescent="0.15">
      <c r="A257" s="10"/>
      <c r="B257" s="13"/>
      <c r="C257" s="13"/>
    </row>
    <row r="258" spans="1:3" ht="13" x14ac:dyDescent="0.15">
      <c r="A258" s="10"/>
      <c r="B258" s="13"/>
      <c r="C258" s="13"/>
    </row>
    <row r="259" spans="1:3" ht="13" x14ac:dyDescent="0.15">
      <c r="A259" s="10"/>
      <c r="B259" s="13"/>
      <c r="C259" s="13"/>
    </row>
    <row r="260" spans="1:3" ht="13" x14ac:dyDescent="0.15">
      <c r="A260" s="10"/>
      <c r="B260" s="13"/>
      <c r="C260" s="13"/>
    </row>
    <row r="261" spans="1:3" ht="13" x14ac:dyDescent="0.15">
      <c r="A261" s="10"/>
      <c r="B261" s="13"/>
      <c r="C261" s="13"/>
    </row>
    <row r="262" spans="1:3" ht="13" x14ac:dyDescent="0.15">
      <c r="A262" s="10"/>
      <c r="B262" s="13"/>
      <c r="C262" s="13"/>
    </row>
    <row r="263" spans="1:3" ht="13" x14ac:dyDescent="0.15">
      <c r="A263" s="10"/>
      <c r="B263" s="13"/>
      <c r="C263" s="13"/>
    </row>
    <row r="264" spans="1:3" ht="13" x14ac:dyDescent="0.15">
      <c r="A264" s="10"/>
      <c r="B264" s="13"/>
      <c r="C264" s="13"/>
    </row>
    <row r="265" spans="1:3" ht="13" x14ac:dyDescent="0.15">
      <c r="A265" s="10"/>
      <c r="B265" s="13"/>
      <c r="C265" s="13"/>
    </row>
    <row r="266" spans="1:3" ht="13" x14ac:dyDescent="0.15">
      <c r="A266" s="10"/>
      <c r="B266" s="13"/>
      <c r="C266" s="13"/>
    </row>
    <row r="267" spans="1:3" ht="13" x14ac:dyDescent="0.15">
      <c r="A267" s="10"/>
      <c r="B267" s="13"/>
      <c r="C267" s="13"/>
    </row>
    <row r="268" spans="1:3" ht="13" x14ac:dyDescent="0.15">
      <c r="A268" s="10"/>
      <c r="B268" s="13"/>
      <c r="C268" s="13"/>
    </row>
    <row r="269" spans="1:3" ht="13" x14ac:dyDescent="0.15">
      <c r="A269" s="10"/>
      <c r="B269" s="13"/>
      <c r="C269" s="13"/>
    </row>
    <row r="270" spans="1:3" ht="13" x14ac:dyDescent="0.15">
      <c r="A270" s="10"/>
      <c r="B270" s="13"/>
      <c r="C270" s="13"/>
    </row>
    <row r="271" spans="1:3" ht="13" x14ac:dyDescent="0.15">
      <c r="A271" s="10"/>
      <c r="B271" s="13"/>
      <c r="C271" s="13"/>
    </row>
    <row r="272" spans="1:3" ht="13" x14ac:dyDescent="0.15">
      <c r="A272" s="10"/>
      <c r="B272" s="13"/>
      <c r="C272" s="13"/>
    </row>
    <row r="273" spans="1:3" ht="13" x14ac:dyDescent="0.15">
      <c r="A273" s="10"/>
      <c r="B273" s="13"/>
      <c r="C273" s="13"/>
    </row>
    <row r="274" spans="1:3" ht="13" x14ac:dyDescent="0.15">
      <c r="A274" s="10"/>
      <c r="B274" s="13"/>
      <c r="C274" s="13"/>
    </row>
    <row r="275" spans="1:3" ht="13" x14ac:dyDescent="0.15">
      <c r="A275" s="10"/>
      <c r="B275" s="13"/>
      <c r="C275" s="13"/>
    </row>
    <row r="276" spans="1:3" ht="13" x14ac:dyDescent="0.15">
      <c r="A276" s="10"/>
      <c r="B276" s="13"/>
      <c r="C276" s="13"/>
    </row>
    <row r="277" spans="1:3" ht="13" x14ac:dyDescent="0.15">
      <c r="A277" s="10"/>
      <c r="B277" s="13"/>
      <c r="C277" s="13"/>
    </row>
    <row r="278" spans="1:3" ht="13" x14ac:dyDescent="0.15">
      <c r="A278" s="10"/>
      <c r="B278" s="13"/>
      <c r="C278" s="13"/>
    </row>
    <row r="279" spans="1:3" ht="13" x14ac:dyDescent="0.15">
      <c r="A279" s="10"/>
      <c r="B279" s="13"/>
      <c r="C279" s="13"/>
    </row>
    <row r="280" spans="1:3" ht="13" x14ac:dyDescent="0.15">
      <c r="A280" s="10"/>
      <c r="B280" s="13"/>
      <c r="C280" s="13"/>
    </row>
    <row r="281" spans="1:3" ht="13" x14ac:dyDescent="0.15">
      <c r="A281" s="10"/>
      <c r="B281" s="13"/>
      <c r="C281" s="13"/>
    </row>
    <row r="282" spans="1:3" ht="13" x14ac:dyDescent="0.15">
      <c r="A282" s="10"/>
      <c r="B282" s="13"/>
      <c r="C282" s="13"/>
    </row>
    <row r="283" spans="1:3" ht="13" x14ac:dyDescent="0.15">
      <c r="A283" s="10"/>
      <c r="B283" s="13"/>
      <c r="C283" s="13"/>
    </row>
    <row r="284" spans="1:3" ht="13" x14ac:dyDescent="0.15">
      <c r="A284" s="10"/>
      <c r="B284" s="13"/>
      <c r="C284" s="13"/>
    </row>
    <row r="285" spans="1:3" ht="13" x14ac:dyDescent="0.15">
      <c r="A285" s="10"/>
      <c r="B285" s="13"/>
      <c r="C285" s="13"/>
    </row>
    <row r="286" spans="1:3" ht="13" x14ac:dyDescent="0.15">
      <c r="A286" s="10"/>
      <c r="B286" s="13"/>
      <c r="C286" s="13"/>
    </row>
    <row r="287" spans="1:3" ht="13" x14ac:dyDescent="0.15">
      <c r="A287" s="10"/>
      <c r="B287" s="13"/>
      <c r="C287" s="13"/>
    </row>
    <row r="288" spans="1:3" ht="13" x14ac:dyDescent="0.15">
      <c r="A288" s="10"/>
      <c r="B288" s="13"/>
      <c r="C288" s="13"/>
    </row>
    <row r="289" spans="1:3" ht="13" x14ac:dyDescent="0.15">
      <c r="A289" s="10"/>
      <c r="B289" s="13"/>
      <c r="C289" s="13"/>
    </row>
    <row r="290" spans="1:3" ht="13" x14ac:dyDescent="0.15">
      <c r="A290" s="10"/>
      <c r="B290" s="13"/>
      <c r="C290" s="13"/>
    </row>
    <row r="291" spans="1:3" ht="13" x14ac:dyDescent="0.15">
      <c r="A291" s="10"/>
      <c r="B291" s="13"/>
      <c r="C291" s="13"/>
    </row>
    <row r="292" spans="1:3" ht="13" x14ac:dyDescent="0.15">
      <c r="A292" s="10"/>
      <c r="B292" s="13"/>
      <c r="C292" s="13"/>
    </row>
    <row r="293" spans="1:3" ht="13" x14ac:dyDescent="0.15">
      <c r="A293" s="10"/>
      <c r="B293" s="13"/>
      <c r="C293" s="13"/>
    </row>
    <row r="294" spans="1:3" ht="13" x14ac:dyDescent="0.15">
      <c r="A294" s="10"/>
      <c r="B294" s="13"/>
      <c r="C294" s="13"/>
    </row>
    <row r="295" spans="1:3" ht="13" x14ac:dyDescent="0.15">
      <c r="A295" s="10"/>
      <c r="B295" s="13"/>
      <c r="C295" s="13"/>
    </row>
    <row r="296" spans="1:3" ht="13" x14ac:dyDescent="0.15">
      <c r="A296" s="10"/>
      <c r="B296" s="13"/>
      <c r="C296" s="13"/>
    </row>
    <row r="297" spans="1:3" ht="13" x14ac:dyDescent="0.15">
      <c r="A297" s="10"/>
      <c r="B297" s="13"/>
      <c r="C297" s="13"/>
    </row>
    <row r="298" spans="1:3" ht="13" x14ac:dyDescent="0.15">
      <c r="A298" s="10"/>
      <c r="B298" s="13"/>
      <c r="C298" s="13"/>
    </row>
    <row r="299" spans="1:3" ht="13" x14ac:dyDescent="0.15">
      <c r="A299" s="10"/>
      <c r="B299" s="13"/>
      <c r="C299" s="13"/>
    </row>
    <row r="300" spans="1:3" ht="13" x14ac:dyDescent="0.15">
      <c r="A300" s="10"/>
      <c r="B300" s="13"/>
      <c r="C300" s="13"/>
    </row>
    <row r="301" spans="1:3" ht="13" x14ac:dyDescent="0.15">
      <c r="A301" s="10"/>
      <c r="B301" s="13"/>
      <c r="C301" s="13"/>
    </row>
    <row r="302" spans="1:3" ht="13" x14ac:dyDescent="0.15">
      <c r="A302" s="10"/>
      <c r="B302" s="13"/>
      <c r="C302" s="13"/>
    </row>
    <row r="303" spans="1:3" ht="13" x14ac:dyDescent="0.15">
      <c r="A303" s="10"/>
      <c r="B303" s="13"/>
      <c r="C303" s="13"/>
    </row>
    <row r="304" spans="1:3" ht="13" x14ac:dyDescent="0.15">
      <c r="A304" s="10"/>
      <c r="B304" s="13"/>
      <c r="C304" s="13"/>
    </row>
    <row r="305" spans="1:3" ht="13" x14ac:dyDescent="0.15">
      <c r="A305" s="10"/>
      <c r="B305" s="13"/>
      <c r="C305" s="13"/>
    </row>
    <row r="306" spans="1:3" ht="13" x14ac:dyDescent="0.15">
      <c r="A306" s="10"/>
      <c r="B306" s="13"/>
      <c r="C306" s="13"/>
    </row>
    <row r="307" spans="1:3" ht="13" x14ac:dyDescent="0.15">
      <c r="A307" s="10"/>
      <c r="B307" s="13"/>
      <c r="C307" s="13"/>
    </row>
    <row r="308" spans="1:3" ht="13" x14ac:dyDescent="0.15">
      <c r="A308" s="10"/>
      <c r="B308" s="13"/>
      <c r="C308" s="13"/>
    </row>
    <row r="309" spans="1:3" ht="13" x14ac:dyDescent="0.15">
      <c r="A309" s="10"/>
      <c r="B309" s="13"/>
      <c r="C309" s="13"/>
    </row>
    <row r="310" spans="1:3" ht="13" x14ac:dyDescent="0.15">
      <c r="A310" s="10"/>
      <c r="B310" s="13"/>
      <c r="C310" s="13"/>
    </row>
    <row r="311" spans="1:3" ht="13" x14ac:dyDescent="0.15">
      <c r="A311" s="10"/>
      <c r="B311" s="13"/>
      <c r="C311" s="13"/>
    </row>
    <row r="312" spans="1:3" ht="13" x14ac:dyDescent="0.15">
      <c r="A312" s="10"/>
      <c r="B312" s="13"/>
      <c r="C312" s="13"/>
    </row>
    <row r="313" spans="1:3" ht="13" x14ac:dyDescent="0.15">
      <c r="A313" s="10"/>
      <c r="B313" s="13"/>
      <c r="C313" s="13"/>
    </row>
    <row r="314" spans="1:3" ht="13" x14ac:dyDescent="0.15">
      <c r="A314" s="10"/>
      <c r="B314" s="13"/>
      <c r="C314" s="13"/>
    </row>
    <row r="315" spans="1:3" ht="13" x14ac:dyDescent="0.15">
      <c r="A315" s="10"/>
      <c r="B315" s="13"/>
      <c r="C315" s="13"/>
    </row>
    <row r="316" spans="1:3" ht="13" x14ac:dyDescent="0.15">
      <c r="A316" s="10"/>
      <c r="B316" s="13"/>
      <c r="C316" s="13"/>
    </row>
    <row r="317" spans="1:3" ht="13" x14ac:dyDescent="0.15">
      <c r="A317" s="10"/>
      <c r="B317" s="13"/>
      <c r="C317" s="13"/>
    </row>
    <row r="318" spans="1:3" ht="13" x14ac:dyDescent="0.15">
      <c r="A318" s="10"/>
      <c r="B318" s="13"/>
      <c r="C318" s="13"/>
    </row>
    <row r="319" spans="1:3" ht="13" x14ac:dyDescent="0.15">
      <c r="A319" s="10"/>
      <c r="B319" s="13"/>
      <c r="C319" s="13"/>
    </row>
    <row r="320" spans="1:3" ht="13" x14ac:dyDescent="0.15">
      <c r="A320" s="10"/>
      <c r="B320" s="13"/>
      <c r="C320" s="13"/>
    </row>
    <row r="321" spans="1:3" ht="13" x14ac:dyDescent="0.15">
      <c r="A321" s="10"/>
      <c r="B321" s="13"/>
      <c r="C321" s="13"/>
    </row>
    <row r="322" spans="1:3" ht="13" x14ac:dyDescent="0.15">
      <c r="A322" s="10"/>
      <c r="B322" s="13"/>
      <c r="C322" s="13"/>
    </row>
    <row r="323" spans="1:3" ht="13" x14ac:dyDescent="0.15">
      <c r="A323" s="10"/>
      <c r="B323" s="13"/>
      <c r="C323" s="13"/>
    </row>
    <row r="324" spans="1:3" ht="13" x14ac:dyDescent="0.15">
      <c r="A324" s="10"/>
      <c r="B324" s="13"/>
      <c r="C324" s="13"/>
    </row>
    <row r="325" spans="1:3" ht="13" x14ac:dyDescent="0.15">
      <c r="A325" s="10"/>
      <c r="B325" s="13"/>
      <c r="C325" s="13"/>
    </row>
    <row r="326" spans="1:3" ht="13" x14ac:dyDescent="0.15">
      <c r="A326" s="10"/>
      <c r="B326" s="13"/>
      <c r="C326" s="13"/>
    </row>
    <row r="327" spans="1:3" ht="13" x14ac:dyDescent="0.15">
      <c r="A327" s="10"/>
      <c r="B327" s="13"/>
      <c r="C327" s="13"/>
    </row>
    <row r="328" spans="1:3" ht="13" x14ac:dyDescent="0.15">
      <c r="A328" s="10"/>
      <c r="B328" s="13"/>
      <c r="C328" s="13"/>
    </row>
    <row r="329" spans="1:3" ht="13" x14ac:dyDescent="0.15">
      <c r="A329" s="10"/>
      <c r="B329" s="13"/>
      <c r="C329" s="13"/>
    </row>
    <row r="330" spans="1:3" ht="13" x14ac:dyDescent="0.15">
      <c r="A330" s="10"/>
      <c r="B330" s="13"/>
      <c r="C330" s="13"/>
    </row>
    <row r="331" spans="1:3" ht="13" x14ac:dyDescent="0.15">
      <c r="A331" s="10"/>
      <c r="B331" s="13"/>
      <c r="C331" s="13"/>
    </row>
    <row r="332" spans="1:3" ht="13" x14ac:dyDescent="0.15">
      <c r="A332" s="10"/>
      <c r="B332" s="13"/>
      <c r="C332" s="13"/>
    </row>
    <row r="333" spans="1:3" ht="13" x14ac:dyDescent="0.15">
      <c r="A333" s="10"/>
      <c r="B333" s="13"/>
      <c r="C333" s="13"/>
    </row>
    <row r="334" spans="1:3" ht="13" x14ac:dyDescent="0.15">
      <c r="A334" s="10"/>
      <c r="B334" s="13"/>
      <c r="C334" s="13"/>
    </row>
    <row r="335" spans="1:3" ht="13" x14ac:dyDescent="0.15">
      <c r="A335" s="10"/>
      <c r="B335" s="13"/>
      <c r="C335" s="13"/>
    </row>
    <row r="336" spans="1:3" ht="13" x14ac:dyDescent="0.15">
      <c r="A336" s="10"/>
      <c r="B336" s="13"/>
      <c r="C336" s="13"/>
    </row>
    <row r="337" spans="1:3" ht="13" x14ac:dyDescent="0.15">
      <c r="A337" s="10"/>
      <c r="B337" s="13"/>
      <c r="C337" s="13"/>
    </row>
    <row r="338" spans="1:3" ht="13" x14ac:dyDescent="0.15">
      <c r="A338" s="10"/>
      <c r="B338" s="13"/>
      <c r="C338" s="13"/>
    </row>
    <row r="339" spans="1:3" ht="13" x14ac:dyDescent="0.15">
      <c r="A339" s="10"/>
      <c r="B339" s="13"/>
      <c r="C339" s="13"/>
    </row>
    <row r="340" spans="1:3" ht="13" x14ac:dyDescent="0.15">
      <c r="A340" s="10"/>
      <c r="B340" s="13"/>
      <c r="C340" s="13"/>
    </row>
    <row r="341" spans="1:3" ht="13" x14ac:dyDescent="0.15">
      <c r="A341" s="10"/>
      <c r="B341" s="13"/>
      <c r="C341" s="13"/>
    </row>
    <row r="342" spans="1:3" ht="13" x14ac:dyDescent="0.15">
      <c r="A342" s="10"/>
      <c r="B342" s="13"/>
      <c r="C342" s="13"/>
    </row>
    <row r="343" spans="1:3" ht="13" x14ac:dyDescent="0.15">
      <c r="A343" s="10"/>
      <c r="B343" s="13"/>
      <c r="C343" s="13"/>
    </row>
    <row r="344" spans="1:3" ht="13" x14ac:dyDescent="0.15">
      <c r="A344" s="10"/>
      <c r="B344" s="13"/>
      <c r="C344" s="13"/>
    </row>
    <row r="345" spans="1:3" ht="13" x14ac:dyDescent="0.15">
      <c r="A345" s="10"/>
      <c r="B345" s="13"/>
      <c r="C345" s="13"/>
    </row>
    <row r="346" spans="1:3" ht="13" x14ac:dyDescent="0.15">
      <c r="A346" s="10"/>
      <c r="B346" s="13"/>
      <c r="C346" s="13"/>
    </row>
    <row r="347" spans="1:3" ht="13" x14ac:dyDescent="0.15">
      <c r="A347" s="10"/>
      <c r="B347" s="13"/>
      <c r="C347" s="13"/>
    </row>
    <row r="348" spans="1:3" ht="13" x14ac:dyDescent="0.15">
      <c r="A348" s="10"/>
      <c r="B348" s="13"/>
      <c r="C348" s="13"/>
    </row>
    <row r="349" spans="1:3" ht="13" x14ac:dyDescent="0.15">
      <c r="A349" s="10"/>
      <c r="B349" s="13"/>
      <c r="C349" s="13"/>
    </row>
    <row r="350" spans="1:3" ht="13" x14ac:dyDescent="0.15">
      <c r="A350" s="10"/>
      <c r="B350" s="13"/>
      <c r="C350" s="13"/>
    </row>
    <row r="351" spans="1:3" ht="13" x14ac:dyDescent="0.15">
      <c r="A351" s="10"/>
      <c r="B351" s="13"/>
      <c r="C351" s="13"/>
    </row>
    <row r="352" spans="1:3" ht="13" x14ac:dyDescent="0.15">
      <c r="A352" s="10"/>
      <c r="B352" s="13"/>
      <c r="C352" s="13"/>
    </row>
    <row r="353" spans="1:3" ht="13" x14ac:dyDescent="0.15">
      <c r="A353" s="10"/>
      <c r="B353" s="13"/>
      <c r="C353" s="13"/>
    </row>
    <row r="354" spans="1:3" ht="13" x14ac:dyDescent="0.15">
      <c r="A354" s="10"/>
      <c r="B354" s="13"/>
      <c r="C354" s="13"/>
    </row>
    <row r="355" spans="1:3" ht="13" x14ac:dyDescent="0.15">
      <c r="A355" s="10"/>
      <c r="B355" s="13"/>
      <c r="C355" s="13"/>
    </row>
    <row r="356" spans="1:3" ht="13" x14ac:dyDescent="0.15">
      <c r="A356" s="10"/>
      <c r="B356" s="13"/>
      <c r="C356" s="13"/>
    </row>
    <row r="357" spans="1:3" ht="13" x14ac:dyDescent="0.15">
      <c r="A357" s="10"/>
      <c r="B357" s="13"/>
      <c r="C357" s="13"/>
    </row>
    <row r="358" spans="1:3" ht="13" x14ac:dyDescent="0.15">
      <c r="A358" s="10"/>
      <c r="B358" s="13"/>
      <c r="C358" s="13"/>
    </row>
    <row r="359" spans="1:3" ht="13" x14ac:dyDescent="0.15">
      <c r="A359" s="10"/>
      <c r="B359" s="13"/>
      <c r="C359" s="13"/>
    </row>
    <row r="360" spans="1:3" ht="13" x14ac:dyDescent="0.15">
      <c r="A360" s="10"/>
      <c r="B360" s="13"/>
      <c r="C360" s="13"/>
    </row>
    <row r="361" spans="1:3" ht="13" x14ac:dyDescent="0.15">
      <c r="A361" s="10"/>
      <c r="B361" s="13"/>
      <c r="C361" s="13"/>
    </row>
    <row r="362" spans="1:3" ht="13" x14ac:dyDescent="0.15">
      <c r="A362" s="10"/>
      <c r="B362" s="13"/>
      <c r="C362" s="13"/>
    </row>
    <row r="363" spans="1:3" ht="13" x14ac:dyDescent="0.15">
      <c r="A363" s="10"/>
      <c r="B363" s="13"/>
      <c r="C363" s="13"/>
    </row>
    <row r="364" spans="1:3" ht="13" x14ac:dyDescent="0.15">
      <c r="A364" s="10"/>
      <c r="B364" s="13"/>
      <c r="C364" s="13"/>
    </row>
    <row r="365" spans="1:3" ht="13" x14ac:dyDescent="0.15">
      <c r="A365" s="10"/>
      <c r="B365" s="13"/>
      <c r="C365" s="13"/>
    </row>
    <row r="366" spans="1:3" ht="13" x14ac:dyDescent="0.15">
      <c r="A366" s="10"/>
      <c r="B366" s="13"/>
      <c r="C366" s="13"/>
    </row>
    <row r="367" spans="1:3" ht="13" x14ac:dyDescent="0.15">
      <c r="A367" s="10"/>
      <c r="B367" s="13"/>
      <c r="C367" s="13"/>
    </row>
    <row r="368" spans="1:3" ht="13" x14ac:dyDescent="0.15">
      <c r="A368" s="10"/>
      <c r="B368" s="13"/>
      <c r="C368" s="13"/>
    </row>
    <row r="369" spans="1:3" ht="13" x14ac:dyDescent="0.15">
      <c r="A369" s="10"/>
      <c r="B369" s="13"/>
      <c r="C369" s="13"/>
    </row>
    <row r="370" spans="1:3" ht="13" x14ac:dyDescent="0.15">
      <c r="A370" s="10"/>
      <c r="B370" s="13"/>
      <c r="C370" s="13"/>
    </row>
    <row r="371" spans="1:3" ht="13" x14ac:dyDescent="0.15">
      <c r="A371" s="10"/>
      <c r="B371" s="13"/>
      <c r="C371" s="13"/>
    </row>
    <row r="372" spans="1:3" ht="13" x14ac:dyDescent="0.15">
      <c r="A372" s="10"/>
      <c r="B372" s="13"/>
      <c r="C372" s="13"/>
    </row>
    <row r="373" spans="1:3" ht="13" x14ac:dyDescent="0.15">
      <c r="A373" s="10"/>
      <c r="B373" s="13"/>
      <c r="C373" s="13"/>
    </row>
    <row r="374" spans="1:3" ht="13" x14ac:dyDescent="0.15">
      <c r="A374" s="10"/>
      <c r="B374" s="13"/>
      <c r="C374" s="13"/>
    </row>
    <row r="375" spans="1:3" ht="13" x14ac:dyDescent="0.15">
      <c r="A375" s="10"/>
      <c r="B375" s="13"/>
      <c r="C375" s="13"/>
    </row>
    <row r="376" spans="1:3" ht="13" x14ac:dyDescent="0.15">
      <c r="A376" s="10"/>
      <c r="B376" s="13"/>
      <c r="C376" s="13"/>
    </row>
    <row r="377" spans="1:3" ht="13" x14ac:dyDescent="0.15">
      <c r="A377" s="10"/>
      <c r="B377" s="13"/>
      <c r="C377" s="13"/>
    </row>
    <row r="378" spans="1:3" ht="13" x14ac:dyDescent="0.15">
      <c r="A378" s="10"/>
      <c r="B378" s="13"/>
      <c r="C378" s="13"/>
    </row>
    <row r="379" spans="1:3" ht="13" x14ac:dyDescent="0.15">
      <c r="A379" s="10"/>
      <c r="B379" s="13"/>
      <c r="C379" s="13"/>
    </row>
    <row r="380" spans="1:3" ht="13" x14ac:dyDescent="0.15">
      <c r="A380" s="10"/>
      <c r="B380" s="13"/>
      <c r="C380" s="13"/>
    </row>
    <row r="381" spans="1:3" ht="13" x14ac:dyDescent="0.15">
      <c r="A381" s="10"/>
      <c r="B381" s="13"/>
      <c r="C381" s="13"/>
    </row>
    <row r="382" spans="1:3" ht="13" x14ac:dyDescent="0.15">
      <c r="A382" s="10"/>
      <c r="B382" s="13"/>
      <c r="C382" s="13"/>
    </row>
    <row r="383" spans="1:3" ht="13" x14ac:dyDescent="0.15">
      <c r="A383" s="10"/>
      <c r="B383" s="13"/>
      <c r="C383" s="13"/>
    </row>
    <row r="384" spans="1:3" ht="13" x14ac:dyDescent="0.15">
      <c r="A384" s="10"/>
      <c r="B384" s="13"/>
      <c r="C384" s="13"/>
    </row>
    <row r="385" spans="1:3" ht="13" x14ac:dyDescent="0.15">
      <c r="A385" s="10"/>
      <c r="B385" s="13"/>
      <c r="C385" s="13"/>
    </row>
    <row r="386" spans="1:3" ht="13" x14ac:dyDescent="0.15">
      <c r="A386" s="10"/>
      <c r="B386" s="13"/>
      <c r="C386" s="13"/>
    </row>
    <row r="387" spans="1:3" ht="13" x14ac:dyDescent="0.15">
      <c r="A387" s="10"/>
      <c r="B387" s="13"/>
      <c r="C387" s="13"/>
    </row>
    <row r="388" spans="1:3" ht="13" x14ac:dyDescent="0.15">
      <c r="A388" s="10"/>
      <c r="B388" s="13"/>
      <c r="C388" s="13"/>
    </row>
    <row r="389" spans="1:3" ht="13" x14ac:dyDescent="0.15">
      <c r="A389" s="10"/>
      <c r="B389" s="13"/>
      <c r="C389" s="13"/>
    </row>
    <row r="390" spans="1:3" ht="13" x14ac:dyDescent="0.15">
      <c r="A390" s="10"/>
      <c r="B390" s="13"/>
      <c r="C390" s="13"/>
    </row>
    <row r="391" spans="1:3" ht="13" x14ac:dyDescent="0.15">
      <c r="A391" s="10"/>
      <c r="B391" s="13"/>
      <c r="C391" s="13"/>
    </row>
    <row r="392" spans="1:3" ht="13" x14ac:dyDescent="0.15">
      <c r="A392" s="10"/>
      <c r="B392" s="13"/>
      <c r="C392" s="13"/>
    </row>
    <row r="393" spans="1:3" ht="13" x14ac:dyDescent="0.15">
      <c r="A393" s="10"/>
      <c r="B393" s="13"/>
      <c r="C393" s="13"/>
    </row>
    <row r="394" spans="1:3" ht="13" x14ac:dyDescent="0.15">
      <c r="A394" s="10"/>
      <c r="B394" s="13"/>
      <c r="C394" s="13"/>
    </row>
    <row r="395" spans="1:3" ht="13" x14ac:dyDescent="0.15">
      <c r="A395" s="10"/>
      <c r="B395" s="13"/>
      <c r="C395" s="13"/>
    </row>
    <row r="396" spans="1:3" ht="13" x14ac:dyDescent="0.15">
      <c r="A396" s="10"/>
      <c r="B396" s="13"/>
      <c r="C396" s="13"/>
    </row>
    <row r="397" spans="1:3" ht="13" x14ac:dyDescent="0.15">
      <c r="A397" s="10"/>
      <c r="B397" s="13"/>
      <c r="C397" s="13"/>
    </row>
    <row r="398" spans="1:3" ht="13" x14ac:dyDescent="0.15">
      <c r="A398" s="10"/>
      <c r="B398" s="13"/>
      <c r="C398" s="13"/>
    </row>
    <row r="399" spans="1:3" ht="13" x14ac:dyDescent="0.15">
      <c r="A399" s="10"/>
      <c r="B399" s="13"/>
      <c r="C399" s="13"/>
    </row>
    <row r="400" spans="1:3" ht="13" x14ac:dyDescent="0.15">
      <c r="A400" s="10"/>
      <c r="B400" s="13"/>
      <c r="C400" s="13"/>
    </row>
    <row r="401" spans="1:3" ht="13" x14ac:dyDescent="0.15">
      <c r="A401" s="10"/>
      <c r="B401" s="13"/>
      <c r="C401" s="13"/>
    </row>
    <row r="402" spans="1:3" ht="13" x14ac:dyDescent="0.15">
      <c r="A402" s="10"/>
      <c r="B402" s="13"/>
      <c r="C402" s="13"/>
    </row>
    <row r="403" spans="1:3" ht="13" x14ac:dyDescent="0.15">
      <c r="A403" s="10"/>
      <c r="B403" s="13"/>
      <c r="C403" s="13"/>
    </row>
    <row r="404" spans="1:3" ht="13" x14ac:dyDescent="0.15">
      <c r="A404" s="10"/>
      <c r="B404" s="13"/>
      <c r="C404" s="13"/>
    </row>
    <row r="405" spans="1:3" ht="13" x14ac:dyDescent="0.15">
      <c r="A405" s="10"/>
      <c r="B405" s="13"/>
      <c r="C405" s="13"/>
    </row>
    <row r="406" spans="1:3" ht="13" x14ac:dyDescent="0.15">
      <c r="A406" s="10"/>
      <c r="B406" s="13"/>
      <c r="C406" s="13"/>
    </row>
    <row r="407" spans="1:3" ht="13" x14ac:dyDescent="0.15">
      <c r="A407" s="10"/>
      <c r="B407" s="13"/>
      <c r="C407" s="13"/>
    </row>
    <row r="408" spans="1:3" ht="13" x14ac:dyDescent="0.15">
      <c r="A408" s="10"/>
      <c r="B408" s="13"/>
      <c r="C408" s="13"/>
    </row>
    <row r="409" spans="1:3" ht="13" x14ac:dyDescent="0.15">
      <c r="A409" s="10"/>
      <c r="B409" s="13"/>
      <c r="C409" s="13"/>
    </row>
    <row r="410" spans="1:3" ht="13" x14ac:dyDescent="0.15">
      <c r="A410" s="10"/>
      <c r="B410" s="13"/>
      <c r="C410" s="13"/>
    </row>
    <row r="411" spans="1:3" ht="13" x14ac:dyDescent="0.15">
      <c r="A411" s="10"/>
      <c r="B411" s="13"/>
      <c r="C411" s="13"/>
    </row>
    <row r="412" spans="1:3" ht="13" x14ac:dyDescent="0.15">
      <c r="A412" s="10"/>
      <c r="B412" s="13"/>
      <c r="C412" s="13"/>
    </row>
    <row r="413" spans="1:3" ht="13" x14ac:dyDescent="0.15">
      <c r="A413" s="10"/>
      <c r="B413" s="13"/>
      <c r="C413" s="13"/>
    </row>
    <row r="414" spans="1:3" ht="13" x14ac:dyDescent="0.15">
      <c r="A414" s="10"/>
      <c r="B414" s="13"/>
      <c r="C414" s="13"/>
    </row>
    <row r="415" spans="1:3" ht="13" x14ac:dyDescent="0.15">
      <c r="A415" s="10"/>
      <c r="B415" s="13"/>
      <c r="C415" s="13"/>
    </row>
    <row r="416" spans="1:3" ht="13" x14ac:dyDescent="0.15">
      <c r="A416" s="10"/>
      <c r="B416" s="13"/>
      <c r="C416" s="13"/>
    </row>
    <row r="417" spans="1:3" ht="13" x14ac:dyDescent="0.15">
      <c r="A417" s="10"/>
      <c r="B417" s="13"/>
      <c r="C417" s="13"/>
    </row>
    <row r="418" spans="1:3" ht="13" x14ac:dyDescent="0.15">
      <c r="A418" s="10"/>
      <c r="B418" s="13"/>
      <c r="C418" s="13"/>
    </row>
    <row r="419" spans="1:3" ht="13" x14ac:dyDescent="0.15">
      <c r="A419" s="10"/>
      <c r="B419" s="13"/>
      <c r="C419" s="13"/>
    </row>
    <row r="420" spans="1:3" ht="13" x14ac:dyDescent="0.15">
      <c r="A420" s="10"/>
      <c r="B420" s="13"/>
      <c r="C420" s="13"/>
    </row>
    <row r="421" spans="1:3" ht="13" x14ac:dyDescent="0.15">
      <c r="A421" s="10"/>
      <c r="B421" s="13"/>
      <c r="C421" s="13"/>
    </row>
    <row r="422" spans="1:3" ht="13" x14ac:dyDescent="0.15">
      <c r="A422" s="10"/>
      <c r="B422" s="13"/>
      <c r="C422" s="13"/>
    </row>
    <row r="423" spans="1:3" ht="13" x14ac:dyDescent="0.15">
      <c r="A423" s="10"/>
      <c r="B423" s="13"/>
      <c r="C423" s="13"/>
    </row>
    <row r="424" spans="1:3" ht="13" x14ac:dyDescent="0.15">
      <c r="A424" s="10"/>
      <c r="B424" s="13"/>
      <c r="C424" s="13"/>
    </row>
    <row r="425" spans="1:3" ht="13" x14ac:dyDescent="0.15">
      <c r="A425" s="10"/>
      <c r="B425" s="13"/>
      <c r="C425" s="13"/>
    </row>
    <row r="426" spans="1:3" ht="13" x14ac:dyDescent="0.15">
      <c r="A426" s="10"/>
      <c r="B426" s="13"/>
      <c r="C426" s="13"/>
    </row>
    <row r="427" spans="1:3" ht="13" x14ac:dyDescent="0.15">
      <c r="A427" s="10"/>
      <c r="B427" s="13"/>
      <c r="C427" s="13"/>
    </row>
    <row r="428" spans="1:3" ht="13" x14ac:dyDescent="0.15">
      <c r="A428" s="10"/>
      <c r="B428" s="13"/>
      <c r="C428" s="13"/>
    </row>
    <row r="429" spans="1:3" ht="13" x14ac:dyDescent="0.15">
      <c r="A429" s="10"/>
      <c r="B429" s="13"/>
      <c r="C429" s="13"/>
    </row>
    <row r="430" spans="1:3" ht="13" x14ac:dyDescent="0.15">
      <c r="A430" s="10"/>
      <c r="B430" s="13"/>
      <c r="C430" s="13"/>
    </row>
    <row r="431" spans="1:3" ht="13" x14ac:dyDescent="0.15">
      <c r="A431" s="10"/>
      <c r="B431" s="13"/>
      <c r="C431" s="13"/>
    </row>
    <row r="432" spans="1:3" ht="13" x14ac:dyDescent="0.15">
      <c r="A432" s="10"/>
      <c r="B432" s="13"/>
      <c r="C432" s="13"/>
    </row>
    <row r="433" spans="1:3" ht="13" x14ac:dyDescent="0.15">
      <c r="A433" s="10"/>
      <c r="B433" s="13"/>
      <c r="C433" s="13"/>
    </row>
    <row r="434" spans="1:3" ht="13" x14ac:dyDescent="0.15">
      <c r="A434" s="10"/>
      <c r="B434" s="13"/>
      <c r="C434" s="13"/>
    </row>
    <row r="435" spans="1:3" ht="13" x14ac:dyDescent="0.15">
      <c r="A435" s="10"/>
      <c r="B435" s="13"/>
      <c r="C435" s="13"/>
    </row>
    <row r="436" spans="1:3" ht="13" x14ac:dyDescent="0.15">
      <c r="A436" s="10"/>
      <c r="B436" s="13"/>
      <c r="C436" s="13"/>
    </row>
    <row r="437" spans="1:3" ht="13" x14ac:dyDescent="0.15">
      <c r="A437" s="10"/>
      <c r="B437" s="13"/>
      <c r="C437" s="13"/>
    </row>
    <row r="438" spans="1:3" ht="13" x14ac:dyDescent="0.15">
      <c r="A438" s="10"/>
      <c r="B438" s="13"/>
      <c r="C438" s="13"/>
    </row>
    <row r="439" spans="1:3" ht="13" x14ac:dyDescent="0.15">
      <c r="A439" s="10"/>
      <c r="B439" s="13"/>
      <c r="C439" s="13"/>
    </row>
    <row r="440" spans="1:3" ht="13" x14ac:dyDescent="0.15">
      <c r="A440" s="10"/>
      <c r="B440" s="13"/>
      <c r="C440" s="13"/>
    </row>
    <row r="441" spans="1:3" ht="13" x14ac:dyDescent="0.15">
      <c r="A441" s="10"/>
      <c r="B441" s="13"/>
      <c r="C441" s="13"/>
    </row>
    <row r="442" spans="1:3" ht="13" x14ac:dyDescent="0.15">
      <c r="A442" s="10"/>
      <c r="B442" s="13"/>
      <c r="C442" s="13"/>
    </row>
    <row r="443" spans="1:3" ht="13" x14ac:dyDescent="0.15">
      <c r="A443" s="10"/>
      <c r="B443" s="13"/>
      <c r="C443" s="13"/>
    </row>
    <row r="444" spans="1:3" ht="13" x14ac:dyDescent="0.15">
      <c r="A444" s="10"/>
      <c r="B444" s="13"/>
      <c r="C444" s="13"/>
    </row>
    <row r="445" spans="1:3" ht="13" x14ac:dyDescent="0.15">
      <c r="A445" s="10"/>
      <c r="B445" s="13"/>
      <c r="C445" s="13"/>
    </row>
    <row r="446" spans="1:3" ht="13" x14ac:dyDescent="0.15">
      <c r="A446" s="10"/>
      <c r="B446" s="13"/>
      <c r="C446" s="13"/>
    </row>
    <row r="447" spans="1:3" ht="13" x14ac:dyDescent="0.15">
      <c r="A447" s="10"/>
      <c r="B447" s="13"/>
      <c r="C447" s="13"/>
    </row>
    <row r="448" spans="1:3" ht="13" x14ac:dyDescent="0.15">
      <c r="A448" s="10"/>
      <c r="B448" s="13"/>
      <c r="C448" s="13"/>
    </row>
    <row r="449" spans="1:3" ht="13" x14ac:dyDescent="0.15">
      <c r="A449" s="10"/>
      <c r="B449" s="13"/>
      <c r="C449" s="13"/>
    </row>
    <row r="450" spans="1:3" ht="13" x14ac:dyDescent="0.15">
      <c r="A450" s="10"/>
      <c r="B450" s="13"/>
      <c r="C450" s="13"/>
    </row>
    <row r="451" spans="1:3" ht="13" x14ac:dyDescent="0.15">
      <c r="A451" s="10"/>
      <c r="B451" s="13"/>
      <c r="C451" s="13"/>
    </row>
    <row r="452" spans="1:3" ht="13" x14ac:dyDescent="0.15">
      <c r="A452" s="10"/>
      <c r="B452" s="13"/>
      <c r="C452" s="13"/>
    </row>
    <row r="453" spans="1:3" ht="13" x14ac:dyDescent="0.15">
      <c r="A453" s="10"/>
      <c r="B453" s="13"/>
      <c r="C453" s="13"/>
    </row>
    <row r="454" spans="1:3" ht="13" x14ac:dyDescent="0.15">
      <c r="A454" s="10"/>
      <c r="B454" s="13"/>
      <c r="C454" s="13"/>
    </row>
    <row r="455" spans="1:3" ht="13" x14ac:dyDescent="0.15">
      <c r="A455" s="10"/>
      <c r="B455" s="13"/>
      <c r="C455" s="13"/>
    </row>
    <row r="456" spans="1:3" ht="13" x14ac:dyDescent="0.15">
      <c r="A456" s="10"/>
      <c r="B456" s="13"/>
      <c r="C456" s="13"/>
    </row>
    <row r="457" spans="1:3" ht="13" x14ac:dyDescent="0.15">
      <c r="A457" s="10"/>
      <c r="B457" s="13"/>
      <c r="C457" s="13"/>
    </row>
    <row r="458" spans="1:3" ht="13" x14ac:dyDescent="0.15">
      <c r="A458" s="10"/>
      <c r="B458" s="13"/>
      <c r="C458" s="13"/>
    </row>
    <row r="459" spans="1:3" ht="13" x14ac:dyDescent="0.15">
      <c r="A459" s="10"/>
      <c r="B459" s="13"/>
      <c r="C459" s="13"/>
    </row>
    <row r="460" spans="1:3" ht="13" x14ac:dyDescent="0.15">
      <c r="A460" s="10"/>
      <c r="B460" s="13"/>
      <c r="C460" s="13"/>
    </row>
    <row r="461" spans="1:3" ht="13" x14ac:dyDescent="0.15">
      <c r="A461" s="10"/>
      <c r="B461" s="13"/>
      <c r="C461" s="13"/>
    </row>
    <row r="462" spans="1:3" ht="13" x14ac:dyDescent="0.15">
      <c r="A462" s="10"/>
      <c r="B462" s="13"/>
      <c r="C462" s="13"/>
    </row>
    <row r="463" spans="1:3" ht="13" x14ac:dyDescent="0.15">
      <c r="A463" s="10"/>
      <c r="B463" s="13"/>
      <c r="C463" s="13"/>
    </row>
    <row r="464" spans="1:3" ht="13" x14ac:dyDescent="0.15">
      <c r="A464" s="10"/>
      <c r="B464" s="13"/>
      <c r="C464" s="13"/>
    </row>
    <row r="465" spans="1:3" ht="13" x14ac:dyDescent="0.15">
      <c r="A465" s="10"/>
      <c r="B465" s="13"/>
      <c r="C465" s="13"/>
    </row>
    <row r="466" spans="1:3" ht="13" x14ac:dyDescent="0.15">
      <c r="A466" s="10"/>
      <c r="B466" s="13"/>
      <c r="C466" s="13"/>
    </row>
    <row r="467" spans="1:3" ht="13" x14ac:dyDescent="0.15">
      <c r="A467" s="10"/>
      <c r="B467" s="13"/>
      <c r="C467" s="13"/>
    </row>
    <row r="468" spans="1:3" ht="13" x14ac:dyDescent="0.15">
      <c r="A468" s="10"/>
      <c r="B468" s="13"/>
      <c r="C468" s="13"/>
    </row>
    <row r="469" spans="1:3" ht="13" x14ac:dyDescent="0.15">
      <c r="A469" s="10"/>
      <c r="B469" s="13"/>
      <c r="C469" s="13"/>
    </row>
    <row r="470" spans="1:3" ht="13" x14ac:dyDescent="0.15">
      <c r="A470" s="10"/>
      <c r="B470" s="13"/>
      <c r="C470" s="13"/>
    </row>
    <row r="471" spans="1:3" ht="13" x14ac:dyDescent="0.15">
      <c r="A471" s="10"/>
      <c r="B471" s="13"/>
      <c r="C471" s="13"/>
    </row>
    <row r="472" spans="1:3" ht="13" x14ac:dyDescent="0.15">
      <c r="A472" s="10"/>
      <c r="B472" s="13"/>
      <c r="C472" s="13"/>
    </row>
    <row r="473" spans="1:3" ht="13" x14ac:dyDescent="0.15">
      <c r="A473" s="10"/>
      <c r="B473" s="13"/>
      <c r="C473" s="13"/>
    </row>
    <row r="474" spans="1:3" ht="13" x14ac:dyDescent="0.15">
      <c r="A474" s="10"/>
      <c r="B474" s="13"/>
      <c r="C474" s="13"/>
    </row>
    <row r="475" spans="1:3" ht="13" x14ac:dyDescent="0.15">
      <c r="A475" s="10"/>
      <c r="B475" s="13"/>
      <c r="C475" s="13"/>
    </row>
    <row r="476" spans="1:3" ht="13" x14ac:dyDescent="0.15">
      <c r="A476" s="10"/>
      <c r="B476" s="13"/>
      <c r="C476" s="13"/>
    </row>
    <row r="477" spans="1:3" ht="13" x14ac:dyDescent="0.15">
      <c r="A477" s="10"/>
      <c r="B477" s="13"/>
      <c r="C477" s="13"/>
    </row>
    <row r="478" spans="1:3" ht="13" x14ac:dyDescent="0.15">
      <c r="A478" s="10"/>
      <c r="B478" s="13"/>
      <c r="C478" s="13"/>
    </row>
    <row r="479" spans="1:3" ht="13" x14ac:dyDescent="0.15">
      <c r="A479" s="10"/>
      <c r="B479" s="13"/>
      <c r="C479" s="13"/>
    </row>
    <row r="480" spans="1:3" ht="13" x14ac:dyDescent="0.15">
      <c r="A480" s="10"/>
      <c r="B480" s="13"/>
      <c r="C480" s="13"/>
    </row>
    <row r="481" spans="1:3" ht="13" x14ac:dyDescent="0.15">
      <c r="A481" s="10"/>
      <c r="B481" s="13"/>
      <c r="C481" s="13"/>
    </row>
    <row r="482" spans="1:3" ht="13" x14ac:dyDescent="0.15">
      <c r="A482" s="10"/>
      <c r="B482" s="13"/>
      <c r="C482" s="13"/>
    </row>
    <row r="483" spans="1:3" ht="13" x14ac:dyDescent="0.15">
      <c r="A483" s="10"/>
      <c r="B483" s="13"/>
      <c r="C483" s="13"/>
    </row>
    <row r="484" spans="1:3" ht="13" x14ac:dyDescent="0.15">
      <c r="A484" s="10"/>
      <c r="B484" s="13"/>
      <c r="C484" s="13"/>
    </row>
    <row r="485" spans="1:3" ht="13" x14ac:dyDescent="0.15">
      <c r="A485" s="10"/>
      <c r="B485" s="13"/>
      <c r="C485" s="13"/>
    </row>
    <row r="486" spans="1:3" ht="13" x14ac:dyDescent="0.15">
      <c r="A486" s="10"/>
      <c r="B486" s="13"/>
      <c r="C486" s="13"/>
    </row>
    <row r="487" spans="1:3" ht="13" x14ac:dyDescent="0.15">
      <c r="A487" s="10"/>
      <c r="B487" s="13"/>
      <c r="C487" s="13"/>
    </row>
    <row r="488" spans="1:3" ht="13" x14ac:dyDescent="0.15">
      <c r="A488" s="10"/>
      <c r="B488" s="13"/>
      <c r="C488" s="13"/>
    </row>
    <row r="489" spans="1:3" ht="13" x14ac:dyDescent="0.15">
      <c r="A489" s="10"/>
      <c r="B489" s="13"/>
      <c r="C489" s="13"/>
    </row>
    <row r="490" spans="1:3" ht="13" x14ac:dyDescent="0.15">
      <c r="A490" s="10"/>
      <c r="B490" s="13"/>
      <c r="C490" s="13"/>
    </row>
    <row r="491" spans="1:3" ht="13" x14ac:dyDescent="0.15">
      <c r="A491" s="10"/>
      <c r="B491" s="13"/>
      <c r="C491" s="13"/>
    </row>
    <row r="492" spans="1:3" ht="13" x14ac:dyDescent="0.15">
      <c r="A492" s="10"/>
      <c r="B492" s="13"/>
      <c r="C492" s="13"/>
    </row>
    <row r="493" spans="1:3" ht="13" x14ac:dyDescent="0.15">
      <c r="A493" s="10"/>
      <c r="B493" s="13"/>
      <c r="C493" s="13"/>
    </row>
    <row r="494" spans="1:3" ht="13" x14ac:dyDescent="0.15">
      <c r="A494" s="10"/>
      <c r="B494" s="13"/>
      <c r="C494" s="13"/>
    </row>
    <row r="495" spans="1:3" ht="13" x14ac:dyDescent="0.15">
      <c r="A495" s="10"/>
      <c r="B495" s="13"/>
      <c r="C495" s="13"/>
    </row>
    <row r="496" spans="1:3" ht="13" x14ac:dyDescent="0.15">
      <c r="A496" s="10"/>
      <c r="B496" s="13"/>
      <c r="C496" s="13"/>
    </row>
    <row r="497" spans="1:3" ht="13" x14ac:dyDescent="0.15">
      <c r="A497" s="10"/>
      <c r="B497" s="13"/>
      <c r="C497" s="13"/>
    </row>
    <row r="498" spans="1:3" ht="13" x14ac:dyDescent="0.15">
      <c r="A498" s="10"/>
      <c r="B498" s="13"/>
      <c r="C498" s="13"/>
    </row>
    <row r="499" spans="1:3" ht="13" x14ac:dyDescent="0.15">
      <c r="A499" s="10"/>
      <c r="B499" s="13"/>
      <c r="C499" s="13"/>
    </row>
    <row r="500" spans="1:3" ht="13" x14ac:dyDescent="0.15">
      <c r="A500" s="10"/>
      <c r="B500" s="13"/>
      <c r="C500" s="13"/>
    </row>
    <row r="501" spans="1:3" ht="13" x14ac:dyDescent="0.15">
      <c r="A501" s="10"/>
      <c r="B501" s="13"/>
      <c r="C501" s="13"/>
    </row>
    <row r="502" spans="1:3" ht="13" x14ac:dyDescent="0.15">
      <c r="A502" s="10"/>
      <c r="B502" s="13"/>
      <c r="C502" s="13"/>
    </row>
    <row r="503" spans="1:3" ht="13" x14ac:dyDescent="0.15">
      <c r="A503" s="10"/>
      <c r="B503" s="13"/>
      <c r="C503" s="13"/>
    </row>
    <row r="504" spans="1:3" ht="13" x14ac:dyDescent="0.15">
      <c r="A504" s="10"/>
      <c r="B504" s="13"/>
      <c r="C504" s="13"/>
    </row>
    <row r="505" spans="1:3" ht="13" x14ac:dyDescent="0.15">
      <c r="A505" s="10"/>
      <c r="B505" s="13"/>
      <c r="C505" s="13"/>
    </row>
    <row r="506" spans="1:3" ht="13" x14ac:dyDescent="0.15">
      <c r="A506" s="10"/>
      <c r="B506" s="13"/>
      <c r="C506" s="13"/>
    </row>
    <row r="507" spans="1:3" ht="13" x14ac:dyDescent="0.15">
      <c r="A507" s="10"/>
      <c r="B507" s="13"/>
      <c r="C507" s="13"/>
    </row>
    <row r="508" spans="1:3" ht="13" x14ac:dyDescent="0.15">
      <c r="A508" s="10"/>
      <c r="B508" s="13"/>
      <c r="C508" s="13"/>
    </row>
    <row r="509" spans="1:3" ht="13" x14ac:dyDescent="0.15">
      <c r="A509" s="10"/>
      <c r="B509" s="13"/>
      <c r="C509" s="13"/>
    </row>
    <row r="510" spans="1:3" ht="13" x14ac:dyDescent="0.15">
      <c r="A510" s="10"/>
      <c r="B510" s="13"/>
      <c r="C510" s="13"/>
    </row>
    <row r="511" spans="1:3" ht="13" x14ac:dyDescent="0.15">
      <c r="A511" s="10"/>
      <c r="B511" s="13"/>
      <c r="C511" s="13"/>
    </row>
    <row r="512" spans="1:3" ht="13" x14ac:dyDescent="0.15">
      <c r="A512" s="10"/>
      <c r="B512" s="13"/>
      <c r="C512" s="13"/>
    </row>
    <row r="513" spans="1:3" ht="13" x14ac:dyDescent="0.15">
      <c r="A513" s="10"/>
      <c r="B513" s="13"/>
      <c r="C513" s="13"/>
    </row>
    <row r="514" spans="1:3" ht="13" x14ac:dyDescent="0.15">
      <c r="A514" s="10"/>
      <c r="B514" s="13"/>
      <c r="C514" s="13"/>
    </row>
    <row r="515" spans="1:3" ht="13" x14ac:dyDescent="0.15">
      <c r="A515" s="10"/>
      <c r="B515" s="13"/>
      <c r="C515" s="13"/>
    </row>
    <row r="516" spans="1:3" ht="13" x14ac:dyDescent="0.15">
      <c r="A516" s="10"/>
      <c r="B516" s="13"/>
      <c r="C516" s="13"/>
    </row>
    <row r="517" spans="1:3" ht="13" x14ac:dyDescent="0.15">
      <c r="A517" s="10"/>
      <c r="B517" s="13"/>
      <c r="C517" s="13"/>
    </row>
    <row r="518" spans="1:3" ht="13" x14ac:dyDescent="0.15">
      <c r="A518" s="10"/>
      <c r="B518" s="13"/>
      <c r="C518" s="13"/>
    </row>
    <row r="519" spans="1:3" ht="13" x14ac:dyDescent="0.15">
      <c r="A519" s="10"/>
      <c r="B519" s="13"/>
      <c r="C519" s="13"/>
    </row>
    <row r="520" spans="1:3" ht="13" x14ac:dyDescent="0.15">
      <c r="A520" s="10"/>
      <c r="B520" s="13"/>
      <c r="C520" s="13"/>
    </row>
    <row r="521" spans="1:3" ht="13" x14ac:dyDescent="0.15">
      <c r="A521" s="10"/>
      <c r="B521" s="13"/>
      <c r="C521" s="13"/>
    </row>
    <row r="522" spans="1:3" ht="13" x14ac:dyDescent="0.15">
      <c r="A522" s="10"/>
      <c r="B522" s="13"/>
      <c r="C522" s="13"/>
    </row>
    <row r="523" spans="1:3" ht="13" x14ac:dyDescent="0.15">
      <c r="A523" s="10"/>
      <c r="B523" s="13"/>
      <c r="C523" s="13"/>
    </row>
    <row r="524" spans="1:3" ht="13" x14ac:dyDescent="0.15">
      <c r="A524" s="10"/>
      <c r="B524" s="13"/>
      <c r="C524" s="13"/>
    </row>
    <row r="525" spans="1:3" ht="13" x14ac:dyDescent="0.15">
      <c r="A525" s="10"/>
      <c r="B525" s="13"/>
      <c r="C525" s="13"/>
    </row>
    <row r="526" spans="1:3" ht="13" x14ac:dyDescent="0.15">
      <c r="A526" s="10"/>
      <c r="B526" s="13"/>
      <c r="C526" s="13"/>
    </row>
    <row r="527" spans="1:3" ht="13" x14ac:dyDescent="0.15">
      <c r="A527" s="10"/>
      <c r="B527" s="13"/>
      <c r="C527" s="13"/>
    </row>
    <row r="528" spans="1:3" ht="13" x14ac:dyDescent="0.15">
      <c r="A528" s="10"/>
      <c r="B528" s="13"/>
      <c r="C528" s="13"/>
    </row>
    <row r="529" spans="1:3" ht="13" x14ac:dyDescent="0.15">
      <c r="A529" s="10"/>
      <c r="B529" s="13"/>
      <c r="C529" s="13"/>
    </row>
    <row r="530" spans="1:3" ht="13" x14ac:dyDescent="0.15">
      <c r="A530" s="10"/>
      <c r="B530" s="13"/>
      <c r="C530" s="13"/>
    </row>
    <row r="531" spans="1:3" ht="13" x14ac:dyDescent="0.15">
      <c r="A531" s="10"/>
      <c r="B531" s="13"/>
      <c r="C531" s="13"/>
    </row>
    <row r="532" spans="1:3" ht="13" x14ac:dyDescent="0.15">
      <c r="A532" s="10"/>
      <c r="B532" s="13"/>
      <c r="C532" s="13"/>
    </row>
    <row r="533" spans="1:3" ht="13" x14ac:dyDescent="0.15">
      <c r="A533" s="10"/>
      <c r="B533" s="13"/>
      <c r="C533" s="13"/>
    </row>
    <row r="534" spans="1:3" ht="13" x14ac:dyDescent="0.15">
      <c r="A534" s="10"/>
      <c r="B534" s="13"/>
      <c r="C534" s="13"/>
    </row>
    <row r="535" spans="1:3" ht="13" x14ac:dyDescent="0.15">
      <c r="A535" s="10"/>
      <c r="B535" s="13"/>
      <c r="C535" s="13"/>
    </row>
    <row r="536" spans="1:3" ht="13" x14ac:dyDescent="0.15">
      <c r="A536" s="10"/>
      <c r="B536" s="13"/>
      <c r="C536" s="13"/>
    </row>
    <row r="537" spans="1:3" ht="13" x14ac:dyDescent="0.15">
      <c r="A537" s="10"/>
      <c r="B537" s="13"/>
      <c r="C537" s="13"/>
    </row>
    <row r="538" spans="1:3" ht="13" x14ac:dyDescent="0.15">
      <c r="A538" s="10"/>
      <c r="B538" s="13"/>
      <c r="C538" s="13"/>
    </row>
    <row r="539" spans="1:3" ht="13" x14ac:dyDescent="0.15">
      <c r="A539" s="10"/>
      <c r="B539" s="13"/>
      <c r="C539" s="13"/>
    </row>
    <row r="540" spans="1:3" ht="13" x14ac:dyDescent="0.15">
      <c r="A540" s="10"/>
      <c r="B540" s="13"/>
      <c r="C540" s="13"/>
    </row>
    <row r="541" spans="1:3" ht="13" x14ac:dyDescent="0.15">
      <c r="A541" s="10"/>
      <c r="B541" s="13"/>
      <c r="C541" s="13"/>
    </row>
    <row r="542" spans="1:3" ht="13" x14ac:dyDescent="0.15">
      <c r="A542" s="10"/>
      <c r="B542" s="13"/>
      <c r="C542" s="13"/>
    </row>
    <row r="543" spans="1:3" ht="13" x14ac:dyDescent="0.15">
      <c r="A543" s="10"/>
      <c r="B543" s="13"/>
      <c r="C543" s="13"/>
    </row>
    <row r="544" spans="1:3" ht="13" x14ac:dyDescent="0.15">
      <c r="A544" s="10"/>
      <c r="B544" s="13"/>
      <c r="C544" s="13"/>
    </row>
    <row r="545" spans="1:3" ht="13" x14ac:dyDescent="0.15">
      <c r="A545" s="10"/>
      <c r="B545" s="13"/>
      <c r="C545" s="13"/>
    </row>
    <row r="546" spans="1:3" ht="13" x14ac:dyDescent="0.15">
      <c r="A546" s="10"/>
      <c r="B546" s="13"/>
      <c r="C546" s="13"/>
    </row>
    <row r="547" spans="1:3" ht="13" x14ac:dyDescent="0.15">
      <c r="A547" s="10"/>
      <c r="B547" s="13"/>
      <c r="C547" s="13"/>
    </row>
    <row r="548" spans="1:3" ht="13" x14ac:dyDescent="0.15">
      <c r="A548" s="10"/>
      <c r="B548" s="13"/>
      <c r="C548" s="13"/>
    </row>
    <row r="549" spans="1:3" ht="13" x14ac:dyDescent="0.15">
      <c r="A549" s="10"/>
      <c r="B549" s="13"/>
      <c r="C549" s="13"/>
    </row>
    <row r="550" spans="1:3" ht="13" x14ac:dyDescent="0.15">
      <c r="A550" s="10"/>
      <c r="B550" s="13"/>
      <c r="C550" s="13"/>
    </row>
    <row r="551" spans="1:3" ht="13" x14ac:dyDescent="0.15">
      <c r="A551" s="10"/>
      <c r="B551" s="13"/>
      <c r="C551" s="13"/>
    </row>
    <row r="552" spans="1:3" ht="13" x14ac:dyDescent="0.15">
      <c r="A552" s="10"/>
      <c r="B552" s="13"/>
      <c r="C552" s="13"/>
    </row>
    <row r="553" spans="1:3" ht="13" x14ac:dyDescent="0.15">
      <c r="A553" s="10"/>
      <c r="B553" s="13"/>
      <c r="C553" s="13"/>
    </row>
    <row r="554" spans="1:3" ht="13" x14ac:dyDescent="0.15">
      <c r="A554" s="10"/>
      <c r="B554" s="13"/>
      <c r="C554" s="13"/>
    </row>
    <row r="555" spans="1:3" ht="13" x14ac:dyDescent="0.15">
      <c r="A555" s="10"/>
      <c r="B555" s="13"/>
      <c r="C555" s="13"/>
    </row>
    <row r="556" spans="1:3" ht="13" x14ac:dyDescent="0.15">
      <c r="A556" s="10"/>
      <c r="B556" s="13"/>
      <c r="C556" s="13"/>
    </row>
    <row r="557" spans="1:3" ht="13" x14ac:dyDescent="0.15">
      <c r="A557" s="10"/>
      <c r="B557" s="13"/>
      <c r="C557" s="13"/>
    </row>
    <row r="558" spans="1:3" ht="13" x14ac:dyDescent="0.15">
      <c r="A558" s="10"/>
      <c r="B558" s="13"/>
      <c r="C558" s="13"/>
    </row>
    <row r="559" spans="1:3" ht="13" x14ac:dyDescent="0.15">
      <c r="A559" s="10"/>
      <c r="B559" s="13"/>
      <c r="C559" s="13"/>
    </row>
    <row r="560" spans="1:3" ht="13" x14ac:dyDescent="0.15">
      <c r="A560" s="10"/>
      <c r="B560" s="13"/>
      <c r="C560" s="13"/>
    </row>
    <row r="561" spans="1:3" ht="13" x14ac:dyDescent="0.15">
      <c r="A561" s="10"/>
      <c r="B561" s="13"/>
      <c r="C561" s="13"/>
    </row>
    <row r="562" spans="1:3" ht="13" x14ac:dyDescent="0.15">
      <c r="A562" s="10"/>
      <c r="B562" s="13"/>
      <c r="C562" s="13"/>
    </row>
    <row r="563" spans="1:3" ht="13" x14ac:dyDescent="0.15">
      <c r="A563" s="10"/>
      <c r="B563" s="13"/>
      <c r="C563" s="13"/>
    </row>
    <row r="564" spans="1:3" ht="13" x14ac:dyDescent="0.15">
      <c r="A564" s="10"/>
      <c r="B564" s="13"/>
      <c r="C564" s="13"/>
    </row>
    <row r="565" spans="1:3" ht="13" x14ac:dyDescent="0.15">
      <c r="A565" s="10"/>
      <c r="B565" s="13"/>
      <c r="C565" s="13"/>
    </row>
    <row r="566" spans="1:3" ht="13" x14ac:dyDescent="0.15">
      <c r="A566" s="10"/>
      <c r="B566" s="13"/>
      <c r="C566" s="13"/>
    </row>
    <row r="567" spans="1:3" ht="13" x14ac:dyDescent="0.15">
      <c r="A567" s="10"/>
      <c r="B567" s="13"/>
      <c r="C567" s="13"/>
    </row>
    <row r="568" spans="1:3" ht="13" x14ac:dyDescent="0.15">
      <c r="A568" s="10"/>
      <c r="B568" s="13"/>
      <c r="C568" s="13"/>
    </row>
    <row r="569" spans="1:3" ht="13" x14ac:dyDescent="0.15">
      <c r="A569" s="10"/>
      <c r="B569" s="13"/>
      <c r="C569" s="13"/>
    </row>
    <row r="570" spans="1:3" ht="13" x14ac:dyDescent="0.15">
      <c r="A570" s="10"/>
      <c r="B570" s="13"/>
      <c r="C570" s="13"/>
    </row>
    <row r="571" spans="1:3" ht="13" x14ac:dyDescent="0.15">
      <c r="A571" s="10"/>
      <c r="B571" s="13"/>
      <c r="C571" s="13"/>
    </row>
    <row r="572" spans="1:3" ht="13" x14ac:dyDescent="0.15">
      <c r="A572" s="10"/>
      <c r="B572" s="13"/>
      <c r="C572" s="13"/>
    </row>
    <row r="573" spans="1:3" ht="13" x14ac:dyDescent="0.15">
      <c r="A573" s="10"/>
      <c r="B573" s="13"/>
      <c r="C573" s="13"/>
    </row>
    <row r="574" spans="1:3" ht="13" x14ac:dyDescent="0.15">
      <c r="A574" s="10"/>
      <c r="B574" s="13"/>
      <c r="C574" s="13"/>
    </row>
    <row r="575" spans="1:3" ht="13" x14ac:dyDescent="0.15">
      <c r="A575" s="10"/>
      <c r="B575" s="13"/>
      <c r="C575" s="13"/>
    </row>
    <row r="576" spans="1:3" ht="13" x14ac:dyDescent="0.15">
      <c r="A576" s="10"/>
      <c r="B576" s="13"/>
      <c r="C576" s="13"/>
    </row>
    <row r="577" spans="1:3" ht="13" x14ac:dyDescent="0.15">
      <c r="A577" s="10"/>
      <c r="B577" s="13"/>
      <c r="C577" s="13"/>
    </row>
    <row r="578" spans="1:3" ht="13" x14ac:dyDescent="0.15">
      <c r="A578" s="10"/>
      <c r="B578" s="13"/>
      <c r="C578" s="13"/>
    </row>
    <row r="579" spans="1:3" ht="13" x14ac:dyDescent="0.15">
      <c r="A579" s="10"/>
      <c r="B579" s="13"/>
      <c r="C579" s="13"/>
    </row>
    <row r="580" spans="1:3" ht="13" x14ac:dyDescent="0.15">
      <c r="A580" s="10"/>
      <c r="B580" s="13"/>
      <c r="C580" s="13"/>
    </row>
    <row r="581" spans="1:3" ht="13" x14ac:dyDescent="0.15">
      <c r="A581" s="10"/>
      <c r="B581" s="13"/>
      <c r="C581" s="13"/>
    </row>
    <row r="582" spans="1:3" ht="13" x14ac:dyDescent="0.15">
      <c r="A582" s="10"/>
      <c r="B582" s="13"/>
      <c r="C582" s="13"/>
    </row>
    <row r="583" spans="1:3" ht="13" x14ac:dyDescent="0.15">
      <c r="A583" s="10"/>
      <c r="B583" s="13"/>
      <c r="C583" s="13"/>
    </row>
    <row r="584" spans="1:3" ht="13" x14ac:dyDescent="0.15">
      <c r="A584" s="10"/>
      <c r="B584" s="13"/>
      <c r="C584" s="13"/>
    </row>
    <row r="585" spans="1:3" ht="13" x14ac:dyDescent="0.15">
      <c r="A585" s="10"/>
      <c r="B585" s="13"/>
      <c r="C585" s="13"/>
    </row>
    <row r="586" spans="1:3" ht="13" x14ac:dyDescent="0.15">
      <c r="A586" s="10"/>
      <c r="B586" s="13"/>
      <c r="C586" s="13"/>
    </row>
    <row r="587" spans="1:3" ht="13" x14ac:dyDescent="0.15">
      <c r="A587" s="10"/>
      <c r="B587" s="13"/>
      <c r="C587" s="13"/>
    </row>
    <row r="588" spans="1:3" ht="13" x14ac:dyDescent="0.15">
      <c r="A588" s="10"/>
      <c r="B588" s="13"/>
      <c r="C588" s="13"/>
    </row>
    <row r="589" spans="1:3" ht="13" x14ac:dyDescent="0.15">
      <c r="A589" s="10"/>
      <c r="B589" s="13"/>
      <c r="C589" s="13"/>
    </row>
    <row r="590" spans="1:3" ht="13" x14ac:dyDescent="0.15">
      <c r="A590" s="10"/>
      <c r="B590" s="13"/>
      <c r="C590" s="13"/>
    </row>
    <row r="591" spans="1:3" ht="13" x14ac:dyDescent="0.15">
      <c r="A591" s="10"/>
      <c r="B591" s="13"/>
      <c r="C591" s="13"/>
    </row>
    <row r="592" spans="1:3" ht="13" x14ac:dyDescent="0.15">
      <c r="A592" s="10"/>
      <c r="B592" s="13"/>
      <c r="C592" s="13"/>
    </row>
    <row r="593" spans="1:3" ht="13" x14ac:dyDescent="0.15">
      <c r="A593" s="10"/>
      <c r="B593" s="13"/>
      <c r="C593" s="13"/>
    </row>
    <row r="594" spans="1:3" ht="13" x14ac:dyDescent="0.15">
      <c r="A594" s="10"/>
      <c r="B594" s="13"/>
      <c r="C594" s="13"/>
    </row>
    <row r="595" spans="1:3" ht="13" x14ac:dyDescent="0.15">
      <c r="A595" s="10"/>
      <c r="B595" s="13"/>
      <c r="C595" s="13"/>
    </row>
    <row r="596" spans="1:3" ht="13" x14ac:dyDescent="0.15">
      <c r="A596" s="10"/>
      <c r="B596" s="13"/>
      <c r="C596" s="13"/>
    </row>
    <row r="597" spans="1:3" ht="13" x14ac:dyDescent="0.15">
      <c r="A597" s="10"/>
      <c r="B597" s="13"/>
      <c r="C597" s="13"/>
    </row>
    <row r="598" spans="1:3" ht="13" x14ac:dyDescent="0.15">
      <c r="A598" s="10"/>
      <c r="B598" s="13"/>
      <c r="C598" s="13"/>
    </row>
    <row r="599" spans="1:3" ht="13" x14ac:dyDescent="0.15">
      <c r="A599" s="10"/>
      <c r="B599" s="13"/>
      <c r="C599" s="13"/>
    </row>
    <row r="600" spans="1:3" ht="13" x14ac:dyDescent="0.15">
      <c r="A600" s="10"/>
      <c r="B600" s="13"/>
      <c r="C600" s="13"/>
    </row>
    <row r="601" spans="1:3" ht="13" x14ac:dyDescent="0.15">
      <c r="A601" s="10"/>
      <c r="B601" s="13"/>
      <c r="C601" s="13"/>
    </row>
    <row r="602" spans="1:3" ht="13" x14ac:dyDescent="0.15">
      <c r="A602" s="10"/>
      <c r="B602" s="13"/>
      <c r="C602" s="13"/>
    </row>
    <row r="603" spans="1:3" ht="13" x14ac:dyDescent="0.15">
      <c r="A603" s="10"/>
      <c r="B603" s="13"/>
      <c r="C603" s="13"/>
    </row>
    <row r="604" spans="1:3" ht="13" x14ac:dyDescent="0.15">
      <c r="A604" s="10"/>
      <c r="B604" s="13"/>
      <c r="C604" s="13"/>
    </row>
    <row r="605" spans="1:3" ht="13" x14ac:dyDescent="0.15">
      <c r="A605" s="10"/>
      <c r="B605" s="13"/>
      <c r="C605" s="13"/>
    </row>
    <row r="606" spans="1:3" ht="13" x14ac:dyDescent="0.15">
      <c r="A606" s="10"/>
      <c r="B606" s="13"/>
      <c r="C606" s="13"/>
    </row>
    <row r="607" spans="1:3" ht="13" x14ac:dyDescent="0.15">
      <c r="A607" s="10"/>
      <c r="B607" s="13"/>
      <c r="C607" s="13"/>
    </row>
    <row r="608" spans="1:3" ht="13" x14ac:dyDescent="0.15">
      <c r="A608" s="10"/>
      <c r="B608" s="13"/>
      <c r="C608" s="13"/>
    </row>
    <row r="609" spans="1:3" ht="13" x14ac:dyDescent="0.15">
      <c r="A609" s="10"/>
      <c r="B609" s="13"/>
      <c r="C609" s="13"/>
    </row>
    <row r="610" spans="1:3" ht="13" x14ac:dyDescent="0.15">
      <c r="A610" s="10"/>
      <c r="B610" s="13"/>
      <c r="C610" s="13"/>
    </row>
    <row r="611" spans="1:3" ht="13" x14ac:dyDescent="0.15">
      <c r="A611" s="10"/>
      <c r="B611" s="13"/>
      <c r="C611" s="13"/>
    </row>
    <row r="612" spans="1:3" ht="13" x14ac:dyDescent="0.15">
      <c r="A612" s="10"/>
      <c r="B612" s="13"/>
      <c r="C612" s="13"/>
    </row>
    <row r="613" spans="1:3" ht="13" x14ac:dyDescent="0.15">
      <c r="A613" s="10"/>
      <c r="B613" s="13"/>
      <c r="C613" s="13"/>
    </row>
    <row r="614" spans="1:3" ht="13" x14ac:dyDescent="0.15">
      <c r="A614" s="10"/>
      <c r="B614" s="13"/>
      <c r="C614" s="13"/>
    </row>
    <row r="615" spans="1:3" ht="13" x14ac:dyDescent="0.15">
      <c r="A615" s="10"/>
      <c r="B615" s="13"/>
      <c r="C615" s="13"/>
    </row>
    <row r="616" spans="1:3" ht="13" x14ac:dyDescent="0.15">
      <c r="A616" s="10"/>
      <c r="B616" s="13"/>
      <c r="C616" s="13"/>
    </row>
    <row r="617" spans="1:3" ht="13" x14ac:dyDescent="0.15">
      <c r="A617" s="10"/>
      <c r="B617" s="13"/>
      <c r="C617" s="13"/>
    </row>
    <row r="618" spans="1:3" ht="13" x14ac:dyDescent="0.15">
      <c r="A618" s="10"/>
      <c r="B618" s="13"/>
      <c r="C618" s="13"/>
    </row>
    <row r="619" spans="1:3" ht="13" x14ac:dyDescent="0.15">
      <c r="A619" s="10"/>
      <c r="B619" s="13"/>
      <c r="C619" s="13"/>
    </row>
    <row r="620" spans="1:3" ht="13" x14ac:dyDescent="0.15">
      <c r="A620" s="10"/>
      <c r="B620" s="13"/>
      <c r="C620" s="13"/>
    </row>
    <row r="621" spans="1:3" ht="13" x14ac:dyDescent="0.15">
      <c r="A621" s="10"/>
      <c r="B621" s="13"/>
      <c r="C621" s="13"/>
    </row>
    <row r="622" spans="1:3" ht="13" x14ac:dyDescent="0.15">
      <c r="A622" s="10"/>
      <c r="B622" s="13"/>
      <c r="C622" s="13"/>
    </row>
    <row r="623" spans="1:3" ht="13" x14ac:dyDescent="0.15">
      <c r="A623" s="10"/>
      <c r="B623" s="13"/>
      <c r="C623" s="13"/>
    </row>
    <row r="624" spans="1:3" ht="13" x14ac:dyDescent="0.15">
      <c r="A624" s="10"/>
      <c r="B624" s="13"/>
      <c r="C624" s="13"/>
    </row>
    <row r="625" spans="1:3" ht="13" x14ac:dyDescent="0.15">
      <c r="A625" s="10"/>
      <c r="B625" s="13"/>
      <c r="C625" s="13"/>
    </row>
    <row r="626" spans="1:3" ht="13" x14ac:dyDescent="0.15">
      <c r="A626" s="10"/>
      <c r="B626" s="13"/>
      <c r="C626" s="13"/>
    </row>
    <row r="627" spans="1:3" ht="13" x14ac:dyDescent="0.15">
      <c r="A627" s="10"/>
      <c r="B627" s="13"/>
      <c r="C627" s="13"/>
    </row>
    <row r="628" spans="1:3" ht="13" x14ac:dyDescent="0.15">
      <c r="A628" s="10"/>
      <c r="B628" s="13"/>
      <c r="C628" s="13"/>
    </row>
    <row r="629" spans="1:3" ht="13" x14ac:dyDescent="0.15">
      <c r="A629" s="10"/>
      <c r="B629" s="13"/>
      <c r="C629" s="13"/>
    </row>
    <row r="630" spans="1:3" ht="13" x14ac:dyDescent="0.15">
      <c r="A630" s="10"/>
      <c r="B630" s="13"/>
      <c r="C630" s="13"/>
    </row>
    <row r="631" spans="1:3" ht="13" x14ac:dyDescent="0.15">
      <c r="A631" s="10"/>
      <c r="B631" s="13"/>
      <c r="C631" s="13"/>
    </row>
    <row r="632" spans="1:3" ht="13" x14ac:dyDescent="0.15">
      <c r="A632" s="10"/>
      <c r="B632" s="13"/>
      <c r="C632" s="13"/>
    </row>
    <row r="633" spans="1:3" ht="13" x14ac:dyDescent="0.15">
      <c r="A633" s="10"/>
      <c r="B633" s="13"/>
      <c r="C633" s="13"/>
    </row>
    <row r="634" spans="1:3" ht="13" x14ac:dyDescent="0.15">
      <c r="A634" s="10"/>
      <c r="B634" s="13"/>
      <c r="C634" s="13"/>
    </row>
    <row r="635" spans="1:3" ht="13" x14ac:dyDescent="0.15">
      <c r="A635" s="10"/>
      <c r="B635" s="13"/>
      <c r="C635" s="13"/>
    </row>
    <row r="636" spans="1:3" ht="13" x14ac:dyDescent="0.15">
      <c r="A636" s="10"/>
      <c r="B636" s="13"/>
      <c r="C636" s="13"/>
    </row>
    <row r="637" spans="1:3" ht="13" x14ac:dyDescent="0.15">
      <c r="A637" s="10"/>
      <c r="B637" s="13"/>
      <c r="C637" s="13"/>
    </row>
    <row r="638" spans="1:3" ht="13" x14ac:dyDescent="0.15">
      <c r="A638" s="10"/>
      <c r="B638" s="13"/>
      <c r="C638" s="13"/>
    </row>
    <row r="639" spans="1:3" ht="13" x14ac:dyDescent="0.15">
      <c r="A639" s="10"/>
      <c r="B639" s="13"/>
      <c r="C639" s="13"/>
    </row>
    <row r="640" spans="1:3" ht="13" x14ac:dyDescent="0.15">
      <c r="A640" s="10"/>
      <c r="B640" s="13"/>
      <c r="C640" s="13"/>
    </row>
    <row r="641" spans="1:3" ht="13" x14ac:dyDescent="0.15">
      <c r="A641" s="10"/>
      <c r="B641" s="13"/>
      <c r="C641" s="13"/>
    </row>
    <row r="642" spans="1:3" ht="13" x14ac:dyDescent="0.15">
      <c r="A642" s="10"/>
      <c r="B642" s="13"/>
      <c r="C642" s="13"/>
    </row>
    <row r="643" spans="1:3" ht="13" x14ac:dyDescent="0.15">
      <c r="A643" s="10"/>
      <c r="B643" s="13"/>
      <c r="C643" s="13"/>
    </row>
    <row r="644" spans="1:3" ht="13" x14ac:dyDescent="0.15">
      <c r="A644" s="10"/>
      <c r="B644" s="13"/>
      <c r="C644" s="13"/>
    </row>
    <row r="645" spans="1:3" ht="13" x14ac:dyDescent="0.15">
      <c r="A645" s="10"/>
      <c r="B645" s="13"/>
      <c r="C645" s="13"/>
    </row>
    <row r="646" spans="1:3" ht="13" x14ac:dyDescent="0.15">
      <c r="A646" s="10"/>
      <c r="B646" s="13"/>
      <c r="C646" s="13"/>
    </row>
    <row r="647" spans="1:3" ht="13" x14ac:dyDescent="0.15">
      <c r="A647" s="10"/>
      <c r="B647" s="13"/>
      <c r="C647" s="13"/>
    </row>
    <row r="648" spans="1:3" ht="13" x14ac:dyDescent="0.15">
      <c r="A648" s="10"/>
      <c r="B648" s="13"/>
      <c r="C648" s="13"/>
    </row>
    <row r="649" spans="1:3" ht="13" x14ac:dyDescent="0.15">
      <c r="A649" s="10"/>
      <c r="B649" s="13"/>
      <c r="C649" s="13"/>
    </row>
    <row r="650" spans="1:3" ht="13" x14ac:dyDescent="0.15">
      <c r="A650" s="10"/>
      <c r="B650" s="13"/>
      <c r="C650" s="13"/>
    </row>
    <row r="651" spans="1:3" ht="13" x14ac:dyDescent="0.15">
      <c r="A651" s="10"/>
      <c r="B651" s="13"/>
      <c r="C651" s="13"/>
    </row>
    <row r="652" spans="1:3" ht="13" x14ac:dyDescent="0.15">
      <c r="A652" s="10"/>
      <c r="B652" s="13"/>
      <c r="C652" s="13"/>
    </row>
    <row r="653" spans="1:3" ht="13" x14ac:dyDescent="0.15">
      <c r="A653" s="10"/>
      <c r="B653" s="13"/>
      <c r="C653" s="13"/>
    </row>
    <row r="654" spans="1:3" ht="13" x14ac:dyDescent="0.15">
      <c r="A654" s="10"/>
      <c r="B654" s="13"/>
      <c r="C654" s="13"/>
    </row>
    <row r="655" spans="1:3" ht="13" x14ac:dyDescent="0.15">
      <c r="A655" s="10"/>
      <c r="B655" s="13"/>
      <c r="C655" s="13"/>
    </row>
    <row r="656" spans="1:3" ht="13" x14ac:dyDescent="0.15">
      <c r="A656" s="10"/>
      <c r="B656" s="13"/>
      <c r="C656" s="13"/>
    </row>
    <row r="657" spans="1:3" ht="13" x14ac:dyDescent="0.15">
      <c r="A657" s="10"/>
      <c r="B657" s="13"/>
      <c r="C657" s="13"/>
    </row>
    <row r="658" spans="1:3" ht="13" x14ac:dyDescent="0.15">
      <c r="A658" s="10"/>
      <c r="B658" s="13"/>
      <c r="C658" s="13"/>
    </row>
    <row r="659" spans="1:3" ht="13" x14ac:dyDescent="0.15">
      <c r="A659" s="10"/>
      <c r="B659" s="13"/>
      <c r="C659" s="13"/>
    </row>
    <row r="660" spans="1:3" ht="13" x14ac:dyDescent="0.15">
      <c r="A660" s="10"/>
      <c r="B660" s="13"/>
      <c r="C660" s="13"/>
    </row>
    <row r="661" spans="1:3" ht="13" x14ac:dyDescent="0.15">
      <c r="A661" s="10"/>
      <c r="B661" s="13"/>
      <c r="C661" s="13"/>
    </row>
    <row r="662" spans="1:3" ht="13" x14ac:dyDescent="0.15">
      <c r="A662" s="10"/>
      <c r="B662" s="13"/>
      <c r="C662" s="13"/>
    </row>
    <row r="663" spans="1:3" ht="13" x14ac:dyDescent="0.15">
      <c r="A663" s="10"/>
      <c r="B663" s="13"/>
      <c r="C663" s="13"/>
    </row>
    <row r="664" spans="1:3" ht="13" x14ac:dyDescent="0.15">
      <c r="A664" s="10"/>
      <c r="B664" s="13"/>
      <c r="C664" s="13"/>
    </row>
    <row r="665" spans="1:3" ht="13" x14ac:dyDescent="0.15">
      <c r="A665" s="10"/>
      <c r="B665" s="13"/>
      <c r="C665" s="13"/>
    </row>
    <row r="666" spans="1:3" ht="13" x14ac:dyDescent="0.15">
      <c r="A666" s="10"/>
      <c r="B666" s="13"/>
      <c r="C666" s="13"/>
    </row>
    <row r="667" spans="1:3" ht="13" x14ac:dyDescent="0.15">
      <c r="A667" s="10"/>
      <c r="B667" s="13"/>
      <c r="C667" s="13"/>
    </row>
    <row r="668" spans="1:3" ht="13" x14ac:dyDescent="0.15">
      <c r="A668" s="10"/>
      <c r="B668" s="13"/>
      <c r="C668" s="13"/>
    </row>
    <row r="669" spans="1:3" ht="13" x14ac:dyDescent="0.15">
      <c r="A669" s="10"/>
      <c r="B669" s="13"/>
      <c r="C669" s="13"/>
    </row>
    <row r="670" spans="1:3" ht="13" x14ac:dyDescent="0.15">
      <c r="A670" s="10"/>
      <c r="B670" s="13"/>
      <c r="C670" s="13"/>
    </row>
    <row r="671" spans="1:3" ht="13" x14ac:dyDescent="0.15">
      <c r="A671" s="10"/>
      <c r="B671" s="13"/>
      <c r="C671" s="13"/>
    </row>
    <row r="672" spans="1:3" ht="13" x14ac:dyDescent="0.15">
      <c r="A672" s="10"/>
      <c r="B672" s="13"/>
      <c r="C672" s="13"/>
    </row>
    <row r="673" spans="1:3" ht="13" x14ac:dyDescent="0.15">
      <c r="A673" s="10"/>
      <c r="B673" s="13"/>
      <c r="C673" s="13"/>
    </row>
    <row r="674" spans="1:3" ht="13" x14ac:dyDescent="0.15">
      <c r="A674" s="10"/>
      <c r="B674" s="13"/>
      <c r="C674" s="13"/>
    </row>
    <row r="675" spans="1:3" ht="13" x14ac:dyDescent="0.15">
      <c r="A675" s="10"/>
      <c r="B675" s="13"/>
      <c r="C675" s="13"/>
    </row>
    <row r="676" spans="1:3" ht="13" x14ac:dyDescent="0.15">
      <c r="A676" s="10"/>
      <c r="B676" s="13"/>
      <c r="C676" s="13"/>
    </row>
    <row r="677" spans="1:3" ht="13" x14ac:dyDescent="0.15">
      <c r="A677" s="10"/>
      <c r="B677" s="13"/>
      <c r="C677" s="13"/>
    </row>
    <row r="678" spans="1:3" ht="13" x14ac:dyDescent="0.15">
      <c r="A678" s="10"/>
      <c r="B678" s="13"/>
      <c r="C678" s="13"/>
    </row>
    <row r="679" spans="1:3" ht="13" x14ac:dyDescent="0.15">
      <c r="A679" s="10"/>
      <c r="B679" s="13"/>
      <c r="C679" s="13"/>
    </row>
    <row r="680" spans="1:3" ht="13" x14ac:dyDescent="0.15">
      <c r="A680" s="10"/>
      <c r="B680" s="13"/>
      <c r="C680" s="13"/>
    </row>
    <row r="681" spans="1:3" ht="13" x14ac:dyDescent="0.15">
      <c r="A681" s="10"/>
      <c r="B681" s="13"/>
      <c r="C681" s="13"/>
    </row>
    <row r="682" spans="1:3" ht="13" x14ac:dyDescent="0.15">
      <c r="A682" s="10"/>
      <c r="B682" s="13"/>
      <c r="C682" s="13"/>
    </row>
    <row r="683" spans="1:3" ht="13" x14ac:dyDescent="0.15">
      <c r="A683" s="10"/>
      <c r="B683" s="13"/>
      <c r="C683" s="13"/>
    </row>
    <row r="684" spans="1:3" ht="13" x14ac:dyDescent="0.15">
      <c r="A684" s="10"/>
      <c r="B684" s="13"/>
      <c r="C684" s="13"/>
    </row>
    <row r="685" spans="1:3" ht="13" x14ac:dyDescent="0.15">
      <c r="A685" s="10"/>
      <c r="B685" s="13"/>
      <c r="C685" s="13"/>
    </row>
    <row r="686" spans="1:3" ht="13" x14ac:dyDescent="0.15">
      <c r="A686" s="10"/>
      <c r="B686" s="13"/>
      <c r="C686" s="13"/>
    </row>
    <row r="687" spans="1:3" ht="13" x14ac:dyDescent="0.15">
      <c r="A687" s="10"/>
      <c r="B687" s="13"/>
      <c r="C687" s="13"/>
    </row>
    <row r="688" spans="1:3" ht="13" x14ac:dyDescent="0.15">
      <c r="A688" s="10"/>
      <c r="B688" s="13"/>
      <c r="C688" s="13"/>
    </row>
    <row r="689" spans="1:3" ht="13" x14ac:dyDescent="0.15">
      <c r="A689" s="10"/>
      <c r="B689" s="13"/>
      <c r="C689" s="13"/>
    </row>
    <row r="690" spans="1:3" ht="13" x14ac:dyDescent="0.15">
      <c r="A690" s="10"/>
      <c r="B690" s="13"/>
      <c r="C690" s="13"/>
    </row>
    <row r="691" spans="1:3" ht="13" x14ac:dyDescent="0.15">
      <c r="A691" s="10"/>
      <c r="B691" s="13"/>
      <c r="C691" s="13"/>
    </row>
    <row r="692" spans="1:3" ht="13" x14ac:dyDescent="0.15">
      <c r="A692" s="10"/>
      <c r="B692" s="13"/>
      <c r="C692" s="13"/>
    </row>
    <row r="693" spans="1:3" ht="13" x14ac:dyDescent="0.15">
      <c r="A693" s="10"/>
      <c r="B693" s="13"/>
      <c r="C693" s="13"/>
    </row>
    <row r="694" spans="1:3" ht="13" x14ac:dyDescent="0.15">
      <c r="A694" s="10"/>
      <c r="B694" s="13"/>
      <c r="C694" s="13"/>
    </row>
    <row r="695" spans="1:3" ht="13" x14ac:dyDescent="0.15">
      <c r="A695" s="10"/>
      <c r="B695" s="13"/>
      <c r="C695" s="13"/>
    </row>
    <row r="696" spans="1:3" ht="13" x14ac:dyDescent="0.15">
      <c r="A696" s="10"/>
      <c r="B696" s="13"/>
      <c r="C696" s="13"/>
    </row>
    <row r="697" spans="1:3" ht="13" x14ac:dyDescent="0.15">
      <c r="A697" s="10"/>
      <c r="B697" s="13"/>
      <c r="C697" s="13"/>
    </row>
    <row r="698" spans="1:3" ht="13" x14ac:dyDescent="0.15">
      <c r="A698" s="10"/>
      <c r="B698" s="13"/>
      <c r="C698" s="13"/>
    </row>
    <row r="699" spans="1:3" ht="13" x14ac:dyDescent="0.15">
      <c r="A699" s="10"/>
      <c r="B699" s="13"/>
      <c r="C699" s="13"/>
    </row>
    <row r="700" spans="1:3" ht="13" x14ac:dyDescent="0.15">
      <c r="A700" s="10"/>
      <c r="B700" s="13"/>
      <c r="C700" s="13"/>
    </row>
    <row r="701" spans="1:3" ht="13" x14ac:dyDescent="0.15">
      <c r="A701" s="10"/>
      <c r="B701" s="13"/>
      <c r="C701" s="13"/>
    </row>
    <row r="702" spans="1:3" ht="13" x14ac:dyDescent="0.15">
      <c r="A702" s="10"/>
      <c r="B702" s="13"/>
      <c r="C702" s="13"/>
    </row>
    <row r="703" spans="1:3" ht="13" x14ac:dyDescent="0.15">
      <c r="A703" s="10"/>
      <c r="B703" s="13"/>
      <c r="C703" s="13"/>
    </row>
    <row r="704" spans="1:3" ht="13" x14ac:dyDescent="0.15">
      <c r="A704" s="10"/>
      <c r="B704" s="13"/>
      <c r="C704" s="13"/>
    </row>
    <row r="705" spans="1:3" ht="13" x14ac:dyDescent="0.15">
      <c r="A705" s="10"/>
      <c r="B705" s="13"/>
      <c r="C705" s="13"/>
    </row>
    <row r="706" spans="1:3" ht="13" x14ac:dyDescent="0.15">
      <c r="A706" s="10"/>
      <c r="B706" s="13"/>
      <c r="C706" s="13"/>
    </row>
    <row r="707" spans="1:3" ht="13" x14ac:dyDescent="0.15">
      <c r="A707" s="10"/>
      <c r="B707" s="13"/>
      <c r="C707" s="13"/>
    </row>
    <row r="708" spans="1:3" ht="13" x14ac:dyDescent="0.15">
      <c r="A708" s="10"/>
      <c r="B708" s="13"/>
      <c r="C708" s="13"/>
    </row>
    <row r="709" spans="1:3" ht="13" x14ac:dyDescent="0.15">
      <c r="A709" s="10"/>
      <c r="B709" s="13"/>
      <c r="C709" s="13"/>
    </row>
    <row r="710" spans="1:3" ht="13" x14ac:dyDescent="0.15">
      <c r="A710" s="10"/>
      <c r="B710" s="13"/>
      <c r="C710" s="13"/>
    </row>
    <row r="711" spans="1:3" ht="13" x14ac:dyDescent="0.15">
      <c r="A711" s="10"/>
      <c r="B711" s="13"/>
      <c r="C711" s="13"/>
    </row>
    <row r="712" spans="1:3" ht="13" x14ac:dyDescent="0.15">
      <c r="A712" s="10"/>
      <c r="B712" s="13"/>
      <c r="C712" s="13"/>
    </row>
    <row r="713" spans="1:3" ht="13" x14ac:dyDescent="0.15">
      <c r="A713" s="10"/>
      <c r="B713" s="13"/>
      <c r="C713" s="13"/>
    </row>
    <row r="714" spans="1:3" ht="13" x14ac:dyDescent="0.15">
      <c r="A714" s="10"/>
      <c r="B714" s="13"/>
      <c r="C714" s="13"/>
    </row>
    <row r="715" spans="1:3" ht="13" x14ac:dyDescent="0.15">
      <c r="A715" s="10"/>
      <c r="B715" s="13"/>
      <c r="C715" s="13"/>
    </row>
    <row r="716" spans="1:3" ht="13" x14ac:dyDescent="0.15">
      <c r="A716" s="10"/>
      <c r="B716" s="13"/>
      <c r="C716" s="13"/>
    </row>
    <row r="717" spans="1:3" ht="13" x14ac:dyDescent="0.15">
      <c r="A717" s="10"/>
      <c r="B717" s="13"/>
      <c r="C717" s="13"/>
    </row>
    <row r="718" spans="1:3" ht="13" x14ac:dyDescent="0.15">
      <c r="A718" s="10"/>
      <c r="B718" s="13"/>
      <c r="C718" s="13"/>
    </row>
    <row r="719" spans="1:3" ht="13" x14ac:dyDescent="0.15">
      <c r="A719" s="10"/>
      <c r="B719" s="13"/>
      <c r="C719" s="13"/>
    </row>
    <row r="720" spans="1:3" ht="13" x14ac:dyDescent="0.15">
      <c r="A720" s="10"/>
      <c r="B720" s="13"/>
      <c r="C720" s="13"/>
    </row>
    <row r="721" spans="1:3" ht="13" x14ac:dyDescent="0.15">
      <c r="A721" s="10"/>
      <c r="B721" s="13"/>
      <c r="C721" s="13"/>
    </row>
    <row r="722" spans="1:3" ht="13" x14ac:dyDescent="0.15">
      <c r="A722" s="10"/>
      <c r="B722" s="13"/>
      <c r="C722" s="13"/>
    </row>
    <row r="723" spans="1:3" ht="13" x14ac:dyDescent="0.15">
      <c r="A723" s="10"/>
      <c r="B723" s="13"/>
      <c r="C723" s="13"/>
    </row>
    <row r="724" spans="1:3" ht="13" x14ac:dyDescent="0.15">
      <c r="A724" s="10"/>
      <c r="B724" s="13"/>
      <c r="C724" s="13"/>
    </row>
    <row r="725" spans="1:3" ht="13" x14ac:dyDescent="0.15">
      <c r="A725" s="10"/>
      <c r="B725" s="13"/>
      <c r="C725" s="13"/>
    </row>
    <row r="726" spans="1:3" ht="13" x14ac:dyDescent="0.15">
      <c r="A726" s="10"/>
      <c r="B726" s="13"/>
      <c r="C726" s="13"/>
    </row>
    <row r="727" spans="1:3" ht="13" x14ac:dyDescent="0.15">
      <c r="A727" s="10"/>
      <c r="B727" s="13"/>
      <c r="C727" s="13"/>
    </row>
    <row r="728" spans="1:3" ht="13" x14ac:dyDescent="0.15">
      <c r="A728" s="10"/>
      <c r="B728" s="13"/>
      <c r="C728" s="13"/>
    </row>
    <row r="729" spans="1:3" ht="13" x14ac:dyDescent="0.15">
      <c r="A729" s="10"/>
      <c r="B729" s="13"/>
      <c r="C729" s="13"/>
    </row>
    <row r="730" spans="1:3" ht="13" x14ac:dyDescent="0.15">
      <c r="A730" s="10"/>
      <c r="B730" s="13"/>
      <c r="C730" s="13"/>
    </row>
    <row r="731" spans="1:3" ht="13" x14ac:dyDescent="0.15">
      <c r="A731" s="10"/>
      <c r="B731" s="13"/>
      <c r="C731" s="13"/>
    </row>
    <row r="732" spans="1:3" ht="13" x14ac:dyDescent="0.15">
      <c r="A732" s="10"/>
      <c r="B732" s="13"/>
      <c r="C732" s="13"/>
    </row>
    <row r="733" spans="1:3" ht="13" x14ac:dyDescent="0.15">
      <c r="A733" s="10"/>
      <c r="B733" s="13"/>
      <c r="C733" s="13"/>
    </row>
    <row r="734" spans="1:3" ht="13" x14ac:dyDescent="0.15">
      <c r="A734" s="10"/>
      <c r="B734" s="13"/>
      <c r="C734" s="13"/>
    </row>
    <row r="735" spans="1:3" ht="13" x14ac:dyDescent="0.15">
      <c r="A735" s="10"/>
      <c r="B735" s="13"/>
      <c r="C735" s="13"/>
    </row>
    <row r="736" spans="1:3" ht="13" x14ac:dyDescent="0.15">
      <c r="A736" s="10"/>
      <c r="B736" s="13"/>
      <c r="C736" s="13"/>
    </row>
    <row r="737" spans="1:3" ht="13" x14ac:dyDescent="0.15">
      <c r="A737" s="10"/>
      <c r="B737" s="13"/>
      <c r="C737" s="13"/>
    </row>
    <row r="738" spans="1:3" ht="13" x14ac:dyDescent="0.15">
      <c r="A738" s="10"/>
      <c r="B738" s="13"/>
      <c r="C738" s="13"/>
    </row>
    <row r="739" spans="1:3" ht="13" x14ac:dyDescent="0.15">
      <c r="A739" s="10"/>
      <c r="B739" s="13"/>
      <c r="C739" s="13"/>
    </row>
    <row r="740" spans="1:3" ht="13" x14ac:dyDescent="0.15">
      <c r="A740" s="10"/>
      <c r="B740" s="13"/>
      <c r="C740" s="13"/>
    </row>
    <row r="741" spans="1:3" ht="13" x14ac:dyDescent="0.15">
      <c r="A741" s="10"/>
      <c r="B741" s="13"/>
      <c r="C741" s="13"/>
    </row>
    <row r="742" spans="1:3" ht="13" x14ac:dyDescent="0.15">
      <c r="A742" s="10"/>
      <c r="B742" s="13"/>
      <c r="C742" s="13"/>
    </row>
    <row r="743" spans="1:3" ht="13" x14ac:dyDescent="0.15">
      <c r="A743" s="10"/>
      <c r="B743" s="13"/>
      <c r="C743" s="13"/>
    </row>
    <row r="744" spans="1:3" ht="13" x14ac:dyDescent="0.15">
      <c r="A744" s="10"/>
      <c r="B744" s="13"/>
      <c r="C744" s="13"/>
    </row>
    <row r="745" spans="1:3" ht="13" x14ac:dyDescent="0.15">
      <c r="A745" s="10"/>
      <c r="B745" s="13"/>
      <c r="C745" s="13"/>
    </row>
    <row r="746" spans="1:3" ht="13" x14ac:dyDescent="0.15">
      <c r="A746" s="10"/>
      <c r="B746" s="13"/>
      <c r="C746" s="13"/>
    </row>
    <row r="747" spans="1:3" ht="13" x14ac:dyDescent="0.15">
      <c r="A747" s="10"/>
      <c r="B747" s="13"/>
      <c r="C747" s="13"/>
    </row>
    <row r="748" spans="1:3" ht="13" x14ac:dyDescent="0.15">
      <c r="A748" s="10"/>
      <c r="B748" s="13"/>
      <c r="C748" s="13"/>
    </row>
    <row r="749" spans="1:3" ht="13" x14ac:dyDescent="0.15">
      <c r="A749" s="10"/>
      <c r="B749" s="13"/>
      <c r="C749" s="13"/>
    </row>
    <row r="750" spans="1:3" ht="13" x14ac:dyDescent="0.15">
      <c r="A750" s="10"/>
      <c r="B750" s="13"/>
      <c r="C750" s="13"/>
    </row>
    <row r="751" spans="1:3" ht="13" x14ac:dyDescent="0.15">
      <c r="A751" s="10"/>
      <c r="B751" s="13"/>
      <c r="C751" s="13"/>
    </row>
    <row r="752" spans="1:3" ht="13" x14ac:dyDescent="0.15">
      <c r="A752" s="10"/>
      <c r="B752" s="13"/>
      <c r="C752" s="13"/>
    </row>
    <row r="753" spans="1:3" ht="13" x14ac:dyDescent="0.15">
      <c r="A753" s="10"/>
      <c r="B753" s="13"/>
      <c r="C753" s="13"/>
    </row>
    <row r="754" spans="1:3" ht="13" x14ac:dyDescent="0.15">
      <c r="A754" s="10"/>
      <c r="B754" s="13"/>
      <c r="C754" s="13"/>
    </row>
    <row r="755" spans="1:3" ht="13" x14ac:dyDescent="0.15">
      <c r="A755" s="10"/>
      <c r="B755" s="13"/>
      <c r="C755" s="13"/>
    </row>
    <row r="756" spans="1:3" ht="13" x14ac:dyDescent="0.15">
      <c r="A756" s="10"/>
      <c r="B756" s="13"/>
      <c r="C756" s="13"/>
    </row>
    <row r="757" spans="1:3" ht="13" x14ac:dyDescent="0.15">
      <c r="A757" s="10"/>
      <c r="B757" s="13"/>
      <c r="C757" s="13"/>
    </row>
    <row r="758" spans="1:3" ht="13" x14ac:dyDescent="0.15">
      <c r="A758" s="10"/>
      <c r="B758" s="13"/>
      <c r="C758" s="13"/>
    </row>
    <row r="759" spans="1:3" ht="13" x14ac:dyDescent="0.15">
      <c r="A759" s="10"/>
      <c r="B759" s="13"/>
      <c r="C759" s="13"/>
    </row>
    <row r="760" spans="1:3" ht="13" x14ac:dyDescent="0.15">
      <c r="A760" s="10"/>
      <c r="B760" s="13"/>
      <c r="C760" s="13"/>
    </row>
    <row r="761" spans="1:3" ht="13" x14ac:dyDescent="0.15">
      <c r="A761" s="10"/>
      <c r="B761" s="13"/>
      <c r="C761" s="13"/>
    </row>
    <row r="762" spans="1:3" ht="13" x14ac:dyDescent="0.15">
      <c r="A762" s="10"/>
      <c r="B762" s="13"/>
      <c r="C762" s="13"/>
    </row>
    <row r="763" spans="1:3" ht="13" x14ac:dyDescent="0.15">
      <c r="A763" s="10"/>
      <c r="B763" s="13"/>
      <c r="C763" s="13"/>
    </row>
    <row r="764" spans="1:3" ht="13" x14ac:dyDescent="0.15">
      <c r="A764" s="10"/>
      <c r="B764" s="13"/>
      <c r="C764" s="13"/>
    </row>
    <row r="765" spans="1:3" ht="13" x14ac:dyDescent="0.15">
      <c r="A765" s="10"/>
      <c r="B765" s="13"/>
      <c r="C765" s="13"/>
    </row>
    <row r="766" spans="1:3" ht="13" x14ac:dyDescent="0.15">
      <c r="A766" s="10"/>
      <c r="B766" s="13"/>
      <c r="C766" s="13"/>
    </row>
    <row r="767" spans="1:3" ht="13" x14ac:dyDescent="0.15">
      <c r="A767" s="10"/>
      <c r="B767" s="13"/>
      <c r="C767" s="13"/>
    </row>
    <row r="768" spans="1:3" ht="13" x14ac:dyDescent="0.15">
      <c r="A768" s="10"/>
      <c r="B768" s="13"/>
      <c r="C768" s="13"/>
    </row>
    <row r="769" spans="1:3" ht="13" x14ac:dyDescent="0.15">
      <c r="A769" s="10"/>
      <c r="B769" s="13"/>
      <c r="C769" s="13"/>
    </row>
    <row r="770" spans="1:3" ht="13" x14ac:dyDescent="0.15">
      <c r="A770" s="10"/>
      <c r="B770" s="13"/>
      <c r="C770" s="13"/>
    </row>
    <row r="771" spans="1:3" ht="13" x14ac:dyDescent="0.15">
      <c r="A771" s="10"/>
      <c r="B771" s="13"/>
      <c r="C771" s="13"/>
    </row>
    <row r="772" spans="1:3" ht="13" x14ac:dyDescent="0.15">
      <c r="A772" s="10"/>
      <c r="B772" s="13"/>
      <c r="C772" s="13"/>
    </row>
    <row r="773" spans="1:3" ht="13" x14ac:dyDescent="0.15">
      <c r="A773" s="10"/>
      <c r="B773" s="13"/>
      <c r="C773" s="13"/>
    </row>
    <row r="774" spans="1:3" ht="13" x14ac:dyDescent="0.15">
      <c r="A774" s="10"/>
      <c r="B774" s="13"/>
      <c r="C774" s="13"/>
    </row>
    <row r="775" spans="1:3" ht="13" x14ac:dyDescent="0.15">
      <c r="A775" s="10"/>
      <c r="B775" s="13"/>
      <c r="C775" s="13"/>
    </row>
    <row r="776" spans="1:3" ht="13" x14ac:dyDescent="0.15">
      <c r="A776" s="10"/>
      <c r="B776" s="13"/>
      <c r="C776" s="13"/>
    </row>
    <row r="777" spans="1:3" ht="13" x14ac:dyDescent="0.15">
      <c r="A777" s="10"/>
      <c r="B777" s="13"/>
      <c r="C777" s="13"/>
    </row>
    <row r="778" spans="1:3" ht="13" x14ac:dyDescent="0.15">
      <c r="A778" s="10"/>
      <c r="B778" s="13"/>
      <c r="C778" s="13"/>
    </row>
    <row r="779" spans="1:3" ht="13" x14ac:dyDescent="0.15">
      <c r="A779" s="10"/>
      <c r="B779" s="13"/>
      <c r="C779" s="13"/>
    </row>
    <row r="780" spans="1:3" ht="13" x14ac:dyDescent="0.15">
      <c r="A780" s="10"/>
      <c r="B780" s="13"/>
      <c r="C780" s="13"/>
    </row>
    <row r="781" spans="1:3" ht="13" x14ac:dyDescent="0.15">
      <c r="A781" s="10"/>
      <c r="B781" s="13"/>
      <c r="C781" s="13"/>
    </row>
    <row r="782" spans="1:3" ht="13" x14ac:dyDescent="0.15">
      <c r="A782" s="10"/>
      <c r="B782" s="13"/>
      <c r="C782" s="13"/>
    </row>
    <row r="783" spans="1:3" ht="13" x14ac:dyDescent="0.15">
      <c r="A783" s="10"/>
      <c r="B783" s="13"/>
      <c r="C783" s="13"/>
    </row>
    <row r="784" spans="1:3" ht="13" x14ac:dyDescent="0.15">
      <c r="A784" s="10"/>
      <c r="B784" s="13"/>
      <c r="C784" s="13"/>
    </row>
    <row r="785" spans="1:3" ht="13" x14ac:dyDescent="0.15">
      <c r="A785" s="10"/>
      <c r="B785" s="13"/>
      <c r="C785" s="13"/>
    </row>
    <row r="786" spans="1:3" ht="13" x14ac:dyDescent="0.15">
      <c r="A786" s="10"/>
      <c r="B786" s="13"/>
      <c r="C786" s="13"/>
    </row>
    <row r="787" spans="1:3" ht="13" x14ac:dyDescent="0.15">
      <c r="A787" s="10"/>
      <c r="B787" s="13"/>
      <c r="C787" s="13"/>
    </row>
    <row r="788" spans="1:3" ht="13" x14ac:dyDescent="0.15">
      <c r="A788" s="10"/>
      <c r="B788" s="13"/>
      <c r="C788" s="13"/>
    </row>
    <row r="789" spans="1:3" ht="13" x14ac:dyDescent="0.15">
      <c r="A789" s="10"/>
      <c r="B789" s="13"/>
      <c r="C789" s="13"/>
    </row>
    <row r="790" spans="1:3" ht="13" x14ac:dyDescent="0.15">
      <c r="A790" s="10"/>
      <c r="B790" s="13"/>
      <c r="C790" s="13"/>
    </row>
    <row r="791" spans="1:3" ht="13" x14ac:dyDescent="0.15">
      <c r="A791" s="10"/>
      <c r="B791" s="13"/>
      <c r="C791" s="13"/>
    </row>
    <row r="792" spans="1:3" ht="13" x14ac:dyDescent="0.15">
      <c r="A792" s="10"/>
      <c r="B792" s="13"/>
      <c r="C792" s="13"/>
    </row>
    <row r="793" spans="1:3" ht="13" x14ac:dyDescent="0.15">
      <c r="A793" s="10"/>
      <c r="B793" s="13"/>
      <c r="C793" s="13"/>
    </row>
    <row r="794" spans="1:3" ht="13" x14ac:dyDescent="0.15">
      <c r="A794" s="10"/>
      <c r="B794" s="13"/>
      <c r="C794" s="13"/>
    </row>
    <row r="795" spans="1:3" ht="13" x14ac:dyDescent="0.15">
      <c r="A795" s="10"/>
      <c r="B795" s="13"/>
      <c r="C795" s="13"/>
    </row>
    <row r="796" spans="1:3" ht="13" x14ac:dyDescent="0.15">
      <c r="A796" s="10"/>
      <c r="B796" s="13"/>
      <c r="C796" s="13"/>
    </row>
    <row r="797" spans="1:3" ht="13" x14ac:dyDescent="0.15">
      <c r="A797" s="10"/>
      <c r="B797" s="13"/>
      <c r="C797" s="13"/>
    </row>
    <row r="798" spans="1:3" ht="13" x14ac:dyDescent="0.15">
      <c r="A798" s="10"/>
      <c r="B798" s="13"/>
      <c r="C798" s="13"/>
    </row>
    <row r="799" spans="1:3" ht="13" x14ac:dyDescent="0.15">
      <c r="A799" s="10"/>
      <c r="B799" s="13"/>
      <c r="C799" s="13"/>
    </row>
    <row r="800" spans="1:3" ht="13" x14ac:dyDescent="0.15">
      <c r="A800" s="10"/>
      <c r="B800" s="13"/>
      <c r="C800" s="13"/>
    </row>
    <row r="801" spans="1:3" ht="13" x14ac:dyDescent="0.15">
      <c r="A801" s="10"/>
      <c r="B801" s="13"/>
      <c r="C801" s="13"/>
    </row>
    <row r="802" spans="1:3" ht="13" x14ac:dyDescent="0.15">
      <c r="A802" s="10"/>
      <c r="B802" s="13"/>
      <c r="C802" s="13"/>
    </row>
    <row r="803" spans="1:3" ht="13" x14ac:dyDescent="0.15">
      <c r="A803" s="10"/>
      <c r="B803" s="13"/>
      <c r="C803" s="13"/>
    </row>
    <row r="804" spans="1:3" ht="13" x14ac:dyDescent="0.15">
      <c r="A804" s="10"/>
      <c r="B804" s="13"/>
      <c r="C804" s="13"/>
    </row>
    <row r="805" spans="1:3" ht="13" x14ac:dyDescent="0.15">
      <c r="A805" s="10"/>
      <c r="B805" s="13"/>
      <c r="C805" s="13"/>
    </row>
    <row r="806" spans="1:3" ht="13" x14ac:dyDescent="0.15">
      <c r="A806" s="10"/>
      <c r="B806" s="13"/>
      <c r="C806" s="13"/>
    </row>
    <row r="807" spans="1:3" ht="13" x14ac:dyDescent="0.15">
      <c r="A807" s="10"/>
      <c r="B807" s="13"/>
      <c r="C807" s="13"/>
    </row>
    <row r="808" spans="1:3" ht="13" x14ac:dyDescent="0.15">
      <c r="A808" s="10"/>
      <c r="B808" s="13"/>
      <c r="C808" s="13"/>
    </row>
    <row r="809" spans="1:3" ht="13" x14ac:dyDescent="0.15">
      <c r="A809" s="10"/>
      <c r="B809" s="13"/>
      <c r="C809" s="13"/>
    </row>
    <row r="810" spans="1:3" ht="13" x14ac:dyDescent="0.15">
      <c r="A810" s="10"/>
      <c r="B810" s="13"/>
      <c r="C810" s="13"/>
    </row>
    <row r="811" spans="1:3" ht="13" x14ac:dyDescent="0.15">
      <c r="A811" s="10"/>
      <c r="B811" s="13"/>
      <c r="C811" s="13"/>
    </row>
    <row r="812" spans="1:3" ht="13" x14ac:dyDescent="0.15">
      <c r="A812" s="10"/>
      <c r="B812" s="13"/>
      <c r="C812" s="13"/>
    </row>
    <row r="813" spans="1:3" ht="13" x14ac:dyDescent="0.15">
      <c r="A813" s="10"/>
      <c r="B813" s="13"/>
      <c r="C813" s="13"/>
    </row>
    <row r="814" spans="1:3" ht="13" x14ac:dyDescent="0.15">
      <c r="A814" s="10"/>
      <c r="B814" s="13"/>
      <c r="C814" s="13"/>
    </row>
    <row r="815" spans="1:3" ht="13" x14ac:dyDescent="0.15">
      <c r="A815" s="10"/>
      <c r="B815" s="13"/>
      <c r="C815" s="13"/>
    </row>
    <row r="816" spans="1:3" ht="13" x14ac:dyDescent="0.15">
      <c r="A816" s="10"/>
      <c r="B816" s="13"/>
      <c r="C816" s="13"/>
    </row>
    <row r="817" spans="1:3" ht="13" x14ac:dyDescent="0.15">
      <c r="A817" s="10"/>
      <c r="B817" s="13"/>
      <c r="C817" s="13"/>
    </row>
    <row r="818" spans="1:3" ht="13" x14ac:dyDescent="0.15">
      <c r="A818" s="10"/>
      <c r="B818" s="13"/>
      <c r="C818" s="13"/>
    </row>
    <row r="819" spans="1:3" ht="13" x14ac:dyDescent="0.15">
      <c r="A819" s="10"/>
      <c r="B819" s="13"/>
      <c r="C819" s="13"/>
    </row>
    <row r="820" spans="1:3" ht="13" x14ac:dyDescent="0.15">
      <c r="A820" s="10"/>
      <c r="B820" s="13"/>
      <c r="C820" s="13"/>
    </row>
    <row r="821" spans="1:3" ht="13" x14ac:dyDescent="0.15">
      <c r="A821" s="10"/>
      <c r="B821" s="13"/>
      <c r="C821" s="13"/>
    </row>
    <row r="822" spans="1:3" ht="13" x14ac:dyDescent="0.15">
      <c r="A822" s="10"/>
      <c r="B822" s="13"/>
      <c r="C822" s="13"/>
    </row>
    <row r="823" spans="1:3" ht="13" x14ac:dyDescent="0.15">
      <c r="A823" s="10"/>
      <c r="B823" s="13"/>
      <c r="C823" s="13"/>
    </row>
    <row r="824" spans="1:3" ht="13" x14ac:dyDescent="0.15">
      <c r="A824" s="10"/>
      <c r="B824" s="13"/>
      <c r="C824" s="13"/>
    </row>
    <row r="825" spans="1:3" ht="13" x14ac:dyDescent="0.15">
      <c r="A825" s="10"/>
      <c r="B825" s="13"/>
      <c r="C825" s="13"/>
    </row>
    <row r="826" spans="1:3" ht="13" x14ac:dyDescent="0.15">
      <c r="A826" s="10"/>
      <c r="B826" s="13"/>
      <c r="C826" s="13"/>
    </row>
    <row r="827" spans="1:3" ht="13" x14ac:dyDescent="0.15">
      <c r="A827" s="10"/>
      <c r="B827" s="13"/>
      <c r="C827" s="13"/>
    </row>
    <row r="828" spans="1:3" ht="13" x14ac:dyDescent="0.15">
      <c r="A828" s="10"/>
      <c r="B828" s="13"/>
      <c r="C828" s="13"/>
    </row>
    <row r="829" spans="1:3" ht="13" x14ac:dyDescent="0.15">
      <c r="A829" s="10"/>
      <c r="B829" s="13"/>
      <c r="C829" s="13"/>
    </row>
    <row r="830" spans="1:3" ht="13" x14ac:dyDescent="0.15">
      <c r="A830" s="10"/>
      <c r="B830" s="13"/>
      <c r="C830" s="13"/>
    </row>
    <row r="831" spans="1:3" ht="13" x14ac:dyDescent="0.15">
      <c r="A831" s="10"/>
      <c r="B831" s="13"/>
      <c r="C831" s="13"/>
    </row>
    <row r="832" spans="1:3" ht="13" x14ac:dyDescent="0.15">
      <c r="A832" s="10"/>
      <c r="B832" s="13"/>
      <c r="C832" s="13"/>
    </row>
    <row r="833" spans="1:3" ht="13" x14ac:dyDescent="0.15">
      <c r="A833" s="10"/>
      <c r="B833" s="13"/>
      <c r="C833" s="13"/>
    </row>
    <row r="834" spans="1:3" ht="13" x14ac:dyDescent="0.15">
      <c r="A834" s="10"/>
      <c r="B834" s="13"/>
      <c r="C834" s="13"/>
    </row>
    <row r="835" spans="1:3" ht="13" x14ac:dyDescent="0.15">
      <c r="A835" s="10"/>
      <c r="B835" s="13"/>
      <c r="C835" s="13"/>
    </row>
    <row r="836" spans="1:3" ht="13" x14ac:dyDescent="0.15">
      <c r="A836" s="10"/>
      <c r="B836" s="13"/>
      <c r="C836" s="13"/>
    </row>
    <row r="837" spans="1:3" ht="13" x14ac:dyDescent="0.15">
      <c r="A837" s="10"/>
      <c r="B837" s="13"/>
      <c r="C837" s="13"/>
    </row>
    <row r="838" spans="1:3" ht="13" x14ac:dyDescent="0.15">
      <c r="A838" s="10"/>
      <c r="B838" s="13"/>
      <c r="C838" s="13"/>
    </row>
    <row r="839" spans="1:3" ht="13" x14ac:dyDescent="0.15">
      <c r="A839" s="10"/>
      <c r="B839" s="13"/>
      <c r="C839" s="13"/>
    </row>
    <row r="840" spans="1:3" ht="13" x14ac:dyDescent="0.15">
      <c r="A840" s="10"/>
      <c r="B840" s="13"/>
      <c r="C840" s="13"/>
    </row>
    <row r="841" spans="1:3" ht="13" x14ac:dyDescent="0.15">
      <c r="A841" s="10"/>
      <c r="B841" s="13"/>
      <c r="C841" s="13"/>
    </row>
    <row r="842" spans="1:3" ht="13" x14ac:dyDescent="0.15">
      <c r="A842" s="10"/>
      <c r="B842" s="13"/>
      <c r="C842" s="13"/>
    </row>
    <row r="843" spans="1:3" ht="13" x14ac:dyDescent="0.15">
      <c r="A843" s="10"/>
      <c r="B843" s="13"/>
      <c r="C843" s="13"/>
    </row>
    <row r="844" spans="1:3" ht="13" x14ac:dyDescent="0.15">
      <c r="A844" s="10"/>
      <c r="B844" s="13"/>
      <c r="C844" s="13"/>
    </row>
    <row r="845" spans="1:3" ht="13" x14ac:dyDescent="0.15">
      <c r="A845" s="10"/>
      <c r="B845" s="13"/>
      <c r="C845" s="13"/>
    </row>
    <row r="846" spans="1:3" ht="13" x14ac:dyDescent="0.15">
      <c r="A846" s="10"/>
      <c r="B846" s="13"/>
      <c r="C846" s="13"/>
    </row>
    <row r="847" spans="1:3" ht="13" x14ac:dyDescent="0.15">
      <c r="A847" s="10"/>
      <c r="B847" s="13"/>
      <c r="C847" s="13"/>
    </row>
    <row r="848" spans="1:3" ht="13" x14ac:dyDescent="0.15">
      <c r="A848" s="10"/>
      <c r="B848" s="13"/>
      <c r="C848" s="13"/>
    </row>
    <row r="849" spans="1:3" ht="13" x14ac:dyDescent="0.15">
      <c r="A849" s="10"/>
      <c r="B849" s="13"/>
      <c r="C849" s="13"/>
    </row>
    <row r="850" spans="1:3" ht="13" x14ac:dyDescent="0.15">
      <c r="A850" s="10"/>
      <c r="B850" s="13"/>
      <c r="C850" s="13"/>
    </row>
    <row r="851" spans="1:3" ht="13" x14ac:dyDescent="0.15">
      <c r="A851" s="10"/>
      <c r="B851" s="13"/>
      <c r="C851" s="13"/>
    </row>
    <row r="852" spans="1:3" ht="13" x14ac:dyDescent="0.15">
      <c r="A852" s="10"/>
      <c r="B852" s="13"/>
      <c r="C852" s="13"/>
    </row>
    <row r="853" spans="1:3" ht="13" x14ac:dyDescent="0.15">
      <c r="A853" s="10"/>
      <c r="B853" s="13"/>
      <c r="C853" s="13"/>
    </row>
    <row r="854" spans="1:3" ht="13" x14ac:dyDescent="0.15">
      <c r="A854" s="10"/>
      <c r="B854" s="13"/>
      <c r="C854" s="13"/>
    </row>
    <row r="855" spans="1:3" ht="13" x14ac:dyDescent="0.15">
      <c r="A855" s="10"/>
      <c r="B855" s="13"/>
      <c r="C855" s="13"/>
    </row>
    <row r="856" spans="1:3" ht="13" x14ac:dyDescent="0.15">
      <c r="A856" s="10"/>
      <c r="B856" s="13"/>
      <c r="C856" s="13"/>
    </row>
    <row r="857" spans="1:3" ht="13" x14ac:dyDescent="0.15">
      <c r="A857" s="10"/>
      <c r="B857" s="13"/>
      <c r="C857" s="13"/>
    </row>
    <row r="858" spans="1:3" ht="13" x14ac:dyDescent="0.15">
      <c r="A858" s="10"/>
      <c r="B858" s="13"/>
      <c r="C858" s="13"/>
    </row>
    <row r="859" spans="1:3" ht="13" x14ac:dyDescent="0.15">
      <c r="A859" s="10"/>
      <c r="B859" s="13"/>
      <c r="C859" s="13"/>
    </row>
    <row r="860" spans="1:3" ht="13" x14ac:dyDescent="0.15">
      <c r="A860" s="10"/>
      <c r="B860" s="13"/>
      <c r="C860" s="13"/>
    </row>
    <row r="861" spans="1:3" ht="13" x14ac:dyDescent="0.15">
      <c r="A861" s="10"/>
      <c r="B861" s="13"/>
      <c r="C861" s="13"/>
    </row>
    <row r="862" spans="1:3" ht="13" x14ac:dyDescent="0.15">
      <c r="A862" s="10"/>
      <c r="B862" s="13"/>
      <c r="C862" s="13"/>
    </row>
    <row r="863" spans="1:3" ht="13" x14ac:dyDescent="0.15">
      <c r="A863" s="10"/>
      <c r="B863" s="13"/>
      <c r="C863" s="13"/>
    </row>
    <row r="864" spans="1:3" ht="13" x14ac:dyDescent="0.15">
      <c r="A864" s="10"/>
      <c r="B864" s="13"/>
      <c r="C864" s="13"/>
    </row>
    <row r="865" spans="1:3" ht="13" x14ac:dyDescent="0.15">
      <c r="A865" s="10"/>
      <c r="B865" s="13"/>
      <c r="C865" s="13"/>
    </row>
    <row r="866" spans="1:3" ht="13" x14ac:dyDescent="0.15">
      <c r="A866" s="10"/>
      <c r="B866" s="13"/>
      <c r="C866" s="13"/>
    </row>
    <row r="867" spans="1:3" ht="13" x14ac:dyDescent="0.15">
      <c r="A867" s="10"/>
      <c r="B867" s="13"/>
      <c r="C867" s="13"/>
    </row>
    <row r="868" spans="1:3" ht="13" x14ac:dyDescent="0.15">
      <c r="A868" s="10"/>
      <c r="B868" s="13"/>
      <c r="C868" s="13"/>
    </row>
    <row r="869" spans="1:3" ht="13" x14ac:dyDescent="0.15">
      <c r="A869" s="10"/>
      <c r="B869" s="13"/>
      <c r="C869" s="13"/>
    </row>
    <row r="870" spans="1:3" ht="13" x14ac:dyDescent="0.15">
      <c r="A870" s="10"/>
      <c r="B870" s="13"/>
      <c r="C870" s="13"/>
    </row>
    <row r="871" spans="1:3" ht="13" x14ac:dyDescent="0.15">
      <c r="A871" s="10"/>
      <c r="B871" s="13"/>
      <c r="C871" s="13"/>
    </row>
    <row r="872" spans="1:3" ht="13" x14ac:dyDescent="0.15">
      <c r="A872" s="10"/>
      <c r="B872" s="13"/>
      <c r="C872" s="13"/>
    </row>
    <row r="873" spans="1:3" ht="13" x14ac:dyDescent="0.15">
      <c r="A873" s="10"/>
      <c r="B873" s="13"/>
      <c r="C873" s="13"/>
    </row>
    <row r="874" spans="1:3" ht="13" x14ac:dyDescent="0.15">
      <c r="A874" s="10"/>
      <c r="B874" s="13"/>
      <c r="C874" s="13"/>
    </row>
    <row r="875" spans="1:3" ht="13" x14ac:dyDescent="0.15">
      <c r="A875" s="10"/>
      <c r="B875" s="13"/>
      <c r="C875" s="13"/>
    </row>
    <row r="876" spans="1:3" ht="13" x14ac:dyDescent="0.15">
      <c r="A876" s="10"/>
      <c r="B876" s="13"/>
      <c r="C876" s="13"/>
    </row>
    <row r="877" spans="1:3" ht="13" x14ac:dyDescent="0.15">
      <c r="A877" s="10"/>
      <c r="B877" s="13"/>
      <c r="C877" s="13"/>
    </row>
    <row r="878" spans="1:3" ht="13" x14ac:dyDescent="0.15">
      <c r="A878" s="10"/>
      <c r="B878" s="13"/>
      <c r="C878" s="13"/>
    </row>
    <row r="879" spans="1:3" ht="13" x14ac:dyDescent="0.15">
      <c r="A879" s="10"/>
      <c r="B879" s="13"/>
      <c r="C879" s="13"/>
    </row>
    <row r="880" spans="1:3" ht="13" x14ac:dyDescent="0.15">
      <c r="A880" s="10"/>
      <c r="B880" s="13"/>
      <c r="C880" s="13"/>
    </row>
    <row r="881" spans="1:3" ht="13" x14ac:dyDescent="0.15">
      <c r="A881" s="10"/>
      <c r="B881" s="13"/>
      <c r="C881" s="13"/>
    </row>
    <row r="882" spans="1:3" ht="13" x14ac:dyDescent="0.15">
      <c r="A882" s="10"/>
      <c r="B882" s="13"/>
      <c r="C882" s="13"/>
    </row>
    <row r="883" spans="1:3" ht="13" x14ac:dyDescent="0.15">
      <c r="A883" s="10"/>
      <c r="B883" s="13"/>
      <c r="C883" s="13"/>
    </row>
    <row r="884" spans="1:3" ht="13" x14ac:dyDescent="0.15">
      <c r="A884" s="10"/>
      <c r="B884" s="13"/>
      <c r="C884" s="13"/>
    </row>
    <row r="885" spans="1:3" ht="13" x14ac:dyDescent="0.15">
      <c r="A885" s="10"/>
      <c r="B885" s="13"/>
      <c r="C885" s="13"/>
    </row>
    <row r="886" spans="1:3" ht="13" x14ac:dyDescent="0.15">
      <c r="A886" s="10"/>
      <c r="B886" s="13"/>
      <c r="C886" s="13"/>
    </row>
    <row r="887" spans="1:3" ht="13" x14ac:dyDescent="0.15">
      <c r="A887" s="10"/>
      <c r="B887" s="13"/>
      <c r="C887" s="13"/>
    </row>
    <row r="888" spans="1:3" ht="13" x14ac:dyDescent="0.15">
      <c r="A888" s="10"/>
      <c r="B888" s="13"/>
      <c r="C888" s="13"/>
    </row>
    <row r="889" spans="1:3" ht="13" x14ac:dyDescent="0.15">
      <c r="A889" s="10"/>
      <c r="B889" s="13"/>
      <c r="C889" s="13"/>
    </row>
    <row r="890" spans="1:3" ht="13" x14ac:dyDescent="0.15">
      <c r="A890" s="10"/>
      <c r="B890" s="13"/>
      <c r="C890" s="13"/>
    </row>
    <row r="891" spans="1:3" ht="13" x14ac:dyDescent="0.15">
      <c r="A891" s="10"/>
      <c r="B891" s="13"/>
      <c r="C891" s="13"/>
    </row>
    <row r="892" spans="1:3" ht="13" x14ac:dyDescent="0.15">
      <c r="A892" s="10"/>
      <c r="B892" s="13"/>
      <c r="C892" s="13"/>
    </row>
    <row r="893" spans="1:3" ht="13" x14ac:dyDescent="0.15">
      <c r="A893" s="10"/>
      <c r="B893" s="13"/>
      <c r="C893" s="13"/>
    </row>
    <row r="894" spans="1:3" ht="13" x14ac:dyDescent="0.15">
      <c r="A894" s="10"/>
      <c r="B894" s="13"/>
      <c r="C894" s="13"/>
    </row>
    <row r="895" spans="1:3" ht="13" x14ac:dyDescent="0.15">
      <c r="A895" s="10"/>
      <c r="B895" s="13"/>
      <c r="C895" s="13"/>
    </row>
    <row r="896" spans="1:3" ht="13" x14ac:dyDescent="0.15">
      <c r="A896" s="10"/>
      <c r="B896" s="13"/>
      <c r="C896" s="13"/>
    </row>
    <row r="897" spans="1:3" ht="13" x14ac:dyDescent="0.15">
      <c r="A897" s="10"/>
      <c r="B897" s="13"/>
      <c r="C897" s="13"/>
    </row>
    <row r="898" spans="1:3" ht="13" x14ac:dyDescent="0.15">
      <c r="A898" s="10"/>
      <c r="B898" s="13"/>
      <c r="C898" s="13"/>
    </row>
    <row r="899" spans="1:3" ht="13" x14ac:dyDescent="0.15">
      <c r="A899" s="10"/>
      <c r="B899" s="13"/>
      <c r="C899" s="13"/>
    </row>
    <row r="900" spans="1:3" ht="13" x14ac:dyDescent="0.15">
      <c r="A900" s="10"/>
      <c r="B900" s="13"/>
      <c r="C900" s="13"/>
    </row>
    <row r="901" spans="1:3" ht="13" x14ac:dyDescent="0.15">
      <c r="A901" s="10"/>
      <c r="B901" s="13"/>
      <c r="C901" s="13"/>
    </row>
    <row r="902" spans="1:3" ht="13" x14ac:dyDescent="0.15">
      <c r="A902" s="10"/>
      <c r="B902" s="13"/>
      <c r="C902" s="13"/>
    </row>
    <row r="903" spans="1:3" ht="13" x14ac:dyDescent="0.15">
      <c r="A903" s="10"/>
      <c r="B903" s="13"/>
      <c r="C903" s="13"/>
    </row>
    <row r="904" spans="1:3" ht="13" x14ac:dyDescent="0.15">
      <c r="A904" s="10"/>
      <c r="B904" s="13"/>
      <c r="C904" s="13"/>
    </row>
    <row r="905" spans="1:3" ht="13" x14ac:dyDescent="0.15">
      <c r="A905" s="10"/>
      <c r="B905" s="13"/>
      <c r="C905" s="13"/>
    </row>
    <row r="906" spans="1:3" ht="13" x14ac:dyDescent="0.15">
      <c r="A906" s="10"/>
      <c r="B906" s="13"/>
      <c r="C906" s="13"/>
    </row>
    <row r="907" spans="1:3" ht="13" x14ac:dyDescent="0.15">
      <c r="A907" s="10"/>
      <c r="B907" s="13"/>
      <c r="C907" s="13"/>
    </row>
    <row r="908" spans="1:3" ht="13" x14ac:dyDescent="0.15">
      <c r="A908" s="10"/>
      <c r="B908" s="13"/>
      <c r="C908" s="13"/>
    </row>
    <row r="909" spans="1:3" ht="13" x14ac:dyDescent="0.15">
      <c r="A909" s="10"/>
      <c r="B909" s="13"/>
      <c r="C909" s="13"/>
    </row>
    <row r="910" spans="1:3" ht="13" x14ac:dyDescent="0.15">
      <c r="A910" s="10"/>
      <c r="B910" s="13"/>
      <c r="C910" s="13"/>
    </row>
    <row r="911" spans="1:3" ht="13" x14ac:dyDescent="0.15">
      <c r="A911" s="10"/>
      <c r="B911" s="13"/>
      <c r="C911" s="13"/>
    </row>
    <row r="912" spans="1:3" ht="13" x14ac:dyDescent="0.15">
      <c r="A912" s="10"/>
      <c r="B912" s="13"/>
      <c r="C912" s="13"/>
    </row>
    <row r="913" spans="1:3" ht="13" x14ac:dyDescent="0.15">
      <c r="A913" s="10"/>
      <c r="B913" s="13"/>
      <c r="C913" s="13"/>
    </row>
    <row r="914" spans="1:3" ht="13" x14ac:dyDescent="0.15">
      <c r="A914" s="10"/>
      <c r="B914" s="13"/>
      <c r="C914" s="13"/>
    </row>
    <row r="915" spans="1:3" ht="13" x14ac:dyDescent="0.15">
      <c r="A915" s="10"/>
      <c r="B915" s="13"/>
      <c r="C915" s="13"/>
    </row>
    <row r="916" spans="1:3" ht="13" x14ac:dyDescent="0.15">
      <c r="A916" s="10"/>
      <c r="B916" s="13"/>
      <c r="C916" s="13"/>
    </row>
    <row r="917" spans="1:3" ht="13" x14ac:dyDescent="0.15">
      <c r="A917" s="10"/>
      <c r="B917" s="13"/>
      <c r="C917" s="13"/>
    </row>
    <row r="918" spans="1:3" ht="13" x14ac:dyDescent="0.15">
      <c r="A918" s="10"/>
      <c r="B918" s="13"/>
      <c r="C918" s="13"/>
    </row>
    <row r="919" spans="1:3" ht="13" x14ac:dyDescent="0.15">
      <c r="A919" s="10"/>
      <c r="B919" s="13"/>
      <c r="C919" s="13"/>
    </row>
    <row r="920" spans="1:3" ht="13" x14ac:dyDescent="0.15">
      <c r="A920" s="10"/>
      <c r="B920" s="13"/>
      <c r="C920" s="13"/>
    </row>
    <row r="921" spans="1:3" ht="13" x14ac:dyDescent="0.15">
      <c r="A921" s="10"/>
      <c r="B921" s="13"/>
      <c r="C921" s="13"/>
    </row>
    <row r="922" spans="1:3" ht="13" x14ac:dyDescent="0.15">
      <c r="A922" s="10"/>
      <c r="B922" s="13"/>
      <c r="C922" s="13"/>
    </row>
    <row r="923" spans="1:3" ht="13" x14ac:dyDescent="0.15">
      <c r="A923" s="10"/>
      <c r="B923" s="13"/>
      <c r="C923" s="13"/>
    </row>
    <row r="924" spans="1:3" ht="13" x14ac:dyDescent="0.15">
      <c r="A924" s="10"/>
      <c r="B924" s="13"/>
      <c r="C924" s="13"/>
    </row>
    <row r="925" spans="1:3" ht="13" x14ac:dyDescent="0.15">
      <c r="A925" s="10"/>
      <c r="B925" s="13"/>
      <c r="C925" s="13"/>
    </row>
    <row r="926" spans="1:3" ht="13" x14ac:dyDescent="0.15">
      <c r="A926" s="10"/>
      <c r="B926" s="13"/>
      <c r="C926" s="13"/>
    </row>
    <row r="927" spans="1:3" ht="13" x14ac:dyDescent="0.15">
      <c r="A927" s="10"/>
      <c r="B927" s="13"/>
      <c r="C927" s="13"/>
    </row>
    <row r="928" spans="1:3" ht="13" x14ac:dyDescent="0.15">
      <c r="A928" s="10"/>
      <c r="B928" s="13"/>
      <c r="C928" s="13"/>
    </row>
    <row r="929" spans="1:3" ht="13" x14ac:dyDescent="0.15">
      <c r="A929" s="10"/>
      <c r="B929" s="13"/>
      <c r="C929" s="13"/>
    </row>
    <row r="930" spans="1:3" ht="13" x14ac:dyDescent="0.15">
      <c r="A930" s="10"/>
      <c r="B930" s="13"/>
      <c r="C930" s="13"/>
    </row>
    <row r="931" spans="1:3" ht="13" x14ac:dyDescent="0.15">
      <c r="A931" s="10"/>
      <c r="B931" s="13"/>
      <c r="C931" s="13"/>
    </row>
    <row r="932" spans="1:3" ht="13" x14ac:dyDescent="0.15">
      <c r="A932" s="10"/>
      <c r="B932" s="13"/>
      <c r="C932" s="13"/>
    </row>
    <row r="933" spans="1:3" ht="13" x14ac:dyDescent="0.15">
      <c r="A933" s="10"/>
      <c r="B933" s="13"/>
      <c r="C933" s="13"/>
    </row>
    <row r="934" spans="1:3" ht="13" x14ac:dyDescent="0.15">
      <c r="A934" s="10"/>
      <c r="B934" s="13"/>
      <c r="C934" s="13"/>
    </row>
    <row r="935" spans="1:3" ht="13" x14ac:dyDescent="0.15">
      <c r="A935" s="10"/>
      <c r="B935" s="13"/>
      <c r="C935" s="13"/>
    </row>
    <row r="936" spans="1:3" ht="13" x14ac:dyDescent="0.15">
      <c r="A936" s="10"/>
      <c r="B936" s="13"/>
      <c r="C936" s="13"/>
    </row>
    <row r="937" spans="1:3" ht="13" x14ac:dyDescent="0.15">
      <c r="A937" s="10"/>
      <c r="B937" s="13"/>
      <c r="C937" s="13"/>
    </row>
    <row r="938" spans="1:3" ht="13" x14ac:dyDescent="0.15">
      <c r="A938" s="10"/>
      <c r="B938" s="13"/>
      <c r="C938" s="13"/>
    </row>
    <row r="939" spans="1:3" ht="13" x14ac:dyDescent="0.15">
      <c r="A939" s="10"/>
      <c r="B939" s="13"/>
      <c r="C939" s="13"/>
    </row>
    <row r="940" spans="1:3" ht="13" x14ac:dyDescent="0.15">
      <c r="A940" s="10"/>
      <c r="B940" s="13"/>
      <c r="C940" s="13"/>
    </row>
    <row r="941" spans="1:3" ht="13" x14ac:dyDescent="0.15">
      <c r="A941" s="10"/>
      <c r="B941" s="13"/>
      <c r="C941" s="13"/>
    </row>
    <row r="942" spans="1:3" ht="13" x14ac:dyDescent="0.15">
      <c r="A942" s="10"/>
      <c r="B942" s="13"/>
      <c r="C942" s="13"/>
    </row>
    <row r="943" spans="1:3" ht="13" x14ac:dyDescent="0.15">
      <c r="A943" s="10"/>
      <c r="B943" s="13"/>
      <c r="C943" s="13"/>
    </row>
    <row r="944" spans="1:3" ht="13" x14ac:dyDescent="0.15">
      <c r="A944" s="10"/>
      <c r="B944" s="13"/>
      <c r="C944" s="13"/>
    </row>
    <row r="945" spans="1:3" ht="13" x14ac:dyDescent="0.15">
      <c r="A945" s="10"/>
      <c r="B945" s="13"/>
      <c r="C945" s="13"/>
    </row>
    <row r="946" spans="1:3" ht="13" x14ac:dyDescent="0.15">
      <c r="A946" s="10"/>
      <c r="B946" s="13"/>
      <c r="C946" s="13"/>
    </row>
    <row r="947" spans="1:3" ht="13" x14ac:dyDescent="0.15">
      <c r="A947" s="10"/>
      <c r="B947" s="13"/>
      <c r="C947" s="13"/>
    </row>
    <row r="948" spans="1:3" ht="13" x14ac:dyDescent="0.15">
      <c r="A948" s="10"/>
      <c r="B948" s="13"/>
      <c r="C948" s="13"/>
    </row>
    <row r="949" spans="1:3" ht="13" x14ac:dyDescent="0.15">
      <c r="A949" s="10"/>
      <c r="B949" s="13"/>
      <c r="C949" s="13"/>
    </row>
    <row r="950" spans="1:3" ht="13" x14ac:dyDescent="0.15">
      <c r="A950" s="10"/>
      <c r="B950" s="13"/>
      <c r="C950" s="13"/>
    </row>
    <row r="951" spans="1:3" ht="13" x14ac:dyDescent="0.15">
      <c r="A951" s="10"/>
      <c r="B951" s="13"/>
      <c r="C951" s="13"/>
    </row>
    <row r="952" spans="1:3" ht="13" x14ac:dyDescent="0.15">
      <c r="A952" s="10"/>
      <c r="B952" s="13"/>
      <c r="C952" s="13"/>
    </row>
    <row r="953" spans="1:3" ht="13" x14ac:dyDescent="0.15">
      <c r="A953" s="10"/>
      <c r="B953" s="13"/>
      <c r="C953" s="13"/>
    </row>
    <row r="954" spans="1:3" ht="13" x14ac:dyDescent="0.15">
      <c r="A954" s="10"/>
      <c r="B954" s="13"/>
      <c r="C954" s="13"/>
    </row>
    <row r="955" spans="1:3" ht="13" x14ac:dyDescent="0.15">
      <c r="A955" s="10"/>
      <c r="B955" s="13"/>
      <c r="C955" s="13"/>
    </row>
    <row r="956" spans="1:3" ht="13" x14ac:dyDescent="0.15">
      <c r="A956" s="10"/>
      <c r="B956" s="13"/>
      <c r="C956" s="13"/>
    </row>
    <row r="957" spans="1:3" ht="13" x14ac:dyDescent="0.15">
      <c r="A957" s="10"/>
      <c r="B957" s="13"/>
      <c r="C957" s="13"/>
    </row>
    <row r="958" spans="1:3" ht="13" x14ac:dyDescent="0.15">
      <c r="A958" s="10"/>
      <c r="B958" s="13"/>
      <c r="C958" s="13"/>
    </row>
    <row r="959" spans="1:3" ht="13" x14ac:dyDescent="0.15">
      <c r="A959" s="10"/>
      <c r="B959" s="13"/>
      <c r="C959" s="13"/>
    </row>
    <row r="960" spans="1:3" ht="13" x14ac:dyDescent="0.15">
      <c r="A960" s="10"/>
      <c r="B960" s="13"/>
      <c r="C960" s="13"/>
    </row>
    <row r="961" spans="1:3" ht="13" x14ac:dyDescent="0.15">
      <c r="A961" s="10"/>
      <c r="B961" s="13"/>
      <c r="C961" s="13"/>
    </row>
    <row r="962" spans="1:3" ht="13" x14ac:dyDescent="0.15">
      <c r="A962" s="10"/>
      <c r="B962" s="13"/>
      <c r="C962" s="13"/>
    </row>
    <row r="963" spans="1:3" ht="13" x14ac:dyDescent="0.15">
      <c r="A963" s="10"/>
      <c r="B963" s="13"/>
      <c r="C963" s="13"/>
    </row>
    <row r="964" spans="1:3" ht="13" x14ac:dyDescent="0.15">
      <c r="A964" s="10"/>
      <c r="B964" s="13"/>
      <c r="C964" s="13"/>
    </row>
    <row r="965" spans="1:3" ht="13" x14ac:dyDescent="0.15">
      <c r="A965" s="10"/>
      <c r="B965" s="13"/>
      <c r="C965" s="13"/>
    </row>
    <row r="966" spans="1:3" ht="13" x14ac:dyDescent="0.15">
      <c r="A966" s="10"/>
      <c r="B966" s="13"/>
      <c r="C966" s="13"/>
    </row>
    <row r="967" spans="1:3" ht="13" x14ac:dyDescent="0.15">
      <c r="A967" s="10"/>
      <c r="B967" s="13"/>
      <c r="C967" s="13"/>
    </row>
    <row r="968" spans="1:3" ht="13" x14ac:dyDescent="0.15">
      <c r="A968" s="10"/>
      <c r="B968" s="13"/>
      <c r="C968" s="13"/>
    </row>
    <row r="969" spans="1:3" ht="13" x14ac:dyDescent="0.15">
      <c r="A969" s="10"/>
      <c r="B969" s="13"/>
      <c r="C969" s="13"/>
    </row>
    <row r="970" spans="1:3" ht="13" x14ac:dyDescent="0.15">
      <c r="A970" s="10"/>
      <c r="B970" s="13"/>
      <c r="C970" s="13"/>
    </row>
    <row r="971" spans="1:3" ht="13" x14ac:dyDescent="0.15">
      <c r="A971" s="10"/>
      <c r="B971" s="13"/>
      <c r="C971" s="13"/>
    </row>
    <row r="972" spans="1:3" ht="13" x14ac:dyDescent="0.15">
      <c r="A972" s="10"/>
      <c r="B972" s="13"/>
      <c r="C972" s="13"/>
    </row>
    <row r="973" spans="1:3" ht="13" x14ac:dyDescent="0.15">
      <c r="A973" s="10"/>
      <c r="B973" s="13"/>
      <c r="C973" s="13"/>
    </row>
    <row r="974" spans="1:3" ht="13" x14ac:dyDescent="0.15">
      <c r="A974" s="10"/>
      <c r="B974" s="13"/>
      <c r="C974" s="13"/>
    </row>
    <row r="975" spans="1:3" ht="13" x14ac:dyDescent="0.15">
      <c r="A975" s="10"/>
      <c r="B975" s="13"/>
      <c r="C975" s="13"/>
    </row>
    <row r="976" spans="1:3" ht="13" x14ac:dyDescent="0.15">
      <c r="A976" s="10"/>
      <c r="B976" s="13"/>
      <c r="C976" s="13"/>
    </row>
    <row r="977" spans="1:3" ht="13" x14ac:dyDescent="0.15">
      <c r="A977" s="10"/>
      <c r="B977" s="13"/>
      <c r="C977" s="13"/>
    </row>
    <row r="978" spans="1:3" ht="13" x14ac:dyDescent="0.15">
      <c r="A978" s="10"/>
      <c r="B978" s="13"/>
      <c r="C978" s="13"/>
    </row>
    <row r="979" spans="1:3" ht="13" x14ac:dyDescent="0.15">
      <c r="A979" s="10"/>
      <c r="B979" s="13"/>
      <c r="C979" s="13"/>
    </row>
    <row r="980" spans="1:3" ht="13" x14ac:dyDescent="0.15">
      <c r="A980" s="10"/>
      <c r="B980" s="13"/>
      <c r="C980" s="13"/>
    </row>
    <row r="981" spans="1:3" ht="13" x14ac:dyDescent="0.15">
      <c r="A981" s="10"/>
      <c r="B981" s="13"/>
      <c r="C981" s="13"/>
    </row>
    <row r="982" spans="1:3" ht="13" x14ac:dyDescent="0.15">
      <c r="A982" s="10"/>
      <c r="B982" s="13"/>
      <c r="C982" s="13"/>
    </row>
    <row r="983" spans="1:3" ht="13" x14ac:dyDescent="0.15">
      <c r="A983" s="10"/>
      <c r="B983" s="13"/>
      <c r="C983" s="13"/>
    </row>
    <row r="984" spans="1:3" ht="13" x14ac:dyDescent="0.15">
      <c r="A984" s="10"/>
      <c r="B984" s="13"/>
      <c r="C984" s="13"/>
    </row>
    <row r="985" spans="1:3" ht="13" x14ac:dyDescent="0.15">
      <c r="A985" s="10"/>
      <c r="B985" s="13"/>
      <c r="C985" s="13"/>
    </row>
    <row r="986" spans="1:3" ht="13" x14ac:dyDescent="0.15">
      <c r="A986" s="10"/>
      <c r="B986" s="13"/>
      <c r="C986" s="13"/>
    </row>
    <row r="987" spans="1:3" ht="13" x14ac:dyDescent="0.15">
      <c r="A987" s="10"/>
      <c r="B987" s="13"/>
      <c r="C987" s="13"/>
    </row>
    <row r="988" spans="1:3" ht="13" x14ac:dyDescent="0.15">
      <c r="A988" s="10"/>
      <c r="B988" s="13"/>
      <c r="C988" s="13"/>
    </row>
    <row r="989" spans="1:3" ht="13" x14ac:dyDescent="0.15">
      <c r="A989" s="10"/>
      <c r="B989" s="13"/>
      <c r="C989" s="13"/>
    </row>
    <row r="990" spans="1:3" ht="13" x14ac:dyDescent="0.15">
      <c r="A990" s="10"/>
      <c r="B990" s="13"/>
      <c r="C990" s="13"/>
    </row>
    <row r="991" spans="1:3" ht="13" x14ac:dyDescent="0.15">
      <c r="A991" s="10"/>
      <c r="B991" s="13"/>
      <c r="C991" s="13"/>
    </row>
    <row r="992" spans="1:3" ht="13" x14ac:dyDescent="0.15">
      <c r="A992" s="10"/>
      <c r="B992" s="13"/>
      <c r="C992" s="13"/>
    </row>
    <row r="993" spans="1:3" ht="13" x14ac:dyDescent="0.15">
      <c r="A993" s="10"/>
      <c r="B993" s="13"/>
      <c r="C993" s="13"/>
    </row>
    <row r="994" spans="1:3" ht="13" x14ac:dyDescent="0.15">
      <c r="A994" s="10"/>
      <c r="B994" s="13"/>
      <c r="C994" s="13"/>
    </row>
    <row r="995" spans="1:3" ht="13" x14ac:dyDescent="0.15">
      <c r="A995" s="10"/>
      <c r="B995" s="13"/>
      <c r="C995" s="13"/>
    </row>
    <row r="996" spans="1:3" ht="13" x14ac:dyDescent="0.15">
      <c r="A996" s="10"/>
      <c r="B996" s="13"/>
      <c r="C996" s="13"/>
    </row>
    <row r="997" spans="1:3" ht="13" x14ac:dyDescent="0.15">
      <c r="A997" s="10"/>
      <c r="B997" s="13"/>
      <c r="C997" s="13"/>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outlinePr summaryBelow="0" summaryRight="0"/>
  </sheetPr>
  <dimension ref="A1:D997"/>
  <sheetViews>
    <sheetView workbookViewId="0"/>
  </sheetViews>
  <sheetFormatPr baseColWidth="10" defaultColWidth="12.6640625" defaultRowHeight="15.75" customHeight="1" x14ac:dyDescent="0.15"/>
  <cols>
    <col min="1" max="1" width="71.5" customWidth="1"/>
    <col min="2" max="4" width="37.6640625" customWidth="1"/>
  </cols>
  <sheetData>
    <row r="1" spans="1:4" x14ac:dyDescent="0.2">
      <c r="A1" s="1"/>
      <c r="B1" s="12" t="str">
        <f ca="1">IFERROR(__xludf.DUMMYFUNCTION("IMPORTRANGE(""https://docs.google.com/spreadsheets/d/1C06Vs6H0Eg3__x1-dePLdZcY_bo1r3ReCeWRxqLlaS4"",""A18!B1:B22"")"),"Layla Baldwin")</f>
        <v>Layla Baldwin</v>
      </c>
      <c r="C1" s="22" t="str">
        <f ca="1">IFERROR(__xludf.DUMMYFUNCTION("IMPORTRANGE(""https://docs.google.com/spreadsheets/u/0/d/1sbndBsfP-ncTtF1jluZBfKAuQh8_1k-En4z9g6Xyks0"", ""A18!B1:B22"")"),"Josh Ladner")</f>
        <v>Josh Ladner</v>
      </c>
      <c r="D1" s="2" t="s">
        <v>1</v>
      </c>
    </row>
    <row r="2" spans="1:4" ht="15.75" customHeight="1" x14ac:dyDescent="0.15">
      <c r="A2" s="3" t="s">
        <v>2</v>
      </c>
      <c r="B2" s="15" t="str">
        <f ca="1">IFERROR(__xludf.DUMMYFUNCTION("""COMPUTED_VALUE"""),"Start: 13763, Stop: 13960, Forward")</f>
        <v>Start: 13763, Stop: 13960, Forward</v>
      </c>
      <c r="C2" s="15" t="str">
        <f ca="1">IFERROR(__xludf.DUMMYFUNCTION("""COMPUTED_VALUE"""),"Start: 13,763/13,787 Stop:13,960 Forward")</f>
        <v>Start: 13,763/13,787 Stop:13,960 Forward</v>
      </c>
      <c r="D2" s="4"/>
    </row>
    <row r="3" spans="1:4" ht="15.75" customHeight="1" x14ac:dyDescent="0.15">
      <c r="A3" s="5" t="s">
        <v>3</v>
      </c>
      <c r="B3" s="17" t="str">
        <f ca="1">IFERROR(__xludf.DUMMYFUNCTION("""COMPUTED_VALUE"""),"18 in both")</f>
        <v>18 in both</v>
      </c>
      <c r="C3" s="17" t="str">
        <f ca="1">IFERROR(__xludf.DUMMYFUNCTION("""COMPUTED_VALUE"""),"DNAM:18 PhagesDB:18 Phamerator:18")</f>
        <v>DNAM:18 PhagesDB:18 Phamerator:18</v>
      </c>
      <c r="D3" s="6"/>
    </row>
    <row r="4" spans="1:4" ht="15.75" customHeight="1" x14ac:dyDescent="0.15">
      <c r="A4" s="5" t="s">
        <v>4</v>
      </c>
      <c r="B4" s="17" t="str">
        <f ca="1">IFERROR(__xludf.DUMMYFUNCTION("""COMPUTED_VALUE"""),"100325 - 3/2/2025")</f>
        <v>100325 - 3/2/2025</v>
      </c>
      <c r="C4" s="17" t="str">
        <f ca="1">IFERROR(__xludf.DUMMYFUNCTION("""COMPUTED_VALUE"""),"100325 on 2/28/25")</f>
        <v>100325 on 2/28/25</v>
      </c>
      <c r="D4" s="6"/>
    </row>
    <row r="5" spans="1:4" ht="15.75" customHeight="1" x14ac:dyDescent="0.15">
      <c r="A5" s="5" t="s">
        <v>5</v>
      </c>
      <c r="B5" s="17" t="str">
        <f ca="1">IFERROR(__xludf.DUMMYFUNCTION("""COMPUTED_VALUE"""),"AinMach_5, Kharcho_86, Ottawa_86, Kovu_19")</f>
        <v>AinMach_5, Kharcho_86, Ottawa_86, Kovu_19</v>
      </c>
      <c r="C5" s="17" t="str">
        <f ca="1">IFERROR(__xludf.DUMMYFUNCTION("""COMPUTED_VALUE"""),"AinMach_CDS_5; Kharcho_CDS_86;  Kovu_CDS_19 ")</f>
        <v xml:space="preserve">AinMach_CDS_5; Kharcho_CDS_86;  Kovu_CDS_19 </v>
      </c>
      <c r="D5" s="6"/>
    </row>
    <row r="6" spans="1:4" ht="15.75" customHeight="1" x14ac:dyDescent="0.15">
      <c r="A6" s="5" t="s">
        <v>6</v>
      </c>
      <c r="B6" s="17" t="str">
        <f ca="1">IFERROR(__xludf.DUMMYFUNCTION("""COMPUTED_VALUE"""),"Glimmer calls at 13763, GeneMark calls at 13787")</f>
        <v>Glimmer calls at 13763, GeneMark calls at 13787</v>
      </c>
      <c r="C6" s="17" t="str">
        <f ca="1">IFERROR(__xludf.DUMMYFUNCTION("""COMPUTED_VALUE"""),"Original Glimmer call @bp 13763 has strength 4.54; GeneMark calls start at 13787")</f>
        <v>Original Glimmer call @bp 13763 has strength 4.54; GeneMark calls start at 13787</v>
      </c>
      <c r="D6" s="6"/>
    </row>
    <row r="7" spans="1:4" ht="15.75" customHeight="1" x14ac:dyDescent="0.15">
      <c r="A7" s="5" t="s">
        <v>7</v>
      </c>
      <c r="B7" s="17" t="str">
        <f ca="1">IFERROR(__xludf.DUMMYFUNCTION("""COMPUTED_VALUE"""),"Both called starts are missing out on some potential. If you moved the start to the previous start (start 2), it would capture potential. Overall good potential.")</f>
        <v>Both called starts are missing out on some potential. If you moved the start to the previous start (start 2), it would capture potential. Overall good potential.</v>
      </c>
      <c r="C7" s="17" t="str">
        <f ca="1">IFERROR(__xludf.DUMMYFUNCTION("""COMPUTED_VALUE"""),"yes good coding potential")</f>
        <v>yes good coding potential</v>
      </c>
      <c r="D7" s="6"/>
    </row>
    <row r="8" spans="1:4" ht="15.75" customHeight="1" x14ac:dyDescent="0.15">
      <c r="A8" s="5" t="s">
        <v>8</v>
      </c>
      <c r="B8" s="17" t="str">
        <f ca="1">IFERROR(__xludf.DUMMYFUNCTION("""COMPUTED_VALUE"""),"No, two previous starts")</f>
        <v>No, two previous starts</v>
      </c>
      <c r="C8" s="17" t="str">
        <f ca="1">IFERROR(__xludf.DUMMYFUNCTION("""COMPUTED_VALUE"""),"no, glimmer called start 3 but has potential before")</f>
        <v>no, glimmer called start 3 but has potential before</v>
      </c>
      <c r="D8" s="6"/>
    </row>
    <row r="9" spans="1:4" ht="15.75" customHeight="1" x14ac:dyDescent="0.15">
      <c r="A9" s="5" t="s">
        <v>9</v>
      </c>
      <c r="B9" s="17" t="str">
        <f ca="1">IFERROR(__xludf.DUMMYFUNCTION("""COMPUTED_VALUE"""),"19 bp overlap, if moved to previous start there would be a 79 bp gap which would be too big")</f>
        <v>19 bp overlap, if moved to previous start there would be a 79 bp gap which would be too big</v>
      </c>
      <c r="C9" s="17" t="str">
        <f ca="1">IFERROR(__xludf.DUMMYFUNCTION("""COMPUTED_VALUE"""),"yes, 19 nt overlap at called start. if move back to start 2 then 79 nt overlap")</f>
        <v>yes, 19 nt overlap at called start. if move back to start 2 then 79 nt overlap</v>
      </c>
      <c r="D9" s="6"/>
    </row>
    <row r="10" spans="1:4" ht="15.75" customHeight="1" x14ac:dyDescent="0.15">
      <c r="A10" s="5" t="s">
        <v>10</v>
      </c>
      <c r="B10" s="17" t="str">
        <f ca="1">IFERROR(__xludf.DUMMYFUNCTION("""COMPUTED_VALUE"""),"Called start has highest Z score (2.863) and lowest final (-3.747). The start called by GeneMark has the lowest Z score and the highest final score. Only other start that could be considered is start 2 @ 13703")</f>
        <v>Called start has highest Z score (2.863) and lowest final (-3.747). The start called by GeneMark has the lowest Z score and the highest final score. Only other start that could be considered is start 2 @ 13703</v>
      </c>
      <c r="C10" s="17" t="str">
        <f ca="1">IFERROR(__xludf.DUMMYFUNCTION("""COMPUTED_VALUE"""),"(called)start 3: 2.8   start 2: 2.2")</f>
        <v>(called)start 3: 2.8   start 2: 2.2</v>
      </c>
      <c r="D10" s="6"/>
    </row>
    <row r="11" spans="1:4" ht="15.75" customHeight="1" x14ac:dyDescent="0.15">
      <c r="A11" s="5" t="s">
        <v>11</v>
      </c>
      <c r="B11" s="17" t="str">
        <f ca="1">IFERROR(__xludf.DUMMYFUNCTION("""COMPUTED_VALUE"""),"Kovu_19, % identity = 95.38, e value = 1.1E-35, q 1:s 1")</f>
        <v>Kovu_19, % identity = 95.38, e value = 1.1E-35, q 1:s 1</v>
      </c>
      <c r="C11" s="17"/>
      <c r="D11" s="6"/>
    </row>
    <row r="12" spans="1:4" ht="15.75" customHeight="1" x14ac:dyDescent="0.15">
      <c r="A12" s="5" t="s">
        <v>12</v>
      </c>
      <c r="B12" s="17" t="str">
        <f ca="1">IFERROR(__xludf.DUMMYFUNCTION("""COMPUTED_VALUE"""),"Start 3 not conserved in all members, only in Kovu_19. Previous start (start 2) is in both also. Called 100% of the time when present. ")</f>
        <v xml:space="preserve">Start 3 not conserved in all members, only in Kovu_19. Previous start (start 2) is in both also. Called 100% of the time when present. </v>
      </c>
      <c r="C12" s="17" t="str">
        <f ca="1">IFERROR(__xludf.DUMMYFUNCTION("""COMPUTED_VALUE"""),"no, start 3 is only in apokipo")</f>
        <v>no, start 3 is only in apokipo</v>
      </c>
      <c r="D12" s="6"/>
    </row>
    <row r="13" spans="1:4" ht="15.75" customHeight="1" x14ac:dyDescent="0.15">
      <c r="A13" s="5" t="s">
        <v>13</v>
      </c>
      <c r="B13" s="17" t="str">
        <f ca="1">IFERROR(__xludf.DUMMYFUNCTION("""COMPUTED_VALUE"""),"No, start called by Glimmer may not capture all potential, but moving start back would cause too large of an overlap. Glimmer called start also has best scores.")</f>
        <v>No, start called by Glimmer may not capture all potential, but moving start back would cause too large of an overlap. Glimmer called start also has best scores.</v>
      </c>
      <c r="C13" s="17"/>
      <c r="D13" s="6"/>
    </row>
    <row r="14" spans="1:4" ht="15.75" customHeight="1" x14ac:dyDescent="0.15">
      <c r="A14" s="5" t="s">
        <v>14</v>
      </c>
      <c r="B14" s="17" t="str">
        <f ca="1">IFERROR(__xludf.DUMMYFUNCTION("""COMPUTED_VALUE"""),"Kovu_19, e value = 7E-32, unknown function")</f>
        <v>Kovu_19, e value = 7E-32, unknown function</v>
      </c>
      <c r="C14" s="17"/>
      <c r="D14" s="6"/>
    </row>
    <row r="15" spans="1:4" ht="15.75" customHeight="1" x14ac:dyDescent="0.15">
      <c r="A15" s="5" t="s">
        <v>15</v>
      </c>
      <c r="B15" s="17" t="str">
        <f ca="1">IFERROR(__xludf.DUMMYFUNCTION("""COMPUTED_VALUE"""),"Unknown function Kovu_19")</f>
        <v>Unknown function Kovu_19</v>
      </c>
      <c r="C15" s="17"/>
      <c r="D15" s="6"/>
    </row>
    <row r="16" spans="1:4" ht="15.75" customHeight="1" x14ac:dyDescent="0.15">
      <c r="A16" s="5" t="s">
        <v>16</v>
      </c>
      <c r="B16" s="17" t="str">
        <f ca="1">IFERROR(__xludf.DUMMYFUNCTION("""COMPUTED_VALUE"""),"Yes, in same pham. ")</f>
        <v xml:space="preserve">Yes, in same pham. </v>
      </c>
      <c r="C16" s="17"/>
      <c r="D16" s="6"/>
    </row>
    <row r="17" spans="1:4" ht="15.75" customHeight="1" x14ac:dyDescent="0.15">
      <c r="A17" s="5" t="s">
        <v>17</v>
      </c>
      <c r="B17" s="17" t="str">
        <f ca="1">IFERROR(__xludf.DUMMYFUNCTION("""COMPUTED_VALUE"""),"Solution NMR structure of ribosome modulation factor VP1593 from Vibrio parahaemolyticus. Northeast Structural Genomics target VpR55, probability = 99.41%, aoq = 76.92%, aot = 76.92%. Top 3 results show ribosome modulation factor, but bad %similarities an"&amp;"d %identity. Functional domai is in target part of the alignment. ")</f>
        <v xml:space="preserve">Solution NMR structure of ribosome modulation factor VP1593 from Vibrio parahaemolyticus. Northeast Structural Genomics target VpR55, probability = 99.41%, aoq = 76.92%, aot = 76.92%. Top 3 results show ribosome modulation factor, but bad %similarities and %identity. Functional domai is in target part of the alignment. </v>
      </c>
      <c r="C17" s="17"/>
      <c r="D17" s="6"/>
    </row>
    <row r="18" spans="1:4" ht="15.75" customHeight="1" x14ac:dyDescent="0.15">
      <c r="A18" s="5" t="s">
        <v>18</v>
      </c>
      <c r="B18" s="17" t="str">
        <f ca="1">IFERROR(__xludf.DUMMYFUNCTION("""COMPUTED_VALUE"""),"No")</f>
        <v>No</v>
      </c>
      <c r="C18" s="17"/>
      <c r="D18" s="6"/>
    </row>
    <row r="19" spans="1:4" ht="15.75" customHeight="1" x14ac:dyDescent="0.15">
      <c r="A19" s="5" t="s">
        <v>19</v>
      </c>
      <c r="B19" s="17" t="str">
        <f ca="1">IFERROR(__xludf.DUMMYFUNCTION("""COMPUTED_VALUE"""),"No")</f>
        <v>No</v>
      </c>
      <c r="C19" s="17"/>
      <c r="D19" s="6"/>
    </row>
    <row r="20" spans="1:4" ht="15.75" customHeight="1" x14ac:dyDescent="0.15">
      <c r="A20" s="5" t="s">
        <v>20</v>
      </c>
      <c r="B20" s="17" t="str">
        <f ca="1">IFERROR(__xludf.DUMMYFUNCTION("""COMPUTED_VALUE"""),"Hypothetical protein, all evidence supports. Even though HHPred showed results with functions, they had poor similarities and identities.")</f>
        <v>Hypothetical protein, all evidence supports. Even though HHPred showed results with functions, they had poor similarities and identities.</v>
      </c>
      <c r="C20" s="17"/>
      <c r="D20" s="6"/>
    </row>
    <row r="21" spans="1:4" x14ac:dyDescent="0.2">
      <c r="A21" s="7"/>
      <c r="B21" s="19"/>
      <c r="C21" s="19"/>
      <c r="D21" s="8"/>
    </row>
    <row r="22" spans="1:4" ht="15.75" customHeight="1" x14ac:dyDescent="0.15">
      <c r="A22" s="9" t="s">
        <v>21</v>
      </c>
      <c r="B22" s="19"/>
      <c r="C22" s="19"/>
      <c r="D22" s="8"/>
    </row>
    <row r="23" spans="1:4" ht="15.75" customHeight="1" x14ac:dyDescent="0.15">
      <c r="A23" s="10"/>
      <c r="B23" s="13"/>
      <c r="C23" s="13"/>
    </row>
    <row r="24" spans="1:4" ht="15.75" customHeight="1" x14ac:dyDescent="0.15">
      <c r="A24" s="10"/>
      <c r="B24" s="13"/>
      <c r="C24" s="13"/>
    </row>
    <row r="25" spans="1:4" ht="15.75" customHeight="1" x14ac:dyDescent="0.15">
      <c r="A25" s="10"/>
      <c r="B25" s="13"/>
      <c r="C25" s="13"/>
    </row>
    <row r="26" spans="1:4" ht="15.75" customHeight="1" x14ac:dyDescent="0.15">
      <c r="A26" s="10"/>
      <c r="B26" s="13"/>
      <c r="C26" s="13"/>
    </row>
    <row r="27" spans="1:4" ht="15.75" customHeight="1" x14ac:dyDescent="0.15">
      <c r="A27" s="10"/>
      <c r="B27" s="13"/>
      <c r="C27" s="13"/>
    </row>
    <row r="28" spans="1:4" ht="15.75" customHeight="1" x14ac:dyDescent="0.15">
      <c r="A28" s="10"/>
      <c r="B28" s="13"/>
      <c r="C28" s="13"/>
    </row>
    <row r="29" spans="1:4" ht="15.75" customHeight="1" x14ac:dyDescent="0.15">
      <c r="A29" s="10"/>
      <c r="B29" s="13"/>
      <c r="C29" s="13"/>
    </row>
    <row r="30" spans="1:4" ht="15.75" customHeight="1" x14ac:dyDescent="0.15">
      <c r="A30" s="10"/>
      <c r="B30" s="13"/>
      <c r="C30" s="13"/>
    </row>
    <row r="31" spans="1:4" ht="15.75" customHeight="1" x14ac:dyDescent="0.15">
      <c r="A31" s="10"/>
      <c r="B31" s="13"/>
      <c r="C31" s="13"/>
    </row>
    <row r="32" spans="1:4" ht="15.75" customHeight="1" x14ac:dyDescent="0.15">
      <c r="A32" s="10"/>
      <c r="B32" s="13"/>
      <c r="C32" s="13"/>
    </row>
    <row r="33" spans="1:3" ht="15.75" customHeight="1" x14ac:dyDescent="0.15">
      <c r="A33" s="10"/>
      <c r="B33" s="13"/>
      <c r="C33" s="13"/>
    </row>
    <row r="34" spans="1:3" ht="15.75" customHeight="1" x14ac:dyDescent="0.15">
      <c r="A34" s="10"/>
      <c r="B34" s="13"/>
      <c r="C34" s="13"/>
    </row>
    <row r="35" spans="1:3" ht="15.75" customHeight="1" x14ac:dyDescent="0.15">
      <c r="A35" s="10"/>
      <c r="B35" s="13"/>
      <c r="C35" s="13"/>
    </row>
    <row r="36" spans="1:3" ht="15.75" customHeight="1" x14ac:dyDescent="0.15">
      <c r="A36" s="10"/>
      <c r="B36" s="13"/>
      <c r="C36" s="13"/>
    </row>
    <row r="37" spans="1:3" ht="15.75" customHeight="1" x14ac:dyDescent="0.15">
      <c r="A37" s="10"/>
      <c r="B37" s="13"/>
      <c r="C37" s="13"/>
    </row>
    <row r="38" spans="1:3" ht="15.75" customHeight="1" x14ac:dyDescent="0.15">
      <c r="A38" s="10"/>
      <c r="B38" s="13"/>
      <c r="C38" s="13"/>
    </row>
    <row r="39" spans="1:3" ht="13" x14ac:dyDescent="0.15">
      <c r="A39" s="10"/>
      <c r="B39" s="13"/>
      <c r="C39" s="13"/>
    </row>
    <row r="40" spans="1:3" ht="13" x14ac:dyDescent="0.15">
      <c r="A40" s="10"/>
      <c r="B40" s="13"/>
      <c r="C40" s="13"/>
    </row>
    <row r="41" spans="1:3" ht="13" x14ac:dyDescent="0.15">
      <c r="A41" s="10"/>
      <c r="B41" s="13"/>
      <c r="C41" s="13"/>
    </row>
    <row r="42" spans="1:3" ht="13" x14ac:dyDescent="0.15">
      <c r="A42" s="10"/>
      <c r="B42" s="13"/>
      <c r="C42" s="13"/>
    </row>
    <row r="43" spans="1:3" ht="13" x14ac:dyDescent="0.15">
      <c r="A43" s="10"/>
      <c r="B43" s="13"/>
      <c r="C43" s="13"/>
    </row>
    <row r="44" spans="1:3" ht="13" x14ac:dyDescent="0.15">
      <c r="A44" s="10"/>
      <c r="B44" s="13"/>
      <c r="C44" s="13"/>
    </row>
    <row r="45" spans="1:3" ht="13" x14ac:dyDescent="0.15">
      <c r="A45" s="10"/>
      <c r="B45" s="13"/>
      <c r="C45" s="13"/>
    </row>
    <row r="46" spans="1:3" ht="13" x14ac:dyDescent="0.15">
      <c r="A46" s="10"/>
      <c r="B46" s="13"/>
      <c r="C46" s="13"/>
    </row>
    <row r="47" spans="1:3" ht="13" x14ac:dyDescent="0.15">
      <c r="A47" s="10"/>
      <c r="B47" s="13"/>
      <c r="C47" s="13"/>
    </row>
    <row r="48" spans="1:3" ht="13" x14ac:dyDescent="0.15">
      <c r="A48" s="10"/>
      <c r="B48" s="13"/>
      <c r="C48" s="13"/>
    </row>
    <row r="49" spans="1:3" ht="13" x14ac:dyDescent="0.15">
      <c r="A49" s="10"/>
      <c r="B49" s="13"/>
      <c r="C49" s="13"/>
    </row>
    <row r="50" spans="1:3" ht="13" x14ac:dyDescent="0.15">
      <c r="A50" s="10"/>
      <c r="B50" s="13"/>
      <c r="C50" s="13"/>
    </row>
    <row r="51" spans="1:3" ht="13" x14ac:dyDescent="0.15">
      <c r="A51" s="10"/>
      <c r="B51" s="13"/>
      <c r="C51" s="13"/>
    </row>
    <row r="52" spans="1:3" ht="13" x14ac:dyDescent="0.15">
      <c r="A52" s="10"/>
      <c r="B52" s="13"/>
      <c r="C52" s="13"/>
    </row>
    <row r="53" spans="1:3" ht="13" x14ac:dyDescent="0.15">
      <c r="A53" s="10"/>
      <c r="B53" s="13"/>
      <c r="C53" s="13"/>
    </row>
    <row r="54" spans="1:3" ht="13" x14ac:dyDescent="0.15">
      <c r="A54" s="10"/>
      <c r="B54" s="13"/>
      <c r="C54" s="13"/>
    </row>
    <row r="55" spans="1:3" ht="13" x14ac:dyDescent="0.15">
      <c r="A55" s="10"/>
      <c r="B55" s="13"/>
      <c r="C55" s="13"/>
    </row>
    <row r="56" spans="1:3" ht="13" x14ac:dyDescent="0.15">
      <c r="A56" s="10"/>
      <c r="B56" s="13"/>
      <c r="C56" s="13"/>
    </row>
    <row r="57" spans="1:3" ht="13" x14ac:dyDescent="0.15">
      <c r="A57" s="10"/>
      <c r="B57" s="13"/>
      <c r="C57" s="13"/>
    </row>
    <row r="58" spans="1:3" ht="13" x14ac:dyDescent="0.15">
      <c r="A58" s="10"/>
      <c r="B58" s="13"/>
      <c r="C58" s="13"/>
    </row>
    <row r="59" spans="1:3" ht="13" x14ac:dyDescent="0.15">
      <c r="A59" s="10"/>
      <c r="B59" s="13"/>
      <c r="C59" s="13"/>
    </row>
    <row r="60" spans="1:3" ht="13" x14ac:dyDescent="0.15">
      <c r="A60" s="10"/>
      <c r="B60" s="13"/>
      <c r="C60" s="13"/>
    </row>
    <row r="61" spans="1:3" ht="13" x14ac:dyDescent="0.15">
      <c r="A61" s="10"/>
      <c r="B61" s="13"/>
      <c r="C61" s="13"/>
    </row>
    <row r="62" spans="1:3" ht="13" x14ac:dyDescent="0.15">
      <c r="A62" s="10"/>
      <c r="B62" s="13"/>
      <c r="C62" s="13"/>
    </row>
    <row r="63" spans="1:3" ht="13" x14ac:dyDescent="0.15">
      <c r="A63" s="10"/>
      <c r="B63" s="13"/>
      <c r="C63" s="13"/>
    </row>
    <row r="64" spans="1:3" ht="13" x14ac:dyDescent="0.15">
      <c r="A64" s="10"/>
      <c r="B64" s="13"/>
      <c r="C64" s="13"/>
    </row>
    <row r="65" spans="1:3" ht="13" x14ac:dyDescent="0.15">
      <c r="A65" s="10"/>
      <c r="B65" s="13"/>
      <c r="C65" s="13"/>
    </row>
    <row r="66" spans="1:3" ht="13" x14ac:dyDescent="0.15">
      <c r="A66" s="10"/>
      <c r="B66" s="13"/>
      <c r="C66" s="13"/>
    </row>
    <row r="67" spans="1:3" ht="13" x14ac:dyDescent="0.15">
      <c r="A67" s="10"/>
      <c r="B67" s="13"/>
      <c r="C67" s="13"/>
    </row>
    <row r="68" spans="1:3" ht="13" x14ac:dyDescent="0.15">
      <c r="A68" s="10"/>
      <c r="B68" s="13"/>
      <c r="C68" s="13"/>
    </row>
    <row r="69" spans="1:3" ht="13" x14ac:dyDescent="0.15">
      <c r="A69" s="10"/>
      <c r="B69" s="13"/>
      <c r="C69" s="13"/>
    </row>
    <row r="70" spans="1:3" ht="13" x14ac:dyDescent="0.15">
      <c r="A70" s="10"/>
      <c r="B70" s="13"/>
      <c r="C70" s="13"/>
    </row>
    <row r="71" spans="1:3" ht="13" x14ac:dyDescent="0.15">
      <c r="A71" s="10"/>
      <c r="B71" s="13"/>
      <c r="C71" s="13"/>
    </row>
    <row r="72" spans="1:3" ht="13" x14ac:dyDescent="0.15">
      <c r="A72" s="10"/>
      <c r="B72" s="13"/>
      <c r="C72" s="13"/>
    </row>
    <row r="73" spans="1:3" ht="13" x14ac:dyDescent="0.15">
      <c r="A73" s="10"/>
      <c r="B73" s="13"/>
      <c r="C73" s="13"/>
    </row>
    <row r="74" spans="1:3" ht="13" x14ac:dyDescent="0.15">
      <c r="A74" s="10"/>
      <c r="B74" s="13"/>
      <c r="C74" s="13"/>
    </row>
    <row r="75" spans="1:3" ht="13" x14ac:dyDescent="0.15">
      <c r="A75" s="10"/>
      <c r="B75" s="13"/>
      <c r="C75" s="13"/>
    </row>
    <row r="76" spans="1:3" ht="13" x14ac:dyDescent="0.15">
      <c r="A76" s="10"/>
      <c r="B76" s="13"/>
      <c r="C76" s="13"/>
    </row>
    <row r="77" spans="1:3" ht="13" x14ac:dyDescent="0.15">
      <c r="A77" s="10"/>
      <c r="B77" s="13"/>
      <c r="C77" s="13"/>
    </row>
    <row r="78" spans="1:3" ht="13" x14ac:dyDescent="0.15">
      <c r="A78" s="10"/>
      <c r="B78" s="13"/>
      <c r="C78" s="13"/>
    </row>
    <row r="79" spans="1:3" ht="13" x14ac:dyDescent="0.15">
      <c r="A79" s="10"/>
      <c r="B79" s="13"/>
      <c r="C79" s="13"/>
    </row>
    <row r="80" spans="1:3" ht="13" x14ac:dyDescent="0.15">
      <c r="A80" s="10"/>
      <c r="B80" s="13"/>
      <c r="C80" s="13"/>
    </row>
    <row r="81" spans="1:3" ht="13" x14ac:dyDescent="0.15">
      <c r="A81" s="10"/>
      <c r="B81" s="13"/>
      <c r="C81" s="13"/>
    </row>
    <row r="82" spans="1:3" ht="13" x14ac:dyDescent="0.15">
      <c r="A82" s="10"/>
      <c r="B82" s="13"/>
      <c r="C82" s="13"/>
    </row>
    <row r="83" spans="1:3" ht="13" x14ac:dyDescent="0.15">
      <c r="A83" s="10"/>
      <c r="B83" s="13"/>
      <c r="C83" s="13"/>
    </row>
    <row r="84" spans="1:3" ht="13" x14ac:dyDescent="0.15">
      <c r="A84" s="10"/>
      <c r="B84" s="13"/>
      <c r="C84" s="13"/>
    </row>
    <row r="85" spans="1:3" ht="13" x14ac:dyDescent="0.15">
      <c r="A85" s="10"/>
      <c r="B85" s="13"/>
      <c r="C85" s="13"/>
    </row>
    <row r="86" spans="1:3" ht="13" x14ac:dyDescent="0.15">
      <c r="A86" s="10"/>
      <c r="B86" s="13"/>
      <c r="C86" s="13"/>
    </row>
    <row r="87" spans="1:3" ht="13" x14ac:dyDescent="0.15">
      <c r="A87" s="10"/>
      <c r="B87" s="13"/>
      <c r="C87" s="13"/>
    </row>
    <row r="88" spans="1:3" ht="13" x14ac:dyDescent="0.15">
      <c r="A88" s="10"/>
      <c r="B88" s="13"/>
      <c r="C88" s="13"/>
    </row>
    <row r="89" spans="1:3" ht="13" x14ac:dyDescent="0.15">
      <c r="A89" s="10"/>
      <c r="B89" s="13"/>
      <c r="C89" s="13"/>
    </row>
    <row r="90" spans="1:3" ht="13" x14ac:dyDescent="0.15">
      <c r="A90" s="10"/>
      <c r="B90" s="13"/>
      <c r="C90" s="13"/>
    </row>
    <row r="91" spans="1:3" ht="13" x14ac:dyDescent="0.15">
      <c r="A91" s="10"/>
      <c r="B91" s="13"/>
      <c r="C91" s="13"/>
    </row>
    <row r="92" spans="1:3" ht="13" x14ac:dyDescent="0.15">
      <c r="A92" s="10"/>
      <c r="B92" s="13"/>
      <c r="C92" s="13"/>
    </row>
    <row r="93" spans="1:3" ht="13" x14ac:dyDescent="0.15">
      <c r="A93" s="10"/>
      <c r="B93" s="13"/>
      <c r="C93" s="13"/>
    </row>
    <row r="94" spans="1:3" ht="13" x14ac:dyDescent="0.15">
      <c r="A94" s="10"/>
      <c r="B94" s="13"/>
      <c r="C94" s="13"/>
    </row>
    <row r="95" spans="1:3" ht="13" x14ac:dyDescent="0.15">
      <c r="A95" s="10"/>
      <c r="B95" s="13"/>
      <c r="C95" s="13"/>
    </row>
    <row r="96" spans="1:3" ht="13" x14ac:dyDescent="0.15">
      <c r="A96" s="10"/>
      <c r="B96" s="13"/>
      <c r="C96" s="13"/>
    </row>
    <row r="97" spans="1:3" ht="13" x14ac:dyDescent="0.15">
      <c r="A97" s="10"/>
      <c r="B97" s="13"/>
      <c r="C97" s="13"/>
    </row>
    <row r="98" spans="1:3" ht="13" x14ac:dyDescent="0.15">
      <c r="A98" s="10"/>
      <c r="B98" s="13"/>
      <c r="C98" s="13"/>
    </row>
    <row r="99" spans="1:3" ht="13" x14ac:dyDescent="0.15">
      <c r="A99" s="10"/>
      <c r="B99" s="13"/>
      <c r="C99" s="13"/>
    </row>
    <row r="100" spans="1:3" ht="13" x14ac:dyDescent="0.15">
      <c r="A100" s="10"/>
      <c r="B100" s="13"/>
      <c r="C100" s="13"/>
    </row>
    <row r="101" spans="1:3" ht="13" x14ac:dyDescent="0.15">
      <c r="A101" s="10"/>
      <c r="B101" s="13"/>
      <c r="C101" s="13"/>
    </row>
    <row r="102" spans="1:3" ht="13" x14ac:dyDescent="0.15">
      <c r="A102" s="10"/>
      <c r="B102" s="13"/>
      <c r="C102" s="13"/>
    </row>
    <row r="103" spans="1:3" ht="13" x14ac:dyDescent="0.15">
      <c r="A103" s="10"/>
      <c r="B103" s="13"/>
      <c r="C103" s="13"/>
    </row>
    <row r="104" spans="1:3" ht="13" x14ac:dyDescent="0.15">
      <c r="A104" s="10"/>
      <c r="B104" s="13"/>
      <c r="C104" s="13"/>
    </row>
    <row r="105" spans="1:3" ht="13" x14ac:dyDescent="0.15">
      <c r="A105" s="10"/>
      <c r="B105" s="13"/>
      <c r="C105" s="13"/>
    </row>
    <row r="106" spans="1:3" ht="13" x14ac:dyDescent="0.15">
      <c r="A106" s="10"/>
      <c r="B106" s="13"/>
      <c r="C106" s="13"/>
    </row>
    <row r="107" spans="1:3" ht="13" x14ac:dyDescent="0.15">
      <c r="A107" s="10"/>
      <c r="B107" s="13"/>
      <c r="C107" s="13"/>
    </row>
    <row r="108" spans="1:3" ht="13" x14ac:dyDescent="0.15">
      <c r="A108" s="10"/>
      <c r="B108" s="13"/>
      <c r="C108" s="13"/>
    </row>
    <row r="109" spans="1:3" ht="13" x14ac:dyDescent="0.15">
      <c r="A109" s="10"/>
      <c r="B109" s="13"/>
      <c r="C109" s="13"/>
    </row>
    <row r="110" spans="1:3" ht="13" x14ac:dyDescent="0.15">
      <c r="A110" s="10"/>
      <c r="B110" s="13"/>
      <c r="C110" s="13"/>
    </row>
    <row r="111" spans="1:3" ht="13" x14ac:dyDescent="0.15">
      <c r="A111" s="10"/>
      <c r="B111" s="13"/>
      <c r="C111" s="13"/>
    </row>
    <row r="112" spans="1:3" ht="13" x14ac:dyDescent="0.15">
      <c r="A112" s="10"/>
      <c r="B112" s="13"/>
      <c r="C112" s="13"/>
    </row>
    <row r="113" spans="1:3" ht="13" x14ac:dyDescent="0.15">
      <c r="A113" s="10"/>
      <c r="B113" s="13"/>
      <c r="C113" s="13"/>
    </row>
    <row r="114" spans="1:3" ht="13" x14ac:dyDescent="0.15">
      <c r="A114" s="10"/>
      <c r="B114" s="13"/>
      <c r="C114" s="13"/>
    </row>
    <row r="115" spans="1:3" ht="13" x14ac:dyDescent="0.15">
      <c r="A115" s="10"/>
      <c r="B115" s="13"/>
      <c r="C115" s="13"/>
    </row>
    <row r="116" spans="1:3" ht="13" x14ac:dyDescent="0.15">
      <c r="A116" s="10"/>
      <c r="B116" s="13"/>
      <c r="C116" s="13"/>
    </row>
    <row r="117" spans="1:3" ht="13" x14ac:dyDescent="0.15">
      <c r="A117" s="10"/>
      <c r="B117" s="13"/>
      <c r="C117" s="13"/>
    </row>
    <row r="118" spans="1:3" ht="13" x14ac:dyDescent="0.15">
      <c r="A118" s="10"/>
      <c r="B118" s="13"/>
      <c r="C118" s="13"/>
    </row>
    <row r="119" spans="1:3" ht="13" x14ac:dyDescent="0.15">
      <c r="A119" s="10"/>
      <c r="B119" s="13"/>
      <c r="C119" s="13"/>
    </row>
    <row r="120" spans="1:3" ht="13" x14ac:dyDescent="0.15">
      <c r="A120" s="10"/>
      <c r="B120" s="13"/>
      <c r="C120" s="13"/>
    </row>
    <row r="121" spans="1:3" ht="13" x14ac:dyDescent="0.15">
      <c r="A121" s="10"/>
      <c r="B121" s="13"/>
      <c r="C121" s="13"/>
    </row>
    <row r="122" spans="1:3" ht="13" x14ac:dyDescent="0.15">
      <c r="A122" s="10"/>
      <c r="B122" s="13"/>
      <c r="C122" s="13"/>
    </row>
    <row r="123" spans="1:3" ht="13" x14ac:dyDescent="0.15">
      <c r="A123" s="10"/>
      <c r="B123" s="13"/>
      <c r="C123" s="13"/>
    </row>
    <row r="124" spans="1:3" ht="13" x14ac:dyDescent="0.15">
      <c r="A124" s="10"/>
      <c r="B124" s="13"/>
      <c r="C124" s="13"/>
    </row>
    <row r="125" spans="1:3" ht="13" x14ac:dyDescent="0.15">
      <c r="A125" s="10"/>
      <c r="B125" s="13"/>
      <c r="C125" s="13"/>
    </row>
    <row r="126" spans="1:3" ht="13" x14ac:dyDescent="0.15">
      <c r="A126" s="10"/>
      <c r="B126" s="13"/>
      <c r="C126" s="13"/>
    </row>
    <row r="127" spans="1:3" ht="13" x14ac:dyDescent="0.15">
      <c r="A127" s="10"/>
      <c r="B127" s="13"/>
      <c r="C127" s="13"/>
    </row>
    <row r="128" spans="1:3" ht="13" x14ac:dyDescent="0.15">
      <c r="A128" s="10"/>
      <c r="B128" s="13"/>
      <c r="C128" s="13"/>
    </row>
    <row r="129" spans="1:3" ht="13" x14ac:dyDescent="0.15">
      <c r="A129" s="10"/>
      <c r="B129" s="13"/>
      <c r="C129" s="13"/>
    </row>
    <row r="130" spans="1:3" ht="13" x14ac:dyDescent="0.15">
      <c r="A130" s="10"/>
      <c r="B130" s="13"/>
      <c r="C130" s="13"/>
    </row>
    <row r="131" spans="1:3" ht="13" x14ac:dyDescent="0.15">
      <c r="A131" s="10"/>
      <c r="B131" s="13"/>
      <c r="C131" s="13"/>
    </row>
    <row r="132" spans="1:3" ht="13" x14ac:dyDescent="0.15">
      <c r="A132" s="10"/>
      <c r="B132" s="13"/>
      <c r="C132" s="13"/>
    </row>
    <row r="133" spans="1:3" ht="13" x14ac:dyDescent="0.15">
      <c r="A133" s="10"/>
      <c r="B133" s="13"/>
      <c r="C133" s="13"/>
    </row>
    <row r="134" spans="1:3" ht="13" x14ac:dyDescent="0.15">
      <c r="A134" s="10"/>
      <c r="B134" s="13"/>
      <c r="C134" s="13"/>
    </row>
    <row r="135" spans="1:3" ht="13" x14ac:dyDescent="0.15">
      <c r="A135" s="10"/>
      <c r="B135" s="13"/>
      <c r="C135" s="13"/>
    </row>
    <row r="136" spans="1:3" ht="13" x14ac:dyDescent="0.15">
      <c r="A136" s="10"/>
      <c r="B136" s="13"/>
      <c r="C136" s="13"/>
    </row>
    <row r="137" spans="1:3" ht="13" x14ac:dyDescent="0.15">
      <c r="A137" s="10"/>
      <c r="B137" s="13"/>
      <c r="C137" s="13"/>
    </row>
    <row r="138" spans="1:3" ht="13" x14ac:dyDescent="0.15">
      <c r="A138" s="10"/>
      <c r="B138" s="13"/>
      <c r="C138" s="13"/>
    </row>
    <row r="139" spans="1:3" ht="13" x14ac:dyDescent="0.15">
      <c r="A139" s="10"/>
      <c r="B139" s="13"/>
      <c r="C139" s="13"/>
    </row>
    <row r="140" spans="1:3" ht="13" x14ac:dyDescent="0.15">
      <c r="A140" s="10"/>
      <c r="B140" s="13"/>
      <c r="C140" s="13"/>
    </row>
    <row r="141" spans="1:3" ht="13" x14ac:dyDescent="0.15">
      <c r="A141" s="10"/>
      <c r="B141" s="13"/>
      <c r="C141" s="13"/>
    </row>
    <row r="142" spans="1:3" ht="13" x14ac:dyDescent="0.15">
      <c r="A142" s="10"/>
      <c r="B142" s="13"/>
      <c r="C142" s="13"/>
    </row>
    <row r="143" spans="1:3" ht="13" x14ac:dyDescent="0.15">
      <c r="A143" s="10"/>
      <c r="B143" s="13"/>
      <c r="C143" s="13"/>
    </row>
    <row r="144" spans="1:3" ht="13" x14ac:dyDescent="0.15">
      <c r="A144" s="10"/>
      <c r="B144" s="13"/>
      <c r="C144" s="13"/>
    </row>
    <row r="145" spans="1:3" ht="13" x14ac:dyDescent="0.15">
      <c r="A145" s="10"/>
      <c r="B145" s="13"/>
      <c r="C145" s="13"/>
    </row>
    <row r="146" spans="1:3" ht="13" x14ac:dyDescent="0.15">
      <c r="A146" s="10"/>
      <c r="B146" s="13"/>
      <c r="C146" s="13"/>
    </row>
    <row r="147" spans="1:3" ht="13" x14ac:dyDescent="0.15">
      <c r="A147" s="10"/>
      <c r="B147" s="13"/>
      <c r="C147" s="13"/>
    </row>
    <row r="148" spans="1:3" ht="13" x14ac:dyDescent="0.15">
      <c r="A148" s="10"/>
      <c r="B148" s="13"/>
      <c r="C148" s="13"/>
    </row>
    <row r="149" spans="1:3" ht="13" x14ac:dyDescent="0.15">
      <c r="A149" s="10"/>
      <c r="B149" s="13"/>
      <c r="C149" s="13"/>
    </row>
    <row r="150" spans="1:3" ht="13" x14ac:dyDescent="0.15">
      <c r="A150" s="10"/>
      <c r="B150" s="13"/>
      <c r="C150" s="13"/>
    </row>
    <row r="151" spans="1:3" ht="13" x14ac:dyDescent="0.15">
      <c r="A151" s="10"/>
      <c r="B151" s="13"/>
      <c r="C151" s="13"/>
    </row>
    <row r="152" spans="1:3" ht="13" x14ac:dyDescent="0.15">
      <c r="A152" s="10"/>
      <c r="B152" s="13"/>
      <c r="C152" s="13"/>
    </row>
    <row r="153" spans="1:3" ht="13" x14ac:dyDescent="0.15">
      <c r="A153" s="10"/>
      <c r="B153" s="13"/>
      <c r="C153" s="13"/>
    </row>
    <row r="154" spans="1:3" ht="13" x14ac:dyDescent="0.15">
      <c r="A154" s="10"/>
      <c r="B154" s="13"/>
      <c r="C154" s="13"/>
    </row>
    <row r="155" spans="1:3" ht="13" x14ac:dyDescent="0.15">
      <c r="A155" s="10"/>
      <c r="B155" s="13"/>
      <c r="C155" s="13"/>
    </row>
    <row r="156" spans="1:3" ht="13" x14ac:dyDescent="0.15">
      <c r="A156" s="10"/>
      <c r="B156" s="13"/>
      <c r="C156" s="13"/>
    </row>
    <row r="157" spans="1:3" ht="13" x14ac:dyDescent="0.15">
      <c r="A157" s="10"/>
      <c r="B157" s="13"/>
      <c r="C157" s="13"/>
    </row>
    <row r="158" spans="1:3" ht="13" x14ac:dyDescent="0.15">
      <c r="A158" s="10"/>
      <c r="B158" s="13"/>
      <c r="C158" s="13"/>
    </row>
    <row r="159" spans="1:3" ht="13" x14ac:dyDescent="0.15">
      <c r="A159" s="10"/>
      <c r="B159" s="13"/>
      <c r="C159" s="13"/>
    </row>
    <row r="160" spans="1:3" ht="13" x14ac:dyDescent="0.15">
      <c r="A160" s="10"/>
      <c r="B160" s="13"/>
      <c r="C160" s="13"/>
    </row>
    <row r="161" spans="1:3" ht="13" x14ac:dyDescent="0.15">
      <c r="A161" s="10"/>
      <c r="B161" s="13"/>
      <c r="C161" s="13"/>
    </row>
    <row r="162" spans="1:3" ht="13" x14ac:dyDescent="0.15">
      <c r="A162" s="10"/>
      <c r="B162" s="13"/>
      <c r="C162" s="13"/>
    </row>
    <row r="163" spans="1:3" ht="13" x14ac:dyDescent="0.15">
      <c r="A163" s="10"/>
      <c r="B163" s="13"/>
      <c r="C163" s="13"/>
    </row>
    <row r="164" spans="1:3" ht="13" x14ac:dyDescent="0.15">
      <c r="A164" s="10"/>
      <c r="B164" s="13"/>
      <c r="C164" s="13"/>
    </row>
    <row r="165" spans="1:3" ht="13" x14ac:dyDescent="0.15">
      <c r="A165" s="10"/>
      <c r="B165" s="13"/>
      <c r="C165" s="13"/>
    </row>
    <row r="166" spans="1:3" ht="13" x14ac:dyDescent="0.15">
      <c r="A166" s="10"/>
      <c r="B166" s="13"/>
      <c r="C166" s="13"/>
    </row>
    <row r="167" spans="1:3" ht="13" x14ac:dyDescent="0.15">
      <c r="A167" s="10"/>
      <c r="B167" s="13"/>
      <c r="C167" s="13"/>
    </row>
    <row r="168" spans="1:3" ht="13" x14ac:dyDescent="0.15">
      <c r="A168" s="10"/>
      <c r="B168" s="13"/>
      <c r="C168" s="13"/>
    </row>
    <row r="169" spans="1:3" ht="13" x14ac:dyDescent="0.15">
      <c r="A169" s="10"/>
      <c r="B169" s="13"/>
      <c r="C169" s="13"/>
    </row>
    <row r="170" spans="1:3" ht="13" x14ac:dyDescent="0.15">
      <c r="A170" s="10"/>
      <c r="B170" s="13"/>
      <c r="C170" s="13"/>
    </row>
    <row r="171" spans="1:3" ht="13" x14ac:dyDescent="0.15">
      <c r="A171" s="10"/>
      <c r="B171" s="13"/>
      <c r="C171" s="13"/>
    </row>
    <row r="172" spans="1:3" ht="13" x14ac:dyDescent="0.15">
      <c r="A172" s="10"/>
      <c r="B172" s="13"/>
      <c r="C172" s="13"/>
    </row>
    <row r="173" spans="1:3" ht="13" x14ac:dyDescent="0.15">
      <c r="A173" s="10"/>
      <c r="B173" s="13"/>
      <c r="C173" s="13"/>
    </row>
    <row r="174" spans="1:3" ht="13" x14ac:dyDescent="0.15">
      <c r="A174" s="10"/>
      <c r="B174" s="13"/>
      <c r="C174" s="13"/>
    </row>
    <row r="175" spans="1:3" ht="13" x14ac:dyDescent="0.15">
      <c r="A175" s="10"/>
      <c r="B175" s="13"/>
      <c r="C175" s="13"/>
    </row>
    <row r="176" spans="1:3" ht="13" x14ac:dyDescent="0.15">
      <c r="A176" s="10"/>
      <c r="B176" s="13"/>
      <c r="C176" s="13"/>
    </row>
    <row r="177" spans="1:3" ht="13" x14ac:dyDescent="0.15">
      <c r="A177" s="10"/>
      <c r="B177" s="13"/>
      <c r="C177" s="13"/>
    </row>
    <row r="178" spans="1:3" ht="13" x14ac:dyDescent="0.15">
      <c r="A178" s="10"/>
      <c r="B178" s="13"/>
      <c r="C178" s="13"/>
    </row>
    <row r="179" spans="1:3" ht="13" x14ac:dyDescent="0.15">
      <c r="A179" s="10"/>
      <c r="B179" s="13"/>
      <c r="C179" s="13"/>
    </row>
    <row r="180" spans="1:3" ht="13" x14ac:dyDescent="0.15">
      <c r="A180" s="10"/>
      <c r="B180" s="13"/>
      <c r="C180" s="13"/>
    </row>
    <row r="181" spans="1:3" ht="13" x14ac:dyDescent="0.15">
      <c r="A181" s="10"/>
      <c r="B181" s="13"/>
      <c r="C181" s="13"/>
    </row>
    <row r="182" spans="1:3" ht="13" x14ac:dyDescent="0.15">
      <c r="A182" s="10"/>
      <c r="B182" s="13"/>
      <c r="C182" s="13"/>
    </row>
    <row r="183" spans="1:3" ht="13" x14ac:dyDescent="0.15">
      <c r="A183" s="10"/>
      <c r="B183" s="13"/>
      <c r="C183" s="13"/>
    </row>
    <row r="184" spans="1:3" ht="13" x14ac:dyDescent="0.15">
      <c r="A184" s="10"/>
      <c r="B184" s="13"/>
      <c r="C184" s="13"/>
    </row>
    <row r="185" spans="1:3" ht="13" x14ac:dyDescent="0.15">
      <c r="A185" s="10"/>
      <c r="B185" s="13"/>
      <c r="C185" s="13"/>
    </row>
    <row r="186" spans="1:3" ht="13" x14ac:dyDescent="0.15">
      <c r="A186" s="10"/>
      <c r="B186" s="13"/>
      <c r="C186" s="13"/>
    </row>
    <row r="187" spans="1:3" ht="13" x14ac:dyDescent="0.15">
      <c r="A187" s="10"/>
      <c r="B187" s="13"/>
      <c r="C187" s="13"/>
    </row>
    <row r="188" spans="1:3" ht="13" x14ac:dyDescent="0.15">
      <c r="A188" s="10"/>
      <c r="B188" s="13"/>
      <c r="C188" s="13"/>
    </row>
    <row r="189" spans="1:3" ht="13" x14ac:dyDescent="0.15">
      <c r="A189" s="10"/>
      <c r="B189" s="13"/>
      <c r="C189" s="13"/>
    </row>
    <row r="190" spans="1:3" ht="13" x14ac:dyDescent="0.15">
      <c r="A190" s="10"/>
      <c r="B190" s="13"/>
      <c r="C190" s="13"/>
    </row>
    <row r="191" spans="1:3" ht="13" x14ac:dyDescent="0.15">
      <c r="A191" s="10"/>
      <c r="B191" s="13"/>
      <c r="C191" s="13"/>
    </row>
    <row r="192" spans="1:3" ht="13" x14ac:dyDescent="0.15">
      <c r="A192" s="10"/>
      <c r="B192" s="13"/>
      <c r="C192" s="13"/>
    </row>
    <row r="193" spans="1:3" ht="13" x14ac:dyDescent="0.15">
      <c r="A193" s="10"/>
      <c r="B193" s="13"/>
      <c r="C193" s="13"/>
    </row>
    <row r="194" spans="1:3" ht="13" x14ac:dyDescent="0.15">
      <c r="A194" s="10"/>
      <c r="B194" s="13"/>
      <c r="C194" s="13"/>
    </row>
    <row r="195" spans="1:3" ht="13" x14ac:dyDescent="0.15">
      <c r="A195" s="10"/>
      <c r="B195" s="13"/>
      <c r="C195" s="13"/>
    </row>
    <row r="196" spans="1:3" ht="13" x14ac:dyDescent="0.15">
      <c r="A196" s="10"/>
      <c r="B196" s="13"/>
      <c r="C196" s="13"/>
    </row>
    <row r="197" spans="1:3" ht="13" x14ac:dyDescent="0.15">
      <c r="A197" s="10"/>
      <c r="B197" s="13"/>
      <c r="C197" s="13"/>
    </row>
    <row r="198" spans="1:3" ht="13" x14ac:dyDescent="0.15">
      <c r="A198" s="10"/>
      <c r="B198" s="13"/>
      <c r="C198" s="13"/>
    </row>
    <row r="199" spans="1:3" ht="13" x14ac:dyDescent="0.15">
      <c r="A199" s="10"/>
      <c r="B199" s="13"/>
      <c r="C199" s="13"/>
    </row>
    <row r="200" spans="1:3" ht="13" x14ac:dyDescent="0.15">
      <c r="A200" s="10"/>
      <c r="B200" s="13"/>
      <c r="C200" s="13"/>
    </row>
    <row r="201" spans="1:3" ht="13" x14ac:dyDescent="0.15">
      <c r="A201" s="10"/>
      <c r="B201" s="13"/>
      <c r="C201" s="13"/>
    </row>
    <row r="202" spans="1:3" ht="13" x14ac:dyDescent="0.15">
      <c r="A202" s="10"/>
      <c r="B202" s="13"/>
      <c r="C202" s="13"/>
    </row>
    <row r="203" spans="1:3" ht="13" x14ac:dyDescent="0.15">
      <c r="A203" s="10"/>
      <c r="B203" s="13"/>
      <c r="C203" s="13"/>
    </row>
    <row r="204" spans="1:3" ht="13" x14ac:dyDescent="0.15">
      <c r="A204" s="10"/>
      <c r="B204" s="13"/>
      <c r="C204" s="13"/>
    </row>
    <row r="205" spans="1:3" ht="13" x14ac:dyDescent="0.15">
      <c r="A205" s="10"/>
      <c r="B205" s="13"/>
      <c r="C205" s="13"/>
    </row>
    <row r="206" spans="1:3" ht="13" x14ac:dyDescent="0.15">
      <c r="A206" s="10"/>
      <c r="B206" s="13"/>
      <c r="C206" s="13"/>
    </row>
    <row r="207" spans="1:3" ht="13" x14ac:dyDescent="0.15">
      <c r="A207" s="10"/>
      <c r="B207" s="13"/>
      <c r="C207" s="13"/>
    </row>
    <row r="208" spans="1:3" ht="13" x14ac:dyDescent="0.15">
      <c r="A208" s="10"/>
      <c r="B208" s="13"/>
      <c r="C208" s="13"/>
    </row>
    <row r="209" spans="1:3" ht="13" x14ac:dyDescent="0.15">
      <c r="A209" s="10"/>
      <c r="B209" s="13"/>
      <c r="C209" s="13"/>
    </row>
    <row r="210" spans="1:3" ht="13" x14ac:dyDescent="0.15">
      <c r="A210" s="10"/>
      <c r="B210" s="13"/>
      <c r="C210" s="13"/>
    </row>
    <row r="211" spans="1:3" ht="13" x14ac:dyDescent="0.15">
      <c r="A211" s="10"/>
      <c r="B211" s="13"/>
      <c r="C211" s="13"/>
    </row>
    <row r="212" spans="1:3" ht="13" x14ac:dyDescent="0.15">
      <c r="A212" s="10"/>
      <c r="B212" s="13"/>
      <c r="C212" s="13"/>
    </row>
    <row r="213" spans="1:3" ht="13" x14ac:dyDescent="0.15">
      <c r="A213" s="10"/>
      <c r="B213" s="13"/>
      <c r="C213" s="13"/>
    </row>
    <row r="214" spans="1:3" ht="13" x14ac:dyDescent="0.15">
      <c r="A214" s="10"/>
      <c r="B214" s="13"/>
      <c r="C214" s="13"/>
    </row>
    <row r="215" spans="1:3" ht="13" x14ac:dyDescent="0.15">
      <c r="A215" s="10"/>
      <c r="B215" s="13"/>
      <c r="C215" s="13"/>
    </row>
    <row r="216" spans="1:3" ht="13" x14ac:dyDescent="0.15">
      <c r="A216" s="10"/>
      <c r="B216" s="13"/>
      <c r="C216" s="13"/>
    </row>
    <row r="217" spans="1:3" ht="13" x14ac:dyDescent="0.15">
      <c r="A217" s="10"/>
      <c r="B217" s="13"/>
      <c r="C217" s="13"/>
    </row>
    <row r="218" spans="1:3" ht="13" x14ac:dyDescent="0.15">
      <c r="A218" s="10"/>
      <c r="B218" s="13"/>
      <c r="C218" s="13"/>
    </row>
    <row r="219" spans="1:3" ht="13" x14ac:dyDescent="0.15">
      <c r="A219" s="10"/>
      <c r="B219" s="13"/>
      <c r="C219" s="13"/>
    </row>
    <row r="220" spans="1:3" ht="13" x14ac:dyDescent="0.15">
      <c r="A220" s="10"/>
      <c r="B220" s="13"/>
      <c r="C220" s="13"/>
    </row>
    <row r="221" spans="1:3" ht="13" x14ac:dyDescent="0.15">
      <c r="A221" s="10"/>
      <c r="B221" s="13"/>
      <c r="C221" s="13"/>
    </row>
    <row r="222" spans="1:3" ht="13" x14ac:dyDescent="0.15">
      <c r="A222" s="10"/>
      <c r="B222" s="13"/>
      <c r="C222" s="13"/>
    </row>
    <row r="223" spans="1:3" ht="13" x14ac:dyDescent="0.15">
      <c r="A223" s="10"/>
      <c r="B223" s="13"/>
      <c r="C223" s="13"/>
    </row>
    <row r="224" spans="1:3" ht="13" x14ac:dyDescent="0.15">
      <c r="A224" s="10"/>
      <c r="B224" s="13"/>
      <c r="C224" s="13"/>
    </row>
    <row r="225" spans="1:3" ht="13" x14ac:dyDescent="0.15">
      <c r="A225" s="10"/>
      <c r="B225" s="13"/>
      <c r="C225" s="13"/>
    </row>
    <row r="226" spans="1:3" ht="13" x14ac:dyDescent="0.15">
      <c r="A226" s="10"/>
      <c r="B226" s="13"/>
      <c r="C226" s="13"/>
    </row>
    <row r="227" spans="1:3" ht="13" x14ac:dyDescent="0.15">
      <c r="A227" s="10"/>
      <c r="B227" s="13"/>
      <c r="C227" s="13"/>
    </row>
    <row r="228" spans="1:3" ht="13" x14ac:dyDescent="0.15">
      <c r="A228" s="10"/>
      <c r="B228" s="13"/>
      <c r="C228" s="13"/>
    </row>
    <row r="229" spans="1:3" ht="13" x14ac:dyDescent="0.15">
      <c r="A229" s="10"/>
      <c r="B229" s="13"/>
      <c r="C229" s="13"/>
    </row>
    <row r="230" spans="1:3" ht="13" x14ac:dyDescent="0.15">
      <c r="A230" s="10"/>
      <c r="B230" s="13"/>
      <c r="C230" s="13"/>
    </row>
    <row r="231" spans="1:3" ht="13" x14ac:dyDescent="0.15">
      <c r="A231" s="10"/>
      <c r="B231" s="13"/>
      <c r="C231" s="13"/>
    </row>
    <row r="232" spans="1:3" ht="13" x14ac:dyDescent="0.15">
      <c r="A232" s="10"/>
      <c r="B232" s="13"/>
      <c r="C232" s="13"/>
    </row>
    <row r="233" spans="1:3" ht="13" x14ac:dyDescent="0.15">
      <c r="A233" s="10"/>
      <c r="B233" s="13"/>
      <c r="C233" s="13"/>
    </row>
    <row r="234" spans="1:3" ht="13" x14ac:dyDescent="0.15">
      <c r="A234" s="10"/>
      <c r="B234" s="13"/>
      <c r="C234" s="13"/>
    </row>
    <row r="235" spans="1:3" ht="13" x14ac:dyDescent="0.15">
      <c r="A235" s="10"/>
      <c r="B235" s="13"/>
      <c r="C235" s="13"/>
    </row>
    <row r="236" spans="1:3" ht="13" x14ac:dyDescent="0.15">
      <c r="A236" s="10"/>
      <c r="B236" s="13"/>
      <c r="C236" s="13"/>
    </row>
    <row r="237" spans="1:3" ht="13" x14ac:dyDescent="0.15">
      <c r="A237" s="10"/>
      <c r="B237" s="13"/>
      <c r="C237" s="13"/>
    </row>
    <row r="238" spans="1:3" ht="13" x14ac:dyDescent="0.15">
      <c r="A238" s="10"/>
      <c r="B238" s="13"/>
      <c r="C238" s="13"/>
    </row>
    <row r="239" spans="1:3" ht="13" x14ac:dyDescent="0.15">
      <c r="A239" s="10"/>
      <c r="B239" s="13"/>
      <c r="C239" s="13"/>
    </row>
    <row r="240" spans="1:3" ht="13" x14ac:dyDescent="0.15">
      <c r="A240" s="10"/>
      <c r="B240" s="13"/>
      <c r="C240" s="13"/>
    </row>
    <row r="241" spans="1:3" ht="13" x14ac:dyDescent="0.15">
      <c r="A241" s="10"/>
      <c r="B241" s="13"/>
      <c r="C241" s="13"/>
    </row>
    <row r="242" spans="1:3" ht="13" x14ac:dyDescent="0.15">
      <c r="A242" s="10"/>
      <c r="B242" s="13"/>
      <c r="C242" s="13"/>
    </row>
    <row r="243" spans="1:3" ht="13" x14ac:dyDescent="0.15">
      <c r="A243" s="10"/>
      <c r="B243" s="13"/>
      <c r="C243" s="13"/>
    </row>
    <row r="244" spans="1:3" ht="13" x14ac:dyDescent="0.15">
      <c r="A244" s="10"/>
      <c r="B244" s="13"/>
      <c r="C244" s="13"/>
    </row>
    <row r="245" spans="1:3" ht="13" x14ac:dyDescent="0.15">
      <c r="A245" s="10"/>
      <c r="B245" s="13"/>
      <c r="C245" s="13"/>
    </row>
    <row r="246" spans="1:3" ht="13" x14ac:dyDescent="0.15">
      <c r="A246" s="10"/>
      <c r="B246" s="13"/>
      <c r="C246" s="13"/>
    </row>
    <row r="247" spans="1:3" ht="13" x14ac:dyDescent="0.15">
      <c r="A247" s="10"/>
      <c r="B247" s="13"/>
      <c r="C247" s="13"/>
    </row>
    <row r="248" spans="1:3" ht="13" x14ac:dyDescent="0.15">
      <c r="A248" s="10"/>
      <c r="B248" s="13"/>
      <c r="C248" s="13"/>
    </row>
    <row r="249" spans="1:3" ht="13" x14ac:dyDescent="0.15">
      <c r="A249" s="10"/>
      <c r="B249" s="13"/>
      <c r="C249" s="13"/>
    </row>
    <row r="250" spans="1:3" ht="13" x14ac:dyDescent="0.15">
      <c r="A250" s="10"/>
      <c r="B250" s="13"/>
      <c r="C250" s="13"/>
    </row>
    <row r="251" spans="1:3" ht="13" x14ac:dyDescent="0.15">
      <c r="A251" s="10"/>
      <c r="B251" s="13"/>
      <c r="C251" s="13"/>
    </row>
    <row r="252" spans="1:3" ht="13" x14ac:dyDescent="0.15">
      <c r="A252" s="10"/>
      <c r="B252" s="13"/>
      <c r="C252" s="13"/>
    </row>
    <row r="253" spans="1:3" ht="13" x14ac:dyDescent="0.15">
      <c r="A253" s="10"/>
      <c r="B253" s="13"/>
      <c r="C253" s="13"/>
    </row>
    <row r="254" spans="1:3" ht="13" x14ac:dyDescent="0.15">
      <c r="A254" s="10"/>
      <c r="B254" s="13"/>
      <c r="C254" s="13"/>
    </row>
    <row r="255" spans="1:3" ht="13" x14ac:dyDescent="0.15">
      <c r="A255" s="10"/>
      <c r="B255" s="13"/>
      <c r="C255" s="13"/>
    </row>
    <row r="256" spans="1:3" ht="13" x14ac:dyDescent="0.15">
      <c r="A256" s="10"/>
      <c r="B256" s="13"/>
      <c r="C256" s="13"/>
    </row>
    <row r="257" spans="1:3" ht="13" x14ac:dyDescent="0.15">
      <c r="A257" s="10"/>
      <c r="B257" s="13"/>
      <c r="C257" s="13"/>
    </row>
    <row r="258" spans="1:3" ht="13" x14ac:dyDescent="0.15">
      <c r="A258" s="10"/>
      <c r="B258" s="13"/>
      <c r="C258" s="13"/>
    </row>
    <row r="259" spans="1:3" ht="13" x14ac:dyDescent="0.15">
      <c r="A259" s="10"/>
      <c r="B259" s="13"/>
      <c r="C259" s="13"/>
    </row>
    <row r="260" spans="1:3" ht="13" x14ac:dyDescent="0.15">
      <c r="A260" s="10"/>
      <c r="B260" s="13"/>
      <c r="C260" s="13"/>
    </row>
    <row r="261" spans="1:3" ht="13" x14ac:dyDescent="0.15">
      <c r="A261" s="10"/>
      <c r="B261" s="13"/>
      <c r="C261" s="13"/>
    </row>
    <row r="262" spans="1:3" ht="13" x14ac:dyDescent="0.15">
      <c r="A262" s="10"/>
      <c r="B262" s="13"/>
      <c r="C262" s="13"/>
    </row>
    <row r="263" spans="1:3" ht="13" x14ac:dyDescent="0.15">
      <c r="A263" s="10"/>
      <c r="B263" s="13"/>
      <c r="C263" s="13"/>
    </row>
    <row r="264" spans="1:3" ht="13" x14ac:dyDescent="0.15">
      <c r="A264" s="10"/>
      <c r="B264" s="13"/>
      <c r="C264" s="13"/>
    </row>
    <row r="265" spans="1:3" ht="13" x14ac:dyDescent="0.15">
      <c r="A265" s="10"/>
      <c r="B265" s="13"/>
      <c r="C265" s="13"/>
    </row>
    <row r="266" spans="1:3" ht="13" x14ac:dyDescent="0.15">
      <c r="A266" s="10"/>
      <c r="B266" s="13"/>
      <c r="C266" s="13"/>
    </row>
    <row r="267" spans="1:3" ht="13" x14ac:dyDescent="0.15">
      <c r="A267" s="10"/>
      <c r="B267" s="13"/>
      <c r="C267" s="13"/>
    </row>
    <row r="268" spans="1:3" ht="13" x14ac:dyDescent="0.15">
      <c r="A268" s="10"/>
      <c r="B268" s="13"/>
      <c r="C268" s="13"/>
    </row>
    <row r="269" spans="1:3" ht="13" x14ac:dyDescent="0.15">
      <c r="A269" s="10"/>
      <c r="B269" s="13"/>
      <c r="C269" s="13"/>
    </row>
    <row r="270" spans="1:3" ht="13" x14ac:dyDescent="0.15">
      <c r="A270" s="10"/>
      <c r="B270" s="13"/>
      <c r="C270" s="13"/>
    </row>
    <row r="271" spans="1:3" ht="13" x14ac:dyDescent="0.15">
      <c r="A271" s="10"/>
      <c r="B271" s="13"/>
      <c r="C271" s="13"/>
    </row>
    <row r="272" spans="1:3" ht="13" x14ac:dyDescent="0.15">
      <c r="A272" s="10"/>
      <c r="B272" s="13"/>
      <c r="C272" s="13"/>
    </row>
    <row r="273" spans="1:3" ht="13" x14ac:dyDescent="0.15">
      <c r="A273" s="10"/>
      <c r="B273" s="13"/>
      <c r="C273" s="13"/>
    </row>
    <row r="274" spans="1:3" ht="13" x14ac:dyDescent="0.15">
      <c r="A274" s="10"/>
      <c r="B274" s="13"/>
      <c r="C274" s="13"/>
    </row>
    <row r="275" spans="1:3" ht="13" x14ac:dyDescent="0.15">
      <c r="A275" s="10"/>
      <c r="B275" s="13"/>
      <c r="C275" s="13"/>
    </row>
    <row r="276" spans="1:3" ht="13" x14ac:dyDescent="0.15">
      <c r="A276" s="10"/>
      <c r="B276" s="13"/>
      <c r="C276" s="13"/>
    </row>
    <row r="277" spans="1:3" ht="13" x14ac:dyDescent="0.15">
      <c r="A277" s="10"/>
      <c r="B277" s="13"/>
      <c r="C277" s="13"/>
    </row>
    <row r="278" spans="1:3" ht="13" x14ac:dyDescent="0.15">
      <c r="A278" s="10"/>
      <c r="B278" s="13"/>
      <c r="C278" s="13"/>
    </row>
    <row r="279" spans="1:3" ht="13" x14ac:dyDescent="0.15">
      <c r="A279" s="10"/>
      <c r="B279" s="13"/>
      <c r="C279" s="13"/>
    </row>
    <row r="280" spans="1:3" ht="13" x14ac:dyDescent="0.15">
      <c r="A280" s="10"/>
      <c r="B280" s="13"/>
      <c r="C280" s="13"/>
    </row>
    <row r="281" spans="1:3" ht="13" x14ac:dyDescent="0.15">
      <c r="A281" s="10"/>
      <c r="B281" s="13"/>
      <c r="C281" s="13"/>
    </row>
    <row r="282" spans="1:3" ht="13" x14ac:dyDescent="0.15">
      <c r="A282" s="10"/>
      <c r="B282" s="13"/>
      <c r="C282" s="13"/>
    </row>
    <row r="283" spans="1:3" ht="13" x14ac:dyDescent="0.15">
      <c r="A283" s="10"/>
      <c r="B283" s="13"/>
      <c r="C283" s="13"/>
    </row>
    <row r="284" spans="1:3" ht="13" x14ac:dyDescent="0.15">
      <c r="A284" s="10"/>
      <c r="B284" s="13"/>
      <c r="C284" s="13"/>
    </row>
    <row r="285" spans="1:3" ht="13" x14ac:dyDescent="0.15">
      <c r="A285" s="10"/>
      <c r="B285" s="13"/>
      <c r="C285" s="13"/>
    </row>
    <row r="286" spans="1:3" ht="13" x14ac:dyDescent="0.15">
      <c r="A286" s="10"/>
      <c r="B286" s="13"/>
      <c r="C286" s="13"/>
    </row>
    <row r="287" spans="1:3" ht="13" x14ac:dyDescent="0.15">
      <c r="A287" s="10"/>
      <c r="B287" s="13"/>
      <c r="C287" s="13"/>
    </row>
    <row r="288" spans="1:3" ht="13" x14ac:dyDescent="0.15">
      <c r="A288" s="10"/>
      <c r="B288" s="13"/>
      <c r="C288" s="13"/>
    </row>
    <row r="289" spans="1:3" ht="13" x14ac:dyDescent="0.15">
      <c r="A289" s="10"/>
      <c r="B289" s="13"/>
      <c r="C289" s="13"/>
    </row>
    <row r="290" spans="1:3" ht="13" x14ac:dyDescent="0.15">
      <c r="A290" s="10"/>
      <c r="B290" s="13"/>
      <c r="C290" s="13"/>
    </row>
    <row r="291" spans="1:3" ht="13" x14ac:dyDescent="0.15">
      <c r="A291" s="10"/>
      <c r="B291" s="13"/>
      <c r="C291" s="13"/>
    </row>
    <row r="292" spans="1:3" ht="13" x14ac:dyDescent="0.15">
      <c r="A292" s="10"/>
      <c r="B292" s="13"/>
      <c r="C292" s="13"/>
    </row>
    <row r="293" spans="1:3" ht="13" x14ac:dyDescent="0.15">
      <c r="A293" s="10"/>
      <c r="B293" s="13"/>
      <c r="C293" s="13"/>
    </row>
    <row r="294" spans="1:3" ht="13" x14ac:dyDescent="0.15">
      <c r="A294" s="10"/>
      <c r="B294" s="13"/>
      <c r="C294" s="13"/>
    </row>
    <row r="295" spans="1:3" ht="13" x14ac:dyDescent="0.15">
      <c r="A295" s="10"/>
      <c r="B295" s="13"/>
      <c r="C295" s="13"/>
    </row>
    <row r="296" spans="1:3" ht="13" x14ac:dyDescent="0.15">
      <c r="A296" s="10"/>
      <c r="B296" s="13"/>
      <c r="C296" s="13"/>
    </row>
    <row r="297" spans="1:3" ht="13" x14ac:dyDescent="0.15">
      <c r="A297" s="10"/>
      <c r="B297" s="13"/>
      <c r="C297" s="13"/>
    </row>
    <row r="298" spans="1:3" ht="13" x14ac:dyDescent="0.15">
      <c r="A298" s="10"/>
      <c r="B298" s="13"/>
      <c r="C298" s="13"/>
    </row>
    <row r="299" spans="1:3" ht="13" x14ac:dyDescent="0.15">
      <c r="A299" s="10"/>
      <c r="B299" s="13"/>
      <c r="C299" s="13"/>
    </row>
    <row r="300" spans="1:3" ht="13" x14ac:dyDescent="0.15">
      <c r="A300" s="10"/>
      <c r="B300" s="13"/>
      <c r="C300" s="13"/>
    </row>
    <row r="301" spans="1:3" ht="13" x14ac:dyDescent="0.15">
      <c r="A301" s="10"/>
      <c r="B301" s="13"/>
      <c r="C301" s="13"/>
    </row>
    <row r="302" spans="1:3" ht="13" x14ac:dyDescent="0.15">
      <c r="A302" s="10"/>
      <c r="B302" s="13"/>
      <c r="C302" s="13"/>
    </row>
    <row r="303" spans="1:3" ht="13" x14ac:dyDescent="0.15">
      <c r="A303" s="10"/>
      <c r="B303" s="13"/>
      <c r="C303" s="13"/>
    </row>
    <row r="304" spans="1:3" ht="13" x14ac:dyDescent="0.15">
      <c r="A304" s="10"/>
      <c r="B304" s="13"/>
      <c r="C304" s="13"/>
    </row>
    <row r="305" spans="1:3" ht="13" x14ac:dyDescent="0.15">
      <c r="A305" s="10"/>
      <c r="B305" s="13"/>
      <c r="C305" s="13"/>
    </row>
    <row r="306" spans="1:3" ht="13" x14ac:dyDescent="0.15">
      <c r="A306" s="10"/>
      <c r="B306" s="13"/>
      <c r="C306" s="13"/>
    </row>
    <row r="307" spans="1:3" ht="13" x14ac:dyDescent="0.15">
      <c r="A307" s="10"/>
      <c r="B307" s="13"/>
      <c r="C307" s="13"/>
    </row>
    <row r="308" spans="1:3" ht="13" x14ac:dyDescent="0.15">
      <c r="A308" s="10"/>
      <c r="B308" s="13"/>
      <c r="C308" s="13"/>
    </row>
    <row r="309" spans="1:3" ht="13" x14ac:dyDescent="0.15">
      <c r="A309" s="10"/>
      <c r="B309" s="13"/>
      <c r="C309" s="13"/>
    </row>
    <row r="310" spans="1:3" ht="13" x14ac:dyDescent="0.15">
      <c r="A310" s="10"/>
      <c r="B310" s="13"/>
      <c r="C310" s="13"/>
    </row>
    <row r="311" spans="1:3" ht="13" x14ac:dyDescent="0.15">
      <c r="A311" s="10"/>
      <c r="B311" s="13"/>
      <c r="C311" s="13"/>
    </row>
    <row r="312" spans="1:3" ht="13" x14ac:dyDescent="0.15">
      <c r="A312" s="10"/>
      <c r="B312" s="13"/>
      <c r="C312" s="13"/>
    </row>
    <row r="313" spans="1:3" ht="13" x14ac:dyDescent="0.15">
      <c r="A313" s="10"/>
      <c r="B313" s="13"/>
      <c r="C313" s="13"/>
    </row>
    <row r="314" spans="1:3" ht="13" x14ac:dyDescent="0.15">
      <c r="A314" s="10"/>
      <c r="B314" s="13"/>
      <c r="C314" s="13"/>
    </row>
    <row r="315" spans="1:3" ht="13" x14ac:dyDescent="0.15">
      <c r="A315" s="10"/>
      <c r="B315" s="13"/>
      <c r="C315" s="13"/>
    </row>
    <row r="316" spans="1:3" ht="13" x14ac:dyDescent="0.15">
      <c r="A316" s="10"/>
      <c r="B316" s="13"/>
      <c r="C316" s="13"/>
    </row>
    <row r="317" spans="1:3" ht="13" x14ac:dyDescent="0.15">
      <c r="A317" s="10"/>
      <c r="B317" s="13"/>
      <c r="C317" s="13"/>
    </row>
    <row r="318" spans="1:3" ht="13" x14ac:dyDescent="0.15">
      <c r="A318" s="10"/>
      <c r="B318" s="13"/>
      <c r="C318" s="13"/>
    </row>
    <row r="319" spans="1:3" ht="13" x14ac:dyDescent="0.15">
      <c r="A319" s="10"/>
      <c r="B319" s="13"/>
      <c r="C319" s="13"/>
    </row>
    <row r="320" spans="1:3" ht="13" x14ac:dyDescent="0.15">
      <c r="A320" s="10"/>
      <c r="B320" s="13"/>
      <c r="C320" s="13"/>
    </row>
    <row r="321" spans="1:3" ht="13" x14ac:dyDescent="0.15">
      <c r="A321" s="10"/>
      <c r="B321" s="13"/>
      <c r="C321" s="13"/>
    </row>
    <row r="322" spans="1:3" ht="13" x14ac:dyDescent="0.15">
      <c r="A322" s="10"/>
      <c r="B322" s="13"/>
      <c r="C322" s="13"/>
    </row>
    <row r="323" spans="1:3" ht="13" x14ac:dyDescent="0.15">
      <c r="A323" s="10"/>
      <c r="B323" s="13"/>
      <c r="C323" s="13"/>
    </row>
    <row r="324" spans="1:3" ht="13" x14ac:dyDescent="0.15">
      <c r="A324" s="10"/>
      <c r="B324" s="13"/>
      <c r="C324" s="13"/>
    </row>
    <row r="325" spans="1:3" ht="13" x14ac:dyDescent="0.15">
      <c r="A325" s="10"/>
      <c r="B325" s="13"/>
      <c r="C325" s="13"/>
    </row>
    <row r="326" spans="1:3" ht="13" x14ac:dyDescent="0.15">
      <c r="A326" s="10"/>
      <c r="B326" s="13"/>
      <c r="C326" s="13"/>
    </row>
    <row r="327" spans="1:3" ht="13" x14ac:dyDescent="0.15">
      <c r="A327" s="10"/>
      <c r="B327" s="13"/>
      <c r="C327" s="13"/>
    </row>
    <row r="328" spans="1:3" ht="13" x14ac:dyDescent="0.15">
      <c r="A328" s="10"/>
      <c r="B328" s="13"/>
      <c r="C328" s="13"/>
    </row>
    <row r="329" spans="1:3" ht="13" x14ac:dyDescent="0.15">
      <c r="A329" s="10"/>
      <c r="B329" s="13"/>
      <c r="C329" s="13"/>
    </row>
    <row r="330" spans="1:3" ht="13" x14ac:dyDescent="0.15">
      <c r="A330" s="10"/>
      <c r="B330" s="13"/>
      <c r="C330" s="13"/>
    </row>
    <row r="331" spans="1:3" ht="13" x14ac:dyDescent="0.15">
      <c r="A331" s="10"/>
      <c r="B331" s="13"/>
      <c r="C331" s="13"/>
    </row>
    <row r="332" spans="1:3" ht="13" x14ac:dyDescent="0.15">
      <c r="A332" s="10"/>
      <c r="B332" s="13"/>
      <c r="C332" s="13"/>
    </row>
    <row r="333" spans="1:3" ht="13" x14ac:dyDescent="0.15">
      <c r="A333" s="10"/>
      <c r="B333" s="13"/>
      <c r="C333" s="13"/>
    </row>
    <row r="334" spans="1:3" ht="13" x14ac:dyDescent="0.15">
      <c r="A334" s="10"/>
      <c r="B334" s="13"/>
      <c r="C334" s="13"/>
    </row>
    <row r="335" spans="1:3" ht="13" x14ac:dyDescent="0.15">
      <c r="A335" s="10"/>
      <c r="B335" s="13"/>
      <c r="C335" s="13"/>
    </row>
    <row r="336" spans="1:3" ht="13" x14ac:dyDescent="0.15">
      <c r="A336" s="10"/>
      <c r="B336" s="13"/>
      <c r="C336" s="13"/>
    </row>
    <row r="337" spans="1:3" ht="13" x14ac:dyDescent="0.15">
      <c r="A337" s="10"/>
      <c r="B337" s="13"/>
      <c r="C337" s="13"/>
    </row>
    <row r="338" spans="1:3" ht="13" x14ac:dyDescent="0.15">
      <c r="A338" s="10"/>
      <c r="B338" s="13"/>
      <c r="C338" s="13"/>
    </row>
    <row r="339" spans="1:3" ht="13" x14ac:dyDescent="0.15">
      <c r="A339" s="10"/>
      <c r="B339" s="13"/>
      <c r="C339" s="13"/>
    </row>
    <row r="340" spans="1:3" ht="13" x14ac:dyDescent="0.15">
      <c r="A340" s="10"/>
      <c r="B340" s="13"/>
      <c r="C340" s="13"/>
    </row>
    <row r="341" spans="1:3" ht="13" x14ac:dyDescent="0.15">
      <c r="A341" s="10"/>
      <c r="B341" s="13"/>
      <c r="C341" s="13"/>
    </row>
    <row r="342" spans="1:3" ht="13" x14ac:dyDescent="0.15">
      <c r="A342" s="10"/>
      <c r="B342" s="13"/>
      <c r="C342" s="13"/>
    </row>
    <row r="343" spans="1:3" ht="13" x14ac:dyDescent="0.15">
      <c r="A343" s="10"/>
      <c r="B343" s="13"/>
      <c r="C343" s="13"/>
    </row>
    <row r="344" spans="1:3" ht="13" x14ac:dyDescent="0.15">
      <c r="A344" s="10"/>
      <c r="B344" s="13"/>
      <c r="C344" s="13"/>
    </row>
    <row r="345" spans="1:3" ht="13" x14ac:dyDescent="0.15">
      <c r="A345" s="10"/>
      <c r="B345" s="13"/>
      <c r="C345" s="13"/>
    </row>
    <row r="346" spans="1:3" ht="13" x14ac:dyDescent="0.15">
      <c r="A346" s="10"/>
      <c r="B346" s="13"/>
      <c r="C346" s="13"/>
    </row>
    <row r="347" spans="1:3" ht="13" x14ac:dyDescent="0.15">
      <c r="A347" s="10"/>
      <c r="B347" s="13"/>
      <c r="C347" s="13"/>
    </row>
    <row r="348" spans="1:3" ht="13" x14ac:dyDescent="0.15">
      <c r="A348" s="10"/>
      <c r="B348" s="13"/>
      <c r="C348" s="13"/>
    </row>
    <row r="349" spans="1:3" ht="13" x14ac:dyDescent="0.15">
      <c r="A349" s="10"/>
      <c r="B349" s="13"/>
      <c r="C349" s="13"/>
    </row>
    <row r="350" spans="1:3" ht="13" x14ac:dyDescent="0.15">
      <c r="A350" s="10"/>
      <c r="B350" s="13"/>
      <c r="C350" s="13"/>
    </row>
    <row r="351" spans="1:3" ht="13" x14ac:dyDescent="0.15">
      <c r="A351" s="10"/>
      <c r="B351" s="13"/>
      <c r="C351" s="13"/>
    </row>
    <row r="352" spans="1:3" ht="13" x14ac:dyDescent="0.15">
      <c r="A352" s="10"/>
      <c r="B352" s="13"/>
      <c r="C352" s="13"/>
    </row>
    <row r="353" spans="1:3" ht="13" x14ac:dyDescent="0.15">
      <c r="A353" s="10"/>
      <c r="B353" s="13"/>
      <c r="C353" s="13"/>
    </row>
    <row r="354" spans="1:3" ht="13" x14ac:dyDescent="0.15">
      <c r="A354" s="10"/>
      <c r="B354" s="13"/>
      <c r="C354" s="13"/>
    </row>
    <row r="355" spans="1:3" ht="13" x14ac:dyDescent="0.15">
      <c r="A355" s="10"/>
      <c r="B355" s="13"/>
      <c r="C355" s="13"/>
    </row>
    <row r="356" spans="1:3" ht="13" x14ac:dyDescent="0.15">
      <c r="A356" s="10"/>
      <c r="B356" s="13"/>
      <c r="C356" s="13"/>
    </row>
    <row r="357" spans="1:3" ht="13" x14ac:dyDescent="0.15">
      <c r="A357" s="10"/>
      <c r="B357" s="13"/>
      <c r="C357" s="13"/>
    </row>
    <row r="358" spans="1:3" ht="13" x14ac:dyDescent="0.15">
      <c r="A358" s="10"/>
      <c r="B358" s="13"/>
      <c r="C358" s="13"/>
    </row>
    <row r="359" spans="1:3" ht="13" x14ac:dyDescent="0.15">
      <c r="A359" s="10"/>
      <c r="B359" s="13"/>
      <c r="C359" s="13"/>
    </row>
    <row r="360" spans="1:3" ht="13" x14ac:dyDescent="0.15">
      <c r="A360" s="10"/>
      <c r="B360" s="13"/>
      <c r="C360" s="13"/>
    </row>
    <row r="361" spans="1:3" ht="13" x14ac:dyDescent="0.15">
      <c r="A361" s="10"/>
      <c r="B361" s="13"/>
      <c r="C361" s="13"/>
    </row>
    <row r="362" spans="1:3" ht="13" x14ac:dyDescent="0.15">
      <c r="A362" s="10"/>
      <c r="B362" s="13"/>
      <c r="C362" s="13"/>
    </row>
    <row r="363" spans="1:3" ht="13" x14ac:dyDescent="0.15">
      <c r="A363" s="10"/>
      <c r="B363" s="13"/>
      <c r="C363" s="13"/>
    </row>
    <row r="364" spans="1:3" ht="13" x14ac:dyDescent="0.15">
      <c r="A364" s="10"/>
      <c r="B364" s="13"/>
      <c r="C364" s="13"/>
    </row>
    <row r="365" spans="1:3" ht="13" x14ac:dyDescent="0.15">
      <c r="A365" s="10"/>
      <c r="B365" s="13"/>
      <c r="C365" s="13"/>
    </row>
    <row r="366" spans="1:3" ht="13" x14ac:dyDescent="0.15">
      <c r="A366" s="10"/>
      <c r="B366" s="13"/>
      <c r="C366" s="13"/>
    </row>
    <row r="367" spans="1:3" ht="13" x14ac:dyDescent="0.15">
      <c r="A367" s="10"/>
      <c r="B367" s="13"/>
      <c r="C367" s="13"/>
    </row>
    <row r="368" spans="1:3" ht="13" x14ac:dyDescent="0.15">
      <c r="A368" s="10"/>
      <c r="B368" s="13"/>
      <c r="C368" s="13"/>
    </row>
    <row r="369" spans="1:3" ht="13" x14ac:dyDescent="0.15">
      <c r="A369" s="10"/>
      <c r="B369" s="13"/>
      <c r="C369" s="13"/>
    </row>
    <row r="370" spans="1:3" ht="13" x14ac:dyDescent="0.15">
      <c r="A370" s="10"/>
      <c r="B370" s="13"/>
      <c r="C370" s="13"/>
    </row>
    <row r="371" spans="1:3" ht="13" x14ac:dyDescent="0.15">
      <c r="A371" s="10"/>
      <c r="B371" s="13"/>
      <c r="C371" s="13"/>
    </row>
    <row r="372" spans="1:3" ht="13" x14ac:dyDescent="0.15">
      <c r="A372" s="10"/>
      <c r="B372" s="13"/>
      <c r="C372" s="13"/>
    </row>
    <row r="373" spans="1:3" ht="13" x14ac:dyDescent="0.15">
      <c r="A373" s="10"/>
      <c r="B373" s="13"/>
      <c r="C373" s="13"/>
    </row>
    <row r="374" spans="1:3" ht="13" x14ac:dyDescent="0.15">
      <c r="A374" s="10"/>
      <c r="B374" s="13"/>
      <c r="C374" s="13"/>
    </row>
    <row r="375" spans="1:3" ht="13" x14ac:dyDescent="0.15">
      <c r="A375" s="10"/>
      <c r="B375" s="13"/>
      <c r="C375" s="13"/>
    </row>
    <row r="376" spans="1:3" ht="13" x14ac:dyDescent="0.15">
      <c r="A376" s="10"/>
      <c r="B376" s="13"/>
      <c r="C376" s="13"/>
    </row>
    <row r="377" spans="1:3" ht="13" x14ac:dyDescent="0.15">
      <c r="A377" s="10"/>
      <c r="B377" s="13"/>
      <c r="C377" s="13"/>
    </row>
    <row r="378" spans="1:3" ht="13" x14ac:dyDescent="0.15">
      <c r="A378" s="10"/>
      <c r="B378" s="13"/>
      <c r="C378" s="13"/>
    </row>
    <row r="379" spans="1:3" ht="13" x14ac:dyDescent="0.15">
      <c r="A379" s="10"/>
      <c r="B379" s="13"/>
      <c r="C379" s="13"/>
    </row>
    <row r="380" spans="1:3" ht="13" x14ac:dyDescent="0.15">
      <c r="A380" s="10"/>
      <c r="B380" s="13"/>
      <c r="C380" s="13"/>
    </row>
    <row r="381" spans="1:3" ht="13" x14ac:dyDescent="0.15">
      <c r="A381" s="10"/>
      <c r="B381" s="13"/>
      <c r="C381" s="13"/>
    </row>
    <row r="382" spans="1:3" ht="13" x14ac:dyDescent="0.15">
      <c r="A382" s="10"/>
      <c r="B382" s="13"/>
      <c r="C382" s="13"/>
    </row>
    <row r="383" spans="1:3" ht="13" x14ac:dyDescent="0.15">
      <c r="A383" s="10"/>
      <c r="B383" s="13"/>
      <c r="C383" s="13"/>
    </row>
    <row r="384" spans="1:3" ht="13" x14ac:dyDescent="0.15">
      <c r="A384" s="10"/>
      <c r="B384" s="13"/>
      <c r="C384" s="13"/>
    </row>
    <row r="385" spans="1:3" ht="13" x14ac:dyDescent="0.15">
      <c r="A385" s="10"/>
      <c r="B385" s="13"/>
      <c r="C385" s="13"/>
    </row>
    <row r="386" spans="1:3" ht="13" x14ac:dyDescent="0.15">
      <c r="A386" s="10"/>
      <c r="B386" s="13"/>
      <c r="C386" s="13"/>
    </row>
    <row r="387" spans="1:3" ht="13" x14ac:dyDescent="0.15">
      <c r="A387" s="10"/>
      <c r="B387" s="13"/>
      <c r="C387" s="13"/>
    </row>
    <row r="388" spans="1:3" ht="13" x14ac:dyDescent="0.15">
      <c r="A388" s="10"/>
      <c r="B388" s="13"/>
      <c r="C388" s="13"/>
    </row>
    <row r="389" spans="1:3" ht="13" x14ac:dyDescent="0.15">
      <c r="A389" s="10"/>
      <c r="B389" s="13"/>
      <c r="C389" s="13"/>
    </row>
    <row r="390" spans="1:3" ht="13" x14ac:dyDescent="0.15">
      <c r="A390" s="10"/>
      <c r="B390" s="13"/>
      <c r="C390" s="13"/>
    </row>
    <row r="391" spans="1:3" ht="13" x14ac:dyDescent="0.15">
      <c r="A391" s="10"/>
      <c r="B391" s="13"/>
      <c r="C391" s="13"/>
    </row>
    <row r="392" spans="1:3" ht="13" x14ac:dyDescent="0.15">
      <c r="A392" s="10"/>
      <c r="B392" s="13"/>
      <c r="C392" s="13"/>
    </row>
    <row r="393" spans="1:3" ht="13" x14ac:dyDescent="0.15">
      <c r="A393" s="10"/>
      <c r="B393" s="13"/>
      <c r="C393" s="13"/>
    </row>
    <row r="394" spans="1:3" ht="13" x14ac:dyDescent="0.15">
      <c r="A394" s="10"/>
      <c r="B394" s="13"/>
      <c r="C394" s="13"/>
    </row>
    <row r="395" spans="1:3" ht="13" x14ac:dyDescent="0.15">
      <c r="A395" s="10"/>
      <c r="B395" s="13"/>
      <c r="C395" s="13"/>
    </row>
    <row r="396" spans="1:3" ht="13" x14ac:dyDescent="0.15">
      <c r="A396" s="10"/>
      <c r="B396" s="13"/>
      <c r="C396" s="13"/>
    </row>
    <row r="397" spans="1:3" ht="13" x14ac:dyDescent="0.15">
      <c r="A397" s="10"/>
      <c r="B397" s="13"/>
      <c r="C397" s="13"/>
    </row>
    <row r="398" spans="1:3" ht="13" x14ac:dyDescent="0.15">
      <c r="A398" s="10"/>
      <c r="B398" s="13"/>
      <c r="C398" s="13"/>
    </row>
    <row r="399" spans="1:3" ht="13" x14ac:dyDescent="0.15">
      <c r="A399" s="10"/>
      <c r="B399" s="13"/>
      <c r="C399" s="13"/>
    </row>
    <row r="400" spans="1:3" ht="13" x14ac:dyDescent="0.15">
      <c r="A400" s="10"/>
      <c r="B400" s="13"/>
      <c r="C400" s="13"/>
    </row>
    <row r="401" spans="1:3" ht="13" x14ac:dyDescent="0.15">
      <c r="A401" s="10"/>
      <c r="B401" s="13"/>
      <c r="C401" s="13"/>
    </row>
    <row r="402" spans="1:3" ht="13" x14ac:dyDescent="0.15">
      <c r="A402" s="10"/>
      <c r="B402" s="13"/>
      <c r="C402" s="13"/>
    </row>
    <row r="403" spans="1:3" ht="13" x14ac:dyDescent="0.15">
      <c r="A403" s="10"/>
      <c r="B403" s="13"/>
      <c r="C403" s="13"/>
    </row>
    <row r="404" spans="1:3" ht="13" x14ac:dyDescent="0.15">
      <c r="A404" s="10"/>
      <c r="B404" s="13"/>
      <c r="C404" s="13"/>
    </row>
    <row r="405" spans="1:3" ht="13" x14ac:dyDescent="0.15">
      <c r="A405" s="10"/>
      <c r="B405" s="13"/>
      <c r="C405" s="13"/>
    </row>
    <row r="406" spans="1:3" ht="13" x14ac:dyDescent="0.15">
      <c r="A406" s="10"/>
      <c r="B406" s="13"/>
      <c r="C406" s="13"/>
    </row>
    <row r="407" spans="1:3" ht="13" x14ac:dyDescent="0.15">
      <c r="A407" s="10"/>
      <c r="B407" s="13"/>
      <c r="C407" s="13"/>
    </row>
    <row r="408" spans="1:3" ht="13" x14ac:dyDescent="0.15">
      <c r="A408" s="10"/>
      <c r="B408" s="13"/>
      <c r="C408" s="13"/>
    </row>
    <row r="409" spans="1:3" ht="13" x14ac:dyDescent="0.15">
      <c r="A409" s="10"/>
      <c r="B409" s="13"/>
      <c r="C409" s="13"/>
    </row>
    <row r="410" spans="1:3" ht="13" x14ac:dyDescent="0.15">
      <c r="A410" s="10"/>
      <c r="B410" s="13"/>
      <c r="C410" s="13"/>
    </row>
    <row r="411" spans="1:3" ht="13" x14ac:dyDescent="0.15">
      <c r="A411" s="10"/>
      <c r="B411" s="13"/>
      <c r="C411" s="13"/>
    </row>
    <row r="412" spans="1:3" ht="13" x14ac:dyDescent="0.15">
      <c r="A412" s="10"/>
      <c r="B412" s="13"/>
      <c r="C412" s="13"/>
    </row>
    <row r="413" spans="1:3" ht="13" x14ac:dyDescent="0.15">
      <c r="A413" s="10"/>
      <c r="B413" s="13"/>
      <c r="C413" s="13"/>
    </row>
    <row r="414" spans="1:3" ht="13" x14ac:dyDescent="0.15">
      <c r="A414" s="10"/>
      <c r="B414" s="13"/>
      <c r="C414" s="13"/>
    </row>
    <row r="415" spans="1:3" ht="13" x14ac:dyDescent="0.15">
      <c r="A415" s="10"/>
      <c r="B415" s="13"/>
      <c r="C415" s="13"/>
    </row>
    <row r="416" spans="1:3" ht="13" x14ac:dyDescent="0.15">
      <c r="A416" s="10"/>
      <c r="B416" s="13"/>
      <c r="C416" s="13"/>
    </row>
    <row r="417" spans="1:3" ht="13" x14ac:dyDescent="0.15">
      <c r="A417" s="10"/>
      <c r="B417" s="13"/>
      <c r="C417" s="13"/>
    </row>
    <row r="418" spans="1:3" ht="13" x14ac:dyDescent="0.15">
      <c r="A418" s="10"/>
      <c r="B418" s="13"/>
      <c r="C418" s="13"/>
    </row>
    <row r="419" spans="1:3" ht="13" x14ac:dyDescent="0.15">
      <c r="A419" s="10"/>
      <c r="B419" s="13"/>
      <c r="C419" s="13"/>
    </row>
    <row r="420" spans="1:3" ht="13" x14ac:dyDescent="0.15">
      <c r="A420" s="10"/>
      <c r="B420" s="13"/>
      <c r="C420" s="13"/>
    </row>
    <row r="421" spans="1:3" ht="13" x14ac:dyDescent="0.15">
      <c r="A421" s="10"/>
      <c r="B421" s="13"/>
      <c r="C421" s="13"/>
    </row>
    <row r="422" spans="1:3" ht="13" x14ac:dyDescent="0.15">
      <c r="A422" s="10"/>
      <c r="B422" s="13"/>
      <c r="C422" s="13"/>
    </row>
    <row r="423" spans="1:3" ht="13" x14ac:dyDescent="0.15">
      <c r="A423" s="10"/>
      <c r="B423" s="13"/>
      <c r="C423" s="13"/>
    </row>
    <row r="424" spans="1:3" ht="13" x14ac:dyDescent="0.15">
      <c r="A424" s="10"/>
      <c r="B424" s="13"/>
      <c r="C424" s="13"/>
    </row>
    <row r="425" spans="1:3" ht="13" x14ac:dyDescent="0.15">
      <c r="A425" s="10"/>
      <c r="B425" s="13"/>
      <c r="C425" s="13"/>
    </row>
    <row r="426" spans="1:3" ht="13" x14ac:dyDescent="0.15">
      <c r="A426" s="10"/>
      <c r="B426" s="13"/>
      <c r="C426" s="13"/>
    </row>
    <row r="427" spans="1:3" ht="13" x14ac:dyDescent="0.15">
      <c r="A427" s="10"/>
      <c r="B427" s="13"/>
      <c r="C427" s="13"/>
    </row>
    <row r="428" spans="1:3" ht="13" x14ac:dyDescent="0.15">
      <c r="A428" s="10"/>
      <c r="B428" s="13"/>
      <c r="C428" s="13"/>
    </row>
    <row r="429" spans="1:3" ht="13" x14ac:dyDescent="0.15">
      <c r="A429" s="10"/>
      <c r="B429" s="13"/>
      <c r="C429" s="13"/>
    </row>
    <row r="430" spans="1:3" ht="13" x14ac:dyDescent="0.15">
      <c r="A430" s="10"/>
      <c r="B430" s="13"/>
      <c r="C430" s="13"/>
    </row>
    <row r="431" spans="1:3" ht="13" x14ac:dyDescent="0.15">
      <c r="A431" s="10"/>
      <c r="B431" s="13"/>
      <c r="C431" s="13"/>
    </row>
    <row r="432" spans="1:3" ht="13" x14ac:dyDescent="0.15">
      <c r="A432" s="10"/>
      <c r="B432" s="13"/>
      <c r="C432" s="13"/>
    </row>
    <row r="433" spans="1:3" ht="13" x14ac:dyDescent="0.15">
      <c r="A433" s="10"/>
      <c r="B433" s="13"/>
      <c r="C433" s="13"/>
    </row>
    <row r="434" spans="1:3" ht="13" x14ac:dyDescent="0.15">
      <c r="A434" s="10"/>
      <c r="B434" s="13"/>
      <c r="C434" s="13"/>
    </row>
    <row r="435" spans="1:3" ht="13" x14ac:dyDescent="0.15">
      <c r="A435" s="10"/>
      <c r="B435" s="13"/>
      <c r="C435" s="13"/>
    </row>
    <row r="436" spans="1:3" ht="13" x14ac:dyDescent="0.15">
      <c r="A436" s="10"/>
      <c r="B436" s="13"/>
      <c r="C436" s="13"/>
    </row>
    <row r="437" spans="1:3" ht="13" x14ac:dyDescent="0.15">
      <c r="A437" s="10"/>
      <c r="B437" s="13"/>
      <c r="C437" s="13"/>
    </row>
    <row r="438" spans="1:3" ht="13" x14ac:dyDescent="0.15">
      <c r="A438" s="10"/>
      <c r="B438" s="13"/>
      <c r="C438" s="13"/>
    </row>
    <row r="439" spans="1:3" ht="13" x14ac:dyDescent="0.15">
      <c r="A439" s="10"/>
      <c r="B439" s="13"/>
      <c r="C439" s="13"/>
    </row>
    <row r="440" spans="1:3" ht="13" x14ac:dyDescent="0.15">
      <c r="A440" s="10"/>
      <c r="B440" s="13"/>
      <c r="C440" s="13"/>
    </row>
    <row r="441" spans="1:3" ht="13" x14ac:dyDescent="0.15">
      <c r="A441" s="10"/>
      <c r="B441" s="13"/>
      <c r="C441" s="13"/>
    </row>
    <row r="442" spans="1:3" ht="13" x14ac:dyDescent="0.15">
      <c r="A442" s="10"/>
      <c r="B442" s="13"/>
      <c r="C442" s="13"/>
    </row>
    <row r="443" spans="1:3" ht="13" x14ac:dyDescent="0.15">
      <c r="A443" s="10"/>
      <c r="B443" s="13"/>
      <c r="C443" s="13"/>
    </row>
    <row r="444" spans="1:3" ht="13" x14ac:dyDescent="0.15">
      <c r="A444" s="10"/>
      <c r="B444" s="13"/>
      <c r="C444" s="13"/>
    </row>
    <row r="445" spans="1:3" ht="13" x14ac:dyDescent="0.15">
      <c r="A445" s="10"/>
      <c r="B445" s="13"/>
      <c r="C445" s="13"/>
    </row>
    <row r="446" spans="1:3" ht="13" x14ac:dyDescent="0.15">
      <c r="A446" s="10"/>
      <c r="B446" s="13"/>
      <c r="C446" s="13"/>
    </row>
    <row r="447" spans="1:3" ht="13" x14ac:dyDescent="0.15">
      <c r="A447" s="10"/>
      <c r="B447" s="13"/>
      <c r="C447" s="13"/>
    </row>
    <row r="448" spans="1:3" ht="13" x14ac:dyDescent="0.15">
      <c r="A448" s="10"/>
      <c r="B448" s="13"/>
      <c r="C448" s="13"/>
    </row>
    <row r="449" spans="1:3" ht="13" x14ac:dyDescent="0.15">
      <c r="A449" s="10"/>
      <c r="B449" s="13"/>
      <c r="C449" s="13"/>
    </row>
    <row r="450" spans="1:3" ht="13" x14ac:dyDescent="0.15">
      <c r="A450" s="10"/>
      <c r="B450" s="13"/>
      <c r="C450" s="13"/>
    </row>
    <row r="451" spans="1:3" ht="13" x14ac:dyDescent="0.15">
      <c r="A451" s="10"/>
      <c r="B451" s="13"/>
      <c r="C451" s="13"/>
    </row>
    <row r="452" spans="1:3" ht="13" x14ac:dyDescent="0.15">
      <c r="A452" s="10"/>
      <c r="B452" s="13"/>
      <c r="C452" s="13"/>
    </row>
    <row r="453" spans="1:3" ht="13" x14ac:dyDescent="0.15">
      <c r="A453" s="10"/>
      <c r="B453" s="13"/>
      <c r="C453" s="13"/>
    </row>
    <row r="454" spans="1:3" ht="13" x14ac:dyDescent="0.15">
      <c r="A454" s="10"/>
      <c r="B454" s="13"/>
      <c r="C454" s="13"/>
    </row>
    <row r="455" spans="1:3" ht="13" x14ac:dyDescent="0.15">
      <c r="A455" s="10"/>
      <c r="B455" s="13"/>
      <c r="C455" s="13"/>
    </row>
    <row r="456" spans="1:3" ht="13" x14ac:dyDescent="0.15">
      <c r="A456" s="10"/>
      <c r="B456" s="13"/>
      <c r="C456" s="13"/>
    </row>
    <row r="457" spans="1:3" ht="13" x14ac:dyDescent="0.15">
      <c r="A457" s="10"/>
      <c r="B457" s="13"/>
      <c r="C457" s="13"/>
    </row>
    <row r="458" spans="1:3" ht="13" x14ac:dyDescent="0.15">
      <c r="A458" s="10"/>
      <c r="B458" s="13"/>
      <c r="C458" s="13"/>
    </row>
    <row r="459" spans="1:3" ht="13" x14ac:dyDescent="0.15">
      <c r="A459" s="10"/>
      <c r="B459" s="13"/>
      <c r="C459" s="13"/>
    </row>
    <row r="460" spans="1:3" ht="13" x14ac:dyDescent="0.15">
      <c r="A460" s="10"/>
      <c r="B460" s="13"/>
      <c r="C460" s="13"/>
    </row>
    <row r="461" spans="1:3" ht="13" x14ac:dyDescent="0.15">
      <c r="A461" s="10"/>
      <c r="B461" s="13"/>
      <c r="C461" s="13"/>
    </row>
    <row r="462" spans="1:3" ht="13" x14ac:dyDescent="0.15">
      <c r="A462" s="10"/>
      <c r="B462" s="13"/>
      <c r="C462" s="13"/>
    </row>
    <row r="463" spans="1:3" ht="13" x14ac:dyDescent="0.15">
      <c r="A463" s="10"/>
      <c r="B463" s="13"/>
      <c r="C463" s="13"/>
    </row>
    <row r="464" spans="1:3" ht="13" x14ac:dyDescent="0.15">
      <c r="A464" s="10"/>
      <c r="B464" s="13"/>
      <c r="C464" s="13"/>
    </row>
    <row r="465" spans="1:3" ht="13" x14ac:dyDescent="0.15">
      <c r="A465" s="10"/>
      <c r="B465" s="13"/>
      <c r="C465" s="13"/>
    </row>
    <row r="466" spans="1:3" ht="13" x14ac:dyDescent="0.15">
      <c r="A466" s="10"/>
      <c r="B466" s="13"/>
      <c r="C466" s="13"/>
    </row>
    <row r="467" spans="1:3" ht="13" x14ac:dyDescent="0.15">
      <c r="A467" s="10"/>
      <c r="B467" s="13"/>
      <c r="C467" s="13"/>
    </row>
    <row r="468" spans="1:3" ht="13" x14ac:dyDescent="0.15">
      <c r="A468" s="10"/>
      <c r="B468" s="13"/>
      <c r="C468" s="13"/>
    </row>
    <row r="469" spans="1:3" ht="13" x14ac:dyDescent="0.15">
      <c r="A469" s="10"/>
      <c r="B469" s="13"/>
      <c r="C469" s="13"/>
    </row>
    <row r="470" spans="1:3" ht="13" x14ac:dyDescent="0.15">
      <c r="A470" s="10"/>
      <c r="B470" s="13"/>
      <c r="C470" s="13"/>
    </row>
    <row r="471" spans="1:3" ht="13" x14ac:dyDescent="0.15">
      <c r="A471" s="10"/>
      <c r="B471" s="13"/>
      <c r="C471" s="13"/>
    </row>
    <row r="472" spans="1:3" ht="13" x14ac:dyDescent="0.15">
      <c r="A472" s="10"/>
      <c r="B472" s="13"/>
      <c r="C472" s="13"/>
    </row>
    <row r="473" spans="1:3" ht="13" x14ac:dyDescent="0.15">
      <c r="A473" s="10"/>
      <c r="B473" s="13"/>
      <c r="C473" s="13"/>
    </row>
    <row r="474" spans="1:3" ht="13" x14ac:dyDescent="0.15">
      <c r="A474" s="10"/>
      <c r="B474" s="13"/>
      <c r="C474" s="13"/>
    </row>
    <row r="475" spans="1:3" ht="13" x14ac:dyDescent="0.15">
      <c r="A475" s="10"/>
      <c r="B475" s="13"/>
      <c r="C475" s="13"/>
    </row>
    <row r="476" spans="1:3" ht="13" x14ac:dyDescent="0.15">
      <c r="A476" s="10"/>
      <c r="B476" s="13"/>
      <c r="C476" s="13"/>
    </row>
    <row r="477" spans="1:3" ht="13" x14ac:dyDescent="0.15">
      <c r="A477" s="10"/>
      <c r="B477" s="13"/>
      <c r="C477" s="13"/>
    </row>
    <row r="478" spans="1:3" ht="13" x14ac:dyDescent="0.15">
      <c r="A478" s="10"/>
      <c r="B478" s="13"/>
      <c r="C478" s="13"/>
    </row>
    <row r="479" spans="1:3" ht="13" x14ac:dyDescent="0.15">
      <c r="A479" s="10"/>
      <c r="B479" s="13"/>
      <c r="C479" s="13"/>
    </row>
    <row r="480" spans="1:3" ht="13" x14ac:dyDescent="0.15">
      <c r="A480" s="10"/>
      <c r="B480" s="13"/>
      <c r="C480" s="13"/>
    </row>
    <row r="481" spans="1:3" ht="13" x14ac:dyDescent="0.15">
      <c r="A481" s="10"/>
      <c r="B481" s="13"/>
      <c r="C481" s="13"/>
    </row>
    <row r="482" spans="1:3" ht="13" x14ac:dyDescent="0.15">
      <c r="A482" s="10"/>
      <c r="B482" s="13"/>
      <c r="C482" s="13"/>
    </row>
    <row r="483" spans="1:3" ht="13" x14ac:dyDescent="0.15">
      <c r="A483" s="10"/>
      <c r="B483" s="13"/>
      <c r="C483" s="13"/>
    </row>
    <row r="484" spans="1:3" ht="13" x14ac:dyDescent="0.15">
      <c r="A484" s="10"/>
      <c r="B484" s="13"/>
      <c r="C484" s="13"/>
    </row>
    <row r="485" spans="1:3" ht="13" x14ac:dyDescent="0.15">
      <c r="A485" s="10"/>
      <c r="B485" s="13"/>
      <c r="C485" s="13"/>
    </row>
    <row r="486" spans="1:3" ht="13" x14ac:dyDescent="0.15">
      <c r="A486" s="10"/>
      <c r="B486" s="13"/>
      <c r="C486" s="13"/>
    </row>
    <row r="487" spans="1:3" ht="13" x14ac:dyDescent="0.15">
      <c r="A487" s="10"/>
      <c r="B487" s="13"/>
      <c r="C487" s="13"/>
    </row>
    <row r="488" spans="1:3" ht="13" x14ac:dyDescent="0.15">
      <c r="A488" s="10"/>
      <c r="B488" s="13"/>
      <c r="C488" s="13"/>
    </row>
    <row r="489" spans="1:3" ht="13" x14ac:dyDescent="0.15">
      <c r="A489" s="10"/>
      <c r="B489" s="13"/>
      <c r="C489" s="13"/>
    </row>
    <row r="490" spans="1:3" ht="13" x14ac:dyDescent="0.15">
      <c r="A490" s="10"/>
      <c r="B490" s="13"/>
      <c r="C490" s="13"/>
    </row>
    <row r="491" spans="1:3" ht="13" x14ac:dyDescent="0.15">
      <c r="A491" s="10"/>
      <c r="B491" s="13"/>
      <c r="C491" s="13"/>
    </row>
    <row r="492" spans="1:3" ht="13" x14ac:dyDescent="0.15">
      <c r="A492" s="10"/>
      <c r="B492" s="13"/>
      <c r="C492" s="13"/>
    </row>
    <row r="493" spans="1:3" ht="13" x14ac:dyDescent="0.15">
      <c r="A493" s="10"/>
      <c r="B493" s="13"/>
      <c r="C493" s="13"/>
    </row>
    <row r="494" spans="1:3" ht="13" x14ac:dyDescent="0.15">
      <c r="A494" s="10"/>
      <c r="B494" s="13"/>
      <c r="C494" s="13"/>
    </row>
    <row r="495" spans="1:3" ht="13" x14ac:dyDescent="0.15">
      <c r="A495" s="10"/>
      <c r="B495" s="13"/>
      <c r="C495" s="13"/>
    </row>
    <row r="496" spans="1:3" ht="13" x14ac:dyDescent="0.15">
      <c r="A496" s="10"/>
      <c r="B496" s="13"/>
      <c r="C496" s="13"/>
    </row>
    <row r="497" spans="1:3" ht="13" x14ac:dyDescent="0.15">
      <c r="A497" s="10"/>
      <c r="B497" s="13"/>
      <c r="C497" s="13"/>
    </row>
    <row r="498" spans="1:3" ht="13" x14ac:dyDescent="0.15">
      <c r="A498" s="10"/>
      <c r="B498" s="13"/>
      <c r="C498" s="13"/>
    </row>
    <row r="499" spans="1:3" ht="13" x14ac:dyDescent="0.15">
      <c r="A499" s="10"/>
      <c r="B499" s="13"/>
      <c r="C499" s="13"/>
    </row>
    <row r="500" spans="1:3" ht="13" x14ac:dyDescent="0.15">
      <c r="A500" s="10"/>
      <c r="B500" s="13"/>
      <c r="C500" s="13"/>
    </row>
    <row r="501" spans="1:3" ht="13" x14ac:dyDescent="0.15">
      <c r="A501" s="10"/>
      <c r="B501" s="13"/>
      <c r="C501" s="13"/>
    </row>
    <row r="502" spans="1:3" ht="13" x14ac:dyDescent="0.15">
      <c r="A502" s="10"/>
      <c r="B502" s="13"/>
      <c r="C502" s="13"/>
    </row>
    <row r="503" spans="1:3" ht="13" x14ac:dyDescent="0.15">
      <c r="A503" s="10"/>
      <c r="B503" s="13"/>
      <c r="C503" s="13"/>
    </row>
    <row r="504" spans="1:3" ht="13" x14ac:dyDescent="0.15">
      <c r="A504" s="10"/>
      <c r="B504" s="13"/>
      <c r="C504" s="13"/>
    </row>
    <row r="505" spans="1:3" ht="13" x14ac:dyDescent="0.15">
      <c r="A505" s="10"/>
      <c r="B505" s="13"/>
      <c r="C505" s="13"/>
    </row>
    <row r="506" spans="1:3" ht="13" x14ac:dyDescent="0.15">
      <c r="A506" s="10"/>
      <c r="B506" s="13"/>
      <c r="C506" s="13"/>
    </row>
    <row r="507" spans="1:3" ht="13" x14ac:dyDescent="0.15">
      <c r="A507" s="10"/>
      <c r="B507" s="13"/>
      <c r="C507" s="13"/>
    </row>
    <row r="508" spans="1:3" ht="13" x14ac:dyDescent="0.15">
      <c r="A508" s="10"/>
      <c r="B508" s="13"/>
      <c r="C508" s="13"/>
    </row>
    <row r="509" spans="1:3" ht="13" x14ac:dyDescent="0.15">
      <c r="A509" s="10"/>
      <c r="B509" s="13"/>
      <c r="C509" s="13"/>
    </row>
    <row r="510" spans="1:3" ht="13" x14ac:dyDescent="0.15">
      <c r="A510" s="10"/>
      <c r="B510" s="13"/>
      <c r="C510" s="13"/>
    </row>
    <row r="511" spans="1:3" ht="13" x14ac:dyDescent="0.15">
      <c r="A511" s="10"/>
      <c r="B511" s="13"/>
      <c r="C511" s="13"/>
    </row>
    <row r="512" spans="1:3" ht="13" x14ac:dyDescent="0.15">
      <c r="A512" s="10"/>
      <c r="B512" s="13"/>
      <c r="C512" s="13"/>
    </row>
    <row r="513" spans="1:3" ht="13" x14ac:dyDescent="0.15">
      <c r="A513" s="10"/>
      <c r="B513" s="13"/>
      <c r="C513" s="13"/>
    </row>
    <row r="514" spans="1:3" ht="13" x14ac:dyDescent="0.15">
      <c r="A514" s="10"/>
      <c r="B514" s="13"/>
      <c r="C514" s="13"/>
    </row>
    <row r="515" spans="1:3" ht="13" x14ac:dyDescent="0.15">
      <c r="A515" s="10"/>
      <c r="B515" s="13"/>
      <c r="C515" s="13"/>
    </row>
    <row r="516" spans="1:3" ht="13" x14ac:dyDescent="0.15">
      <c r="A516" s="10"/>
      <c r="B516" s="13"/>
      <c r="C516" s="13"/>
    </row>
    <row r="517" spans="1:3" ht="13" x14ac:dyDescent="0.15">
      <c r="A517" s="10"/>
      <c r="B517" s="13"/>
      <c r="C517" s="13"/>
    </row>
    <row r="518" spans="1:3" ht="13" x14ac:dyDescent="0.15">
      <c r="A518" s="10"/>
      <c r="B518" s="13"/>
      <c r="C518" s="13"/>
    </row>
    <row r="519" spans="1:3" ht="13" x14ac:dyDescent="0.15">
      <c r="A519" s="10"/>
      <c r="B519" s="13"/>
      <c r="C519" s="13"/>
    </row>
    <row r="520" spans="1:3" ht="13" x14ac:dyDescent="0.15">
      <c r="A520" s="10"/>
      <c r="B520" s="13"/>
      <c r="C520" s="13"/>
    </row>
    <row r="521" spans="1:3" ht="13" x14ac:dyDescent="0.15">
      <c r="A521" s="10"/>
      <c r="B521" s="13"/>
      <c r="C521" s="13"/>
    </row>
    <row r="522" spans="1:3" ht="13" x14ac:dyDescent="0.15">
      <c r="A522" s="10"/>
      <c r="B522" s="13"/>
      <c r="C522" s="13"/>
    </row>
    <row r="523" spans="1:3" ht="13" x14ac:dyDescent="0.15">
      <c r="A523" s="10"/>
      <c r="B523" s="13"/>
      <c r="C523" s="13"/>
    </row>
    <row r="524" spans="1:3" ht="13" x14ac:dyDescent="0.15">
      <c r="A524" s="10"/>
      <c r="B524" s="13"/>
      <c r="C524" s="13"/>
    </row>
    <row r="525" spans="1:3" ht="13" x14ac:dyDescent="0.15">
      <c r="A525" s="10"/>
      <c r="B525" s="13"/>
      <c r="C525" s="13"/>
    </row>
    <row r="526" spans="1:3" ht="13" x14ac:dyDescent="0.15">
      <c r="A526" s="10"/>
      <c r="B526" s="13"/>
      <c r="C526" s="13"/>
    </row>
    <row r="527" spans="1:3" ht="13" x14ac:dyDescent="0.15">
      <c r="A527" s="10"/>
      <c r="B527" s="13"/>
      <c r="C527" s="13"/>
    </row>
    <row r="528" spans="1:3" ht="13" x14ac:dyDescent="0.15">
      <c r="A528" s="10"/>
      <c r="B528" s="13"/>
      <c r="C528" s="13"/>
    </row>
    <row r="529" spans="1:3" ht="13" x14ac:dyDescent="0.15">
      <c r="A529" s="10"/>
      <c r="B529" s="13"/>
      <c r="C529" s="13"/>
    </row>
    <row r="530" spans="1:3" ht="13" x14ac:dyDescent="0.15">
      <c r="A530" s="10"/>
      <c r="B530" s="13"/>
      <c r="C530" s="13"/>
    </row>
    <row r="531" spans="1:3" ht="13" x14ac:dyDescent="0.15">
      <c r="A531" s="10"/>
      <c r="B531" s="13"/>
      <c r="C531" s="13"/>
    </row>
    <row r="532" spans="1:3" ht="13" x14ac:dyDescent="0.15">
      <c r="A532" s="10"/>
      <c r="B532" s="13"/>
      <c r="C532" s="13"/>
    </row>
    <row r="533" spans="1:3" ht="13" x14ac:dyDescent="0.15">
      <c r="A533" s="10"/>
      <c r="B533" s="13"/>
      <c r="C533" s="13"/>
    </row>
    <row r="534" spans="1:3" ht="13" x14ac:dyDescent="0.15">
      <c r="A534" s="10"/>
      <c r="B534" s="13"/>
      <c r="C534" s="13"/>
    </row>
    <row r="535" spans="1:3" ht="13" x14ac:dyDescent="0.15">
      <c r="A535" s="10"/>
      <c r="B535" s="13"/>
      <c r="C535" s="13"/>
    </row>
    <row r="536" spans="1:3" ht="13" x14ac:dyDescent="0.15">
      <c r="A536" s="10"/>
      <c r="B536" s="13"/>
      <c r="C536" s="13"/>
    </row>
    <row r="537" spans="1:3" ht="13" x14ac:dyDescent="0.15">
      <c r="A537" s="10"/>
      <c r="B537" s="13"/>
      <c r="C537" s="13"/>
    </row>
    <row r="538" spans="1:3" ht="13" x14ac:dyDescent="0.15">
      <c r="A538" s="10"/>
      <c r="B538" s="13"/>
      <c r="C538" s="13"/>
    </row>
    <row r="539" spans="1:3" ht="13" x14ac:dyDescent="0.15">
      <c r="A539" s="10"/>
      <c r="B539" s="13"/>
      <c r="C539" s="13"/>
    </row>
    <row r="540" spans="1:3" ht="13" x14ac:dyDescent="0.15">
      <c r="A540" s="10"/>
      <c r="B540" s="13"/>
      <c r="C540" s="13"/>
    </row>
    <row r="541" spans="1:3" ht="13" x14ac:dyDescent="0.15">
      <c r="A541" s="10"/>
      <c r="B541" s="13"/>
      <c r="C541" s="13"/>
    </row>
    <row r="542" spans="1:3" ht="13" x14ac:dyDescent="0.15">
      <c r="A542" s="10"/>
      <c r="B542" s="13"/>
      <c r="C542" s="13"/>
    </row>
    <row r="543" spans="1:3" ht="13" x14ac:dyDescent="0.15">
      <c r="A543" s="10"/>
      <c r="B543" s="13"/>
      <c r="C543" s="13"/>
    </row>
    <row r="544" spans="1:3" ht="13" x14ac:dyDescent="0.15">
      <c r="A544" s="10"/>
      <c r="B544" s="13"/>
      <c r="C544" s="13"/>
    </row>
    <row r="545" spans="1:3" ht="13" x14ac:dyDescent="0.15">
      <c r="A545" s="10"/>
      <c r="B545" s="13"/>
      <c r="C545" s="13"/>
    </row>
    <row r="546" spans="1:3" ht="13" x14ac:dyDescent="0.15">
      <c r="A546" s="10"/>
      <c r="B546" s="13"/>
      <c r="C546" s="13"/>
    </row>
    <row r="547" spans="1:3" ht="13" x14ac:dyDescent="0.15">
      <c r="A547" s="10"/>
      <c r="B547" s="13"/>
      <c r="C547" s="13"/>
    </row>
    <row r="548" spans="1:3" ht="13" x14ac:dyDescent="0.15">
      <c r="A548" s="10"/>
      <c r="B548" s="13"/>
      <c r="C548" s="13"/>
    </row>
    <row r="549" spans="1:3" ht="13" x14ac:dyDescent="0.15">
      <c r="A549" s="10"/>
      <c r="B549" s="13"/>
      <c r="C549" s="13"/>
    </row>
    <row r="550" spans="1:3" ht="13" x14ac:dyDescent="0.15">
      <c r="A550" s="10"/>
      <c r="B550" s="13"/>
      <c r="C550" s="13"/>
    </row>
    <row r="551" spans="1:3" ht="13" x14ac:dyDescent="0.15">
      <c r="A551" s="10"/>
      <c r="B551" s="13"/>
      <c r="C551" s="13"/>
    </row>
    <row r="552" spans="1:3" ht="13" x14ac:dyDescent="0.15">
      <c r="A552" s="10"/>
      <c r="B552" s="13"/>
      <c r="C552" s="13"/>
    </row>
    <row r="553" spans="1:3" ht="13" x14ac:dyDescent="0.15">
      <c r="A553" s="10"/>
      <c r="B553" s="13"/>
      <c r="C553" s="13"/>
    </row>
    <row r="554" spans="1:3" ht="13" x14ac:dyDescent="0.15">
      <c r="A554" s="10"/>
      <c r="B554" s="13"/>
      <c r="C554" s="13"/>
    </row>
    <row r="555" spans="1:3" ht="13" x14ac:dyDescent="0.15">
      <c r="A555" s="10"/>
      <c r="B555" s="13"/>
      <c r="C555" s="13"/>
    </row>
    <row r="556" spans="1:3" ht="13" x14ac:dyDescent="0.15">
      <c r="A556" s="10"/>
      <c r="B556" s="13"/>
      <c r="C556" s="13"/>
    </row>
    <row r="557" spans="1:3" ht="13" x14ac:dyDescent="0.15">
      <c r="A557" s="10"/>
      <c r="B557" s="13"/>
      <c r="C557" s="13"/>
    </row>
    <row r="558" spans="1:3" ht="13" x14ac:dyDescent="0.15">
      <c r="A558" s="10"/>
      <c r="B558" s="13"/>
      <c r="C558" s="13"/>
    </row>
    <row r="559" spans="1:3" ht="13" x14ac:dyDescent="0.15">
      <c r="A559" s="10"/>
      <c r="B559" s="13"/>
      <c r="C559" s="13"/>
    </row>
    <row r="560" spans="1:3" ht="13" x14ac:dyDescent="0.15">
      <c r="A560" s="10"/>
      <c r="B560" s="13"/>
      <c r="C560" s="13"/>
    </row>
    <row r="561" spans="1:3" ht="13" x14ac:dyDescent="0.15">
      <c r="A561" s="10"/>
      <c r="B561" s="13"/>
      <c r="C561" s="13"/>
    </row>
    <row r="562" spans="1:3" ht="13" x14ac:dyDescent="0.15">
      <c r="A562" s="10"/>
      <c r="B562" s="13"/>
      <c r="C562" s="13"/>
    </row>
    <row r="563" spans="1:3" ht="13" x14ac:dyDescent="0.15">
      <c r="A563" s="10"/>
      <c r="B563" s="13"/>
      <c r="C563" s="13"/>
    </row>
    <row r="564" spans="1:3" ht="13" x14ac:dyDescent="0.15">
      <c r="A564" s="10"/>
      <c r="B564" s="13"/>
      <c r="C564" s="13"/>
    </row>
    <row r="565" spans="1:3" ht="13" x14ac:dyDescent="0.15">
      <c r="A565" s="10"/>
      <c r="B565" s="13"/>
      <c r="C565" s="13"/>
    </row>
    <row r="566" spans="1:3" ht="13" x14ac:dyDescent="0.15">
      <c r="A566" s="10"/>
      <c r="B566" s="13"/>
      <c r="C566" s="13"/>
    </row>
    <row r="567" spans="1:3" ht="13" x14ac:dyDescent="0.15">
      <c r="A567" s="10"/>
      <c r="B567" s="13"/>
      <c r="C567" s="13"/>
    </row>
    <row r="568" spans="1:3" ht="13" x14ac:dyDescent="0.15">
      <c r="A568" s="10"/>
      <c r="B568" s="13"/>
      <c r="C568" s="13"/>
    </row>
    <row r="569" spans="1:3" ht="13" x14ac:dyDescent="0.15">
      <c r="A569" s="10"/>
      <c r="B569" s="13"/>
      <c r="C569" s="13"/>
    </row>
    <row r="570" spans="1:3" ht="13" x14ac:dyDescent="0.15">
      <c r="A570" s="10"/>
      <c r="B570" s="13"/>
      <c r="C570" s="13"/>
    </row>
    <row r="571" spans="1:3" ht="13" x14ac:dyDescent="0.15">
      <c r="A571" s="10"/>
      <c r="B571" s="13"/>
      <c r="C571" s="13"/>
    </row>
    <row r="572" spans="1:3" ht="13" x14ac:dyDescent="0.15">
      <c r="A572" s="10"/>
      <c r="B572" s="13"/>
      <c r="C572" s="13"/>
    </row>
    <row r="573" spans="1:3" ht="13" x14ac:dyDescent="0.15">
      <c r="A573" s="10"/>
      <c r="B573" s="13"/>
      <c r="C573" s="13"/>
    </row>
    <row r="574" spans="1:3" ht="13" x14ac:dyDescent="0.15">
      <c r="A574" s="10"/>
      <c r="B574" s="13"/>
      <c r="C574" s="13"/>
    </row>
    <row r="575" spans="1:3" ht="13" x14ac:dyDescent="0.15">
      <c r="A575" s="10"/>
      <c r="B575" s="13"/>
      <c r="C575" s="13"/>
    </row>
    <row r="576" spans="1:3" ht="13" x14ac:dyDescent="0.15">
      <c r="A576" s="10"/>
      <c r="B576" s="13"/>
      <c r="C576" s="13"/>
    </row>
    <row r="577" spans="1:3" ht="13" x14ac:dyDescent="0.15">
      <c r="A577" s="10"/>
      <c r="B577" s="13"/>
      <c r="C577" s="13"/>
    </row>
    <row r="578" spans="1:3" ht="13" x14ac:dyDescent="0.15">
      <c r="A578" s="10"/>
      <c r="B578" s="13"/>
      <c r="C578" s="13"/>
    </row>
    <row r="579" spans="1:3" ht="13" x14ac:dyDescent="0.15">
      <c r="A579" s="10"/>
      <c r="B579" s="13"/>
      <c r="C579" s="13"/>
    </row>
    <row r="580" spans="1:3" ht="13" x14ac:dyDescent="0.15">
      <c r="A580" s="10"/>
      <c r="B580" s="13"/>
      <c r="C580" s="13"/>
    </row>
    <row r="581" spans="1:3" ht="13" x14ac:dyDescent="0.15">
      <c r="A581" s="10"/>
      <c r="B581" s="13"/>
      <c r="C581" s="13"/>
    </row>
    <row r="582" spans="1:3" ht="13" x14ac:dyDescent="0.15">
      <c r="A582" s="10"/>
      <c r="B582" s="13"/>
      <c r="C582" s="13"/>
    </row>
    <row r="583" spans="1:3" ht="13" x14ac:dyDescent="0.15">
      <c r="A583" s="10"/>
      <c r="B583" s="13"/>
      <c r="C583" s="13"/>
    </row>
    <row r="584" spans="1:3" ht="13" x14ac:dyDescent="0.15">
      <c r="A584" s="10"/>
      <c r="B584" s="13"/>
      <c r="C584" s="13"/>
    </row>
    <row r="585" spans="1:3" ht="13" x14ac:dyDescent="0.15">
      <c r="A585" s="10"/>
      <c r="B585" s="13"/>
      <c r="C585" s="13"/>
    </row>
    <row r="586" spans="1:3" ht="13" x14ac:dyDescent="0.15">
      <c r="A586" s="10"/>
      <c r="B586" s="13"/>
      <c r="C586" s="13"/>
    </row>
    <row r="587" spans="1:3" ht="13" x14ac:dyDescent="0.15">
      <c r="A587" s="10"/>
      <c r="B587" s="13"/>
      <c r="C587" s="13"/>
    </row>
    <row r="588" spans="1:3" ht="13" x14ac:dyDescent="0.15">
      <c r="A588" s="10"/>
      <c r="B588" s="13"/>
      <c r="C588" s="13"/>
    </row>
    <row r="589" spans="1:3" ht="13" x14ac:dyDescent="0.15">
      <c r="A589" s="10"/>
      <c r="B589" s="13"/>
      <c r="C589" s="13"/>
    </row>
    <row r="590" spans="1:3" ht="13" x14ac:dyDescent="0.15">
      <c r="A590" s="10"/>
      <c r="B590" s="13"/>
      <c r="C590" s="13"/>
    </row>
    <row r="591" spans="1:3" ht="13" x14ac:dyDescent="0.15">
      <c r="A591" s="10"/>
      <c r="B591" s="13"/>
      <c r="C591" s="13"/>
    </row>
    <row r="592" spans="1:3" ht="13" x14ac:dyDescent="0.15">
      <c r="A592" s="10"/>
      <c r="B592" s="13"/>
      <c r="C592" s="13"/>
    </row>
    <row r="593" spans="1:3" ht="13" x14ac:dyDescent="0.15">
      <c r="A593" s="10"/>
      <c r="B593" s="13"/>
      <c r="C593" s="13"/>
    </row>
    <row r="594" spans="1:3" ht="13" x14ac:dyDescent="0.15">
      <c r="A594" s="10"/>
      <c r="B594" s="13"/>
      <c r="C594" s="13"/>
    </row>
    <row r="595" spans="1:3" ht="13" x14ac:dyDescent="0.15">
      <c r="A595" s="10"/>
      <c r="B595" s="13"/>
      <c r="C595" s="13"/>
    </row>
    <row r="596" spans="1:3" ht="13" x14ac:dyDescent="0.15">
      <c r="A596" s="10"/>
      <c r="B596" s="13"/>
      <c r="C596" s="13"/>
    </row>
    <row r="597" spans="1:3" ht="13" x14ac:dyDescent="0.15">
      <c r="A597" s="10"/>
      <c r="B597" s="13"/>
      <c r="C597" s="13"/>
    </row>
    <row r="598" spans="1:3" ht="13" x14ac:dyDescent="0.15">
      <c r="A598" s="10"/>
      <c r="B598" s="13"/>
      <c r="C598" s="13"/>
    </row>
    <row r="599" spans="1:3" ht="13" x14ac:dyDescent="0.15">
      <c r="A599" s="10"/>
      <c r="B599" s="13"/>
      <c r="C599" s="13"/>
    </row>
    <row r="600" spans="1:3" ht="13" x14ac:dyDescent="0.15">
      <c r="A600" s="10"/>
      <c r="B600" s="13"/>
      <c r="C600" s="13"/>
    </row>
    <row r="601" spans="1:3" ht="13" x14ac:dyDescent="0.15">
      <c r="A601" s="10"/>
      <c r="B601" s="13"/>
      <c r="C601" s="13"/>
    </row>
    <row r="602" spans="1:3" ht="13" x14ac:dyDescent="0.15">
      <c r="A602" s="10"/>
      <c r="B602" s="13"/>
      <c r="C602" s="13"/>
    </row>
    <row r="603" spans="1:3" ht="13" x14ac:dyDescent="0.15">
      <c r="A603" s="10"/>
      <c r="B603" s="13"/>
      <c r="C603" s="13"/>
    </row>
    <row r="604" spans="1:3" ht="13" x14ac:dyDescent="0.15">
      <c r="A604" s="10"/>
      <c r="B604" s="13"/>
      <c r="C604" s="13"/>
    </row>
    <row r="605" spans="1:3" ht="13" x14ac:dyDescent="0.15">
      <c r="A605" s="10"/>
      <c r="B605" s="13"/>
      <c r="C605" s="13"/>
    </row>
    <row r="606" spans="1:3" ht="13" x14ac:dyDescent="0.15">
      <c r="A606" s="10"/>
      <c r="B606" s="13"/>
      <c r="C606" s="13"/>
    </row>
    <row r="607" spans="1:3" ht="13" x14ac:dyDescent="0.15">
      <c r="A607" s="10"/>
      <c r="B607" s="13"/>
      <c r="C607" s="13"/>
    </row>
    <row r="608" spans="1:3" ht="13" x14ac:dyDescent="0.15">
      <c r="A608" s="10"/>
      <c r="B608" s="13"/>
      <c r="C608" s="13"/>
    </row>
    <row r="609" spans="1:3" ht="13" x14ac:dyDescent="0.15">
      <c r="A609" s="10"/>
      <c r="B609" s="13"/>
      <c r="C609" s="13"/>
    </row>
    <row r="610" spans="1:3" ht="13" x14ac:dyDescent="0.15">
      <c r="A610" s="10"/>
      <c r="B610" s="13"/>
      <c r="C610" s="13"/>
    </row>
    <row r="611" spans="1:3" ht="13" x14ac:dyDescent="0.15">
      <c r="A611" s="10"/>
      <c r="B611" s="13"/>
      <c r="C611" s="13"/>
    </row>
    <row r="612" spans="1:3" ht="13" x14ac:dyDescent="0.15">
      <c r="A612" s="10"/>
      <c r="B612" s="13"/>
      <c r="C612" s="13"/>
    </row>
    <row r="613" spans="1:3" ht="13" x14ac:dyDescent="0.15">
      <c r="A613" s="10"/>
      <c r="B613" s="13"/>
      <c r="C613" s="13"/>
    </row>
    <row r="614" spans="1:3" ht="13" x14ac:dyDescent="0.15">
      <c r="A614" s="10"/>
      <c r="B614" s="13"/>
      <c r="C614" s="13"/>
    </row>
    <row r="615" spans="1:3" ht="13" x14ac:dyDescent="0.15">
      <c r="A615" s="10"/>
      <c r="B615" s="13"/>
      <c r="C615" s="13"/>
    </row>
    <row r="616" spans="1:3" ht="13" x14ac:dyDescent="0.15">
      <c r="A616" s="10"/>
      <c r="B616" s="13"/>
      <c r="C616" s="13"/>
    </row>
    <row r="617" spans="1:3" ht="13" x14ac:dyDescent="0.15">
      <c r="A617" s="10"/>
      <c r="B617" s="13"/>
      <c r="C617" s="13"/>
    </row>
    <row r="618" spans="1:3" ht="13" x14ac:dyDescent="0.15">
      <c r="A618" s="10"/>
      <c r="B618" s="13"/>
      <c r="C618" s="13"/>
    </row>
    <row r="619" spans="1:3" ht="13" x14ac:dyDescent="0.15">
      <c r="A619" s="10"/>
      <c r="B619" s="13"/>
      <c r="C619" s="13"/>
    </row>
    <row r="620" spans="1:3" ht="13" x14ac:dyDescent="0.15">
      <c r="A620" s="10"/>
      <c r="B620" s="13"/>
      <c r="C620" s="13"/>
    </row>
    <row r="621" spans="1:3" ht="13" x14ac:dyDescent="0.15">
      <c r="A621" s="10"/>
      <c r="B621" s="13"/>
      <c r="C621" s="13"/>
    </row>
    <row r="622" spans="1:3" ht="13" x14ac:dyDescent="0.15">
      <c r="A622" s="10"/>
      <c r="B622" s="13"/>
      <c r="C622" s="13"/>
    </row>
    <row r="623" spans="1:3" ht="13" x14ac:dyDescent="0.15">
      <c r="A623" s="10"/>
      <c r="B623" s="13"/>
      <c r="C623" s="13"/>
    </row>
    <row r="624" spans="1:3" ht="13" x14ac:dyDescent="0.15">
      <c r="A624" s="10"/>
      <c r="B624" s="13"/>
      <c r="C624" s="13"/>
    </row>
    <row r="625" spans="1:3" ht="13" x14ac:dyDescent="0.15">
      <c r="A625" s="10"/>
      <c r="B625" s="13"/>
      <c r="C625" s="13"/>
    </row>
    <row r="626" spans="1:3" ht="13" x14ac:dyDescent="0.15">
      <c r="A626" s="10"/>
      <c r="B626" s="13"/>
      <c r="C626" s="13"/>
    </row>
    <row r="627" spans="1:3" ht="13" x14ac:dyDescent="0.15">
      <c r="A627" s="10"/>
      <c r="B627" s="13"/>
      <c r="C627" s="13"/>
    </row>
    <row r="628" spans="1:3" ht="13" x14ac:dyDescent="0.15">
      <c r="A628" s="10"/>
      <c r="B628" s="13"/>
      <c r="C628" s="13"/>
    </row>
    <row r="629" spans="1:3" ht="13" x14ac:dyDescent="0.15">
      <c r="A629" s="10"/>
      <c r="B629" s="13"/>
      <c r="C629" s="13"/>
    </row>
    <row r="630" spans="1:3" ht="13" x14ac:dyDescent="0.15">
      <c r="A630" s="10"/>
      <c r="B630" s="13"/>
      <c r="C630" s="13"/>
    </row>
    <row r="631" spans="1:3" ht="13" x14ac:dyDescent="0.15">
      <c r="A631" s="10"/>
      <c r="B631" s="13"/>
      <c r="C631" s="13"/>
    </row>
    <row r="632" spans="1:3" ht="13" x14ac:dyDescent="0.15">
      <c r="A632" s="10"/>
      <c r="B632" s="13"/>
      <c r="C632" s="13"/>
    </row>
    <row r="633" spans="1:3" ht="13" x14ac:dyDescent="0.15">
      <c r="A633" s="10"/>
      <c r="B633" s="13"/>
      <c r="C633" s="13"/>
    </row>
    <row r="634" spans="1:3" ht="13" x14ac:dyDescent="0.15">
      <c r="A634" s="10"/>
      <c r="B634" s="13"/>
      <c r="C634" s="13"/>
    </row>
    <row r="635" spans="1:3" ht="13" x14ac:dyDescent="0.15">
      <c r="A635" s="10"/>
      <c r="B635" s="13"/>
      <c r="C635" s="13"/>
    </row>
    <row r="636" spans="1:3" ht="13" x14ac:dyDescent="0.15">
      <c r="A636" s="10"/>
      <c r="B636" s="13"/>
      <c r="C636" s="13"/>
    </row>
    <row r="637" spans="1:3" ht="13" x14ac:dyDescent="0.15">
      <c r="A637" s="10"/>
      <c r="B637" s="13"/>
      <c r="C637" s="13"/>
    </row>
    <row r="638" spans="1:3" ht="13" x14ac:dyDescent="0.15">
      <c r="A638" s="10"/>
      <c r="B638" s="13"/>
      <c r="C638" s="13"/>
    </row>
    <row r="639" spans="1:3" ht="13" x14ac:dyDescent="0.15">
      <c r="A639" s="10"/>
      <c r="B639" s="13"/>
      <c r="C639" s="13"/>
    </row>
    <row r="640" spans="1:3" ht="13" x14ac:dyDescent="0.15">
      <c r="A640" s="10"/>
      <c r="B640" s="13"/>
      <c r="C640" s="13"/>
    </row>
    <row r="641" spans="1:3" ht="13" x14ac:dyDescent="0.15">
      <c r="A641" s="10"/>
      <c r="B641" s="13"/>
      <c r="C641" s="13"/>
    </row>
    <row r="642" spans="1:3" ht="13" x14ac:dyDescent="0.15">
      <c r="A642" s="10"/>
      <c r="B642" s="13"/>
      <c r="C642" s="13"/>
    </row>
    <row r="643" spans="1:3" ht="13" x14ac:dyDescent="0.15">
      <c r="A643" s="10"/>
      <c r="B643" s="13"/>
      <c r="C643" s="13"/>
    </row>
    <row r="644" spans="1:3" ht="13" x14ac:dyDescent="0.15">
      <c r="A644" s="10"/>
      <c r="B644" s="13"/>
      <c r="C644" s="13"/>
    </row>
    <row r="645" spans="1:3" ht="13" x14ac:dyDescent="0.15">
      <c r="A645" s="10"/>
      <c r="B645" s="13"/>
      <c r="C645" s="13"/>
    </row>
    <row r="646" spans="1:3" ht="13" x14ac:dyDescent="0.15">
      <c r="A646" s="10"/>
      <c r="B646" s="13"/>
      <c r="C646" s="13"/>
    </row>
    <row r="647" spans="1:3" ht="13" x14ac:dyDescent="0.15">
      <c r="A647" s="10"/>
      <c r="B647" s="13"/>
      <c r="C647" s="13"/>
    </row>
    <row r="648" spans="1:3" ht="13" x14ac:dyDescent="0.15">
      <c r="A648" s="10"/>
      <c r="B648" s="13"/>
      <c r="C648" s="13"/>
    </row>
    <row r="649" spans="1:3" ht="13" x14ac:dyDescent="0.15">
      <c r="A649" s="10"/>
      <c r="B649" s="13"/>
      <c r="C649" s="13"/>
    </row>
    <row r="650" spans="1:3" ht="13" x14ac:dyDescent="0.15">
      <c r="A650" s="10"/>
      <c r="B650" s="13"/>
      <c r="C650" s="13"/>
    </row>
    <row r="651" spans="1:3" ht="13" x14ac:dyDescent="0.15">
      <c r="A651" s="10"/>
      <c r="B651" s="13"/>
      <c r="C651" s="13"/>
    </row>
    <row r="652" spans="1:3" ht="13" x14ac:dyDescent="0.15">
      <c r="A652" s="10"/>
      <c r="B652" s="13"/>
      <c r="C652" s="13"/>
    </row>
    <row r="653" spans="1:3" ht="13" x14ac:dyDescent="0.15">
      <c r="A653" s="10"/>
      <c r="B653" s="13"/>
      <c r="C653" s="13"/>
    </row>
    <row r="654" spans="1:3" ht="13" x14ac:dyDescent="0.15">
      <c r="A654" s="10"/>
      <c r="B654" s="13"/>
      <c r="C654" s="13"/>
    </row>
    <row r="655" spans="1:3" ht="13" x14ac:dyDescent="0.15">
      <c r="A655" s="10"/>
      <c r="B655" s="13"/>
      <c r="C655" s="13"/>
    </row>
    <row r="656" spans="1:3" ht="13" x14ac:dyDescent="0.15">
      <c r="A656" s="10"/>
      <c r="B656" s="13"/>
      <c r="C656" s="13"/>
    </row>
    <row r="657" spans="1:3" ht="13" x14ac:dyDescent="0.15">
      <c r="A657" s="10"/>
      <c r="B657" s="13"/>
      <c r="C657" s="13"/>
    </row>
    <row r="658" spans="1:3" ht="13" x14ac:dyDescent="0.15">
      <c r="A658" s="10"/>
      <c r="B658" s="13"/>
      <c r="C658" s="13"/>
    </row>
    <row r="659" spans="1:3" ht="13" x14ac:dyDescent="0.15">
      <c r="A659" s="10"/>
      <c r="B659" s="13"/>
      <c r="C659" s="13"/>
    </row>
    <row r="660" spans="1:3" ht="13" x14ac:dyDescent="0.15">
      <c r="A660" s="10"/>
      <c r="B660" s="13"/>
      <c r="C660" s="13"/>
    </row>
    <row r="661" spans="1:3" ht="13" x14ac:dyDescent="0.15">
      <c r="A661" s="10"/>
      <c r="B661" s="13"/>
      <c r="C661" s="13"/>
    </row>
    <row r="662" spans="1:3" ht="13" x14ac:dyDescent="0.15">
      <c r="A662" s="10"/>
      <c r="B662" s="13"/>
      <c r="C662" s="13"/>
    </row>
    <row r="663" spans="1:3" ht="13" x14ac:dyDescent="0.15">
      <c r="A663" s="10"/>
      <c r="B663" s="13"/>
      <c r="C663" s="13"/>
    </row>
    <row r="664" spans="1:3" ht="13" x14ac:dyDescent="0.15">
      <c r="A664" s="10"/>
      <c r="B664" s="13"/>
      <c r="C664" s="13"/>
    </row>
    <row r="665" spans="1:3" ht="13" x14ac:dyDescent="0.15">
      <c r="A665" s="10"/>
      <c r="B665" s="13"/>
      <c r="C665" s="13"/>
    </row>
    <row r="666" spans="1:3" ht="13" x14ac:dyDescent="0.15">
      <c r="A666" s="10"/>
      <c r="B666" s="13"/>
      <c r="C666" s="13"/>
    </row>
    <row r="667" spans="1:3" ht="13" x14ac:dyDescent="0.15">
      <c r="A667" s="10"/>
      <c r="B667" s="13"/>
      <c r="C667" s="13"/>
    </row>
    <row r="668" spans="1:3" ht="13" x14ac:dyDescent="0.15">
      <c r="A668" s="10"/>
      <c r="B668" s="13"/>
      <c r="C668" s="13"/>
    </row>
    <row r="669" spans="1:3" ht="13" x14ac:dyDescent="0.15">
      <c r="A669" s="10"/>
      <c r="B669" s="13"/>
      <c r="C669" s="13"/>
    </row>
    <row r="670" spans="1:3" ht="13" x14ac:dyDescent="0.15">
      <c r="A670" s="10"/>
      <c r="B670" s="13"/>
      <c r="C670" s="13"/>
    </row>
    <row r="671" spans="1:3" ht="13" x14ac:dyDescent="0.15">
      <c r="A671" s="10"/>
      <c r="B671" s="13"/>
      <c r="C671" s="13"/>
    </row>
    <row r="672" spans="1:3" ht="13" x14ac:dyDescent="0.15">
      <c r="A672" s="10"/>
      <c r="B672" s="13"/>
      <c r="C672" s="13"/>
    </row>
    <row r="673" spans="1:3" ht="13" x14ac:dyDescent="0.15">
      <c r="A673" s="10"/>
      <c r="B673" s="13"/>
      <c r="C673" s="13"/>
    </row>
    <row r="674" spans="1:3" ht="13" x14ac:dyDescent="0.15">
      <c r="A674" s="10"/>
      <c r="B674" s="13"/>
      <c r="C674" s="13"/>
    </row>
    <row r="675" spans="1:3" ht="13" x14ac:dyDescent="0.15">
      <c r="A675" s="10"/>
      <c r="B675" s="13"/>
      <c r="C675" s="13"/>
    </row>
    <row r="676" spans="1:3" ht="13" x14ac:dyDescent="0.15">
      <c r="A676" s="10"/>
      <c r="B676" s="13"/>
      <c r="C676" s="13"/>
    </row>
    <row r="677" spans="1:3" ht="13" x14ac:dyDescent="0.15">
      <c r="A677" s="10"/>
      <c r="B677" s="13"/>
      <c r="C677" s="13"/>
    </row>
    <row r="678" spans="1:3" ht="13" x14ac:dyDescent="0.15">
      <c r="A678" s="10"/>
      <c r="B678" s="13"/>
      <c r="C678" s="13"/>
    </row>
    <row r="679" spans="1:3" ht="13" x14ac:dyDescent="0.15">
      <c r="A679" s="10"/>
      <c r="B679" s="13"/>
      <c r="C679" s="13"/>
    </row>
    <row r="680" spans="1:3" ht="13" x14ac:dyDescent="0.15">
      <c r="A680" s="10"/>
      <c r="B680" s="13"/>
      <c r="C680" s="13"/>
    </row>
    <row r="681" spans="1:3" ht="13" x14ac:dyDescent="0.15">
      <c r="A681" s="10"/>
      <c r="B681" s="13"/>
      <c r="C681" s="13"/>
    </row>
    <row r="682" spans="1:3" ht="13" x14ac:dyDescent="0.15">
      <c r="A682" s="10"/>
      <c r="B682" s="13"/>
      <c r="C682" s="13"/>
    </row>
    <row r="683" spans="1:3" ht="13" x14ac:dyDescent="0.15">
      <c r="A683" s="10"/>
      <c r="B683" s="13"/>
      <c r="C683" s="13"/>
    </row>
    <row r="684" spans="1:3" ht="13" x14ac:dyDescent="0.15">
      <c r="A684" s="10"/>
      <c r="B684" s="13"/>
      <c r="C684" s="13"/>
    </row>
    <row r="685" spans="1:3" ht="13" x14ac:dyDescent="0.15">
      <c r="A685" s="10"/>
      <c r="B685" s="13"/>
      <c r="C685" s="13"/>
    </row>
    <row r="686" spans="1:3" ht="13" x14ac:dyDescent="0.15">
      <c r="A686" s="10"/>
      <c r="B686" s="13"/>
      <c r="C686" s="13"/>
    </row>
    <row r="687" spans="1:3" ht="13" x14ac:dyDescent="0.15">
      <c r="A687" s="10"/>
      <c r="B687" s="13"/>
      <c r="C687" s="13"/>
    </row>
    <row r="688" spans="1:3" ht="13" x14ac:dyDescent="0.15">
      <c r="A688" s="10"/>
      <c r="B688" s="13"/>
      <c r="C688" s="13"/>
    </row>
    <row r="689" spans="1:3" ht="13" x14ac:dyDescent="0.15">
      <c r="A689" s="10"/>
      <c r="B689" s="13"/>
      <c r="C689" s="13"/>
    </row>
    <row r="690" spans="1:3" ht="13" x14ac:dyDescent="0.15">
      <c r="A690" s="10"/>
      <c r="B690" s="13"/>
      <c r="C690" s="13"/>
    </row>
    <row r="691" spans="1:3" ht="13" x14ac:dyDescent="0.15">
      <c r="A691" s="10"/>
      <c r="B691" s="13"/>
      <c r="C691" s="13"/>
    </row>
    <row r="692" spans="1:3" ht="13" x14ac:dyDescent="0.15">
      <c r="A692" s="10"/>
      <c r="B692" s="13"/>
      <c r="C692" s="13"/>
    </row>
    <row r="693" spans="1:3" ht="13" x14ac:dyDescent="0.15">
      <c r="A693" s="10"/>
      <c r="B693" s="13"/>
      <c r="C693" s="13"/>
    </row>
    <row r="694" spans="1:3" ht="13" x14ac:dyDescent="0.15">
      <c r="A694" s="10"/>
      <c r="B694" s="13"/>
      <c r="C694" s="13"/>
    </row>
    <row r="695" spans="1:3" ht="13" x14ac:dyDescent="0.15">
      <c r="A695" s="10"/>
      <c r="B695" s="13"/>
      <c r="C695" s="13"/>
    </row>
    <row r="696" spans="1:3" ht="13" x14ac:dyDescent="0.15">
      <c r="A696" s="10"/>
      <c r="B696" s="13"/>
      <c r="C696" s="13"/>
    </row>
    <row r="697" spans="1:3" ht="13" x14ac:dyDescent="0.15">
      <c r="A697" s="10"/>
      <c r="B697" s="13"/>
      <c r="C697" s="13"/>
    </row>
    <row r="698" spans="1:3" ht="13" x14ac:dyDescent="0.15">
      <c r="A698" s="10"/>
      <c r="B698" s="13"/>
      <c r="C698" s="13"/>
    </row>
    <row r="699" spans="1:3" ht="13" x14ac:dyDescent="0.15">
      <c r="A699" s="10"/>
      <c r="B699" s="13"/>
      <c r="C699" s="13"/>
    </row>
    <row r="700" spans="1:3" ht="13" x14ac:dyDescent="0.15">
      <c r="A700" s="10"/>
      <c r="B700" s="13"/>
      <c r="C700" s="13"/>
    </row>
    <row r="701" spans="1:3" ht="13" x14ac:dyDescent="0.15">
      <c r="A701" s="10"/>
      <c r="B701" s="13"/>
      <c r="C701" s="13"/>
    </row>
    <row r="702" spans="1:3" ht="13" x14ac:dyDescent="0.15">
      <c r="A702" s="10"/>
      <c r="B702" s="13"/>
      <c r="C702" s="13"/>
    </row>
    <row r="703" spans="1:3" ht="13" x14ac:dyDescent="0.15">
      <c r="A703" s="10"/>
      <c r="B703" s="13"/>
      <c r="C703" s="13"/>
    </row>
    <row r="704" spans="1:3" ht="13" x14ac:dyDescent="0.15">
      <c r="A704" s="10"/>
      <c r="B704" s="13"/>
      <c r="C704" s="13"/>
    </row>
    <row r="705" spans="1:3" ht="13" x14ac:dyDescent="0.15">
      <c r="A705" s="10"/>
      <c r="B705" s="13"/>
      <c r="C705" s="13"/>
    </row>
    <row r="706" spans="1:3" ht="13" x14ac:dyDescent="0.15">
      <c r="A706" s="10"/>
      <c r="B706" s="13"/>
      <c r="C706" s="13"/>
    </row>
    <row r="707" spans="1:3" ht="13" x14ac:dyDescent="0.15">
      <c r="A707" s="10"/>
      <c r="B707" s="13"/>
      <c r="C707" s="13"/>
    </row>
    <row r="708" spans="1:3" ht="13" x14ac:dyDescent="0.15">
      <c r="A708" s="10"/>
      <c r="B708" s="13"/>
      <c r="C708" s="13"/>
    </row>
    <row r="709" spans="1:3" ht="13" x14ac:dyDescent="0.15">
      <c r="A709" s="10"/>
      <c r="B709" s="13"/>
      <c r="C709" s="13"/>
    </row>
    <row r="710" spans="1:3" ht="13" x14ac:dyDescent="0.15">
      <c r="A710" s="10"/>
      <c r="B710" s="13"/>
      <c r="C710" s="13"/>
    </row>
    <row r="711" spans="1:3" ht="13" x14ac:dyDescent="0.15">
      <c r="A711" s="10"/>
      <c r="B711" s="13"/>
      <c r="C711" s="13"/>
    </row>
    <row r="712" spans="1:3" ht="13" x14ac:dyDescent="0.15">
      <c r="A712" s="10"/>
      <c r="B712" s="13"/>
      <c r="C712" s="13"/>
    </row>
    <row r="713" spans="1:3" ht="13" x14ac:dyDescent="0.15">
      <c r="A713" s="10"/>
      <c r="B713" s="13"/>
      <c r="C713" s="13"/>
    </row>
    <row r="714" spans="1:3" ht="13" x14ac:dyDescent="0.15">
      <c r="A714" s="10"/>
      <c r="B714" s="13"/>
      <c r="C714" s="13"/>
    </row>
    <row r="715" spans="1:3" ht="13" x14ac:dyDescent="0.15">
      <c r="A715" s="10"/>
      <c r="B715" s="13"/>
      <c r="C715" s="13"/>
    </row>
    <row r="716" spans="1:3" ht="13" x14ac:dyDescent="0.15">
      <c r="A716" s="10"/>
      <c r="B716" s="13"/>
      <c r="C716" s="13"/>
    </row>
    <row r="717" spans="1:3" ht="13" x14ac:dyDescent="0.15">
      <c r="A717" s="10"/>
      <c r="B717" s="13"/>
      <c r="C717" s="13"/>
    </row>
    <row r="718" spans="1:3" ht="13" x14ac:dyDescent="0.15">
      <c r="A718" s="10"/>
      <c r="B718" s="13"/>
      <c r="C718" s="13"/>
    </row>
    <row r="719" spans="1:3" ht="13" x14ac:dyDescent="0.15">
      <c r="A719" s="10"/>
      <c r="B719" s="13"/>
      <c r="C719" s="13"/>
    </row>
    <row r="720" spans="1:3" ht="13" x14ac:dyDescent="0.15">
      <c r="A720" s="10"/>
      <c r="B720" s="13"/>
      <c r="C720" s="13"/>
    </row>
    <row r="721" spans="1:3" ht="13" x14ac:dyDescent="0.15">
      <c r="A721" s="10"/>
      <c r="B721" s="13"/>
      <c r="C721" s="13"/>
    </row>
    <row r="722" spans="1:3" ht="13" x14ac:dyDescent="0.15">
      <c r="A722" s="10"/>
      <c r="B722" s="13"/>
      <c r="C722" s="13"/>
    </row>
    <row r="723" spans="1:3" ht="13" x14ac:dyDescent="0.15">
      <c r="A723" s="10"/>
      <c r="B723" s="13"/>
      <c r="C723" s="13"/>
    </row>
    <row r="724" spans="1:3" ht="13" x14ac:dyDescent="0.15">
      <c r="A724" s="10"/>
      <c r="B724" s="13"/>
      <c r="C724" s="13"/>
    </row>
    <row r="725" spans="1:3" ht="13" x14ac:dyDescent="0.15">
      <c r="A725" s="10"/>
      <c r="B725" s="13"/>
      <c r="C725" s="13"/>
    </row>
    <row r="726" spans="1:3" ht="13" x14ac:dyDescent="0.15">
      <c r="A726" s="10"/>
      <c r="B726" s="13"/>
      <c r="C726" s="13"/>
    </row>
    <row r="727" spans="1:3" ht="13" x14ac:dyDescent="0.15">
      <c r="A727" s="10"/>
      <c r="B727" s="13"/>
      <c r="C727" s="13"/>
    </row>
    <row r="728" spans="1:3" ht="13" x14ac:dyDescent="0.15">
      <c r="A728" s="10"/>
      <c r="B728" s="13"/>
      <c r="C728" s="13"/>
    </row>
    <row r="729" spans="1:3" ht="13" x14ac:dyDescent="0.15">
      <c r="A729" s="10"/>
      <c r="B729" s="13"/>
      <c r="C729" s="13"/>
    </row>
    <row r="730" spans="1:3" ht="13" x14ac:dyDescent="0.15">
      <c r="A730" s="10"/>
      <c r="B730" s="13"/>
      <c r="C730" s="13"/>
    </row>
    <row r="731" spans="1:3" ht="13" x14ac:dyDescent="0.15">
      <c r="A731" s="10"/>
      <c r="B731" s="13"/>
      <c r="C731" s="13"/>
    </row>
    <row r="732" spans="1:3" ht="13" x14ac:dyDescent="0.15">
      <c r="A732" s="10"/>
      <c r="B732" s="13"/>
      <c r="C732" s="13"/>
    </row>
    <row r="733" spans="1:3" ht="13" x14ac:dyDescent="0.15">
      <c r="A733" s="10"/>
      <c r="B733" s="13"/>
      <c r="C733" s="13"/>
    </row>
    <row r="734" spans="1:3" ht="13" x14ac:dyDescent="0.15">
      <c r="A734" s="10"/>
      <c r="B734" s="13"/>
      <c r="C734" s="13"/>
    </row>
    <row r="735" spans="1:3" ht="13" x14ac:dyDescent="0.15">
      <c r="A735" s="10"/>
      <c r="B735" s="13"/>
      <c r="C735" s="13"/>
    </row>
    <row r="736" spans="1:3" ht="13" x14ac:dyDescent="0.15">
      <c r="A736" s="10"/>
      <c r="B736" s="13"/>
      <c r="C736" s="13"/>
    </row>
    <row r="737" spans="1:3" ht="13" x14ac:dyDescent="0.15">
      <c r="A737" s="10"/>
      <c r="B737" s="13"/>
      <c r="C737" s="13"/>
    </row>
    <row r="738" spans="1:3" ht="13" x14ac:dyDescent="0.15">
      <c r="A738" s="10"/>
      <c r="B738" s="13"/>
      <c r="C738" s="13"/>
    </row>
    <row r="739" spans="1:3" ht="13" x14ac:dyDescent="0.15">
      <c r="A739" s="10"/>
      <c r="B739" s="13"/>
      <c r="C739" s="13"/>
    </row>
    <row r="740" spans="1:3" ht="13" x14ac:dyDescent="0.15">
      <c r="A740" s="10"/>
      <c r="B740" s="13"/>
      <c r="C740" s="13"/>
    </row>
    <row r="741" spans="1:3" ht="13" x14ac:dyDescent="0.15">
      <c r="A741" s="10"/>
      <c r="B741" s="13"/>
      <c r="C741" s="13"/>
    </row>
    <row r="742" spans="1:3" ht="13" x14ac:dyDescent="0.15">
      <c r="A742" s="10"/>
      <c r="B742" s="13"/>
      <c r="C742" s="13"/>
    </row>
    <row r="743" spans="1:3" ht="13" x14ac:dyDescent="0.15">
      <c r="A743" s="10"/>
      <c r="B743" s="13"/>
      <c r="C743" s="13"/>
    </row>
    <row r="744" spans="1:3" ht="13" x14ac:dyDescent="0.15">
      <c r="A744" s="10"/>
      <c r="B744" s="13"/>
      <c r="C744" s="13"/>
    </row>
    <row r="745" spans="1:3" ht="13" x14ac:dyDescent="0.15">
      <c r="A745" s="10"/>
      <c r="B745" s="13"/>
      <c r="C745" s="13"/>
    </row>
    <row r="746" spans="1:3" ht="13" x14ac:dyDescent="0.15">
      <c r="A746" s="10"/>
      <c r="B746" s="13"/>
      <c r="C746" s="13"/>
    </row>
    <row r="747" spans="1:3" ht="13" x14ac:dyDescent="0.15">
      <c r="A747" s="10"/>
      <c r="B747" s="13"/>
      <c r="C747" s="13"/>
    </row>
    <row r="748" spans="1:3" ht="13" x14ac:dyDescent="0.15">
      <c r="A748" s="10"/>
      <c r="B748" s="13"/>
      <c r="C748" s="13"/>
    </row>
    <row r="749" spans="1:3" ht="13" x14ac:dyDescent="0.15">
      <c r="A749" s="10"/>
      <c r="B749" s="13"/>
      <c r="C749" s="13"/>
    </row>
    <row r="750" spans="1:3" ht="13" x14ac:dyDescent="0.15">
      <c r="A750" s="10"/>
      <c r="B750" s="13"/>
      <c r="C750" s="13"/>
    </row>
    <row r="751" spans="1:3" ht="13" x14ac:dyDescent="0.15">
      <c r="A751" s="10"/>
      <c r="B751" s="13"/>
      <c r="C751" s="13"/>
    </row>
    <row r="752" spans="1:3" ht="13" x14ac:dyDescent="0.15">
      <c r="A752" s="10"/>
      <c r="B752" s="13"/>
      <c r="C752" s="13"/>
    </row>
    <row r="753" spans="1:3" ht="13" x14ac:dyDescent="0.15">
      <c r="A753" s="10"/>
      <c r="B753" s="13"/>
      <c r="C753" s="13"/>
    </row>
    <row r="754" spans="1:3" ht="13" x14ac:dyDescent="0.15">
      <c r="A754" s="10"/>
      <c r="B754" s="13"/>
      <c r="C754" s="13"/>
    </row>
    <row r="755" spans="1:3" ht="13" x14ac:dyDescent="0.15">
      <c r="A755" s="10"/>
      <c r="B755" s="13"/>
      <c r="C755" s="13"/>
    </row>
    <row r="756" spans="1:3" ht="13" x14ac:dyDescent="0.15">
      <c r="A756" s="10"/>
      <c r="B756" s="13"/>
      <c r="C756" s="13"/>
    </row>
    <row r="757" spans="1:3" ht="13" x14ac:dyDescent="0.15">
      <c r="A757" s="10"/>
      <c r="B757" s="13"/>
      <c r="C757" s="13"/>
    </row>
    <row r="758" spans="1:3" ht="13" x14ac:dyDescent="0.15">
      <c r="A758" s="10"/>
      <c r="B758" s="13"/>
      <c r="C758" s="13"/>
    </row>
    <row r="759" spans="1:3" ht="13" x14ac:dyDescent="0.15">
      <c r="A759" s="10"/>
      <c r="B759" s="13"/>
      <c r="C759" s="13"/>
    </row>
    <row r="760" spans="1:3" ht="13" x14ac:dyDescent="0.15">
      <c r="A760" s="10"/>
      <c r="B760" s="13"/>
      <c r="C760" s="13"/>
    </row>
    <row r="761" spans="1:3" ht="13" x14ac:dyDescent="0.15">
      <c r="A761" s="10"/>
      <c r="B761" s="13"/>
      <c r="C761" s="13"/>
    </row>
    <row r="762" spans="1:3" ht="13" x14ac:dyDescent="0.15">
      <c r="A762" s="10"/>
      <c r="B762" s="13"/>
      <c r="C762" s="13"/>
    </row>
    <row r="763" spans="1:3" ht="13" x14ac:dyDescent="0.15">
      <c r="A763" s="10"/>
      <c r="B763" s="13"/>
      <c r="C763" s="13"/>
    </row>
    <row r="764" spans="1:3" ht="13" x14ac:dyDescent="0.15">
      <c r="A764" s="10"/>
      <c r="B764" s="13"/>
      <c r="C764" s="13"/>
    </row>
    <row r="765" spans="1:3" ht="13" x14ac:dyDescent="0.15">
      <c r="A765" s="10"/>
      <c r="B765" s="13"/>
      <c r="C765" s="13"/>
    </row>
    <row r="766" spans="1:3" ht="13" x14ac:dyDescent="0.15">
      <c r="A766" s="10"/>
      <c r="B766" s="13"/>
      <c r="C766" s="13"/>
    </row>
    <row r="767" spans="1:3" ht="13" x14ac:dyDescent="0.15">
      <c r="A767" s="10"/>
      <c r="B767" s="13"/>
      <c r="C767" s="13"/>
    </row>
    <row r="768" spans="1:3" ht="13" x14ac:dyDescent="0.15">
      <c r="A768" s="10"/>
      <c r="B768" s="13"/>
      <c r="C768" s="13"/>
    </row>
    <row r="769" spans="1:3" ht="13" x14ac:dyDescent="0.15">
      <c r="A769" s="10"/>
      <c r="B769" s="13"/>
      <c r="C769" s="13"/>
    </row>
    <row r="770" spans="1:3" ht="13" x14ac:dyDescent="0.15">
      <c r="A770" s="10"/>
      <c r="B770" s="13"/>
      <c r="C770" s="13"/>
    </row>
    <row r="771" spans="1:3" ht="13" x14ac:dyDescent="0.15">
      <c r="A771" s="10"/>
      <c r="B771" s="13"/>
      <c r="C771" s="13"/>
    </row>
    <row r="772" spans="1:3" ht="13" x14ac:dyDescent="0.15">
      <c r="A772" s="10"/>
      <c r="B772" s="13"/>
      <c r="C772" s="13"/>
    </row>
    <row r="773" spans="1:3" ht="13" x14ac:dyDescent="0.15">
      <c r="A773" s="10"/>
      <c r="B773" s="13"/>
      <c r="C773" s="13"/>
    </row>
    <row r="774" spans="1:3" ht="13" x14ac:dyDescent="0.15">
      <c r="A774" s="10"/>
      <c r="B774" s="13"/>
      <c r="C774" s="13"/>
    </row>
    <row r="775" spans="1:3" ht="13" x14ac:dyDescent="0.15">
      <c r="A775" s="10"/>
      <c r="B775" s="13"/>
      <c r="C775" s="13"/>
    </row>
    <row r="776" spans="1:3" ht="13" x14ac:dyDescent="0.15">
      <c r="A776" s="10"/>
      <c r="B776" s="13"/>
      <c r="C776" s="13"/>
    </row>
    <row r="777" spans="1:3" ht="13" x14ac:dyDescent="0.15">
      <c r="A777" s="10"/>
      <c r="B777" s="13"/>
      <c r="C777" s="13"/>
    </row>
    <row r="778" spans="1:3" ht="13" x14ac:dyDescent="0.15">
      <c r="A778" s="10"/>
      <c r="B778" s="13"/>
      <c r="C778" s="13"/>
    </row>
    <row r="779" spans="1:3" ht="13" x14ac:dyDescent="0.15">
      <c r="A779" s="10"/>
      <c r="B779" s="13"/>
      <c r="C779" s="13"/>
    </row>
    <row r="780" spans="1:3" ht="13" x14ac:dyDescent="0.15">
      <c r="A780" s="10"/>
      <c r="B780" s="13"/>
      <c r="C780" s="13"/>
    </row>
    <row r="781" spans="1:3" ht="13" x14ac:dyDescent="0.15">
      <c r="A781" s="10"/>
      <c r="B781" s="13"/>
      <c r="C781" s="13"/>
    </row>
    <row r="782" spans="1:3" ht="13" x14ac:dyDescent="0.15">
      <c r="A782" s="10"/>
      <c r="B782" s="13"/>
      <c r="C782" s="13"/>
    </row>
    <row r="783" spans="1:3" ht="13" x14ac:dyDescent="0.15">
      <c r="A783" s="10"/>
      <c r="B783" s="13"/>
      <c r="C783" s="13"/>
    </row>
    <row r="784" spans="1:3" ht="13" x14ac:dyDescent="0.15">
      <c r="A784" s="10"/>
      <c r="B784" s="13"/>
      <c r="C784" s="13"/>
    </row>
    <row r="785" spans="1:3" ht="13" x14ac:dyDescent="0.15">
      <c r="A785" s="10"/>
      <c r="B785" s="13"/>
      <c r="C785" s="13"/>
    </row>
    <row r="786" spans="1:3" ht="13" x14ac:dyDescent="0.15">
      <c r="A786" s="10"/>
      <c r="B786" s="13"/>
      <c r="C786" s="13"/>
    </row>
    <row r="787" spans="1:3" ht="13" x14ac:dyDescent="0.15">
      <c r="A787" s="10"/>
      <c r="B787" s="13"/>
      <c r="C787" s="13"/>
    </row>
    <row r="788" spans="1:3" ht="13" x14ac:dyDescent="0.15">
      <c r="A788" s="10"/>
      <c r="B788" s="13"/>
      <c r="C788" s="13"/>
    </row>
    <row r="789" spans="1:3" ht="13" x14ac:dyDescent="0.15">
      <c r="A789" s="10"/>
      <c r="B789" s="13"/>
      <c r="C789" s="13"/>
    </row>
    <row r="790" spans="1:3" ht="13" x14ac:dyDescent="0.15">
      <c r="A790" s="10"/>
      <c r="B790" s="13"/>
      <c r="C790" s="13"/>
    </row>
    <row r="791" spans="1:3" ht="13" x14ac:dyDescent="0.15">
      <c r="A791" s="10"/>
      <c r="B791" s="13"/>
      <c r="C791" s="13"/>
    </row>
    <row r="792" spans="1:3" ht="13" x14ac:dyDescent="0.15">
      <c r="A792" s="10"/>
      <c r="B792" s="13"/>
      <c r="C792" s="13"/>
    </row>
    <row r="793" spans="1:3" ht="13" x14ac:dyDescent="0.15">
      <c r="A793" s="10"/>
      <c r="B793" s="13"/>
      <c r="C793" s="13"/>
    </row>
    <row r="794" spans="1:3" ht="13" x14ac:dyDescent="0.15">
      <c r="A794" s="10"/>
      <c r="B794" s="13"/>
      <c r="C794" s="13"/>
    </row>
    <row r="795" spans="1:3" ht="13" x14ac:dyDescent="0.15">
      <c r="A795" s="10"/>
      <c r="B795" s="13"/>
      <c r="C795" s="13"/>
    </row>
    <row r="796" spans="1:3" ht="13" x14ac:dyDescent="0.15">
      <c r="A796" s="10"/>
      <c r="B796" s="13"/>
      <c r="C796" s="13"/>
    </row>
    <row r="797" spans="1:3" ht="13" x14ac:dyDescent="0.15">
      <c r="A797" s="10"/>
      <c r="B797" s="13"/>
      <c r="C797" s="13"/>
    </row>
    <row r="798" spans="1:3" ht="13" x14ac:dyDescent="0.15">
      <c r="A798" s="10"/>
      <c r="B798" s="13"/>
      <c r="C798" s="13"/>
    </row>
    <row r="799" spans="1:3" ht="13" x14ac:dyDescent="0.15">
      <c r="A799" s="10"/>
      <c r="B799" s="13"/>
      <c r="C799" s="13"/>
    </row>
    <row r="800" spans="1:3" ht="13" x14ac:dyDescent="0.15">
      <c r="A800" s="10"/>
      <c r="B800" s="13"/>
      <c r="C800" s="13"/>
    </row>
    <row r="801" spans="1:3" ht="13" x14ac:dyDescent="0.15">
      <c r="A801" s="10"/>
      <c r="B801" s="13"/>
      <c r="C801" s="13"/>
    </row>
    <row r="802" spans="1:3" ht="13" x14ac:dyDescent="0.15">
      <c r="A802" s="10"/>
      <c r="B802" s="13"/>
      <c r="C802" s="13"/>
    </row>
    <row r="803" spans="1:3" ht="13" x14ac:dyDescent="0.15">
      <c r="A803" s="10"/>
      <c r="B803" s="13"/>
      <c r="C803" s="13"/>
    </row>
    <row r="804" spans="1:3" ht="13" x14ac:dyDescent="0.15">
      <c r="A804" s="10"/>
      <c r="B804" s="13"/>
      <c r="C804" s="13"/>
    </row>
    <row r="805" spans="1:3" ht="13" x14ac:dyDescent="0.15">
      <c r="A805" s="10"/>
      <c r="B805" s="13"/>
      <c r="C805" s="13"/>
    </row>
    <row r="806" spans="1:3" ht="13" x14ac:dyDescent="0.15">
      <c r="A806" s="10"/>
      <c r="B806" s="13"/>
      <c r="C806" s="13"/>
    </row>
    <row r="807" spans="1:3" ht="13" x14ac:dyDescent="0.15">
      <c r="A807" s="10"/>
      <c r="B807" s="13"/>
      <c r="C807" s="13"/>
    </row>
    <row r="808" spans="1:3" ht="13" x14ac:dyDescent="0.15">
      <c r="A808" s="10"/>
      <c r="B808" s="13"/>
      <c r="C808" s="13"/>
    </row>
    <row r="809" spans="1:3" ht="13" x14ac:dyDescent="0.15">
      <c r="A809" s="10"/>
      <c r="B809" s="13"/>
      <c r="C809" s="13"/>
    </row>
    <row r="810" spans="1:3" ht="13" x14ac:dyDescent="0.15">
      <c r="A810" s="10"/>
      <c r="B810" s="13"/>
      <c r="C810" s="13"/>
    </row>
    <row r="811" spans="1:3" ht="13" x14ac:dyDescent="0.15">
      <c r="A811" s="10"/>
      <c r="B811" s="13"/>
      <c r="C811" s="13"/>
    </row>
    <row r="812" spans="1:3" ht="13" x14ac:dyDescent="0.15">
      <c r="A812" s="10"/>
      <c r="B812" s="13"/>
      <c r="C812" s="13"/>
    </row>
    <row r="813" spans="1:3" ht="13" x14ac:dyDescent="0.15">
      <c r="A813" s="10"/>
      <c r="B813" s="13"/>
      <c r="C813" s="13"/>
    </row>
    <row r="814" spans="1:3" ht="13" x14ac:dyDescent="0.15">
      <c r="A814" s="10"/>
      <c r="B814" s="13"/>
      <c r="C814" s="13"/>
    </row>
    <row r="815" spans="1:3" ht="13" x14ac:dyDescent="0.15">
      <c r="A815" s="10"/>
      <c r="B815" s="13"/>
      <c r="C815" s="13"/>
    </row>
    <row r="816" spans="1:3" ht="13" x14ac:dyDescent="0.15">
      <c r="A816" s="10"/>
      <c r="B816" s="13"/>
      <c r="C816" s="13"/>
    </row>
    <row r="817" spans="1:3" ht="13" x14ac:dyDescent="0.15">
      <c r="A817" s="10"/>
      <c r="B817" s="13"/>
      <c r="C817" s="13"/>
    </row>
    <row r="818" spans="1:3" ht="13" x14ac:dyDescent="0.15">
      <c r="A818" s="10"/>
      <c r="B818" s="13"/>
      <c r="C818" s="13"/>
    </row>
    <row r="819" spans="1:3" ht="13" x14ac:dyDescent="0.15">
      <c r="A819" s="10"/>
      <c r="B819" s="13"/>
      <c r="C819" s="13"/>
    </row>
    <row r="820" spans="1:3" ht="13" x14ac:dyDescent="0.15">
      <c r="A820" s="10"/>
      <c r="B820" s="13"/>
      <c r="C820" s="13"/>
    </row>
    <row r="821" spans="1:3" ht="13" x14ac:dyDescent="0.15">
      <c r="A821" s="10"/>
      <c r="B821" s="13"/>
      <c r="C821" s="13"/>
    </row>
    <row r="822" spans="1:3" ht="13" x14ac:dyDescent="0.15">
      <c r="A822" s="10"/>
      <c r="B822" s="13"/>
      <c r="C822" s="13"/>
    </row>
    <row r="823" spans="1:3" ht="13" x14ac:dyDescent="0.15">
      <c r="A823" s="10"/>
      <c r="B823" s="13"/>
      <c r="C823" s="13"/>
    </row>
    <row r="824" spans="1:3" ht="13" x14ac:dyDescent="0.15">
      <c r="A824" s="10"/>
      <c r="B824" s="13"/>
      <c r="C824" s="13"/>
    </row>
    <row r="825" spans="1:3" ht="13" x14ac:dyDescent="0.15">
      <c r="A825" s="10"/>
      <c r="B825" s="13"/>
      <c r="C825" s="13"/>
    </row>
    <row r="826" spans="1:3" ht="13" x14ac:dyDescent="0.15">
      <c r="A826" s="10"/>
      <c r="B826" s="13"/>
      <c r="C826" s="13"/>
    </row>
    <row r="827" spans="1:3" ht="13" x14ac:dyDescent="0.15">
      <c r="A827" s="10"/>
      <c r="B827" s="13"/>
      <c r="C827" s="13"/>
    </row>
    <row r="828" spans="1:3" ht="13" x14ac:dyDescent="0.15">
      <c r="A828" s="10"/>
      <c r="B828" s="13"/>
      <c r="C828" s="13"/>
    </row>
    <row r="829" spans="1:3" ht="13" x14ac:dyDescent="0.15">
      <c r="A829" s="10"/>
      <c r="B829" s="13"/>
      <c r="C829" s="13"/>
    </row>
    <row r="830" spans="1:3" ht="13" x14ac:dyDescent="0.15">
      <c r="A830" s="10"/>
      <c r="B830" s="13"/>
      <c r="C830" s="13"/>
    </row>
    <row r="831" spans="1:3" ht="13" x14ac:dyDescent="0.15">
      <c r="A831" s="10"/>
      <c r="B831" s="13"/>
      <c r="C831" s="13"/>
    </row>
    <row r="832" spans="1:3" ht="13" x14ac:dyDescent="0.15">
      <c r="A832" s="10"/>
      <c r="B832" s="13"/>
      <c r="C832" s="13"/>
    </row>
    <row r="833" spans="1:3" ht="13" x14ac:dyDescent="0.15">
      <c r="A833" s="10"/>
      <c r="B833" s="13"/>
      <c r="C833" s="13"/>
    </row>
    <row r="834" spans="1:3" ht="13" x14ac:dyDescent="0.15">
      <c r="A834" s="10"/>
      <c r="B834" s="13"/>
      <c r="C834" s="13"/>
    </row>
    <row r="835" spans="1:3" ht="13" x14ac:dyDescent="0.15">
      <c r="A835" s="10"/>
      <c r="B835" s="13"/>
      <c r="C835" s="13"/>
    </row>
    <row r="836" spans="1:3" ht="13" x14ac:dyDescent="0.15">
      <c r="A836" s="10"/>
      <c r="B836" s="13"/>
      <c r="C836" s="13"/>
    </row>
    <row r="837" spans="1:3" ht="13" x14ac:dyDescent="0.15">
      <c r="A837" s="10"/>
      <c r="B837" s="13"/>
      <c r="C837" s="13"/>
    </row>
    <row r="838" spans="1:3" ht="13" x14ac:dyDescent="0.15">
      <c r="A838" s="10"/>
      <c r="B838" s="13"/>
      <c r="C838" s="13"/>
    </row>
    <row r="839" spans="1:3" ht="13" x14ac:dyDescent="0.15">
      <c r="A839" s="10"/>
      <c r="B839" s="13"/>
      <c r="C839" s="13"/>
    </row>
    <row r="840" spans="1:3" ht="13" x14ac:dyDescent="0.15">
      <c r="A840" s="10"/>
      <c r="B840" s="13"/>
      <c r="C840" s="13"/>
    </row>
    <row r="841" spans="1:3" ht="13" x14ac:dyDescent="0.15">
      <c r="A841" s="10"/>
      <c r="B841" s="13"/>
      <c r="C841" s="13"/>
    </row>
    <row r="842" spans="1:3" ht="13" x14ac:dyDescent="0.15">
      <c r="A842" s="10"/>
      <c r="B842" s="13"/>
      <c r="C842" s="13"/>
    </row>
    <row r="843" spans="1:3" ht="13" x14ac:dyDescent="0.15">
      <c r="A843" s="10"/>
      <c r="B843" s="13"/>
      <c r="C843" s="13"/>
    </row>
    <row r="844" spans="1:3" ht="13" x14ac:dyDescent="0.15">
      <c r="A844" s="10"/>
      <c r="B844" s="13"/>
      <c r="C844" s="13"/>
    </row>
    <row r="845" spans="1:3" ht="13" x14ac:dyDescent="0.15">
      <c r="A845" s="10"/>
      <c r="B845" s="13"/>
      <c r="C845" s="13"/>
    </row>
    <row r="846" spans="1:3" ht="13" x14ac:dyDescent="0.15">
      <c r="A846" s="10"/>
      <c r="B846" s="13"/>
      <c r="C846" s="13"/>
    </row>
    <row r="847" spans="1:3" ht="13" x14ac:dyDescent="0.15">
      <c r="A847" s="10"/>
      <c r="B847" s="13"/>
      <c r="C847" s="13"/>
    </row>
    <row r="848" spans="1:3" ht="13" x14ac:dyDescent="0.15">
      <c r="A848" s="10"/>
      <c r="B848" s="13"/>
      <c r="C848" s="13"/>
    </row>
    <row r="849" spans="1:3" ht="13" x14ac:dyDescent="0.15">
      <c r="A849" s="10"/>
      <c r="B849" s="13"/>
      <c r="C849" s="13"/>
    </row>
    <row r="850" spans="1:3" ht="13" x14ac:dyDescent="0.15">
      <c r="A850" s="10"/>
      <c r="B850" s="13"/>
      <c r="C850" s="13"/>
    </row>
    <row r="851" spans="1:3" ht="13" x14ac:dyDescent="0.15">
      <c r="A851" s="10"/>
      <c r="B851" s="13"/>
      <c r="C851" s="13"/>
    </row>
    <row r="852" spans="1:3" ht="13" x14ac:dyDescent="0.15">
      <c r="A852" s="10"/>
      <c r="B852" s="13"/>
      <c r="C852" s="13"/>
    </row>
    <row r="853" spans="1:3" ht="13" x14ac:dyDescent="0.15">
      <c r="A853" s="10"/>
      <c r="B853" s="13"/>
      <c r="C853" s="13"/>
    </row>
    <row r="854" spans="1:3" ht="13" x14ac:dyDescent="0.15">
      <c r="A854" s="10"/>
      <c r="B854" s="13"/>
      <c r="C854" s="13"/>
    </row>
    <row r="855" spans="1:3" ht="13" x14ac:dyDescent="0.15">
      <c r="A855" s="10"/>
      <c r="B855" s="13"/>
      <c r="C855" s="13"/>
    </row>
    <row r="856" spans="1:3" ht="13" x14ac:dyDescent="0.15">
      <c r="A856" s="10"/>
      <c r="B856" s="13"/>
      <c r="C856" s="13"/>
    </row>
    <row r="857" spans="1:3" ht="13" x14ac:dyDescent="0.15">
      <c r="A857" s="10"/>
      <c r="B857" s="13"/>
      <c r="C857" s="13"/>
    </row>
    <row r="858" spans="1:3" ht="13" x14ac:dyDescent="0.15">
      <c r="A858" s="10"/>
      <c r="B858" s="13"/>
      <c r="C858" s="13"/>
    </row>
    <row r="859" spans="1:3" ht="13" x14ac:dyDescent="0.15">
      <c r="A859" s="10"/>
      <c r="B859" s="13"/>
      <c r="C859" s="13"/>
    </row>
    <row r="860" spans="1:3" ht="13" x14ac:dyDescent="0.15">
      <c r="A860" s="10"/>
      <c r="B860" s="13"/>
      <c r="C860" s="13"/>
    </row>
    <row r="861" spans="1:3" ht="13" x14ac:dyDescent="0.15">
      <c r="A861" s="10"/>
      <c r="B861" s="13"/>
      <c r="C861" s="13"/>
    </row>
    <row r="862" spans="1:3" ht="13" x14ac:dyDescent="0.15">
      <c r="A862" s="10"/>
      <c r="B862" s="13"/>
      <c r="C862" s="13"/>
    </row>
    <row r="863" spans="1:3" ht="13" x14ac:dyDescent="0.15">
      <c r="A863" s="10"/>
      <c r="B863" s="13"/>
      <c r="C863" s="13"/>
    </row>
    <row r="864" spans="1:3" ht="13" x14ac:dyDescent="0.15">
      <c r="A864" s="10"/>
      <c r="B864" s="13"/>
      <c r="C864" s="13"/>
    </row>
    <row r="865" spans="1:3" ht="13" x14ac:dyDescent="0.15">
      <c r="A865" s="10"/>
      <c r="B865" s="13"/>
      <c r="C865" s="13"/>
    </row>
    <row r="866" spans="1:3" ht="13" x14ac:dyDescent="0.15">
      <c r="A866" s="10"/>
      <c r="B866" s="13"/>
      <c r="C866" s="13"/>
    </row>
    <row r="867" spans="1:3" ht="13" x14ac:dyDescent="0.15">
      <c r="A867" s="10"/>
      <c r="B867" s="13"/>
      <c r="C867" s="13"/>
    </row>
    <row r="868" spans="1:3" ht="13" x14ac:dyDescent="0.15">
      <c r="A868" s="10"/>
      <c r="B868" s="13"/>
      <c r="C868" s="13"/>
    </row>
    <row r="869" spans="1:3" ht="13" x14ac:dyDescent="0.15">
      <c r="A869" s="10"/>
      <c r="B869" s="13"/>
      <c r="C869" s="13"/>
    </row>
    <row r="870" spans="1:3" ht="13" x14ac:dyDescent="0.15">
      <c r="A870" s="10"/>
      <c r="B870" s="13"/>
      <c r="C870" s="13"/>
    </row>
    <row r="871" spans="1:3" ht="13" x14ac:dyDescent="0.15">
      <c r="A871" s="10"/>
      <c r="B871" s="13"/>
      <c r="C871" s="13"/>
    </row>
    <row r="872" spans="1:3" ht="13" x14ac:dyDescent="0.15">
      <c r="A872" s="10"/>
      <c r="B872" s="13"/>
      <c r="C872" s="13"/>
    </row>
    <row r="873" spans="1:3" ht="13" x14ac:dyDescent="0.15">
      <c r="A873" s="10"/>
      <c r="B873" s="13"/>
      <c r="C873" s="13"/>
    </row>
    <row r="874" spans="1:3" ht="13" x14ac:dyDescent="0.15">
      <c r="A874" s="10"/>
      <c r="B874" s="13"/>
      <c r="C874" s="13"/>
    </row>
    <row r="875" spans="1:3" ht="13" x14ac:dyDescent="0.15">
      <c r="A875" s="10"/>
      <c r="B875" s="13"/>
      <c r="C875" s="13"/>
    </row>
    <row r="876" spans="1:3" ht="13" x14ac:dyDescent="0.15">
      <c r="A876" s="10"/>
      <c r="B876" s="13"/>
      <c r="C876" s="13"/>
    </row>
    <row r="877" spans="1:3" ht="13" x14ac:dyDescent="0.15">
      <c r="A877" s="10"/>
      <c r="B877" s="13"/>
      <c r="C877" s="13"/>
    </row>
    <row r="878" spans="1:3" ht="13" x14ac:dyDescent="0.15">
      <c r="A878" s="10"/>
      <c r="B878" s="13"/>
      <c r="C878" s="13"/>
    </row>
    <row r="879" spans="1:3" ht="13" x14ac:dyDescent="0.15">
      <c r="A879" s="10"/>
      <c r="B879" s="13"/>
      <c r="C879" s="13"/>
    </row>
    <row r="880" spans="1:3" ht="13" x14ac:dyDescent="0.15">
      <c r="A880" s="10"/>
      <c r="B880" s="13"/>
      <c r="C880" s="13"/>
    </row>
    <row r="881" spans="1:3" ht="13" x14ac:dyDescent="0.15">
      <c r="A881" s="10"/>
      <c r="B881" s="13"/>
      <c r="C881" s="13"/>
    </row>
    <row r="882" spans="1:3" ht="13" x14ac:dyDescent="0.15">
      <c r="A882" s="10"/>
      <c r="B882" s="13"/>
      <c r="C882" s="13"/>
    </row>
    <row r="883" spans="1:3" ht="13" x14ac:dyDescent="0.15">
      <c r="A883" s="10"/>
      <c r="B883" s="13"/>
      <c r="C883" s="13"/>
    </row>
    <row r="884" spans="1:3" ht="13" x14ac:dyDescent="0.15">
      <c r="A884" s="10"/>
      <c r="B884" s="13"/>
      <c r="C884" s="13"/>
    </row>
    <row r="885" spans="1:3" ht="13" x14ac:dyDescent="0.15">
      <c r="A885" s="10"/>
      <c r="B885" s="13"/>
      <c r="C885" s="13"/>
    </row>
    <row r="886" spans="1:3" ht="13" x14ac:dyDescent="0.15">
      <c r="A886" s="10"/>
      <c r="B886" s="13"/>
      <c r="C886" s="13"/>
    </row>
    <row r="887" spans="1:3" ht="13" x14ac:dyDescent="0.15">
      <c r="A887" s="10"/>
      <c r="B887" s="13"/>
      <c r="C887" s="13"/>
    </row>
    <row r="888" spans="1:3" ht="13" x14ac:dyDescent="0.15">
      <c r="A888" s="10"/>
      <c r="B888" s="13"/>
      <c r="C888" s="13"/>
    </row>
    <row r="889" spans="1:3" ht="13" x14ac:dyDescent="0.15">
      <c r="A889" s="10"/>
      <c r="B889" s="13"/>
      <c r="C889" s="13"/>
    </row>
    <row r="890" spans="1:3" ht="13" x14ac:dyDescent="0.15">
      <c r="A890" s="10"/>
      <c r="B890" s="13"/>
      <c r="C890" s="13"/>
    </row>
    <row r="891" spans="1:3" ht="13" x14ac:dyDescent="0.15">
      <c r="A891" s="10"/>
      <c r="B891" s="13"/>
      <c r="C891" s="13"/>
    </row>
    <row r="892" spans="1:3" ht="13" x14ac:dyDescent="0.15">
      <c r="A892" s="10"/>
      <c r="B892" s="13"/>
      <c r="C892" s="13"/>
    </row>
    <row r="893" spans="1:3" ht="13" x14ac:dyDescent="0.15">
      <c r="A893" s="10"/>
      <c r="B893" s="13"/>
      <c r="C893" s="13"/>
    </row>
    <row r="894" spans="1:3" ht="13" x14ac:dyDescent="0.15">
      <c r="A894" s="10"/>
      <c r="B894" s="13"/>
      <c r="C894" s="13"/>
    </row>
    <row r="895" spans="1:3" ht="13" x14ac:dyDescent="0.15">
      <c r="A895" s="10"/>
      <c r="B895" s="13"/>
      <c r="C895" s="13"/>
    </row>
    <row r="896" spans="1:3" ht="13" x14ac:dyDescent="0.15">
      <c r="A896" s="10"/>
      <c r="B896" s="13"/>
      <c r="C896" s="13"/>
    </row>
    <row r="897" spans="1:3" ht="13" x14ac:dyDescent="0.15">
      <c r="A897" s="10"/>
      <c r="B897" s="13"/>
      <c r="C897" s="13"/>
    </row>
    <row r="898" spans="1:3" ht="13" x14ac:dyDescent="0.15">
      <c r="A898" s="10"/>
      <c r="B898" s="13"/>
      <c r="C898" s="13"/>
    </row>
    <row r="899" spans="1:3" ht="13" x14ac:dyDescent="0.15">
      <c r="A899" s="10"/>
      <c r="B899" s="13"/>
      <c r="C899" s="13"/>
    </row>
    <row r="900" spans="1:3" ht="13" x14ac:dyDescent="0.15">
      <c r="A900" s="10"/>
      <c r="B900" s="13"/>
      <c r="C900" s="13"/>
    </row>
    <row r="901" spans="1:3" ht="13" x14ac:dyDescent="0.15">
      <c r="A901" s="10"/>
      <c r="B901" s="13"/>
      <c r="C901" s="13"/>
    </row>
    <row r="902" spans="1:3" ht="13" x14ac:dyDescent="0.15">
      <c r="A902" s="10"/>
      <c r="B902" s="13"/>
      <c r="C902" s="13"/>
    </row>
    <row r="903" spans="1:3" ht="13" x14ac:dyDescent="0.15">
      <c r="A903" s="10"/>
      <c r="B903" s="13"/>
      <c r="C903" s="13"/>
    </row>
    <row r="904" spans="1:3" ht="13" x14ac:dyDescent="0.15">
      <c r="A904" s="10"/>
      <c r="B904" s="13"/>
      <c r="C904" s="13"/>
    </row>
    <row r="905" spans="1:3" ht="13" x14ac:dyDescent="0.15">
      <c r="A905" s="10"/>
      <c r="B905" s="13"/>
      <c r="C905" s="13"/>
    </row>
    <row r="906" spans="1:3" ht="13" x14ac:dyDescent="0.15">
      <c r="A906" s="10"/>
      <c r="B906" s="13"/>
      <c r="C906" s="13"/>
    </row>
    <row r="907" spans="1:3" ht="13" x14ac:dyDescent="0.15">
      <c r="A907" s="10"/>
      <c r="B907" s="13"/>
      <c r="C907" s="13"/>
    </row>
    <row r="908" spans="1:3" ht="13" x14ac:dyDescent="0.15">
      <c r="A908" s="10"/>
      <c r="B908" s="13"/>
      <c r="C908" s="13"/>
    </row>
    <row r="909" spans="1:3" ht="13" x14ac:dyDescent="0.15">
      <c r="A909" s="10"/>
      <c r="B909" s="13"/>
      <c r="C909" s="13"/>
    </row>
    <row r="910" spans="1:3" ht="13" x14ac:dyDescent="0.15">
      <c r="A910" s="10"/>
      <c r="B910" s="13"/>
      <c r="C910" s="13"/>
    </row>
    <row r="911" spans="1:3" ht="13" x14ac:dyDescent="0.15">
      <c r="A911" s="10"/>
      <c r="B911" s="13"/>
      <c r="C911" s="13"/>
    </row>
    <row r="912" spans="1:3" ht="13" x14ac:dyDescent="0.15">
      <c r="A912" s="10"/>
      <c r="B912" s="13"/>
      <c r="C912" s="13"/>
    </row>
    <row r="913" spans="1:3" ht="13" x14ac:dyDescent="0.15">
      <c r="A913" s="10"/>
      <c r="B913" s="13"/>
      <c r="C913" s="13"/>
    </row>
    <row r="914" spans="1:3" ht="13" x14ac:dyDescent="0.15">
      <c r="A914" s="10"/>
      <c r="B914" s="13"/>
      <c r="C914" s="13"/>
    </row>
    <row r="915" spans="1:3" ht="13" x14ac:dyDescent="0.15">
      <c r="A915" s="10"/>
      <c r="B915" s="13"/>
      <c r="C915" s="13"/>
    </row>
    <row r="916" spans="1:3" ht="13" x14ac:dyDescent="0.15">
      <c r="A916" s="10"/>
      <c r="B916" s="13"/>
      <c r="C916" s="13"/>
    </row>
    <row r="917" spans="1:3" ht="13" x14ac:dyDescent="0.15">
      <c r="A917" s="10"/>
      <c r="B917" s="13"/>
      <c r="C917" s="13"/>
    </row>
    <row r="918" spans="1:3" ht="13" x14ac:dyDescent="0.15">
      <c r="A918" s="10"/>
      <c r="B918" s="13"/>
      <c r="C918" s="13"/>
    </row>
    <row r="919" spans="1:3" ht="13" x14ac:dyDescent="0.15">
      <c r="A919" s="10"/>
      <c r="B919" s="13"/>
      <c r="C919" s="13"/>
    </row>
    <row r="920" spans="1:3" ht="13" x14ac:dyDescent="0.15">
      <c r="A920" s="10"/>
      <c r="B920" s="13"/>
      <c r="C920" s="13"/>
    </row>
    <row r="921" spans="1:3" ht="13" x14ac:dyDescent="0.15">
      <c r="A921" s="10"/>
      <c r="B921" s="13"/>
      <c r="C921" s="13"/>
    </row>
    <row r="922" spans="1:3" ht="13" x14ac:dyDescent="0.15">
      <c r="A922" s="10"/>
      <c r="B922" s="13"/>
      <c r="C922" s="13"/>
    </row>
    <row r="923" spans="1:3" ht="13" x14ac:dyDescent="0.15">
      <c r="A923" s="10"/>
      <c r="B923" s="13"/>
      <c r="C923" s="13"/>
    </row>
    <row r="924" spans="1:3" ht="13" x14ac:dyDescent="0.15">
      <c r="A924" s="10"/>
      <c r="B924" s="13"/>
      <c r="C924" s="13"/>
    </row>
    <row r="925" spans="1:3" ht="13" x14ac:dyDescent="0.15">
      <c r="A925" s="10"/>
      <c r="B925" s="13"/>
      <c r="C925" s="13"/>
    </row>
    <row r="926" spans="1:3" ht="13" x14ac:dyDescent="0.15">
      <c r="A926" s="10"/>
      <c r="B926" s="13"/>
      <c r="C926" s="13"/>
    </row>
    <row r="927" spans="1:3" ht="13" x14ac:dyDescent="0.15">
      <c r="A927" s="10"/>
      <c r="B927" s="13"/>
      <c r="C927" s="13"/>
    </row>
    <row r="928" spans="1:3" ht="13" x14ac:dyDescent="0.15">
      <c r="A928" s="10"/>
      <c r="B928" s="13"/>
      <c r="C928" s="13"/>
    </row>
    <row r="929" spans="1:3" ht="13" x14ac:dyDescent="0.15">
      <c r="A929" s="10"/>
      <c r="B929" s="13"/>
      <c r="C929" s="13"/>
    </row>
    <row r="930" spans="1:3" ht="13" x14ac:dyDescent="0.15">
      <c r="A930" s="10"/>
      <c r="B930" s="13"/>
      <c r="C930" s="13"/>
    </row>
    <row r="931" spans="1:3" ht="13" x14ac:dyDescent="0.15">
      <c r="A931" s="10"/>
      <c r="B931" s="13"/>
      <c r="C931" s="13"/>
    </row>
    <row r="932" spans="1:3" ht="13" x14ac:dyDescent="0.15">
      <c r="A932" s="10"/>
      <c r="B932" s="13"/>
      <c r="C932" s="13"/>
    </row>
    <row r="933" spans="1:3" ht="13" x14ac:dyDescent="0.15">
      <c r="A933" s="10"/>
      <c r="B933" s="13"/>
      <c r="C933" s="13"/>
    </row>
    <row r="934" spans="1:3" ht="13" x14ac:dyDescent="0.15">
      <c r="A934" s="10"/>
      <c r="B934" s="13"/>
      <c r="C934" s="13"/>
    </row>
    <row r="935" spans="1:3" ht="13" x14ac:dyDescent="0.15">
      <c r="A935" s="10"/>
      <c r="B935" s="13"/>
      <c r="C935" s="13"/>
    </row>
    <row r="936" spans="1:3" ht="13" x14ac:dyDescent="0.15">
      <c r="A936" s="10"/>
      <c r="B936" s="13"/>
      <c r="C936" s="13"/>
    </row>
    <row r="937" spans="1:3" ht="13" x14ac:dyDescent="0.15">
      <c r="A937" s="10"/>
      <c r="B937" s="13"/>
      <c r="C937" s="13"/>
    </row>
    <row r="938" spans="1:3" ht="13" x14ac:dyDescent="0.15">
      <c r="A938" s="10"/>
      <c r="B938" s="13"/>
      <c r="C938" s="13"/>
    </row>
    <row r="939" spans="1:3" ht="13" x14ac:dyDescent="0.15">
      <c r="A939" s="10"/>
      <c r="B939" s="13"/>
      <c r="C939" s="13"/>
    </row>
    <row r="940" spans="1:3" ht="13" x14ac:dyDescent="0.15">
      <c r="A940" s="10"/>
      <c r="B940" s="13"/>
      <c r="C940" s="13"/>
    </row>
    <row r="941" spans="1:3" ht="13" x14ac:dyDescent="0.15">
      <c r="A941" s="10"/>
      <c r="B941" s="13"/>
      <c r="C941" s="13"/>
    </row>
    <row r="942" spans="1:3" ht="13" x14ac:dyDescent="0.15">
      <c r="A942" s="10"/>
      <c r="B942" s="13"/>
      <c r="C942" s="13"/>
    </row>
    <row r="943" spans="1:3" ht="13" x14ac:dyDescent="0.15">
      <c r="A943" s="10"/>
      <c r="B943" s="13"/>
      <c r="C943" s="13"/>
    </row>
    <row r="944" spans="1:3" ht="13" x14ac:dyDescent="0.15">
      <c r="A944" s="10"/>
      <c r="B944" s="13"/>
      <c r="C944" s="13"/>
    </row>
    <row r="945" spans="1:3" ht="13" x14ac:dyDescent="0.15">
      <c r="A945" s="10"/>
      <c r="B945" s="13"/>
      <c r="C945" s="13"/>
    </row>
    <row r="946" spans="1:3" ht="13" x14ac:dyDescent="0.15">
      <c r="A946" s="10"/>
      <c r="B946" s="13"/>
      <c r="C946" s="13"/>
    </row>
    <row r="947" spans="1:3" ht="13" x14ac:dyDescent="0.15">
      <c r="A947" s="10"/>
      <c r="B947" s="13"/>
      <c r="C947" s="13"/>
    </row>
    <row r="948" spans="1:3" ht="13" x14ac:dyDescent="0.15">
      <c r="A948" s="10"/>
      <c r="B948" s="13"/>
      <c r="C948" s="13"/>
    </row>
    <row r="949" spans="1:3" ht="13" x14ac:dyDescent="0.15">
      <c r="A949" s="10"/>
      <c r="B949" s="13"/>
      <c r="C949" s="13"/>
    </row>
    <row r="950" spans="1:3" ht="13" x14ac:dyDescent="0.15">
      <c r="A950" s="10"/>
      <c r="B950" s="13"/>
      <c r="C950" s="13"/>
    </row>
    <row r="951" spans="1:3" ht="13" x14ac:dyDescent="0.15">
      <c r="A951" s="10"/>
      <c r="B951" s="13"/>
      <c r="C951" s="13"/>
    </row>
    <row r="952" spans="1:3" ht="13" x14ac:dyDescent="0.15">
      <c r="A952" s="10"/>
      <c r="B952" s="13"/>
      <c r="C952" s="13"/>
    </row>
    <row r="953" spans="1:3" ht="13" x14ac:dyDescent="0.15">
      <c r="A953" s="10"/>
      <c r="B953" s="13"/>
      <c r="C953" s="13"/>
    </row>
    <row r="954" spans="1:3" ht="13" x14ac:dyDescent="0.15">
      <c r="A954" s="10"/>
      <c r="B954" s="13"/>
      <c r="C954" s="13"/>
    </row>
    <row r="955" spans="1:3" ht="13" x14ac:dyDescent="0.15">
      <c r="A955" s="10"/>
      <c r="B955" s="13"/>
      <c r="C955" s="13"/>
    </row>
    <row r="956" spans="1:3" ht="13" x14ac:dyDescent="0.15">
      <c r="A956" s="10"/>
      <c r="B956" s="13"/>
      <c r="C956" s="13"/>
    </row>
    <row r="957" spans="1:3" ht="13" x14ac:dyDescent="0.15">
      <c r="A957" s="10"/>
      <c r="B957" s="13"/>
      <c r="C957" s="13"/>
    </row>
    <row r="958" spans="1:3" ht="13" x14ac:dyDescent="0.15">
      <c r="A958" s="10"/>
      <c r="B958" s="13"/>
      <c r="C958" s="13"/>
    </row>
    <row r="959" spans="1:3" ht="13" x14ac:dyDescent="0.15">
      <c r="A959" s="10"/>
      <c r="B959" s="13"/>
      <c r="C959" s="13"/>
    </row>
    <row r="960" spans="1:3" ht="13" x14ac:dyDescent="0.15">
      <c r="A960" s="10"/>
      <c r="B960" s="13"/>
      <c r="C960" s="13"/>
    </row>
    <row r="961" spans="1:3" ht="13" x14ac:dyDescent="0.15">
      <c r="A961" s="10"/>
      <c r="B961" s="13"/>
      <c r="C961" s="13"/>
    </row>
    <row r="962" spans="1:3" ht="13" x14ac:dyDescent="0.15">
      <c r="A962" s="10"/>
      <c r="B962" s="13"/>
      <c r="C962" s="13"/>
    </row>
    <row r="963" spans="1:3" ht="13" x14ac:dyDescent="0.15">
      <c r="A963" s="10"/>
      <c r="B963" s="13"/>
      <c r="C963" s="13"/>
    </row>
    <row r="964" spans="1:3" ht="13" x14ac:dyDescent="0.15">
      <c r="A964" s="10"/>
      <c r="B964" s="13"/>
      <c r="C964" s="13"/>
    </row>
    <row r="965" spans="1:3" ht="13" x14ac:dyDescent="0.15">
      <c r="A965" s="10"/>
      <c r="B965" s="13"/>
      <c r="C965" s="13"/>
    </row>
    <row r="966" spans="1:3" ht="13" x14ac:dyDescent="0.15">
      <c r="A966" s="10"/>
      <c r="B966" s="13"/>
      <c r="C966" s="13"/>
    </row>
    <row r="967" spans="1:3" ht="13" x14ac:dyDescent="0.15">
      <c r="A967" s="10"/>
      <c r="B967" s="13"/>
      <c r="C967" s="13"/>
    </row>
    <row r="968" spans="1:3" ht="13" x14ac:dyDescent="0.15">
      <c r="A968" s="10"/>
      <c r="B968" s="13"/>
      <c r="C968" s="13"/>
    </row>
    <row r="969" spans="1:3" ht="13" x14ac:dyDescent="0.15">
      <c r="A969" s="10"/>
      <c r="B969" s="13"/>
      <c r="C969" s="13"/>
    </row>
    <row r="970" spans="1:3" ht="13" x14ac:dyDescent="0.15">
      <c r="A970" s="10"/>
      <c r="B970" s="13"/>
      <c r="C970" s="13"/>
    </row>
    <row r="971" spans="1:3" ht="13" x14ac:dyDescent="0.15">
      <c r="A971" s="10"/>
      <c r="B971" s="13"/>
      <c r="C971" s="13"/>
    </row>
    <row r="972" spans="1:3" ht="13" x14ac:dyDescent="0.15">
      <c r="A972" s="10"/>
      <c r="B972" s="13"/>
      <c r="C972" s="13"/>
    </row>
    <row r="973" spans="1:3" ht="13" x14ac:dyDescent="0.15">
      <c r="A973" s="10"/>
      <c r="B973" s="13"/>
      <c r="C973" s="13"/>
    </row>
    <row r="974" spans="1:3" ht="13" x14ac:dyDescent="0.15">
      <c r="A974" s="10"/>
      <c r="B974" s="13"/>
      <c r="C974" s="13"/>
    </row>
    <row r="975" spans="1:3" ht="13" x14ac:dyDescent="0.15">
      <c r="A975" s="10"/>
      <c r="B975" s="13"/>
      <c r="C975" s="13"/>
    </row>
    <row r="976" spans="1:3" ht="13" x14ac:dyDescent="0.15">
      <c r="A976" s="10"/>
      <c r="B976" s="13"/>
      <c r="C976" s="13"/>
    </row>
    <row r="977" spans="1:3" ht="13" x14ac:dyDescent="0.15">
      <c r="A977" s="10"/>
      <c r="B977" s="13"/>
      <c r="C977" s="13"/>
    </row>
    <row r="978" spans="1:3" ht="13" x14ac:dyDescent="0.15">
      <c r="A978" s="10"/>
      <c r="B978" s="13"/>
      <c r="C978" s="13"/>
    </row>
    <row r="979" spans="1:3" ht="13" x14ac:dyDescent="0.15">
      <c r="A979" s="10"/>
      <c r="B979" s="13"/>
      <c r="C979" s="13"/>
    </row>
    <row r="980" spans="1:3" ht="13" x14ac:dyDescent="0.15">
      <c r="A980" s="10"/>
      <c r="B980" s="13"/>
      <c r="C980" s="13"/>
    </row>
    <row r="981" spans="1:3" ht="13" x14ac:dyDescent="0.15">
      <c r="A981" s="10"/>
      <c r="B981" s="13"/>
      <c r="C981" s="13"/>
    </row>
    <row r="982" spans="1:3" ht="13" x14ac:dyDescent="0.15">
      <c r="A982" s="10"/>
      <c r="B982" s="13"/>
      <c r="C982" s="13"/>
    </row>
    <row r="983" spans="1:3" ht="13" x14ac:dyDescent="0.15">
      <c r="A983" s="10"/>
      <c r="B983" s="13"/>
      <c r="C983" s="13"/>
    </row>
    <row r="984" spans="1:3" ht="13" x14ac:dyDescent="0.15">
      <c r="A984" s="10"/>
      <c r="B984" s="13"/>
      <c r="C984" s="13"/>
    </row>
    <row r="985" spans="1:3" ht="13" x14ac:dyDescent="0.15">
      <c r="A985" s="10"/>
      <c r="B985" s="13"/>
      <c r="C985" s="13"/>
    </row>
    <row r="986" spans="1:3" ht="13" x14ac:dyDescent="0.15">
      <c r="A986" s="10"/>
      <c r="B986" s="13"/>
      <c r="C986" s="13"/>
    </row>
    <row r="987" spans="1:3" ht="13" x14ac:dyDescent="0.15">
      <c r="A987" s="10"/>
      <c r="B987" s="13"/>
      <c r="C987" s="13"/>
    </row>
    <row r="988" spans="1:3" ht="13" x14ac:dyDescent="0.15">
      <c r="A988" s="10"/>
      <c r="B988" s="13"/>
      <c r="C988" s="13"/>
    </row>
    <row r="989" spans="1:3" ht="13" x14ac:dyDescent="0.15">
      <c r="A989" s="10"/>
      <c r="B989" s="13"/>
      <c r="C989" s="13"/>
    </row>
    <row r="990" spans="1:3" ht="13" x14ac:dyDescent="0.15">
      <c r="A990" s="10"/>
      <c r="B990" s="13"/>
      <c r="C990" s="13"/>
    </row>
    <row r="991" spans="1:3" ht="13" x14ac:dyDescent="0.15">
      <c r="A991" s="10"/>
      <c r="B991" s="13"/>
      <c r="C991" s="13"/>
    </row>
    <row r="992" spans="1:3" ht="13" x14ac:dyDescent="0.15">
      <c r="A992" s="10"/>
      <c r="B992" s="13"/>
      <c r="C992" s="13"/>
    </row>
    <row r="993" spans="1:3" ht="13" x14ac:dyDescent="0.15">
      <c r="A993" s="10"/>
      <c r="B993" s="13"/>
      <c r="C993" s="13"/>
    </row>
    <row r="994" spans="1:3" ht="13" x14ac:dyDescent="0.15">
      <c r="A994" s="10"/>
      <c r="B994" s="13"/>
      <c r="C994" s="13"/>
    </row>
    <row r="995" spans="1:3" ht="13" x14ac:dyDescent="0.15">
      <c r="A995" s="10"/>
      <c r="B995" s="13"/>
      <c r="C995" s="13"/>
    </row>
    <row r="996" spans="1:3" ht="13" x14ac:dyDescent="0.15">
      <c r="A996" s="10"/>
      <c r="B996" s="13"/>
      <c r="C996" s="13"/>
    </row>
    <row r="997" spans="1:3" ht="13" x14ac:dyDescent="0.15">
      <c r="A997" s="10"/>
      <c r="B997" s="13"/>
      <c r="C997" s="13"/>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outlinePr summaryBelow="0" summaryRight="0"/>
  </sheetPr>
  <dimension ref="A1:D997"/>
  <sheetViews>
    <sheetView workbookViewId="0"/>
  </sheetViews>
  <sheetFormatPr baseColWidth="10" defaultColWidth="12.6640625" defaultRowHeight="15.75" customHeight="1" x14ac:dyDescent="0.15"/>
  <cols>
    <col min="1" max="1" width="71.5" customWidth="1"/>
    <col min="2" max="4" width="37.6640625" customWidth="1"/>
  </cols>
  <sheetData>
    <row r="1" spans="1:4" ht="15.75" customHeight="1" x14ac:dyDescent="0.15">
      <c r="A1" s="1"/>
      <c r="B1" s="12" t="str">
        <f ca="1">IFERROR(__xludf.DUMMYFUNCTION("IMPORTRANGE(""https://docs.google.com/spreadsheets/d/1C06Vs6H0Eg3__x1-dePLdZcY_bo1r3ReCeWRxqLlaS4"",""A19!B1:B22"")"),"Layla Baldwin")</f>
        <v>Layla Baldwin</v>
      </c>
      <c r="C1" s="12" t="str">
        <f ca="1">IFERROR(__xludf.DUMMYFUNCTION("IMPORTRANGE(""https://docs.google.com/spreadsheets/d/19FYWDv6QyCNB_zbElAOE5cOI1IJ2jraXGOFWNs-qsQM"",""A19!B1:B22"")"),"Braden Brennan")</f>
        <v>Braden Brennan</v>
      </c>
      <c r="D1" s="2" t="s">
        <v>1</v>
      </c>
    </row>
    <row r="2" spans="1:4" ht="15.75" customHeight="1" x14ac:dyDescent="0.15">
      <c r="A2" s="3" t="s">
        <v>2</v>
      </c>
      <c r="B2" s="15" t="str">
        <f ca="1">IFERROR(__xludf.DUMMYFUNCTION("""COMPUTED_VALUE"""),"Start: 13957, Stop: 15069, Forward")</f>
        <v>Start: 13957, Stop: 15069, Forward</v>
      </c>
      <c r="C2" s="15" t="str">
        <f ca="1">IFERROR(__xludf.DUMMYFUNCTION("""COMPUTED_VALUE"""),"13957 - 15069")</f>
        <v>13957 - 15069</v>
      </c>
      <c r="D2" s="4"/>
    </row>
    <row r="3" spans="1:4" ht="15.75" customHeight="1" x14ac:dyDescent="0.15">
      <c r="A3" s="5" t="s">
        <v>3</v>
      </c>
      <c r="B3" s="17" t="str">
        <f ca="1">IFERROR(__xludf.DUMMYFUNCTION("""COMPUTED_VALUE"""),"19 in both")</f>
        <v>19 in both</v>
      </c>
      <c r="C3" s="17" t="str">
        <f ca="1">IFERROR(__xludf.DUMMYFUNCTION("""COMPUTED_VALUE"""),"Both gene 19")</f>
        <v>Both gene 19</v>
      </c>
      <c r="D3" s="6"/>
    </row>
    <row r="4" spans="1:4" ht="15.75" customHeight="1" x14ac:dyDescent="0.15">
      <c r="A4" s="5" t="s">
        <v>4</v>
      </c>
      <c r="B4" s="17" t="str">
        <f ca="1">IFERROR(__xludf.DUMMYFUNCTION("""COMPUTED_VALUE"""),"Pham 5786 - 3/1/25")</f>
        <v>Pham 5786 - 3/1/25</v>
      </c>
      <c r="C4" s="17" t="str">
        <f ca="1">IFERROR(__xludf.DUMMYFUNCTION("""COMPUTED_VALUE"""),"pham 5786   3/12/2025")</f>
        <v>pham 5786   3/12/2025</v>
      </c>
      <c r="D4" s="6"/>
    </row>
    <row r="5" spans="1:4" ht="15.75" customHeight="1" x14ac:dyDescent="0.15">
      <c r="A5" s="5" t="s">
        <v>5</v>
      </c>
      <c r="B5" s="17" t="str">
        <f ca="1">IFERROR(__xludf.DUMMYFUNCTION("""COMPUTED_VALUE"""),"Edmundo_18, Kovu_20, LiSara_18")</f>
        <v>Edmundo_18, Kovu_20, LiSara_18</v>
      </c>
      <c r="C5" s="17"/>
      <c r="D5" s="6"/>
    </row>
    <row r="6" spans="1:4" ht="15.75" customHeight="1" x14ac:dyDescent="0.15">
      <c r="A6" s="5" t="s">
        <v>6</v>
      </c>
      <c r="B6" s="17" t="str">
        <f ca="1">IFERROR(__xludf.DUMMYFUNCTION("""COMPUTED_VALUE"""),"Both programs call")</f>
        <v>Both programs call</v>
      </c>
      <c r="C6" s="17" t="str">
        <f ca="1">IFERROR(__xludf.DUMMYFUNCTION("""COMPUTED_VALUE"""),"glimmer call 13957")</f>
        <v>glimmer call 13957</v>
      </c>
      <c r="D6" s="6"/>
    </row>
    <row r="7" spans="1:4" ht="15.75" customHeight="1" x14ac:dyDescent="0.15">
      <c r="A7" s="5" t="s">
        <v>7</v>
      </c>
      <c r="B7" s="17" t="str">
        <f ca="1">IFERROR(__xludf.DUMMYFUNCTION("""COMPUTED_VALUE"""),"Good coding potential for most of the gene, slight dip in the very first bit. Called start captures all potential.")</f>
        <v>Good coding potential for most of the gene, slight dip in the very first bit. Called start captures all potential.</v>
      </c>
      <c r="C7" s="17" t="str">
        <f ca="1">IFERROR(__xludf.DUMMYFUNCTION("""COMPUTED_VALUE"""),"Good coding potential")</f>
        <v>Good coding potential</v>
      </c>
      <c r="D7" s="6"/>
    </row>
    <row r="8" spans="1:4" ht="15.75" customHeight="1" x14ac:dyDescent="0.15">
      <c r="A8" s="5" t="s">
        <v>8</v>
      </c>
      <c r="B8" s="17" t="str">
        <f ca="1">IFERROR(__xludf.DUMMYFUNCTION("""COMPUTED_VALUE"""),"No, there are three previous starts")</f>
        <v>No, there are three previous starts</v>
      </c>
      <c r="C8" s="17" t="str">
        <f ca="1">IFERROR(__xludf.DUMMYFUNCTION("""COMPUTED_VALUE"""),"No not quite")</f>
        <v>No not quite</v>
      </c>
      <c r="D8" s="6"/>
    </row>
    <row r="9" spans="1:4" ht="15.75" customHeight="1" x14ac:dyDescent="0.15">
      <c r="A9" s="5" t="s">
        <v>9</v>
      </c>
      <c r="B9" s="17" t="str">
        <f ca="1">IFERROR(__xludf.DUMMYFUNCTION("""COMPUTED_VALUE"""),"3 bp overlap with the previous gene. Not significant. ")</f>
        <v xml:space="preserve">3 bp overlap with the previous gene. Not significant. </v>
      </c>
      <c r="C9" s="17" t="str">
        <f ca="1">IFERROR(__xludf.DUMMYFUNCTION("""COMPUTED_VALUE"""),"Three nucleotide overlap with gene 18")</f>
        <v>Three nucleotide overlap with gene 18</v>
      </c>
      <c r="D9" s="6"/>
    </row>
    <row r="10" spans="1:4" ht="15.75" customHeight="1" x14ac:dyDescent="0.15">
      <c r="A10" s="5" t="s">
        <v>10</v>
      </c>
      <c r="B10" s="17" t="str">
        <f ca="1">IFERROR(__xludf.DUMMYFUNCTION("""COMPUTED_VALUE"""),"Z score = 1.670, final score: -5.273, not best score. Start 6 has a z value of 2.231 and the lowest final score of -4.355. Start 2 and start 7 should also be considered bases on their scores.")</f>
        <v>Z score = 1.670, final score: -5.273, not best score. Start 6 has a z value of 2.231 and the lowest final score of -4.355. Start 2 and start 7 should also be considered bases on their scores.</v>
      </c>
      <c r="C10" s="17" t="str">
        <f ca="1">IFERROR(__xludf.DUMMYFUNCTION("""COMPUTED_VALUE"""),"SD:-4.387  Z: 1.731  Final:-5.387")</f>
        <v>SD:-4.387  Z: 1.731  Final:-5.387</v>
      </c>
      <c r="D10" s="6"/>
    </row>
    <row r="11" spans="1:4" ht="15.75" customHeight="1" x14ac:dyDescent="0.15">
      <c r="A11" s="5" t="s">
        <v>11</v>
      </c>
      <c r="B11" s="17" t="str">
        <f ca="1">IFERROR(__xludf.DUMMYFUNCTION("""COMPUTED_VALUE"""),"Kovu, % identity = 84.62, e value = 0, q1: s1")</f>
        <v>Kovu, % identity = 84.62, e value = 0, q1: s1</v>
      </c>
      <c r="C11" s="17" t="str">
        <f ca="1">IFERROR(__xludf.DUMMYFUNCTION("""COMPUTED_VALUE"""),"Kovu, RNA ligase, E:0.0E0, 84.62% identitiy.")</f>
        <v>Kovu, RNA ligase, E:0.0E0, 84.62% identitiy.</v>
      </c>
      <c r="D11" s="6"/>
    </row>
    <row r="12" spans="1:4" ht="15.75" customHeight="1" x14ac:dyDescent="0.15">
      <c r="A12" s="5" t="s">
        <v>12</v>
      </c>
      <c r="B12" s="17" t="str">
        <f ca="1">IFERROR(__xludf.DUMMYFUNCTION("""COMPUTED_VALUE"""),"Start is conserved in 10/12 members. When present, it is called 100% of the time. ")</f>
        <v xml:space="preserve">Start is conserved in 10/12 members. When present, it is called 100% of the time. </v>
      </c>
      <c r="C12" s="17" t="str">
        <f ca="1">IFERROR(__xludf.DUMMYFUNCTION("""COMPUTED_VALUE"""),"Found in 10 of 12 ( 83.3% )")</f>
        <v>Found in 10 of 12 ( 83.3% )</v>
      </c>
      <c r="D12" s="6"/>
    </row>
    <row r="13" spans="1:4" ht="15.75" customHeight="1" x14ac:dyDescent="0.15">
      <c r="A13" s="5" t="s">
        <v>13</v>
      </c>
      <c r="B13" s="17" t="str">
        <f ca="1">IFERROR(__xludf.DUMMYFUNCTION("""COMPUTED_VALUE"""),"No. Called start has good coding potential, gap not significant enough, previous three starts not supported in starterator. Shortening the gene would result in even less coding potential.")</f>
        <v>No. Called start has good coding potential, gap not significant enough, previous three starts not supported in starterator. Shortening the gene would result in even less coding potential.</v>
      </c>
      <c r="C13" s="17" t="str">
        <f ca="1">IFERROR(__xludf.DUMMYFUNCTION("""COMPUTED_VALUE"""),"while there are 3 other start codons nearby most of the related genes start with gene 19's current codon. The other starts also overlap with other proteins.")</f>
        <v>while there are 3 other start codons nearby most of the related genes start with gene 19's current codon. The other starts also overlap with other proteins.</v>
      </c>
      <c r="D13" s="6"/>
    </row>
    <row r="14" spans="1:4" ht="15.75" customHeight="1" x14ac:dyDescent="0.15">
      <c r="A14" s="5" t="s">
        <v>14</v>
      </c>
      <c r="B14" s="17" t="str">
        <f ca="1">IFERROR(__xludf.DUMMYFUNCTION("""COMPUTED_VALUE"""),"Kovu_20, e value = 0 RNA Ligase")</f>
        <v>Kovu_20, e value = 0 RNA Ligase</v>
      </c>
      <c r="C14" s="17" t="str">
        <f ca="1">IFERROR(__xludf.DUMMYFUNCTION("""COMPUTED_VALUE"""),"Kharcho_87         Kovu_20 
Laroye_18         LiSara_18
Ottawa_87         Salgado_18 
Shrooms_18       ValentiniPuff_7 
Waltz_18        Wheelbite_18 ")</f>
        <v xml:space="preserve">Kharcho_87         Kovu_20 
Laroye_18         LiSara_18
Ottawa_87         Salgado_18 
Shrooms_18       ValentiniPuff_7 
Waltz_18        Wheelbite_18 </v>
      </c>
      <c r="D14" s="6"/>
    </row>
    <row r="15" spans="1:4" ht="15.75" customHeight="1" x14ac:dyDescent="0.15">
      <c r="A15" s="5" t="s">
        <v>15</v>
      </c>
      <c r="B15" s="17" t="str">
        <f ca="1">IFERROR(__xludf.DUMMYFUNCTION("""COMPUTED_VALUE"""),"Kovu_20 - RNA Ligase, Laroye_18 - aldolase class I, Salgado_18 - RNA Ligase")</f>
        <v>Kovu_20 - RNA Ligase, Laroye_18 - aldolase class I, Salgado_18 - RNA Ligase</v>
      </c>
      <c r="C15" s="17" t="str">
        <f ca="1">IFERROR(__xludf.DUMMYFUNCTION("""COMPUTED_VALUE"""),"(RNA ligase) (aldolase class I)  (capsid maturation protease)")</f>
        <v>(RNA ligase) (aldolase class I)  (capsid maturation protease)</v>
      </c>
      <c r="D15" s="6"/>
    </row>
    <row r="16" spans="1:4" ht="15.75" customHeight="1" x14ac:dyDescent="0.15">
      <c r="A16" s="5" t="s">
        <v>16</v>
      </c>
      <c r="B16" s="17" t="str">
        <f ca="1">IFERROR(__xludf.DUMMYFUNCTION("""COMPUTED_VALUE"""),"All found in same genetic environment ")</f>
        <v xml:space="preserve">All found in same genetic environment </v>
      </c>
      <c r="C16" s="17" t="str">
        <f ca="1">IFERROR(__xludf.DUMMYFUNCTION("""COMPUTED_VALUE"""),"the gene and its nearby genes seem to align well with each other and their Kovu counterparts ")</f>
        <v xml:space="preserve">the gene and its nearby genes seem to align well with each other and their Kovu counterparts </v>
      </c>
      <c r="D16" s="6"/>
    </row>
    <row r="17" spans="1:4" ht="15.75" customHeight="1" x14ac:dyDescent="0.15">
      <c r="A17" s="5" t="s">
        <v>17</v>
      </c>
      <c r="B17" s="17" t="str">
        <f ca="1">IFERROR(__xludf.DUMMYFUNCTION("""COMPUTED_VALUE"""),"2'-5' RNA Ligase; thermus thermophilus, Ligase, RIKEN Structural Genomics/Proteomics Initiative, RSGI, Structural Genomics. Probability: 99.54%, %aoq: 44.59, % aot: 33.51")</f>
        <v>2'-5' RNA Ligase; thermus thermophilus, Ligase, RIKEN Structural Genomics/Proteomics Initiative, RSGI, Structural Genomics. Probability: 99.54%, %aoq: 44.59, % aot: 33.51</v>
      </c>
      <c r="C17" s="17" t="str">
        <f ca="1">IFERROR(__xludf.DUMMYFUNCTION("""COMPUTED_VALUE"""),"RNA Ligase; Prob:99.54%;  % alignment Q: 44.46;   % alignment T: 83.34 ")</f>
        <v xml:space="preserve">RNA Ligase; Prob:99.54%;  % alignment Q: 44.46;   % alignment T: 83.34 </v>
      </c>
      <c r="D17" s="6"/>
    </row>
    <row r="18" spans="1:4" ht="15.75" customHeight="1" x14ac:dyDescent="0.15">
      <c r="A18" s="5" t="s">
        <v>18</v>
      </c>
      <c r="B18" s="17" t="str">
        <f ca="1">IFERROR(__xludf.DUMMYFUNCTION("""COMPUTED_VALUE"""),"Yes")</f>
        <v>Yes</v>
      </c>
      <c r="C18" s="17" t="str">
        <f ca="1">IFERROR(__xludf.DUMMYFUNCTION("""COMPUTED_VALUE"""),"all show as different RNA ligases")</f>
        <v>all show as different RNA ligases</v>
      </c>
      <c r="D18" s="6"/>
    </row>
    <row r="19" spans="1:4" ht="15.75" customHeight="1" x14ac:dyDescent="0.15">
      <c r="A19" s="5" t="s">
        <v>19</v>
      </c>
      <c r="B19" s="17" t="str">
        <f ca="1">IFERROR(__xludf.DUMMYFUNCTION("""COMPUTED_VALUE"""),"No, internal protein")</f>
        <v>No, internal protein</v>
      </c>
      <c r="C19" s="17" t="str">
        <f ca="1">IFERROR(__xludf.DUMMYFUNCTION("""COMPUTED_VALUE"""),"inside probability of 1")</f>
        <v>inside probability of 1</v>
      </c>
      <c r="D19" s="6"/>
    </row>
    <row r="20" spans="1:4" ht="15.75" customHeight="1" x14ac:dyDescent="0.15">
      <c r="A20" s="5" t="s">
        <v>20</v>
      </c>
      <c r="B20" s="17" t="str">
        <f ca="1">IFERROR(__xludf.DUMMYFUNCTION("""COMPUTED_VALUE"""),"RNA Ligase. Matches up with Kovu extremely well. Also mathes up with other data bases.")</f>
        <v>RNA Ligase. Matches up with Kovu extremely well. Also mathes up with other data bases.</v>
      </c>
      <c r="C20" s="17" t="str">
        <f ca="1">IFERROR(__xludf.DUMMYFUNCTION("""COMPUTED_VALUE"""),"all programs lead to an RNA Ligase specifically a 2'5'")</f>
        <v>all programs lead to an RNA Ligase specifically a 2'5'</v>
      </c>
      <c r="D20" s="6"/>
    </row>
    <row r="21" spans="1:4" x14ac:dyDescent="0.2">
      <c r="A21" s="7"/>
      <c r="B21" s="19"/>
      <c r="C21" s="19"/>
      <c r="D21" s="8"/>
    </row>
    <row r="22" spans="1:4" ht="15.75" customHeight="1" x14ac:dyDescent="0.15">
      <c r="A22" s="9" t="s">
        <v>21</v>
      </c>
      <c r="B22" s="19"/>
      <c r="C22" s="19"/>
      <c r="D22" s="8"/>
    </row>
    <row r="23" spans="1:4" ht="15.75" customHeight="1" x14ac:dyDescent="0.15">
      <c r="A23" s="10"/>
      <c r="B23" s="13"/>
      <c r="C23" s="13"/>
    </row>
    <row r="24" spans="1:4" ht="15.75" customHeight="1" x14ac:dyDescent="0.15">
      <c r="A24" s="10"/>
      <c r="B24" s="13"/>
      <c r="C24" s="13"/>
    </row>
    <row r="25" spans="1:4" ht="15.75" customHeight="1" x14ac:dyDescent="0.15">
      <c r="A25" s="10"/>
      <c r="B25" s="13"/>
      <c r="C25" s="13"/>
    </row>
    <row r="26" spans="1:4" ht="15.75" customHeight="1" x14ac:dyDescent="0.15">
      <c r="A26" s="10"/>
      <c r="B26" s="13"/>
      <c r="C26" s="13"/>
    </row>
    <row r="27" spans="1:4" ht="15.75" customHeight="1" x14ac:dyDescent="0.15">
      <c r="A27" s="10"/>
      <c r="B27" s="13"/>
      <c r="C27" s="13"/>
    </row>
    <row r="28" spans="1:4" ht="15.75" customHeight="1" x14ac:dyDescent="0.15">
      <c r="A28" s="10"/>
      <c r="B28" s="13"/>
      <c r="C28" s="13"/>
    </row>
    <row r="29" spans="1:4" ht="15.75" customHeight="1" x14ac:dyDescent="0.15">
      <c r="A29" s="10"/>
      <c r="B29" s="13"/>
      <c r="C29" s="13"/>
    </row>
    <row r="30" spans="1:4" ht="15.75" customHeight="1" x14ac:dyDescent="0.15">
      <c r="A30" s="10"/>
      <c r="B30" s="13"/>
      <c r="C30" s="13"/>
    </row>
    <row r="31" spans="1:4" ht="15.75" customHeight="1" x14ac:dyDescent="0.15">
      <c r="A31" s="10"/>
      <c r="B31" s="13"/>
      <c r="C31" s="13"/>
    </row>
    <row r="32" spans="1:4" ht="15.75" customHeight="1" x14ac:dyDescent="0.15">
      <c r="A32" s="10"/>
      <c r="B32" s="13"/>
      <c r="C32" s="13"/>
    </row>
    <row r="33" spans="1:3" ht="15.75" customHeight="1" x14ac:dyDescent="0.15">
      <c r="A33" s="10"/>
      <c r="B33" s="13"/>
      <c r="C33" s="13"/>
    </row>
    <row r="34" spans="1:3" ht="15.75" customHeight="1" x14ac:dyDescent="0.15">
      <c r="A34" s="10"/>
      <c r="B34" s="13"/>
      <c r="C34" s="13"/>
    </row>
    <row r="35" spans="1:3" ht="15.75" customHeight="1" x14ac:dyDescent="0.15">
      <c r="A35" s="10"/>
      <c r="B35" s="13"/>
      <c r="C35" s="13"/>
    </row>
    <row r="36" spans="1:3" ht="15.75" customHeight="1" x14ac:dyDescent="0.15">
      <c r="A36" s="10"/>
      <c r="B36" s="13"/>
      <c r="C36" s="13"/>
    </row>
    <row r="37" spans="1:3" ht="15.75" customHeight="1" x14ac:dyDescent="0.15">
      <c r="A37" s="10"/>
      <c r="B37" s="13"/>
      <c r="C37" s="13"/>
    </row>
    <row r="38" spans="1:3" ht="15.75" customHeight="1" x14ac:dyDescent="0.15">
      <c r="A38" s="10"/>
      <c r="B38" s="13"/>
      <c r="C38" s="13"/>
    </row>
    <row r="39" spans="1:3" ht="13" x14ac:dyDescent="0.15">
      <c r="A39" s="10"/>
      <c r="B39" s="13"/>
      <c r="C39" s="13"/>
    </row>
    <row r="40" spans="1:3" ht="13" x14ac:dyDescent="0.15">
      <c r="A40" s="10"/>
      <c r="B40" s="13"/>
      <c r="C40" s="13"/>
    </row>
    <row r="41" spans="1:3" ht="13" x14ac:dyDescent="0.15">
      <c r="A41" s="10"/>
      <c r="B41" s="13"/>
      <c r="C41" s="13"/>
    </row>
    <row r="42" spans="1:3" ht="13" x14ac:dyDescent="0.15">
      <c r="A42" s="10"/>
      <c r="B42" s="13"/>
      <c r="C42" s="13"/>
    </row>
    <row r="43" spans="1:3" ht="13" x14ac:dyDescent="0.15">
      <c r="A43" s="10"/>
      <c r="B43" s="13"/>
      <c r="C43" s="13"/>
    </row>
    <row r="44" spans="1:3" ht="13" x14ac:dyDescent="0.15">
      <c r="A44" s="10"/>
      <c r="B44" s="13"/>
      <c r="C44" s="13"/>
    </row>
    <row r="45" spans="1:3" ht="13" x14ac:dyDescent="0.15">
      <c r="A45" s="10"/>
      <c r="B45" s="13"/>
      <c r="C45" s="13"/>
    </row>
    <row r="46" spans="1:3" ht="13" x14ac:dyDescent="0.15">
      <c r="A46" s="10"/>
      <c r="B46" s="13"/>
      <c r="C46" s="13"/>
    </row>
    <row r="47" spans="1:3" ht="13" x14ac:dyDescent="0.15">
      <c r="A47" s="10"/>
      <c r="B47" s="13"/>
      <c r="C47" s="13"/>
    </row>
    <row r="48" spans="1:3" ht="13" x14ac:dyDescent="0.15">
      <c r="A48" s="10"/>
      <c r="B48" s="13"/>
      <c r="C48" s="13"/>
    </row>
    <row r="49" spans="1:3" ht="13" x14ac:dyDescent="0.15">
      <c r="A49" s="10"/>
      <c r="B49" s="13"/>
      <c r="C49" s="13"/>
    </row>
    <row r="50" spans="1:3" ht="13" x14ac:dyDescent="0.15">
      <c r="A50" s="10"/>
      <c r="B50" s="13"/>
      <c r="C50" s="13"/>
    </row>
    <row r="51" spans="1:3" ht="13" x14ac:dyDescent="0.15">
      <c r="A51" s="10"/>
      <c r="B51" s="13"/>
      <c r="C51" s="13"/>
    </row>
    <row r="52" spans="1:3" ht="13" x14ac:dyDescent="0.15">
      <c r="A52" s="10"/>
      <c r="B52" s="13"/>
      <c r="C52" s="13"/>
    </row>
    <row r="53" spans="1:3" ht="13" x14ac:dyDescent="0.15">
      <c r="A53" s="10"/>
      <c r="B53" s="13"/>
      <c r="C53" s="13"/>
    </row>
    <row r="54" spans="1:3" ht="13" x14ac:dyDescent="0.15">
      <c r="A54" s="10"/>
      <c r="B54" s="13"/>
      <c r="C54" s="13"/>
    </row>
    <row r="55" spans="1:3" ht="13" x14ac:dyDescent="0.15">
      <c r="A55" s="10"/>
      <c r="B55" s="13"/>
      <c r="C55" s="13"/>
    </row>
    <row r="56" spans="1:3" ht="13" x14ac:dyDescent="0.15">
      <c r="A56" s="10"/>
      <c r="B56" s="13"/>
      <c r="C56" s="13"/>
    </row>
    <row r="57" spans="1:3" ht="13" x14ac:dyDescent="0.15">
      <c r="A57" s="10"/>
      <c r="B57" s="13"/>
      <c r="C57" s="13"/>
    </row>
    <row r="58" spans="1:3" ht="13" x14ac:dyDescent="0.15">
      <c r="A58" s="10"/>
      <c r="B58" s="13"/>
      <c r="C58" s="13"/>
    </row>
    <row r="59" spans="1:3" ht="13" x14ac:dyDescent="0.15">
      <c r="A59" s="10"/>
      <c r="B59" s="13"/>
      <c r="C59" s="13"/>
    </row>
    <row r="60" spans="1:3" ht="13" x14ac:dyDescent="0.15">
      <c r="A60" s="10"/>
      <c r="B60" s="13"/>
      <c r="C60" s="13"/>
    </row>
    <row r="61" spans="1:3" ht="13" x14ac:dyDescent="0.15">
      <c r="A61" s="10"/>
      <c r="B61" s="13"/>
      <c r="C61" s="13"/>
    </row>
    <row r="62" spans="1:3" ht="13" x14ac:dyDescent="0.15">
      <c r="A62" s="10"/>
      <c r="B62" s="13"/>
      <c r="C62" s="13"/>
    </row>
    <row r="63" spans="1:3" ht="13" x14ac:dyDescent="0.15">
      <c r="A63" s="10"/>
      <c r="B63" s="13"/>
      <c r="C63" s="13"/>
    </row>
    <row r="64" spans="1:3" ht="13" x14ac:dyDescent="0.15">
      <c r="A64" s="10"/>
      <c r="B64" s="13"/>
      <c r="C64" s="13"/>
    </row>
    <row r="65" spans="1:3" ht="13" x14ac:dyDescent="0.15">
      <c r="A65" s="10"/>
      <c r="B65" s="13"/>
      <c r="C65" s="13"/>
    </row>
    <row r="66" spans="1:3" ht="13" x14ac:dyDescent="0.15">
      <c r="A66" s="10"/>
      <c r="B66" s="13"/>
      <c r="C66" s="13"/>
    </row>
    <row r="67" spans="1:3" ht="13" x14ac:dyDescent="0.15">
      <c r="A67" s="10"/>
      <c r="B67" s="13"/>
      <c r="C67" s="13"/>
    </row>
    <row r="68" spans="1:3" ht="13" x14ac:dyDescent="0.15">
      <c r="A68" s="10"/>
      <c r="B68" s="13"/>
      <c r="C68" s="13"/>
    </row>
    <row r="69" spans="1:3" ht="13" x14ac:dyDescent="0.15">
      <c r="A69" s="10"/>
      <c r="B69" s="13"/>
      <c r="C69" s="13"/>
    </row>
    <row r="70" spans="1:3" ht="13" x14ac:dyDescent="0.15">
      <c r="A70" s="10"/>
      <c r="B70" s="13"/>
      <c r="C70" s="13"/>
    </row>
    <row r="71" spans="1:3" ht="13" x14ac:dyDescent="0.15">
      <c r="A71" s="10"/>
      <c r="B71" s="13"/>
      <c r="C71" s="13"/>
    </row>
    <row r="72" spans="1:3" ht="13" x14ac:dyDescent="0.15">
      <c r="A72" s="10"/>
      <c r="B72" s="13"/>
      <c r="C72" s="13"/>
    </row>
    <row r="73" spans="1:3" ht="13" x14ac:dyDescent="0.15">
      <c r="A73" s="10"/>
      <c r="B73" s="13"/>
      <c r="C73" s="13"/>
    </row>
    <row r="74" spans="1:3" ht="13" x14ac:dyDescent="0.15">
      <c r="A74" s="10"/>
      <c r="B74" s="13"/>
      <c r="C74" s="13"/>
    </row>
    <row r="75" spans="1:3" ht="13" x14ac:dyDescent="0.15">
      <c r="A75" s="10"/>
      <c r="B75" s="13"/>
      <c r="C75" s="13"/>
    </row>
    <row r="76" spans="1:3" ht="13" x14ac:dyDescent="0.15">
      <c r="A76" s="10"/>
      <c r="B76" s="13"/>
      <c r="C76" s="13"/>
    </row>
    <row r="77" spans="1:3" ht="13" x14ac:dyDescent="0.15">
      <c r="A77" s="10"/>
      <c r="B77" s="13"/>
      <c r="C77" s="13"/>
    </row>
    <row r="78" spans="1:3" ht="13" x14ac:dyDescent="0.15">
      <c r="A78" s="10"/>
      <c r="B78" s="13"/>
      <c r="C78" s="13"/>
    </row>
    <row r="79" spans="1:3" ht="13" x14ac:dyDescent="0.15">
      <c r="A79" s="10"/>
      <c r="B79" s="13"/>
      <c r="C79" s="13"/>
    </row>
    <row r="80" spans="1:3" ht="13" x14ac:dyDescent="0.15">
      <c r="A80" s="10"/>
      <c r="B80" s="13"/>
      <c r="C80" s="13"/>
    </row>
    <row r="81" spans="1:3" ht="13" x14ac:dyDescent="0.15">
      <c r="A81" s="10"/>
      <c r="B81" s="13"/>
      <c r="C81" s="13"/>
    </row>
    <row r="82" spans="1:3" ht="13" x14ac:dyDescent="0.15">
      <c r="A82" s="10"/>
      <c r="B82" s="13"/>
      <c r="C82" s="13"/>
    </row>
    <row r="83" spans="1:3" ht="13" x14ac:dyDescent="0.15">
      <c r="A83" s="10"/>
      <c r="B83" s="13"/>
      <c r="C83" s="13"/>
    </row>
    <row r="84" spans="1:3" ht="13" x14ac:dyDescent="0.15">
      <c r="A84" s="10"/>
      <c r="B84" s="13"/>
      <c r="C84" s="13"/>
    </row>
    <row r="85" spans="1:3" ht="13" x14ac:dyDescent="0.15">
      <c r="A85" s="10"/>
      <c r="B85" s="13"/>
      <c r="C85" s="13"/>
    </row>
    <row r="86" spans="1:3" ht="13" x14ac:dyDescent="0.15">
      <c r="A86" s="10"/>
      <c r="B86" s="13"/>
      <c r="C86" s="13"/>
    </row>
    <row r="87" spans="1:3" ht="13" x14ac:dyDescent="0.15">
      <c r="A87" s="10"/>
      <c r="B87" s="13"/>
      <c r="C87" s="13"/>
    </row>
    <row r="88" spans="1:3" ht="13" x14ac:dyDescent="0.15">
      <c r="A88" s="10"/>
      <c r="B88" s="13"/>
      <c r="C88" s="13"/>
    </row>
    <row r="89" spans="1:3" ht="13" x14ac:dyDescent="0.15">
      <c r="A89" s="10"/>
      <c r="B89" s="13"/>
      <c r="C89" s="13"/>
    </row>
    <row r="90" spans="1:3" ht="13" x14ac:dyDescent="0.15">
      <c r="A90" s="10"/>
      <c r="B90" s="13"/>
      <c r="C90" s="13"/>
    </row>
    <row r="91" spans="1:3" ht="13" x14ac:dyDescent="0.15">
      <c r="A91" s="10"/>
      <c r="B91" s="13"/>
      <c r="C91" s="13"/>
    </row>
    <row r="92" spans="1:3" ht="13" x14ac:dyDescent="0.15">
      <c r="A92" s="10"/>
      <c r="B92" s="13"/>
      <c r="C92" s="13"/>
    </row>
    <row r="93" spans="1:3" ht="13" x14ac:dyDescent="0.15">
      <c r="A93" s="10"/>
      <c r="B93" s="13"/>
      <c r="C93" s="13"/>
    </row>
    <row r="94" spans="1:3" ht="13" x14ac:dyDescent="0.15">
      <c r="A94" s="10"/>
      <c r="B94" s="13"/>
      <c r="C94" s="13"/>
    </row>
    <row r="95" spans="1:3" ht="13" x14ac:dyDescent="0.15">
      <c r="A95" s="10"/>
      <c r="B95" s="13"/>
      <c r="C95" s="13"/>
    </row>
    <row r="96" spans="1:3" ht="13" x14ac:dyDescent="0.15">
      <c r="A96" s="10"/>
      <c r="B96" s="13"/>
      <c r="C96" s="13"/>
    </row>
    <row r="97" spans="1:3" ht="13" x14ac:dyDescent="0.15">
      <c r="A97" s="10"/>
      <c r="B97" s="13"/>
      <c r="C97" s="13"/>
    </row>
    <row r="98" spans="1:3" ht="13" x14ac:dyDescent="0.15">
      <c r="A98" s="10"/>
      <c r="B98" s="13"/>
      <c r="C98" s="13"/>
    </row>
    <row r="99" spans="1:3" ht="13" x14ac:dyDescent="0.15">
      <c r="A99" s="10"/>
      <c r="B99" s="13"/>
      <c r="C99" s="13"/>
    </row>
    <row r="100" spans="1:3" ht="13" x14ac:dyDescent="0.15">
      <c r="A100" s="10"/>
      <c r="B100" s="13"/>
      <c r="C100" s="13"/>
    </row>
    <row r="101" spans="1:3" ht="13" x14ac:dyDescent="0.15">
      <c r="A101" s="10"/>
      <c r="B101" s="13"/>
      <c r="C101" s="13"/>
    </row>
    <row r="102" spans="1:3" ht="13" x14ac:dyDescent="0.15">
      <c r="A102" s="10"/>
      <c r="B102" s="13"/>
      <c r="C102" s="13"/>
    </row>
    <row r="103" spans="1:3" ht="13" x14ac:dyDescent="0.15">
      <c r="A103" s="10"/>
      <c r="B103" s="13"/>
      <c r="C103" s="13"/>
    </row>
    <row r="104" spans="1:3" ht="13" x14ac:dyDescent="0.15">
      <c r="A104" s="10"/>
      <c r="B104" s="13"/>
      <c r="C104" s="13"/>
    </row>
    <row r="105" spans="1:3" ht="13" x14ac:dyDescent="0.15">
      <c r="A105" s="10"/>
      <c r="B105" s="13"/>
      <c r="C105" s="13"/>
    </row>
    <row r="106" spans="1:3" ht="13" x14ac:dyDescent="0.15">
      <c r="A106" s="10"/>
      <c r="B106" s="13"/>
      <c r="C106" s="13"/>
    </row>
    <row r="107" spans="1:3" ht="13" x14ac:dyDescent="0.15">
      <c r="A107" s="10"/>
      <c r="B107" s="13"/>
      <c r="C107" s="13"/>
    </row>
    <row r="108" spans="1:3" ht="13" x14ac:dyDescent="0.15">
      <c r="A108" s="10"/>
      <c r="B108" s="13"/>
      <c r="C108" s="13"/>
    </row>
    <row r="109" spans="1:3" ht="13" x14ac:dyDescent="0.15">
      <c r="A109" s="10"/>
      <c r="B109" s="13"/>
      <c r="C109" s="13"/>
    </row>
    <row r="110" spans="1:3" ht="13" x14ac:dyDescent="0.15">
      <c r="A110" s="10"/>
      <c r="B110" s="13"/>
      <c r="C110" s="13"/>
    </row>
    <row r="111" spans="1:3" ht="13" x14ac:dyDescent="0.15">
      <c r="A111" s="10"/>
      <c r="B111" s="13"/>
      <c r="C111" s="13"/>
    </row>
    <row r="112" spans="1:3" ht="13" x14ac:dyDescent="0.15">
      <c r="A112" s="10"/>
      <c r="B112" s="13"/>
      <c r="C112" s="13"/>
    </row>
    <row r="113" spans="1:3" ht="13" x14ac:dyDescent="0.15">
      <c r="A113" s="10"/>
      <c r="B113" s="13"/>
      <c r="C113" s="13"/>
    </row>
    <row r="114" spans="1:3" ht="13" x14ac:dyDescent="0.15">
      <c r="A114" s="10"/>
      <c r="B114" s="13"/>
      <c r="C114" s="13"/>
    </row>
    <row r="115" spans="1:3" ht="13" x14ac:dyDescent="0.15">
      <c r="A115" s="10"/>
      <c r="B115" s="13"/>
      <c r="C115" s="13"/>
    </row>
    <row r="116" spans="1:3" ht="13" x14ac:dyDescent="0.15">
      <c r="A116" s="10"/>
      <c r="B116" s="13"/>
      <c r="C116" s="13"/>
    </row>
    <row r="117" spans="1:3" ht="13" x14ac:dyDescent="0.15">
      <c r="A117" s="10"/>
      <c r="B117" s="13"/>
      <c r="C117" s="13"/>
    </row>
    <row r="118" spans="1:3" ht="13" x14ac:dyDescent="0.15">
      <c r="A118" s="10"/>
      <c r="B118" s="13"/>
      <c r="C118" s="13"/>
    </row>
    <row r="119" spans="1:3" ht="13" x14ac:dyDescent="0.15">
      <c r="A119" s="10"/>
      <c r="B119" s="13"/>
      <c r="C119" s="13"/>
    </row>
    <row r="120" spans="1:3" ht="13" x14ac:dyDescent="0.15">
      <c r="A120" s="10"/>
      <c r="B120" s="13"/>
      <c r="C120" s="13"/>
    </row>
    <row r="121" spans="1:3" ht="13" x14ac:dyDescent="0.15">
      <c r="A121" s="10"/>
      <c r="B121" s="13"/>
      <c r="C121" s="13"/>
    </row>
    <row r="122" spans="1:3" ht="13" x14ac:dyDescent="0.15">
      <c r="A122" s="10"/>
      <c r="B122" s="13"/>
      <c r="C122" s="13"/>
    </row>
    <row r="123" spans="1:3" ht="13" x14ac:dyDescent="0.15">
      <c r="A123" s="10"/>
      <c r="B123" s="13"/>
      <c r="C123" s="13"/>
    </row>
    <row r="124" spans="1:3" ht="13" x14ac:dyDescent="0.15">
      <c r="A124" s="10"/>
      <c r="B124" s="13"/>
      <c r="C124" s="13"/>
    </row>
    <row r="125" spans="1:3" ht="13" x14ac:dyDescent="0.15">
      <c r="A125" s="10"/>
      <c r="B125" s="13"/>
      <c r="C125" s="13"/>
    </row>
    <row r="126" spans="1:3" ht="13" x14ac:dyDescent="0.15">
      <c r="A126" s="10"/>
      <c r="B126" s="13"/>
      <c r="C126" s="13"/>
    </row>
    <row r="127" spans="1:3" ht="13" x14ac:dyDescent="0.15">
      <c r="A127" s="10"/>
      <c r="B127" s="13"/>
      <c r="C127" s="13"/>
    </row>
    <row r="128" spans="1:3" ht="13" x14ac:dyDescent="0.15">
      <c r="A128" s="10"/>
      <c r="B128" s="13"/>
      <c r="C128" s="13"/>
    </row>
    <row r="129" spans="1:3" ht="13" x14ac:dyDescent="0.15">
      <c r="A129" s="10"/>
      <c r="B129" s="13"/>
      <c r="C129" s="13"/>
    </row>
    <row r="130" spans="1:3" ht="13" x14ac:dyDescent="0.15">
      <c r="A130" s="10"/>
      <c r="B130" s="13"/>
      <c r="C130" s="13"/>
    </row>
    <row r="131" spans="1:3" ht="13" x14ac:dyDescent="0.15">
      <c r="A131" s="10"/>
      <c r="B131" s="13"/>
      <c r="C131" s="13"/>
    </row>
    <row r="132" spans="1:3" ht="13" x14ac:dyDescent="0.15">
      <c r="A132" s="10"/>
      <c r="B132" s="13"/>
      <c r="C132" s="13"/>
    </row>
    <row r="133" spans="1:3" ht="13" x14ac:dyDescent="0.15">
      <c r="A133" s="10"/>
      <c r="B133" s="13"/>
      <c r="C133" s="13"/>
    </row>
    <row r="134" spans="1:3" ht="13" x14ac:dyDescent="0.15">
      <c r="A134" s="10"/>
      <c r="B134" s="13"/>
      <c r="C134" s="13"/>
    </row>
    <row r="135" spans="1:3" ht="13" x14ac:dyDescent="0.15">
      <c r="A135" s="10"/>
      <c r="B135" s="13"/>
      <c r="C135" s="13"/>
    </row>
    <row r="136" spans="1:3" ht="13" x14ac:dyDescent="0.15">
      <c r="A136" s="10"/>
      <c r="B136" s="13"/>
      <c r="C136" s="13"/>
    </row>
    <row r="137" spans="1:3" ht="13" x14ac:dyDescent="0.15">
      <c r="A137" s="10"/>
      <c r="B137" s="13"/>
      <c r="C137" s="13"/>
    </row>
    <row r="138" spans="1:3" ht="13" x14ac:dyDescent="0.15">
      <c r="A138" s="10"/>
      <c r="B138" s="13"/>
      <c r="C138" s="13"/>
    </row>
    <row r="139" spans="1:3" ht="13" x14ac:dyDescent="0.15">
      <c r="A139" s="10"/>
      <c r="B139" s="13"/>
      <c r="C139" s="13"/>
    </row>
    <row r="140" spans="1:3" ht="13" x14ac:dyDescent="0.15">
      <c r="A140" s="10"/>
      <c r="B140" s="13"/>
      <c r="C140" s="13"/>
    </row>
    <row r="141" spans="1:3" ht="13" x14ac:dyDescent="0.15">
      <c r="A141" s="10"/>
      <c r="B141" s="13"/>
      <c r="C141" s="13"/>
    </row>
    <row r="142" spans="1:3" ht="13" x14ac:dyDescent="0.15">
      <c r="A142" s="10"/>
      <c r="B142" s="13"/>
      <c r="C142" s="13"/>
    </row>
    <row r="143" spans="1:3" ht="13" x14ac:dyDescent="0.15">
      <c r="A143" s="10"/>
      <c r="B143" s="13"/>
      <c r="C143" s="13"/>
    </row>
    <row r="144" spans="1:3" ht="13" x14ac:dyDescent="0.15">
      <c r="A144" s="10"/>
      <c r="B144" s="13"/>
      <c r="C144" s="13"/>
    </row>
    <row r="145" spans="1:3" ht="13" x14ac:dyDescent="0.15">
      <c r="A145" s="10"/>
      <c r="B145" s="13"/>
      <c r="C145" s="13"/>
    </row>
    <row r="146" spans="1:3" ht="13" x14ac:dyDescent="0.15">
      <c r="A146" s="10"/>
      <c r="B146" s="13"/>
      <c r="C146" s="13"/>
    </row>
    <row r="147" spans="1:3" ht="13" x14ac:dyDescent="0.15">
      <c r="A147" s="10"/>
      <c r="B147" s="13"/>
      <c r="C147" s="13"/>
    </row>
    <row r="148" spans="1:3" ht="13" x14ac:dyDescent="0.15">
      <c r="A148" s="10"/>
      <c r="B148" s="13"/>
      <c r="C148" s="13"/>
    </row>
    <row r="149" spans="1:3" ht="13" x14ac:dyDescent="0.15">
      <c r="A149" s="10"/>
      <c r="B149" s="13"/>
      <c r="C149" s="13"/>
    </row>
    <row r="150" spans="1:3" ht="13" x14ac:dyDescent="0.15">
      <c r="A150" s="10"/>
      <c r="B150" s="13"/>
      <c r="C150" s="13"/>
    </row>
    <row r="151" spans="1:3" ht="13" x14ac:dyDescent="0.15">
      <c r="A151" s="10"/>
      <c r="B151" s="13"/>
      <c r="C151" s="13"/>
    </row>
    <row r="152" spans="1:3" ht="13" x14ac:dyDescent="0.15">
      <c r="A152" s="10"/>
      <c r="B152" s="13"/>
      <c r="C152" s="13"/>
    </row>
    <row r="153" spans="1:3" ht="13" x14ac:dyDescent="0.15">
      <c r="A153" s="10"/>
      <c r="B153" s="13"/>
      <c r="C153" s="13"/>
    </row>
    <row r="154" spans="1:3" ht="13" x14ac:dyDescent="0.15">
      <c r="A154" s="10"/>
      <c r="B154" s="13"/>
      <c r="C154" s="13"/>
    </row>
    <row r="155" spans="1:3" ht="13" x14ac:dyDescent="0.15">
      <c r="A155" s="10"/>
      <c r="B155" s="13"/>
      <c r="C155" s="13"/>
    </row>
    <row r="156" spans="1:3" ht="13" x14ac:dyDescent="0.15">
      <c r="A156" s="10"/>
      <c r="B156" s="13"/>
      <c r="C156" s="13"/>
    </row>
    <row r="157" spans="1:3" ht="13" x14ac:dyDescent="0.15">
      <c r="A157" s="10"/>
      <c r="B157" s="13"/>
      <c r="C157" s="13"/>
    </row>
    <row r="158" spans="1:3" ht="13" x14ac:dyDescent="0.15">
      <c r="A158" s="10"/>
      <c r="B158" s="13"/>
      <c r="C158" s="13"/>
    </row>
    <row r="159" spans="1:3" ht="13" x14ac:dyDescent="0.15">
      <c r="A159" s="10"/>
      <c r="B159" s="13"/>
      <c r="C159" s="13"/>
    </row>
    <row r="160" spans="1:3" ht="13" x14ac:dyDescent="0.15">
      <c r="A160" s="10"/>
      <c r="B160" s="13"/>
      <c r="C160" s="13"/>
    </row>
    <row r="161" spans="1:3" ht="13" x14ac:dyDescent="0.15">
      <c r="A161" s="10"/>
      <c r="B161" s="13"/>
      <c r="C161" s="13"/>
    </row>
    <row r="162" spans="1:3" ht="13" x14ac:dyDescent="0.15">
      <c r="A162" s="10"/>
      <c r="B162" s="13"/>
      <c r="C162" s="13"/>
    </row>
    <row r="163" spans="1:3" ht="13" x14ac:dyDescent="0.15">
      <c r="A163" s="10"/>
      <c r="B163" s="13"/>
      <c r="C163" s="13"/>
    </row>
    <row r="164" spans="1:3" ht="13" x14ac:dyDescent="0.15">
      <c r="A164" s="10"/>
      <c r="B164" s="13"/>
      <c r="C164" s="13"/>
    </row>
    <row r="165" spans="1:3" ht="13" x14ac:dyDescent="0.15">
      <c r="A165" s="10"/>
      <c r="B165" s="13"/>
      <c r="C165" s="13"/>
    </row>
    <row r="166" spans="1:3" ht="13" x14ac:dyDescent="0.15">
      <c r="A166" s="10"/>
      <c r="B166" s="13"/>
      <c r="C166" s="13"/>
    </row>
    <row r="167" spans="1:3" ht="13" x14ac:dyDescent="0.15">
      <c r="A167" s="10"/>
      <c r="B167" s="13"/>
      <c r="C167" s="13"/>
    </row>
    <row r="168" spans="1:3" ht="13" x14ac:dyDescent="0.15">
      <c r="A168" s="10"/>
      <c r="B168" s="13"/>
      <c r="C168" s="13"/>
    </row>
    <row r="169" spans="1:3" ht="13" x14ac:dyDescent="0.15">
      <c r="A169" s="10"/>
      <c r="B169" s="13"/>
      <c r="C169" s="13"/>
    </row>
    <row r="170" spans="1:3" ht="13" x14ac:dyDescent="0.15">
      <c r="A170" s="10"/>
      <c r="B170" s="13"/>
      <c r="C170" s="13"/>
    </row>
    <row r="171" spans="1:3" ht="13" x14ac:dyDescent="0.15">
      <c r="A171" s="10"/>
      <c r="B171" s="13"/>
      <c r="C171" s="13"/>
    </row>
    <row r="172" spans="1:3" ht="13" x14ac:dyDescent="0.15">
      <c r="A172" s="10"/>
      <c r="B172" s="13"/>
      <c r="C172" s="13"/>
    </row>
    <row r="173" spans="1:3" ht="13" x14ac:dyDescent="0.15">
      <c r="A173" s="10"/>
      <c r="B173" s="13"/>
      <c r="C173" s="13"/>
    </row>
    <row r="174" spans="1:3" ht="13" x14ac:dyDescent="0.15">
      <c r="A174" s="10"/>
      <c r="B174" s="13"/>
      <c r="C174" s="13"/>
    </row>
    <row r="175" spans="1:3" ht="13" x14ac:dyDescent="0.15">
      <c r="A175" s="10"/>
      <c r="B175" s="13"/>
      <c r="C175" s="13"/>
    </row>
    <row r="176" spans="1:3" ht="13" x14ac:dyDescent="0.15">
      <c r="A176" s="10"/>
      <c r="B176" s="13"/>
      <c r="C176" s="13"/>
    </row>
    <row r="177" spans="1:3" ht="13" x14ac:dyDescent="0.15">
      <c r="A177" s="10"/>
      <c r="B177" s="13"/>
      <c r="C177" s="13"/>
    </row>
    <row r="178" spans="1:3" ht="13" x14ac:dyDescent="0.15">
      <c r="A178" s="10"/>
      <c r="B178" s="13"/>
      <c r="C178" s="13"/>
    </row>
    <row r="179" spans="1:3" ht="13" x14ac:dyDescent="0.15">
      <c r="A179" s="10"/>
      <c r="B179" s="13"/>
      <c r="C179" s="13"/>
    </row>
    <row r="180" spans="1:3" ht="13" x14ac:dyDescent="0.15">
      <c r="A180" s="10"/>
      <c r="B180" s="13"/>
      <c r="C180" s="13"/>
    </row>
    <row r="181" spans="1:3" ht="13" x14ac:dyDescent="0.15">
      <c r="A181" s="10"/>
      <c r="B181" s="13"/>
      <c r="C181" s="13"/>
    </row>
    <row r="182" spans="1:3" ht="13" x14ac:dyDescent="0.15">
      <c r="A182" s="10"/>
      <c r="B182" s="13"/>
      <c r="C182" s="13"/>
    </row>
    <row r="183" spans="1:3" ht="13" x14ac:dyDescent="0.15">
      <c r="A183" s="10"/>
      <c r="B183" s="13"/>
      <c r="C183" s="13"/>
    </row>
    <row r="184" spans="1:3" ht="13" x14ac:dyDescent="0.15">
      <c r="A184" s="10"/>
      <c r="B184" s="13"/>
      <c r="C184" s="13"/>
    </row>
    <row r="185" spans="1:3" ht="13" x14ac:dyDescent="0.15">
      <c r="A185" s="10"/>
      <c r="B185" s="13"/>
      <c r="C185" s="13"/>
    </row>
    <row r="186" spans="1:3" ht="13" x14ac:dyDescent="0.15">
      <c r="A186" s="10"/>
      <c r="B186" s="13"/>
      <c r="C186" s="13"/>
    </row>
    <row r="187" spans="1:3" ht="13" x14ac:dyDescent="0.15">
      <c r="A187" s="10"/>
      <c r="B187" s="13"/>
      <c r="C187" s="13"/>
    </row>
    <row r="188" spans="1:3" ht="13" x14ac:dyDescent="0.15">
      <c r="A188" s="10"/>
      <c r="B188" s="13"/>
      <c r="C188" s="13"/>
    </row>
    <row r="189" spans="1:3" ht="13" x14ac:dyDescent="0.15">
      <c r="A189" s="10"/>
      <c r="B189" s="13"/>
      <c r="C189" s="13"/>
    </row>
    <row r="190" spans="1:3" ht="13" x14ac:dyDescent="0.15">
      <c r="A190" s="10"/>
      <c r="B190" s="13"/>
      <c r="C190" s="13"/>
    </row>
    <row r="191" spans="1:3" ht="13" x14ac:dyDescent="0.15">
      <c r="A191" s="10"/>
      <c r="B191" s="13"/>
      <c r="C191" s="13"/>
    </row>
    <row r="192" spans="1:3" ht="13" x14ac:dyDescent="0.15">
      <c r="A192" s="10"/>
      <c r="B192" s="13"/>
      <c r="C192" s="13"/>
    </row>
    <row r="193" spans="1:3" ht="13" x14ac:dyDescent="0.15">
      <c r="A193" s="10"/>
      <c r="B193" s="13"/>
      <c r="C193" s="13"/>
    </row>
    <row r="194" spans="1:3" ht="13" x14ac:dyDescent="0.15">
      <c r="A194" s="10"/>
      <c r="B194" s="13"/>
      <c r="C194" s="13"/>
    </row>
    <row r="195" spans="1:3" ht="13" x14ac:dyDescent="0.15">
      <c r="A195" s="10"/>
      <c r="B195" s="13"/>
      <c r="C195" s="13"/>
    </row>
    <row r="196" spans="1:3" ht="13" x14ac:dyDescent="0.15">
      <c r="A196" s="10"/>
      <c r="B196" s="13"/>
      <c r="C196" s="13"/>
    </row>
    <row r="197" spans="1:3" ht="13" x14ac:dyDescent="0.15">
      <c r="A197" s="10"/>
      <c r="B197" s="13"/>
      <c r="C197" s="13"/>
    </row>
    <row r="198" spans="1:3" ht="13" x14ac:dyDescent="0.15">
      <c r="A198" s="10"/>
      <c r="B198" s="13"/>
      <c r="C198" s="13"/>
    </row>
    <row r="199" spans="1:3" ht="13" x14ac:dyDescent="0.15">
      <c r="A199" s="10"/>
      <c r="B199" s="13"/>
      <c r="C199" s="13"/>
    </row>
    <row r="200" spans="1:3" ht="13" x14ac:dyDescent="0.15">
      <c r="A200" s="10"/>
      <c r="B200" s="13"/>
      <c r="C200" s="13"/>
    </row>
    <row r="201" spans="1:3" ht="13" x14ac:dyDescent="0.15">
      <c r="A201" s="10"/>
      <c r="B201" s="13"/>
      <c r="C201" s="13"/>
    </row>
    <row r="202" spans="1:3" ht="13" x14ac:dyDescent="0.15">
      <c r="A202" s="10"/>
      <c r="B202" s="13"/>
      <c r="C202" s="13"/>
    </row>
    <row r="203" spans="1:3" ht="13" x14ac:dyDescent="0.15">
      <c r="A203" s="10"/>
      <c r="B203" s="13"/>
      <c r="C203" s="13"/>
    </row>
    <row r="204" spans="1:3" ht="13" x14ac:dyDescent="0.15">
      <c r="A204" s="10"/>
      <c r="B204" s="13"/>
      <c r="C204" s="13"/>
    </row>
    <row r="205" spans="1:3" ht="13" x14ac:dyDescent="0.15">
      <c r="A205" s="10"/>
      <c r="B205" s="13"/>
      <c r="C205" s="13"/>
    </row>
    <row r="206" spans="1:3" ht="13" x14ac:dyDescent="0.15">
      <c r="A206" s="10"/>
      <c r="B206" s="13"/>
      <c r="C206" s="13"/>
    </row>
    <row r="207" spans="1:3" ht="13" x14ac:dyDescent="0.15">
      <c r="A207" s="10"/>
      <c r="B207" s="13"/>
      <c r="C207" s="13"/>
    </row>
    <row r="208" spans="1:3" ht="13" x14ac:dyDescent="0.15">
      <c r="A208" s="10"/>
      <c r="B208" s="13"/>
      <c r="C208" s="13"/>
    </row>
    <row r="209" spans="1:3" ht="13" x14ac:dyDescent="0.15">
      <c r="A209" s="10"/>
      <c r="B209" s="13"/>
      <c r="C209" s="13"/>
    </row>
    <row r="210" spans="1:3" ht="13" x14ac:dyDescent="0.15">
      <c r="A210" s="10"/>
      <c r="B210" s="13"/>
      <c r="C210" s="13"/>
    </row>
    <row r="211" spans="1:3" ht="13" x14ac:dyDescent="0.15">
      <c r="A211" s="10"/>
      <c r="B211" s="13"/>
      <c r="C211" s="13"/>
    </row>
    <row r="212" spans="1:3" ht="13" x14ac:dyDescent="0.15">
      <c r="A212" s="10"/>
      <c r="B212" s="13"/>
      <c r="C212" s="13"/>
    </row>
    <row r="213" spans="1:3" ht="13" x14ac:dyDescent="0.15">
      <c r="A213" s="10"/>
      <c r="B213" s="13"/>
      <c r="C213" s="13"/>
    </row>
    <row r="214" spans="1:3" ht="13" x14ac:dyDescent="0.15">
      <c r="A214" s="10"/>
      <c r="B214" s="13"/>
      <c r="C214" s="13"/>
    </row>
    <row r="215" spans="1:3" ht="13" x14ac:dyDescent="0.15">
      <c r="A215" s="10"/>
      <c r="B215" s="13"/>
      <c r="C215" s="13"/>
    </row>
    <row r="216" spans="1:3" ht="13" x14ac:dyDescent="0.15">
      <c r="A216" s="10"/>
      <c r="B216" s="13"/>
      <c r="C216" s="13"/>
    </row>
    <row r="217" spans="1:3" ht="13" x14ac:dyDescent="0.15">
      <c r="A217" s="10"/>
      <c r="B217" s="13"/>
      <c r="C217" s="13"/>
    </row>
    <row r="218" spans="1:3" ht="13" x14ac:dyDescent="0.15">
      <c r="A218" s="10"/>
      <c r="B218" s="13"/>
      <c r="C218" s="13"/>
    </row>
    <row r="219" spans="1:3" ht="13" x14ac:dyDescent="0.15">
      <c r="A219" s="10"/>
      <c r="B219" s="13"/>
      <c r="C219" s="13"/>
    </row>
    <row r="220" spans="1:3" ht="13" x14ac:dyDescent="0.15">
      <c r="A220" s="10"/>
      <c r="B220" s="13"/>
      <c r="C220" s="13"/>
    </row>
    <row r="221" spans="1:3" ht="13" x14ac:dyDescent="0.15">
      <c r="A221" s="10"/>
      <c r="B221" s="13"/>
      <c r="C221" s="13"/>
    </row>
    <row r="222" spans="1:3" ht="13" x14ac:dyDescent="0.15">
      <c r="A222" s="10"/>
      <c r="B222" s="13"/>
      <c r="C222" s="13"/>
    </row>
    <row r="223" spans="1:3" ht="13" x14ac:dyDescent="0.15">
      <c r="A223" s="10"/>
      <c r="B223" s="13"/>
      <c r="C223" s="13"/>
    </row>
    <row r="224" spans="1:3" ht="13" x14ac:dyDescent="0.15">
      <c r="A224" s="10"/>
      <c r="B224" s="13"/>
      <c r="C224" s="13"/>
    </row>
    <row r="225" spans="1:3" ht="13" x14ac:dyDescent="0.15">
      <c r="A225" s="10"/>
      <c r="B225" s="13"/>
      <c r="C225" s="13"/>
    </row>
    <row r="226" spans="1:3" ht="13" x14ac:dyDescent="0.15">
      <c r="A226" s="10"/>
      <c r="B226" s="13"/>
      <c r="C226" s="13"/>
    </row>
    <row r="227" spans="1:3" ht="13" x14ac:dyDescent="0.15">
      <c r="A227" s="10"/>
      <c r="B227" s="13"/>
      <c r="C227" s="13"/>
    </row>
    <row r="228" spans="1:3" ht="13" x14ac:dyDescent="0.15">
      <c r="A228" s="10"/>
      <c r="B228" s="13"/>
      <c r="C228" s="13"/>
    </row>
    <row r="229" spans="1:3" ht="13" x14ac:dyDescent="0.15">
      <c r="A229" s="10"/>
      <c r="B229" s="13"/>
      <c r="C229" s="13"/>
    </row>
    <row r="230" spans="1:3" ht="13" x14ac:dyDescent="0.15">
      <c r="A230" s="10"/>
      <c r="B230" s="13"/>
      <c r="C230" s="13"/>
    </row>
    <row r="231" spans="1:3" ht="13" x14ac:dyDescent="0.15">
      <c r="A231" s="10"/>
      <c r="B231" s="13"/>
      <c r="C231" s="13"/>
    </row>
    <row r="232" spans="1:3" ht="13" x14ac:dyDescent="0.15">
      <c r="A232" s="10"/>
      <c r="B232" s="13"/>
      <c r="C232" s="13"/>
    </row>
    <row r="233" spans="1:3" ht="13" x14ac:dyDescent="0.15">
      <c r="A233" s="10"/>
      <c r="B233" s="13"/>
      <c r="C233" s="13"/>
    </row>
    <row r="234" spans="1:3" ht="13" x14ac:dyDescent="0.15">
      <c r="A234" s="10"/>
      <c r="B234" s="13"/>
      <c r="C234" s="13"/>
    </row>
    <row r="235" spans="1:3" ht="13" x14ac:dyDescent="0.15">
      <c r="A235" s="10"/>
      <c r="B235" s="13"/>
      <c r="C235" s="13"/>
    </row>
    <row r="236" spans="1:3" ht="13" x14ac:dyDescent="0.15">
      <c r="A236" s="10"/>
      <c r="B236" s="13"/>
      <c r="C236" s="13"/>
    </row>
    <row r="237" spans="1:3" ht="13" x14ac:dyDescent="0.15">
      <c r="A237" s="10"/>
      <c r="B237" s="13"/>
      <c r="C237" s="13"/>
    </row>
    <row r="238" spans="1:3" ht="13" x14ac:dyDescent="0.15">
      <c r="A238" s="10"/>
      <c r="B238" s="13"/>
      <c r="C238" s="13"/>
    </row>
    <row r="239" spans="1:3" ht="13" x14ac:dyDescent="0.15">
      <c r="A239" s="10"/>
      <c r="B239" s="13"/>
      <c r="C239" s="13"/>
    </row>
    <row r="240" spans="1:3" ht="13" x14ac:dyDescent="0.15">
      <c r="A240" s="10"/>
      <c r="B240" s="13"/>
      <c r="C240" s="13"/>
    </row>
    <row r="241" spans="1:3" ht="13" x14ac:dyDescent="0.15">
      <c r="A241" s="10"/>
      <c r="B241" s="13"/>
      <c r="C241" s="13"/>
    </row>
    <row r="242" spans="1:3" ht="13" x14ac:dyDescent="0.15">
      <c r="A242" s="10"/>
      <c r="B242" s="13"/>
      <c r="C242" s="13"/>
    </row>
    <row r="243" spans="1:3" ht="13" x14ac:dyDescent="0.15">
      <c r="A243" s="10"/>
      <c r="B243" s="13"/>
      <c r="C243" s="13"/>
    </row>
    <row r="244" spans="1:3" ht="13" x14ac:dyDescent="0.15">
      <c r="A244" s="10"/>
      <c r="B244" s="13"/>
      <c r="C244" s="13"/>
    </row>
    <row r="245" spans="1:3" ht="13" x14ac:dyDescent="0.15">
      <c r="A245" s="10"/>
      <c r="B245" s="13"/>
      <c r="C245" s="13"/>
    </row>
    <row r="246" spans="1:3" ht="13" x14ac:dyDescent="0.15">
      <c r="A246" s="10"/>
      <c r="B246" s="13"/>
      <c r="C246" s="13"/>
    </row>
    <row r="247" spans="1:3" ht="13" x14ac:dyDescent="0.15">
      <c r="A247" s="10"/>
      <c r="B247" s="13"/>
      <c r="C247" s="13"/>
    </row>
    <row r="248" spans="1:3" ht="13" x14ac:dyDescent="0.15">
      <c r="A248" s="10"/>
      <c r="B248" s="13"/>
      <c r="C248" s="13"/>
    </row>
    <row r="249" spans="1:3" ht="13" x14ac:dyDescent="0.15">
      <c r="A249" s="10"/>
      <c r="B249" s="13"/>
      <c r="C249" s="13"/>
    </row>
    <row r="250" spans="1:3" ht="13" x14ac:dyDescent="0.15">
      <c r="A250" s="10"/>
      <c r="B250" s="13"/>
      <c r="C250" s="13"/>
    </row>
    <row r="251" spans="1:3" ht="13" x14ac:dyDescent="0.15">
      <c r="A251" s="10"/>
      <c r="B251" s="13"/>
      <c r="C251" s="13"/>
    </row>
    <row r="252" spans="1:3" ht="13" x14ac:dyDescent="0.15">
      <c r="A252" s="10"/>
      <c r="B252" s="13"/>
      <c r="C252" s="13"/>
    </row>
    <row r="253" spans="1:3" ht="13" x14ac:dyDescent="0.15">
      <c r="A253" s="10"/>
      <c r="B253" s="13"/>
      <c r="C253" s="13"/>
    </row>
    <row r="254" spans="1:3" ht="13" x14ac:dyDescent="0.15">
      <c r="A254" s="10"/>
      <c r="B254" s="13"/>
      <c r="C254" s="13"/>
    </row>
    <row r="255" spans="1:3" ht="13" x14ac:dyDescent="0.15">
      <c r="A255" s="10"/>
      <c r="B255" s="13"/>
      <c r="C255" s="13"/>
    </row>
    <row r="256" spans="1:3" ht="13" x14ac:dyDescent="0.15">
      <c r="A256" s="10"/>
      <c r="B256" s="13"/>
      <c r="C256" s="13"/>
    </row>
    <row r="257" spans="1:3" ht="13" x14ac:dyDescent="0.15">
      <c r="A257" s="10"/>
      <c r="B257" s="13"/>
      <c r="C257" s="13"/>
    </row>
    <row r="258" spans="1:3" ht="13" x14ac:dyDescent="0.15">
      <c r="A258" s="10"/>
      <c r="B258" s="13"/>
      <c r="C258" s="13"/>
    </row>
    <row r="259" spans="1:3" ht="13" x14ac:dyDescent="0.15">
      <c r="A259" s="10"/>
      <c r="B259" s="13"/>
      <c r="C259" s="13"/>
    </row>
    <row r="260" spans="1:3" ht="13" x14ac:dyDescent="0.15">
      <c r="A260" s="10"/>
      <c r="B260" s="13"/>
      <c r="C260" s="13"/>
    </row>
    <row r="261" spans="1:3" ht="13" x14ac:dyDescent="0.15">
      <c r="A261" s="10"/>
      <c r="B261" s="13"/>
      <c r="C261" s="13"/>
    </row>
    <row r="262" spans="1:3" ht="13" x14ac:dyDescent="0.15">
      <c r="A262" s="10"/>
      <c r="B262" s="13"/>
      <c r="C262" s="13"/>
    </row>
    <row r="263" spans="1:3" ht="13" x14ac:dyDescent="0.15">
      <c r="A263" s="10"/>
      <c r="B263" s="13"/>
      <c r="C263" s="13"/>
    </row>
    <row r="264" spans="1:3" ht="13" x14ac:dyDescent="0.15">
      <c r="A264" s="10"/>
      <c r="B264" s="13"/>
      <c r="C264" s="13"/>
    </row>
    <row r="265" spans="1:3" ht="13" x14ac:dyDescent="0.15">
      <c r="A265" s="10"/>
      <c r="B265" s="13"/>
      <c r="C265" s="13"/>
    </row>
    <row r="266" spans="1:3" ht="13" x14ac:dyDescent="0.15">
      <c r="A266" s="10"/>
      <c r="B266" s="13"/>
      <c r="C266" s="13"/>
    </row>
    <row r="267" spans="1:3" ht="13" x14ac:dyDescent="0.15">
      <c r="A267" s="10"/>
      <c r="B267" s="13"/>
      <c r="C267" s="13"/>
    </row>
    <row r="268" spans="1:3" ht="13" x14ac:dyDescent="0.15">
      <c r="A268" s="10"/>
      <c r="B268" s="13"/>
      <c r="C268" s="13"/>
    </row>
    <row r="269" spans="1:3" ht="13" x14ac:dyDescent="0.15">
      <c r="A269" s="10"/>
      <c r="B269" s="13"/>
      <c r="C269" s="13"/>
    </row>
    <row r="270" spans="1:3" ht="13" x14ac:dyDescent="0.15">
      <c r="A270" s="10"/>
      <c r="B270" s="13"/>
      <c r="C270" s="13"/>
    </row>
    <row r="271" spans="1:3" ht="13" x14ac:dyDescent="0.15">
      <c r="A271" s="10"/>
      <c r="B271" s="13"/>
      <c r="C271" s="13"/>
    </row>
    <row r="272" spans="1:3" ht="13" x14ac:dyDescent="0.15">
      <c r="A272" s="10"/>
      <c r="B272" s="13"/>
      <c r="C272" s="13"/>
    </row>
    <row r="273" spans="1:3" ht="13" x14ac:dyDescent="0.15">
      <c r="A273" s="10"/>
      <c r="B273" s="13"/>
      <c r="C273" s="13"/>
    </row>
    <row r="274" spans="1:3" ht="13" x14ac:dyDescent="0.15">
      <c r="A274" s="10"/>
      <c r="B274" s="13"/>
      <c r="C274" s="13"/>
    </row>
    <row r="275" spans="1:3" ht="13" x14ac:dyDescent="0.15">
      <c r="A275" s="10"/>
      <c r="B275" s="13"/>
      <c r="C275" s="13"/>
    </row>
    <row r="276" spans="1:3" ht="13" x14ac:dyDescent="0.15">
      <c r="A276" s="10"/>
      <c r="B276" s="13"/>
      <c r="C276" s="13"/>
    </row>
    <row r="277" spans="1:3" ht="13" x14ac:dyDescent="0.15">
      <c r="A277" s="10"/>
      <c r="B277" s="13"/>
      <c r="C277" s="13"/>
    </row>
    <row r="278" spans="1:3" ht="13" x14ac:dyDescent="0.15">
      <c r="A278" s="10"/>
      <c r="B278" s="13"/>
      <c r="C278" s="13"/>
    </row>
    <row r="279" spans="1:3" ht="13" x14ac:dyDescent="0.15">
      <c r="A279" s="10"/>
      <c r="B279" s="13"/>
      <c r="C279" s="13"/>
    </row>
    <row r="280" spans="1:3" ht="13" x14ac:dyDescent="0.15">
      <c r="A280" s="10"/>
      <c r="B280" s="13"/>
      <c r="C280" s="13"/>
    </row>
    <row r="281" spans="1:3" ht="13" x14ac:dyDescent="0.15">
      <c r="A281" s="10"/>
      <c r="B281" s="13"/>
      <c r="C281" s="13"/>
    </row>
    <row r="282" spans="1:3" ht="13" x14ac:dyDescent="0.15">
      <c r="A282" s="10"/>
      <c r="B282" s="13"/>
      <c r="C282" s="13"/>
    </row>
    <row r="283" spans="1:3" ht="13" x14ac:dyDescent="0.15">
      <c r="A283" s="10"/>
      <c r="B283" s="13"/>
      <c r="C283" s="13"/>
    </row>
    <row r="284" spans="1:3" ht="13" x14ac:dyDescent="0.15">
      <c r="A284" s="10"/>
      <c r="B284" s="13"/>
      <c r="C284" s="13"/>
    </row>
    <row r="285" spans="1:3" ht="13" x14ac:dyDescent="0.15">
      <c r="A285" s="10"/>
      <c r="B285" s="13"/>
      <c r="C285" s="13"/>
    </row>
    <row r="286" spans="1:3" ht="13" x14ac:dyDescent="0.15">
      <c r="A286" s="10"/>
      <c r="B286" s="13"/>
      <c r="C286" s="13"/>
    </row>
    <row r="287" spans="1:3" ht="13" x14ac:dyDescent="0.15">
      <c r="A287" s="10"/>
      <c r="B287" s="13"/>
      <c r="C287" s="13"/>
    </row>
    <row r="288" spans="1:3" ht="13" x14ac:dyDescent="0.15">
      <c r="A288" s="10"/>
      <c r="B288" s="13"/>
      <c r="C288" s="13"/>
    </row>
    <row r="289" spans="1:3" ht="13" x14ac:dyDescent="0.15">
      <c r="A289" s="10"/>
      <c r="B289" s="13"/>
      <c r="C289" s="13"/>
    </row>
    <row r="290" spans="1:3" ht="13" x14ac:dyDescent="0.15">
      <c r="A290" s="10"/>
      <c r="B290" s="13"/>
      <c r="C290" s="13"/>
    </row>
    <row r="291" spans="1:3" ht="13" x14ac:dyDescent="0.15">
      <c r="A291" s="10"/>
      <c r="B291" s="13"/>
      <c r="C291" s="13"/>
    </row>
    <row r="292" spans="1:3" ht="13" x14ac:dyDescent="0.15">
      <c r="A292" s="10"/>
      <c r="B292" s="13"/>
      <c r="C292" s="13"/>
    </row>
    <row r="293" spans="1:3" ht="13" x14ac:dyDescent="0.15">
      <c r="A293" s="10"/>
      <c r="B293" s="13"/>
      <c r="C293" s="13"/>
    </row>
    <row r="294" spans="1:3" ht="13" x14ac:dyDescent="0.15">
      <c r="A294" s="10"/>
      <c r="B294" s="13"/>
      <c r="C294" s="13"/>
    </row>
    <row r="295" spans="1:3" ht="13" x14ac:dyDescent="0.15">
      <c r="A295" s="10"/>
      <c r="B295" s="13"/>
      <c r="C295" s="13"/>
    </row>
    <row r="296" spans="1:3" ht="13" x14ac:dyDescent="0.15">
      <c r="A296" s="10"/>
      <c r="B296" s="13"/>
      <c r="C296" s="13"/>
    </row>
    <row r="297" spans="1:3" ht="13" x14ac:dyDescent="0.15">
      <c r="A297" s="10"/>
      <c r="B297" s="13"/>
      <c r="C297" s="13"/>
    </row>
    <row r="298" spans="1:3" ht="13" x14ac:dyDescent="0.15">
      <c r="A298" s="10"/>
      <c r="B298" s="13"/>
      <c r="C298" s="13"/>
    </row>
    <row r="299" spans="1:3" ht="13" x14ac:dyDescent="0.15">
      <c r="A299" s="10"/>
      <c r="B299" s="13"/>
      <c r="C299" s="13"/>
    </row>
    <row r="300" spans="1:3" ht="13" x14ac:dyDescent="0.15">
      <c r="A300" s="10"/>
      <c r="B300" s="13"/>
      <c r="C300" s="13"/>
    </row>
    <row r="301" spans="1:3" ht="13" x14ac:dyDescent="0.15">
      <c r="A301" s="10"/>
      <c r="B301" s="13"/>
      <c r="C301" s="13"/>
    </row>
    <row r="302" spans="1:3" ht="13" x14ac:dyDescent="0.15">
      <c r="A302" s="10"/>
      <c r="B302" s="13"/>
      <c r="C302" s="13"/>
    </row>
    <row r="303" spans="1:3" ht="13" x14ac:dyDescent="0.15">
      <c r="A303" s="10"/>
      <c r="B303" s="13"/>
      <c r="C303" s="13"/>
    </row>
    <row r="304" spans="1:3" ht="13" x14ac:dyDescent="0.15">
      <c r="A304" s="10"/>
      <c r="B304" s="13"/>
      <c r="C304" s="13"/>
    </row>
    <row r="305" spans="1:3" ht="13" x14ac:dyDescent="0.15">
      <c r="A305" s="10"/>
      <c r="B305" s="13"/>
      <c r="C305" s="13"/>
    </row>
    <row r="306" spans="1:3" ht="13" x14ac:dyDescent="0.15">
      <c r="A306" s="10"/>
      <c r="B306" s="13"/>
      <c r="C306" s="13"/>
    </row>
    <row r="307" spans="1:3" ht="13" x14ac:dyDescent="0.15">
      <c r="A307" s="10"/>
      <c r="B307" s="13"/>
      <c r="C307" s="13"/>
    </row>
    <row r="308" spans="1:3" ht="13" x14ac:dyDescent="0.15">
      <c r="A308" s="10"/>
      <c r="B308" s="13"/>
      <c r="C308" s="13"/>
    </row>
    <row r="309" spans="1:3" ht="13" x14ac:dyDescent="0.15">
      <c r="A309" s="10"/>
      <c r="B309" s="13"/>
      <c r="C309" s="13"/>
    </row>
    <row r="310" spans="1:3" ht="13" x14ac:dyDescent="0.15">
      <c r="A310" s="10"/>
      <c r="B310" s="13"/>
      <c r="C310" s="13"/>
    </row>
    <row r="311" spans="1:3" ht="13" x14ac:dyDescent="0.15">
      <c r="A311" s="10"/>
      <c r="B311" s="13"/>
      <c r="C311" s="13"/>
    </row>
    <row r="312" spans="1:3" ht="13" x14ac:dyDescent="0.15">
      <c r="A312" s="10"/>
      <c r="B312" s="13"/>
      <c r="C312" s="13"/>
    </row>
    <row r="313" spans="1:3" ht="13" x14ac:dyDescent="0.15">
      <c r="A313" s="10"/>
      <c r="B313" s="13"/>
      <c r="C313" s="13"/>
    </row>
    <row r="314" spans="1:3" ht="13" x14ac:dyDescent="0.15">
      <c r="A314" s="10"/>
      <c r="B314" s="13"/>
      <c r="C314" s="13"/>
    </row>
    <row r="315" spans="1:3" ht="13" x14ac:dyDescent="0.15">
      <c r="A315" s="10"/>
      <c r="B315" s="13"/>
      <c r="C315" s="13"/>
    </row>
    <row r="316" spans="1:3" ht="13" x14ac:dyDescent="0.15">
      <c r="A316" s="10"/>
      <c r="B316" s="13"/>
      <c r="C316" s="13"/>
    </row>
    <row r="317" spans="1:3" ht="13" x14ac:dyDescent="0.15">
      <c r="A317" s="10"/>
      <c r="B317" s="13"/>
      <c r="C317" s="13"/>
    </row>
    <row r="318" spans="1:3" ht="13" x14ac:dyDescent="0.15">
      <c r="A318" s="10"/>
      <c r="B318" s="13"/>
      <c r="C318" s="13"/>
    </row>
    <row r="319" spans="1:3" ht="13" x14ac:dyDescent="0.15">
      <c r="A319" s="10"/>
      <c r="B319" s="13"/>
      <c r="C319" s="13"/>
    </row>
    <row r="320" spans="1:3" ht="13" x14ac:dyDescent="0.15">
      <c r="A320" s="10"/>
      <c r="B320" s="13"/>
      <c r="C320" s="13"/>
    </row>
    <row r="321" spans="1:3" ht="13" x14ac:dyDescent="0.15">
      <c r="A321" s="10"/>
      <c r="B321" s="13"/>
      <c r="C321" s="13"/>
    </row>
    <row r="322" spans="1:3" ht="13" x14ac:dyDescent="0.15">
      <c r="A322" s="10"/>
      <c r="B322" s="13"/>
      <c r="C322" s="13"/>
    </row>
    <row r="323" spans="1:3" ht="13" x14ac:dyDescent="0.15">
      <c r="A323" s="10"/>
      <c r="B323" s="13"/>
      <c r="C323" s="13"/>
    </row>
    <row r="324" spans="1:3" ht="13" x14ac:dyDescent="0.15">
      <c r="A324" s="10"/>
      <c r="B324" s="13"/>
      <c r="C324" s="13"/>
    </row>
    <row r="325" spans="1:3" ht="13" x14ac:dyDescent="0.15">
      <c r="A325" s="10"/>
      <c r="B325" s="13"/>
      <c r="C325" s="13"/>
    </row>
    <row r="326" spans="1:3" ht="13" x14ac:dyDescent="0.15">
      <c r="A326" s="10"/>
      <c r="B326" s="13"/>
      <c r="C326" s="13"/>
    </row>
    <row r="327" spans="1:3" ht="13" x14ac:dyDescent="0.15">
      <c r="A327" s="10"/>
      <c r="B327" s="13"/>
      <c r="C327" s="13"/>
    </row>
    <row r="328" spans="1:3" ht="13" x14ac:dyDescent="0.15">
      <c r="A328" s="10"/>
      <c r="B328" s="13"/>
      <c r="C328" s="13"/>
    </row>
    <row r="329" spans="1:3" ht="13" x14ac:dyDescent="0.15">
      <c r="A329" s="10"/>
      <c r="B329" s="13"/>
      <c r="C329" s="13"/>
    </row>
    <row r="330" spans="1:3" ht="13" x14ac:dyDescent="0.15">
      <c r="A330" s="10"/>
      <c r="B330" s="13"/>
      <c r="C330" s="13"/>
    </row>
    <row r="331" spans="1:3" ht="13" x14ac:dyDescent="0.15">
      <c r="A331" s="10"/>
      <c r="B331" s="13"/>
      <c r="C331" s="13"/>
    </row>
    <row r="332" spans="1:3" ht="13" x14ac:dyDescent="0.15">
      <c r="A332" s="10"/>
      <c r="B332" s="13"/>
      <c r="C332" s="13"/>
    </row>
    <row r="333" spans="1:3" ht="13" x14ac:dyDescent="0.15">
      <c r="A333" s="10"/>
      <c r="B333" s="13"/>
      <c r="C333" s="13"/>
    </row>
    <row r="334" spans="1:3" ht="13" x14ac:dyDescent="0.15">
      <c r="A334" s="10"/>
      <c r="B334" s="13"/>
      <c r="C334" s="13"/>
    </row>
    <row r="335" spans="1:3" ht="13" x14ac:dyDescent="0.15">
      <c r="A335" s="10"/>
      <c r="B335" s="13"/>
      <c r="C335" s="13"/>
    </row>
    <row r="336" spans="1:3" ht="13" x14ac:dyDescent="0.15">
      <c r="A336" s="10"/>
      <c r="B336" s="13"/>
      <c r="C336" s="13"/>
    </row>
    <row r="337" spans="1:3" ht="13" x14ac:dyDescent="0.15">
      <c r="A337" s="10"/>
      <c r="B337" s="13"/>
      <c r="C337" s="13"/>
    </row>
    <row r="338" spans="1:3" ht="13" x14ac:dyDescent="0.15">
      <c r="A338" s="10"/>
      <c r="B338" s="13"/>
      <c r="C338" s="13"/>
    </row>
    <row r="339" spans="1:3" ht="13" x14ac:dyDescent="0.15">
      <c r="A339" s="10"/>
      <c r="B339" s="13"/>
      <c r="C339" s="13"/>
    </row>
    <row r="340" spans="1:3" ht="13" x14ac:dyDescent="0.15">
      <c r="A340" s="10"/>
      <c r="B340" s="13"/>
      <c r="C340" s="13"/>
    </row>
    <row r="341" spans="1:3" ht="13" x14ac:dyDescent="0.15">
      <c r="A341" s="10"/>
      <c r="B341" s="13"/>
      <c r="C341" s="13"/>
    </row>
    <row r="342" spans="1:3" ht="13" x14ac:dyDescent="0.15">
      <c r="A342" s="10"/>
      <c r="B342" s="13"/>
      <c r="C342" s="13"/>
    </row>
    <row r="343" spans="1:3" ht="13" x14ac:dyDescent="0.15">
      <c r="A343" s="10"/>
      <c r="B343" s="13"/>
      <c r="C343" s="13"/>
    </row>
    <row r="344" spans="1:3" ht="13" x14ac:dyDescent="0.15">
      <c r="A344" s="10"/>
      <c r="B344" s="13"/>
      <c r="C344" s="13"/>
    </row>
    <row r="345" spans="1:3" ht="13" x14ac:dyDescent="0.15">
      <c r="A345" s="10"/>
      <c r="B345" s="13"/>
      <c r="C345" s="13"/>
    </row>
    <row r="346" spans="1:3" ht="13" x14ac:dyDescent="0.15">
      <c r="A346" s="10"/>
      <c r="B346" s="13"/>
      <c r="C346" s="13"/>
    </row>
    <row r="347" spans="1:3" ht="13" x14ac:dyDescent="0.15">
      <c r="A347" s="10"/>
      <c r="B347" s="13"/>
      <c r="C347" s="13"/>
    </row>
    <row r="348" spans="1:3" ht="13" x14ac:dyDescent="0.15">
      <c r="A348" s="10"/>
      <c r="B348" s="13"/>
      <c r="C348" s="13"/>
    </row>
    <row r="349" spans="1:3" ht="13" x14ac:dyDescent="0.15">
      <c r="A349" s="10"/>
      <c r="B349" s="13"/>
      <c r="C349" s="13"/>
    </row>
    <row r="350" spans="1:3" ht="13" x14ac:dyDescent="0.15">
      <c r="A350" s="10"/>
      <c r="B350" s="13"/>
      <c r="C350" s="13"/>
    </row>
    <row r="351" spans="1:3" ht="13" x14ac:dyDescent="0.15">
      <c r="A351" s="10"/>
      <c r="B351" s="13"/>
      <c r="C351" s="13"/>
    </row>
    <row r="352" spans="1:3" ht="13" x14ac:dyDescent="0.15">
      <c r="A352" s="10"/>
      <c r="B352" s="13"/>
      <c r="C352" s="13"/>
    </row>
    <row r="353" spans="1:3" ht="13" x14ac:dyDescent="0.15">
      <c r="A353" s="10"/>
      <c r="B353" s="13"/>
      <c r="C353" s="13"/>
    </row>
    <row r="354" spans="1:3" ht="13" x14ac:dyDescent="0.15">
      <c r="A354" s="10"/>
      <c r="B354" s="13"/>
      <c r="C354" s="13"/>
    </row>
    <row r="355" spans="1:3" ht="13" x14ac:dyDescent="0.15">
      <c r="A355" s="10"/>
      <c r="B355" s="13"/>
      <c r="C355" s="13"/>
    </row>
    <row r="356" spans="1:3" ht="13" x14ac:dyDescent="0.15">
      <c r="A356" s="10"/>
      <c r="B356" s="13"/>
      <c r="C356" s="13"/>
    </row>
    <row r="357" spans="1:3" ht="13" x14ac:dyDescent="0.15">
      <c r="A357" s="10"/>
      <c r="B357" s="13"/>
      <c r="C357" s="13"/>
    </row>
    <row r="358" spans="1:3" ht="13" x14ac:dyDescent="0.15">
      <c r="A358" s="10"/>
      <c r="B358" s="13"/>
      <c r="C358" s="13"/>
    </row>
    <row r="359" spans="1:3" ht="13" x14ac:dyDescent="0.15">
      <c r="A359" s="10"/>
      <c r="B359" s="13"/>
      <c r="C359" s="13"/>
    </row>
    <row r="360" spans="1:3" ht="13" x14ac:dyDescent="0.15">
      <c r="A360" s="10"/>
      <c r="B360" s="13"/>
      <c r="C360" s="13"/>
    </row>
    <row r="361" spans="1:3" ht="13" x14ac:dyDescent="0.15">
      <c r="A361" s="10"/>
      <c r="B361" s="13"/>
      <c r="C361" s="13"/>
    </row>
    <row r="362" spans="1:3" ht="13" x14ac:dyDescent="0.15">
      <c r="A362" s="10"/>
      <c r="B362" s="13"/>
      <c r="C362" s="13"/>
    </row>
    <row r="363" spans="1:3" ht="13" x14ac:dyDescent="0.15">
      <c r="A363" s="10"/>
      <c r="B363" s="13"/>
      <c r="C363" s="13"/>
    </row>
    <row r="364" spans="1:3" ht="13" x14ac:dyDescent="0.15">
      <c r="A364" s="10"/>
      <c r="B364" s="13"/>
      <c r="C364" s="13"/>
    </row>
    <row r="365" spans="1:3" ht="13" x14ac:dyDescent="0.15">
      <c r="A365" s="10"/>
      <c r="B365" s="13"/>
      <c r="C365" s="13"/>
    </row>
    <row r="366" spans="1:3" ht="13" x14ac:dyDescent="0.15">
      <c r="A366" s="10"/>
      <c r="B366" s="13"/>
      <c r="C366" s="13"/>
    </row>
    <row r="367" spans="1:3" ht="13" x14ac:dyDescent="0.15">
      <c r="A367" s="10"/>
      <c r="B367" s="13"/>
      <c r="C367" s="13"/>
    </row>
    <row r="368" spans="1:3" ht="13" x14ac:dyDescent="0.15">
      <c r="A368" s="10"/>
      <c r="B368" s="13"/>
      <c r="C368" s="13"/>
    </row>
    <row r="369" spans="1:3" ht="13" x14ac:dyDescent="0.15">
      <c r="A369" s="10"/>
      <c r="B369" s="13"/>
      <c r="C369" s="13"/>
    </row>
    <row r="370" spans="1:3" ht="13" x14ac:dyDescent="0.15">
      <c r="A370" s="10"/>
      <c r="B370" s="13"/>
      <c r="C370" s="13"/>
    </row>
    <row r="371" spans="1:3" ht="13" x14ac:dyDescent="0.15">
      <c r="A371" s="10"/>
      <c r="B371" s="13"/>
      <c r="C371" s="13"/>
    </row>
    <row r="372" spans="1:3" ht="13" x14ac:dyDescent="0.15">
      <c r="A372" s="10"/>
      <c r="B372" s="13"/>
      <c r="C372" s="13"/>
    </row>
    <row r="373" spans="1:3" ht="13" x14ac:dyDescent="0.15">
      <c r="A373" s="10"/>
      <c r="B373" s="13"/>
      <c r="C373" s="13"/>
    </row>
    <row r="374" spans="1:3" ht="13" x14ac:dyDescent="0.15">
      <c r="A374" s="10"/>
      <c r="B374" s="13"/>
      <c r="C374" s="13"/>
    </row>
    <row r="375" spans="1:3" ht="13" x14ac:dyDescent="0.15">
      <c r="A375" s="10"/>
      <c r="B375" s="13"/>
      <c r="C375" s="13"/>
    </row>
    <row r="376" spans="1:3" ht="13" x14ac:dyDescent="0.15">
      <c r="A376" s="10"/>
      <c r="B376" s="13"/>
      <c r="C376" s="13"/>
    </row>
    <row r="377" spans="1:3" ht="13" x14ac:dyDescent="0.15">
      <c r="A377" s="10"/>
      <c r="B377" s="13"/>
      <c r="C377" s="13"/>
    </row>
    <row r="378" spans="1:3" ht="13" x14ac:dyDescent="0.15">
      <c r="A378" s="10"/>
      <c r="B378" s="13"/>
      <c r="C378" s="13"/>
    </row>
    <row r="379" spans="1:3" ht="13" x14ac:dyDescent="0.15">
      <c r="A379" s="10"/>
      <c r="B379" s="13"/>
      <c r="C379" s="13"/>
    </row>
    <row r="380" spans="1:3" ht="13" x14ac:dyDescent="0.15">
      <c r="A380" s="10"/>
      <c r="B380" s="13"/>
      <c r="C380" s="13"/>
    </row>
    <row r="381" spans="1:3" ht="13" x14ac:dyDescent="0.15">
      <c r="A381" s="10"/>
      <c r="B381" s="13"/>
      <c r="C381" s="13"/>
    </row>
    <row r="382" spans="1:3" ht="13" x14ac:dyDescent="0.15">
      <c r="A382" s="10"/>
      <c r="B382" s="13"/>
      <c r="C382" s="13"/>
    </row>
    <row r="383" spans="1:3" ht="13" x14ac:dyDescent="0.15">
      <c r="A383" s="10"/>
      <c r="B383" s="13"/>
      <c r="C383" s="13"/>
    </row>
    <row r="384" spans="1:3" ht="13" x14ac:dyDescent="0.15">
      <c r="A384" s="10"/>
      <c r="B384" s="13"/>
      <c r="C384" s="13"/>
    </row>
    <row r="385" spans="1:3" ht="13" x14ac:dyDescent="0.15">
      <c r="A385" s="10"/>
      <c r="B385" s="13"/>
      <c r="C385" s="13"/>
    </row>
    <row r="386" spans="1:3" ht="13" x14ac:dyDescent="0.15">
      <c r="A386" s="10"/>
      <c r="B386" s="13"/>
      <c r="C386" s="13"/>
    </row>
    <row r="387" spans="1:3" ht="13" x14ac:dyDescent="0.15">
      <c r="A387" s="10"/>
      <c r="B387" s="13"/>
      <c r="C387" s="13"/>
    </row>
    <row r="388" spans="1:3" ht="13" x14ac:dyDescent="0.15">
      <c r="A388" s="10"/>
      <c r="B388" s="13"/>
      <c r="C388" s="13"/>
    </row>
    <row r="389" spans="1:3" ht="13" x14ac:dyDescent="0.15">
      <c r="A389" s="10"/>
      <c r="B389" s="13"/>
      <c r="C389" s="13"/>
    </row>
    <row r="390" spans="1:3" ht="13" x14ac:dyDescent="0.15">
      <c r="A390" s="10"/>
      <c r="B390" s="13"/>
      <c r="C390" s="13"/>
    </row>
    <row r="391" spans="1:3" ht="13" x14ac:dyDescent="0.15">
      <c r="A391" s="10"/>
      <c r="B391" s="13"/>
      <c r="C391" s="13"/>
    </row>
    <row r="392" spans="1:3" ht="13" x14ac:dyDescent="0.15">
      <c r="A392" s="10"/>
      <c r="B392" s="13"/>
      <c r="C392" s="13"/>
    </row>
    <row r="393" spans="1:3" ht="13" x14ac:dyDescent="0.15">
      <c r="A393" s="10"/>
      <c r="B393" s="13"/>
      <c r="C393" s="13"/>
    </row>
    <row r="394" spans="1:3" ht="13" x14ac:dyDescent="0.15">
      <c r="A394" s="10"/>
      <c r="B394" s="13"/>
      <c r="C394" s="13"/>
    </row>
    <row r="395" spans="1:3" ht="13" x14ac:dyDescent="0.15">
      <c r="A395" s="10"/>
      <c r="B395" s="13"/>
      <c r="C395" s="13"/>
    </row>
    <row r="396" spans="1:3" ht="13" x14ac:dyDescent="0.15">
      <c r="A396" s="10"/>
      <c r="B396" s="13"/>
      <c r="C396" s="13"/>
    </row>
    <row r="397" spans="1:3" ht="13" x14ac:dyDescent="0.15">
      <c r="A397" s="10"/>
      <c r="B397" s="13"/>
      <c r="C397" s="13"/>
    </row>
    <row r="398" spans="1:3" ht="13" x14ac:dyDescent="0.15">
      <c r="A398" s="10"/>
      <c r="B398" s="13"/>
      <c r="C398" s="13"/>
    </row>
    <row r="399" spans="1:3" ht="13" x14ac:dyDescent="0.15">
      <c r="A399" s="10"/>
      <c r="B399" s="13"/>
      <c r="C399" s="13"/>
    </row>
    <row r="400" spans="1:3" ht="13" x14ac:dyDescent="0.15">
      <c r="A400" s="10"/>
      <c r="B400" s="13"/>
      <c r="C400" s="13"/>
    </row>
    <row r="401" spans="1:3" ht="13" x14ac:dyDescent="0.15">
      <c r="A401" s="10"/>
      <c r="B401" s="13"/>
      <c r="C401" s="13"/>
    </row>
    <row r="402" spans="1:3" ht="13" x14ac:dyDescent="0.15">
      <c r="A402" s="10"/>
      <c r="B402" s="13"/>
      <c r="C402" s="13"/>
    </row>
    <row r="403" spans="1:3" ht="13" x14ac:dyDescent="0.15">
      <c r="A403" s="10"/>
      <c r="B403" s="13"/>
      <c r="C403" s="13"/>
    </row>
    <row r="404" spans="1:3" ht="13" x14ac:dyDescent="0.15">
      <c r="A404" s="10"/>
      <c r="B404" s="13"/>
      <c r="C404" s="13"/>
    </row>
    <row r="405" spans="1:3" ht="13" x14ac:dyDescent="0.15">
      <c r="A405" s="10"/>
      <c r="B405" s="13"/>
      <c r="C405" s="13"/>
    </row>
    <row r="406" spans="1:3" ht="13" x14ac:dyDescent="0.15">
      <c r="A406" s="10"/>
      <c r="B406" s="13"/>
      <c r="C406" s="13"/>
    </row>
    <row r="407" spans="1:3" ht="13" x14ac:dyDescent="0.15">
      <c r="A407" s="10"/>
      <c r="B407" s="13"/>
      <c r="C407" s="13"/>
    </row>
    <row r="408" spans="1:3" ht="13" x14ac:dyDescent="0.15">
      <c r="A408" s="10"/>
      <c r="B408" s="13"/>
      <c r="C408" s="13"/>
    </row>
    <row r="409" spans="1:3" ht="13" x14ac:dyDescent="0.15">
      <c r="A409" s="10"/>
      <c r="B409" s="13"/>
      <c r="C409" s="13"/>
    </row>
    <row r="410" spans="1:3" ht="13" x14ac:dyDescent="0.15">
      <c r="A410" s="10"/>
      <c r="B410" s="13"/>
      <c r="C410" s="13"/>
    </row>
    <row r="411" spans="1:3" ht="13" x14ac:dyDescent="0.15">
      <c r="A411" s="10"/>
      <c r="B411" s="13"/>
      <c r="C411" s="13"/>
    </row>
    <row r="412" spans="1:3" ht="13" x14ac:dyDescent="0.15">
      <c r="A412" s="10"/>
      <c r="B412" s="13"/>
      <c r="C412" s="13"/>
    </row>
    <row r="413" spans="1:3" ht="13" x14ac:dyDescent="0.15">
      <c r="A413" s="10"/>
      <c r="B413" s="13"/>
      <c r="C413" s="13"/>
    </row>
    <row r="414" spans="1:3" ht="13" x14ac:dyDescent="0.15">
      <c r="A414" s="10"/>
      <c r="B414" s="13"/>
      <c r="C414" s="13"/>
    </row>
    <row r="415" spans="1:3" ht="13" x14ac:dyDescent="0.15">
      <c r="A415" s="10"/>
      <c r="B415" s="13"/>
      <c r="C415" s="13"/>
    </row>
    <row r="416" spans="1:3" ht="13" x14ac:dyDescent="0.15">
      <c r="A416" s="10"/>
      <c r="B416" s="13"/>
      <c r="C416" s="13"/>
    </row>
    <row r="417" spans="1:3" ht="13" x14ac:dyDescent="0.15">
      <c r="A417" s="10"/>
      <c r="B417" s="13"/>
      <c r="C417" s="13"/>
    </row>
    <row r="418" spans="1:3" ht="13" x14ac:dyDescent="0.15">
      <c r="A418" s="10"/>
      <c r="B418" s="13"/>
      <c r="C418" s="13"/>
    </row>
    <row r="419" spans="1:3" ht="13" x14ac:dyDescent="0.15">
      <c r="A419" s="10"/>
      <c r="B419" s="13"/>
      <c r="C419" s="13"/>
    </row>
    <row r="420" spans="1:3" ht="13" x14ac:dyDescent="0.15">
      <c r="A420" s="10"/>
      <c r="B420" s="13"/>
      <c r="C420" s="13"/>
    </row>
    <row r="421" spans="1:3" ht="13" x14ac:dyDescent="0.15">
      <c r="A421" s="10"/>
      <c r="B421" s="13"/>
      <c r="C421" s="13"/>
    </row>
    <row r="422" spans="1:3" ht="13" x14ac:dyDescent="0.15">
      <c r="A422" s="10"/>
      <c r="B422" s="13"/>
      <c r="C422" s="13"/>
    </row>
    <row r="423" spans="1:3" ht="13" x14ac:dyDescent="0.15">
      <c r="A423" s="10"/>
      <c r="B423" s="13"/>
      <c r="C423" s="13"/>
    </row>
    <row r="424" spans="1:3" ht="13" x14ac:dyDescent="0.15">
      <c r="A424" s="10"/>
      <c r="B424" s="13"/>
      <c r="C424" s="13"/>
    </row>
    <row r="425" spans="1:3" ht="13" x14ac:dyDescent="0.15">
      <c r="A425" s="10"/>
      <c r="B425" s="13"/>
      <c r="C425" s="13"/>
    </row>
    <row r="426" spans="1:3" ht="13" x14ac:dyDescent="0.15">
      <c r="A426" s="10"/>
      <c r="B426" s="13"/>
      <c r="C426" s="13"/>
    </row>
    <row r="427" spans="1:3" ht="13" x14ac:dyDescent="0.15">
      <c r="A427" s="10"/>
      <c r="B427" s="13"/>
      <c r="C427" s="13"/>
    </row>
    <row r="428" spans="1:3" ht="13" x14ac:dyDescent="0.15">
      <c r="A428" s="10"/>
      <c r="B428" s="13"/>
      <c r="C428" s="13"/>
    </row>
    <row r="429" spans="1:3" ht="13" x14ac:dyDescent="0.15">
      <c r="A429" s="10"/>
      <c r="B429" s="13"/>
      <c r="C429" s="13"/>
    </row>
    <row r="430" spans="1:3" ht="13" x14ac:dyDescent="0.15">
      <c r="A430" s="10"/>
      <c r="B430" s="13"/>
      <c r="C430" s="13"/>
    </row>
    <row r="431" spans="1:3" ht="13" x14ac:dyDescent="0.15">
      <c r="A431" s="10"/>
      <c r="B431" s="13"/>
      <c r="C431" s="13"/>
    </row>
    <row r="432" spans="1:3" ht="13" x14ac:dyDescent="0.15">
      <c r="A432" s="10"/>
      <c r="B432" s="13"/>
      <c r="C432" s="13"/>
    </row>
    <row r="433" spans="1:3" ht="13" x14ac:dyDescent="0.15">
      <c r="A433" s="10"/>
      <c r="B433" s="13"/>
      <c r="C433" s="13"/>
    </row>
    <row r="434" spans="1:3" ht="13" x14ac:dyDescent="0.15">
      <c r="A434" s="10"/>
      <c r="B434" s="13"/>
      <c r="C434" s="13"/>
    </row>
    <row r="435" spans="1:3" ht="13" x14ac:dyDescent="0.15">
      <c r="A435" s="10"/>
      <c r="B435" s="13"/>
      <c r="C435" s="13"/>
    </row>
    <row r="436" spans="1:3" ht="13" x14ac:dyDescent="0.15">
      <c r="A436" s="10"/>
      <c r="B436" s="13"/>
      <c r="C436" s="13"/>
    </row>
    <row r="437" spans="1:3" ht="13" x14ac:dyDescent="0.15">
      <c r="A437" s="10"/>
      <c r="B437" s="13"/>
      <c r="C437" s="13"/>
    </row>
    <row r="438" spans="1:3" ht="13" x14ac:dyDescent="0.15">
      <c r="A438" s="10"/>
      <c r="B438" s="13"/>
      <c r="C438" s="13"/>
    </row>
    <row r="439" spans="1:3" ht="13" x14ac:dyDescent="0.15">
      <c r="A439" s="10"/>
      <c r="B439" s="13"/>
      <c r="C439" s="13"/>
    </row>
    <row r="440" spans="1:3" ht="13" x14ac:dyDescent="0.15">
      <c r="A440" s="10"/>
      <c r="B440" s="13"/>
      <c r="C440" s="13"/>
    </row>
    <row r="441" spans="1:3" ht="13" x14ac:dyDescent="0.15">
      <c r="A441" s="10"/>
      <c r="B441" s="13"/>
      <c r="C441" s="13"/>
    </row>
    <row r="442" spans="1:3" ht="13" x14ac:dyDescent="0.15">
      <c r="A442" s="10"/>
      <c r="B442" s="13"/>
      <c r="C442" s="13"/>
    </row>
    <row r="443" spans="1:3" ht="13" x14ac:dyDescent="0.15">
      <c r="A443" s="10"/>
      <c r="B443" s="13"/>
      <c r="C443" s="13"/>
    </row>
    <row r="444" spans="1:3" ht="13" x14ac:dyDescent="0.15">
      <c r="A444" s="10"/>
      <c r="B444" s="13"/>
      <c r="C444" s="13"/>
    </row>
    <row r="445" spans="1:3" ht="13" x14ac:dyDescent="0.15">
      <c r="A445" s="10"/>
      <c r="B445" s="13"/>
      <c r="C445" s="13"/>
    </row>
    <row r="446" spans="1:3" ht="13" x14ac:dyDescent="0.15">
      <c r="A446" s="10"/>
      <c r="B446" s="13"/>
      <c r="C446" s="13"/>
    </row>
    <row r="447" spans="1:3" ht="13" x14ac:dyDescent="0.15">
      <c r="A447" s="10"/>
      <c r="B447" s="13"/>
      <c r="C447" s="13"/>
    </row>
    <row r="448" spans="1:3" ht="13" x14ac:dyDescent="0.15">
      <c r="A448" s="10"/>
      <c r="B448" s="13"/>
      <c r="C448" s="13"/>
    </row>
    <row r="449" spans="1:3" ht="13" x14ac:dyDescent="0.15">
      <c r="A449" s="10"/>
      <c r="B449" s="13"/>
      <c r="C449" s="13"/>
    </row>
    <row r="450" spans="1:3" ht="13" x14ac:dyDescent="0.15">
      <c r="A450" s="10"/>
      <c r="B450" s="13"/>
      <c r="C450" s="13"/>
    </row>
    <row r="451" spans="1:3" ht="13" x14ac:dyDescent="0.15">
      <c r="A451" s="10"/>
      <c r="B451" s="13"/>
      <c r="C451" s="13"/>
    </row>
    <row r="452" spans="1:3" ht="13" x14ac:dyDescent="0.15">
      <c r="A452" s="10"/>
      <c r="B452" s="13"/>
      <c r="C452" s="13"/>
    </row>
    <row r="453" spans="1:3" ht="13" x14ac:dyDescent="0.15">
      <c r="A453" s="10"/>
      <c r="B453" s="13"/>
      <c r="C453" s="13"/>
    </row>
    <row r="454" spans="1:3" ht="13" x14ac:dyDescent="0.15">
      <c r="A454" s="10"/>
      <c r="B454" s="13"/>
      <c r="C454" s="13"/>
    </row>
    <row r="455" spans="1:3" ht="13" x14ac:dyDescent="0.15">
      <c r="A455" s="10"/>
      <c r="B455" s="13"/>
      <c r="C455" s="13"/>
    </row>
    <row r="456" spans="1:3" ht="13" x14ac:dyDescent="0.15">
      <c r="A456" s="10"/>
      <c r="B456" s="13"/>
      <c r="C456" s="13"/>
    </row>
    <row r="457" spans="1:3" ht="13" x14ac:dyDescent="0.15">
      <c r="A457" s="10"/>
      <c r="B457" s="13"/>
      <c r="C457" s="13"/>
    </row>
    <row r="458" spans="1:3" ht="13" x14ac:dyDescent="0.15">
      <c r="A458" s="10"/>
      <c r="B458" s="13"/>
      <c r="C458" s="13"/>
    </row>
    <row r="459" spans="1:3" ht="13" x14ac:dyDescent="0.15">
      <c r="A459" s="10"/>
      <c r="B459" s="13"/>
      <c r="C459" s="13"/>
    </row>
    <row r="460" spans="1:3" ht="13" x14ac:dyDescent="0.15">
      <c r="A460" s="10"/>
      <c r="B460" s="13"/>
      <c r="C460" s="13"/>
    </row>
    <row r="461" spans="1:3" ht="13" x14ac:dyDescent="0.15">
      <c r="A461" s="10"/>
      <c r="B461" s="13"/>
      <c r="C461" s="13"/>
    </row>
    <row r="462" spans="1:3" ht="13" x14ac:dyDescent="0.15">
      <c r="A462" s="10"/>
      <c r="B462" s="13"/>
      <c r="C462" s="13"/>
    </row>
    <row r="463" spans="1:3" ht="13" x14ac:dyDescent="0.15">
      <c r="A463" s="10"/>
      <c r="B463" s="13"/>
      <c r="C463" s="13"/>
    </row>
    <row r="464" spans="1:3" ht="13" x14ac:dyDescent="0.15">
      <c r="A464" s="10"/>
      <c r="B464" s="13"/>
      <c r="C464" s="13"/>
    </row>
    <row r="465" spans="1:3" ht="13" x14ac:dyDescent="0.15">
      <c r="A465" s="10"/>
      <c r="B465" s="13"/>
      <c r="C465" s="13"/>
    </row>
    <row r="466" spans="1:3" ht="13" x14ac:dyDescent="0.15">
      <c r="A466" s="10"/>
      <c r="B466" s="13"/>
      <c r="C466" s="13"/>
    </row>
    <row r="467" spans="1:3" ht="13" x14ac:dyDescent="0.15">
      <c r="A467" s="10"/>
      <c r="B467" s="13"/>
      <c r="C467" s="13"/>
    </row>
    <row r="468" spans="1:3" ht="13" x14ac:dyDescent="0.15">
      <c r="A468" s="10"/>
      <c r="B468" s="13"/>
      <c r="C468" s="13"/>
    </row>
    <row r="469" spans="1:3" ht="13" x14ac:dyDescent="0.15">
      <c r="A469" s="10"/>
      <c r="B469" s="13"/>
      <c r="C469" s="13"/>
    </row>
    <row r="470" spans="1:3" ht="13" x14ac:dyDescent="0.15">
      <c r="A470" s="10"/>
      <c r="B470" s="13"/>
      <c r="C470" s="13"/>
    </row>
    <row r="471" spans="1:3" ht="13" x14ac:dyDescent="0.15">
      <c r="A471" s="10"/>
      <c r="B471" s="13"/>
      <c r="C471" s="13"/>
    </row>
    <row r="472" spans="1:3" ht="13" x14ac:dyDescent="0.15">
      <c r="A472" s="10"/>
      <c r="B472" s="13"/>
      <c r="C472" s="13"/>
    </row>
    <row r="473" spans="1:3" ht="13" x14ac:dyDescent="0.15">
      <c r="A473" s="10"/>
      <c r="B473" s="13"/>
      <c r="C473" s="13"/>
    </row>
    <row r="474" spans="1:3" ht="13" x14ac:dyDescent="0.15">
      <c r="A474" s="10"/>
      <c r="B474" s="13"/>
      <c r="C474" s="13"/>
    </row>
    <row r="475" spans="1:3" ht="13" x14ac:dyDescent="0.15">
      <c r="A475" s="10"/>
      <c r="B475" s="13"/>
      <c r="C475" s="13"/>
    </row>
    <row r="476" spans="1:3" ht="13" x14ac:dyDescent="0.15">
      <c r="A476" s="10"/>
      <c r="B476" s="13"/>
      <c r="C476" s="13"/>
    </row>
    <row r="477" spans="1:3" ht="13" x14ac:dyDescent="0.15">
      <c r="A477" s="10"/>
      <c r="B477" s="13"/>
      <c r="C477" s="13"/>
    </row>
    <row r="478" spans="1:3" ht="13" x14ac:dyDescent="0.15">
      <c r="A478" s="10"/>
      <c r="B478" s="13"/>
      <c r="C478" s="13"/>
    </row>
    <row r="479" spans="1:3" ht="13" x14ac:dyDescent="0.15">
      <c r="A479" s="10"/>
      <c r="B479" s="13"/>
      <c r="C479" s="13"/>
    </row>
    <row r="480" spans="1:3" ht="13" x14ac:dyDescent="0.15">
      <c r="A480" s="10"/>
      <c r="B480" s="13"/>
      <c r="C480" s="13"/>
    </row>
    <row r="481" spans="1:3" ht="13" x14ac:dyDescent="0.15">
      <c r="A481" s="10"/>
      <c r="B481" s="13"/>
      <c r="C481" s="13"/>
    </row>
    <row r="482" spans="1:3" ht="13" x14ac:dyDescent="0.15">
      <c r="A482" s="10"/>
      <c r="B482" s="13"/>
      <c r="C482" s="13"/>
    </row>
    <row r="483" spans="1:3" ht="13" x14ac:dyDescent="0.15">
      <c r="A483" s="10"/>
      <c r="B483" s="13"/>
      <c r="C483" s="13"/>
    </row>
    <row r="484" spans="1:3" ht="13" x14ac:dyDescent="0.15">
      <c r="A484" s="10"/>
      <c r="B484" s="13"/>
      <c r="C484" s="13"/>
    </row>
    <row r="485" spans="1:3" ht="13" x14ac:dyDescent="0.15">
      <c r="A485" s="10"/>
      <c r="B485" s="13"/>
      <c r="C485" s="13"/>
    </row>
    <row r="486" spans="1:3" ht="13" x14ac:dyDescent="0.15">
      <c r="A486" s="10"/>
      <c r="B486" s="13"/>
      <c r="C486" s="13"/>
    </row>
    <row r="487" spans="1:3" ht="13" x14ac:dyDescent="0.15">
      <c r="A487" s="10"/>
      <c r="B487" s="13"/>
      <c r="C487" s="13"/>
    </row>
    <row r="488" spans="1:3" ht="13" x14ac:dyDescent="0.15">
      <c r="A488" s="10"/>
      <c r="B488" s="13"/>
      <c r="C488" s="13"/>
    </row>
    <row r="489" spans="1:3" ht="13" x14ac:dyDescent="0.15">
      <c r="A489" s="10"/>
      <c r="B489" s="13"/>
      <c r="C489" s="13"/>
    </row>
    <row r="490" spans="1:3" ht="13" x14ac:dyDescent="0.15">
      <c r="A490" s="10"/>
      <c r="B490" s="13"/>
      <c r="C490" s="13"/>
    </row>
    <row r="491" spans="1:3" ht="13" x14ac:dyDescent="0.15">
      <c r="A491" s="10"/>
      <c r="B491" s="13"/>
      <c r="C491" s="13"/>
    </row>
    <row r="492" spans="1:3" ht="13" x14ac:dyDescent="0.15">
      <c r="A492" s="10"/>
      <c r="B492" s="13"/>
      <c r="C492" s="13"/>
    </row>
    <row r="493" spans="1:3" ht="13" x14ac:dyDescent="0.15">
      <c r="A493" s="10"/>
      <c r="B493" s="13"/>
      <c r="C493" s="13"/>
    </row>
    <row r="494" spans="1:3" ht="13" x14ac:dyDescent="0.15">
      <c r="A494" s="10"/>
      <c r="B494" s="13"/>
      <c r="C494" s="13"/>
    </row>
    <row r="495" spans="1:3" ht="13" x14ac:dyDescent="0.15">
      <c r="A495" s="10"/>
      <c r="B495" s="13"/>
      <c r="C495" s="13"/>
    </row>
    <row r="496" spans="1:3" ht="13" x14ac:dyDescent="0.15">
      <c r="A496" s="10"/>
      <c r="B496" s="13"/>
      <c r="C496" s="13"/>
    </row>
    <row r="497" spans="1:3" ht="13" x14ac:dyDescent="0.15">
      <c r="A497" s="10"/>
      <c r="B497" s="13"/>
      <c r="C497" s="13"/>
    </row>
    <row r="498" spans="1:3" ht="13" x14ac:dyDescent="0.15">
      <c r="A498" s="10"/>
      <c r="B498" s="13"/>
      <c r="C498" s="13"/>
    </row>
    <row r="499" spans="1:3" ht="13" x14ac:dyDescent="0.15">
      <c r="A499" s="10"/>
      <c r="B499" s="13"/>
      <c r="C499" s="13"/>
    </row>
    <row r="500" spans="1:3" ht="13" x14ac:dyDescent="0.15">
      <c r="A500" s="10"/>
      <c r="B500" s="13"/>
      <c r="C500" s="13"/>
    </row>
    <row r="501" spans="1:3" ht="13" x14ac:dyDescent="0.15">
      <c r="A501" s="10"/>
      <c r="B501" s="13"/>
      <c r="C501" s="13"/>
    </row>
    <row r="502" spans="1:3" ht="13" x14ac:dyDescent="0.15">
      <c r="A502" s="10"/>
      <c r="B502" s="13"/>
      <c r="C502" s="13"/>
    </row>
    <row r="503" spans="1:3" ht="13" x14ac:dyDescent="0.15">
      <c r="A503" s="10"/>
      <c r="B503" s="13"/>
      <c r="C503" s="13"/>
    </row>
    <row r="504" spans="1:3" ht="13" x14ac:dyDescent="0.15">
      <c r="A504" s="10"/>
      <c r="B504" s="13"/>
      <c r="C504" s="13"/>
    </row>
    <row r="505" spans="1:3" ht="13" x14ac:dyDescent="0.15">
      <c r="A505" s="10"/>
      <c r="B505" s="13"/>
      <c r="C505" s="13"/>
    </row>
    <row r="506" spans="1:3" ht="13" x14ac:dyDescent="0.15">
      <c r="A506" s="10"/>
      <c r="B506" s="13"/>
      <c r="C506" s="13"/>
    </row>
    <row r="507" spans="1:3" ht="13" x14ac:dyDescent="0.15">
      <c r="A507" s="10"/>
      <c r="B507" s="13"/>
      <c r="C507" s="13"/>
    </row>
    <row r="508" spans="1:3" ht="13" x14ac:dyDescent="0.15">
      <c r="A508" s="10"/>
      <c r="B508" s="13"/>
      <c r="C508" s="13"/>
    </row>
    <row r="509" spans="1:3" ht="13" x14ac:dyDescent="0.15">
      <c r="A509" s="10"/>
      <c r="B509" s="13"/>
      <c r="C509" s="13"/>
    </row>
    <row r="510" spans="1:3" ht="13" x14ac:dyDescent="0.15">
      <c r="A510" s="10"/>
      <c r="B510" s="13"/>
      <c r="C510" s="13"/>
    </row>
    <row r="511" spans="1:3" ht="13" x14ac:dyDescent="0.15">
      <c r="A511" s="10"/>
      <c r="B511" s="13"/>
      <c r="C511" s="13"/>
    </row>
    <row r="512" spans="1:3" ht="13" x14ac:dyDescent="0.15">
      <c r="A512" s="10"/>
      <c r="B512" s="13"/>
      <c r="C512" s="13"/>
    </row>
    <row r="513" spans="1:3" ht="13" x14ac:dyDescent="0.15">
      <c r="A513" s="10"/>
      <c r="B513" s="13"/>
      <c r="C513" s="13"/>
    </row>
    <row r="514" spans="1:3" ht="13" x14ac:dyDescent="0.15">
      <c r="A514" s="10"/>
      <c r="B514" s="13"/>
      <c r="C514" s="13"/>
    </row>
    <row r="515" spans="1:3" ht="13" x14ac:dyDescent="0.15">
      <c r="A515" s="10"/>
      <c r="B515" s="13"/>
      <c r="C515" s="13"/>
    </row>
    <row r="516" spans="1:3" ht="13" x14ac:dyDescent="0.15">
      <c r="A516" s="10"/>
      <c r="B516" s="13"/>
      <c r="C516" s="13"/>
    </row>
    <row r="517" spans="1:3" ht="13" x14ac:dyDescent="0.15">
      <c r="A517" s="10"/>
      <c r="B517" s="13"/>
      <c r="C517" s="13"/>
    </row>
    <row r="518" spans="1:3" ht="13" x14ac:dyDescent="0.15">
      <c r="A518" s="10"/>
      <c r="B518" s="13"/>
      <c r="C518" s="13"/>
    </row>
    <row r="519" spans="1:3" ht="13" x14ac:dyDescent="0.15">
      <c r="A519" s="10"/>
      <c r="B519" s="13"/>
      <c r="C519" s="13"/>
    </row>
    <row r="520" spans="1:3" ht="13" x14ac:dyDescent="0.15">
      <c r="A520" s="10"/>
      <c r="B520" s="13"/>
      <c r="C520" s="13"/>
    </row>
    <row r="521" spans="1:3" ht="13" x14ac:dyDescent="0.15">
      <c r="A521" s="10"/>
      <c r="B521" s="13"/>
      <c r="C521" s="13"/>
    </row>
    <row r="522" spans="1:3" ht="13" x14ac:dyDescent="0.15">
      <c r="A522" s="10"/>
      <c r="B522" s="13"/>
      <c r="C522" s="13"/>
    </row>
    <row r="523" spans="1:3" ht="13" x14ac:dyDescent="0.15">
      <c r="A523" s="10"/>
      <c r="B523" s="13"/>
      <c r="C523" s="13"/>
    </row>
    <row r="524" spans="1:3" ht="13" x14ac:dyDescent="0.15">
      <c r="A524" s="10"/>
      <c r="B524" s="13"/>
      <c r="C524" s="13"/>
    </row>
    <row r="525" spans="1:3" ht="13" x14ac:dyDescent="0.15">
      <c r="A525" s="10"/>
      <c r="B525" s="13"/>
      <c r="C525" s="13"/>
    </row>
    <row r="526" spans="1:3" ht="13" x14ac:dyDescent="0.15">
      <c r="A526" s="10"/>
      <c r="B526" s="13"/>
      <c r="C526" s="13"/>
    </row>
    <row r="527" spans="1:3" ht="13" x14ac:dyDescent="0.15">
      <c r="A527" s="10"/>
      <c r="B527" s="13"/>
      <c r="C527" s="13"/>
    </row>
    <row r="528" spans="1:3" ht="13" x14ac:dyDescent="0.15">
      <c r="A528" s="10"/>
      <c r="B528" s="13"/>
      <c r="C528" s="13"/>
    </row>
    <row r="529" spans="1:3" ht="13" x14ac:dyDescent="0.15">
      <c r="A529" s="10"/>
      <c r="B529" s="13"/>
      <c r="C529" s="13"/>
    </row>
    <row r="530" spans="1:3" ht="13" x14ac:dyDescent="0.15">
      <c r="A530" s="10"/>
      <c r="B530" s="13"/>
      <c r="C530" s="13"/>
    </row>
    <row r="531" spans="1:3" ht="13" x14ac:dyDescent="0.15">
      <c r="A531" s="10"/>
      <c r="B531" s="13"/>
      <c r="C531" s="13"/>
    </row>
    <row r="532" spans="1:3" ht="13" x14ac:dyDescent="0.15">
      <c r="A532" s="10"/>
      <c r="B532" s="13"/>
      <c r="C532" s="13"/>
    </row>
    <row r="533" spans="1:3" ht="13" x14ac:dyDescent="0.15">
      <c r="A533" s="10"/>
      <c r="B533" s="13"/>
      <c r="C533" s="13"/>
    </row>
    <row r="534" spans="1:3" ht="13" x14ac:dyDescent="0.15">
      <c r="A534" s="10"/>
      <c r="B534" s="13"/>
      <c r="C534" s="13"/>
    </row>
    <row r="535" spans="1:3" ht="13" x14ac:dyDescent="0.15">
      <c r="A535" s="10"/>
      <c r="B535" s="13"/>
      <c r="C535" s="13"/>
    </row>
    <row r="536" spans="1:3" ht="13" x14ac:dyDescent="0.15">
      <c r="A536" s="10"/>
      <c r="B536" s="13"/>
      <c r="C536" s="13"/>
    </row>
    <row r="537" spans="1:3" ht="13" x14ac:dyDescent="0.15">
      <c r="A537" s="10"/>
      <c r="B537" s="13"/>
      <c r="C537" s="13"/>
    </row>
    <row r="538" spans="1:3" ht="13" x14ac:dyDescent="0.15">
      <c r="A538" s="10"/>
      <c r="B538" s="13"/>
      <c r="C538" s="13"/>
    </row>
    <row r="539" spans="1:3" ht="13" x14ac:dyDescent="0.15">
      <c r="A539" s="10"/>
      <c r="B539" s="13"/>
      <c r="C539" s="13"/>
    </row>
    <row r="540" spans="1:3" ht="13" x14ac:dyDescent="0.15">
      <c r="A540" s="10"/>
      <c r="B540" s="13"/>
      <c r="C540" s="13"/>
    </row>
    <row r="541" spans="1:3" ht="13" x14ac:dyDescent="0.15">
      <c r="A541" s="10"/>
      <c r="B541" s="13"/>
      <c r="C541" s="13"/>
    </row>
    <row r="542" spans="1:3" ht="13" x14ac:dyDescent="0.15">
      <c r="A542" s="10"/>
      <c r="B542" s="13"/>
      <c r="C542" s="13"/>
    </row>
    <row r="543" spans="1:3" ht="13" x14ac:dyDescent="0.15">
      <c r="A543" s="10"/>
      <c r="B543" s="13"/>
      <c r="C543" s="13"/>
    </row>
    <row r="544" spans="1:3" ht="13" x14ac:dyDescent="0.15">
      <c r="A544" s="10"/>
      <c r="B544" s="13"/>
      <c r="C544" s="13"/>
    </row>
    <row r="545" spans="1:3" ht="13" x14ac:dyDescent="0.15">
      <c r="A545" s="10"/>
      <c r="B545" s="13"/>
      <c r="C545" s="13"/>
    </row>
    <row r="546" spans="1:3" ht="13" x14ac:dyDescent="0.15">
      <c r="A546" s="10"/>
      <c r="B546" s="13"/>
      <c r="C546" s="13"/>
    </row>
    <row r="547" spans="1:3" ht="13" x14ac:dyDescent="0.15">
      <c r="A547" s="10"/>
      <c r="B547" s="13"/>
      <c r="C547" s="13"/>
    </row>
    <row r="548" spans="1:3" ht="13" x14ac:dyDescent="0.15">
      <c r="A548" s="10"/>
      <c r="B548" s="13"/>
      <c r="C548" s="13"/>
    </row>
    <row r="549" spans="1:3" ht="13" x14ac:dyDescent="0.15">
      <c r="A549" s="10"/>
      <c r="B549" s="13"/>
      <c r="C549" s="13"/>
    </row>
    <row r="550" spans="1:3" ht="13" x14ac:dyDescent="0.15">
      <c r="A550" s="10"/>
      <c r="B550" s="13"/>
      <c r="C550" s="13"/>
    </row>
    <row r="551" spans="1:3" ht="13" x14ac:dyDescent="0.15">
      <c r="A551" s="10"/>
      <c r="B551" s="13"/>
      <c r="C551" s="13"/>
    </row>
    <row r="552" spans="1:3" ht="13" x14ac:dyDescent="0.15">
      <c r="A552" s="10"/>
      <c r="B552" s="13"/>
      <c r="C552" s="13"/>
    </row>
    <row r="553" spans="1:3" ht="13" x14ac:dyDescent="0.15">
      <c r="A553" s="10"/>
      <c r="B553" s="13"/>
      <c r="C553" s="13"/>
    </row>
    <row r="554" spans="1:3" ht="13" x14ac:dyDescent="0.15">
      <c r="A554" s="10"/>
      <c r="B554" s="13"/>
      <c r="C554" s="13"/>
    </row>
    <row r="555" spans="1:3" ht="13" x14ac:dyDescent="0.15">
      <c r="A555" s="10"/>
      <c r="B555" s="13"/>
      <c r="C555" s="13"/>
    </row>
    <row r="556" spans="1:3" ht="13" x14ac:dyDescent="0.15">
      <c r="A556" s="10"/>
      <c r="B556" s="13"/>
      <c r="C556" s="13"/>
    </row>
    <row r="557" spans="1:3" ht="13" x14ac:dyDescent="0.15">
      <c r="A557" s="10"/>
      <c r="B557" s="13"/>
      <c r="C557" s="13"/>
    </row>
    <row r="558" spans="1:3" ht="13" x14ac:dyDescent="0.15">
      <c r="A558" s="10"/>
      <c r="B558" s="13"/>
      <c r="C558" s="13"/>
    </row>
    <row r="559" spans="1:3" ht="13" x14ac:dyDescent="0.15">
      <c r="A559" s="10"/>
      <c r="B559" s="13"/>
      <c r="C559" s="13"/>
    </row>
    <row r="560" spans="1:3" ht="13" x14ac:dyDescent="0.15">
      <c r="A560" s="10"/>
      <c r="B560" s="13"/>
      <c r="C560" s="13"/>
    </row>
    <row r="561" spans="1:3" ht="13" x14ac:dyDescent="0.15">
      <c r="A561" s="10"/>
      <c r="B561" s="13"/>
      <c r="C561" s="13"/>
    </row>
    <row r="562" spans="1:3" ht="13" x14ac:dyDescent="0.15">
      <c r="A562" s="10"/>
      <c r="B562" s="13"/>
      <c r="C562" s="13"/>
    </row>
    <row r="563" spans="1:3" ht="13" x14ac:dyDescent="0.15">
      <c r="A563" s="10"/>
      <c r="B563" s="13"/>
      <c r="C563" s="13"/>
    </row>
    <row r="564" spans="1:3" ht="13" x14ac:dyDescent="0.15">
      <c r="A564" s="10"/>
      <c r="B564" s="13"/>
      <c r="C564" s="13"/>
    </row>
    <row r="565" spans="1:3" ht="13" x14ac:dyDescent="0.15">
      <c r="A565" s="10"/>
      <c r="B565" s="13"/>
      <c r="C565" s="13"/>
    </row>
    <row r="566" spans="1:3" ht="13" x14ac:dyDescent="0.15">
      <c r="A566" s="10"/>
      <c r="B566" s="13"/>
      <c r="C566" s="13"/>
    </row>
    <row r="567" spans="1:3" ht="13" x14ac:dyDescent="0.15">
      <c r="A567" s="10"/>
      <c r="B567" s="13"/>
      <c r="C567" s="13"/>
    </row>
    <row r="568" spans="1:3" ht="13" x14ac:dyDescent="0.15">
      <c r="A568" s="10"/>
      <c r="B568" s="13"/>
      <c r="C568" s="13"/>
    </row>
    <row r="569" spans="1:3" ht="13" x14ac:dyDescent="0.15">
      <c r="A569" s="10"/>
      <c r="B569" s="13"/>
      <c r="C569" s="13"/>
    </row>
    <row r="570" spans="1:3" ht="13" x14ac:dyDescent="0.15">
      <c r="A570" s="10"/>
      <c r="B570" s="13"/>
      <c r="C570" s="13"/>
    </row>
    <row r="571" spans="1:3" ht="13" x14ac:dyDescent="0.15">
      <c r="A571" s="10"/>
      <c r="B571" s="13"/>
      <c r="C571" s="13"/>
    </row>
    <row r="572" spans="1:3" ht="13" x14ac:dyDescent="0.15">
      <c r="A572" s="10"/>
      <c r="B572" s="13"/>
      <c r="C572" s="13"/>
    </row>
    <row r="573" spans="1:3" ht="13" x14ac:dyDescent="0.15">
      <c r="A573" s="10"/>
      <c r="B573" s="13"/>
      <c r="C573" s="13"/>
    </row>
    <row r="574" spans="1:3" ht="13" x14ac:dyDescent="0.15">
      <c r="A574" s="10"/>
      <c r="B574" s="13"/>
      <c r="C574" s="13"/>
    </row>
    <row r="575" spans="1:3" ht="13" x14ac:dyDescent="0.15">
      <c r="A575" s="10"/>
      <c r="B575" s="13"/>
      <c r="C575" s="13"/>
    </row>
    <row r="576" spans="1:3" ht="13" x14ac:dyDescent="0.15">
      <c r="A576" s="10"/>
      <c r="B576" s="13"/>
      <c r="C576" s="13"/>
    </row>
    <row r="577" spans="1:3" ht="13" x14ac:dyDescent="0.15">
      <c r="A577" s="10"/>
      <c r="B577" s="13"/>
      <c r="C577" s="13"/>
    </row>
    <row r="578" spans="1:3" ht="13" x14ac:dyDescent="0.15">
      <c r="A578" s="10"/>
      <c r="B578" s="13"/>
      <c r="C578" s="13"/>
    </row>
    <row r="579" spans="1:3" ht="13" x14ac:dyDescent="0.15">
      <c r="A579" s="10"/>
      <c r="B579" s="13"/>
      <c r="C579" s="13"/>
    </row>
    <row r="580" spans="1:3" ht="13" x14ac:dyDescent="0.15">
      <c r="A580" s="10"/>
      <c r="B580" s="13"/>
      <c r="C580" s="13"/>
    </row>
    <row r="581" spans="1:3" ht="13" x14ac:dyDescent="0.15">
      <c r="A581" s="10"/>
      <c r="B581" s="13"/>
      <c r="C581" s="13"/>
    </row>
    <row r="582" spans="1:3" ht="13" x14ac:dyDescent="0.15">
      <c r="A582" s="10"/>
      <c r="B582" s="13"/>
      <c r="C582" s="13"/>
    </row>
    <row r="583" spans="1:3" ht="13" x14ac:dyDescent="0.15">
      <c r="A583" s="10"/>
      <c r="B583" s="13"/>
      <c r="C583" s="13"/>
    </row>
    <row r="584" spans="1:3" ht="13" x14ac:dyDescent="0.15">
      <c r="A584" s="10"/>
      <c r="B584" s="13"/>
      <c r="C584" s="13"/>
    </row>
    <row r="585" spans="1:3" ht="13" x14ac:dyDescent="0.15">
      <c r="A585" s="10"/>
      <c r="B585" s="13"/>
      <c r="C585" s="13"/>
    </row>
    <row r="586" spans="1:3" ht="13" x14ac:dyDescent="0.15">
      <c r="A586" s="10"/>
      <c r="B586" s="13"/>
      <c r="C586" s="13"/>
    </row>
    <row r="587" spans="1:3" ht="13" x14ac:dyDescent="0.15">
      <c r="A587" s="10"/>
      <c r="B587" s="13"/>
      <c r="C587" s="13"/>
    </row>
    <row r="588" spans="1:3" ht="13" x14ac:dyDescent="0.15">
      <c r="A588" s="10"/>
      <c r="B588" s="13"/>
      <c r="C588" s="13"/>
    </row>
    <row r="589" spans="1:3" ht="13" x14ac:dyDescent="0.15">
      <c r="A589" s="10"/>
      <c r="B589" s="13"/>
      <c r="C589" s="13"/>
    </row>
    <row r="590" spans="1:3" ht="13" x14ac:dyDescent="0.15">
      <c r="A590" s="10"/>
      <c r="B590" s="13"/>
      <c r="C590" s="13"/>
    </row>
    <row r="591" spans="1:3" ht="13" x14ac:dyDescent="0.15">
      <c r="A591" s="10"/>
      <c r="B591" s="13"/>
      <c r="C591" s="13"/>
    </row>
    <row r="592" spans="1:3" ht="13" x14ac:dyDescent="0.15">
      <c r="A592" s="10"/>
      <c r="B592" s="13"/>
      <c r="C592" s="13"/>
    </row>
    <row r="593" spans="1:3" ht="13" x14ac:dyDescent="0.15">
      <c r="A593" s="10"/>
      <c r="B593" s="13"/>
      <c r="C593" s="13"/>
    </row>
    <row r="594" spans="1:3" ht="13" x14ac:dyDescent="0.15">
      <c r="A594" s="10"/>
      <c r="B594" s="13"/>
      <c r="C594" s="13"/>
    </row>
    <row r="595" spans="1:3" ht="13" x14ac:dyDescent="0.15">
      <c r="A595" s="10"/>
      <c r="B595" s="13"/>
      <c r="C595" s="13"/>
    </row>
    <row r="596" spans="1:3" ht="13" x14ac:dyDescent="0.15">
      <c r="A596" s="10"/>
      <c r="B596" s="13"/>
      <c r="C596" s="13"/>
    </row>
    <row r="597" spans="1:3" ht="13" x14ac:dyDescent="0.15">
      <c r="A597" s="10"/>
      <c r="B597" s="13"/>
      <c r="C597" s="13"/>
    </row>
    <row r="598" spans="1:3" ht="13" x14ac:dyDescent="0.15">
      <c r="A598" s="10"/>
      <c r="B598" s="13"/>
      <c r="C598" s="13"/>
    </row>
    <row r="599" spans="1:3" ht="13" x14ac:dyDescent="0.15">
      <c r="A599" s="10"/>
      <c r="B599" s="13"/>
      <c r="C599" s="13"/>
    </row>
    <row r="600" spans="1:3" ht="13" x14ac:dyDescent="0.15">
      <c r="A600" s="10"/>
      <c r="B600" s="13"/>
      <c r="C600" s="13"/>
    </row>
    <row r="601" spans="1:3" ht="13" x14ac:dyDescent="0.15">
      <c r="A601" s="10"/>
      <c r="B601" s="13"/>
      <c r="C601" s="13"/>
    </row>
    <row r="602" spans="1:3" ht="13" x14ac:dyDescent="0.15">
      <c r="A602" s="10"/>
      <c r="B602" s="13"/>
      <c r="C602" s="13"/>
    </row>
    <row r="603" spans="1:3" ht="13" x14ac:dyDescent="0.15">
      <c r="A603" s="10"/>
      <c r="B603" s="13"/>
      <c r="C603" s="13"/>
    </row>
    <row r="604" spans="1:3" ht="13" x14ac:dyDescent="0.15">
      <c r="A604" s="10"/>
      <c r="B604" s="13"/>
      <c r="C604" s="13"/>
    </row>
    <row r="605" spans="1:3" ht="13" x14ac:dyDescent="0.15">
      <c r="A605" s="10"/>
      <c r="B605" s="13"/>
      <c r="C605" s="13"/>
    </row>
    <row r="606" spans="1:3" ht="13" x14ac:dyDescent="0.15">
      <c r="A606" s="10"/>
      <c r="B606" s="13"/>
      <c r="C606" s="13"/>
    </row>
    <row r="607" spans="1:3" ht="13" x14ac:dyDescent="0.15">
      <c r="A607" s="10"/>
      <c r="B607" s="13"/>
      <c r="C607" s="13"/>
    </row>
    <row r="608" spans="1:3" ht="13" x14ac:dyDescent="0.15">
      <c r="A608" s="10"/>
      <c r="B608" s="13"/>
      <c r="C608" s="13"/>
    </row>
    <row r="609" spans="1:3" ht="13" x14ac:dyDescent="0.15">
      <c r="A609" s="10"/>
      <c r="B609" s="13"/>
      <c r="C609" s="13"/>
    </row>
    <row r="610" spans="1:3" ht="13" x14ac:dyDescent="0.15">
      <c r="A610" s="10"/>
      <c r="B610" s="13"/>
      <c r="C610" s="13"/>
    </row>
    <row r="611" spans="1:3" ht="13" x14ac:dyDescent="0.15">
      <c r="A611" s="10"/>
      <c r="B611" s="13"/>
      <c r="C611" s="13"/>
    </row>
    <row r="612" spans="1:3" ht="13" x14ac:dyDescent="0.15">
      <c r="A612" s="10"/>
      <c r="B612" s="13"/>
      <c r="C612" s="13"/>
    </row>
    <row r="613" spans="1:3" ht="13" x14ac:dyDescent="0.15">
      <c r="A613" s="10"/>
      <c r="B613" s="13"/>
      <c r="C613" s="13"/>
    </row>
    <row r="614" spans="1:3" ht="13" x14ac:dyDescent="0.15">
      <c r="A614" s="10"/>
      <c r="B614" s="13"/>
      <c r="C614" s="13"/>
    </row>
    <row r="615" spans="1:3" ht="13" x14ac:dyDescent="0.15">
      <c r="A615" s="10"/>
      <c r="B615" s="13"/>
      <c r="C615" s="13"/>
    </row>
    <row r="616" spans="1:3" ht="13" x14ac:dyDescent="0.15">
      <c r="A616" s="10"/>
      <c r="B616" s="13"/>
      <c r="C616" s="13"/>
    </row>
    <row r="617" spans="1:3" ht="13" x14ac:dyDescent="0.15">
      <c r="A617" s="10"/>
      <c r="B617" s="13"/>
      <c r="C617" s="13"/>
    </row>
    <row r="618" spans="1:3" ht="13" x14ac:dyDescent="0.15">
      <c r="A618" s="10"/>
      <c r="B618" s="13"/>
      <c r="C618" s="13"/>
    </row>
    <row r="619" spans="1:3" ht="13" x14ac:dyDescent="0.15">
      <c r="A619" s="10"/>
      <c r="B619" s="13"/>
      <c r="C619" s="13"/>
    </row>
    <row r="620" spans="1:3" ht="13" x14ac:dyDescent="0.15">
      <c r="A620" s="10"/>
      <c r="B620" s="13"/>
      <c r="C620" s="13"/>
    </row>
    <row r="621" spans="1:3" ht="13" x14ac:dyDescent="0.15">
      <c r="A621" s="10"/>
      <c r="B621" s="13"/>
      <c r="C621" s="13"/>
    </row>
    <row r="622" spans="1:3" ht="13" x14ac:dyDescent="0.15">
      <c r="A622" s="10"/>
      <c r="B622" s="13"/>
      <c r="C622" s="13"/>
    </row>
    <row r="623" spans="1:3" ht="13" x14ac:dyDescent="0.15">
      <c r="A623" s="10"/>
      <c r="B623" s="13"/>
      <c r="C623" s="13"/>
    </row>
    <row r="624" spans="1:3" ht="13" x14ac:dyDescent="0.15">
      <c r="A624" s="10"/>
      <c r="B624" s="13"/>
      <c r="C624" s="13"/>
    </row>
    <row r="625" spans="1:3" ht="13" x14ac:dyDescent="0.15">
      <c r="A625" s="10"/>
      <c r="B625" s="13"/>
      <c r="C625" s="13"/>
    </row>
    <row r="626" spans="1:3" ht="13" x14ac:dyDescent="0.15">
      <c r="A626" s="10"/>
      <c r="B626" s="13"/>
      <c r="C626" s="13"/>
    </row>
    <row r="627" spans="1:3" ht="13" x14ac:dyDescent="0.15">
      <c r="A627" s="10"/>
      <c r="B627" s="13"/>
      <c r="C627" s="13"/>
    </row>
    <row r="628" spans="1:3" ht="13" x14ac:dyDescent="0.15">
      <c r="A628" s="10"/>
      <c r="B628" s="13"/>
      <c r="C628" s="13"/>
    </row>
    <row r="629" spans="1:3" ht="13" x14ac:dyDescent="0.15">
      <c r="A629" s="10"/>
      <c r="B629" s="13"/>
      <c r="C629" s="13"/>
    </row>
    <row r="630" spans="1:3" ht="13" x14ac:dyDescent="0.15">
      <c r="A630" s="10"/>
      <c r="B630" s="13"/>
      <c r="C630" s="13"/>
    </row>
    <row r="631" spans="1:3" ht="13" x14ac:dyDescent="0.15">
      <c r="A631" s="10"/>
      <c r="B631" s="13"/>
      <c r="C631" s="13"/>
    </row>
    <row r="632" spans="1:3" ht="13" x14ac:dyDescent="0.15">
      <c r="A632" s="10"/>
      <c r="B632" s="13"/>
      <c r="C632" s="13"/>
    </row>
    <row r="633" spans="1:3" ht="13" x14ac:dyDescent="0.15">
      <c r="A633" s="10"/>
      <c r="B633" s="13"/>
      <c r="C633" s="13"/>
    </row>
    <row r="634" spans="1:3" ht="13" x14ac:dyDescent="0.15">
      <c r="A634" s="10"/>
      <c r="B634" s="13"/>
      <c r="C634" s="13"/>
    </row>
    <row r="635" spans="1:3" ht="13" x14ac:dyDescent="0.15">
      <c r="A635" s="10"/>
      <c r="B635" s="13"/>
      <c r="C635" s="13"/>
    </row>
    <row r="636" spans="1:3" ht="13" x14ac:dyDescent="0.15">
      <c r="A636" s="10"/>
      <c r="B636" s="13"/>
      <c r="C636" s="13"/>
    </row>
    <row r="637" spans="1:3" ht="13" x14ac:dyDescent="0.15">
      <c r="A637" s="10"/>
      <c r="B637" s="13"/>
      <c r="C637" s="13"/>
    </row>
    <row r="638" spans="1:3" ht="13" x14ac:dyDescent="0.15">
      <c r="A638" s="10"/>
      <c r="B638" s="13"/>
      <c r="C638" s="13"/>
    </row>
    <row r="639" spans="1:3" ht="13" x14ac:dyDescent="0.15">
      <c r="A639" s="10"/>
      <c r="B639" s="13"/>
      <c r="C639" s="13"/>
    </row>
    <row r="640" spans="1:3" ht="13" x14ac:dyDescent="0.15">
      <c r="A640" s="10"/>
      <c r="B640" s="13"/>
      <c r="C640" s="13"/>
    </row>
    <row r="641" spans="1:3" ht="13" x14ac:dyDescent="0.15">
      <c r="A641" s="10"/>
      <c r="B641" s="13"/>
      <c r="C641" s="13"/>
    </row>
    <row r="642" spans="1:3" ht="13" x14ac:dyDescent="0.15">
      <c r="A642" s="10"/>
      <c r="B642" s="13"/>
      <c r="C642" s="13"/>
    </row>
    <row r="643" spans="1:3" ht="13" x14ac:dyDescent="0.15">
      <c r="A643" s="10"/>
      <c r="B643" s="13"/>
      <c r="C643" s="13"/>
    </row>
    <row r="644" spans="1:3" ht="13" x14ac:dyDescent="0.15">
      <c r="A644" s="10"/>
      <c r="B644" s="13"/>
      <c r="C644" s="13"/>
    </row>
    <row r="645" spans="1:3" ht="13" x14ac:dyDescent="0.15">
      <c r="A645" s="10"/>
      <c r="B645" s="13"/>
      <c r="C645" s="13"/>
    </row>
    <row r="646" spans="1:3" ht="13" x14ac:dyDescent="0.15">
      <c r="A646" s="10"/>
      <c r="B646" s="13"/>
      <c r="C646" s="13"/>
    </row>
    <row r="647" spans="1:3" ht="13" x14ac:dyDescent="0.15">
      <c r="A647" s="10"/>
      <c r="B647" s="13"/>
      <c r="C647" s="13"/>
    </row>
    <row r="648" spans="1:3" ht="13" x14ac:dyDescent="0.15">
      <c r="A648" s="10"/>
      <c r="B648" s="13"/>
      <c r="C648" s="13"/>
    </row>
    <row r="649" spans="1:3" ht="13" x14ac:dyDescent="0.15">
      <c r="A649" s="10"/>
      <c r="B649" s="13"/>
      <c r="C649" s="13"/>
    </row>
    <row r="650" spans="1:3" ht="13" x14ac:dyDescent="0.15">
      <c r="A650" s="10"/>
      <c r="B650" s="13"/>
      <c r="C650" s="13"/>
    </row>
    <row r="651" spans="1:3" ht="13" x14ac:dyDescent="0.15">
      <c r="A651" s="10"/>
      <c r="B651" s="13"/>
      <c r="C651" s="13"/>
    </row>
    <row r="652" spans="1:3" ht="13" x14ac:dyDescent="0.15">
      <c r="A652" s="10"/>
      <c r="B652" s="13"/>
      <c r="C652" s="13"/>
    </row>
    <row r="653" spans="1:3" ht="13" x14ac:dyDescent="0.15">
      <c r="A653" s="10"/>
      <c r="B653" s="13"/>
      <c r="C653" s="13"/>
    </row>
    <row r="654" spans="1:3" ht="13" x14ac:dyDescent="0.15">
      <c r="A654" s="10"/>
      <c r="B654" s="13"/>
      <c r="C654" s="13"/>
    </row>
    <row r="655" spans="1:3" ht="13" x14ac:dyDescent="0.15">
      <c r="A655" s="10"/>
      <c r="B655" s="13"/>
      <c r="C655" s="13"/>
    </row>
    <row r="656" spans="1:3" ht="13" x14ac:dyDescent="0.15">
      <c r="A656" s="10"/>
      <c r="B656" s="13"/>
      <c r="C656" s="13"/>
    </row>
    <row r="657" spans="1:3" ht="13" x14ac:dyDescent="0.15">
      <c r="A657" s="10"/>
      <c r="B657" s="13"/>
      <c r="C657" s="13"/>
    </row>
    <row r="658" spans="1:3" ht="13" x14ac:dyDescent="0.15">
      <c r="A658" s="10"/>
      <c r="B658" s="13"/>
      <c r="C658" s="13"/>
    </row>
    <row r="659" spans="1:3" ht="13" x14ac:dyDescent="0.15">
      <c r="A659" s="10"/>
      <c r="B659" s="13"/>
      <c r="C659" s="13"/>
    </row>
    <row r="660" spans="1:3" ht="13" x14ac:dyDescent="0.15">
      <c r="A660" s="10"/>
      <c r="B660" s="13"/>
      <c r="C660" s="13"/>
    </row>
    <row r="661" spans="1:3" ht="13" x14ac:dyDescent="0.15">
      <c r="A661" s="10"/>
      <c r="B661" s="13"/>
      <c r="C661" s="13"/>
    </row>
    <row r="662" spans="1:3" ht="13" x14ac:dyDescent="0.15">
      <c r="A662" s="10"/>
      <c r="B662" s="13"/>
      <c r="C662" s="13"/>
    </row>
    <row r="663" spans="1:3" ht="13" x14ac:dyDescent="0.15">
      <c r="A663" s="10"/>
      <c r="B663" s="13"/>
      <c r="C663" s="13"/>
    </row>
    <row r="664" spans="1:3" ht="13" x14ac:dyDescent="0.15">
      <c r="A664" s="10"/>
      <c r="B664" s="13"/>
      <c r="C664" s="13"/>
    </row>
    <row r="665" spans="1:3" ht="13" x14ac:dyDescent="0.15">
      <c r="A665" s="10"/>
      <c r="B665" s="13"/>
      <c r="C665" s="13"/>
    </row>
    <row r="666" spans="1:3" ht="13" x14ac:dyDescent="0.15">
      <c r="A666" s="10"/>
      <c r="B666" s="13"/>
      <c r="C666" s="13"/>
    </row>
    <row r="667" spans="1:3" ht="13" x14ac:dyDescent="0.15">
      <c r="A667" s="10"/>
      <c r="B667" s="13"/>
      <c r="C667" s="13"/>
    </row>
    <row r="668" spans="1:3" ht="13" x14ac:dyDescent="0.15">
      <c r="A668" s="10"/>
      <c r="B668" s="13"/>
      <c r="C668" s="13"/>
    </row>
    <row r="669" spans="1:3" ht="13" x14ac:dyDescent="0.15">
      <c r="A669" s="10"/>
      <c r="B669" s="13"/>
      <c r="C669" s="13"/>
    </row>
    <row r="670" spans="1:3" ht="13" x14ac:dyDescent="0.15">
      <c r="A670" s="10"/>
      <c r="B670" s="13"/>
      <c r="C670" s="13"/>
    </row>
    <row r="671" spans="1:3" ht="13" x14ac:dyDescent="0.15">
      <c r="A671" s="10"/>
      <c r="B671" s="13"/>
      <c r="C671" s="13"/>
    </row>
    <row r="672" spans="1:3" ht="13" x14ac:dyDescent="0.15">
      <c r="A672" s="10"/>
      <c r="B672" s="13"/>
      <c r="C672" s="13"/>
    </row>
    <row r="673" spans="1:3" ht="13" x14ac:dyDescent="0.15">
      <c r="A673" s="10"/>
      <c r="B673" s="13"/>
      <c r="C673" s="13"/>
    </row>
    <row r="674" spans="1:3" ht="13" x14ac:dyDescent="0.15">
      <c r="A674" s="10"/>
      <c r="B674" s="13"/>
      <c r="C674" s="13"/>
    </row>
    <row r="675" spans="1:3" ht="13" x14ac:dyDescent="0.15">
      <c r="A675" s="10"/>
      <c r="B675" s="13"/>
      <c r="C675" s="13"/>
    </row>
    <row r="676" spans="1:3" ht="13" x14ac:dyDescent="0.15">
      <c r="A676" s="10"/>
      <c r="B676" s="13"/>
      <c r="C676" s="13"/>
    </row>
    <row r="677" spans="1:3" ht="13" x14ac:dyDescent="0.15">
      <c r="A677" s="10"/>
      <c r="B677" s="13"/>
      <c r="C677" s="13"/>
    </row>
    <row r="678" spans="1:3" ht="13" x14ac:dyDescent="0.15">
      <c r="A678" s="10"/>
      <c r="B678" s="13"/>
      <c r="C678" s="13"/>
    </row>
    <row r="679" spans="1:3" ht="13" x14ac:dyDescent="0.15">
      <c r="A679" s="10"/>
      <c r="B679" s="13"/>
      <c r="C679" s="13"/>
    </row>
    <row r="680" spans="1:3" ht="13" x14ac:dyDescent="0.15">
      <c r="A680" s="10"/>
      <c r="B680" s="13"/>
      <c r="C680" s="13"/>
    </row>
    <row r="681" spans="1:3" ht="13" x14ac:dyDescent="0.15">
      <c r="A681" s="10"/>
      <c r="B681" s="13"/>
      <c r="C681" s="13"/>
    </row>
    <row r="682" spans="1:3" ht="13" x14ac:dyDescent="0.15">
      <c r="A682" s="10"/>
      <c r="B682" s="13"/>
      <c r="C682" s="13"/>
    </row>
    <row r="683" spans="1:3" ht="13" x14ac:dyDescent="0.15">
      <c r="A683" s="10"/>
      <c r="B683" s="13"/>
      <c r="C683" s="13"/>
    </row>
    <row r="684" spans="1:3" ht="13" x14ac:dyDescent="0.15">
      <c r="A684" s="10"/>
      <c r="B684" s="13"/>
      <c r="C684" s="13"/>
    </row>
    <row r="685" spans="1:3" ht="13" x14ac:dyDescent="0.15">
      <c r="A685" s="10"/>
      <c r="B685" s="13"/>
      <c r="C685" s="13"/>
    </row>
    <row r="686" spans="1:3" ht="13" x14ac:dyDescent="0.15">
      <c r="A686" s="10"/>
      <c r="B686" s="13"/>
      <c r="C686" s="13"/>
    </row>
    <row r="687" spans="1:3" ht="13" x14ac:dyDescent="0.15">
      <c r="A687" s="10"/>
      <c r="B687" s="13"/>
      <c r="C687" s="13"/>
    </row>
    <row r="688" spans="1:3" ht="13" x14ac:dyDescent="0.15">
      <c r="A688" s="10"/>
      <c r="B688" s="13"/>
      <c r="C688" s="13"/>
    </row>
    <row r="689" spans="1:3" ht="13" x14ac:dyDescent="0.15">
      <c r="A689" s="10"/>
      <c r="B689" s="13"/>
      <c r="C689" s="13"/>
    </row>
    <row r="690" spans="1:3" ht="13" x14ac:dyDescent="0.15">
      <c r="A690" s="10"/>
      <c r="B690" s="13"/>
      <c r="C690" s="13"/>
    </row>
    <row r="691" spans="1:3" ht="13" x14ac:dyDescent="0.15">
      <c r="A691" s="10"/>
      <c r="B691" s="13"/>
      <c r="C691" s="13"/>
    </row>
    <row r="692" spans="1:3" ht="13" x14ac:dyDescent="0.15">
      <c r="A692" s="10"/>
      <c r="B692" s="13"/>
      <c r="C692" s="13"/>
    </row>
    <row r="693" spans="1:3" ht="13" x14ac:dyDescent="0.15">
      <c r="A693" s="10"/>
      <c r="B693" s="13"/>
      <c r="C693" s="13"/>
    </row>
    <row r="694" spans="1:3" ht="13" x14ac:dyDescent="0.15">
      <c r="A694" s="10"/>
      <c r="B694" s="13"/>
      <c r="C694" s="13"/>
    </row>
    <row r="695" spans="1:3" ht="13" x14ac:dyDescent="0.15">
      <c r="A695" s="10"/>
      <c r="B695" s="13"/>
      <c r="C695" s="13"/>
    </row>
    <row r="696" spans="1:3" ht="13" x14ac:dyDescent="0.15">
      <c r="A696" s="10"/>
      <c r="B696" s="13"/>
      <c r="C696" s="13"/>
    </row>
    <row r="697" spans="1:3" ht="13" x14ac:dyDescent="0.15">
      <c r="A697" s="10"/>
      <c r="B697" s="13"/>
      <c r="C697" s="13"/>
    </row>
    <row r="698" spans="1:3" ht="13" x14ac:dyDescent="0.15">
      <c r="A698" s="10"/>
      <c r="B698" s="13"/>
      <c r="C698" s="13"/>
    </row>
    <row r="699" spans="1:3" ht="13" x14ac:dyDescent="0.15">
      <c r="A699" s="10"/>
      <c r="B699" s="13"/>
      <c r="C699" s="13"/>
    </row>
    <row r="700" spans="1:3" ht="13" x14ac:dyDescent="0.15">
      <c r="A700" s="10"/>
      <c r="B700" s="13"/>
      <c r="C700" s="13"/>
    </row>
    <row r="701" spans="1:3" ht="13" x14ac:dyDescent="0.15">
      <c r="A701" s="10"/>
      <c r="B701" s="13"/>
      <c r="C701" s="13"/>
    </row>
    <row r="702" spans="1:3" ht="13" x14ac:dyDescent="0.15">
      <c r="A702" s="10"/>
      <c r="B702" s="13"/>
      <c r="C702" s="13"/>
    </row>
    <row r="703" spans="1:3" ht="13" x14ac:dyDescent="0.15">
      <c r="A703" s="10"/>
      <c r="B703" s="13"/>
      <c r="C703" s="13"/>
    </row>
    <row r="704" spans="1:3" ht="13" x14ac:dyDescent="0.15">
      <c r="A704" s="10"/>
      <c r="B704" s="13"/>
      <c r="C704" s="13"/>
    </row>
    <row r="705" spans="1:3" ht="13" x14ac:dyDescent="0.15">
      <c r="A705" s="10"/>
      <c r="B705" s="13"/>
      <c r="C705" s="13"/>
    </row>
    <row r="706" spans="1:3" ht="13" x14ac:dyDescent="0.15">
      <c r="A706" s="10"/>
      <c r="B706" s="13"/>
      <c r="C706" s="13"/>
    </row>
    <row r="707" spans="1:3" ht="13" x14ac:dyDescent="0.15">
      <c r="A707" s="10"/>
      <c r="B707" s="13"/>
      <c r="C707" s="13"/>
    </row>
    <row r="708" spans="1:3" ht="13" x14ac:dyDescent="0.15">
      <c r="A708" s="10"/>
      <c r="B708" s="13"/>
      <c r="C708" s="13"/>
    </row>
    <row r="709" spans="1:3" ht="13" x14ac:dyDescent="0.15">
      <c r="A709" s="10"/>
      <c r="B709" s="13"/>
      <c r="C709" s="13"/>
    </row>
    <row r="710" spans="1:3" ht="13" x14ac:dyDescent="0.15">
      <c r="A710" s="10"/>
      <c r="B710" s="13"/>
      <c r="C710" s="13"/>
    </row>
    <row r="711" spans="1:3" ht="13" x14ac:dyDescent="0.15">
      <c r="A711" s="10"/>
      <c r="B711" s="13"/>
      <c r="C711" s="13"/>
    </row>
    <row r="712" spans="1:3" ht="13" x14ac:dyDescent="0.15">
      <c r="A712" s="10"/>
      <c r="B712" s="13"/>
      <c r="C712" s="13"/>
    </row>
    <row r="713" spans="1:3" ht="13" x14ac:dyDescent="0.15">
      <c r="A713" s="10"/>
      <c r="B713" s="13"/>
      <c r="C713" s="13"/>
    </row>
    <row r="714" spans="1:3" ht="13" x14ac:dyDescent="0.15">
      <c r="A714" s="10"/>
      <c r="B714" s="13"/>
      <c r="C714" s="13"/>
    </row>
    <row r="715" spans="1:3" ht="13" x14ac:dyDescent="0.15">
      <c r="A715" s="10"/>
      <c r="B715" s="13"/>
      <c r="C715" s="13"/>
    </row>
    <row r="716" spans="1:3" ht="13" x14ac:dyDescent="0.15">
      <c r="A716" s="10"/>
      <c r="B716" s="13"/>
      <c r="C716" s="13"/>
    </row>
    <row r="717" spans="1:3" ht="13" x14ac:dyDescent="0.15">
      <c r="A717" s="10"/>
      <c r="B717" s="13"/>
      <c r="C717" s="13"/>
    </row>
    <row r="718" spans="1:3" ht="13" x14ac:dyDescent="0.15">
      <c r="A718" s="10"/>
      <c r="B718" s="13"/>
      <c r="C718" s="13"/>
    </row>
    <row r="719" spans="1:3" ht="13" x14ac:dyDescent="0.15">
      <c r="A719" s="10"/>
      <c r="B719" s="13"/>
      <c r="C719" s="13"/>
    </row>
    <row r="720" spans="1:3" ht="13" x14ac:dyDescent="0.15">
      <c r="A720" s="10"/>
      <c r="B720" s="13"/>
      <c r="C720" s="13"/>
    </row>
    <row r="721" spans="1:3" ht="13" x14ac:dyDescent="0.15">
      <c r="A721" s="10"/>
      <c r="B721" s="13"/>
      <c r="C721" s="13"/>
    </row>
    <row r="722" spans="1:3" ht="13" x14ac:dyDescent="0.15">
      <c r="A722" s="10"/>
      <c r="B722" s="13"/>
      <c r="C722" s="13"/>
    </row>
    <row r="723" spans="1:3" ht="13" x14ac:dyDescent="0.15">
      <c r="A723" s="10"/>
      <c r="B723" s="13"/>
      <c r="C723" s="13"/>
    </row>
    <row r="724" spans="1:3" ht="13" x14ac:dyDescent="0.15">
      <c r="A724" s="10"/>
      <c r="B724" s="13"/>
      <c r="C724" s="13"/>
    </row>
    <row r="725" spans="1:3" ht="13" x14ac:dyDescent="0.15">
      <c r="A725" s="10"/>
      <c r="B725" s="13"/>
      <c r="C725" s="13"/>
    </row>
    <row r="726" spans="1:3" ht="13" x14ac:dyDescent="0.15">
      <c r="A726" s="10"/>
      <c r="B726" s="13"/>
      <c r="C726" s="13"/>
    </row>
    <row r="727" spans="1:3" ht="13" x14ac:dyDescent="0.15">
      <c r="A727" s="10"/>
      <c r="B727" s="13"/>
      <c r="C727" s="13"/>
    </row>
    <row r="728" spans="1:3" ht="13" x14ac:dyDescent="0.15">
      <c r="A728" s="10"/>
      <c r="B728" s="13"/>
      <c r="C728" s="13"/>
    </row>
    <row r="729" spans="1:3" ht="13" x14ac:dyDescent="0.15">
      <c r="A729" s="10"/>
      <c r="B729" s="13"/>
      <c r="C729" s="13"/>
    </row>
    <row r="730" spans="1:3" ht="13" x14ac:dyDescent="0.15">
      <c r="A730" s="10"/>
      <c r="B730" s="13"/>
      <c r="C730" s="13"/>
    </row>
    <row r="731" spans="1:3" ht="13" x14ac:dyDescent="0.15">
      <c r="A731" s="10"/>
      <c r="B731" s="13"/>
      <c r="C731" s="13"/>
    </row>
    <row r="732" spans="1:3" ht="13" x14ac:dyDescent="0.15">
      <c r="A732" s="10"/>
      <c r="B732" s="13"/>
      <c r="C732" s="13"/>
    </row>
    <row r="733" spans="1:3" ht="13" x14ac:dyDescent="0.15">
      <c r="A733" s="10"/>
      <c r="B733" s="13"/>
      <c r="C733" s="13"/>
    </row>
    <row r="734" spans="1:3" ht="13" x14ac:dyDescent="0.15">
      <c r="A734" s="10"/>
      <c r="B734" s="13"/>
      <c r="C734" s="13"/>
    </row>
    <row r="735" spans="1:3" ht="13" x14ac:dyDescent="0.15">
      <c r="A735" s="10"/>
      <c r="B735" s="13"/>
      <c r="C735" s="13"/>
    </row>
    <row r="736" spans="1:3" ht="13" x14ac:dyDescent="0.15">
      <c r="A736" s="10"/>
      <c r="B736" s="13"/>
      <c r="C736" s="13"/>
    </row>
    <row r="737" spans="1:3" ht="13" x14ac:dyDescent="0.15">
      <c r="A737" s="10"/>
      <c r="B737" s="13"/>
      <c r="C737" s="13"/>
    </row>
    <row r="738" spans="1:3" ht="13" x14ac:dyDescent="0.15">
      <c r="A738" s="10"/>
      <c r="B738" s="13"/>
      <c r="C738" s="13"/>
    </row>
    <row r="739" spans="1:3" ht="13" x14ac:dyDescent="0.15">
      <c r="A739" s="10"/>
      <c r="B739" s="13"/>
      <c r="C739" s="13"/>
    </row>
    <row r="740" spans="1:3" ht="13" x14ac:dyDescent="0.15">
      <c r="A740" s="10"/>
      <c r="B740" s="13"/>
      <c r="C740" s="13"/>
    </row>
    <row r="741" spans="1:3" ht="13" x14ac:dyDescent="0.15">
      <c r="A741" s="10"/>
      <c r="B741" s="13"/>
      <c r="C741" s="13"/>
    </row>
    <row r="742" spans="1:3" ht="13" x14ac:dyDescent="0.15">
      <c r="A742" s="10"/>
      <c r="B742" s="13"/>
      <c r="C742" s="13"/>
    </row>
    <row r="743" spans="1:3" ht="13" x14ac:dyDescent="0.15">
      <c r="A743" s="10"/>
      <c r="B743" s="13"/>
      <c r="C743" s="13"/>
    </row>
    <row r="744" spans="1:3" ht="13" x14ac:dyDescent="0.15">
      <c r="A744" s="10"/>
      <c r="B744" s="13"/>
      <c r="C744" s="13"/>
    </row>
    <row r="745" spans="1:3" ht="13" x14ac:dyDescent="0.15">
      <c r="A745" s="10"/>
      <c r="B745" s="13"/>
      <c r="C745" s="13"/>
    </row>
    <row r="746" spans="1:3" ht="13" x14ac:dyDescent="0.15">
      <c r="A746" s="10"/>
      <c r="B746" s="13"/>
      <c r="C746" s="13"/>
    </row>
    <row r="747" spans="1:3" ht="13" x14ac:dyDescent="0.15">
      <c r="A747" s="10"/>
      <c r="B747" s="13"/>
      <c r="C747" s="13"/>
    </row>
    <row r="748" spans="1:3" ht="13" x14ac:dyDescent="0.15">
      <c r="A748" s="10"/>
      <c r="B748" s="13"/>
      <c r="C748" s="13"/>
    </row>
    <row r="749" spans="1:3" ht="13" x14ac:dyDescent="0.15">
      <c r="A749" s="10"/>
      <c r="B749" s="13"/>
      <c r="C749" s="13"/>
    </row>
    <row r="750" spans="1:3" ht="13" x14ac:dyDescent="0.15">
      <c r="A750" s="10"/>
      <c r="B750" s="13"/>
      <c r="C750" s="13"/>
    </row>
    <row r="751" spans="1:3" ht="13" x14ac:dyDescent="0.15">
      <c r="A751" s="10"/>
      <c r="B751" s="13"/>
      <c r="C751" s="13"/>
    </row>
    <row r="752" spans="1:3" ht="13" x14ac:dyDescent="0.15">
      <c r="A752" s="10"/>
      <c r="B752" s="13"/>
      <c r="C752" s="13"/>
    </row>
    <row r="753" spans="1:3" ht="13" x14ac:dyDescent="0.15">
      <c r="A753" s="10"/>
      <c r="B753" s="13"/>
      <c r="C753" s="13"/>
    </row>
    <row r="754" spans="1:3" ht="13" x14ac:dyDescent="0.15">
      <c r="A754" s="10"/>
      <c r="B754" s="13"/>
      <c r="C754" s="13"/>
    </row>
    <row r="755" spans="1:3" ht="13" x14ac:dyDescent="0.15">
      <c r="A755" s="10"/>
      <c r="B755" s="13"/>
      <c r="C755" s="13"/>
    </row>
    <row r="756" spans="1:3" ht="13" x14ac:dyDescent="0.15">
      <c r="A756" s="10"/>
      <c r="B756" s="13"/>
      <c r="C756" s="13"/>
    </row>
    <row r="757" spans="1:3" ht="13" x14ac:dyDescent="0.15">
      <c r="A757" s="10"/>
      <c r="B757" s="13"/>
      <c r="C757" s="13"/>
    </row>
    <row r="758" spans="1:3" ht="13" x14ac:dyDescent="0.15">
      <c r="A758" s="10"/>
      <c r="B758" s="13"/>
      <c r="C758" s="13"/>
    </row>
    <row r="759" spans="1:3" ht="13" x14ac:dyDescent="0.15">
      <c r="A759" s="10"/>
      <c r="B759" s="13"/>
      <c r="C759" s="13"/>
    </row>
    <row r="760" spans="1:3" ht="13" x14ac:dyDescent="0.15">
      <c r="A760" s="10"/>
      <c r="B760" s="13"/>
      <c r="C760" s="13"/>
    </row>
    <row r="761" spans="1:3" ht="13" x14ac:dyDescent="0.15">
      <c r="A761" s="10"/>
      <c r="B761" s="13"/>
      <c r="C761" s="13"/>
    </row>
    <row r="762" spans="1:3" ht="13" x14ac:dyDescent="0.15">
      <c r="A762" s="10"/>
      <c r="B762" s="13"/>
      <c r="C762" s="13"/>
    </row>
    <row r="763" spans="1:3" ht="13" x14ac:dyDescent="0.15">
      <c r="A763" s="10"/>
      <c r="B763" s="13"/>
      <c r="C763" s="13"/>
    </row>
    <row r="764" spans="1:3" ht="13" x14ac:dyDescent="0.15">
      <c r="A764" s="10"/>
      <c r="B764" s="13"/>
      <c r="C764" s="13"/>
    </row>
    <row r="765" spans="1:3" ht="13" x14ac:dyDescent="0.15">
      <c r="A765" s="10"/>
      <c r="B765" s="13"/>
      <c r="C765" s="13"/>
    </row>
    <row r="766" spans="1:3" ht="13" x14ac:dyDescent="0.15">
      <c r="A766" s="10"/>
      <c r="B766" s="13"/>
      <c r="C766" s="13"/>
    </row>
    <row r="767" spans="1:3" ht="13" x14ac:dyDescent="0.15">
      <c r="A767" s="10"/>
      <c r="B767" s="13"/>
      <c r="C767" s="13"/>
    </row>
    <row r="768" spans="1:3" ht="13" x14ac:dyDescent="0.15">
      <c r="A768" s="10"/>
      <c r="B768" s="13"/>
      <c r="C768" s="13"/>
    </row>
    <row r="769" spans="1:3" ht="13" x14ac:dyDescent="0.15">
      <c r="A769" s="10"/>
      <c r="B769" s="13"/>
      <c r="C769" s="13"/>
    </row>
    <row r="770" spans="1:3" ht="13" x14ac:dyDescent="0.15">
      <c r="A770" s="10"/>
      <c r="B770" s="13"/>
      <c r="C770" s="13"/>
    </row>
    <row r="771" spans="1:3" ht="13" x14ac:dyDescent="0.15">
      <c r="A771" s="10"/>
      <c r="B771" s="13"/>
      <c r="C771" s="13"/>
    </row>
    <row r="772" spans="1:3" ht="13" x14ac:dyDescent="0.15">
      <c r="A772" s="10"/>
      <c r="B772" s="13"/>
      <c r="C772" s="13"/>
    </row>
    <row r="773" spans="1:3" ht="13" x14ac:dyDescent="0.15">
      <c r="A773" s="10"/>
      <c r="B773" s="13"/>
      <c r="C773" s="13"/>
    </row>
    <row r="774" spans="1:3" ht="13" x14ac:dyDescent="0.15">
      <c r="A774" s="10"/>
      <c r="B774" s="13"/>
      <c r="C774" s="13"/>
    </row>
    <row r="775" spans="1:3" ht="13" x14ac:dyDescent="0.15">
      <c r="A775" s="10"/>
      <c r="B775" s="13"/>
      <c r="C775" s="13"/>
    </row>
    <row r="776" spans="1:3" ht="13" x14ac:dyDescent="0.15">
      <c r="A776" s="10"/>
      <c r="B776" s="13"/>
      <c r="C776" s="13"/>
    </row>
    <row r="777" spans="1:3" ht="13" x14ac:dyDescent="0.15">
      <c r="A777" s="10"/>
      <c r="B777" s="13"/>
      <c r="C777" s="13"/>
    </row>
    <row r="778" spans="1:3" ht="13" x14ac:dyDescent="0.15">
      <c r="A778" s="10"/>
      <c r="B778" s="13"/>
      <c r="C778" s="13"/>
    </row>
    <row r="779" spans="1:3" ht="13" x14ac:dyDescent="0.15">
      <c r="A779" s="10"/>
      <c r="B779" s="13"/>
      <c r="C779" s="13"/>
    </row>
    <row r="780" spans="1:3" ht="13" x14ac:dyDescent="0.15">
      <c r="A780" s="10"/>
      <c r="B780" s="13"/>
      <c r="C780" s="13"/>
    </row>
    <row r="781" spans="1:3" ht="13" x14ac:dyDescent="0.15">
      <c r="A781" s="10"/>
      <c r="B781" s="13"/>
      <c r="C781" s="13"/>
    </row>
    <row r="782" spans="1:3" ht="13" x14ac:dyDescent="0.15">
      <c r="A782" s="10"/>
      <c r="B782" s="13"/>
      <c r="C782" s="13"/>
    </row>
    <row r="783" spans="1:3" ht="13" x14ac:dyDescent="0.15">
      <c r="A783" s="10"/>
      <c r="B783" s="13"/>
      <c r="C783" s="13"/>
    </row>
    <row r="784" spans="1:3" ht="13" x14ac:dyDescent="0.15">
      <c r="A784" s="10"/>
      <c r="B784" s="13"/>
      <c r="C784" s="13"/>
    </row>
    <row r="785" spans="1:3" ht="13" x14ac:dyDescent="0.15">
      <c r="A785" s="10"/>
      <c r="B785" s="13"/>
      <c r="C785" s="13"/>
    </row>
    <row r="786" spans="1:3" ht="13" x14ac:dyDescent="0.15">
      <c r="A786" s="10"/>
      <c r="B786" s="13"/>
      <c r="C786" s="13"/>
    </row>
    <row r="787" spans="1:3" ht="13" x14ac:dyDescent="0.15">
      <c r="A787" s="10"/>
      <c r="B787" s="13"/>
      <c r="C787" s="13"/>
    </row>
    <row r="788" spans="1:3" ht="13" x14ac:dyDescent="0.15">
      <c r="A788" s="10"/>
      <c r="B788" s="13"/>
      <c r="C788" s="13"/>
    </row>
    <row r="789" spans="1:3" ht="13" x14ac:dyDescent="0.15">
      <c r="A789" s="10"/>
      <c r="B789" s="13"/>
      <c r="C789" s="13"/>
    </row>
    <row r="790" spans="1:3" ht="13" x14ac:dyDescent="0.15">
      <c r="A790" s="10"/>
      <c r="B790" s="13"/>
      <c r="C790" s="13"/>
    </row>
    <row r="791" spans="1:3" ht="13" x14ac:dyDescent="0.15">
      <c r="A791" s="10"/>
      <c r="B791" s="13"/>
      <c r="C791" s="13"/>
    </row>
    <row r="792" spans="1:3" ht="13" x14ac:dyDescent="0.15">
      <c r="A792" s="10"/>
      <c r="B792" s="13"/>
      <c r="C792" s="13"/>
    </row>
    <row r="793" spans="1:3" ht="13" x14ac:dyDescent="0.15">
      <c r="A793" s="10"/>
      <c r="B793" s="13"/>
      <c r="C793" s="13"/>
    </row>
    <row r="794" spans="1:3" ht="13" x14ac:dyDescent="0.15">
      <c r="A794" s="10"/>
      <c r="B794" s="13"/>
      <c r="C794" s="13"/>
    </row>
    <row r="795" spans="1:3" ht="13" x14ac:dyDescent="0.15">
      <c r="A795" s="10"/>
      <c r="B795" s="13"/>
      <c r="C795" s="13"/>
    </row>
    <row r="796" spans="1:3" ht="13" x14ac:dyDescent="0.15">
      <c r="A796" s="10"/>
      <c r="B796" s="13"/>
      <c r="C796" s="13"/>
    </row>
    <row r="797" spans="1:3" ht="13" x14ac:dyDescent="0.15">
      <c r="A797" s="10"/>
      <c r="B797" s="13"/>
      <c r="C797" s="13"/>
    </row>
    <row r="798" spans="1:3" ht="13" x14ac:dyDescent="0.15">
      <c r="A798" s="10"/>
      <c r="B798" s="13"/>
      <c r="C798" s="13"/>
    </row>
    <row r="799" spans="1:3" ht="13" x14ac:dyDescent="0.15">
      <c r="A799" s="10"/>
      <c r="B799" s="13"/>
      <c r="C799" s="13"/>
    </row>
    <row r="800" spans="1:3" ht="13" x14ac:dyDescent="0.15">
      <c r="A800" s="10"/>
      <c r="B800" s="13"/>
      <c r="C800" s="13"/>
    </row>
    <row r="801" spans="1:3" ht="13" x14ac:dyDescent="0.15">
      <c r="A801" s="10"/>
      <c r="B801" s="13"/>
      <c r="C801" s="13"/>
    </row>
    <row r="802" spans="1:3" ht="13" x14ac:dyDescent="0.15">
      <c r="A802" s="10"/>
      <c r="B802" s="13"/>
      <c r="C802" s="13"/>
    </row>
    <row r="803" spans="1:3" ht="13" x14ac:dyDescent="0.15">
      <c r="A803" s="10"/>
      <c r="B803" s="13"/>
      <c r="C803" s="13"/>
    </row>
    <row r="804" spans="1:3" ht="13" x14ac:dyDescent="0.15">
      <c r="A804" s="10"/>
      <c r="B804" s="13"/>
      <c r="C804" s="13"/>
    </row>
    <row r="805" spans="1:3" ht="13" x14ac:dyDescent="0.15">
      <c r="A805" s="10"/>
      <c r="B805" s="13"/>
      <c r="C805" s="13"/>
    </row>
    <row r="806" spans="1:3" ht="13" x14ac:dyDescent="0.15">
      <c r="A806" s="10"/>
      <c r="B806" s="13"/>
      <c r="C806" s="13"/>
    </row>
    <row r="807" spans="1:3" ht="13" x14ac:dyDescent="0.15">
      <c r="A807" s="10"/>
      <c r="B807" s="13"/>
      <c r="C807" s="13"/>
    </row>
    <row r="808" spans="1:3" ht="13" x14ac:dyDescent="0.15">
      <c r="A808" s="10"/>
      <c r="B808" s="13"/>
      <c r="C808" s="13"/>
    </row>
    <row r="809" spans="1:3" ht="13" x14ac:dyDescent="0.15">
      <c r="A809" s="10"/>
      <c r="B809" s="13"/>
      <c r="C809" s="13"/>
    </row>
    <row r="810" spans="1:3" ht="13" x14ac:dyDescent="0.15">
      <c r="A810" s="10"/>
      <c r="B810" s="13"/>
      <c r="C810" s="13"/>
    </row>
    <row r="811" spans="1:3" ht="13" x14ac:dyDescent="0.15">
      <c r="A811" s="10"/>
      <c r="B811" s="13"/>
      <c r="C811" s="13"/>
    </row>
    <row r="812" spans="1:3" ht="13" x14ac:dyDescent="0.15">
      <c r="A812" s="10"/>
      <c r="B812" s="13"/>
      <c r="C812" s="13"/>
    </row>
    <row r="813" spans="1:3" ht="13" x14ac:dyDescent="0.15">
      <c r="A813" s="10"/>
      <c r="B813" s="13"/>
      <c r="C813" s="13"/>
    </row>
    <row r="814" spans="1:3" ht="13" x14ac:dyDescent="0.15">
      <c r="A814" s="10"/>
      <c r="B814" s="13"/>
      <c r="C814" s="13"/>
    </row>
    <row r="815" spans="1:3" ht="13" x14ac:dyDescent="0.15">
      <c r="A815" s="10"/>
      <c r="B815" s="13"/>
      <c r="C815" s="13"/>
    </row>
    <row r="816" spans="1:3" ht="13" x14ac:dyDescent="0.15">
      <c r="A816" s="10"/>
      <c r="B816" s="13"/>
      <c r="C816" s="13"/>
    </row>
    <row r="817" spans="1:3" ht="13" x14ac:dyDescent="0.15">
      <c r="A817" s="10"/>
      <c r="B817" s="13"/>
      <c r="C817" s="13"/>
    </row>
    <row r="818" spans="1:3" ht="13" x14ac:dyDescent="0.15">
      <c r="A818" s="10"/>
      <c r="B818" s="13"/>
      <c r="C818" s="13"/>
    </row>
    <row r="819" spans="1:3" ht="13" x14ac:dyDescent="0.15">
      <c r="A819" s="10"/>
      <c r="B819" s="13"/>
      <c r="C819" s="13"/>
    </row>
    <row r="820" spans="1:3" ht="13" x14ac:dyDescent="0.15">
      <c r="A820" s="10"/>
      <c r="B820" s="13"/>
      <c r="C820" s="13"/>
    </row>
    <row r="821" spans="1:3" ht="13" x14ac:dyDescent="0.15">
      <c r="A821" s="10"/>
      <c r="B821" s="13"/>
      <c r="C821" s="13"/>
    </row>
    <row r="822" spans="1:3" ht="13" x14ac:dyDescent="0.15">
      <c r="A822" s="10"/>
      <c r="B822" s="13"/>
      <c r="C822" s="13"/>
    </row>
    <row r="823" spans="1:3" ht="13" x14ac:dyDescent="0.15">
      <c r="A823" s="10"/>
      <c r="B823" s="13"/>
      <c r="C823" s="13"/>
    </row>
    <row r="824" spans="1:3" ht="13" x14ac:dyDescent="0.15">
      <c r="A824" s="10"/>
      <c r="B824" s="13"/>
      <c r="C824" s="13"/>
    </row>
    <row r="825" spans="1:3" ht="13" x14ac:dyDescent="0.15">
      <c r="A825" s="10"/>
      <c r="B825" s="13"/>
      <c r="C825" s="13"/>
    </row>
    <row r="826" spans="1:3" ht="13" x14ac:dyDescent="0.15">
      <c r="A826" s="10"/>
      <c r="B826" s="13"/>
      <c r="C826" s="13"/>
    </row>
    <row r="827" spans="1:3" ht="13" x14ac:dyDescent="0.15">
      <c r="A827" s="10"/>
      <c r="B827" s="13"/>
      <c r="C827" s="13"/>
    </row>
    <row r="828" spans="1:3" ht="13" x14ac:dyDescent="0.15">
      <c r="A828" s="10"/>
      <c r="B828" s="13"/>
      <c r="C828" s="13"/>
    </row>
    <row r="829" spans="1:3" ht="13" x14ac:dyDescent="0.15">
      <c r="A829" s="10"/>
      <c r="B829" s="13"/>
      <c r="C829" s="13"/>
    </row>
    <row r="830" spans="1:3" ht="13" x14ac:dyDescent="0.15">
      <c r="A830" s="10"/>
      <c r="B830" s="13"/>
      <c r="C830" s="13"/>
    </row>
    <row r="831" spans="1:3" ht="13" x14ac:dyDescent="0.15">
      <c r="A831" s="10"/>
      <c r="B831" s="13"/>
      <c r="C831" s="13"/>
    </row>
    <row r="832" spans="1:3" ht="13" x14ac:dyDescent="0.15">
      <c r="A832" s="10"/>
      <c r="B832" s="13"/>
      <c r="C832" s="13"/>
    </row>
    <row r="833" spans="1:3" ht="13" x14ac:dyDescent="0.15">
      <c r="A833" s="10"/>
      <c r="B833" s="13"/>
      <c r="C833" s="13"/>
    </row>
    <row r="834" spans="1:3" ht="13" x14ac:dyDescent="0.15">
      <c r="A834" s="10"/>
      <c r="B834" s="13"/>
      <c r="C834" s="13"/>
    </row>
    <row r="835" spans="1:3" ht="13" x14ac:dyDescent="0.15">
      <c r="A835" s="10"/>
      <c r="B835" s="13"/>
      <c r="C835" s="13"/>
    </row>
    <row r="836" spans="1:3" ht="13" x14ac:dyDescent="0.15">
      <c r="A836" s="10"/>
      <c r="B836" s="13"/>
      <c r="C836" s="13"/>
    </row>
    <row r="837" spans="1:3" ht="13" x14ac:dyDescent="0.15">
      <c r="A837" s="10"/>
      <c r="B837" s="13"/>
      <c r="C837" s="13"/>
    </row>
    <row r="838" spans="1:3" ht="13" x14ac:dyDescent="0.15">
      <c r="A838" s="10"/>
      <c r="B838" s="13"/>
      <c r="C838" s="13"/>
    </row>
    <row r="839" spans="1:3" ht="13" x14ac:dyDescent="0.15">
      <c r="A839" s="10"/>
      <c r="B839" s="13"/>
      <c r="C839" s="13"/>
    </row>
    <row r="840" spans="1:3" ht="13" x14ac:dyDescent="0.15">
      <c r="A840" s="10"/>
      <c r="B840" s="13"/>
      <c r="C840" s="13"/>
    </row>
    <row r="841" spans="1:3" ht="13" x14ac:dyDescent="0.15">
      <c r="A841" s="10"/>
      <c r="B841" s="13"/>
      <c r="C841" s="13"/>
    </row>
    <row r="842" spans="1:3" ht="13" x14ac:dyDescent="0.15">
      <c r="A842" s="10"/>
      <c r="B842" s="13"/>
      <c r="C842" s="13"/>
    </row>
    <row r="843" spans="1:3" ht="13" x14ac:dyDescent="0.15">
      <c r="A843" s="10"/>
      <c r="B843" s="13"/>
      <c r="C843" s="13"/>
    </row>
    <row r="844" spans="1:3" ht="13" x14ac:dyDescent="0.15">
      <c r="A844" s="10"/>
      <c r="B844" s="13"/>
      <c r="C844" s="13"/>
    </row>
    <row r="845" spans="1:3" ht="13" x14ac:dyDescent="0.15">
      <c r="A845" s="10"/>
      <c r="B845" s="13"/>
      <c r="C845" s="13"/>
    </row>
    <row r="846" spans="1:3" ht="13" x14ac:dyDescent="0.15">
      <c r="A846" s="10"/>
      <c r="B846" s="13"/>
      <c r="C846" s="13"/>
    </row>
    <row r="847" spans="1:3" ht="13" x14ac:dyDescent="0.15">
      <c r="A847" s="10"/>
      <c r="B847" s="13"/>
      <c r="C847" s="13"/>
    </row>
    <row r="848" spans="1:3" ht="13" x14ac:dyDescent="0.15">
      <c r="A848" s="10"/>
      <c r="B848" s="13"/>
      <c r="C848" s="13"/>
    </row>
    <row r="849" spans="1:3" ht="13" x14ac:dyDescent="0.15">
      <c r="A849" s="10"/>
      <c r="B849" s="13"/>
      <c r="C849" s="13"/>
    </row>
    <row r="850" spans="1:3" ht="13" x14ac:dyDescent="0.15">
      <c r="A850" s="10"/>
      <c r="B850" s="13"/>
      <c r="C850" s="13"/>
    </row>
    <row r="851" spans="1:3" ht="13" x14ac:dyDescent="0.15">
      <c r="A851" s="10"/>
      <c r="B851" s="13"/>
      <c r="C851" s="13"/>
    </row>
    <row r="852" spans="1:3" ht="13" x14ac:dyDescent="0.15">
      <c r="A852" s="10"/>
      <c r="B852" s="13"/>
      <c r="C852" s="13"/>
    </row>
    <row r="853" spans="1:3" ht="13" x14ac:dyDescent="0.15">
      <c r="A853" s="10"/>
      <c r="B853" s="13"/>
      <c r="C853" s="13"/>
    </row>
    <row r="854" spans="1:3" ht="13" x14ac:dyDescent="0.15">
      <c r="A854" s="10"/>
      <c r="B854" s="13"/>
      <c r="C854" s="13"/>
    </row>
    <row r="855" spans="1:3" ht="13" x14ac:dyDescent="0.15">
      <c r="A855" s="10"/>
      <c r="B855" s="13"/>
      <c r="C855" s="13"/>
    </row>
    <row r="856" spans="1:3" ht="13" x14ac:dyDescent="0.15">
      <c r="A856" s="10"/>
      <c r="B856" s="13"/>
      <c r="C856" s="13"/>
    </row>
    <row r="857" spans="1:3" ht="13" x14ac:dyDescent="0.15">
      <c r="A857" s="10"/>
      <c r="B857" s="13"/>
      <c r="C857" s="13"/>
    </row>
    <row r="858" spans="1:3" ht="13" x14ac:dyDescent="0.15">
      <c r="A858" s="10"/>
      <c r="B858" s="13"/>
      <c r="C858" s="13"/>
    </row>
    <row r="859" spans="1:3" ht="13" x14ac:dyDescent="0.15">
      <c r="A859" s="10"/>
      <c r="B859" s="13"/>
      <c r="C859" s="13"/>
    </row>
    <row r="860" spans="1:3" ht="13" x14ac:dyDescent="0.15">
      <c r="A860" s="10"/>
      <c r="B860" s="13"/>
      <c r="C860" s="13"/>
    </row>
    <row r="861" spans="1:3" ht="13" x14ac:dyDescent="0.15">
      <c r="A861" s="10"/>
      <c r="B861" s="13"/>
      <c r="C861" s="13"/>
    </row>
    <row r="862" spans="1:3" ht="13" x14ac:dyDescent="0.15">
      <c r="A862" s="10"/>
      <c r="B862" s="13"/>
      <c r="C862" s="13"/>
    </row>
    <row r="863" spans="1:3" ht="13" x14ac:dyDescent="0.15">
      <c r="A863" s="10"/>
      <c r="B863" s="13"/>
      <c r="C863" s="13"/>
    </row>
    <row r="864" spans="1:3" ht="13" x14ac:dyDescent="0.15">
      <c r="A864" s="10"/>
      <c r="B864" s="13"/>
      <c r="C864" s="13"/>
    </row>
    <row r="865" spans="1:3" ht="13" x14ac:dyDescent="0.15">
      <c r="A865" s="10"/>
      <c r="B865" s="13"/>
      <c r="C865" s="13"/>
    </row>
    <row r="866" spans="1:3" ht="13" x14ac:dyDescent="0.15">
      <c r="A866" s="10"/>
      <c r="B866" s="13"/>
      <c r="C866" s="13"/>
    </row>
    <row r="867" spans="1:3" ht="13" x14ac:dyDescent="0.15">
      <c r="A867" s="10"/>
      <c r="B867" s="13"/>
      <c r="C867" s="13"/>
    </row>
    <row r="868" spans="1:3" ht="13" x14ac:dyDescent="0.15">
      <c r="A868" s="10"/>
      <c r="B868" s="13"/>
      <c r="C868" s="13"/>
    </row>
    <row r="869" spans="1:3" ht="13" x14ac:dyDescent="0.15">
      <c r="A869" s="10"/>
      <c r="B869" s="13"/>
      <c r="C869" s="13"/>
    </row>
    <row r="870" spans="1:3" ht="13" x14ac:dyDescent="0.15">
      <c r="A870" s="10"/>
      <c r="B870" s="13"/>
      <c r="C870" s="13"/>
    </row>
    <row r="871" spans="1:3" ht="13" x14ac:dyDescent="0.15">
      <c r="A871" s="10"/>
      <c r="B871" s="13"/>
      <c r="C871" s="13"/>
    </row>
    <row r="872" spans="1:3" ht="13" x14ac:dyDescent="0.15">
      <c r="A872" s="10"/>
      <c r="B872" s="13"/>
      <c r="C872" s="13"/>
    </row>
    <row r="873" spans="1:3" ht="13" x14ac:dyDescent="0.15">
      <c r="A873" s="10"/>
      <c r="B873" s="13"/>
      <c r="C873" s="13"/>
    </row>
    <row r="874" spans="1:3" ht="13" x14ac:dyDescent="0.15">
      <c r="A874" s="10"/>
      <c r="B874" s="13"/>
      <c r="C874" s="13"/>
    </row>
    <row r="875" spans="1:3" ht="13" x14ac:dyDescent="0.15">
      <c r="A875" s="10"/>
      <c r="B875" s="13"/>
      <c r="C875" s="13"/>
    </row>
    <row r="876" spans="1:3" ht="13" x14ac:dyDescent="0.15">
      <c r="A876" s="10"/>
      <c r="B876" s="13"/>
      <c r="C876" s="13"/>
    </row>
    <row r="877" spans="1:3" ht="13" x14ac:dyDescent="0.15">
      <c r="A877" s="10"/>
      <c r="B877" s="13"/>
      <c r="C877" s="13"/>
    </row>
    <row r="878" spans="1:3" ht="13" x14ac:dyDescent="0.15">
      <c r="A878" s="10"/>
      <c r="B878" s="13"/>
      <c r="C878" s="13"/>
    </row>
    <row r="879" spans="1:3" ht="13" x14ac:dyDescent="0.15">
      <c r="A879" s="10"/>
      <c r="B879" s="13"/>
      <c r="C879" s="13"/>
    </row>
    <row r="880" spans="1:3" ht="13" x14ac:dyDescent="0.15">
      <c r="A880" s="10"/>
      <c r="B880" s="13"/>
      <c r="C880" s="13"/>
    </row>
    <row r="881" spans="1:3" ht="13" x14ac:dyDescent="0.15">
      <c r="A881" s="10"/>
      <c r="B881" s="13"/>
      <c r="C881" s="13"/>
    </row>
    <row r="882" spans="1:3" ht="13" x14ac:dyDescent="0.15">
      <c r="A882" s="10"/>
      <c r="B882" s="13"/>
      <c r="C882" s="13"/>
    </row>
    <row r="883" spans="1:3" ht="13" x14ac:dyDescent="0.15">
      <c r="A883" s="10"/>
      <c r="B883" s="13"/>
      <c r="C883" s="13"/>
    </row>
    <row r="884" spans="1:3" ht="13" x14ac:dyDescent="0.15">
      <c r="A884" s="10"/>
      <c r="B884" s="13"/>
      <c r="C884" s="13"/>
    </row>
    <row r="885" spans="1:3" ht="13" x14ac:dyDescent="0.15">
      <c r="A885" s="10"/>
      <c r="B885" s="13"/>
      <c r="C885" s="13"/>
    </row>
    <row r="886" spans="1:3" ht="13" x14ac:dyDescent="0.15">
      <c r="A886" s="10"/>
      <c r="B886" s="13"/>
      <c r="C886" s="13"/>
    </row>
    <row r="887" spans="1:3" ht="13" x14ac:dyDescent="0.15">
      <c r="A887" s="10"/>
      <c r="B887" s="13"/>
      <c r="C887" s="13"/>
    </row>
    <row r="888" spans="1:3" ht="13" x14ac:dyDescent="0.15">
      <c r="A888" s="10"/>
      <c r="B888" s="13"/>
      <c r="C888" s="13"/>
    </row>
    <row r="889" spans="1:3" ht="13" x14ac:dyDescent="0.15">
      <c r="A889" s="10"/>
      <c r="B889" s="13"/>
      <c r="C889" s="13"/>
    </row>
    <row r="890" spans="1:3" ht="13" x14ac:dyDescent="0.15">
      <c r="A890" s="10"/>
      <c r="B890" s="13"/>
      <c r="C890" s="13"/>
    </row>
    <row r="891" spans="1:3" ht="13" x14ac:dyDescent="0.15">
      <c r="A891" s="10"/>
      <c r="B891" s="13"/>
      <c r="C891" s="13"/>
    </row>
    <row r="892" spans="1:3" ht="13" x14ac:dyDescent="0.15">
      <c r="A892" s="10"/>
      <c r="B892" s="13"/>
      <c r="C892" s="13"/>
    </row>
    <row r="893" spans="1:3" ht="13" x14ac:dyDescent="0.15">
      <c r="A893" s="10"/>
      <c r="B893" s="13"/>
      <c r="C893" s="13"/>
    </row>
    <row r="894" spans="1:3" ht="13" x14ac:dyDescent="0.15">
      <c r="A894" s="10"/>
      <c r="B894" s="13"/>
      <c r="C894" s="13"/>
    </row>
    <row r="895" spans="1:3" ht="13" x14ac:dyDescent="0.15">
      <c r="A895" s="10"/>
      <c r="B895" s="13"/>
      <c r="C895" s="13"/>
    </row>
    <row r="896" spans="1:3" ht="13" x14ac:dyDescent="0.15">
      <c r="A896" s="10"/>
      <c r="B896" s="13"/>
      <c r="C896" s="13"/>
    </row>
    <row r="897" spans="1:3" ht="13" x14ac:dyDescent="0.15">
      <c r="A897" s="10"/>
      <c r="B897" s="13"/>
      <c r="C897" s="13"/>
    </row>
    <row r="898" spans="1:3" ht="13" x14ac:dyDescent="0.15">
      <c r="A898" s="10"/>
      <c r="B898" s="13"/>
      <c r="C898" s="13"/>
    </row>
    <row r="899" spans="1:3" ht="13" x14ac:dyDescent="0.15">
      <c r="A899" s="10"/>
      <c r="B899" s="13"/>
      <c r="C899" s="13"/>
    </row>
    <row r="900" spans="1:3" ht="13" x14ac:dyDescent="0.15">
      <c r="A900" s="10"/>
      <c r="B900" s="13"/>
      <c r="C900" s="13"/>
    </row>
    <row r="901" spans="1:3" ht="13" x14ac:dyDescent="0.15">
      <c r="A901" s="10"/>
      <c r="B901" s="13"/>
      <c r="C901" s="13"/>
    </row>
    <row r="902" spans="1:3" ht="13" x14ac:dyDescent="0.15">
      <c r="A902" s="10"/>
      <c r="B902" s="13"/>
      <c r="C902" s="13"/>
    </row>
    <row r="903" spans="1:3" ht="13" x14ac:dyDescent="0.15">
      <c r="A903" s="10"/>
      <c r="B903" s="13"/>
      <c r="C903" s="13"/>
    </row>
    <row r="904" spans="1:3" ht="13" x14ac:dyDescent="0.15">
      <c r="A904" s="10"/>
      <c r="B904" s="13"/>
      <c r="C904" s="13"/>
    </row>
    <row r="905" spans="1:3" ht="13" x14ac:dyDescent="0.15">
      <c r="A905" s="10"/>
      <c r="B905" s="13"/>
      <c r="C905" s="13"/>
    </row>
    <row r="906" spans="1:3" ht="13" x14ac:dyDescent="0.15">
      <c r="A906" s="10"/>
      <c r="B906" s="13"/>
      <c r="C906" s="13"/>
    </row>
    <row r="907" spans="1:3" ht="13" x14ac:dyDescent="0.15">
      <c r="A907" s="10"/>
      <c r="B907" s="13"/>
      <c r="C907" s="13"/>
    </row>
    <row r="908" spans="1:3" ht="13" x14ac:dyDescent="0.15">
      <c r="A908" s="10"/>
      <c r="B908" s="13"/>
      <c r="C908" s="13"/>
    </row>
    <row r="909" spans="1:3" ht="13" x14ac:dyDescent="0.15">
      <c r="A909" s="10"/>
      <c r="B909" s="13"/>
      <c r="C909" s="13"/>
    </row>
    <row r="910" spans="1:3" ht="13" x14ac:dyDescent="0.15">
      <c r="A910" s="10"/>
      <c r="B910" s="13"/>
      <c r="C910" s="13"/>
    </row>
    <row r="911" spans="1:3" ht="13" x14ac:dyDescent="0.15">
      <c r="A911" s="10"/>
      <c r="B911" s="13"/>
      <c r="C911" s="13"/>
    </row>
    <row r="912" spans="1:3" ht="13" x14ac:dyDescent="0.15">
      <c r="A912" s="10"/>
      <c r="B912" s="13"/>
      <c r="C912" s="13"/>
    </row>
    <row r="913" spans="1:3" ht="13" x14ac:dyDescent="0.15">
      <c r="A913" s="10"/>
      <c r="B913" s="13"/>
      <c r="C913" s="13"/>
    </row>
    <row r="914" spans="1:3" ht="13" x14ac:dyDescent="0.15">
      <c r="A914" s="10"/>
      <c r="B914" s="13"/>
      <c r="C914" s="13"/>
    </row>
    <row r="915" spans="1:3" ht="13" x14ac:dyDescent="0.15">
      <c r="A915" s="10"/>
      <c r="B915" s="13"/>
      <c r="C915" s="13"/>
    </row>
    <row r="916" spans="1:3" ht="13" x14ac:dyDescent="0.15">
      <c r="A916" s="10"/>
      <c r="B916" s="13"/>
      <c r="C916" s="13"/>
    </row>
    <row r="917" spans="1:3" ht="13" x14ac:dyDescent="0.15">
      <c r="A917" s="10"/>
      <c r="B917" s="13"/>
      <c r="C917" s="13"/>
    </row>
    <row r="918" spans="1:3" ht="13" x14ac:dyDescent="0.15">
      <c r="A918" s="10"/>
      <c r="B918" s="13"/>
      <c r="C918" s="13"/>
    </row>
    <row r="919" spans="1:3" ht="13" x14ac:dyDescent="0.15">
      <c r="A919" s="10"/>
      <c r="B919" s="13"/>
      <c r="C919" s="13"/>
    </row>
    <row r="920" spans="1:3" ht="13" x14ac:dyDescent="0.15">
      <c r="A920" s="10"/>
      <c r="B920" s="13"/>
      <c r="C920" s="13"/>
    </row>
    <row r="921" spans="1:3" ht="13" x14ac:dyDescent="0.15">
      <c r="A921" s="10"/>
      <c r="B921" s="13"/>
      <c r="C921" s="13"/>
    </row>
    <row r="922" spans="1:3" ht="13" x14ac:dyDescent="0.15">
      <c r="A922" s="10"/>
      <c r="B922" s="13"/>
      <c r="C922" s="13"/>
    </row>
    <row r="923" spans="1:3" ht="13" x14ac:dyDescent="0.15">
      <c r="A923" s="10"/>
      <c r="B923" s="13"/>
      <c r="C923" s="13"/>
    </row>
    <row r="924" spans="1:3" ht="13" x14ac:dyDescent="0.15">
      <c r="A924" s="10"/>
      <c r="B924" s="13"/>
      <c r="C924" s="13"/>
    </row>
    <row r="925" spans="1:3" ht="13" x14ac:dyDescent="0.15">
      <c r="A925" s="10"/>
      <c r="B925" s="13"/>
      <c r="C925" s="13"/>
    </row>
    <row r="926" spans="1:3" ht="13" x14ac:dyDescent="0.15">
      <c r="A926" s="10"/>
      <c r="B926" s="13"/>
      <c r="C926" s="13"/>
    </row>
    <row r="927" spans="1:3" ht="13" x14ac:dyDescent="0.15">
      <c r="A927" s="10"/>
      <c r="B927" s="13"/>
      <c r="C927" s="13"/>
    </row>
    <row r="928" spans="1:3" ht="13" x14ac:dyDescent="0.15">
      <c r="A928" s="10"/>
      <c r="B928" s="13"/>
      <c r="C928" s="13"/>
    </row>
    <row r="929" spans="1:3" ht="13" x14ac:dyDescent="0.15">
      <c r="A929" s="10"/>
      <c r="B929" s="13"/>
      <c r="C929" s="13"/>
    </row>
    <row r="930" spans="1:3" ht="13" x14ac:dyDescent="0.15">
      <c r="A930" s="10"/>
      <c r="B930" s="13"/>
      <c r="C930" s="13"/>
    </row>
    <row r="931" spans="1:3" ht="13" x14ac:dyDescent="0.15">
      <c r="A931" s="10"/>
      <c r="B931" s="13"/>
      <c r="C931" s="13"/>
    </row>
    <row r="932" spans="1:3" ht="13" x14ac:dyDescent="0.15">
      <c r="A932" s="10"/>
      <c r="B932" s="13"/>
      <c r="C932" s="13"/>
    </row>
    <row r="933" spans="1:3" ht="13" x14ac:dyDescent="0.15">
      <c r="A933" s="10"/>
      <c r="B933" s="13"/>
      <c r="C933" s="13"/>
    </row>
    <row r="934" spans="1:3" ht="13" x14ac:dyDescent="0.15">
      <c r="A934" s="10"/>
      <c r="B934" s="13"/>
      <c r="C934" s="13"/>
    </row>
    <row r="935" spans="1:3" ht="13" x14ac:dyDescent="0.15">
      <c r="A935" s="10"/>
      <c r="B935" s="13"/>
      <c r="C935" s="13"/>
    </row>
    <row r="936" spans="1:3" ht="13" x14ac:dyDescent="0.15">
      <c r="A936" s="10"/>
      <c r="B936" s="13"/>
      <c r="C936" s="13"/>
    </row>
    <row r="937" spans="1:3" ht="13" x14ac:dyDescent="0.15">
      <c r="A937" s="10"/>
      <c r="B937" s="13"/>
      <c r="C937" s="13"/>
    </row>
    <row r="938" spans="1:3" ht="13" x14ac:dyDescent="0.15">
      <c r="A938" s="10"/>
      <c r="B938" s="13"/>
      <c r="C938" s="13"/>
    </row>
    <row r="939" spans="1:3" ht="13" x14ac:dyDescent="0.15">
      <c r="A939" s="10"/>
      <c r="B939" s="13"/>
      <c r="C939" s="13"/>
    </row>
    <row r="940" spans="1:3" ht="13" x14ac:dyDescent="0.15">
      <c r="A940" s="10"/>
      <c r="B940" s="13"/>
      <c r="C940" s="13"/>
    </row>
    <row r="941" spans="1:3" ht="13" x14ac:dyDescent="0.15">
      <c r="A941" s="10"/>
      <c r="B941" s="13"/>
      <c r="C941" s="13"/>
    </row>
    <row r="942" spans="1:3" ht="13" x14ac:dyDescent="0.15">
      <c r="A942" s="10"/>
      <c r="B942" s="13"/>
      <c r="C942" s="13"/>
    </row>
    <row r="943" spans="1:3" ht="13" x14ac:dyDescent="0.15">
      <c r="A943" s="10"/>
      <c r="B943" s="13"/>
      <c r="C943" s="13"/>
    </row>
    <row r="944" spans="1:3" ht="13" x14ac:dyDescent="0.15">
      <c r="A944" s="10"/>
      <c r="B944" s="13"/>
      <c r="C944" s="13"/>
    </row>
    <row r="945" spans="1:3" ht="13" x14ac:dyDescent="0.15">
      <c r="A945" s="10"/>
      <c r="B945" s="13"/>
      <c r="C945" s="13"/>
    </row>
    <row r="946" spans="1:3" ht="13" x14ac:dyDescent="0.15">
      <c r="A946" s="10"/>
      <c r="B946" s="13"/>
      <c r="C946" s="13"/>
    </row>
    <row r="947" spans="1:3" ht="13" x14ac:dyDescent="0.15">
      <c r="A947" s="10"/>
      <c r="B947" s="13"/>
      <c r="C947" s="13"/>
    </row>
    <row r="948" spans="1:3" ht="13" x14ac:dyDescent="0.15">
      <c r="A948" s="10"/>
      <c r="B948" s="13"/>
      <c r="C948" s="13"/>
    </row>
    <row r="949" spans="1:3" ht="13" x14ac:dyDescent="0.15">
      <c r="A949" s="10"/>
      <c r="B949" s="13"/>
      <c r="C949" s="13"/>
    </row>
    <row r="950" spans="1:3" ht="13" x14ac:dyDescent="0.15">
      <c r="A950" s="10"/>
      <c r="B950" s="13"/>
      <c r="C950" s="13"/>
    </row>
    <row r="951" spans="1:3" ht="13" x14ac:dyDescent="0.15">
      <c r="A951" s="10"/>
      <c r="B951" s="13"/>
      <c r="C951" s="13"/>
    </row>
    <row r="952" spans="1:3" ht="13" x14ac:dyDescent="0.15">
      <c r="A952" s="10"/>
      <c r="B952" s="13"/>
      <c r="C952" s="13"/>
    </row>
    <row r="953" spans="1:3" ht="13" x14ac:dyDescent="0.15">
      <c r="A953" s="10"/>
      <c r="B953" s="13"/>
      <c r="C953" s="13"/>
    </row>
    <row r="954" spans="1:3" ht="13" x14ac:dyDescent="0.15">
      <c r="A954" s="10"/>
      <c r="B954" s="13"/>
      <c r="C954" s="13"/>
    </row>
    <row r="955" spans="1:3" ht="13" x14ac:dyDescent="0.15">
      <c r="A955" s="10"/>
      <c r="B955" s="13"/>
      <c r="C955" s="13"/>
    </row>
    <row r="956" spans="1:3" ht="13" x14ac:dyDescent="0.15">
      <c r="A956" s="10"/>
      <c r="B956" s="13"/>
      <c r="C956" s="13"/>
    </row>
    <row r="957" spans="1:3" ht="13" x14ac:dyDescent="0.15">
      <c r="A957" s="10"/>
      <c r="B957" s="13"/>
      <c r="C957" s="13"/>
    </row>
    <row r="958" spans="1:3" ht="13" x14ac:dyDescent="0.15">
      <c r="A958" s="10"/>
      <c r="B958" s="13"/>
      <c r="C958" s="13"/>
    </row>
    <row r="959" spans="1:3" ht="13" x14ac:dyDescent="0.15">
      <c r="A959" s="10"/>
      <c r="B959" s="13"/>
      <c r="C959" s="13"/>
    </row>
    <row r="960" spans="1:3" ht="13" x14ac:dyDescent="0.15">
      <c r="A960" s="10"/>
      <c r="B960" s="13"/>
      <c r="C960" s="13"/>
    </row>
    <row r="961" spans="1:3" ht="13" x14ac:dyDescent="0.15">
      <c r="A961" s="10"/>
      <c r="B961" s="13"/>
      <c r="C961" s="13"/>
    </row>
    <row r="962" spans="1:3" ht="13" x14ac:dyDescent="0.15">
      <c r="A962" s="10"/>
      <c r="B962" s="13"/>
      <c r="C962" s="13"/>
    </row>
    <row r="963" spans="1:3" ht="13" x14ac:dyDescent="0.15">
      <c r="A963" s="10"/>
      <c r="B963" s="13"/>
      <c r="C963" s="13"/>
    </row>
    <row r="964" spans="1:3" ht="13" x14ac:dyDescent="0.15">
      <c r="A964" s="10"/>
      <c r="B964" s="13"/>
      <c r="C964" s="13"/>
    </row>
    <row r="965" spans="1:3" ht="13" x14ac:dyDescent="0.15">
      <c r="A965" s="10"/>
      <c r="B965" s="13"/>
      <c r="C965" s="13"/>
    </row>
    <row r="966" spans="1:3" ht="13" x14ac:dyDescent="0.15">
      <c r="A966" s="10"/>
      <c r="B966" s="13"/>
      <c r="C966" s="13"/>
    </row>
    <row r="967" spans="1:3" ht="13" x14ac:dyDescent="0.15">
      <c r="A967" s="10"/>
      <c r="B967" s="13"/>
      <c r="C967" s="13"/>
    </row>
    <row r="968" spans="1:3" ht="13" x14ac:dyDescent="0.15">
      <c r="A968" s="10"/>
      <c r="B968" s="13"/>
      <c r="C968" s="13"/>
    </row>
    <row r="969" spans="1:3" ht="13" x14ac:dyDescent="0.15">
      <c r="A969" s="10"/>
      <c r="B969" s="13"/>
      <c r="C969" s="13"/>
    </row>
    <row r="970" spans="1:3" ht="13" x14ac:dyDescent="0.15">
      <c r="A970" s="10"/>
      <c r="B970" s="13"/>
      <c r="C970" s="13"/>
    </row>
    <row r="971" spans="1:3" ht="13" x14ac:dyDescent="0.15">
      <c r="A971" s="10"/>
      <c r="B971" s="13"/>
      <c r="C971" s="13"/>
    </row>
    <row r="972" spans="1:3" ht="13" x14ac:dyDescent="0.15">
      <c r="A972" s="10"/>
      <c r="B972" s="13"/>
      <c r="C972" s="13"/>
    </row>
    <row r="973" spans="1:3" ht="13" x14ac:dyDescent="0.15">
      <c r="A973" s="10"/>
      <c r="B973" s="13"/>
      <c r="C973" s="13"/>
    </row>
    <row r="974" spans="1:3" ht="13" x14ac:dyDescent="0.15">
      <c r="A974" s="10"/>
      <c r="B974" s="13"/>
      <c r="C974" s="13"/>
    </row>
    <row r="975" spans="1:3" ht="13" x14ac:dyDescent="0.15">
      <c r="A975" s="10"/>
      <c r="B975" s="13"/>
      <c r="C975" s="13"/>
    </row>
    <row r="976" spans="1:3" ht="13" x14ac:dyDescent="0.15">
      <c r="A976" s="10"/>
      <c r="B976" s="13"/>
      <c r="C976" s="13"/>
    </row>
    <row r="977" spans="1:3" ht="13" x14ac:dyDescent="0.15">
      <c r="A977" s="10"/>
      <c r="B977" s="13"/>
      <c r="C977" s="13"/>
    </row>
    <row r="978" spans="1:3" ht="13" x14ac:dyDescent="0.15">
      <c r="A978" s="10"/>
      <c r="B978" s="13"/>
      <c r="C978" s="13"/>
    </row>
    <row r="979" spans="1:3" ht="13" x14ac:dyDescent="0.15">
      <c r="A979" s="10"/>
      <c r="B979" s="13"/>
      <c r="C979" s="13"/>
    </row>
    <row r="980" spans="1:3" ht="13" x14ac:dyDescent="0.15">
      <c r="A980" s="10"/>
      <c r="B980" s="13"/>
      <c r="C980" s="13"/>
    </row>
    <row r="981" spans="1:3" ht="13" x14ac:dyDescent="0.15">
      <c r="A981" s="10"/>
      <c r="B981" s="13"/>
      <c r="C981" s="13"/>
    </row>
    <row r="982" spans="1:3" ht="13" x14ac:dyDescent="0.15">
      <c r="A982" s="10"/>
      <c r="B982" s="13"/>
      <c r="C982" s="13"/>
    </row>
    <row r="983" spans="1:3" ht="13" x14ac:dyDescent="0.15">
      <c r="A983" s="10"/>
      <c r="B983" s="13"/>
      <c r="C983" s="13"/>
    </row>
    <row r="984" spans="1:3" ht="13" x14ac:dyDescent="0.15">
      <c r="A984" s="10"/>
      <c r="B984" s="13"/>
      <c r="C984" s="13"/>
    </row>
    <row r="985" spans="1:3" ht="13" x14ac:dyDescent="0.15">
      <c r="A985" s="10"/>
      <c r="B985" s="13"/>
      <c r="C985" s="13"/>
    </row>
    <row r="986" spans="1:3" ht="13" x14ac:dyDescent="0.15">
      <c r="A986" s="10"/>
      <c r="B986" s="13"/>
      <c r="C986" s="13"/>
    </row>
    <row r="987" spans="1:3" ht="13" x14ac:dyDescent="0.15">
      <c r="A987" s="10"/>
      <c r="B987" s="13"/>
      <c r="C987" s="13"/>
    </row>
    <row r="988" spans="1:3" ht="13" x14ac:dyDescent="0.15">
      <c r="A988" s="10"/>
      <c r="B988" s="13"/>
      <c r="C988" s="13"/>
    </row>
    <row r="989" spans="1:3" ht="13" x14ac:dyDescent="0.15">
      <c r="A989" s="10"/>
      <c r="B989" s="13"/>
      <c r="C989" s="13"/>
    </row>
    <row r="990" spans="1:3" ht="13" x14ac:dyDescent="0.15">
      <c r="A990" s="10"/>
      <c r="B990" s="13"/>
      <c r="C990" s="13"/>
    </row>
    <row r="991" spans="1:3" ht="13" x14ac:dyDescent="0.15">
      <c r="A991" s="10"/>
      <c r="B991" s="13"/>
      <c r="C991" s="13"/>
    </row>
    <row r="992" spans="1:3" ht="13" x14ac:dyDescent="0.15">
      <c r="A992" s="10"/>
      <c r="B992" s="13"/>
      <c r="C992" s="13"/>
    </row>
    <row r="993" spans="1:3" ht="13" x14ac:dyDescent="0.15">
      <c r="A993" s="10"/>
      <c r="B993" s="13"/>
      <c r="C993" s="13"/>
    </row>
    <row r="994" spans="1:3" ht="13" x14ac:dyDescent="0.15">
      <c r="A994" s="10"/>
      <c r="B994" s="13"/>
      <c r="C994" s="13"/>
    </row>
    <row r="995" spans="1:3" ht="13" x14ac:dyDescent="0.15">
      <c r="A995" s="10"/>
      <c r="B995" s="13"/>
      <c r="C995" s="13"/>
    </row>
    <row r="996" spans="1:3" ht="13" x14ac:dyDescent="0.15">
      <c r="A996" s="10"/>
      <c r="B996" s="13"/>
      <c r="C996" s="13"/>
    </row>
    <row r="997" spans="1:3" ht="13" x14ac:dyDescent="0.15">
      <c r="A997" s="10"/>
      <c r="B997" s="13"/>
      <c r="C997" s="13"/>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Z997"/>
  <sheetViews>
    <sheetView workbookViewId="0"/>
  </sheetViews>
  <sheetFormatPr baseColWidth="10" defaultColWidth="12.6640625" defaultRowHeight="15.75" customHeight="1" x14ac:dyDescent="0.15"/>
  <cols>
    <col min="1" max="1" width="71.5" customWidth="1"/>
    <col min="2" max="4" width="37.6640625" customWidth="1"/>
  </cols>
  <sheetData>
    <row r="1" spans="1:26" x14ac:dyDescent="0.2">
      <c r="A1" s="11"/>
      <c r="B1" s="21" t="str">
        <f ca="1">IFERROR(__xludf.DUMMYFUNCTION("IMPORTRANGE(""https://docs.google.com/spreadsheets/d/1Eq2M_a4_TeZImjU1FJcBSaIp6Xib8-RIHm3cQ24mbRI"", ""A2!B1:B22"")"),"Zachary Edwards")</f>
        <v>Zachary Edwards</v>
      </c>
      <c r="C1" s="22" t="str">
        <f ca="1">IFERROR(__xludf.DUMMYFUNCTION("IMPORTRANGE(""https://docs.google.com/spreadsheets/u/0/d/1etLQb97lMSNWG4ebq9e4mMf5V6Y_IPpBxMswZpIG47E"", ""A2!B1:B22"")"),"Erin Loudermilk")</f>
        <v>Erin Loudermilk</v>
      </c>
      <c r="D1" s="12" t="s">
        <v>1</v>
      </c>
      <c r="E1" s="13"/>
      <c r="F1" s="13"/>
      <c r="G1" s="13"/>
      <c r="H1" s="13"/>
      <c r="I1" s="13"/>
      <c r="J1" s="13"/>
      <c r="K1" s="13"/>
      <c r="L1" s="13"/>
      <c r="M1" s="13"/>
      <c r="N1" s="13"/>
      <c r="O1" s="13"/>
      <c r="P1" s="13"/>
      <c r="Q1" s="13"/>
      <c r="R1" s="13"/>
      <c r="S1" s="13"/>
      <c r="T1" s="13"/>
      <c r="U1" s="13"/>
      <c r="V1" s="13"/>
      <c r="W1" s="13"/>
      <c r="X1" s="13"/>
      <c r="Y1" s="13"/>
      <c r="Z1" s="13"/>
    </row>
    <row r="2" spans="1:26" ht="15.75" customHeight="1" x14ac:dyDescent="0.15">
      <c r="A2" s="14" t="s">
        <v>2</v>
      </c>
      <c r="B2" s="15" t="str">
        <f ca="1">IFERROR(__xludf.DUMMYFUNCTION("""COMPUTED_VALUE"""),"Start: 1426 End: 1713  
FOR ")</f>
        <v xml:space="preserve">Start: 1426 End: 1713  
FOR </v>
      </c>
      <c r="C2" s="15" t="str">
        <f ca="1">IFERROR(__xludf.DUMMYFUNCTION("""COMPUTED_VALUE"""),"1426 to 1713 (Forward)")</f>
        <v>1426 to 1713 (Forward)</v>
      </c>
      <c r="D2" s="15"/>
      <c r="E2" s="13"/>
      <c r="F2" s="13"/>
      <c r="G2" s="13"/>
      <c r="H2" s="13"/>
      <c r="I2" s="13"/>
      <c r="J2" s="13"/>
      <c r="K2" s="13"/>
      <c r="L2" s="13"/>
      <c r="M2" s="13"/>
      <c r="N2" s="13"/>
      <c r="O2" s="13"/>
      <c r="P2" s="13"/>
      <c r="Q2" s="13"/>
      <c r="R2" s="13"/>
      <c r="S2" s="13"/>
      <c r="T2" s="13"/>
      <c r="U2" s="13"/>
      <c r="V2" s="13"/>
      <c r="W2" s="13"/>
      <c r="X2" s="13"/>
      <c r="Y2" s="13"/>
      <c r="Z2" s="13"/>
    </row>
    <row r="3" spans="1:26" ht="15.75" customHeight="1" x14ac:dyDescent="0.15">
      <c r="A3" s="16" t="s">
        <v>3</v>
      </c>
      <c r="B3" s="17" t="str">
        <f ca="1">IFERROR(__xludf.DUMMYFUNCTION("""COMPUTED_VALUE"""),"Gene 2 both")</f>
        <v>Gene 2 both</v>
      </c>
      <c r="C3" s="17" t="str">
        <f ca="1">IFERROR(__xludf.DUMMYFUNCTION("""COMPUTED_VALUE"""),"Gene 2 in DNA Master and Phamerator")</f>
        <v>Gene 2 in DNA Master and Phamerator</v>
      </c>
      <c r="D3" s="17"/>
      <c r="E3" s="13"/>
      <c r="F3" s="13"/>
      <c r="G3" s="13"/>
      <c r="H3" s="13"/>
      <c r="I3" s="13"/>
      <c r="J3" s="13"/>
      <c r="K3" s="13"/>
      <c r="L3" s="13"/>
      <c r="M3" s="13"/>
      <c r="N3" s="13"/>
      <c r="O3" s="13"/>
      <c r="P3" s="13"/>
      <c r="Q3" s="13"/>
      <c r="R3" s="13"/>
      <c r="S3" s="13"/>
      <c r="T3" s="13"/>
      <c r="U3" s="13"/>
      <c r="V3" s="13"/>
      <c r="W3" s="13"/>
      <c r="X3" s="13"/>
      <c r="Y3" s="13"/>
      <c r="Z3" s="13"/>
    </row>
    <row r="4" spans="1:26" ht="15.75" customHeight="1" x14ac:dyDescent="0.15">
      <c r="A4" s="16" t="s">
        <v>4</v>
      </c>
      <c r="B4" s="17" t="str">
        <f ca="1">IFERROR(__xludf.DUMMYFUNCTION("""COMPUTED_VALUE"""),"199630 2/26/25")</f>
        <v>199630 2/26/25</v>
      </c>
      <c r="C4" s="17" t="str">
        <f ca="1">IFERROR(__xludf.DUMMYFUNCTION("""COMPUTED_VALUE"""),"199630 2/28/25")</f>
        <v>199630 2/28/25</v>
      </c>
      <c r="D4" s="17"/>
      <c r="E4" s="13"/>
      <c r="F4" s="13"/>
      <c r="G4" s="13"/>
      <c r="H4" s="13"/>
      <c r="I4" s="13"/>
      <c r="J4" s="13"/>
      <c r="K4" s="13"/>
      <c r="L4" s="13"/>
      <c r="M4" s="13"/>
      <c r="N4" s="13"/>
      <c r="O4" s="13"/>
      <c r="P4" s="13"/>
      <c r="Q4" s="13"/>
      <c r="R4" s="13"/>
      <c r="S4" s="13"/>
      <c r="T4" s="13"/>
      <c r="U4" s="13"/>
      <c r="V4" s="13"/>
      <c r="W4" s="13"/>
      <c r="X4" s="13"/>
      <c r="Y4" s="13"/>
      <c r="Z4" s="13"/>
    </row>
    <row r="5" spans="1:26" ht="15.75" customHeight="1" x14ac:dyDescent="0.15">
      <c r="A5" s="16" t="s">
        <v>5</v>
      </c>
      <c r="B5" s="17" t="str">
        <f ca="1">IFERROR(__xludf.DUMMYFUNCTION("""COMPUTED_VALUE"""),"Kovu 3")</f>
        <v>Kovu 3</v>
      </c>
      <c r="C5" s="17" t="str">
        <f ca="1">IFERROR(__xludf.DUMMYFUNCTION("""COMPUTED_VALUE"""),"Kovu_3")</f>
        <v>Kovu_3</v>
      </c>
      <c r="D5" s="17"/>
      <c r="E5" s="13"/>
      <c r="F5" s="13"/>
      <c r="G5" s="13"/>
      <c r="H5" s="13"/>
      <c r="I5" s="13"/>
      <c r="J5" s="13"/>
      <c r="K5" s="13"/>
      <c r="L5" s="13"/>
      <c r="M5" s="13"/>
      <c r="N5" s="13"/>
      <c r="O5" s="13"/>
      <c r="P5" s="13"/>
      <c r="Q5" s="13"/>
      <c r="R5" s="13"/>
      <c r="S5" s="13"/>
      <c r="T5" s="13"/>
      <c r="U5" s="13"/>
      <c r="V5" s="13"/>
      <c r="W5" s="13"/>
      <c r="X5" s="13"/>
      <c r="Y5" s="13"/>
      <c r="Z5" s="13"/>
    </row>
    <row r="6" spans="1:26" ht="15.75" customHeight="1" x14ac:dyDescent="0.15">
      <c r="A6" s="16" t="s">
        <v>6</v>
      </c>
      <c r="B6" s="17" t="str">
        <f ca="1">IFERROR(__xludf.DUMMYFUNCTION("""COMPUTED_VALUE"""),"Both call it a gene and agree on start.")</f>
        <v>Both call it a gene and agree on start.</v>
      </c>
      <c r="C6" s="17" t="str">
        <f ca="1">IFERROR(__xludf.DUMMYFUNCTION("""COMPUTED_VALUE"""),"Both call gene and start")</f>
        <v>Both call gene and start</v>
      </c>
      <c r="D6" s="17"/>
      <c r="E6" s="13"/>
      <c r="F6" s="13"/>
      <c r="G6" s="13"/>
      <c r="H6" s="13"/>
      <c r="I6" s="13"/>
      <c r="J6" s="13"/>
      <c r="K6" s="13"/>
      <c r="L6" s="13"/>
      <c r="M6" s="13"/>
      <c r="N6" s="13"/>
      <c r="O6" s="13"/>
      <c r="P6" s="13"/>
      <c r="Q6" s="13"/>
      <c r="R6" s="13"/>
      <c r="S6" s="13"/>
      <c r="T6" s="13"/>
      <c r="U6" s="13"/>
      <c r="V6" s="13"/>
      <c r="W6" s="13"/>
      <c r="X6" s="13"/>
      <c r="Y6" s="13"/>
      <c r="Z6" s="13"/>
    </row>
    <row r="7" spans="1:26" ht="15.75" customHeight="1" x14ac:dyDescent="0.15">
      <c r="A7" s="16" t="s">
        <v>7</v>
      </c>
      <c r="B7" s="17" t="str">
        <f ca="1">IFERROR(__xludf.DUMMYFUNCTION("""COMPUTED_VALUE"""),"Yes the genes coding potenital is fully included  ")</f>
        <v xml:space="preserve">Yes the genes coding potenital is fully included  </v>
      </c>
      <c r="C7" s="17" t="str">
        <f ca="1">IFERROR(__xludf.DUMMYFUNCTION("""COMPUTED_VALUE"""),"Coding potential does not start until about 50 nucleotides after the start")</f>
        <v>Coding potential does not start until about 50 nucleotides after the start</v>
      </c>
      <c r="D7" s="17"/>
      <c r="E7" s="13"/>
      <c r="F7" s="13"/>
      <c r="G7" s="13"/>
      <c r="H7" s="13"/>
      <c r="I7" s="13"/>
      <c r="J7" s="13"/>
      <c r="K7" s="13"/>
      <c r="L7" s="13"/>
      <c r="M7" s="13"/>
      <c r="N7" s="13"/>
      <c r="O7" s="13"/>
      <c r="P7" s="13"/>
      <c r="Q7" s="13"/>
      <c r="R7" s="13"/>
      <c r="S7" s="13"/>
      <c r="T7" s="13"/>
      <c r="U7" s="13"/>
      <c r="V7" s="13"/>
      <c r="W7" s="13"/>
      <c r="X7" s="13"/>
      <c r="Y7" s="13"/>
      <c r="Z7" s="13"/>
    </row>
    <row r="8" spans="1:26" ht="15.75" customHeight="1" x14ac:dyDescent="0.15">
      <c r="A8" s="16" t="s">
        <v>8</v>
      </c>
      <c r="B8" s="17" t="str">
        <f ca="1">IFERROR(__xludf.DUMMYFUNCTION("""COMPUTED_VALUE"""),"Yes it is at the earliest possible start")</f>
        <v>Yes it is at the earliest possible start</v>
      </c>
      <c r="C8" s="17" t="str">
        <f ca="1">IFERROR(__xludf.DUMMYFUNCTION("""COMPUTED_VALUE"""),"Yes")</f>
        <v>Yes</v>
      </c>
      <c r="D8" s="17"/>
      <c r="E8" s="13"/>
      <c r="F8" s="13"/>
      <c r="G8" s="13"/>
      <c r="H8" s="13"/>
      <c r="I8" s="13"/>
      <c r="J8" s="13"/>
      <c r="K8" s="13"/>
      <c r="L8" s="13"/>
      <c r="M8" s="13"/>
      <c r="N8" s="13"/>
      <c r="O8" s="13"/>
      <c r="P8" s="13"/>
      <c r="Q8" s="13"/>
      <c r="R8" s="13"/>
      <c r="S8" s="13"/>
      <c r="T8" s="13"/>
      <c r="U8" s="13"/>
      <c r="V8" s="13"/>
      <c r="W8" s="13"/>
      <c r="X8" s="13"/>
      <c r="Y8" s="13"/>
      <c r="Z8" s="13"/>
    </row>
    <row r="9" spans="1:26" ht="15.75" customHeight="1" x14ac:dyDescent="0.15">
      <c r="A9" s="16" t="s">
        <v>9</v>
      </c>
      <c r="B9" s="17" t="str">
        <f ca="1">IFERROR(__xludf.DUMMYFUNCTION("""COMPUTED_VALUE"""),"A single overlap Gene 1 stop is Gene 2 start")</f>
        <v>A single overlap Gene 1 stop is Gene 2 start</v>
      </c>
      <c r="C9" s="17" t="str">
        <f ca="1">IFERROR(__xludf.DUMMYFUNCTION("""COMPUTED_VALUE"""),"Overlap of 1 nucleotide")</f>
        <v>Overlap of 1 nucleotide</v>
      </c>
      <c r="D9" s="17"/>
      <c r="E9" s="13"/>
      <c r="F9" s="13"/>
      <c r="G9" s="13"/>
      <c r="H9" s="13"/>
      <c r="I9" s="13"/>
      <c r="J9" s="13"/>
      <c r="K9" s="13"/>
      <c r="L9" s="13"/>
      <c r="M9" s="13"/>
      <c r="N9" s="13"/>
      <c r="O9" s="13"/>
      <c r="P9" s="13"/>
      <c r="Q9" s="13"/>
      <c r="R9" s="13"/>
      <c r="S9" s="13"/>
      <c r="T9" s="13"/>
      <c r="U9" s="13"/>
      <c r="V9" s="13"/>
      <c r="W9" s="13"/>
      <c r="X9" s="13"/>
      <c r="Y9" s="13"/>
      <c r="Z9" s="13"/>
    </row>
    <row r="10" spans="1:26" ht="15.75" customHeight="1" x14ac:dyDescent="0.15">
      <c r="A10" s="16" t="s">
        <v>10</v>
      </c>
      <c r="B10" s="17" t="str">
        <f ca="1">IFERROR(__xludf.DUMMYFUNCTION("""COMPUTED_VALUE"""),"The 1st Z is 2.863 and last 1.267.
Best Z is 3.027")</f>
        <v>The 1st Z is 2.863 and last 1.267.
Best Z is 3.027</v>
      </c>
      <c r="C10" s="17" t="str">
        <f ca="1">IFERROR(__xludf.DUMMYFUNCTION("""COMPUTED_VALUE"""),"z-score of 2.919, but there is a z-score for start 1540 that is 3.019")</f>
        <v>z-score of 2.919, but there is a z-score for start 1540 that is 3.019</v>
      </c>
      <c r="D10" s="17"/>
      <c r="E10" s="13"/>
      <c r="F10" s="13"/>
      <c r="G10" s="13"/>
      <c r="H10" s="13"/>
      <c r="I10" s="13"/>
      <c r="J10" s="13"/>
      <c r="K10" s="13"/>
      <c r="L10" s="13"/>
      <c r="M10" s="13"/>
      <c r="N10" s="13"/>
      <c r="O10" s="13"/>
      <c r="P10" s="13"/>
      <c r="Q10" s="13"/>
      <c r="R10" s="13"/>
      <c r="S10" s="13"/>
      <c r="T10" s="13"/>
      <c r="U10" s="13"/>
      <c r="V10" s="13"/>
      <c r="W10" s="13"/>
      <c r="X10" s="13"/>
      <c r="Y10" s="13"/>
      <c r="Z10" s="13"/>
    </row>
    <row r="11" spans="1:26" ht="15.75" customHeight="1" x14ac:dyDescent="0.15">
      <c r="A11" s="16" t="s">
        <v>11</v>
      </c>
      <c r="B11" s="17" t="str">
        <f ca="1">IFERROR(__xludf.DUMMYFUNCTION("""COMPUTED_VALUE"""),"Kovu 3
% ID 72.63%
E: 2.4e-31
1:1 Start however ends differently")</f>
        <v>Kovu 3
% ID 72.63%
E: 2.4e-31
1:1 Start however ends differently</v>
      </c>
      <c r="C11" s="17" t="str">
        <f ca="1">IFERROR(__xludf.DUMMYFUNCTION("""COMPUTED_VALUE"""),"Kovu_3, 72.63% identity, 2.4 e-31 e value, q1: 95 s1: 94")</f>
        <v>Kovu_3, 72.63% identity, 2.4 e-31 e value, q1: 95 s1: 94</v>
      </c>
      <c r="D11" s="17"/>
      <c r="E11" s="13"/>
      <c r="F11" s="13"/>
      <c r="G11" s="13"/>
      <c r="H11" s="13"/>
      <c r="I11" s="13"/>
      <c r="J11" s="13"/>
      <c r="K11" s="13"/>
      <c r="L11" s="13"/>
      <c r="M11" s="13"/>
      <c r="N11" s="13"/>
      <c r="O11" s="13"/>
      <c r="P11" s="13"/>
      <c r="Q11" s="13"/>
      <c r="R11" s="13"/>
      <c r="S11" s="13"/>
      <c r="T11" s="13"/>
      <c r="U11" s="13"/>
      <c r="V11" s="13"/>
      <c r="W11" s="13"/>
      <c r="X11" s="13"/>
      <c r="Y11" s="13"/>
      <c r="Z11" s="13"/>
    </row>
    <row r="12" spans="1:26" ht="15.75" customHeight="1" x14ac:dyDescent="0.15">
      <c r="A12" s="16" t="s">
        <v>12</v>
      </c>
      <c r="B12" s="17" t="str">
        <f ca="1">IFERROR(__xludf.DUMMYFUNCTION("""COMPUTED_VALUE"""),"1 of 1 called the start")</f>
        <v>1 of 1 called the start</v>
      </c>
      <c r="C12" s="17" t="str">
        <f ca="1">IFERROR(__xludf.DUMMYFUNCTION("""COMPUTED_VALUE"""),"Yes, called 100% when present ")</f>
        <v xml:space="preserve">Yes, called 100% when present </v>
      </c>
      <c r="D12" s="17"/>
      <c r="E12" s="13"/>
      <c r="F12" s="13"/>
      <c r="G12" s="13"/>
      <c r="H12" s="13"/>
      <c r="I12" s="13"/>
      <c r="J12" s="13"/>
      <c r="K12" s="13"/>
      <c r="L12" s="13"/>
      <c r="M12" s="13"/>
      <c r="N12" s="13"/>
      <c r="O12" s="13"/>
      <c r="P12" s="13"/>
      <c r="Q12" s="13"/>
      <c r="R12" s="13"/>
      <c r="S12" s="13"/>
      <c r="T12" s="13"/>
      <c r="U12" s="13"/>
      <c r="V12" s="13"/>
      <c r="W12" s="13"/>
      <c r="X12" s="13"/>
      <c r="Y12" s="13"/>
      <c r="Z12" s="13"/>
    </row>
    <row r="13" spans="1:26" ht="15.75" customHeight="1" x14ac:dyDescent="0.15">
      <c r="A13" s="16" t="s">
        <v>13</v>
      </c>
      <c r="B13" s="17" t="str">
        <f ca="1">IFERROR(__xludf.DUMMYFUNCTION("""COMPUTED_VALUE"""),"No, it is a very nice start")</f>
        <v>No, it is a very nice start</v>
      </c>
      <c r="C13" s="17" t="str">
        <f ca="1">IFERROR(__xludf.DUMMYFUNCTION("""COMPUTED_VALUE"""),"No")</f>
        <v>No</v>
      </c>
      <c r="D13" s="17"/>
      <c r="E13" s="13"/>
      <c r="F13" s="13"/>
      <c r="G13" s="13"/>
      <c r="H13" s="13"/>
      <c r="I13" s="13"/>
      <c r="J13" s="13"/>
      <c r="K13" s="13"/>
      <c r="L13" s="13"/>
      <c r="M13" s="13"/>
      <c r="N13" s="13"/>
      <c r="O13" s="13"/>
      <c r="P13" s="13"/>
      <c r="Q13" s="13"/>
      <c r="R13" s="13"/>
      <c r="S13" s="13"/>
      <c r="T13" s="13"/>
      <c r="U13" s="13"/>
      <c r="V13" s="13"/>
      <c r="W13" s="13"/>
      <c r="X13" s="13"/>
      <c r="Y13" s="13"/>
      <c r="Z13" s="13"/>
    </row>
    <row r="14" spans="1:26" ht="15.75" customHeight="1" x14ac:dyDescent="0.15">
      <c r="A14" s="16" t="s">
        <v>14</v>
      </c>
      <c r="B14" s="17" t="str">
        <f ca="1">IFERROR(__xludf.DUMMYFUNCTION("""COMPUTED_VALUE"""),"Kovu 3 
E: 2.4e-31
")</f>
        <v xml:space="preserve">Kovu 3 
E: 2.4e-31
</v>
      </c>
      <c r="C14" s="17" t="str">
        <f ca="1">IFERROR(__xludf.DUMMYFUNCTION("""COMPUTED_VALUE"""),"Function unknown: kovu_3 e=9e-53 ")</f>
        <v xml:space="preserve">Function unknown: kovu_3 e=9e-53 </v>
      </c>
      <c r="D14" s="17"/>
      <c r="E14" s="13"/>
      <c r="F14" s="13"/>
      <c r="G14" s="13"/>
      <c r="H14" s="13"/>
      <c r="I14" s="13"/>
      <c r="J14" s="13"/>
      <c r="K14" s="13"/>
      <c r="L14" s="13"/>
      <c r="M14" s="13"/>
      <c r="N14" s="13"/>
      <c r="O14" s="13"/>
      <c r="P14" s="13"/>
      <c r="Q14" s="13"/>
      <c r="R14" s="13"/>
      <c r="S14" s="13"/>
      <c r="T14" s="13"/>
      <c r="U14" s="13"/>
      <c r="V14" s="13"/>
      <c r="W14" s="13"/>
      <c r="X14" s="13"/>
      <c r="Y14" s="13"/>
      <c r="Z14" s="13"/>
    </row>
    <row r="15" spans="1:26" ht="15.75" customHeight="1" x14ac:dyDescent="0.15">
      <c r="A15" s="16" t="s">
        <v>15</v>
      </c>
      <c r="B15" s="17" t="str">
        <f ca="1">IFERROR(__xludf.DUMMYFUNCTION("""COMPUTED_VALUE"""),"No indentfied function")</f>
        <v>No indentfied function</v>
      </c>
      <c r="C15" s="17" t="str">
        <f ca="1">IFERROR(__xludf.DUMMYFUNCTION("""COMPUTED_VALUE"""),"Function unkown, kovu_3")</f>
        <v>Function unkown, kovu_3</v>
      </c>
      <c r="D15" s="17"/>
      <c r="E15" s="13"/>
      <c r="F15" s="13"/>
      <c r="G15" s="13"/>
      <c r="H15" s="13"/>
      <c r="I15" s="13"/>
      <c r="J15" s="13"/>
      <c r="K15" s="13"/>
      <c r="L15" s="13"/>
      <c r="M15" s="13"/>
      <c r="N15" s="13"/>
      <c r="O15" s="13"/>
      <c r="P15" s="13"/>
      <c r="Q15" s="13"/>
      <c r="R15" s="13"/>
      <c r="S15" s="13"/>
      <c r="T15" s="13"/>
      <c r="U15" s="13"/>
      <c r="V15" s="13"/>
      <c r="W15" s="13"/>
      <c r="X15" s="13"/>
      <c r="Y15" s="13"/>
      <c r="Z15" s="13"/>
    </row>
    <row r="16" spans="1:26" ht="15.75" customHeight="1" x14ac:dyDescent="0.15">
      <c r="A16" s="16" t="s">
        <v>16</v>
      </c>
      <c r="B16" s="17" t="str">
        <f ca="1">IFERROR(__xludf.DUMMYFUNCTION("""COMPUTED_VALUE"""),"Found in the same genetic environemtn as Kovu")</f>
        <v>Found in the same genetic environemtn as Kovu</v>
      </c>
      <c r="C16" s="17" t="str">
        <f ca="1">IFERROR(__xludf.DUMMYFUNCTION("""COMPUTED_VALUE"""),"Yes, seen in same environment as Kovu")</f>
        <v>Yes, seen in same environment as Kovu</v>
      </c>
      <c r="D16" s="17"/>
      <c r="E16" s="13"/>
      <c r="F16" s="13"/>
      <c r="G16" s="13"/>
      <c r="H16" s="13"/>
      <c r="I16" s="13"/>
      <c r="J16" s="13"/>
      <c r="K16" s="13"/>
      <c r="L16" s="13"/>
      <c r="M16" s="13"/>
      <c r="N16" s="13"/>
      <c r="O16" s="13"/>
      <c r="P16" s="13"/>
      <c r="Q16" s="13"/>
      <c r="R16" s="13"/>
      <c r="S16" s="13"/>
      <c r="T16" s="13"/>
      <c r="U16" s="13"/>
      <c r="V16" s="13"/>
      <c r="W16" s="13"/>
      <c r="X16" s="13"/>
      <c r="Y16" s="13"/>
      <c r="Z16" s="13"/>
    </row>
    <row r="17" spans="1:26" ht="15.75" customHeight="1" x14ac:dyDescent="0.15">
      <c r="A17" s="16" t="s">
        <v>17</v>
      </c>
      <c r="B17" s="17" t="str">
        <f ca="1">IFERROR(__xludf.DUMMYFUNCTION("""COMPUTED_VALUE"""),"Nothing of Comparabilty")</f>
        <v>Nothing of Comparabilty</v>
      </c>
      <c r="C17" s="17" t="str">
        <f ca="1">IFERROR(__xludf.DUMMYFUNCTION("""COMPUTED_VALUE""")," DUF5714 ; Family of unknown function, Q= 73.68% T=74.7%. Functional domain in target alignment area- yes")</f>
        <v xml:space="preserve"> DUF5714 ; Family of unknown function, Q= 73.68% T=74.7%. Functional domain in target alignment area- yes</v>
      </c>
      <c r="D17" s="17"/>
      <c r="E17" s="13"/>
      <c r="F17" s="13"/>
      <c r="G17" s="13"/>
      <c r="H17" s="13"/>
      <c r="I17" s="13"/>
      <c r="J17" s="13"/>
      <c r="K17" s="13"/>
      <c r="L17" s="13"/>
      <c r="M17" s="13"/>
      <c r="N17" s="13"/>
      <c r="O17" s="13"/>
      <c r="P17" s="13"/>
      <c r="Q17" s="13"/>
      <c r="R17" s="13"/>
      <c r="S17" s="13"/>
      <c r="T17" s="13"/>
      <c r="U17" s="13"/>
      <c r="V17" s="13"/>
      <c r="W17" s="13"/>
      <c r="X17" s="13"/>
      <c r="Y17" s="13"/>
      <c r="Z17" s="13"/>
    </row>
    <row r="18" spans="1:26" ht="15.75" customHeight="1" x14ac:dyDescent="0.15">
      <c r="A18" s="16" t="s">
        <v>18</v>
      </c>
      <c r="B18" s="17" t="str">
        <f ca="1">IFERROR(__xludf.DUMMYFUNCTION("""COMPUTED_VALUE"""),"DUF")</f>
        <v>DUF</v>
      </c>
      <c r="C18" s="17" t="str">
        <f ca="1">IFERROR(__xludf.DUMMYFUNCTION("""COMPUTED_VALUE"""),"No")</f>
        <v>No</v>
      </c>
      <c r="D18" s="17"/>
      <c r="E18" s="13"/>
      <c r="F18" s="13"/>
      <c r="G18" s="13"/>
      <c r="H18" s="13"/>
      <c r="I18" s="13"/>
      <c r="J18" s="13"/>
      <c r="K18" s="13"/>
      <c r="L18" s="13"/>
      <c r="M18" s="13"/>
      <c r="N18" s="13"/>
      <c r="O18" s="13"/>
      <c r="P18" s="13"/>
      <c r="Q18" s="13"/>
      <c r="R18" s="13"/>
      <c r="S18" s="13"/>
      <c r="T18" s="13"/>
      <c r="U18" s="13"/>
      <c r="V18" s="13"/>
      <c r="W18" s="13"/>
      <c r="X18" s="13"/>
      <c r="Y18" s="13"/>
      <c r="Z18" s="13"/>
    </row>
    <row r="19" spans="1:26" ht="15.75" customHeight="1" x14ac:dyDescent="0.15">
      <c r="A19" s="16" t="s">
        <v>19</v>
      </c>
      <c r="B19" s="17" t="str">
        <f ca="1">IFERROR(__xludf.DUMMYFUNCTION("""COMPUTED_VALUE"""),"No")</f>
        <v>No</v>
      </c>
      <c r="C19" s="17" t="str">
        <f ca="1">IFERROR(__xludf.DUMMYFUNCTION("""COMPUTED_VALUE"""),"none")</f>
        <v>none</v>
      </c>
      <c r="D19" s="17"/>
      <c r="E19" s="13"/>
      <c r="F19" s="13"/>
      <c r="G19" s="13"/>
      <c r="H19" s="13"/>
      <c r="I19" s="13"/>
      <c r="J19" s="13"/>
      <c r="K19" s="13"/>
      <c r="L19" s="13"/>
      <c r="M19" s="13"/>
      <c r="N19" s="13"/>
      <c r="O19" s="13"/>
      <c r="P19" s="13"/>
      <c r="Q19" s="13"/>
      <c r="R19" s="13"/>
      <c r="S19" s="13"/>
      <c r="T19" s="13"/>
      <c r="U19" s="13"/>
      <c r="V19" s="13"/>
      <c r="W19" s="13"/>
      <c r="X19" s="13"/>
      <c r="Y19" s="13"/>
      <c r="Z19" s="13"/>
    </row>
    <row r="20" spans="1:26" ht="15.75" customHeight="1" x14ac:dyDescent="0.15">
      <c r="A20" s="16" t="s">
        <v>20</v>
      </c>
      <c r="B20" s="17" t="str">
        <f ca="1">IFERROR(__xludf.DUMMYFUNCTION("""COMPUTED_VALUE"""),"Hypothetical Protein	")</f>
        <v xml:space="preserve">Hypothetical Protein	</v>
      </c>
      <c r="C20" s="17" t="str">
        <f ca="1">IFERROR(__xludf.DUMMYFUNCTION("""COMPUTED_VALUE"""),"Unknown function")</f>
        <v>Unknown function</v>
      </c>
      <c r="D20" s="17"/>
      <c r="E20" s="13"/>
      <c r="F20" s="13"/>
      <c r="G20" s="13"/>
      <c r="H20" s="13"/>
      <c r="I20" s="13"/>
      <c r="J20" s="13"/>
      <c r="K20" s="13"/>
      <c r="L20" s="13"/>
      <c r="M20" s="13"/>
      <c r="N20" s="13"/>
      <c r="O20" s="13"/>
      <c r="P20" s="13"/>
      <c r="Q20" s="13"/>
      <c r="R20" s="13"/>
      <c r="S20" s="13"/>
      <c r="T20" s="13"/>
      <c r="U20" s="13"/>
      <c r="V20" s="13"/>
      <c r="W20" s="13"/>
      <c r="X20" s="13"/>
      <c r="Y20" s="13"/>
      <c r="Z20" s="13"/>
    </row>
    <row r="21" spans="1:26" x14ac:dyDescent="0.2">
      <c r="A21" s="18"/>
      <c r="B21" s="19"/>
      <c r="C21" s="19"/>
      <c r="D21" s="19"/>
      <c r="E21" s="13"/>
      <c r="F21" s="13"/>
      <c r="G21" s="13"/>
      <c r="H21" s="13"/>
      <c r="I21" s="13"/>
      <c r="J21" s="13"/>
      <c r="K21" s="13"/>
      <c r="L21" s="13"/>
      <c r="M21" s="13"/>
      <c r="N21" s="13"/>
      <c r="O21" s="13"/>
      <c r="P21" s="13"/>
      <c r="Q21" s="13"/>
      <c r="R21" s="13"/>
      <c r="S21" s="13"/>
      <c r="T21" s="13"/>
      <c r="U21" s="13"/>
      <c r="V21" s="13"/>
      <c r="W21" s="13"/>
      <c r="X21" s="13"/>
      <c r="Y21" s="13"/>
      <c r="Z21" s="13"/>
    </row>
    <row r="22" spans="1:26" ht="15.75" customHeight="1" x14ac:dyDescent="0.15">
      <c r="A22" s="20" t="s">
        <v>21</v>
      </c>
      <c r="B22" s="19"/>
      <c r="C22" s="19"/>
      <c r="D22" s="19"/>
      <c r="E22" s="13"/>
      <c r="F22" s="13"/>
      <c r="G22" s="13"/>
      <c r="H22" s="13"/>
      <c r="I22" s="13"/>
      <c r="J22" s="13"/>
      <c r="K22" s="13"/>
      <c r="L22" s="13"/>
      <c r="M22" s="13"/>
      <c r="N22" s="13"/>
      <c r="O22" s="13"/>
      <c r="P22" s="13"/>
      <c r="Q22" s="13"/>
      <c r="R22" s="13"/>
      <c r="S22" s="13"/>
      <c r="T22" s="13"/>
      <c r="U22" s="13"/>
      <c r="V22" s="13"/>
      <c r="W22" s="13"/>
      <c r="X22" s="13"/>
      <c r="Y22" s="13"/>
      <c r="Z22" s="13"/>
    </row>
    <row r="23" spans="1:26" ht="15.75" customHeight="1" x14ac:dyDescent="0.15">
      <c r="A23" s="13"/>
      <c r="B23" s="13"/>
      <c r="C23" s="13"/>
      <c r="D23" s="13"/>
      <c r="E23" s="13"/>
      <c r="F23" s="13"/>
      <c r="G23" s="13"/>
      <c r="H23" s="13"/>
      <c r="I23" s="13"/>
      <c r="J23" s="13"/>
      <c r="K23" s="13"/>
      <c r="L23" s="13"/>
      <c r="M23" s="13"/>
      <c r="N23" s="13"/>
      <c r="O23" s="13"/>
      <c r="P23" s="13"/>
      <c r="Q23" s="13"/>
      <c r="R23" s="13"/>
      <c r="S23" s="13"/>
      <c r="T23" s="13"/>
      <c r="U23" s="13"/>
      <c r="V23" s="13"/>
      <c r="W23" s="13"/>
      <c r="X23" s="13"/>
      <c r="Y23" s="13"/>
      <c r="Z23" s="13"/>
    </row>
    <row r="24" spans="1:26" ht="15.75" customHeight="1" x14ac:dyDescent="0.15">
      <c r="A24" s="13"/>
      <c r="B24" s="13"/>
      <c r="C24" s="13"/>
      <c r="D24" s="13"/>
      <c r="E24" s="13"/>
      <c r="F24" s="13"/>
      <c r="G24" s="13"/>
      <c r="H24" s="13"/>
      <c r="I24" s="13"/>
      <c r="J24" s="13"/>
      <c r="K24" s="13"/>
      <c r="L24" s="13"/>
      <c r="M24" s="13"/>
      <c r="N24" s="13"/>
      <c r="O24" s="13"/>
      <c r="P24" s="13"/>
      <c r="Q24" s="13"/>
      <c r="R24" s="13"/>
      <c r="S24" s="13"/>
      <c r="T24" s="13"/>
      <c r="U24" s="13"/>
      <c r="V24" s="13"/>
      <c r="W24" s="13"/>
      <c r="X24" s="13"/>
      <c r="Y24" s="13"/>
      <c r="Z24" s="13"/>
    </row>
    <row r="25" spans="1:26" ht="15.75" customHeight="1" x14ac:dyDescent="0.15">
      <c r="A25" s="13"/>
      <c r="B25" s="13"/>
      <c r="C25" s="13"/>
      <c r="D25" s="13"/>
      <c r="E25" s="13"/>
      <c r="F25" s="13"/>
      <c r="G25" s="13"/>
      <c r="H25" s="13"/>
      <c r="I25" s="13"/>
      <c r="J25" s="13"/>
      <c r="K25" s="13"/>
      <c r="L25" s="13"/>
      <c r="M25" s="13"/>
      <c r="N25" s="13"/>
      <c r="O25" s="13"/>
      <c r="P25" s="13"/>
      <c r="Q25" s="13"/>
      <c r="R25" s="13"/>
      <c r="S25" s="13"/>
      <c r="T25" s="13"/>
      <c r="U25" s="13"/>
      <c r="V25" s="13"/>
      <c r="W25" s="13"/>
      <c r="X25" s="13"/>
      <c r="Y25" s="13"/>
      <c r="Z25" s="13"/>
    </row>
    <row r="26" spans="1:26" ht="15.75" customHeight="1" x14ac:dyDescent="0.15">
      <c r="A26" s="13"/>
      <c r="B26" s="13"/>
      <c r="C26" s="13"/>
      <c r="D26" s="13"/>
      <c r="E26" s="13"/>
      <c r="F26" s="13"/>
      <c r="G26" s="13"/>
      <c r="H26" s="13"/>
      <c r="I26" s="13"/>
      <c r="J26" s="13"/>
      <c r="K26" s="13"/>
      <c r="L26" s="13"/>
      <c r="M26" s="13"/>
      <c r="N26" s="13"/>
      <c r="O26" s="13"/>
      <c r="P26" s="13"/>
      <c r="Q26" s="13"/>
      <c r="R26" s="13"/>
      <c r="S26" s="13"/>
      <c r="T26" s="13"/>
      <c r="U26" s="13"/>
      <c r="V26" s="13"/>
      <c r="W26" s="13"/>
      <c r="X26" s="13"/>
      <c r="Y26" s="13"/>
      <c r="Z26" s="13"/>
    </row>
    <row r="27" spans="1:26" ht="15.75" customHeight="1" x14ac:dyDescent="0.15">
      <c r="A27" s="13"/>
      <c r="B27" s="13"/>
      <c r="C27" s="13"/>
      <c r="D27" s="13"/>
      <c r="E27" s="13"/>
      <c r="F27" s="13"/>
      <c r="G27" s="13"/>
      <c r="H27" s="13"/>
      <c r="I27" s="13"/>
      <c r="J27" s="13"/>
      <c r="K27" s="13"/>
      <c r="L27" s="13"/>
      <c r="M27" s="13"/>
      <c r="N27" s="13"/>
      <c r="O27" s="13"/>
      <c r="P27" s="13"/>
      <c r="Q27" s="13"/>
      <c r="R27" s="13"/>
      <c r="S27" s="13"/>
      <c r="T27" s="13"/>
      <c r="U27" s="13"/>
      <c r="V27" s="13"/>
      <c r="W27" s="13"/>
      <c r="X27" s="13"/>
      <c r="Y27" s="13"/>
      <c r="Z27" s="13"/>
    </row>
    <row r="28" spans="1:26" ht="15.75" customHeight="1" x14ac:dyDescent="0.15">
      <c r="A28" s="13"/>
      <c r="B28" s="13"/>
      <c r="C28" s="13"/>
      <c r="D28" s="13"/>
      <c r="E28" s="13"/>
      <c r="F28" s="13"/>
      <c r="G28" s="13"/>
      <c r="H28" s="13"/>
      <c r="I28" s="13"/>
      <c r="J28" s="13"/>
      <c r="K28" s="13"/>
      <c r="L28" s="13"/>
      <c r="M28" s="13"/>
      <c r="N28" s="13"/>
      <c r="O28" s="13"/>
      <c r="P28" s="13"/>
      <c r="Q28" s="13"/>
      <c r="R28" s="13"/>
      <c r="S28" s="13"/>
      <c r="T28" s="13"/>
      <c r="U28" s="13"/>
      <c r="V28" s="13"/>
      <c r="W28" s="13"/>
      <c r="X28" s="13"/>
      <c r="Y28" s="13"/>
      <c r="Z28" s="13"/>
    </row>
    <row r="29" spans="1:26" ht="15.75" customHeight="1" x14ac:dyDescent="0.15">
      <c r="A29" s="13"/>
      <c r="B29" s="13"/>
      <c r="C29" s="13"/>
      <c r="D29" s="13"/>
      <c r="E29" s="13"/>
      <c r="F29" s="13"/>
      <c r="G29" s="13"/>
      <c r="H29" s="13"/>
      <c r="I29" s="13"/>
      <c r="J29" s="13"/>
      <c r="K29" s="13"/>
      <c r="L29" s="13"/>
      <c r="M29" s="13"/>
      <c r="N29" s="13"/>
      <c r="O29" s="13"/>
      <c r="P29" s="13"/>
      <c r="Q29" s="13"/>
      <c r="R29" s="13"/>
      <c r="S29" s="13"/>
      <c r="T29" s="13"/>
      <c r="U29" s="13"/>
      <c r="V29" s="13"/>
      <c r="W29" s="13"/>
      <c r="X29" s="13"/>
      <c r="Y29" s="13"/>
      <c r="Z29" s="13"/>
    </row>
    <row r="30" spans="1:26" ht="15.75" customHeight="1" x14ac:dyDescent="0.15">
      <c r="A30" s="13"/>
      <c r="B30" s="13"/>
      <c r="C30" s="13"/>
      <c r="D30" s="13"/>
      <c r="E30" s="13"/>
      <c r="F30" s="13"/>
      <c r="G30" s="13"/>
      <c r="H30" s="13"/>
      <c r="I30" s="13"/>
      <c r="J30" s="13"/>
      <c r="K30" s="13"/>
      <c r="L30" s="13"/>
      <c r="M30" s="13"/>
      <c r="N30" s="13"/>
      <c r="O30" s="13"/>
      <c r="P30" s="13"/>
      <c r="Q30" s="13"/>
      <c r="R30" s="13"/>
      <c r="S30" s="13"/>
      <c r="T30" s="13"/>
      <c r="U30" s="13"/>
      <c r="V30" s="13"/>
      <c r="W30" s="13"/>
      <c r="X30" s="13"/>
      <c r="Y30" s="13"/>
      <c r="Z30" s="13"/>
    </row>
    <row r="31" spans="1:26" ht="15.75" customHeight="1" x14ac:dyDescent="0.15">
      <c r="A31" s="13"/>
      <c r="B31" s="13"/>
      <c r="C31" s="13"/>
      <c r="D31" s="13"/>
      <c r="E31" s="13"/>
      <c r="F31" s="13"/>
      <c r="G31" s="13"/>
      <c r="H31" s="13"/>
      <c r="I31" s="13"/>
      <c r="J31" s="13"/>
      <c r="K31" s="13"/>
      <c r="L31" s="13"/>
      <c r="M31" s="13"/>
      <c r="N31" s="13"/>
      <c r="O31" s="13"/>
      <c r="P31" s="13"/>
      <c r="Q31" s="13"/>
      <c r="R31" s="13"/>
      <c r="S31" s="13"/>
      <c r="T31" s="13"/>
      <c r="U31" s="13"/>
      <c r="V31" s="13"/>
      <c r="W31" s="13"/>
      <c r="X31" s="13"/>
      <c r="Y31" s="13"/>
      <c r="Z31" s="13"/>
    </row>
    <row r="32" spans="1:26" ht="15.75" customHeight="1" x14ac:dyDescent="0.15">
      <c r="A32" s="13"/>
      <c r="B32" s="13"/>
      <c r="C32" s="13"/>
      <c r="D32" s="13"/>
      <c r="E32" s="13"/>
      <c r="F32" s="13"/>
      <c r="G32" s="13"/>
      <c r="H32" s="13"/>
      <c r="I32" s="13"/>
      <c r="J32" s="13"/>
      <c r="K32" s="13"/>
      <c r="L32" s="13"/>
      <c r="M32" s="13"/>
      <c r="N32" s="13"/>
      <c r="O32" s="13"/>
      <c r="P32" s="13"/>
      <c r="Q32" s="13"/>
      <c r="R32" s="13"/>
      <c r="S32" s="13"/>
      <c r="T32" s="13"/>
      <c r="U32" s="13"/>
      <c r="V32" s="13"/>
      <c r="W32" s="13"/>
      <c r="X32" s="13"/>
      <c r="Y32" s="13"/>
      <c r="Z32" s="13"/>
    </row>
    <row r="33" spans="1:26" ht="15.75" customHeight="1" x14ac:dyDescent="0.15">
      <c r="A33" s="13"/>
      <c r="B33" s="13"/>
      <c r="C33" s="13"/>
      <c r="D33" s="13"/>
      <c r="E33" s="13"/>
      <c r="F33" s="13"/>
      <c r="G33" s="13"/>
      <c r="H33" s="13"/>
      <c r="I33" s="13"/>
      <c r="J33" s="13"/>
      <c r="K33" s="13"/>
      <c r="L33" s="13"/>
      <c r="M33" s="13"/>
      <c r="N33" s="13"/>
      <c r="O33" s="13"/>
      <c r="P33" s="13"/>
      <c r="Q33" s="13"/>
      <c r="R33" s="13"/>
      <c r="S33" s="13"/>
      <c r="T33" s="13"/>
      <c r="U33" s="13"/>
      <c r="V33" s="13"/>
      <c r="W33" s="13"/>
      <c r="X33" s="13"/>
      <c r="Y33" s="13"/>
      <c r="Z33" s="13"/>
    </row>
    <row r="34" spans="1:26" ht="15.75" customHeight="1" x14ac:dyDescent="0.15">
      <c r="A34" s="13"/>
      <c r="B34" s="13"/>
      <c r="C34" s="13"/>
      <c r="D34" s="13"/>
      <c r="E34" s="13"/>
      <c r="F34" s="13"/>
      <c r="G34" s="13"/>
      <c r="H34" s="13"/>
      <c r="I34" s="13"/>
      <c r="J34" s="13"/>
      <c r="K34" s="13"/>
      <c r="L34" s="13"/>
      <c r="M34" s="13"/>
      <c r="N34" s="13"/>
      <c r="O34" s="13"/>
      <c r="P34" s="13"/>
      <c r="Q34" s="13"/>
      <c r="R34" s="13"/>
      <c r="S34" s="13"/>
      <c r="T34" s="13"/>
      <c r="U34" s="13"/>
      <c r="V34" s="13"/>
      <c r="W34" s="13"/>
      <c r="X34" s="13"/>
      <c r="Y34" s="13"/>
      <c r="Z34" s="13"/>
    </row>
    <row r="35" spans="1:26" ht="15.75" customHeight="1" x14ac:dyDescent="0.15">
      <c r="A35" s="13"/>
      <c r="B35" s="13"/>
      <c r="C35" s="13"/>
      <c r="D35" s="13"/>
      <c r="E35" s="13"/>
      <c r="F35" s="13"/>
      <c r="G35" s="13"/>
      <c r="H35" s="13"/>
      <c r="I35" s="13"/>
      <c r="J35" s="13"/>
      <c r="K35" s="13"/>
      <c r="L35" s="13"/>
      <c r="M35" s="13"/>
      <c r="N35" s="13"/>
      <c r="O35" s="13"/>
      <c r="P35" s="13"/>
      <c r="Q35" s="13"/>
      <c r="R35" s="13"/>
      <c r="S35" s="13"/>
      <c r="T35" s="13"/>
      <c r="U35" s="13"/>
      <c r="V35" s="13"/>
      <c r="W35" s="13"/>
      <c r="X35" s="13"/>
      <c r="Y35" s="13"/>
      <c r="Z35" s="13"/>
    </row>
    <row r="36" spans="1:26" ht="15.75" customHeight="1" x14ac:dyDescent="0.15">
      <c r="A36" s="13"/>
      <c r="B36" s="13"/>
      <c r="C36" s="13"/>
      <c r="D36" s="13"/>
      <c r="E36" s="13"/>
      <c r="F36" s="13"/>
      <c r="G36" s="13"/>
      <c r="H36" s="13"/>
      <c r="I36" s="13"/>
      <c r="J36" s="13"/>
      <c r="K36" s="13"/>
      <c r="L36" s="13"/>
      <c r="M36" s="13"/>
      <c r="N36" s="13"/>
      <c r="O36" s="13"/>
      <c r="P36" s="13"/>
      <c r="Q36" s="13"/>
      <c r="R36" s="13"/>
      <c r="S36" s="13"/>
      <c r="T36" s="13"/>
      <c r="U36" s="13"/>
      <c r="V36" s="13"/>
      <c r="W36" s="13"/>
      <c r="X36" s="13"/>
      <c r="Y36" s="13"/>
      <c r="Z36" s="13"/>
    </row>
    <row r="37" spans="1:26" ht="15.75" customHeight="1" x14ac:dyDescent="0.15">
      <c r="A37" s="13"/>
      <c r="B37" s="13"/>
      <c r="C37" s="13"/>
      <c r="D37" s="13"/>
      <c r="E37" s="13"/>
      <c r="F37" s="13"/>
      <c r="G37" s="13"/>
      <c r="H37" s="13"/>
      <c r="I37" s="13"/>
      <c r="J37" s="13"/>
      <c r="K37" s="13"/>
      <c r="L37" s="13"/>
      <c r="M37" s="13"/>
      <c r="N37" s="13"/>
      <c r="O37" s="13"/>
      <c r="P37" s="13"/>
      <c r="Q37" s="13"/>
      <c r="R37" s="13"/>
      <c r="S37" s="13"/>
      <c r="T37" s="13"/>
      <c r="U37" s="13"/>
      <c r="V37" s="13"/>
      <c r="W37" s="13"/>
      <c r="X37" s="13"/>
      <c r="Y37" s="13"/>
      <c r="Z37" s="13"/>
    </row>
    <row r="38" spans="1:26" ht="15.75" customHeight="1" x14ac:dyDescent="0.15">
      <c r="A38" s="13"/>
      <c r="B38" s="13"/>
      <c r="C38" s="13"/>
      <c r="D38" s="13"/>
      <c r="E38" s="13"/>
      <c r="F38" s="13"/>
      <c r="G38" s="13"/>
      <c r="H38" s="13"/>
      <c r="I38" s="13"/>
      <c r="J38" s="13"/>
      <c r="K38" s="13"/>
      <c r="L38" s="13"/>
      <c r="M38" s="13"/>
      <c r="N38" s="13"/>
      <c r="O38" s="13"/>
      <c r="P38" s="13"/>
      <c r="Q38" s="13"/>
      <c r="R38" s="13"/>
      <c r="S38" s="13"/>
      <c r="T38" s="13"/>
      <c r="U38" s="13"/>
      <c r="V38" s="13"/>
      <c r="W38" s="13"/>
      <c r="X38" s="13"/>
      <c r="Y38" s="13"/>
      <c r="Z38" s="13"/>
    </row>
    <row r="39" spans="1:26" ht="13" x14ac:dyDescent="0.15">
      <c r="A39" s="13"/>
      <c r="B39" s="13"/>
      <c r="C39" s="13"/>
      <c r="D39" s="13"/>
      <c r="E39" s="13"/>
      <c r="F39" s="13"/>
      <c r="G39" s="13"/>
      <c r="H39" s="13"/>
      <c r="I39" s="13"/>
      <c r="J39" s="13"/>
      <c r="K39" s="13"/>
      <c r="L39" s="13"/>
      <c r="M39" s="13"/>
      <c r="N39" s="13"/>
      <c r="O39" s="13"/>
      <c r="P39" s="13"/>
      <c r="Q39" s="13"/>
      <c r="R39" s="13"/>
      <c r="S39" s="13"/>
      <c r="T39" s="13"/>
      <c r="U39" s="13"/>
      <c r="V39" s="13"/>
      <c r="W39" s="13"/>
      <c r="X39" s="13"/>
      <c r="Y39" s="13"/>
      <c r="Z39" s="13"/>
    </row>
    <row r="40" spans="1:26" ht="13" x14ac:dyDescent="0.15">
      <c r="A40" s="13"/>
      <c r="B40" s="13"/>
      <c r="C40" s="13"/>
      <c r="D40" s="13"/>
      <c r="E40" s="13"/>
      <c r="F40" s="13"/>
      <c r="G40" s="13"/>
      <c r="H40" s="13"/>
      <c r="I40" s="13"/>
      <c r="J40" s="13"/>
      <c r="K40" s="13"/>
      <c r="L40" s="13"/>
      <c r="M40" s="13"/>
      <c r="N40" s="13"/>
      <c r="O40" s="13"/>
      <c r="P40" s="13"/>
      <c r="Q40" s="13"/>
      <c r="R40" s="13"/>
      <c r="S40" s="13"/>
      <c r="T40" s="13"/>
      <c r="U40" s="13"/>
      <c r="V40" s="13"/>
      <c r="W40" s="13"/>
      <c r="X40" s="13"/>
      <c r="Y40" s="13"/>
      <c r="Z40" s="13"/>
    </row>
    <row r="41" spans="1:26" ht="13" x14ac:dyDescent="0.15">
      <c r="A41" s="13"/>
      <c r="B41" s="13"/>
      <c r="C41" s="13"/>
      <c r="D41" s="13"/>
      <c r="E41" s="13"/>
      <c r="F41" s="13"/>
      <c r="G41" s="13"/>
      <c r="H41" s="13"/>
      <c r="I41" s="13"/>
      <c r="J41" s="13"/>
      <c r="K41" s="13"/>
      <c r="L41" s="13"/>
      <c r="M41" s="13"/>
      <c r="N41" s="13"/>
      <c r="O41" s="13"/>
      <c r="P41" s="13"/>
      <c r="Q41" s="13"/>
      <c r="R41" s="13"/>
      <c r="S41" s="13"/>
      <c r="T41" s="13"/>
      <c r="U41" s="13"/>
      <c r="V41" s="13"/>
      <c r="W41" s="13"/>
      <c r="X41" s="13"/>
      <c r="Y41" s="13"/>
      <c r="Z41" s="13"/>
    </row>
    <row r="42" spans="1:26" ht="13" x14ac:dyDescent="0.15">
      <c r="A42" s="13"/>
      <c r="B42" s="13"/>
      <c r="C42" s="13"/>
      <c r="D42" s="13"/>
      <c r="E42" s="13"/>
      <c r="F42" s="13"/>
      <c r="G42" s="13"/>
      <c r="H42" s="13"/>
      <c r="I42" s="13"/>
      <c r="J42" s="13"/>
      <c r="K42" s="13"/>
      <c r="L42" s="13"/>
      <c r="M42" s="13"/>
      <c r="N42" s="13"/>
      <c r="O42" s="13"/>
      <c r="P42" s="13"/>
      <c r="Q42" s="13"/>
      <c r="R42" s="13"/>
      <c r="S42" s="13"/>
      <c r="T42" s="13"/>
      <c r="U42" s="13"/>
      <c r="V42" s="13"/>
      <c r="W42" s="13"/>
      <c r="X42" s="13"/>
      <c r="Y42" s="13"/>
      <c r="Z42" s="13"/>
    </row>
    <row r="43" spans="1:26" ht="13" x14ac:dyDescent="0.15">
      <c r="A43" s="13"/>
      <c r="B43" s="13"/>
      <c r="C43" s="13"/>
      <c r="D43" s="13"/>
      <c r="E43" s="13"/>
      <c r="F43" s="13"/>
      <c r="G43" s="13"/>
      <c r="H43" s="13"/>
      <c r="I43" s="13"/>
      <c r="J43" s="13"/>
      <c r="K43" s="13"/>
      <c r="L43" s="13"/>
      <c r="M43" s="13"/>
      <c r="N43" s="13"/>
      <c r="O43" s="13"/>
      <c r="P43" s="13"/>
      <c r="Q43" s="13"/>
      <c r="R43" s="13"/>
      <c r="S43" s="13"/>
      <c r="T43" s="13"/>
      <c r="U43" s="13"/>
      <c r="V43" s="13"/>
      <c r="W43" s="13"/>
      <c r="X43" s="13"/>
      <c r="Y43" s="13"/>
      <c r="Z43" s="13"/>
    </row>
    <row r="44" spans="1:26" ht="13" x14ac:dyDescent="0.15">
      <c r="A44" s="13"/>
      <c r="B44" s="13"/>
      <c r="C44" s="13"/>
      <c r="D44" s="13"/>
      <c r="E44" s="13"/>
      <c r="F44" s="13"/>
      <c r="G44" s="13"/>
      <c r="H44" s="13"/>
      <c r="I44" s="13"/>
      <c r="J44" s="13"/>
      <c r="K44" s="13"/>
      <c r="L44" s="13"/>
      <c r="M44" s="13"/>
      <c r="N44" s="13"/>
      <c r="O44" s="13"/>
      <c r="P44" s="13"/>
      <c r="Q44" s="13"/>
      <c r="R44" s="13"/>
      <c r="S44" s="13"/>
      <c r="T44" s="13"/>
      <c r="U44" s="13"/>
      <c r="V44" s="13"/>
      <c r="W44" s="13"/>
      <c r="X44" s="13"/>
      <c r="Y44" s="13"/>
      <c r="Z44" s="13"/>
    </row>
    <row r="45" spans="1:26" ht="13" x14ac:dyDescent="0.15">
      <c r="A45" s="13"/>
      <c r="B45" s="13"/>
      <c r="C45" s="13"/>
      <c r="D45" s="13"/>
      <c r="E45" s="13"/>
      <c r="F45" s="13"/>
      <c r="G45" s="13"/>
      <c r="H45" s="13"/>
      <c r="I45" s="13"/>
      <c r="J45" s="13"/>
      <c r="K45" s="13"/>
      <c r="L45" s="13"/>
      <c r="M45" s="13"/>
      <c r="N45" s="13"/>
      <c r="O45" s="13"/>
      <c r="P45" s="13"/>
      <c r="Q45" s="13"/>
      <c r="R45" s="13"/>
      <c r="S45" s="13"/>
      <c r="T45" s="13"/>
      <c r="U45" s="13"/>
      <c r="V45" s="13"/>
      <c r="W45" s="13"/>
      <c r="X45" s="13"/>
      <c r="Y45" s="13"/>
      <c r="Z45" s="13"/>
    </row>
    <row r="46" spans="1:26" ht="13" x14ac:dyDescent="0.15">
      <c r="A46" s="13"/>
      <c r="B46" s="13"/>
      <c r="C46" s="13"/>
      <c r="D46" s="13"/>
      <c r="E46" s="13"/>
      <c r="F46" s="13"/>
      <c r="G46" s="13"/>
      <c r="H46" s="13"/>
      <c r="I46" s="13"/>
      <c r="J46" s="13"/>
      <c r="K46" s="13"/>
      <c r="L46" s="13"/>
      <c r="M46" s="13"/>
      <c r="N46" s="13"/>
      <c r="O46" s="13"/>
      <c r="P46" s="13"/>
      <c r="Q46" s="13"/>
      <c r="R46" s="13"/>
      <c r="S46" s="13"/>
      <c r="T46" s="13"/>
      <c r="U46" s="13"/>
      <c r="V46" s="13"/>
      <c r="W46" s="13"/>
      <c r="X46" s="13"/>
      <c r="Y46" s="13"/>
      <c r="Z46" s="13"/>
    </row>
    <row r="47" spans="1:26" ht="13" x14ac:dyDescent="0.15">
      <c r="A47" s="13"/>
      <c r="B47" s="13"/>
      <c r="C47" s="13"/>
      <c r="D47" s="13"/>
      <c r="E47" s="13"/>
      <c r="F47" s="13"/>
      <c r="G47" s="13"/>
      <c r="H47" s="13"/>
      <c r="I47" s="13"/>
      <c r="J47" s="13"/>
      <c r="K47" s="13"/>
      <c r="L47" s="13"/>
      <c r="M47" s="13"/>
      <c r="N47" s="13"/>
      <c r="O47" s="13"/>
      <c r="P47" s="13"/>
      <c r="Q47" s="13"/>
      <c r="R47" s="13"/>
      <c r="S47" s="13"/>
      <c r="T47" s="13"/>
      <c r="U47" s="13"/>
      <c r="V47" s="13"/>
      <c r="W47" s="13"/>
      <c r="X47" s="13"/>
      <c r="Y47" s="13"/>
      <c r="Z47" s="13"/>
    </row>
    <row r="48" spans="1:26" ht="13" x14ac:dyDescent="0.1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row>
    <row r="49" spans="1:26" ht="13" x14ac:dyDescent="0.15">
      <c r="A49" s="13"/>
      <c r="B49" s="13"/>
      <c r="C49" s="13"/>
      <c r="D49" s="13"/>
      <c r="E49" s="13"/>
      <c r="F49" s="13"/>
      <c r="G49" s="13"/>
      <c r="H49" s="13"/>
      <c r="I49" s="13"/>
      <c r="J49" s="13"/>
      <c r="K49" s="13"/>
      <c r="L49" s="13"/>
      <c r="M49" s="13"/>
      <c r="N49" s="13"/>
      <c r="O49" s="13"/>
      <c r="P49" s="13"/>
      <c r="Q49" s="13"/>
      <c r="R49" s="13"/>
      <c r="S49" s="13"/>
      <c r="T49" s="13"/>
      <c r="U49" s="13"/>
      <c r="V49" s="13"/>
      <c r="W49" s="13"/>
      <c r="X49" s="13"/>
      <c r="Y49" s="13"/>
      <c r="Z49" s="13"/>
    </row>
    <row r="50" spans="1:26" ht="13" x14ac:dyDescent="0.15">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row>
    <row r="51" spans="1:26" ht="13" x14ac:dyDescent="0.15">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row>
    <row r="52" spans="1:26" ht="13" x14ac:dyDescent="0.15">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row>
    <row r="53" spans="1:26" ht="13" x14ac:dyDescent="0.15">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row>
    <row r="54" spans="1:26" ht="13" x14ac:dyDescent="0.15">
      <c r="A54" s="13"/>
      <c r="B54" s="13"/>
      <c r="C54" s="13"/>
      <c r="D54" s="13"/>
      <c r="E54" s="13"/>
      <c r="F54" s="13"/>
      <c r="G54" s="13"/>
      <c r="H54" s="13"/>
      <c r="I54" s="13"/>
      <c r="J54" s="13"/>
      <c r="K54" s="13"/>
      <c r="L54" s="13"/>
      <c r="M54" s="13"/>
      <c r="N54" s="13"/>
      <c r="O54" s="13"/>
      <c r="P54" s="13"/>
      <c r="Q54" s="13"/>
      <c r="R54" s="13"/>
      <c r="S54" s="13"/>
      <c r="T54" s="13"/>
      <c r="U54" s="13"/>
      <c r="V54" s="13"/>
      <c r="W54" s="13"/>
      <c r="X54" s="13"/>
      <c r="Y54" s="13"/>
      <c r="Z54" s="13"/>
    </row>
    <row r="55" spans="1:26" ht="13" x14ac:dyDescent="0.15">
      <c r="A55" s="13"/>
      <c r="B55" s="13"/>
      <c r="C55" s="13"/>
      <c r="D55" s="13"/>
      <c r="E55" s="13"/>
      <c r="F55" s="13"/>
      <c r="G55" s="13"/>
      <c r="H55" s="13"/>
      <c r="I55" s="13"/>
      <c r="J55" s="13"/>
      <c r="K55" s="13"/>
      <c r="L55" s="13"/>
      <c r="M55" s="13"/>
      <c r="N55" s="13"/>
      <c r="O55" s="13"/>
      <c r="P55" s="13"/>
      <c r="Q55" s="13"/>
      <c r="R55" s="13"/>
      <c r="S55" s="13"/>
      <c r="T55" s="13"/>
      <c r="U55" s="13"/>
      <c r="V55" s="13"/>
      <c r="W55" s="13"/>
      <c r="X55" s="13"/>
      <c r="Y55" s="13"/>
      <c r="Z55" s="13"/>
    </row>
    <row r="56" spans="1:26" ht="13" x14ac:dyDescent="0.15">
      <c r="A56" s="13"/>
      <c r="B56" s="13"/>
      <c r="C56" s="13"/>
      <c r="D56" s="13"/>
      <c r="E56" s="13"/>
      <c r="F56" s="13"/>
      <c r="G56" s="13"/>
      <c r="H56" s="13"/>
      <c r="I56" s="13"/>
      <c r="J56" s="13"/>
      <c r="K56" s="13"/>
      <c r="L56" s="13"/>
      <c r="M56" s="13"/>
      <c r="N56" s="13"/>
      <c r="O56" s="13"/>
      <c r="P56" s="13"/>
      <c r="Q56" s="13"/>
      <c r="R56" s="13"/>
      <c r="S56" s="13"/>
      <c r="T56" s="13"/>
      <c r="U56" s="13"/>
      <c r="V56" s="13"/>
      <c r="W56" s="13"/>
      <c r="X56" s="13"/>
      <c r="Y56" s="13"/>
      <c r="Z56" s="13"/>
    </row>
    <row r="57" spans="1:26" ht="13" x14ac:dyDescent="0.15">
      <c r="A57" s="13"/>
      <c r="B57" s="13"/>
      <c r="C57" s="13"/>
      <c r="D57" s="13"/>
      <c r="E57" s="13"/>
      <c r="F57" s="13"/>
      <c r="G57" s="13"/>
      <c r="H57" s="13"/>
      <c r="I57" s="13"/>
      <c r="J57" s="13"/>
      <c r="K57" s="13"/>
      <c r="L57" s="13"/>
      <c r="M57" s="13"/>
      <c r="N57" s="13"/>
      <c r="O57" s="13"/>
      <c r="P57" s="13"/>
      <c r="Q57" s="13"/>
      <c r="R57" s="13"/>
      <c r="S57" s="13"/>
      <c r="T57" s="13"/>
      <c r="U57" s="13"/>
      <c r="V57" s="13"/>
      <c r="W57" s="13"/>
      <c r="X57" s="13"/>
      <c r="Y57" s="13"/>
      <c r="Z57" s="13"/>
    </row>
    <row r="58" spans="1:26" ht="13" x14ac:dyDescent="0.15">
      <c r="A58" s="13"/>
      <c r="B58" s="13"/>
      <c r="C58" s="13"/>
      <c r="D58" s="13"/>
      <c r="E58" s="13"/>
      <c r="F58" s="13"/>
      <c r="G58" s="13"/>
      <c r="H58" s="13"/>
      <c r="I58" s="13"/>
      <c r="J58" s="13"/>
      <c r="K58" s="13"/>
      <c r="L58" s="13"/>
      <c r="M58" s="13"/>
      <c r="N58" s="13"/>
      <c r="O58" s="13"/>
      <c r="P58" s="13"/>
      <c r="Q58" s="13"/>
      <c r="R58" s="13"/>
      <c r="S58" s="13"/>
      <c r="T58" s="13"/>
      <c r="U58" s="13"/>
      <c r="V58" s="13"/>
      <c r="W58" s="13"/>
      <c r="X58" s="13"/>
      <c r="Y58" s="13"/>
      <c r="Z58" s="13"/>
    </row>
    <row r="59" spans="1:26" ht="13" x14ac:dyDescent="0.15">
      <c r="A59" s="13"/>
      <c r="B59" s="13"/>
      <c r="C59" s="13"/>
      <c r="D59" s="13"/>
      <c r="E59" s="13"/>
      <c r="F59" s="13"/>
      <c r="G59" s="13"/>
      <c r="H59" s="13"/>
      <c r="I59" s="13"/>
      <c r="J59" s="13"/>
      <c r="K59" s="13"/>
      <c r="L59" s="13"/>
      <c r="M59" s="13"/>
      <c r="N59" s="13"/>
      <c r="O59" s="13"/>
      <c r="P59" s="13"/>
      <c r="Q59" s="13"/>
      <c r="R59" s="13"/>
      <c r="S59" s="13"/>
      <c r="T59" s="13"/>
      <c r="U59" s="13"/>
      <c r="V59" s="13"/>
      <c r="W59" s="13"/>
      <c r="X59" s="13"/>
      <c r="Y59" s="13"/>
      <c r="Z59" s="13"/>
    </row>
    <row r="60" spans="1:26" ht="13" x14ac:dyDescent="0.15">
      <c r="A60" s="13"/>
      <c r="B60" s="13"/>
      <c r="C60" s="13"/>
      <c r="D60" s="13"/>
      <c r="E60" s="13"/>
      <c r="F60" s="13"/>
      <c r="G60" s="13"/>
      <c r="H60" s="13"/>
      <c r="I60" s="13"/>
      <c r="J60" s="13"/>
      <c r="K60" s="13"/>
      <c r="L60" s="13"/>
      <c r="M60" s="13"/>
      <c r="N60" s="13"/>
      <c r="O60" s="13"/>
      <c r="P60" s="13"/>
      <c r="Q60" s="13"/>
      <c r="R60" s="13"/>
      <c r="S60" s="13"/>
      <c r="T60" s="13"/>
      <c r="U60" s="13"/>
      <c r="V60" s="13"/>
      <c r="W60" s="13"/>
      <c r="X60" s="13"/>
      <c r="Y60" s="13"/>
      <c r="Z60" s="13"/>
    </row>
    <row r="61" spans="1:26" ht="13" x14ac:dyDescent="0.15">
      <c r="A61" s="13"/>
      <c r="B61" s="13"/>
      <c r="C61" s="13"/>
      <c r="D61" s="13"/>
      <c r="E61" s="13"/>
      <c r="F61" s="13"/>
      <c r="G61" s="13"/>
      <c r="H61" s="13"/>
      <c r="I61" s="13"/>
      <c r="J61" s="13"/>
      <c r="K61" s="13"/>
      <c r="L61" s="13"/>
      <c r="M61" s="13"/>
      <c r="N61" s="13"/>
      <c r="O61" s="13"/>
      <c r="P61" s="13"/>
      <c r="Q61" s="13"/>
      <c r="R61" s="13"/>
      <c r="S61" s="13"/>
      <c r="T61" s="13"/>
      <c r="U61" s="13"/>
      <c r="V61" s="13"/>
      <c r="W61" s="13"/>
      <c r="X61" s="13"/>
      <c r="Y61" s="13"/>
      <c r="Z61" s="13"/>
    </row>
    <row r="62" spans="1:26" ht="13" x14ac:dyDescent="0.15">
      <c r="A62" s="13"/>
      <c r="B62" s="13"/>
      <c r="C62" s="13"/>
      <c r="D62" s="13"/>
      <c r="E62" s="13"/>
      <c r="F62" s="13"/>
      <c r="G62" s="13"/>
      <c r="H62" s="13"/>
      <c r="I62" s="13"/>
      <c r="J62" s="13"/>
      <c r="K62" s="13"/>
      <c r="L62" s="13"/>
      <c r="M62" s="13"/>
      <c r="N62" s="13"/>
      <c r="O62" s="13"/>
      <c r="P62" s="13"/>
      <c r="Q62" s="13"/>
      <c r="R62" s="13"/>
      <c r="S62" s="13"/>
      <c r="T62" s="13"/>
      <c r="U62" s="13"/>
      <c r="V62" s="13"/>
      <c r="W62" s="13"/>
      <c r="X62" s="13"/>
      <c r="Y62" s="13"/>
      <c r="Z62" s="13"/>
    </row>
    <row r="63" spans="1:26" ht="13" x14ac:dyDescent="0.15">
      <c r="A63" s="13"/>
      <c r="B63" s="13"/>
      <c r="C63" s="13"/>
      <c r="D63" s="13"/>
      <c r="E63" s="13"/>
      <c r="F63" s="13"/>
      <c r="G63" s="13"/>
      <c r="H63" s="13"/>
      <c r="I63" s="13"/>
      <c r="J63" s="13"/>
      <c r="K63" s="13"/>
      <c r="L63" s="13"/>
      <c r="M63" s="13"/>
      <c r="N63" s="13"/>
      <c r="O63" s="13"/>
      <c r="P63" s="13"/>
      <c r="Q63" s="13"/>
      <c r="R63" s="13"/>
      <c r="S63" s="13"/>
      <c r="T63" s="13"/>
      <c r="U63" s="13"/>
      <c r="V63" s="13"/>
      <c r="W63" s="13"/>
      <c r="X63" s="13"/>
      <c r="Y63" s="13"/>
      <c r="Z63" s="13"/>
    </row>
    <row r="64" spans="1:26" ht="13" x14ac:dyDescent="0.15">
      <c r="A64" s="13"/>
      <c r="B64" s="13"/>
      <c r="C64" s="13"/>
      <c r="D64" s="13"/>
      <c r="E64" s="13"/>
      <c r="F64" s="13"/>
      <c r="G64" s="13"/>
      <c r="H64" s="13"/>
      <c r="I64" s="13"/>
      <c r="J64" s="13"/>
      <c r="K64" s="13"/>
      <c r="L64" s="13"/>
      <c r="M64" s="13"/>
      <c r="N64" s="13"/>
      <c r="O64" s="13"/>
      <c r="P64" s="13"/>
      <c r="Q64" s="13"/>
      <c r="R64" s="13"/>
      <c r="S64" s="13"/>
      <c r="T64" s="13"/>
      <c r="U64" s="13"/>
      <c r="V64" s="13"/>
      <c r="W64" s="13"/>
      <c r="X64" s="13"/>
      <c r="Y64" s="13"/>
      <c r="Z64" s="13"/>
    </row>
    <row r="65" spans="1:26" ht="13" x14ac:dyDescent="0.15">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row>
    <row r="66" spans="1:26" ht="13" x14ac:dyDescent="0.15">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row>
    <row r="67" spans="1:26" ht="13" x14ac:dyDescent="0.15">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row>
    <row r="68" spans="1:26" ht="13" x14ac:dyDescent="0.15">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row>
    <row r="69" spans="1:26" ht="13" x14ac:dyDescent="0.15">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row>
    <row r="70" spans="1:26" ht="13" x14ac:dyDescent="0.15">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row>
    <row r="71" spans="1:26" ht="13" x14ac:dyDescent="0.15">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row>
    <row r="72" spans="1:26" ht="13" x14ac:dyDescent="0.15">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row>
    <row r="73" spans="1:26" ht="13" x14ac:dyDescent="0.15">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row>
    <row r="74" spans="1:26" ht="13" x14ac:dyDescent="0.15">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row>
    <row r="75" spans="1:26" ht="13" x14ac:dyDescent="0.15">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row>
    <row r="76" spans="1:26" ht="13" x14ac:dyDescent="0.15">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row>
    <row r="77" spans="1:26" ht="13" x14ac:dyDescent="0.15">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row>
    <row r="78" spans="1:26" ht="13" x14ac:dyDescent="0.15">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row>
    <row r="79" spans="1:26" ht="13" x14ac:dyDescent="0.15">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ht="13" x14ac:dyDescent="0.15">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ht="13" x14ac:dyDescent="0.15">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row>
    <row r="82" spans="1:26" ht="13" x14ac:dyDescent="0.15">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row>
    <row r="83" spans="1:26" ht="13" x14ac:dyDescent="0.15">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ht="13" x14ac:dyDescent="0.15">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ht="13" x14ac:dyDescent="0.15">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ht="13" x14ac:dyDescent="0.15">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ht="13" x14ac:dyDescent="0.1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ht="13" x14ac:dyDescent="0.1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ht="13" x14ac:dyDescent="0.1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ht="13" x14ac:dyDescent="0.1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ht="13" x14ac:dyDescent="0.1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ht="13" x14ac:dyDescent="0.1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ht="13" x14ac:dyDescent="0.1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ht="13" x14ac:dyDescent="0.1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ht="13" x14ac:dyDescent="0.1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ht="13" x14ac:dyDescent="0.1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ht="13" x14ac:dyDescent="0.1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ht="13" x14ac:dyDescent="0.1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ht="13" x14ac:dyDescent="0.1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ht="13" x14ac:dyDescent="0.1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3" x14ac:dyDescent="0.1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3" x14ac:dyDescent="0.1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3" x14ac:dyDescent="0.1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3" x14ac:dyDescent="0.1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3" x14ac:dyDescent="0.1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3" x14ac:dyDescent="0.15">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3" x14ac:dyDescent="0.15">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3" x14ac:dyDescent="0.15">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3" x14ac:dyDescent="0.15">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3" x14ac:dyDescent="0.15">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3" x14ac:dyDescent="0.15">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3" x14ac:dyDescent="0.15">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3" x14ac:dyDescent="0.15">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3" x14ac:dyDescent="0.15">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3" x14ac:dyDescent="0.15">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3" x14ac:dyDescent="0.15">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3" x14ac:dyDescent="0.15">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3" x14ac:dyDescent="0.15">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3" x14ac:dyDescent="0.15">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3" x14ac:dyDescent="0.15">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3" x14ac:dyDescent="0.15">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3" x14ac:dyDescent="0.15">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3" x14ac:dyDescent="0.15">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3" x14ac:dyDescent="0.15">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3" x14ac:dyDescent="0.15">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3" x14ac:dyDescent="0.15">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3" x14ac:dyDescent="0.15">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3" x14ac:dyDescent="0.15">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3" x14ac:dyDescent="0.15">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3" x14ac:dyDescent="0.15">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3" x14ac:dyDescent="0.15">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3" x14ac:dyDescent="0.15">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3" x14ac:dyDescent="0.15">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3" x14ac:dyDescent="0.15">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3" x14ac:dyDescent="0.15">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3" x14ac:dyDescent="0.15">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3" x14ac:dyDescent="0.15">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3" x14ac:dyDescent="0.15">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3" x14ac:dyDescent="0.15">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3" x14ac:dyDescent="0.15">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3" x14ac:dyDescent="0.15">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3" x14ac:dyDescent="0.15">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3" x14ac:dyDescent="0.15">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3" x14ac:dyDescent="0.15">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3" x14ac:dyDescent="0.15">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3" x14ac:dyDescent="0.15">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3" x14ac:dyDescent="0.15">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3" x14ac:dyDescent="0.15">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3" x14ac:dyDescent="0.15">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3" x14ac:dyDescent="0.15">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3" x14ac:dyDescent="0.15">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3" x14ac:dyDescent="0.15">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3" x14ac:dyDescent="0.15">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3" x14ac:dyDescent="0.15">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3" x14ac:dyDescent="0.15">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3" x14ac:dyDescent="0.15">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3" x14ac:dyDescent="0.15">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3" x14ac:dyDescent="0.15">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3" x14ac:dyDescent="0.15">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3" x14ac:dyDescent="0.15">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3" x14ac:dyDescent="0.15">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3" x14ac:dyDescent="0.15">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3" x14ac:dyDescent="0.15">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3" x14ac:dyDescent="0.15">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3" x14ac:dyDescent="0.15">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3" x14ac:dyDescent="0.15">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3" x14ac:dyDescent="0.15">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3" x14ac:dyDescent="0.15">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3" x14ac:dyDescent="0.15">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3" x14ac:dyDescent="0.15">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3" x14ac:dyDescent="0.15">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3" x14ac:dyDescent="0.15">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3" x14ac:dyDescent="0.15">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3" x14ac:dyDescent="0.15">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3" x14ac:dyDescent="0.15">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3" x14ac:dyDescent="0.15">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3" x14ac:dyDescent="0.15">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3" x14ac:dyDescent="0.15">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3" x14ac:dyDescent="0.15">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3" x14ac:dyDescent="0.15">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3" x14ac:dyDescent="0.15">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3" x14ac:dyDescent="0.15">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3" x14ac:dyDescent="0.15">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3" x14ac:dyDescent="0.15">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3" x14ac:dyDescent="0.15">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3" x14ac:dyDescent="0.15">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3" x14ac:dyDescent="0.15">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3" x14ac:dyDescent="0.15">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3" x14ac:dyDescent="0.15">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3" x14ac:dyDescent="0.15">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3" x14ac:dyDescent="0.15">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3" x14ac:dyDescent="0.15">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3" x14ac:dyDescent="0.15">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3" x14ac:dyDescent="0.15">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3" x14ac:dyDescent="0.15">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3" x14ac:dyDescent="0.15">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3" x14ac:dyDescent="0.15">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3" x14ac:dyDescent="0.15">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3" x14ac:dyDescent="0.15">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3" x14ac:dyDescent="0.15">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3" x14ac:dyDescent="0.15">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3" x14ac:dyDescent="0.15">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3" x14ac:dyDescent="0.15">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3" x14ac:dyDescent="0.15">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3" x14ac:dyDescent="0.15">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3" x14ac:dyDescent="0.15">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3" x14ac:dyDescent="0.15">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3" x14ac:dyDescent="0.15">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3" x14ac:dyDescent="0.15">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3" x14ac:dyDescent="0.15">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3" x14ac:dyDescent="0.15">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3" x14ac:dyDescent="0.15">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3" x14ac:dyDescent="0.15">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3" x14ac:dyDescent="0.15">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3" x14ac:dyDescent="0.15">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3" x14ac:dyDescent="0.15">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3" x14ac:dyDescent="0.15">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3" x14ac:dyDescent="0.15">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3" x14ac:dyDescent="0.15">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3" x14ac:dyDescent="0.15">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3" x14ac:dyDescent="0.15">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3" x14ac:dyDescent="0.15">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3" x14ac:dyDescent="0.15">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3" x14ac:dyDescent="0.15">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3" x14ac:dyDescent="0.15">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3" x14ac:dyDescent="0.15">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3" x14ac:dyDescent="0.15">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3" x14ac:dyDescent="0.15">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3" x14ac:dyDescent="0.15">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3" x14ac:dyDescent="0.15">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3" x14ac:dyDescent="0.15">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3" x14ac:dyDescent="0.15">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3" x14ac:dyDescent="0.15">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3" x14ac:dyDescent="0.15">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3" x14ac:dyDescent="0.15">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3" x14ac:dyDescent="0.15">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3" x14ac:dyDescent="0.15">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3" x14ac:dyDescent="0.15">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3" x14ac:dyDescent="0.15">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3" x14ac:dyDescent="0.15">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3" x14ac:dyDescent="0.1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3" x14ac:dyDescent="0.1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3" x14ac:dyDescent="0.1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3" x14ac:dyDescent="0.1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3" x14ac:dyDescent="0.1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3" x14ac:dyDescent="0.1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3" x14ac:dyDescent="0.1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3" x14ac:dyDescent="0.1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3" x14ac:dyDescent="0.1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3" x14ac:dyDescent="0.1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3" x14ac:dyDescent="0.1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3" x14ac:dyDescent="0.1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3" x14ac:dyDescent="0.1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3" x14ac:dyDescent="0.1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3" x14ac:dyDescent="0.1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3" x14ac:dyDescent="0.1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3" x14ac:dyDescent="0.1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3" x14ac:dyDescent="0.1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3" x14ac:dyDescent="0.1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3" x14ac:dyDescent="0.1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ht="13" x14ac:dyDescent="0.1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ht="13" x14ac:dyDescent="0.1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ht="13" x14ac:dyDescent="0.1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row>
    <row r="264" spans="1:26" ht="13" x14ac:dyDescent="0.1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row>
    <row r="265" spans="1:26" ht="13" x14ac:dyDescent="0.1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row>
    <row r="266" spans="1:26" ht="13" x14ac:dyDescent="0.1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row>
    <row r="267" spans="1:26" ht="13" x14ac:dyDescent="0.1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row>
    <row r="268" spans="1:26" ht="13" x14ac:dyDescent="0.1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row>
    <row r="269" spans="1:26" ht="13" x14ac:dyDescent="0.1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row>
    <row r="270" spans="1:26" ht="13" x14ac:dyDescent="0.1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row>
    <row r="271" spans="1:26" ht="13" x14ac:dyDescent="0.1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row>
    <row r="272" spans="1:26" ht="13" x14ac:dyDescent="0.1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row>
    <row r="273" spans="1:26" ht="13" x14ac:dyDescent="0.1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row>
    <row r="274" spans="1:26" ht="13" x14ac:dyDescent="0.1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row>
    <row r="275" spans="1:26" ht="13" x14ac:dyDescent="0.1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row>
    <row r="276" spans="1:26" ht="13" x14ac:dyDescent="0.1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row>
    <row r="277" spans="1:26" ht="13" x14ac:dyDescent="0.1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row>
    <row r="278" spans="1:26" ht="13" x14ac:dyDescent="0.1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row>
    <row r="279" spans="1:26" ht="13" x14ac:dyDescent="0.1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row>
    <row r="280" spans="1:26" ht="13" x14ac:dyDescent="0.1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row>
    <row r="281" spans="1:26" ht="13" x14ac:dyDescent="0.1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row>
    <row r="282" spans="1:26" ht="13" x14ac:dyDescent="0.1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row>
    <row r="283" spans="1:26" ht="13" x14ac:dyDescent="0.1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row>
    <row r="284" spans="1:26" ht="13" x14ac:dyDescent="0.1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row>
    <row r="285" spans="1:26" ht="13" x14ac:dyDescent="0.1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row>
    <row r="286" spans="1:26" ht="13" x14ac:dyDescent="0.1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row>
    <row r="287" spans="1:26" ht="13" x14ac:dyDescent="0.1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row>
    <row r="288" spans="1:26" ht="13" x14ac:dyDescent="0.1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row>
    <row r="289" spans="1:26" ht="13" x14ac:dyDescent="0.1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row>
    <row r="290" spans="1:26" ht="13" x14ac:dyDescent="0.1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3" x14ac:dyDescent="0.1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3" x14ac:dyDescent="0.1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3" x14ac:dyDescent="0.1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3" x14ac:dyDescent="0.1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3" x14ac:dyDescent="0.1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3" x14ac:dyDescent="0.1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3" x14ac:dyDescent="0.1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3" x14ac:dyDescent="0.1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3" x14ac:dyDescent="0.1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3" x14ac:dyDescent="0.1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3" x14ac:dyDescent="0.1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3" x14ac:dyDescent="0.1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3" x14ac:dyDescent="0.1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3" x14ac:dyDescent="0.1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3" x14ac:dyDescent="0.1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3" x14ac:dyDescent="0.1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3" x14ac:dyDescent="0.1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3" x14ac:dyDescent="0.1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3" x14ac:dyDescent="0.1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3" x14ac:dyDescent="0.1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3" x14ac:dyDescent="0.1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3" x14ac:dyDescent="0.1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3" x14ac:dyDescent="0.1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3" x14ac:dyDescent="0.1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3" x14ac:dyDescent="0.1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3" x14ac:dyDescent="0.1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3" x14ac:dyDescent="0.1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3" x14ac:dyDescent="0.1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3" x14ac:dyDescent="0.1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3" x14ac:dyDescent="0.1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3" x14ac:dyDescent="0.1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3" x14ac:dyDescent="0.1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3" x14ac:dyDescent="0.1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3" x14ac:dyDescent="0.1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3" x14ac:dyDescent="0.1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3" x14ac:dyDescent="0.1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3" x14ac:dyDescent="0.1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3" x14ac:dyDescent="0.1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3" x14ac:dyDescent="0.1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3" x14ac:dyDescent="0.1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3" x14ac:dyDescent="0.1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3" x14ac:dyDescent="0.1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3" x14ac:dyDescent="0.1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3" x14ac:dyDescent="0.1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3" x14ac:dyDescent="0.1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3" x14ac:dyDescent="0.1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3" x14ac:dyDescent="0.1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3" x14ac:dyDescent="0.1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3" x14ac:dyDescent="0.1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3" x14ac:dyDescent="0.1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3" x14ac:dyDescent="0.1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3" x14ac:dyDescent="0.1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3" x14ac:dyDescent="0.1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3" x14ac:dyDescent="0.1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3" x14ac:dyDescent="0.1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3" x14ac:dyDescent="0.1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3" x14ac:dyDescent="0.1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3" x14ac:dyDescent="0.1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3" x14ac:dyDescent="0.1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3" x14ac:dyDescent="0.1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3" x14ac:dyDescent="0.1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3" x14ac:dyDescent="0.1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3" x14ac:dyDescent="0.1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3" x14ac:dyDescent="0.1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3" x14ac:dyDescent="0.1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3" x14ac:dyDescent="0.1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3" x14ac:dyDescent="0.1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3" x14ac:dyDescent="0.1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3" x14ac:dyDescent="0.1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3" x14ac:dyDescent="0.1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3" x14ac:dyDescent="0.1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3" x14ac:dyDescent="0.1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3" x14ac:dyDescent="0.1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3" x14ac:dyDescent="0.1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3" x14ac:dyDescent="0.1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3" x14ac:dyDescent="0.1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3" x14ac:dyDescent="0.1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3" x14ac:dyDescent="0.1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3" x14ac:dyDescent="0.1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3" x14ac:dyDescent="0.1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3" x14ac:dyDescent="0.1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3" x14ac:dyDescent="0.1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3" x14ac:dyDescent="0.1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3" x14ac:dyDescent="0.1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3" x14ac:dyDescent="0.1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3" x14ac:dyDescent="0.1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3" x14ac:dyDescent="0.1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3" x14ac:dyDescent="0.1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3" x14ac:dyDescent="0.1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3" x14ac:dyDescent="0.1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3" x14ac:dyDescent="0.1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3" x14ac:dyDescent="0.1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3" x14ac:dyDescent="0.1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3" x14ac:dyDescent="0.1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3" x14ac:dyDescent="0.1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3" x14ac:dyDescent="0.1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3" x14ac:dyDescent="0.1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3" x14ac:dyDescent="0.1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3" x14ac:dyDescent="0.1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3" x14ac:dyDescent="0.1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3" x14ac:dyDescent="0.1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3" x14ac:dyDescent="0.1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3" x14ac:dyDescent="0.1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3" x14ac:dyDescent="0.1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3" x14ac:dyDescent="0.1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3" x14ac:dyDescent="0.1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3" x14ac:dyDescent="0.1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3" x14ac:dyDescent="0.1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3" x14ac:dyDescent="0.1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3" x14ac:dyDescent="0.1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3" x14ac:dyDescent="0.1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3" x14ac:dyDescent="0.1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3" x14ac:dyDescent="0.1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3" x14ac:dyDescent="0.1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3" x14ac:dyDescent="0.1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3" x14ac:dyDescent="0.1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3" x14ac:dyDescent="0.1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3" x14ac:dyDescent="0.1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3" x14ac:dyDescent="0.1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3" x14ac:dyDescent="0.1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3" x14ac:dyDescent="0.1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3" x14ac:dyDescent="0.1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3" x14ac:dyDescent="0.1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3" x14ac:dyDescent="0.1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3" x14ac:dyDescent="0.1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3" x14ac:dyDescent="0.1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3" x14ac:dyDescent="0.1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3" x14ac:dyDescent="0.1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3" x14ac:dyDescent="0.1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3" x14ac:dyDescent="0.1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3" x14ac:dyDescent="0.1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3" x14ac:dyDescent="0.1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3" x14ac:dyDescent="0.1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3" x14ac:dyDescent="0.1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3" x14ac:dyDescent="0.1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3" x14ac:dyDescent="0.1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3" x14ac:dyDescent="0.1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3" x14ac:dyDescent="0.1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3" x14ac:dyDescent="0.1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3" x14ac:dyDescent="0.1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3" x14ac:dyDescent="0.1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3" x14ac:dyDescent="0.1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3" x14ac:dyDescent="0.1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3" x14ac:dyDescent="0.1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3" x14ac:dyDescent="0.1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3" x14ac:dyDescent="0.1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3" x14ac:dyDescent="0.1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3" x14ac:dyDescent="0.1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3" x14ac:dyDescent="0.1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3" x14ac:dyDescent="0.1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3" x14ac:dyDescent="0.1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3" x14ac:dyDescent="0.1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3" x14ac:dyDescent="0.1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3" x14ac:dyDescent="0.1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3" x14ac:dyDescent="0.1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3" x14ac:dyDescent="0.1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3" x14ac:dyDescent="0.1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3" x14ac:dyDescent="0.1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3" x14ac:dyDescent="0.1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3" x14ac:dyDescent="0.1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3" x14ac:dyDescent="0.1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3" x14ac:dyDescent="0.1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3" x14ac:dyDescent="0.1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3" x14ac:dyDescent="0.1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3" x14ac:dyDescent="0.1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3" x14ac:dyDescent="0.1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3" x14ac:dyDescent="0.1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3" x14ac:dyDescent="0.1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3" x14ac:dyDescent="0.1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3" x14ac:dyDescent="0.1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3" x14ac:dyDescent="0.1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3" x14ac:dyDescent="0.1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3" x14ac:dyDescent="0.1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3" x14ac:dyDescent="0.1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3" x14ac:dyDescent="0.1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3" x14ac:dyDescent="0.1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3" x14ac:dyDescent="0.1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3" x14ac:dyDescent="0.1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3" x14ac:dyDescent="0.1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3" x14ac:dyDescent="0.1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3" x14ac:dyDescent="0.1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3" x14ac:dyDescent="0.1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3" x14ac:dyDescent="0.1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3" x14ac:dyDescent="0.1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3" x14ac:dyDescent="0.1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3" x14ac:dyDescent="0.1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3" x14ac:dyDescent="0.1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3" x14ac:dyDescent="0.1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3" x14ac:dyDescent="0.1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3" x14ac:dyDescent="0.1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3" x14ac:dyDescent="0.1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3" x14ac:dyDescent="0.1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3" x14ac:dyDescent="0.1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3" x14ac:dyDescent="0.1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3" x14ac:dyDescent="0.1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3" x14ac:dyDescent="0.1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3" x14ac:dyDescent="0.1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3" x14ac:dyDescent="0.1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3" x14ac:dyDescent="0.1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3" x14ac:dyDescent="0.1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row>
    <row r="491" spans="1:26" ht="13" x14ac:dyDescent="0.1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row>
    <row r="492" spans="1:26" ht="13" x14ac:dyDescent="0.1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row>
    <row r="493" spans="1:26" ht="13" x14ac:dyDescent="0.1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row>
    <row r="494" spans="1:26" ht="13" x14ac:dyDescent="0.1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row>
    <row r="495" spans="1:26" ht="13" x14ac:dyDescent="0.1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row>
    <row r="496" spans="1:26" ht="13" x14ac:dyDescent="0.1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row>
    <row r="497" spans="1:26" ht="13" x14ac:dyDescent="0.1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row>
    <row r="498" spans="1:26" ht="13" x14ac:dyDescent="0.1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row>
    <row r="499" spans="1:26" ht="13" x14ac:dyDescent="0.1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row>
    <row r="500" spans="1:26" ht="13" x14ac:dyDescent="0.1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row>
    <row r="501" spans="1:26" ht="13" x14ac:dyDescent="0.1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row>
    <row r="502" spans="1:26" ht="13" x14ac:dyDescent="0.1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row>
    <row r="503" spans="1:26" ht="13" x14ac:dyDescent="0.1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row>
    <row r="504" spans="1:26" ht="13" x14ac:dyDescent="0.1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row>
    <row r="505" spans="1:26" ht="13" x14ac:dyDescent="0.1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row>
    <row r="506" spans="1:26" ht="13" x14ac:dyDescent="0.1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row>
    <row r="507" spans="1:26" ht="13" x14ac:dyDescent="0.1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row>
    <row r="508" spans="1:26" ht="13" x14ac:dyDescent="0.1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row>
    <row r="509" spans="1:26" ht="13" x14ac:dyDescent="0.1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row>
    <row r="510" spans="1:26" ht="13" x14ac:dyDescent="0.1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row>
    <row r="511" spans="1:26" ht="13" x14ac:dyDescent="0.1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row>
    <row r="512" spans="1:26" ht="13" x14ac:dyDescent="0.1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row>
    <row r="513" spans="1:26" ht="13" x14ac:dyDescent="0.1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row>
    <row r="514" spans="1:26" ht="13" x14ac:dyDescent="0.1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row>
    <row r="515" spans="1:26" ht="13" x14ac:dyDescent="0.1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row>
    <row r="516" spans="1:26" ht="13" x14ac:dyDescent="0.1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row>
    <row r="517" spans="1:26" ht="13" x14ac:dyDescent="0.1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row>
    <row r="518" spans="1:26" ht="13" x14ac:dyDescent="0.1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row>
    <row r="519" spans="1:26" ht="13" x14ac:dyDescent="0.1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row>
    <row r="520" spans="1:26" ht="13" x14ac:dyDescent="0.1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row>
    <row r="521" spans="1:26" ht="13" x14ac:dyDescent="0.1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row>
    <row r="522" spans="1:26" ht="13" x14ac:dyDescent="0.1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row>
    <row r="523" spans="1:26" ht="13" x14ac:dyDescent="0.1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row>
    <row r="524" spans="1:26" ht="13" x14ac:dyDescent="0.1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row>
    <row r="525" spans="1:26" ht="13" x14ac:dyDescent="0.1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row>
    <row r="526" spans="1:26" ht="13" x14ac:dyDescent="0.1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row>
    <row r="527" spans="1:26" ht="13" x14ac:dyDescent="0.1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row>
    <row r="528" spans="1:26" ht="13" x14ac:dyDescent="0.1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row>
    <row r="529" spans="1:26" ht="13" x14ac:dyDescent="0.1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row>
    <row r="530" spans="1:26" ht="13" x14ac:dyDescent="0.1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row>
    <row r="531" spans="1:26" ht="13" x14ac:dyDescent="0.1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row>
    <row r="532" spans="1:26" ht="13" x14ac:dyDescent="0.1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row>
    <row r="533" spans="1:26" ht="13" x14ac:dyDescent="0.1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row>
    <row r="534" spans="1:26" ht="13" x14ac:dyDescent="0.1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row>
    <row r="535" spans="1:26" ht="13" x14ac:dyDescent="0.1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row>
    <row r="536" spans="1:26" ht="13" x14ac:dyDescent="0.1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row>
    <row r="537" spans="1:26" ht="13" x14ac:dyDescent="0.1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row>
    <row r="538" spans="1:26" ht="13" x14ac:dyDescent="0.1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row>
    <row r="539" spans="1:26" ht="13" x14ac:dyDescent="0.1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row>
    <row r="540" spans="1:26" ht="13" x14ac:dyDescent="0.1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row>
    <row r="541" spans="1:26" ht="13" x14ac:dyDescent="0.1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row>
    <row r="542" spans="1:26" ht="13" x14ac:dyDescent="0.1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row>
    <row r="543" spans="1:26" ht="13" x14ac:dyDescent="0.1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row>
    <row r="544" spans="1:26" ht="13" x14ac:dyDescent="0.1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row>
    <row r="545" spans="1:26" ht="13" x14ac:dyDescent="0.1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row>
    <row r="546" spans="1:26" ht="13" x14ac:dyDescent="0.1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row>
    <row r="547" spans="1:26" ht="13" x14ac:dyDescent="0.1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row>
    <row r="548" spans="1:26" ht="13" x14ac:dyDescent="0.1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row>
    <row r="549" spans="1:26" ht="13" x14ac:dyDescent="0.1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row>
    <row r="550" spans="1:26" ht="13" x14ac:dyDescent="0.1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row>
    <row r="551" spans="1:26" ht="13" x14ac:dyDescent="0.1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row>
    <row r="552" spans="1:26" ht="13" x14ac:dyDescent="0.1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row>
    <row r="553" spans="1:26" ht="13" x14ac:dyDescent="0.1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row>
    <row r="554" spans="1:26" ht="13" x14ac:dyDescent="0.1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row>
    <row r="555" spans="1:26" ht="13" x14ac:dyDescent="0.1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row>
    <row r="556" spans="1:26" ht="13" x14ac:dyDescent="0.1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row>
    <row r="557" spans="1:26" ht="13" x14ac:dyDescent="0.1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row>
    <row r="558" spans="1:26" ht="13" x14ac:dyDescent="0.1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row>
    <row r="559" spans="1:26" ht="13" x14ac:dyDescent="0.1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row>
    <row r="560" spans="1:26" ht="13" x14ac:dyDescent="0.1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row>
    <row r="561" spans="1:26" ht="13" x14ac:dyDescent="0.1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row>
    <row r="562" spans="1:26" ht="13" x14ac:dyDescent="0.1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row>
    <row r="563" spans="1:26" ht="13" x14ac:dyDescent="0.1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row>
    <row r="564" spans="1:26" ht="13" x14ac:dyDescent="0.1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row>
    <row r="565" spans="1:26" ht="13" x14ac:dyDescent="0.1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row>
    <row r="566" spans="1:26" ht="13" x14ac:dyDescent="0.1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row>
    <row r="567" spans="1:26" ht="13" x14ac:dyDescent="0.1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row>
    <row r="568" spans="1:26" ht="13" x14ac:dyDescent="0.1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row>
    <row r="569" spans="1:26" ht="13" x14ac:dyDescent="0.1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row>
    <row r="570" spans="1:26" ht="13" x14ac:dyDescent="0.1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row>
    <row r="571" spans="1:26" ht="13" x14ac:dyDescent="0.1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row>
    <row r="572" spans="1:26" ht="13" x14ac:dyDescent="0.1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row>
    <row r="573" spans="1:26" ht="13" x14ac:dyDescent="0.1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row>
    <row r="574" spans="1:26" ht="13" x14ac:dyDescent="0.1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row>
    <row r="575" spans="1:26" ht="13" x14ac:dyDescent="0.1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row>
    <row r="576" spans="1:26" ht="13" x14ac:dyDescent="0.1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row>
    <row r="577" spans="1:26" ht="13" x14ac:dyDescent="0.1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row>
    <row r="578" spans="1:26" ht="13" x14ac:dyDescent="0.1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row>
    <row r="579" spans="1:26" ht="13" x14ac:dyDescent="0.1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row>
    <row r="580" spans="1:26" ht="13" x14ac:dyDescent="0.1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row>
    <row r="581" spans="1:26" ht="13" x14ac:dyDescent="0.1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row>
    <row r="582" spans="1:26" ht="13" x14ac:dyDescent="0.1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row>
    <row r="583" spans="1:26" ht="13" x14ac:dyDescent="0.1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row>
    <row r="584" spans="1:26" ht="13" x14ac:dyDescent="0.1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row>
    <row r="585" spans="1:26" ht="13" x14ac:dyDescent="0.1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row>
    <row r="586" spans="1:26" ht="13" x14ac:dyDescent="0.1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row>
    <row r="587" spans="1:26" ht="13" x14ac:dyDescent="0.1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row>
    <row r="588" spans="1:26" ht="13" x14ac:dyDescent="0.1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row>
    <row r="589" spans="1:26" ht="13" x14ac:dyDescent="0.1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row>
    <row r="590" spans="1:26" ht="13" x14ac:dyDescent="0.1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row>
    <row r="591" spans="1:26" ht="13" x14ac:dyDescent="0.1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row>
    <row r="592" spans="1:26" ht="13" x14ac:dyDescent="0.1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row>
    <row r="593" spans="1:26" ht="13" x14ac:dyDescent="0.1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row>
    <row r="594" spans="1:26" ht="13" x14ac:dyDescent="0.1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row>
    <row r="595" spans="1:26" ht="13" x14ac:dyDescent="0.1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row>
    <row r="596" spans="1:26" ht="13" x14ac:dyDescent="0.1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row>
    <row r="597" spans="1:26" ht="13" x14ac:dyDescent="0.1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row>
    <row r="598" spans="1:26" ht="13" x14ac:dyDescent="0.1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row>
    <row r="599" spans="1:26" ht="13" x14ac:dyDescent="0.1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row>
    <row r="600" spans="1:26" ht="13" x14ac:dyDescent="0.1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row>
    <row r="601" spans="1:26" ht="13" x14ac:dyDescent="0.1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row>
    <row r="602" spans="1:26" ht="13" x14ac:dyDescent="0.1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row>
    <row r="603" spans="1:26" ht="13" x14ac:dyDescent="0.1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row>
    <row r="604" spans="1:26" ht="13" x14ac:dyDescent="0.1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row>
    <row r="605" spans="1:26" ht="13" x14ac:dyDescent="0.1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row>
    <row r="606" spans="1:26" ht="13" x14ac:dyDescent="0.1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row>
    <row r="607" spans="1:26" ht="13" x14ac:dyDescent="0.1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row>
    <row r="608" spans="1:26" ht="13" x14ac:dyDescent="0.1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row>
    <row r="609" spans="1:26" ht="13" x14ac:dyDescent="0.1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row>
    <row r="610" spans="1:26" ht="13" x14ac:dyDescent="0.1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row>
    <row r="611" spans="1:26" ht="13" x14ac:dyDescent="0.1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row>
    <row r="612" spans="1:26" ht="13" x14ac:dyDescent="0.1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row>
    <row r="613" spans="1:26" ht="13" x14ac:dyDescent="0.1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row>
    <row r="614" spans="1:26" ht="13" x14ac:dyDescent="0.1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row>
    <row r="615" spans="1:26" ht="13" x14ac:dyDescent="0.1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row>
    <row r="616" spans="1:26" ht="13" x14ac:dyDescent="0.1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row>
    <row r="617" spans="1:26" ht="13" x14ac:dyDescent="0.1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row>
    <row r="618" spans="1:26" ht="13" x14ac:dyDescent="0.1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row>
    <row r="619" spans="1:26" ht="13" x14ac:dyDescent="0.1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row>
    <row r="620" spans="1:26" ht="13" x14ac:dyDescent="0.1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row>
    <row r="621" spans="1:26" ht="13" x14ac:dyDescent="0.1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row>
    <row r="622" spans="1:26" ht="13" x14ac:dyDescent="0.1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row>
    <row r="623" spans="1:26" ht="13" x14ac:dyDescent="0.1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row>
    <row r="624" spans="1:26" ht="13" x14ac:dyDescent="0.1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row>
    <row r="625" spans="1:26" ht="13" x14ac:dyDescent="0.1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row>
    <row r="626" spans="1:26" ht="13" x14ac:dyDescent="0.1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row>
    <row r="627" spans="1:26" ht="13" x14ac:dyDescent="0.1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row>
    <row r="628" spans="1:26" ht="13" x14ac:dyDescent="0.1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row>
    <row r="629" spans="1:26" ht="13" x14ac:dyDescent="0.1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row>
    <row r="630" spans="1:26" ht="13" x14ac:dyDescent="0.1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row>
    <row r="631" spans="1:26" ht="13" x14ac:dyDescent="0.1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row>
    <row r="632" spans="1:26" ht="13" x14ac:dyDescent="0.1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row>
    <row r="633" spans="1:26" ht="13" x14ac:dyDescent="0.1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row>
    <row r="634" spans="1:26" ht="13" x14ac:dyDescent="0.1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row>
    <row r="635" spans="1:26" ht="13" x14ac:dyDescent="0.1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row>
    <row r="636" spans="1:26" ht="13" x14ac:dyDescent="0.1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row>
    <row r="637" spans="1:26" ht="13" x14ac:dyDescent="0.1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row>
    <row r="638" spans="1:26" ht="13" x14ac:dyDescent="0.1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row>
    <row r="639" spans="1:26" ht="13" x14ac:dyDescent="0.1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row>
    <row r="640" spans="1:26" ht="13" x14ac:dyDescent="0.1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row>
    <row r="641" spans="1:26" ht="13" x14ac:dyDescent="0.1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row>
    <row r="642" spans="1:26" ht="13" x14ac:dyDescent="0.1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row>
    <row r="643" spans="1:26" ht="13" x14ac:dyDescent="0.1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row>
    <row r="644" spans="1:26" ht="13" x14ac:dyDescent="0.1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row>
    <row r="645" spans="1:26" ht="13" x14ac:dyDescent="0.1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row>
    <row r="646" spans="1:26" ht="13" x14ac:dyDescent="0.1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row>
    <row r="647" spans="1:26" ht="13" x14ac:dyDescent="0.1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row>
    <row r="648" spans="1:26" ht="13" x14ac:dyDescent="0.1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row>
    <row r="649" spans="1:26" ht="13" x14ac:dyDescent="0.1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row>
    <row r="650" spans="1:26" ht="13" x14ac:dyDescent="0.1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row>
    <row r="651" spans="1:26" ht="13" x14ac:dyDescent="0.1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row>
    <row r="652" spans="1:26" ht="13" x14ac:dyDescent="0.1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row>
    <row r="653" spans="1:26" ht="13" x14ac:dyDescent="0.1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row>
    <row r="654" spans="1:26" ht="13" x14ac:dyDescent="0.1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row>
    <row r="655" spans="1:26" ht="13" x14ac:dyDescent="0.1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row>
    <row r="656" spans="1:26" ht="13" x14ac:dyDescent="0.1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row>
    <row r="657" spans="1:26" ht="13" x14ac:dyDescent="0.1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row>
    <row r="658" spans="1:26" ht="13" x14ac:dyDescent="0.1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row>
    <row r="659" spans="1:26" ht="13" x14ac:dyDescent="0.1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row>
    <row r="660" spans="1:26" ht="13" x14ac:dyDescent="0.1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row>
    <row r="661" spans="1:26" ht="13" x14ac:dyDescent="0.1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row>
    <row r="662" spans="1:26" ht="13" x14ac:dyDescent="0.1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row>
    <row r="663" spans="1:26" ht="13" x14ac:dyDescent="0.1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row>
    <row r="664" spans="1:26" ht="13" x14ac:dyDescent="0.1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row>
    <row r="665" spans="1:26" ht="13" x14ac:dyDescent="0.1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row>
    <row r="666" spans="1:26" ht="13" x14ac:dyDescent="0.1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row>
    <row r="667" spans="1:26" ht="13" x14ac:dyDescent="0.1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row>
    <row r="668" spans="1:26" ht="13" x14ac:dyDescent="0.1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row>
    <row r="669" spans="1:26" ht="13" x14ac:dyDescent="0.1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row>
    <row r="670" spans="1:26" ht="13" x14ac:dyDescent="0.1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row>
    <row r="671" spans="1:26" ht="13" x14ac:dyDescent="0.1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row>
    <row r="672" spans="1:26" ht="13" x14ac:dyDescent="0.1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row>
    <row r="673" spans="1:26" ht="13" x14ac:dyDescent="0.1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row>
    <row r="674" spans="1:26" ht="13" x14ac:dyDescent="0.1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row>
    <row r="675" spans="1:26" ht="13" x14ac:dyDescent="0.1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row>
    <row r="676" spans="1:26" ht="13" x14ac:dyDescent="0.1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row>
    <row r="677" spans="1:26" ht="13" x14ac:dyDescent="0.1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row>
    <row r="678" spans="1:26" ht="13" x14ac:dyDescent="0.1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row>
    <row r="679" spans="1:26" ht="13" x14ac:dyDescent="0.1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row>
    <row r="680" spans="1:26" ht="13" x14ac:dyDescent="0.1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row>
    <row r="681" spans="1:26" ht="13" x14ac:dyDescent="0.1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row>
    <row r="682" spans="1:26" ht="13" x14ac:dyDescent="0.1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row>
    <row r="683" spans="1:26" ht="13" x14ac:dyDescent="0.1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row>
    <row r="684" spans="1:26" ht="13" x14ac:dyDescent="0.1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row>
    <row r="685" spans="1:26" ht="13" x14ac:dyDescent="0.1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row>
    <row r="686" spans="1:26" ht="13" x14ac:dyDescent="0.1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row>
    <row r="687" spans="1:26" ht="13" x14ac:dyDescent="0.1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row>
    <row r="688" spans="1:26" ht="13" x14ac:dyDescent="0.1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row>
    <row r="689" spans="1:26" ht="13" x14ac:dyDescent="0.1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row>
    <row r="690" spans="1:26" ht="13" x14ac:dyDescent="0.1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row>
    <row r="691" spans="1:26" ht="13" x14ac:dyDescent="0.1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row>
    <row r="692" spans="1:26" ht="13" x14ac:dyDescent="0.1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row>
    <row r="693" spans="1:26" ht="13" x14ac:dyDescent="0.1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row>
    <row r="694" spans="1:26" ht="13" x14ac:dyDescent="0.1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row>
    <row r="695" spans="1:26" ht="13" x14ac:dyDescent="0.1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row>
    <row r="696" spans="1:26" ht="13" x14ac:dyDescent="0.1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row>
    <row r="697" spans="1:26" ht="13" x14ac:dyDescent="0.1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row>
    <row r="698" spans="1:26" ht="13" x14ac:dyDescent="0.1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row>
    <row r="699" spans="1:26" ht="13" x14ac:dyDescent="0.1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row>
    <row r="700" spans="1:26" ht="13" x14ac:dyDescent="0.1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row>
    <row r="701" spans="1:26" ht="13" x14ac:dyDescent="0.1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row>
    <row r="702" spans="1:26" ht="13" x14ac:dyDescent="0.1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row>
    <row r="703" spans="1:26" ht="13" x14ac:dyDescent="0.1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row>
    <row r="704" spans="1:26" ht="13" x14ac:dyDescent="0.1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row>
    <row r="705" spans="1:26" ht="13" x14ac:dyDescent="0.1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row>
    <row r="706" spans="1:26" ht="13" x14ac:dyDescent="0.1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row>
    <row r="707" spans="1:26" ht="13" x14ac:dyDescent="0.1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row>
    <row r="708" spans="1:26" ht="13" x14ac:dyDescent="0.1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row>
    <row r="709" spans="1:26" ht="13" x14ac:dyDescent="0.1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row>
    <row r="710" spans="1:26" ht="13" x14ac:dyDescent="0.1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row>
    <row r="711" spans="1:26" ht="13" x14ac:dyDescent="0.1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row>
    <row r="712" spans="1:26" ht="13" x14ac:dyDescent="0.1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row>
    <row r="713" spans="1:26" ht="13" x14ac:dyDescent="0.1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row>
    <row r="714" spans="1:26" ht="13" x14ac:dyDescent="0.1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row>
    <row r="715" spans="1:26" ht="13" x14ac:dyDescent="0.1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row>
    <row r="716" spans="1:26" ht="13" x14ac:dyDescent="0.1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row>
    <row r="717" spans="1:26" ht="13" x14ac:dyDescent="0.1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row>
    <row r="718" spans="1:26" ht="13" x14ac:dyDescent="0.1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row>
    <row r="719" spans="1:26" ht="13" x14ac:dyDescent="0.1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row>
    <row r="720" spans="1:26" ht="13" x14ac:dyDescent="0.1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row>
    <row r="721" spans="1:26" ht="13" x14ac:dyDescent="0.1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row>
    <row r="722" spans="1:26" ht="13" x14ac:dyDescent="0.1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row>
    <row r="723" spans="1:26" ht="13" x14ac:dyDescent="0.1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row>
    <row r="724" spans="1:26" ht="13" x14ac:dyDescent="0.1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row>
    <row r="725" spans="1:26" ht="13" x14ac:dyDescent="0.1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row>
    <row r="726" spans="1:26" ht="13" x14ac:dyDescent="0.1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row>
    <row r="727" spans="1:26" ht="13" x14ac:dyDescent="0.1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row>
    <row r="728" spans="1:26" ht="13" x14ac:dyDescent="0.1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row>
    <row r="729" spans="1:26" ht="13" x14ac:dyDescent="0.1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row>
    <row r="730" spans="1:26" ht="13" x14ac:dyDescent="0.1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row>
    <row r="731" spans="1:26" ht="13" x14ac:dyDescent="0.1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row>
    <row r="732" spans="1:26" ht="13" x14ac:dyDescent="0.1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row>
    <row r="733" spans="1:26" ht="13" x14ac:dyDescent="0.1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row>
    <row r="734" spans="1:26" ht="13" x14ac:dyDescent="0.1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row>
    <row r="735" spans="1:26" ht="13" x14ac:dyDescent="0.1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row>
    <row r="736" spans="1:26" ht="13" x14ac:dyDescent="0.1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row>
    <row r="737" spans="1:26" ht="13" x14ac:dyDescent="0.1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row>
    <row r="738" spans="1:26" ht="13" x14ac:dyDescent="0.1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row>
    <row r="739" spans="1:26" ht="13" x14ac:dyDescent="0.1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row>
    <row r="740" spans="1:26" ht="13" x14ac:dyDescent="0.1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row>
    <row r="741" spans="1:26" ht="13" x14ac:dyDescent="0.1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row>
    <row r="742" spans="1:26" ht="13" x14ac:dyDescent="0.1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row>
    <row r="743" spans="1:26" ht="13" x14ac:dyDescent="0.1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row>
    <row r="744" spans="1:26" ht="13" x14ac:dyDescent="0.1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row>
    <row r="745" spans="1:26" ht="13" x14ac:dyDescent="0.1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row>
    <row r="746" spans="1:26" ht="13" x14ac:dyDescent="0.1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row>
    <row r="747" spans="1:26" ht="13" x14ac:dyDescent="0.1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row>
    <row r="748" spans="1:26" ht="13" x14ac:dyDescent="0.1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row>
    <row r="749" spans="1:26" ht="13" x14ac:dyDescent="0.1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row>
    <row r="750" spans="1:26" ht="13" x14ac:dyDescent="0.1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row>
    <row r="751" spans="1:26" ht="13" x14ac:dyDescent="0.1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row>
    <row r="752" spans="1:26" ht="13" x14ac:dyDescent="0.1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row>
    <row r="753" spans="1:26" ht="13" x14ac:dyDescent="0.1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row>
    <row r="754" spans="1:26" ht="13" x14ac:dyDescent="0.1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row>
    <row r="755" spans="1:26" ht="13" x14ac:dyDescent="0.1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row>
    <row r="756" spans="1:26" ht="13" x14ac:dyDescent="0.1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row>
    <row r="757" spans="1:26" ht="13" x14ac:dyDescent="0.1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row>
    <row r="758" spans="1:26" ht="13" x14ac:dyDescent="0.1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row>
    <row r="759" spans="1:26" ht="13" x14ac:dyDescent="0.1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row>
    <row r="760" spans="1:26" ht="13" x14ac:dyDescent="0.1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row>
    <row r="761" spans="1:26" ht="13" x14ac:dyDescent="0.1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row>
    <row r="762" spans="1:26" ht="13" x14ac:dyDescent="0.1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row>
    <row r="763" spans="1:26" ht="13" x14ac:dyDescent="0.1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row>
    <row r="764" spans="1:26" ht="13" x14ac:dyDescent="0.1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row>
    <row r="765" spans="1:26" ht="13" x14ac:dyDescent="0.1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row>
    <row r="766" spans="1:26" ht="13" x14ac:dyDescent="0.1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row>
    <row r="767" spans="1:26" ht="13" x14ac:dyDescent="0.1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row>
    <row r="768" spans="1:26" ht="13" x14ac:dyDescent="0.1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row>
    <row r="769" spans="1:26" ht="13" x14ac:dyDescent="0.1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row>
    <row r="770" spans="1:26" ht="13" x14ac:dyDescent="0.1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row>
    <row r="771" spans="1:26" ht="13" x14ac:dyDescent="0.1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row>
    <row r="772" spans="1:26" ht="13" x14ac:dyDescent="0.1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row>
    <row r="773" spans="1:26" ht="13" x14ac:dyDescent="0.1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row>
    <row r="774" spans="1:26" ht="13" x14ac:dyDescent="0.1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row>
    <row r="775" spans="1:26" ht="13" x14ac:dyDescent="0.1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row>
    <row r="776" spans="1:26" ht="13" x14ac:dyDescent="0.1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row>
    <row r="777" spans="1:26" ht="13" x14ac:dyDescent="0.1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row>
    <row r="778" spans="1:26" ht="13" x14ac:dyDescent="0.1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row>
    <row r="779" spans="1:26" ht="13" x14ac:dyDescent="0.1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row>
    <row r="780" spans="1:26" ht="13" x14ac:dyDescent="0.1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row>
    <row r="781" spans="1:26" ht="13" x14ac:dyDescent="0.1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row>
    <row r="782" spans="1:26" ht="13" x14ac:dyDescent="0.1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row>
    <row r="783" spans="1:26" ht="13" x14ac:dyDescent="0.1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row>
    <row r="784" spans="1:26" ht="13" x14ac:dyDescent="0.1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row>
    <row r="785" spans="1:26" ht="13" x14ac:dyDescent="0.1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row>
    <row r="786" spans="1:26" ht="13" x14ac:dyDescent="0.1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row>
    <row r="787" spans="1:26" ht="13" x14ac:dyDescent="0.1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row>
    <row r="788" spans="1:26" ht="13" x14ac:dyDescent="0.1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row>
    <row r="789" spans="1:26" ht="13" x14ac:dyDescent="0.1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row>
    <row r="790" spans="1:26" ht="13" x14ac:dyDescent="0.1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row>
    <row r="791" spans="1:26" ht="13" x14ac:dyDescent="0.1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row>
    <row r="792" spans="1:26" ht="13" x14ac:dyDescent="0.1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row>
    <row r="793" spans="1:26" ht="13" x14ac:dyDescent="0.1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row>
    <row r="794" spans="1:26" ht="13" x14ac:dyDescent="0.1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row>
    <row r="795" spans="1:26" ht="13" x14ac:dyDescent="0.1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row>
    <row r="796" spans="1:26" ht="13" x14ac:dyDescent="0.1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row>
    <row r="797" spans="1:26" ht="13" x14ac:dyDescent="0.1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row>
    <row r="798" spans="1:26" ht="13" x14ac:dyDescent="0.1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row>
    <row r="799" spans="1:26" ht="13" x14ac:dyDescent="0.1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row>
    <row r="800" spans="1:26" ht="13" x14ac:dyDescent="0.1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row>
    <row r="801" spans="1:26" ht="13" x14ac:dyDescent="0.1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row>
    <row r="802" spans="1:26" ht="13" x14ac:dyDescent="0.1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row>
    <row r="803" spans="1:26" ht="13" x14ac:dyDescent="0.1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row>
    <row r="804" spans="1:26" ht="13" x14ac:dyDescent="0.1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row>
    <row r="805" spans="1:26" ht="13" x14ac:dyDescent="0.1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row>
    <row r="806" spans="1:26" ht="13" x14ac:dyDescent="0.1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row>
    <row r="807" spans="1:26" ht="13" x14ac:dyDescent="0.1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row>
    <row r="808" spans="1:26" ht="13" x14ac:dyDescent="0.1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row>
    <row r="809" spans="1:26" ht="13" x14ac:dyDescent="0.1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row>
    <row r="810" spans="1:26" ht="13" x14ac:dyDescent="0.1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row>
    <row r="811" spans="1:26" ht="13" x14ac:dyDescent="0.1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row>
    <row r="812" spans="1:26" ht="13" x14ac:dyDescent="0.1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row>
    <row r="813" spans="1:26" ht="13" x14ac:dyDescent="0.1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row>
    <row r="814" spans="1:26" ht="13" x14ac:dyDescent="0.1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row>
    <row r="815" spans="1:26" ht="13" x14ac:dyDescent="0.1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row>
    <row r="816" spans="1:26" ht="13" x14ac:dyDescent="0.1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row>
    <row r="817" spans="1:26" ht="13" x14ac:dyDescent="0.1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row>
    <row r="818" spans="1:26" ht="13" x14ac:dyDescent="0.1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row>
    <row r="819" spans="1:26" ht="13" x14ac:dyDescent="0.1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row>
    <row r="820" spans="1:26" ht="13" x14ac:dyDescent="0.1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row>
    <row r="821" spans="1:26" ht="13" x14ac:dyDescent="0.1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row>
    <row r="822" spans="1:26" ht="13" x14ac:dyDescent="0.1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row>
    <row r="823" spans="1:26" ht="13" x14ac:dyDescent="0.1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row>
    <row r="824" spans="1:26" ht="13" x14ac:dyDescent="0.1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row>
    <row r="825" spans="1:26" ht="13" x14ac:dyDescent="0.1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row>
    <row r="826" spans="1:26" ht="13" x14ac:dyDescent="0.1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row>
    <row r="827" spans="1:26" ht="13" x14ac:dyDescent="0.1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row>
    <row r="828" spans="1:26" ht="13" x14ac:dyDescent="0.1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row>
    <row r="829" spans="1:26" ht="13" x14ac:dyDescent="0.1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row>
    <row r="830" spans="1:26" ht="13" x14ac:dyDescent="0.1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row>
    <row r="831" spans="1:26" ht="13" x14ac:dyDescent="0.1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row>
    <row r="832" spans="1:26" ht="13" x14ac:dyDescent="0.1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row>
    <row r="833" spans="1:26" ht="13" x14ac:dyDescent="0.1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row>
    <row r="834" spans="1:26" ht="13" x14ac:dyDescent="0.1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row>
    <row r="835" spans="1:26" ht="13" x14ac:dyDescent="0.1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row>
    <row r="836" spans="1:26" ht="13" x14ac:dyDescent="0.1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row>
    <row r="837" spans="1:26" ht="13" x14ac:dyDescent="0.1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row>
    <row r="838" spans="1:26" ht="13" x14ac:dyDescent="0.1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row>
    <row r="839" spans="1:26" ht="13" x14ac:dyDescent="0.1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row>
    <row r="840" spans="1:26" ht="13" x14ac:dyDescent="0.1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row>
    <row r="841" spans="1:26" ht="13" x14ac:dyDescent="0.1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row>
    <row r="842" spans="1:26" ht="13" x14ac:dyDescent="0.1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row>
    <row r="843" spans="1:26" ht="13" x14ac:dyDescent="0.1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row>
    <row r="844" spans="1:26" ht="13" x14ac:dyDescent="0.1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row>
    <row r="845" spans="1:26" ht="13" x14ac:dyDescent="0.1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row>
    <row r="846" spans="1:26" ht="13" x14ac:dyDescent="0.1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row>
    <row r="847" spans="1:26" ht="13" x14ac:dyDescent="0.1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row>
    <row r="848" spans="1:26" ht="13" x14ac:dyDescent="0.1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row>
    <row r="849" spans="1:26" ht="13" x14ac:dyDescent="0.1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row>
    <row r="850" spans="1:26" ht="13" x14ac:dyDescent="0.1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row>
    <row r="851" spans="1:26" ht="13" x14ac:dyDescent="0.1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row>
    <row r="852" spans="1:26" ht="13" x14ac:dyDescent="0.1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row>
    <row r="853" spans="1:26" ht="13" x14ac:dyDescent="0.1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row>
    <row r="854" spans="1:26" ht="13" x14ac:dyDescent="0.1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row>
    <row r="855" spans="1:26" ht="13" x14ac:dyDescent="0.1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row>
    <row r="856" spans="1:26" ht="13" x14ac:dyDescent="0.1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row>
    <row r="857" spans="1:26" ht="13" x14ac:dyDescent="0.1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row>
    <row r="858" spans="1:26" ht="13" x14ac:dyDescent="0.1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row>
    <row r="859" spans="1:26" ht="13" x14ac:dyDescent="0.1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row>
    <row r="860" spans="1:26" ht="13" x14ac:dyDescent="0.1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row>
    <row r="861" spans="1:26" ht="13" x14ac:dyDescent="0.1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row>
    <row r="862" spans="1:26" ht="13" x14ac:dyDescent="0.1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row>
    <row r="863" spans="1:26" ht="13" x14ac:dyDescent="0.1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row>
    <row r="864" spans="1:26" ht="13" x14ac:dyDescent="0.1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row>
    <row r="865" spans="1:26" ht="13" x14ac:dyDescent="0.1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row>
    <row r="866" spans="1:26" ht="13" x14ac:dyDescent="0.1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row>
    <row r="867" spans="1:26" ht="13" x14ac:dyDescent="0.1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row>
    <row r="868" spans="1:26" ht="13" x14ac:dyDescent="0.1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row>
    <row r="869" spans="1:26" ht="13" x14ac:dyDescent="0.1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row>
    <row r="870" spans="1:26" ht="13" x14ac:dyDescent="0.1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row>
    <row r="871" spans="1:26" ht="13" x14ac:dyDescent="0.1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row>
    <row r="872" spans="1:26" ht="13" x14ac:dyDescent="0.1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row>
    <row r="873" spans="1:26" ht="13" x14ac:dyDescent="0.1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row>
    <row r="874" spans="1:26" ht="13" x14ac:dyDescent="0.1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row>
    <row r="875" spans="1:26" ht="13" x14ac:dyDescent="0.1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row>
    <row r="876" spans="1:26" ht="13" x14ac:dyDescent="0.1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row>
    <row r="877" spans="1:26" ht="13" x14ac:dyDescent="0.1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row>
    <row r="878" spans="1:26" ht="13" x14ac:dyDescent="0.1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row>
    <row r="879" spans="1:26" ht="13" x14ac:dyDescent="0.1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row>
    <row r="880" spans="1:26" ht="13" x14ac:dyDescent="0.1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row>
    <row r="881" spans="1:26" ht="13" x14ac:dyDescent="0.1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row>
    <row r="882" spans="1:26" ht="13" x14ac:dyDescent="0.1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row>
    <row r="883" spans="1:26" ht="13" x14ac:dyDescent="0.1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row>
    <row r="884" spans="1:26" ht="13" x14ac:dyDescent="0.1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row>
    <row r="885" spans="1:26" ht="13" x14ac:dyDescent="0.1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row>
    <row r="886" spans="1:26" ht="13" x14ac:dyDescent="0.1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row>
    <row r="887" spans="1:26" ht="13" x14ac:dyDescent="0.1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row>
    <row r="888" spans="1:26" ht="13" x14ac:dyDescent="0.1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row>
    <row r="889" spans="1:26" ht="13" x14ac:dyDescent="0.1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row>
    <row r="890" spans="1:26" ht="13" x14ac:dyDescent="0.1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row>
    <row r="891" spans="1:26" ht="13" x14ac:dyDescent="0.1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row>
    <row r="892" spans="1:26" ht="13" x14ac:dyDescent="0.1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row>
    <row r="893" spans="1:26" ht="13" x14ac:dyDescent="0.1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row>
    <row r="894" spans="1:26" ht="13" x14ac:dyDescent="0.1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row>
    <row r="895" spans="1:26" ht="13" x14ac:dyDescent="0.1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row>
    <row r="896" spans="1:26" ht="13" x14ac:dyDescent="0.1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row>
    <row r="897" spans="1:26" ht="13" x14ac:dyDescent="0.1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row>
    <row r="898" spans="1:26" ht="13" x14ac:dyDescent="0.1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row>
    <row r="899" spans="1:26" ht="13" x14ac:dyDescent="0.1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row>
    <row r="900" spans="1:26" ht="13" x14ac:dyDescent="0.1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row>
    <row r="901" spans="1:26" ht="13" x14ac:dyDescent="0.1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row>
    <row r="902" spans="1:26" ht="13" x14ac:dyDescent="0.1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row>
    <row r="903" spans="1:26" ht="13" x14ac:dyDescent="0.1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row>
    <row r="904" spans="1:26" ht="13" x14ac:dyDescent="0.1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row>
    <row r="905" spans="1:26" ht="13" x14ac:dyDescent="0.1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row>
    <row r="906" spans="1:26" ht="13" x14ac:dyDescent="0.1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row>
    <row r="907" spans="1:26" ht="13" x14ac:dyDescent="0.1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row>
    <row r="908" spans="1:26" ht="13" x14ac:dyDescent="0.1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row>
    <row r="909" spans="1:26" ht="13" x14ac:dyDescent="0.1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row>
    <row r="910" spans="1:26" ht="13" x14ac:dyDescent="0.1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row>
    <row r="911" spans="1:26" ht="13" x14ac:dyDescent="0.1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row>
    <row r="912" spans="1:26" ht="13" x14ac:dyDescent="0.1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row>
    <row r="913" spans="1:26" ht="13" x14ac:dyDescent="0.1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row>
    <row r="914" spans="1:26" ht="13" x14ac:dyDescent="0.1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row>
    <row r="915" spans="1:26" ht="13" x14ac:dyDescent="0.1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row>
    <row r="916" spans="1:26" ht="13" x14ac:dyDescent="0.1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row>
    <row r="917" spans="1:26" ht="13" x14ac:dyDescent="0.1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row>
    <row r="918" spans="1:26" ht="13" x14ac:dyDescent="0.1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row>
    <row r="919" spans="1:26" ht="13" x14ac:dyDescent="0.1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row>
    <row r="920" spans="1:26" ht="13" x14ac:dyDescent="0.1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row>
    <row r="921" spans="1:26" ht="13" x14ac:dyDescent="0.1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row>
    <row r="922" spans="1:26" ht="13" x14ac:dyDescent="0.1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row>
    <row r="923" spans="1:26" ht="13" x14ac:dyDescent="0.1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row>
    <row r="924" spans="1:26" ht="13" x14ac:dyDescent="0.1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row>
    <row r="925" spans="1:26" ht="13" x14ac:dyDescent="0.1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row>
    <row r="926" spans="1:26" ht="13" x14ac:dyDescent="0.1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row>
    <row r="927" spans="1:26" ht="13" x14ac:dyDescent="0.1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row>
    <row r="928" spans="1:26" ht="13" x14ac:dyDescent="0.1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row>
    <row r="929" spans="1:26" ht="13" x14ac:dyDescent="0.1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row>
    <row r="930" spans="1:26" ht="13" x14ac:dyDescent="0.1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row>
    <row r="931" spans="1:26" ht="13" x14ac:dyDescent="0.1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row>
    <row r="932" spans="1:26" ht="13" x14ac:dyDescent="0.1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row>
    <row r="933" spans="1:26" ht="13" x14ac:dyDescent="0.1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row>
    <row r="934" spans="1:26" ht="13" x14ac:dyDescent="0.1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row>
    <row r="935" spans="1:26" ht="13" x14ac:dyDescent="0.1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row>
    <row r="936" spans="1:26" ht="13" x14ac:dyDescent="0.1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row>
    <row r="937" spans="1:26" ht="13" x14ac:dyDescent="0.1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row>
    <row r="938" spans="1:26" ht="13" x14ac:dyDescent="0.1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row>
    <row r="939" spans="1:26" ht="13" x14ac:dyDescent="0.1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row>
    <row r="940" spans="1:26" ht="13" x14ac:dyDescent="0.1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row>
    <row r="941" spans="1:26" ht="13" x14ac:dyDescent="0.1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row>
    <row r="942" spans="1:26" ht="13" x14ac:dyDescent="0.1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row>
    <row r="943" spans="1:26" ht="13" x14ac:dyDescent="0.1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row>
    <row r="944" spans="1:26" ht="13" x14ac:dyDescent="0.1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row>
    <row r="945" spans="1:26" ht="13" x14ac:dyDescent="0.1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row>
    <row r="946" spans="1:26" ht="13" x14ac:dyDescent="0.1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row>
    <row r="947" spans="1:26" ht="13" x14ac:dyDescent="0.1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row>
    <row r="948" spans="1:26" ht="13" x14ac:dyDescent="0.1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row>
    <row r="949" spans="1:26" ht="13" x14ac:dyDescent="0.1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row>
    <row r="950" spans="1:26" ht="13" x14ac:dyDescent="0.1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row>
    <row r="951" spans="1:26" ht="13" x14ac:dyDescent="0.1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row>
    <row r="952" spans="1:26" ht="13" x14ac:dyDescent="0.1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row>
    <row r="953" spans="1:26" ht="13" x14ac:dyDescent="0.1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row>
    <row r="954" spans="1:26" ht="13" x14ac:dyDescent="0.1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row>
    <row r="955" spans="1:26" ht="13" x14ac:dyDescent="0.1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row>
    <row r="956" spans="1:26" ht="13" x14ac:dyDescent="0.1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row>
    <row r="957" spans="1:26" ht="13" x14ac:dyDescent="0.1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row>
    <row r="958" spans="1:26" ht="13" x14ac:dyDescent="0.1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row>
    <row r="959" spans="1:26" ht="13" x14ac:dyDescent="0.1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row>
    <row r="960" spans="1:26" ht="13" x14ac:dyDescent="0.1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row>
    <row r="961" spans="1:26" ht="13" x14ac:dyDescent="0.1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row>
    <row r="962" spans="1:26" ht="13" x14ac:dyDescent="0.1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row>
    <row r="963" spans="1:26" ht="13" x14ac:dyDescent="0.1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row>
    <row r="964" spans="1:26" ht="13" x14ac:dyDescent="0.1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row>
    <row r="965" spans="1:26" ht="13" x14ac:dyDescent="0.1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row>
    <row r="966" spans="1:26" ht="13" x14ac:dyDescent="0.1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row>
    <row r="967" spans="1:26" ht="13" x14ac:dyDescent="0.1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row>
    <row r="968" spans="1:26" ht="13" x14ac:dyDescent="0.1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row>
    <row r="969" spans="1:26" ht="13" x14ac:dyDescent="0.1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row>
    <row r="970" spans="1:26" ht="13" x14ac:dyDescent="0.1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row>
    <row r="971" spans="1:26" ht="13" x14ac:dyDescent="0.1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row>
    <row r="972" spans="1:26" ht="13" x14ac:dyDescent="0.1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row>
    <row r="973" spans="1:26" ht="13" x14ac:dyDescent="0.1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row>
    <row r="974" spans="1:26" ht="13" x14ac:dyDescent="0.1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row>
    <row r="975" spans="1:26" ht="13" x14ac:dyDescent="0.1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row>
    <row r="976" spans="1:26" ht="13" x14ac:dyDescent="0.1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row>
    <row r="977" spans="1:26" ht="13" x14ac:dyDescent="0.1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row>
    <row r="978" spans="1:26" ht="13" x14ac:dyDescent="0.1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row>
    <row r="979" spans="1:26" ht="13" x14ac:dyDescent="0.1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row>
    <row r="980" spans="1:26" ht="13" x14ac:dyDescent="0.1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row>
    <row r="981" spans="1:26" ht="13" x14ac:dyDescent="0.1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row>
    <row r="982" spans="1:26" ht="13" x14ac:dyDescent="0.1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row>
    <row r="983" spans="1:26" ht="13" x14ac:dyDescent="0.1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row>
    <row r="984" spans="1:26" ht="13" x14ac:dyDescent="0.1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row>
    <row r="985" spans="1:26" ht="13" x14ac:dyDescent="0.1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row>
    <row r="986" spans="1:26" ht="13" x14ac:dyDescent="0.1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row>
    <row r="987" spans="1:26" ht="13" x14ac:dyDescent="0.1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row>
    <row r="988" spans="1:26" ht="13" x14ac:dyDescent="0.1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row>
    <row r="989" spans="1:26" ht="13" x14ac:dyDescent="0.1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row>
    <row r="990" spans="1:26" ht="13" x14ac:dyDescent="0.1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row>
    <row r="991" spans="1:26" ht="13" x14ac:dyDescent="0.1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row>
    <row r="992" spans="1:26" ht="13" x14ac:dyDescent="0.1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row>
    <row r="993" spans="1:26" ht="13" x14ac:dyDescent="0.1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row>
    <row r="994" spans="1:26" ht="13" x14ac:dyDescent="0.1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row>
    <row r="995" spans="1:26" ht="13" x14ac:dyDescent="0.1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row>
    <row r="996" spans="1:26" ht="13" x14ac:dyDescent="0.1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row>
    <row r="997" spans="1:26" ht="13" x14ac:dyDescent="0.1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outlinePr summaryBelow="0" summaryRight="0"/>
  </sheetPr>
  <dimension ref="A1:D997"/>
  <sheetViews>
    <sheetView workbookViewId="0"/>
  </sheetViews>
  <sheetFormatPr baseColWidth="10" defaultColWidth="12.6640625" defaultRowHeight="15.75" customHeight="1" x14ac:dyDescent="0.15"/>
  <cols>
    <col min="1" max="1" width="71.5" customWidth="1"/>
    <col min="2" max="4" width="37.6640625" customWidth="1"/>
  </cols>
  <sheetData>
    <row r="1" spans="1:4" x14ac:dyDescent="0.2">
      <c r="A1" s="1"/>
      <c r="B1" s="22" t="str">
        <f ca="1">IFERROR(__xludf.DUMMYFUNCTION("IMPORTRANGE(""https://docs.google.com/spreadsheets/u/0/d/1sbndBsfP-ncTtF1jluZBfKAuQh8_1k-En4z9g6Xyks0"", ""A20!B1:B22"")"),"Josh Ladner")</f>
        <v>Josh Ladner</v>
      </c>
      <c r="C1" s="10" t="str">
        <f ca="1">IFERROR(__xludf.DUMMYFUNCTION("IMPORTRANGE(""https://docs.google.com/spreadsheets/u/0/d/1v3alDV9sI-Ng7OoZouCf4a0CI5tv_Xg2T3WprxxRGRs"", ""A20!B1:B22"")"),"Tyler")</f>
        <v>Tyler</v>
      </c>
      <c r="D1" s="2" t="s">
        <v>1</v>
      </c>
    </row>
    <row r="2" spans="1:4" ht="15.75" customHeight="1" x14ac:dyDescent="0.15">
      <c r="A2" s="3" t="s">
        <v>2</v>
      </c>
      <c r="B2" s="15" t="str">
        <f ca="1">IFERROR(__xludf.DUMMYFUNCTION("""COMPUTED_VALUE"""),"15050-15406 forward")</f>
        <v>15050-15406 forward</v>
      </c>
      <c r="C2" s="15" t="str">
        <f ca="1">IFERROR(__xludf.DUMMYFUNCTION("""COMPUTED_VALUE"""),"15050-15406
FOW
")</f>
        <v xml:space="preserve">15050-15406
FOW
</v>
      </c>
      <c r="D2" s="4"/>
    </row>
    <row r="3" spans="1:4" ht="15.75" customHeight="1" x14ac:dyDescent="0.15">
      <c r="A3" s="5" t="s">
        <v>3</v>
      </c>
      <c r="B3" s="17" t="str">
        <f ca="1">IFERROR(__xludf.DUMMYFUNCTION("""COMPUTED_VALUE"""),"DNAM:20 Pham:20 PhagesDB:20")</f>
        <v>DNAM:20 Pham:20 PhagesDB:20</v>
      </c>
      <c r="C3" s="17" t="str">
        <f ca="1">IFERROR(__xludf.DUMMYFUNCTION("""COMPUTED_VALUE"""),"20-phamorator
20-DNA Master
")</f>
        <v xml:space="preserve">20-phamorator
20-DNA Master
</v>
      </c>
      <c r="D3" s="6"/>
    </row>
    <row r="4" spans="1:4" ht="15.75" customHeight="1" x14ac:dyDescent="0.15">
      <c r="A4" s="5" t="s">
        <v>4</v>
      </c>
      <c r="B4" s="17" t="str">
        <f ca="1">IFERROR(__xludf.DUMMYFUNCTION("""COMPUTED_VALUE"""),"218115 3/5/25")</f>
        <v>218115 3/5/25</v>
      </c>
      <c r="C4" s="17" t="str">
        <f ca="1">IFERROR(__xludf.DUMMYFUNCTION("""COMPUTED_VALUE"""),"218115 3/2/42
")</f>
        <v xml:space="preserve">218115 3/2/42
</v>
      </c>
      <c r="D4" s="6"/>
    </row>
    <row r="5" spans="1:4" ht="15.75" customHeight="1" x14ac:dyDescent="0.15">
      <c r="A5" s="5" t="s">
        <v>5</v>
      </c>
      <c r="B5" s="17" t="str">
        <f ca="1">IFERROR(__xludf.DUMMYFUNCTION("""COMPUTED_VALUE"""),"AllBusiness_CDS_58; Ball_CDS_44; Aoka_CDS_49")</f>
        <v>AllBusiness_CDS_58; Ball_CDS_44; Aoka_CDS_49</v>
      </c>
      <c r="C5" s="17" t="str">
        <f ca="1">IFERROR(__xludf.DUMMYFUNCTION("""COMPUTED_VALUE"""),"Kovu_21 
")</f>
        <v xml:space="preserve">Kovu_21 
</v>
      </c>
      <c r="D5" s="6"/>
    </row>
    <row r="6" spans="1:4" ht="15.75" customHeight="1" x14ac:dyDescent="0.15">
      <c r="A6" s="5" t="s">
        <v>6</v>
      </c>
      <c r="B6" s="17" t="str">
        <f ca="1">IFERROR(__xludf.DUMMYFUNCTION("""COMPUTED_VALUE"""),"Glimmer called at 15050")</f>
        <v>Glimmer called at 15050</v>
      </c>
      <c r="C6" s="17" t="str">
        <f ca="1">IFERROR(__xludf.DUMMYFUNCTION("""COMPUTED_VALUE"""),"both call @bd 15050 strength 11.77
")</f>
        <v xml:space="preserve">both call @bd 15050 strength 11.77
</v>
      </c>
      <c r="D6" s="6"/>
    </row>
    <row r="7" spans="1:4" ht="15.75" customHeight="1" x14ac:dyDescent="0.15">
      <c r="A7" s="5" t="s">
        <v>7</v>
      </c>
      <c r="B7" s="17" t="str">
        <f ca="1">IFERROR(__xludf.DUMMYFUNCTION("""COMPUTED_VALUE"""),"Good coding potential")</f>
        <v>Good coding potential</v>
      </c>
      <c r="C7" s="17" t="str">
        <f ca="1">IFERROR(__xludf.DUMMYFUNCTION("""COMPUTED_VALUE"""),"yes, all coding potential included ")</f>
        <v xml:space="preserve">yes, all coding potential included </v>
      </c>
      <c r="D7" s="6"/>
    </row>
    <row r="8" spans="1:4" ht="15.75" customHeight="1" x14ac:dyDescent="0.15">
      <c r="A8" s="5" t="s">
        <v>8</v>
      </c>
      <c r="B8" s="17" t="str">
        <f ca="1">IFERROR(__xludf.DUMMYFUNCTION("""COMPUTED_VALUE"""),"Longer one available but with low rbs score")</f>
        <v>Longer one available but with low rbs score</v>
      </c>
      <c r="C8" s="17" t="str">
        <f ca="1">IFERROR(__xludf.DUMMYFUNCTION("""COMPUTED_VALUE"""),"no, there is another start ")</f>
        <v xml:space="preserve">no, there is another start </v>
      </c>
      <c r="D8" s="6"/>
    </row>
    <row r="9" spans="1:4" ht="15.75" customHeight="1" x14ac:dyDescent="0.15">
      <c r="A9" s="5" t="s">
        <v>9</v>
      </c>
      <c r="B9" s="17" t="str">
        <f ca="1">IFERROR(__xludf.DUMMYFUNCTION("""COMPUTED_VALUE"""),"at start 2 theres a 19 nt overlap; Start 1 has 43 nt overlap")</f>
        <v>at start 2 theres a 19 nt overlap; Start 1 has 43 nt overlap</v>
      </c>
      <c r="C9" s="17" t="str">
        <f ca="1">IFERROR(__xludf.DUMMYFUNCTION("""COMPUTED_VALUE"""),"19 nt overlap 
")</f>
        <v xml:space="preserve">19 nt overlap 
</v>
      </c>
      <c r="D9" s="6"/>
    </row>
    <row r="10" spans="1:4" ht="15.75" customHeight="1" x14ac:dyDescent="0.15">
      <c r="A10" s="5" t="s">
        <v>10</v>
      </c>
      <c r="B10" s="17" t="str">
        <f ca="1">IFERROR(__xludf.DUMMYFUNCTION("""COMPUTED_VALUE"""),"Start1:1.70 Start2:2.38 Start3:1.77")</f>
        <v>Start1:1.70 Start2:2.38 Start3:1.77</v>
      </c>
      <c r="C10" s="17" t="str">
        <f ca="1">IFERROR(__xludf.DUMMYFUNCTION("""COMPUTED_VALUE"""),"Current start has the best Z score: 2.386 
")</f>
        <v xml:space="preserve">Current start has the best Z score: 2.386 
</v>
      </c>
      <c r="D10" s="6"/>
    </row>
    <row r="11" spans="1:4" ht="15.75" customHeight="1" x14ac:dyDescent="0.15">
      <c r="A11" s="5" t="s">
        <v>11</v>
      </c>
      <c r="B11" s="17"/>
      <c r="C11" s="17" t="str">
        <f ca="1">IFERROR(__xludf.DUMMYFUNCTION("""COMPUTED_VALUE"""),"Kovu_21; % identity 75.42; E-Value 0.0E0; Q1:S1
Shrooms_19; % identity 60.34; E-Value 0.0E0; Q1:S1
")</f>
        <v xml:space="preserve">Kovu_21; % identity 75.42; E-Value 0.0E0; Q1:S1
Shrooms_19; % identity 60.34; E-Value 0.0E0; Q1:S1
</v>
      </c>
      <c r="D11" s="6"/>
    </row>
    <row r="12" spans="1:4" ht="15.75" customHeight="1" x14ac:dyDescent="0.15">
      <c r="A12" s="5" t="s">
        <v>12</v>
      </c>
      <c r="B12" s="17"/>
      <c r="C12" s="17" t="str">
        <f ca="1">IFERROR(__xludf.DUMMYFUNCTION("""COMPUTED_VALUE"""),"not conserved 
start is most called 8 out of 22 times 
")</f>
        <v xml:space="preserve">not conserved 
start is most called 8 out of 22 times 
</v>
      </c>
      <c r="D12" s="6"/>
    </row>
    <row r="13" spans="1:4" ht="15.75" customHeight="1" x14ac:dyDescent="0.15">
      <c r="A13" s="5" t="s">
        <v>13</v>
      </c>
      <c r="B13" s="17"/>
      <c r="C13" s="17" t="str">
        <f ca="1">IFERROR(__xludf.DUMMYFUNCTION("""COMPUTED_VALUE"""),"No, there is no evidence to suggest a change in start. The current start has the best Z score and moving to the previous start introduces a larger overlap.
")</f>
        <v xml:space="preserve">No, there is no evidence to suggest a change in start. The current start has the best Z score and moving to the previous start introduces a larger overlap.
</v>
      </c>
      <c r="D13" s="6"/>
    </row>
    <row r="14" spans="1:4" ht="15.75" customHeight="1" x14ac:dyDescent="0.15">
      <c r="A14" s="5" t="s">
        <v>14</v>
      </c>
      <c r="B14" s="17"/>
      <c r="C14" s="17" t="str">
        <f ca="1">IFERROR(__xludf.DUMMYFUNCTION("""COMPUTED_VALUE"""),"Kovu_21 
Shrooms_19
")</f>
        <v xml:space="preserve">Kovu_21 
Shrooms_19
</v>
      </c>
      <c r="D14" s="6"/>
    </row>
    <row r="15" spans="1:4" ht="15.75" customHeight="1" x14ac:dyDescent="0.15">
      <c r="A15" s="5" t="s">
        <v>15</v>
      </c>
      <c r="B15" s="17"/>
      <c r="C15" s="17" t="str">
        <f ca="1">IFERROR(__xludf.DUMMYFUNCTION("""COMPUTED_VALUE"""),"VRR-Nuc domain protein
Hypothetical protein
")</f>
        <v xml:space="preserve">VRR-Nuc domain protein
Hypothetical protein
</v>
      </c>
      <c r="D15" s="6"/>
    </row>
    <row r="16" spans="1:4" ht="15.75" customHeight="1" x14ac:dyDescent="0.15">
      <c r="A16" s="5" t="s">
        <v>16</v>
      </c>
      <c r="B16" s="17"/>
      <c r="C16" s="17" t="str">
        <f ca="1">IFERROR(__xludf.DUMMYFUNCTION("""COMPUTED_VALUE"""),"closer genetic environment to Kovu than Shrooms ")</f>
        <v xml:space="preserve">closer genetic environment to Kovu than Shrooms </v>
      </c>
      <c r="D16" s="6"/>
    </row>
    <row r="17" spans="1:4" ht="15.75" customHeight="1" x14ac:dyDescent="0.15">
      <c r="A17" s="5" t="s">
        <v>17</v>
      </c>
      <c r="B17" s="17"/>
      <c r="C17" s="17" t="str">
        <f ca="1">IFERROR(__xludf.DUMMYFUNCTION("""COMPUTED_VALUE"""),"Nuclease, HYDROLASE 
Probability: 99.8%
% alignment Q: 75%
% alignment T: 95%
Yes
")</f>
        <v xml:space="preserve">Nuclease, HYDROLASE 
Probability: 99.8%
% alignment Q: 75%
% alignment T: 95%
Yes
</v>
      </c>
      <c r="D17" s="6"/>
    </row>
    <row r="18" spans="1:4" ht="15.75" customHeight="1" x14ac:dyDescent="0.15">
      <c r="A18" s="5" t="s">
        <v>18</v>
      </c>
      <c r="B18" s="17"/>
      <c r="C18" s="17" t="str">
        <f ca="1">IFERROR(__xludf.DUMMYFUNCTION("""COMPUTED_VALUE"""),"VRR_NUC ")</f>
        <v xml:space="preserve">VRR_NUC </v>
      </c>
      <c r="D18" s="6"/>
    </row>
    <row r="19" spans="1:4" ht="15.75" customHeight="1" x14ac:dyDescent="0.15">
      <c r="A19" s="5" t="s">
        <v>19</v>
      </c>
      <c r="B19" s="17"/>
      <c r="C19" s="17" t="str">
        <f ca="1">IFERROR(__xludf.DUMMYFUNCTION("""COMPUTED_VALUE"""),"No")</f>
        <v>No</v>
      </c>
      <c r="D19" s="6"/>
    </row>
    <row r="20" spans="1:4" ht="15.75" customHeight="1" x14ac:dyDescent="0.15">
      <c r="A20" s="5" t="s">
        <v>20</v>
      </c>
      <c r="B20" s="17"/>
      <c r="C20" s="17" t="str">
        <f ca="1">IFERROR(__xludf.DUMMYFUNCTION("""COMPUTED_VALUE"""),"VRR-Nuc domain protein 
Gene identified the functional domain as VRR_Nuc which matches Kovu_21. Kovu_21 and ApoKipo_20 have similar genetic environment and the domain has hydrolase activity which is supported by HHPred. 
")</f>
        <v xml:space="preserve">VRR-Nuc domain protein 
Gene identified the functional domain as VRR_Nuc which matches Kovu_21. Kovu_21 and ApoKipo_20 have similar genetic environment and the domain has hydrolase activity which is supported by HHPred. 
</v>
      </c>
      <c r="D20" s="6"/>
    </row>
    <row r="21" spans="1:4" x14ac:dyDescent="0.2">
      <c r="A21" s="7"/>
      <c r="B21" s="19"/>
      <c r="C21" s="19"/>
      <c r="D21" s="8"/>
    </row>
    <row r="22" spans="1:4" ht="15.75" customHeight="1" x14ac:dyDescent="0.15">
      <c r="A22" s="9" t="s">
        <v>21</v>
      </c>
      <c r="B22" s="19"/>
      <c r="C22" s="19"/>
      <c r="D22" s="8"/>
    </row>
    <row r="23" spans="1:4" ht="15.75" customHeight="1" x14ac:dyDescent="0.15">
      <c r="A23" s="10"/>
      <c r="B23" s="13"/>
      <c r="C23" s="13"/>
    </row>
    <row r="24" spans="1:4" ht="15.75" customHeight="1" x14ac:dyDescent="0.15">
      <c r="A24" s="10"/>
      <c r="B24" s="13"/>
      <c r="C24" s="13"/>
    </row>
    <row r="25" spans="1:4" ht="15.75" customHeight="1" x14ac:dyDescent="0.15">
      <c r="A25" s="10"/>
      <c r="B25" s="13"/>
      <c r="C25" s="13"/>
    </row>
    <row r="26" spans="1:4" ht="15.75" customHeight="1" x14ac:dyDescent="0.15">
      <c r="A26" s="10"/>
      <c r="B26" s="13"/>
      <c r="C26" s="13"/>
    </row>
    <row r="27" spans="1:4" ht="15.75" customHeight="1" x14ac:dyDescent="0.15">
      <c r="A27" s="10"/>
      <c r="B27" s="13"/>
      <c r="C27" s="13"/>
    </row>
    <row r="28" spans="1:4" ht="15.75" customHeight="1" x14ac:dyDescent="0.15">
      <c r="A28" s="10"/>
      <c r="B28" s="13"/>
      <c r="C28" s="13"/>
    </row>
    <row r="29" spans="1:4" ht="15.75" customHeight="1" x14ac:dyDescent="0.15">
      <c r="A29" s="10"/>
      <c r="B29" s="13"/>
      <c r="C29" s="13"/>
    </row>
    <row r="30" spans="1:4" ht="15.75" customHeight="1" x14ac:dyDescent="0.15">
      <c r="A30" s="10"/>
      <c r="B30" s="13"/>
      <c r="C30" s="13"/>
    </row>
    <row r="31" spans="1:4" ht="15.75" customHeight="1" x14ac:dyDescent="0.15">
      <c r="A31" s="10"/>
      <c r="B31" s="13"/>
      <c r="C31" s="13"/>
    </row>
    <row r="32" spans="1:4" ht="15.75" customHeight="1" x14ac:dyDescent="0.15">
      <c r="A32" s="10"/>
      <c r="B32" s="13"/>
      <c r="C32" s="13"/>
    </row>
    <row r="33" spans="1:3" ht="15.75" customHeight="1" x14ac:dyDescent="0.15">
      <c r="A33" s="10"/>
      <c r="B33" s="13"/>
      <c r="C33" s="13"/>
    </row>
    <row r="34" spans="1:3" ht="15.75" customHeight="1" x14ac:dyDescent="0.15">
      <c r="A34" s="10"/>
      <c r="B34" s="13"/>
      <c r="C34" s="13"/>
    </row>
    <row r="35" spans="1:3" ht="15.75" customHeight="1" x14ac:dyDescent="0.15">
      <c r="A35" s="10"/>
      <c r="B35" s="13"/>
      <c r="C35" s="13"/>
    </row>
    <row r="36" spans="1:3" ht="15.75" customHeight="1" x14ac:dyDescent="0.15">
      <c r="A36" s="10"/>
      <c r="B36" s="13"/>
      <c r="C36" s="13"/>
    </row>
    <row r="37" spans="1:3" ht="15.75" customHeight="1" x14ac:dyDescent="0.15">
      <c r="A37" s="10"/>
      <c r="B37" s="13"/>
      <c r="C37" s="13"/>
    </row>
    <row r="38" spans="1:3" ht="15.75" customHeight="1" x14ac:dyDescent="0.15">
      <c r="A38" s="10"/>
      <c r="B38" s="13"/>
      <c r="C38" s="13"/>
    </row>
    <row r="39" spans="1:3" ht="13" x14ac:dyDescent="0.15">
      <c r="A39" s="10"/>
      <c r="B39" s="13"/>
      <c r="C39" s="13"/>
    </row>
    <row r="40" spans="1:3" ht="13" x14ac:dyDescent="0.15">
      <c r="A40" s="10"/>
      <c r="B40" s="13"/>
      <c r="C40" s="13"/>
    </row>
    <row r="41" spans="1:3" ht="13" x14ac:dyDescent="0.15">
      <c r="A41" s="10"/>
      <c r="B41" s="13"/>
      <c r="C41" s="13"/>
    </row>
    <row r="42" spans="1:3" ht="13" x14ac:dyDescent="0.15">
      <c r="A42" s="10"/>
      <c r="B42" s="13"/>
      <c r="C42" s="13"/>
    </row>
    <row r="43" spans="1:3" ht="13" x14ac:dyDescent="0.15">
      <c r="A43" s="10"/>
      <c r="B43" s="13"/>
      <c r="C43" s="13"/>
    </row>
    <row r="44" spans="1:3" ht="13" x14ac:dyDescent="0.15">
      <c r="A44" s="10"/>
      <c r="B44" s="13"/>
      <c r="C44" s="13"/>
    </row>
    <row r="45" spans="1:3" ht="13" x14ac:dyDescent="0.15">
      <c r="A45" s="10"/>
      <c r="B45" s="13"/>
      <c r="C45" s="13"/>
    </row>
    <row r="46" spans="1:3" ht="13" x14ac:dyDescent="0.15">
      <c r="A46" s="10"/>
      <c r="B46" s="13"/>
      <c r="C46" s="13"/>
    </row>
    <row r="47" spans="1:3" ht="13" x14ac:dyDescent="0.15">
      <c r="A47" s="10"/>
      <c r="B47" s="13"/>
      <c r="C47" s="13"/>
    </row>
    <row r="48" spans="1:3" ht="13" x14ac:dyDescent="0.15">
      <c r="A48" s="10"/>
      <c r="B48" s="13"/>
      <c r="C48" s="13"/>
    </row>
    <row r="49" spans="1:3" ht="13" x14ac:dyDescent="0.15">
      <c r="A49" s="10"/>
      <c r="B49" s="13"/>
      <c r="C49" s="13"/>
    </row>
    <row r="50" spans="1:3" ht="13" x14ac:dyDescent="0.15">
      <c r="A50" s="10"/>
      <c r="B50" s="13"/>
      <c r="C50" s="13"/>
    </row>
    <row r="51" spans="1:3" ht="13" x14ac:dyDescent="0.15">
      <c r="A51" s="10"/>
      <c r="B51" s="13"/>
      <c r="C51" s="13"/>
    </row>
    <row r="52" spans="1:3" ht="13" x14ac:dyDescent="0.15">
      <c r="A52" s="10"/>
      <c r="B52" s="13"/>
      <c r="C52" s="13"/>
    </row>
    <row r="53" spans="1:3" ht="13" x14ac:dyDescent="0.15">
      <c r="A53" s="10"/>
      <c r="B53" s="13"/>
      <c r="C53" s="13"/>
    </row>
    <row r="54" spans="1:3" ht="13" x14ac:dyDescent="0.15">
      <c r="A54" s="10"/>
      <c r="B54" s="13"/>
      <c r="C54" s="13"/>
    </row>
    <row r="55" spans="1:3" ht="13" x14ac:dyDescent="0.15">
      <c r="A55" s="10"/>
      <c r="B55" s="13"/>
      <c r="C55" s="13"/>
    </row>
    <row r="56" spans="1:3" ht="13" x14ac:dyDescent="0.15">
      <c r="A56" s="10"/>
      <c r="B56" s="13"/>
      <c r="C56" s="13"/>
    </row>
    <row r="57" spans="1:3" ht="13" x14ac:dyDescent="0.15">
      <c r="A57" s="10"/>
      <c r="B57" s="13"/>
      <c r="C57" s="13"/>
    </row>
    <row r="58" spans="1:3" ht="13" x14ac:dyDescent="0.15">
      <c r="A58" s="10"/>
      <c r="B58" s="13"/>
      <c r="C58" s="13"/>
    </row>
    <row r="59" spans="1:3" ht="13" x14ac:dyDescent="0.15">
      <c r="A59" s="10"/>
      <c r="B59" s="13"/>
      <c r="C59" s="13"/>
    </row>
    <row r="60" spans="1:3" ht="13" x14ac:dyDescent="0.15">
      <c r="A60" s="10"/>
      <c r="B60" s="13"/>
      <c r="C60" s="13"/>
    </row>
    <row r="61" spans="1:3" ht="13" x14ac:dyDescent="0.15">
      <c r="A61" s="10"/>
      <c r="B61" s="13"/>
      <c r="C61" s="13"/>
    </row>
    <row r="62" spans="1:3" ht="13" x14ac:dyDescent="0.15">
      <c r="A62" s="10"/>
      <c r="B62" s="13"/>
      <c r="C62" s="13"/>
    </row>
    <row r="63" spans="1:3" ht="13" x14ac:dyDescent="0.15">
      <c r="A63" s="10"/>
      <c r="B63" s="13"/>
      <c r="C63" s="13"/>
    </row>
    <row r="64" spans="1:3" ht="13" x14ac:dyDescent="0.15">
      <c r="A64" s="10"/>
      <c r="B64" s="13"/>
      <c r="C64" s="13"/>
    </row>
    <row r="65" spans="1:3" ht="13" x14ac:dyDescent="0.15">
      <c r="A65" s="10"/>
      <c r="B65" s="13"/>
      <c r="C65" s="13"/>
    </row>
    <row r="66" spans="1:3" ht="13" x14ac:dyDescent="0.15">
      <c r="A66" s="10"/>
      <c r="B66" s="13"/>
      <c r="C66" s="13"/>
    </row>
    <row r="67" spans="1:3" ht="13" x14ac:dyDescent="0.15">
      <c r="A67" s="10"/>
      <c r="B67" s="13"/>
      <c r="C67" s="13"/>
    </row>
    <row r="68" spans="1:3" ht="13" x14ac:dyDescent="0.15">
      <c r="A68" s="10"/>
      <c r="B68" s="13"/>
      <c r="C68" s="13"/>
    </row>
    <row r="69" spans="1:3" ht="13" x14ac:dyDescent="0.15">
      <c r="A69" s="10"/>
      <c r="B69" s="13"/>
      <c r="C69" s="13"/>
    </row>
    <row r="70" spans="1:3" ht="13" x14ac:dyDescent="0.15">
      <c r="A70" s="10"/>
      <c r="B70" s="13"/>
      <c r="C70" s="13"/>
    </row>
    <row r="71" spans="1:3" ht="13" x14ac:dyDescent="0.15">
      <c r="A71" s="10"/>
      <c r="B71" s="13"/>
      <c r="C71" s="13"/>
    </row>
    <row r="72" spans="1:3" ht="13" x14ac:dyDescent="0.15">
      <c r="A72" s="10"/>
      <c r="B72" s="13"/>
      <c r="C72" s="13"/>
    </row>
    <row r="73" spans="1:3" ht="13" x14ac:dyDescent="0.15">
      <c r="A73" s="10"/>
      <c r="B73" s="13"/>
      <c r="C73" s="13"/>
    </row>
    <row r="74" spans="1:3" ht="13" x14ac:dyDescent="0.15">
      <c r="A74" s="10"/>
      <c r="B74" s="13"/>
      <c r="C74" s="13"/>
    </row>
    <row r="75" spans="1:3" ht="13" x14ac:dyDescent="0.15">
      <c r="A75" s="10"/>
      <c r="B75" s="13"/>
      <c r="C75" s="13"/>
    </row>
    <row r="76" spans="1:3" ht="13" x14ac:dyDescent="0.15">
      <c r="A76" s="10"/>
      <c r="B76" s="13"/>
      <c r="C76" s="13"/>
    </row>
    <row r="77" spans="1:3" ht="13" x14ac:dyDescent="0.15">
      <c r="A77" s="10"/>
      <c r="B77" s="13"/>
      <c r="C77" s="13"/>
    </row>
    <row r="78" spans="1:3" ht="13" x14ac:dyDescent="0.15">
      <c r="A78" s="10"/>
      <c r="B78" s="13"/>
      <c r="C78" s="13"/>
    </row>
    <row r="79" spans="1:3" ht="13" x14ac:dyDescent="0.15">
      <c r="A79" s="10"/>
      <c r="B79" s="13"/>
      <c r="C79" s="13"/>
    </row>
    <row r="80" spans="1:3" ht="13" x14ac:dyDescent="0.15">
      <c r="A80" s="10"/>
      <c r="B80" s="13"/>
      <c r="C80" s="13"/>
    </row>
    <row r="81" spans="1:3" ht="13" x14ac:dyDescent="0.15">
      <c r="A81" s="10"/>
      <c r="B81" s="13"/>
      <c r="C81" s="13"/>
    </row>
    <row r="82" spans="1:3" ht="13" x14ac:dyDescent="0.15">
      <c r="A82" s="10"/>
      <c r="B82" s="13"/>
      <c r="C82" s="13"/>
    </row>
    <row r="83" spans="1:3" ht="13" x14ac:dyDescent="0.15">
      <c r="A83" s="10"/>
      <c r="B83" s="13"/>
      <c r="C83" s="13"/>
    </row>
    <row r="84" spans="1:3" ht="13" x14ac:dyDescent="0.15">
      <c r="A84" s="10"/>
      <c r="B84" s="13"/>
      <c r="C84" s="13"/>
    </row>
    <row r="85" spans="1:3" ht="13" x14ac:dyDescent="0.15">
      <c r="A85" s="10"/>
      <c r="B85" s="13"/>
      <c r="C85" s="13"/>
    </row>
    <row r="86" spans="1:3" ht="13" x14ac:dyDescent="0.15">
      <c r="A86" s="10"/>
      <c r="B86" s="13"/>
      <c r="C86" s="13"/>
    </row>
    <row r="87" spans="1:3" ht="13" x14ac:dyDescent="0.15">
      <c r="A87" s="10"/>
      <c r="B87" s="13"/>
      <c r="C87" s="13"/>
    </row>
    <row r="88" spans="1:3" ht="13" x14ac:dyDescent="0.15">
      <c r="A88" s="10"/>
      <c r="B88" s="13"/>
      <c r="C88" s="13"/>
    </row>
    <row r="89" spans="1:3" ht="13" x14ac:dyDescent="0.15">
      <c r="A89" s="10"/>
      <c r="B89" s="13"/>
      <c r="C89" s="13"/>
    </row>
    <row r="90" spans="1:3" ht="13" x14ac:dyDescent="0.15">
      <c r="A90" s="10"/>
      <c r="B90" s="13"/>
      <c r="C90" s="13"/>
    </row>
    <row r="91" spans="1:3" ht="13" x14ac:dyDescent="0.15">
      <c r="A91" s="10"/>
      <c r="B91" s="13"/>
      <c r="C91" s="13"/>
    </row>
    <row r="92" spans="1:3" ht="13" x14ac:dyDescent="0.15">
      <c r="A92" s="10"/>
      <c r="B92" s="13"/>
      <c r="C92" s="13"/>
    </row>
    <row r="93" spans="1:3" ht="13" x14ac:dyDescent="0.15">
      <c r="A93" s="10"/>
      <c r="B93" s="13"/>
      <c r="C93" s="13"/>
    </row>
    <row r="94" spans="1:3" ht="13" x14ac:dyDescent="0.15">
      <c r="A94" s="10"/>
      <c r="B94" s="13"/>
      <c r="C94" s="13"/>
    </row>
    <row r="95" spans="1:3" ht="13" x14ac:dyDescent="0.15">
      <c r="A95" s="10"/>
      <c r="B95" s="13"/>
      <c r="C95" s="13"/>
    </row>
    <row r="96" spans="1:3" ht="13" x14ac:dyDescent="0.15">
      <c r="A96" s="10"/>
      <c r="B96" s="13"/>
      <c r="C96" s="13"/>
    </row>
    <row r="97" spans="1:3" ht="13" x14ac:dyDescent="0.15">
      <c r="A97" s="10"/>
      <c r="B97" s="13"/>
      <c r="C97" s="13"/>
    </row>
    <row r="98" spans="1:3" ht="13" x14ac:dyDescent="0.15">
      <c r="A98" s="10"/>
      <c r="B98" s="13"/>
      <c r="C98" s="13"/>
    </row>
    <row r="99" spans="1:3" ht="13" x14ac:dyDescent="0.15">
      <c r="A99" s="10"/>
      <c r="B99" s="13"/>
      <c r="C99" s="13"/>
    </row>
    <row r="100" spans="1:3" ht="13" x14ac:dyDescent="0.15">
      <c r="A100" s="10"/>
      <c r="B100" s="13"/>
      <c r="C100" s="13"/>
    </row>
    <row r="101" spans="1:3" ht="13" x14ac:dyDescent="0.15">
      <c r="A101" s="10"/>
      <c r="B101" s="13"/>
      <c r="C101" s="13"/>
    </row>
    <row r="102" spans="1:3" ht="13" x14ac:dyDescent="0.15">
      <c r="A102" s="10"/>
      <c r="B102" s="13"/>
      <c r="C102" s="13"/>
    </row>
    <row r="103" spans="1:3" ht="13" x14ac:dyDescent="0.15">
      <c r="A103" s="10"/>
      <c r="B103" s="13"/>
      <c r="C103" s="13"/>
    </row>
    <row r="104" spans="1:3" ht="13" x14ac:dyDescent="0.15">
      <c r="A104" s="10"/>
      <c r="B104" s="13"/>
      <c r="C104" s="13"/>
    </row>
    <row r="105" spans="1:3" ht="13" x14ac:dyDescent="0.15">
      <c r="A105" s="10"/>
      <c r="B105" s="13"/>
      <c r="C105" s="13"/>
    </row>
    <row r="106" spans="1:3" ht="13" x14ac:dyDescent="0.15">
      <c r="A106" s="10"/>
      <c r="B106" s="13"/>
      <c r="C106" s="13"/>
    </row>
    <row r="107" spans="1:3" ht="13" x14ac:dyDescent="0.15">
      <c r="A107" s="10"/>
      <c r="B107" s="13"/>
      <c r="C107" s="13"/>
    </row>
    <row r="108" spans="1:3" ht="13" x14ac:dyDescent="0.15">
      <c r="A108" s="10"/>
      <c r="B108" s="13"/>
      <c r="C108" s="13"/>
    </row>
    <row r="109" spans="1:3" ht="13" x14ac:dyDescent="0.15">
      <c r="A109" s="10"/>
      <c r="B109" s="13"/>
      <c r="C109" s="13"/>
    </row>
    <row r="110" spans="1:3" ht="13" x14ac:dyDescent="0.15">
      <c r="A110" s="10"/>
      <c r="B110" s="13"/>
      <c r="C110" s="13"/>
    </row>
    <row r="111" spans="1:3" ht="13" x14ac:dyDescent="0.15">
      <c r="A111" s="10"/>
      <c r="B111" s="13"/>
      <c r="C111" s="13"/>
    </row>
    <row r="112" spans="1:3" ht="13" x14ac:dyDescent="0.15">
      <c r="A112" s="10"/>
      <c r="B112" s="13"/>
      <c r="C112" s="13"/>
    </row>
    <row r="113" spans="1:3" ht="13" x14ac:dyDescent="0.15">
      <c r="A113" s="10"/>
      <c r="B113" s="13"/>
      <c r="C113" s="13"/>
    </row>
    <row r="114" spans="1:3" ht="13" x14ac:dyDescent="0.15">
      <c r="A114" s="10"/>
      <c r="B114" s="13"/>
      <c r="C114" s="13"/>
    </row>
    <row r="115" spans="1:3" ht="13" x14ac:dyDescent="0.15">
      <c r="A115" s="10"/>
      <c r="B115" s="13"/>
      <c r="C115" s="13"/>
    </row>
    <row r="116" spans="1:3" ht="13" x14ac:dyDescent="0.15">
      <c r="A116" s="10"/>
      <c r="B116" s="13"/>
      <c r="C116" s="13"/>
    </row>
    <row r="117" spans="1:3" ht="13" x14ac:dyDescent="0.15">
      <c r="A117" s="10"/>
      <c r="B117" s="13"/>
      <c r="C117" s="13"/>
    </row>
    <row r="118" spans="1:3" ht="13" x14ac:dyDescent="0.15">
      <c r="A118" s="10"/>
      <c r="B118" s="13"/>
      <c r="C118" s="13"/>
    </row>
    <row r="119" spans="1:3" ht="13" x14ac:dyDescent="0.15">
      <c r="A119" s="10"/>
      <c r="B119" s="13"/>
      <c r="C119" s="13"/>
    </row>
    <row r="120" spans="1:3" ht="13" x14ac:dyDescent="0.15">
      <c r="A120" s="10"/>
      <c r="B120" s="13"/>
      <c r="C120" s="13"/>
    </row>
    <row r="121" spans="1:3" ht="13" x14ac:dyDescent="0.15">
      <c r="A121" s="10"/>
      <c r="B121" s="13"/>
      <c r="C121" s="13"/>
    </row>
    <row r="122" spans="1:3" ht="13" x14ac:dyDescent="0.15">
      <c r="A122" s="10"/>
      <c r="B122" s="13"/>
      <c r="C122" s="13"/>
    </row>
    <row r="123" spans="1:3" ht="13" x14ac:dyDescent="0.15">
      <c r="A123" s="10"/>
      <c r="B123" s="13"/>
      <c r="C123" s="13"/>
    </row>
    <row r="124" spans="1:3" ht="13" x14ac:dyDescent="0.15">
      <c r="A124" s="10"/>
      <c r="B124" s="13"/>
      <c r="C124" s="13"/>
    </row>
    <row r="125" spans="1:3" ht="13" x14ac:dyDescent="0.15">
      <c r="A125" s="10"/>
      <c r="B125" s="13"/>
      <c r="C125" s="13"/>
    </row>
    <row r="126" spans="1:3" ht="13" x14ac:dyDescent="0.15">
      <c r="A126" s="10"/>
      <c r="B126" s="13"/>
      <c r="C126" s="13"/>
    </row>
    <row r="127" spans="1:3" ht="13" x14ac:dyDescent="0.15">
      <c r="A127" s="10"/>
      <c r="B127" s="13"/>
      <c r="C127" s="13"/>
    </row>
    <row r="128" spans="1:3" ht="13" x14ac:dyDescent="0.15">
      <c r="A128" s="10"/>
      <c r="B128" s="13"/>
      <c r="C128" s="13"/>
    </row>
    <row r="129" spans="1:3" ht="13" x14ac:dyDescent="0.15">
      <c r="A129" s="10"/>
      <c r="B129" s="13"/>
      <c r="C129" s="13"/>
    </row>
    <row r="130" spans="1:3" ht="13" x14ac:dyDescent="0.15">
      <c r="A130" s="10"/>
      <c r="B130" s="13"/>
      <c r="C130" s="13"/>
    </row>
    <row r="131" spans="1:3" ht="13" x14ac:dyDescent="0.15">
      <c r="A131" s="10"/>
      <c r="B131" s="13"/>
      <c r="C131" s="13"/>
    </row>
    <row r="132" spans="1:3" ht="13" x14ac:dyDescent="0.15">
      <c r="A132" s="10"/>
      <c r="B132" s="13"/>
      <c r="C132" s="13"/>
    </row>
    <row r="133" spans="1:3" ht="13" x14ac:dyDescent="0.15">
      <c r="A133" s="10"/>
      <c r="B133" s="13"/>
      <c r="C133" s="13"/>
    </row>
    <row r="134" spans="1:3" ht="13" x14ac:dyDescent="0.15">
      <c r="A134" s="10"/>
      <c r="B134" s="13"/>
      <c r="C134" s="13"/>
    </row>
    <row r="135" spans="1:3" ht="13" x14ac:dyDescent="0.15">
      <c r="A135" s="10"/>
      <c r="B135" s="13"/>
      <c r="C135" s="13"/>
    </row>
    <row r="136" spans="1:3" ht="13" x14ac:dyDescent="0.15">
      <c r="A136" s="10"/>
      <c r="B136" s="13"/>
      <c r="C136" s="13"/>
    </row>
    <row r="137" spans="1:3" ht="13" x14ac:dyDescent="0.15">
      <c r="A137" s="10"/>
      <c r="B137" s="13"/>
      <c r="C137" s="13"/>
    </row>
    <row r="138" spans="1:3" ht="13" x14ac:dyDescent="0.15">
      <c r="A138" s="10"/>
      <c r="B138" s="13"/>
      <c r="C138" s="13"/>
    </row>
    <row r="139" spans="1:3" ht="13" x14ac:dyDescent="0.15">
      <c r="A139" s="10"/>
      <c r="B139" s="13"/>
      <c r="C139" s="13"/>
    </row>
    <row r="140" spans="1:3" ht="13" x14ac:dyDescent="0.15">
      <c r="A140" s="10"/>
      <c r="B140" s="13"/>
      <c r="C140" s="13"/>
    </row>
    <row r="141" spans="1:3" ht="13" x14ac:dyDescent="0.15">
      <c r="A141" s="10"/>
      <c r="B141" s="13"/>
      <c r="C141" s="13"/>
    </row>
    <row r="142" spans="1:3" ht="13" x14ac:dyDescent="0.15">
      <c r="A142" s="10"/>
      <c r="B142" s="13"/>
      <c r="C142" s="13"/>
    </row>
    <row r="143" spans="1:3" ht="13" x14ac:dyDescent="0.15">
      <c r="A143" s="10"/>
      <c r="B143" s="13"/>
      <c r="C143" s="13"/>
    </row>
    <row r="144" spans="1:3" ht="13" x14ac:dyDescent="0.15">
      <c r="A144" s="10"/>
      <c r="B144" s="13"/>
      <c r="C144" s="13"/>
    </row>
    <row r="145" spans="1:3" ht="13" x14ac:dyDescent="0.15">
      <c r="A145" s="10"/>
      <c r="B145" s="13"/>
      <c r="C145" s="13"/>
    </row>
    <row r="146" spans="1:3" ht="13" x14ac:dyDescent="0.15">
      <c r="A146" s="10"/>
      <c r="B146" s="13"/>
      <c r="C146" s="13"/>
    </row>
    <row r="147" spans="1:3" ht="13" x14ac:dyDescent="0.15">
      <c r="A147" s="10"/>
      <c r="B147" s="13"/>
      <c r="C147" s="13"/>
    </row>
    <row r="148" spans="1:3" ht="13" x14ac:dyDescent="0.15">
      <c r="A148" s="10"/>
      <c r="B148" s="13"/>
      <c r="C148" s="13"/>
    </row>
    <row r="149" spans="1:3" ht="13" x14ac:dyDescent="0.15">
      <c r="A149" s="10"/>
      <c r="B149" s="13"/>
      <c r="C149" s="13"/>
    </row>
    <row r="150" spans="1:3" ht="13" x14ac:dyDescent="0.15">
      <c r="A150" s="10"/>
      <c r="B150" s="13"/>
      <c r="C150" s="13"/>
    </row>
    <row r="151" spans="1:3" ht="13" x14ac:dyDescent="0.15">
      <c r="A151" s="10"/>
      <c r="B151" s="13"/>
      <c r="C151" s="13"/>
    </row>
    <row r="152" spans="1:3" ht="13" x14ac:dyDescent="0.15">
      <c r="A152" s="10"/>
      <c r="B152" s="13"/>
      <c r="C152" s="13"/>
    </row>
    <row r="153" spans="1:3" ht="13" x14ac:dyDescent="0.15">
      <c r="A153" s="10"/>
      <c r="B153" s="13"/>
      <c r="C153" s="13"/>
    </row>
    <row r="154" spans="1:3" ht="13" x14ac:dyDescent="0.15">
      <c r="A154" s="10"/>
      <c r="B154" s="13"/>
      <c r="C154" s="13"/>
    </row>
    <row r="155" spans="1:3" ht="13" x14ac:dyDescent="0.15">
      <c r="A155" s="10"/>
      <c r="B155" s="13"/>
      <c r="C155" s="13"/>
    </row>
    <row r="156" spans="1:3" ht="13" x14ac:dyDescent="0.15">
      <c r="A156" s="10"/>
      <c r="B156" s="13"/>
      <c r="C156" s="13"/>
    </row>
    <row r="157" spans="1:3" ht="13" x14ac:dyDescent="0.15">
      <c r="A157" s="10"/>
      <c r="B157" s="13"/>
      <c r="C157" s="13"/>
    </row>
    <row r="158" spans="1:3" ht="13" x14ac:dyDescent="0.15">
      <c r="A158" s="10"/>
      <c r="B158" s="13"/>
      <c r="C158" s="13"/>
    </row>
    <row r="159" spans="1:3" ht="13" x14ac:dyDescent="0.15">
      <c r="A159" s="10"/>
      <c r="B159" s="13"/>
      <c r="C159" s="13"/>
    </row>
    <row r="160" spans="1:3" ht="13" x14ac:dyDescent="0.15">
      <c r="A160" s="10"/>
      <c r="B160" s="13"/>
      <c r="C160" s="13"/>
    </row>
    <row r="161" spans="1:3" ht="13" x14ac:dyDescent="0.15">
      <c r="A161" s="10"/>
      <c r="B161" s="13"/>
      <c r="C161" s="13"/>
    </row>
    <row r="162" spans="1:3" ht="13" x14ac:dyDescent="0.15">
      <c r="A162" s="10"/>
      <c r="B162" s="13"/>
      <c r="C162" s="13"/>
    </row>
    <row r="163" spans="1:3" ht="13" x14ac:dyDescent="0.15">
      <c r="A163" s="10"/>
      <c r="B163" s="13"/>
      <c r="C163" s="13"/>
    </row>
    <row r="164" spans="1:3" ht="13" x14ac:dyDescent="0.15">
      <c r="A164" s="10"/>
      <c r="B164" s="13"/>
      <c r="C164" s="13"/>
    </row>
    <row r="165" spans="1:3" ht="13" x14ac:dyDescent="0.15">
      <c r="A165" s="10"/>
      <c r="B165" s="13"/>
      <c r="C165" s="13"/>
    </row>
    <row r="166" spans="1:3" ht="13" x14ac:dyDescent="0.15">
      <c r="A166" s="10"/>
      <c r="B166" s="13"/>
      <c r="C166" s="13"/>
    </row>
    <row r="167" spans="1:3" ht="13" x14ac:dyDescent="0.15">
      <c r="A167" s="10"/>
      <c r="B167" s="13"/>
      <c r="C167" s="13"/>
    </row>
    <row r="168" spans="1:3" ht="13" x14ac:dyDescent="0.15">
      <c r="A168" s="10"/>
      <c r="B168" s="13"/>
      <c r="C168" s="13"/>
    </row>
    <row r="169" spans="1:3" ht="13" x14ac:dyDescent="0.15">
      <c r="A169" s="10"/>
      <c r="B169" s="13"/>
      <c r="C169" s="13"/>
    </row>
    <row r="170" spans="1:3" ht="13" x14ac:dyDescent="0.15">
      <c r="A170" s="10"/>
      <c r="B170" s="13"/>
      <c r="C170" s="13"/>
    </row>
    <row r="171" spans="1:3" ht="13" x14ac:dyDescent="0.15">
      <c r="A171" s="10"/>
      <c r="B171" s="13"/>
      <c r="C171" s="13"/>
    </row>
    <row r="172" spans="1:3" ht="13" x14ac:dyDescent="0.15">
      <c r="A172" s="10"/>
      <c r="B172" s="13"/>
      <c r="C172" s="13"/>
    </row>
    <row r="173" spans="1:3" ht="13" x14ac:dyDescent="0.15">
      <c r="A173" s="10"/>
      <c r="B173" s="13"/>
      <c r="C173" s="13"/>
    </row>
    <row r="174" spans="1:3" ht="13" x14ac:dyDescent="0.15">
      <c r="A174" s="10"/>
      <c r="B174" s="13"/>
      <c r="C174" s="13"/>
    </row>
    <row r="175" spans="1:3" ht="13" x14ac:dyDescent="0.15">
      <c r="A175" s="10"/>
      <c r="B175" s="13"/>
      <c r="C175" s="13"/>
    </row>
    <row r="176" spans="1:3" ht="13" x14ac:dyDescent="0.15">
      <c r="A176" s="10"/>
      <c r="B176" s="13"/>
      <c r="C176" s="13"/>
    </row>
    <row r="177" spans="1:3" ht="13" x14ac:dyDescent="0.15">
      <c r="A177" s="10"/>
      <c r="B177" s="13"/>
      <c r="C177" s="13"/>
    </row>
    <row r="178" spans="1:3" ht="13" x14ac:dyDescent="0.15">
      <c r="A178" s="10"/>
      <c r="B178" s="13"/>
      <c r="C178" s="13"/>
    </row>
    <row r="179" spans="1:3" ht="13" x14ac:dyDescent="0.15">
      <c r="A179" s="10"/>
      <c r="B179" s="13"/>
      <c r="C179" s="13"/>
    </row>
    <row r="180" spans="1:3" ht="13" x14ac:dyDescent="0.15">
      <c r="A180" s="10"/>
      <c r="B180" s="13"/>
      <c r="C180" s="13"/>
    </row>
    <row r="181" spans="1:3" ht="13" x14ac:dyDescent="0.15">
      <c r="A181" s="10"/>
      <c r="B181" s="13"/>
      <c r="C181" s="13"/>
    </row>
    <row r="182" spans="1:3" ht="13" x14ac:dyDescent="0.15">
      <c r="A182" s="10"/>
      <c r="B182" s="13"/>
      <c r="C182" s="13"/>
    </row>
    <row r="183" spans="1:3" ht="13" x14ac:dyDescent="0.15">
      <c r="A183" s="10"/>
      <c r="B183" s="13"/>
      <c r="C183" s="13"/>
    </row>
    <row r="184" spans="1:3" ht="13" x14ac:dyDescent="0.15">
      <c r="A184" s="10"/>
      <c r="B184" s="13"/>
      <c r="C184" s="13"/>
    </row>
    <row r="185" spans="1:3" ht="13" x14ac:dyDescent="0.15">
      <c r="A185" s="10"/>
      <c r="B185" s="13"/>
      <c r="C185" s="13"/>
    </row>
    <row r="186" spans="1:3" ht="13" x14ac:dyDescent="0.15">
      <c r="A186" s="10"/>
      <c r="B186" s="13"/>
      <c r="C186" s="13"/>
    </row>
    <row r="187" spans="1:3" ht="13" x14ac:dyDescent="0.15">
      <c r="A187" s="10"/>
      <c r="B187" s="13"/>
      <c r="C187" s="13"/>
    </row>
    <row r="188" spans="1:3" ht="13" x14ac:dyDescent="0.15">
      <c r="A188" s="10"/>
      <c r="B188" s="13"/>
      <c r="C188" s="13"/>
    </row>
    <row r="189" spans="1:3" ht="13" x14ac:dyDescent="0.15">
      <c r="A189" s="10"/>
      <c r="B189" s="13"/>
      <c r="C189" s="13"/>
    </row>
    <row r="190" spans="1:3" ht="13" x14ac:dyDescent="0.15">
      <c r="A190" s="10"/>
      <c r="B190" s="13"/>
      <c r="C190" s="13"/>
    </row>
    <row r="191" spans="1:3" ht="13" x14ac:dyDescent="0.15">
      <c r="A191" s="10"/>
      <c r="B191" s="13"/>
      <c r="C191" s="13"/>
    </row>
    <row r="192" spans="1:3" ht="13" x14ac:dyDescent="0.15">
      <c r="A192" s="10"/>
      <c r="B192" s="13"/>
      <c r="C192" s="13"/>
    </row>
    <row r="193" spans="1:3" ht="13" x14ac:dyDescent="0.15">
      <c r="A193" s="10"/>
      <c r="B193" s="13"/>
      <c r="C193" s="13"/>
    </row>
    <row r="194" spans="1:3" ht="13" x14ac:dyDescent="0.15">
      <c r="A194" s="10"/>
      <c r="B194" s="13"/>
      <c r="C194" s="13"/>
    </row>
    <row r="195" spans="1:3" ht="13" x14ac:dyDescent="0.15">
      <c r="A195" s="10"/>
      <c r="B195" s="13"/>
      <c r="C195" s="13"/>
    </row>
    <row r="196" spans="1:3" ht="13" x14ac:dyDescent="0.15">
      <c r="A196" s="10"/>
      <c r="B196" s="13"/>
      <c r="C196" s="13"/>
    </row>
    <row r="197" spans="1:3" ht="13" x14ac:dyDescent="0.15">
      <c r="A197" s="10"/>
      <c r="B197" s="13"/>
      <c r="C197" s="13"/>
    </row>
    <row r="198" spans="1:3" ht="13" x14ac:dyDescent="0.15">
      <c r="A198" s="10"/>
      <c r="B198" s="13"/>
      <c r="C198" s="13"/>
    </row>
    <row r="199" spans="1:3" ht="13" x14ac:dyDescent="0.15">
      <c r="A199" s="10"/>
      <c r="B199" s="13"/>
      <c r="C199" s="13"/>
    </row>
    <row r="200" spans="1:3" ht="13" x14ac:dyDescent="0.15">
      <c r="A200" s="10"/>
      <c r="B200" s="13"/>
      <c r="C200" s="13"/>
    </row>
    <row r="201" spans="1:3" ht="13" x14ac:dyDescent="0.15">
      <c r="A201" s="10"/>
      <c r="B201" s="13"/>
      <c r="C201" s="13"/>
    </row>
    <row r="202" spans="1:3" ht="13" x14ac:dyDescent="0.15">
      <c r="A202" s="10"/>
      <c r="B202" s="13"/>
      <c r="C202" s="13"/>
    </row>
    <row r="203" spans="1:3" ht="13" x14ac:dyDescent="0.15">
      <c r="A203" s="10"/>
      <c r="B203" s="13"/>
      <c r="C203" s="13"/>
    </row>
    <row r="204" spans="1:3" ht="13" x14ac:dyDescent="0.15">
      <c r="A204" s="10"/>
      <c r="B204" s="13"/>
      <c r="C204" s="13"/>
    </row>
    <row r="205" spans="1:3" ht="13" x14ac:dyDescent="0.15">
      <c r="A205" s="10"/>
      <c r="B205" s="13"/>
      <c r="C205" s="13"/>
    </row>
    <row r="206" spans="1:3" ht="13" x14ac:dyDescent="0.15">
      <c r="A206" s="10"/>
      <c r="B206" s="13"/>
      <c r="C206" s="13"/>
    </row>
    <row r="207" spans="1:3" ht="13" x14ac:dyDescent="0.15">
      <c r="A207" s="10"/>
      <c r="B207" s="13"/>
      <c r="C207" s="13"/>
    </row>
    <row r="208" spans="1:3" ht="13" x14ac:dyDescent="0.15">
      <c r="A208" s="10"/>
      <c r="B208" s="13"/>
      <c r="C208" s="13"/>
    </row>
    <row r="209" spans="1:3" ht="13" x14ac:dyDescent="0.15">
      <c r="A209" s="10"/>
      <c r="B209" s="13"/>
      <c r="C209" s="13"/>
    </row>
    <row r="210" spans="1:3" ht="13" x14ac:dyDescent="0.15">
      <c r="A210" s="10"/>
      <c r="B210" s="13"/>
      <c r="C210" s="13"/>
    </row>
    <row r="211" spans="1:3" ht="13" x14ac:dyDescent="0.15">
      <c r="A211" s="10"/>
      <c r="B211" s="13"/>
      <c r="C211" s="13"/>
    </row>
    <row r="212" spans="1:3" ht="13" x14ac:dyDescent="0.15">
      <c r="A212" s="10"/>
      <c r="B212" s="13"/>
      <c r="C212" s="13"/>
    </row>
    <row r="213" spans="1:3" ht="13" x14ac:dyDescent="0.15">
      <c r="A213" s="10"/>
      <c r="B213" s="13"/>
      <c r="C213" s="13"/>
    </row>
    <row r="214" spans="1:3" ht="13" x14ac:dyDescent="0.15">
      <c r="A214" s="10"/>
      <c r="B214" s="13"/>
      <c r="C214" s="13"/>
    </row>
    <row r="215" spans="1:3" ht="13" x14ac:dyDescent="0.15">
      <c r="A215" s="10"/>
      <c r="B215" s="13"/>
      <c r="C215" s="13"/>
    </row>
    <row r="216" spans="1:3" ht="13" x14ac:dyDescent="0.15">
      <c r="A216" s="10"/>
      <c r="B216" s="13"/>
      <c r="C216" s="13"/>
    </row>
    <row r="217" spans="1:3" ht="13" x14ac:dyDescent="0.15">
      <c r="A217" s="10"/>
      <c r="B217" s="13"/>
      <c r="C217" s="13"/>
    </row>
    <row r="218" spans="1:3" ht="13" x14ac:dyDescent="0.15">
      <c r="A218" s="10"/>
      <c r="B218" s="13"/>
      <c r="C218" s="13"/>
    </row>
    <row r="219" spans="1:3" ht="13" x14ac:dyDescent="0.15">
      <c r="A219" s="10"/>
      <c r="B219" s="13"/>
      <c r="C219" s="13"/>
    </row>
    <row r="220" spans="1:3" ht="13" x14ac:dyDescent="0.15">
      <c r="A220" s="10"/>
      <c r="B220" s="13"/>
      <c r="C220" s="13"/>
    </row>
    <row r="221" spans="1:3" ht="13" x14ac:dyDescent="0.15">
      <c r="A221" s="10"/>
      <c r="B221" s="13"/>
      <c r="C221" s="13"/>
    </row>
    <row r="222" spans="1:3" ht="13" x14ac:dyDescent="0.15">
      <c r="A222" s="10"/>
      <c r="B222" s="13"/>
      <c r="C222" s="13"/>
    </row>
    <row r="223" spans="1:3" ht="13" x14ac:dyDescent="0.15">
      <c r="A223" s="10"/>
      <c r="B223" s="13"/>
      <c r="C223" s="13"/>
    </row>
    <row r="224" spans="1:3" ht="13" x14ac:dyDescent="0.15">
      <c r="A224" s="10"/>
      <c r="B224" s="13"/>
      <c r="C224" s="13"/>
    </row>
    <row r="225" spans="1:3" ht="13" x14ac:dyDescent="0.15">
      <c r="A225" s="10"/>
      <c r="B225" s="13"/>
      <c r="C225" s="13"/>
    </row>
    <row r="226" spans="1:3" ht="13" x14ac:dyDescent="0.15">
      <c r="A226" s="10"/>
      <c r="B226" s="13"/>
      <c r="C226" s="13"/>
    </row>
    <row r="227" spans="1:3" ht="13" x14ac:dyDescent="0.15">
      <c r="A227" s="10"/>
      <c r="B227" s="13"/>
      <c r="C227" s="13"/>
    </row>
    <row r="228" spans="1:3" ht="13" x14ac:dyDescent="0.15">
      <c r="A228" s="10"/>
      <c r="B228" s="13"/>
      <c r="C228" s="13"/>
    </row>
    <row r="229" spans="1:3" ht="13" x14ac:dyDescent="0.15">
      <c r="A229" s="10"/>
      <c r="B229" s="13"/>
      <c r="C229" s="13"/>
    </row>
    <row r="230" spans="1:3" ht="13" x14ac:dyDescent="0.15">
      <c r="A230" s="10"/>
      <c r="B230" s="13"/>
      <c r="C230" s="13"/>
    </row>
    <row r="231" spans="1:3" ht="13" x14ac:dyDescent="0.15">
      <c r="A231" s="10"/>
      <c r="B231" s="13"/>
      <c r="C231" s="13"/>
    </row>
    <row r="232" spans="1:3" ht="13" x14ac:dyDescent="0.15">
      <c r="A232" s="10"/>
      <c r="B232" s="13"/>
      <c r="C232" s="13"/>
    </row>
    <row r="233" spans="1:3" ht="13" x14ac:dyDescent="0.15">
      <c r="A233" s="10"/>
      <c r="B233" s="13"/>
      <c r="C233" s="13"/>
    </row>
    <row r="234" spans="1:3" ht="13" x14ac:dyDescent="0.15">
      <c r="A234" s="10"/>
      <c r="B234" s="13"/>
      <c r="C234" s="13"/>
    </row>
    <row r="235" spans="1:3" ht="13" x14ac:dyDescent="0.15">
      <c r="A235" s="10"/>
      <c r="B235" s="13"/>
      <c r="C235" s="13"/>
    </row>
    <row r="236" spans="1:3" ht="13" x14ac:dyDescent="0.15">
      <c r="A236" s="10"/>
      <c r="B236" s="13"/>
      <c r="C236" s="13"/>
    </row>
    <row r="237" spans="1:3" ht="13" x14ac:dyDescent="0.15">
      <c r="A237" s="10"/>
      <c r="B237" s="13"/>
      <c r="C237" s="13"/>
    </row>
    <row r="238" spans="1:3" ht="13" x14ac:dyDescent="0.15">
      <c r="A238" s="10"/>
      <c r="B238" s="13"/>
      <c r="C238" s="13"/>
    </row>
    <row r="239" spans="1:3" ht="13" x14ac:dyDescent="0.15">
      <c r="A239" s="10"/>
      <c r="B239" s="13"/>
      <c r="C239" s="13"/>
    </row>
    <row r="240" spans="1:3" ht="13" x14ac:dyDescent="0.15">
      <c r="A240" s="10"/>
      <c r="B240" s="13"/>
      <c r="C240" s="13"/>
    </row>
    <row r="241" spans="1:3" ht="13" x14ac:dyDescent="0.15">
      <c r="A241" s="10"/>
      <c r="B241" s="13"/>
      <c r="C241" s="13"/>
    </row>
    <row r="242" spans="1:3" ht="13" x14ac:dyDescent="0.15">
      <c r="A242" s="10"/>
      <c r="B242" s="13"/>
      <c r="C242" s="13"/>
    </row>
    <row r="243" spans="1:3" ht="13" x14ac:dyDescent="0.15">
      <c r="A243" s="10"/>
      <c r="B243" s="13"/>
      <c r="C243" s="13"/>
    </row>
    <row r="244" spans="1:3" ht="13" x14ac:dyDescent="0.15">
      <c r="A244" s="10"/>
      <c r="B244" s="13"/>
      <c r="C244" s="13"/>
    </row>
    <row r="245" spans="1:3" ht="13" x14ac:dyDescent="0.15">
      <c r="A245" s="10"/>
      <c r="B245" s="13"/>
      <c r="C245" s="13"/>
    </row>
    <row r="246" spans="1:3" ht="13" x14ac:dyDescent="0.15">
      <c r="A246" s="10"/>
      <c r="B246" s="13"/>
      <c r="C246" s="13"/>
    </row>
    <row r="247" spans="1:3" ht="13" x14ac:dyDescent="0.15">
      <c r="A247" s="10"/>
      <c r="B247" s="13"/>
      <c r="C247" s="13"/>
    </row>
    <row r="248" spans="1:3" ht="13" x14ac:dyDescent="0.15">
      <c r="A248" s="10"/>
      <c r="B248" s="13"/>
      <c r="C248" s="13"/>
    </row>
    <row r="249" spans="1:3" ht="13" x14ac:dyDescent="0.15">
      <c r="A249" s="10"/>
      <c r="B249" s="13"/>
      <c r="C249" s="13"/>
    </row>
    <row r="250" spans="1:3" ht="13" x14ac:dyDescent="0.15">
      <c r="A250" s="10"/>
      <c r="B250" s="13"/>
      <c r="C250" s="13"/>
    </row>
    <row r="251" spans="1:3" ht="13" x14ac:dyDescent="0.15">
      <c r="A251" s="10"/>
      <c r="B251" s="13"/>
      <c r="C251" s="13"/>
    </row>
    <row r="252" spans="1:3" ht="13" x14ac:dyDescent="0.15">
      <c r="A252" s="10"/>
      <c r="B252" s="13"/>
      <c r="C252" s="13"/>
    </row>
    <row r="253" spans="1:3" ht="13" x14ac:dyDescent="0.15">
      <c r="A253" s="10"/>
      <c r="B253" s="13"/>
      <c r="C253" s="13"/>
    </row>
    <row r="254" spans="1:3" ht="13" x14ac:dyDescent="0.15">
      <c r="A254" s="10"/>
      <c r="B254" s="13"/>
      <c r="C254" s="13"/>
    </row>
    <row r="255" spans="1:3" ht="13" x14ac:dyDescent="0.15">
      <c r="A255" s="10"/>
      <c r="B255" s="13"/>
      <c r="C255" s="13"/>
    </row>
    <row r="256" spans="1:3" ht="13" x14ac:dyDescent="0.15">
      <c r="A256" s="10"/>
      <c r="B256" s="13"/>
      <c r="C256" s="13"/>
    </row>
    <row r="257" spans="1:3" ht="13" x14ac:dyDescent="0.15">
      <c r="A257" s="10"/>
      <c r="B257" s="13"/>
      <c r="C257" s="13"/>
    </row>
    <row r="258" spans="1:3" ht="13" x14ac:dyDescent="0.15">
      <c r="A258" s="10"/>
      <c r="B258" s="13"/>
      <c r="C258" s="13"/>
    </row>
    <row r="259" spans="1:3" ht="13" x14ac:dyDescent="0.15">
      <c r="A259" s="10"/>
      <c r="B259" s="13"/>
      <c r="C259" s="13"/>
    </row>
    <row r="260" spans="1:3" ht="13" x14ac:dyDescent="0.15">
      <c r="A260" s="10"/>
      <c r="B260" s="13"/>
      <c r="C260" s="13"/>
    </row>
    <row r="261" spans="1:3" ht="13" x14ac:dyDescent="0.15">
      <c r="A261" s="10"/>
      <c r="B261" s="13"/>
      <c r="C261" s="13"/>
    </row>
    <row r="262" spans="1:3" ht="13" x14ac:dyDescent="0.15">
      <c r="A262" s="10"/>
      <c r="B262" s="13"/>
      <c r="C262" s="13"/>
    </row>
    <row r="263" spans="1:3" ht="13" x14ac:dyDescent="0.15">
      <c r="A263" s="10"/>
      <c r="B263" s="13"/>
      <c r="C263" s="13"/>
    </row>
    <row r="264" spans="1:3" ht="13" x14ac:dyDescent="0.15">
      <c r="A264" s="10"/>
      <c r="B264" s="13"/>
      <c r="C264" s="13"/>
    </row>
    <row r="265" spans="1:3" ht="13" x14ac:dyDescent="0.15">
      <c r="A265" s="10"/>
      <c r="B265" s="13"/>
      <c r="C265" s="13"/>
    </row>
    <row r="266" spans="1:3" ht="13" x14ac:dyDescent="0.15">
      <c r="A266" s="10"/>
      <c r="B266" s="13"/>
      <c r="C266" s="13"/>
    </row>
    <row r="267" spans="1:3" ht="13" x14ac:dyDescent="0.15">
      <c r="A267" s="10"/>
      <c r="B267" s="13"/>
      <c r="C267" s="13"/>
    </row>
    <row r="268" spans="1:3" ht="13" x14ac:dyDescent="0.15">
      <c r="A268" s="10"/>
      <c r="B268" s="13"/>
      <c r="C268" s="13"/>
    </row>
    <row r="269" spans="1:3" ht="13" x14ac:dyDescent="0.15">
      <c r="A269" s="10"/>
      <c r="B269" s="13"/>
      <c r="C269" s="13"/>
    </row>
    <row r="270" spans="1:3" ht="13" x14ac:dyDescent="0.15">
      <c r="A270" s="10"/>
      <c r="B270" s="13"/>
      <c r="C270" s="13"/>
    </row>
    <row r="271" spans="1:3" ht="13" x14ac:dyDescent="0.15">
      <c r="A271" s="10"/>
      <c r="B271" s="13"/>
      <c r="C271" s="13"/>
    </row>
    <row r="272" spans="1:3" ht="13" x14ac:dyDescent="0.15">
      <c r="A272" s="10"/>
      <c r="B272" s="13"/>
      <c r="C272" s="13"/>
    </row>
    <row r="273" spans="1:3" ht="13" x14ac:dyDescent="0.15">
      <c r="A273" s="10"/>
      <c r="B273" s="13"/>
      <c r="C273" s="13"/>
    </row>
    <row r="274" spans="1:3" ht="13" x14ac:dyDescent="0.15">
      <c r="A274" s="10"/>
      <c r="B274" s="13"/>
      <c r="C274" s="13"/>
    </row>
    <row r="275" spans="1:3" ht="13" x14ac:dyDescent="0.15">
      <c r="A275" s="10"/>
      <c r="B275" s="13"/>
      <c r="C275" s="13"/>
    </row>
    <row r="276" spans="1:3" ht="13" x14ac:dyDescent="0.15">
      <c r="A276" s="10"/>
      <c r="B276" s="13"/>
      <c r="C276" s="13"/>
    </row>
    <row r="277" spans="1:3" ht="13" x14ac:dyDescent="0.15">
      <c r="A277" s="10"/>
      <c r="B277" s="13"/>
      <c r="C277" s="13"/>
    </row>
    <row r="278" spans="1:3" ht="13" x14ac:dyDescent="0.15">
      <c r="A278" s="10"/>
      <c r="B278" s="13"/>
      <c r="C278" s="13"/>
    </row>
    <row r="279" spans="1:3" ht="13" x14ac:dyDescent="0.15">
      <c r="A279" s="10"/>
      <c r="B279" s="13"/>
      <c r="C279" s="13"/>
    </row>
    <row r="280" spans="1:3" ht="13" x14ac:dyDescent="0.15">
      <c r="A280" s="10"/>
      <c r="B280" s="13"/>
      <c r="C280" s="13"/>
    </row>
    <row r="281" spans="1:3" ht="13" x14ac:dyDescent="0.15">
      <c r="A281" s="10"/>
      <c r="B281" s="13"/>
      <c r="C281" s="13"/>
    </row>
    <row r="282" spans="1:3" ht="13" x14ac:dyDescent="0.15">
      <c r="A282" s="10"/>
      <c r="B282" s="13"/>
      <c r="C282" s="13"/>
    </row>
    <row r="283" spans="1:3" ht="13" x14ac:dyDescent="0.15">
      <c r="A283" s="10"/>
      <c r="B283" s="13"/>
      <c r="C283" s="13"/>
    </row>
    <row r="284" spans="1:3" ht="13" x14ac:dyDescent="0.15">
      <c r="A284" s="10"/>
      <c r="B284" s="13"/>
      <c r="C284" s="13"/>
    </row>
    <row r="285" spans="1:3" ht="13" x14ac:dyDescent="0.15">
      <c r="A285" s="10"/>
      <c r="B285" s="13"/>
      <c r="C285" s="13"/>
    </row>
    <row r="286" spans="1:3" ht="13" x14ac:dyDescent="0.15">
      <c r="A286" s="10"/>
      <c r="B286" s="13"/>
      <c r="C286" s="13"/>
    </row>
    <row r="287" spans="1:3" ht="13" x14ac:dyDescent="0.15">
      <c r="A287" s="10"/>
      <c r="B287" s="13"/>
      <c r="C287" s="13"/>
    </row>
    <row r="288" spans="1:3" ht="13" x14ac:dyDescent="0.15">
      <c r="A288" s="10"/>
      <c r="B288" s="13"/>
      <c r="C288" s="13"/>
    </row>
    <row r="289" spans="1:3" ht="13" x14ac:dyDescent="0.15">
      <c r="A289" s="10"/>
      <c r="B289" s="13"/>
      <c r="C289" s="13"/>
    </row>
    <row r="290" spans="1:3" ht="13" x14ac:dyDescent="0.15">
      <c r="A290" s="10"/>
      <c r="B290" s="13"/>
      <c r="C290" s="13"/>
    </row>
    <row r="291" spans="1:3" ht="13" x14ac:dyDescent="0.15">
      <c r="A291" s="10"/>
      <c r="B291" s="13"/>
      <c r="C291" s="13"/>
    </row>
    <row r="292" spans="1:3" ht="13" x14ac:dyDescent="0.15">
      <c r="A292" s="10"/>
      <c r="B292" s="13"/>
      <c r="C292" s="13"/>
    </row>
    <row r="293" spans="1:3" ht="13" x14ac:dyDescent="0.15">
      <c r="A293" s="10"/>
      <c r="B293" s="13"/>
      <c r="C293" s="13"/>
    </row>
    <row r="294" spans="1:3" ht="13" x14ac:dyDescent="0.15">
      <c r="A294" s="10"/>
      <c r="B294" s="13"/>
      <c r="C294" s="13"/>
    </row>
    <row r="295" spans="1:3" ht="13" x14ac:dyDescent="0.15">
      <c r="A295" s="10"/>
      <c r="B295" s="13"/>
      <c r="C295" s="13"/>
    </row>
    <row r="296" spans="1:3" ht="13" x14ac:dyDescent="0.15">
      <c r="A296" s="10"/>
      <c r="B296" s="13"/>
      <c r="C296" s="13"/>
    </row>
    <row r="297" spans="1:3" ht="13" x14ac:dyDescent="0.15">
      <c r="A297" s="10"/>
      <c r="B297" s="13"/>
      <c r="C297" s="13"/>
    </row>
    <row r="298" spans="1:3" ht="13" x14ac:dyDescent="0.15">
      <c r="A298" s="10"/>
      <c r="B298" s="13"/>
      <c r="C298" s="13"/>
    </row>
    <row r="299" spans="1:3" ht="13" x14ac:dyDescent="0.15">
      <c r="A299" s="10"/>
      <c r="B299" s="13"/>
      <c r="C299" s="13"/>
    </row>
    <row r="300" spans="1:3" ht="13" x14ac:dyDescent="0.15">
      <c r="A300" s="10"/>
      <c r="B300" s="13"/>
      <c r="C300" s="13"/>
    </row>
    <row r="301" spans="1:3" ht="13" x14ac:dyDescent="0.15">
      <c r="A301" s="10"/>
      <c r="B301" s="13"/>
      <c r="C301" s="13"/>
    </row>
    <row r="302" spans="1:3" ht="13" x14ac:dyDescent="0.15">
      <c r="A302" s="10"/>
      <c r="B302" s="13"/>
      <c r="C302" s="13"/>
    </row>
    <row r="303" spans="1:3" ht="13" x14ac:dyDescent="0.15">
      <c r="A303" s="10"/>
      <c r="B303" s="13"/>
      <c r="C303" s="13"/>
    </row>
    <row r="304" spans="1:3" ht="13" x14ac:dyDescent="0.15">
      <c r="A304" s="10"/>
      <c r="B304" s="13"/>
      <c r="C304" s="13"/>
    </row>
    <row r="305" spans="1:3" ht="13" x14ac:dyDescent="0.15">
      <c r="A305" s="10"/>
      <c r="B305" s="13"/>
      <c r="C305" s="13"/>
    </row>
    <row r="306" spans="1:3" ht="13" x14ac:dyDescent="0.15">
      <c r="A306" s="10"/>
      <c r="B306" s="13"/>
      <c r="C306" s="13"/>
    </row>
    <row r="307" spans="1:3" ht="13" x14ac:dyDescent="0.15">
      <c r="A307" s="10"/>
      <c r="B307" s="13"/>
      <c r="C307" s="13"/>
    </row>
    <row r="308" spans="1:3" ht="13" x14ac:dyDescent="0.15">
      <c r="A308" s="10"/>
      <c r="B308" s="13"/>
      <c r="C308" s="13"/>
    </row>
    <row r="309" spans="1:3" ht="13" x14ac:dyDescent="0.15">
      <c r="A309" s="10"/>
      <c r="B309" s="13"/>
      <c r="C309" s="13"/>
    </row>
    <row r="310" spans="1:3" ht="13" x14ac:dyDescent="0.15">
      <c r="A310" s="10"/>
      <c r="B310" s="13"/>
      <c r="C310" s="13"/>
    </row>
    <row r="311" spans="1:3" ht="13" x14ac:dyDescent="0.15">
      <c r="A311" s="10"/>
      <c r="B311" s="13"/>
      <c r="C311" s="13"/>
    </row>
    <row r="312" spans="1:3" ht="13" x14ac:dyDescent="0.15">
      <c r="A312" s="10"/>
      <c r="B312" s="13"/>
      <c r="C312" s="13"/>
    </row>
    <row r="313" spans="1:3" ht="13" x14ac:dyDescent="0.15">
      <c r="A313" s="10"/>
      <c r="B313" s="13"/>
      <c r="C313" s="13"/>
    </row>
    <row r="314" spans="1:3" ht="13" x14ac:dyDescent="0.15">
      <c r="A314" s="10"/>
      <c r="B314" s="13"/>
      <c r="C314" s="13"/>
    </row>
    <row r="315" spans="1:3" ht="13" x14ac:dyDescent="0.15">
      <c r="A315" s="10"/>
      <c r="B315" s="13"/>
      <c r="C315" s="13"/>
    </row>
    <row r="316" spans="1:3" ht="13" x14ac:dyDescent="0.15">
      <c r="A316" s="10"/>
      <c r="B316" s="13"/>
      <c r="C316" s="13"/>
    </row>
    <row r="317" spans="1:3" ht="13" x14ac:dyDescent="0.15">
      <c r="A317" s="10"/>
      <c r="B317" s="13"/>
      <c r="C317" s="13"/>
    </row>
    <row r="318" spans="1:3" ht="13" x14ac:dyDescent="0.15">
      <c r="A318" s="10"/>
      <c r="B318" s="13"/>
      <c r="C318" s="13"/>
    </row>
    <row r="319" spans="1:3" ht="13" x14ac:dyDescent="0.15">
      <c r="A319" s="10"/>
      <c r="B319" s="13"/>
      <c r="C319" s="13"/>
    </row>
    <row r="320" spans="1:3" ht="13" x14ac:dyDescent="0.15">
      <c r="A320" s="10"/>
      <c r="B320" s="13"/>
      <c r="C320" s="13"/>
    </row>
    <row r="321" spans="1:3" ht="13" x14ac:dyDescent="0.15">
      <c r="A321" s="10"/>
      <c r="B321" s="13"/>
      <c r="C321" s="13"/>
    </row>
    <row r="322" spans="1:3" ht="13" x14ac:dyDescent="0.15">
      <c r="A322" s="10"/>
      <c r="B322" s="13"/>
      <c r="C322" s="13"/>
    </row>
    <row r="323" spans="1:3" ht="13" x14ac:dyDescent="0.15">
      <c r="A323" s="10"/>
      <c r="B323" s="13"/>
      <c r="C323" s="13"/>
    </row>
    <row r="324" spans="1:3" ht="13" x14ac:dyDescent="0.15">
      <c r="A324" s="10"/>
      <c r="B324" s="13"/>
      <c r="C324" s="13"/>
    </row>
    <row r="325" spans="1:3" ht="13" x14ac:dyDescent="0.15">
      <c r="A325" s="10"/>
      <c r="B325" s="13"/>
      <c r="C325" s="13"/>
    </row>
    <row r="326" spans="1:3" ht="13" x14ac:dyDescent="0.15">
      <c r="A326" s="10"/>
      <c r="B326" s="13"/>
      <c r="C326" s="13"/>
    </row>
    <row r="327" spans="1:3" ht="13" x14ac:dyDescent="0.15">
      <c r="A327" s="10"/>
      <c r="B327" s="13"/>
      <c r="C327" s="13"/>
    </row>
    <row r="328" spans="1:3" ht="13" x14ac:dyDescent="0.15">
      <c r="A328" s="10"/>
      <c r="B328" s="13"/>
      <c r="C328" s="13"/>
    </row>
    <row r="329" spans="1:3" ht="13" x14ac:dyDescent="0.15">
      <c r="A329" s="10"/>
      <c r="B329" s="13"/>
      <c r="C329" s="13"/>
    </row>
    <row r="330" spans="1:3" ht="13" x14ac:dyDescent="0.15">
      <c r="A330" s="10"/>
      <c r="B330" s="13"/>
      <c r="C330" s="13"/>
    </row>
    <row r="331" spans="1:3" ht="13" x14ac:dyDescent="0.15">
      <c r="A331" s="10"/>
      <c r="B331" s="13"/>
      <c r="C331" s="13"/>
    </row>
    <row r="332" spans="1:3" ht="13" x14ac:dyDescent="0.15">
      <c r="A332" s="10"/>
      <c r="B332" s="13"/>
      <c r="C332" s="13"/>
    </row>
    <row r="333" spans="1:3" ht="13" x14ac:dyDescent="0.15">
      <c r="A333" s="10"/>
      <c r="B333" s="13"/>
      <c r="C333" s="13"/>
    </row>
    <row r="334" spans="1:3" ht="13" x14ac:dyDescent="0.15">
      <c r="A334" s="10"/>
      <c r="B334" s="13"/>
      <c r="C334" s="13"/>
    </row>
    <row r="335" spans="1:3" ht="13" x14ac:dyDescent="0.15">
      <c r="A335" s="10"/>
      <c r="B335" s="13"/>
      <c r="C335" s="13"/>
    </row>
    <row r="336" spans="1:3" ht="13" x14ac:dyDescent="0.15">
      <c r="A336" s="10"/>
      <c r="B336" s="13"/>
      <c r="C336" s="13"/>
    </row>
    <row r="337" spans="1:3" ht="13" x14ac:dyDescent="0.15">
      <c r="A337" s="10"/>
      <c r="B337" s="13"/>
      <c r="C337" s="13"/>
    </row>
    <row r="338" spans="1:3" ht="13" x14ac:dyDescent="0.15">
      <c r="A338" s="10"/>
      <c r="B338" s="13"/>
      <c r="C338" s="13"/>
    </row>
    <row r="339" spans="1:3" ht="13" x14ac:dyDescent="0.15">
      <c r="A339" s="10"/>
      <c r="B339" s="13"/>
      <c r="C339" s="13"/>
    </row>
    <row r="340" spans="1:3" ht="13" x14ac:dyDescent="0.15">
      <c r="A340" s="10"/>
      <c r="B340" s="13"/>
      <c r="C340" s="13"/>
    </row>
    <row r="341" spans="1:3" ht="13" x14ac:dyDescent="0.15">
      <c r="A341" s="10"/>
      <c r="B341" s="13"/>
      <c r="C341" s="13"/>
    </row>
    <row r="342" spans="1:3" ht="13" x14ac:dyDescent="0.15">
      <c r="A342" s="10"/>
      <c r="B342" s="13"/>
      <c r="C342" s="13"/>
    </row>
    <row r="343" spans="1:3" ht="13" x14ac:dyDescent="0.15">
      <c r="A343" s="10"/>
      <c r="B343" s="13"/>
      <c r="C343" s="13"/>
    </row>
    <row r="344" spans="1:3" ht="13" x14ac:dyDescent="0.15">
      <c r="A344" s="10"/>
      <c r="B344" s="13"/>
      <c r="C344" s="13"/>
    </row>
    <row r="345" spans="1:3" ht="13" x14ac:dyDescent="0.15">
      <c r="A345" s="10"/>
      <c r="B345" s="13"/>
      <c r="C345" s="13"/>
    </row>
    <row r="346" spans="1:3" ht="13" x14ac:dyDescent="0.15">
      <c r="A346" s="10"/>
      <c r="B346" s="13"/>
      <c r="C346" s="13"/>
    </row>
    <row r="347" spans="1:3" ht="13" x14ac:dyDescent="0.15">
      <c r="A347" s="10"/>
      <c r="B347" s="13"/>
      <c r="C347" s="13"/>
    </row>
    <row r="348" spans="1:3" ht="13" x14ac:dyDescent="0.15">
      <c r="A348" s="10"/>
      <c r="B348" s="13"/>
      <c r="C348" s="13"/>
    </row>
    <row r="349" spans="1:3" ht="13" x14ac:dyDescent="0.15">
      <c r="A349" s="10"/>
      <c r="B349" s="13"/>
      <c r="C349" s="13"/>
    </row>
    <row r="350" spans="1:3" ht="13" x14ac:dyDescent="0.15">
      <c r="A350" s="10"/>
      <c r="B350" s="13"/>
      <c r="C350" s="13"/>
    </row>
    <row r="351" spans="1:3" ht="13" x14ac:dyDescent="0.15">
      <c r="A351" s="10"/>
      <c r="B351" s="13"/>
      <c r="C351" s="13"/>
    </row>
    <row r="352" spans="1:3" ht="13" x14ac:dyDescent="0.15">
      <c r="A352" s="10"/>
      <c r="B352" s="13"/>
      <c r="C352" s="13"/>
    </row>
    <row r="353" spans="1:3" ht="13" x14ac:dyDescent="0.15">
      <c r="A353" s="10"/>
      <c r="B353" s="13"/>
      <c r="C353" s="13"/>
    </row>
    <row r="354" spans="1:3" ht="13" x14ac:dyDescent="0.15">
      <c r="A354" s="10"/>
      <c r="B354" s="13"/>
      <c r="C354" s="13"/>
    </row>
    <row r="355" spans="1:3" ht="13" x14ac:dyDescent="0.15">
      <c r="A355" s="10"/>
      <c r="B355" s="13"/>
      <c r="C355" s="13"/>
    </row>
    <row r="356" spans="1:3" ht="13" x14ac:dyDescent="0.15">
      <c r="A356" s="10"/>
      <c r="B356" s="13"/>
      <c r="C356" s="13"/>
    </row>
    <row r="357" spans="1:3" ht="13" x14ac:dyDescent="0.15">
      <c r="A357" s="10"/>
      <c r="B357" s="13"/>
      <c r="C357" s="13"/>
    </row>
    <row r="358" spans="1:3" ht="13" x14ac:dyDescent="0.15">
      <c r="A358" s="10"/>
      <c r="B358" s="13"/>
      <c r="C358" s="13"/>
    </row>
    <row r="359" spans="1:3" ht="13" x14ac:dyDescent="0.15">
      <c r="A359" s="10"/>
      <c r="B359" s="13"/>
      <c r="C359" s="13"/>
    </row>
    <row r="360" spans="1:3" ht="13" x14ac:dyDescent="0.15">
      <c r="A360" s="10"/>
      <c r="B360" s="13"/>
      <c r="C360" s="13"/>
    </row>
    <row r="361" spans="1:3" ht="13" x14ac:dyDescent="0.15">
      <c r="A361" s="10"/>
      <c r="B361" s="13"/>
      <c r="C361" s="13"/>
    </row>
    <row r="362" spans="1:3" ht="13" x14ac:dyDescent="0.15">
      <c r="A362" s="10"/>
      <c r="B362" s="13"/>
      <c r="C362" s="13"/>
    </row>
    <row r="363" spans="1:3" ht="13" x14ac:dyDescent="0.15">
      <c r="A363" s="10"/>
      <c r="B363" s="13"/>
      <c r="C363" s="13"/>
    </row>
    <row r="364" spans="1:3" ht="13" x14ac:dyDescent="0.15">
      <c r="A364" s="10"/>
      <c r="B364" s="13"/>
      <c r="C364" s="13"/>
    </row>
    <row r="365" spans="1:3" ht="13" x14ac:dyDescent="0.15">
      <c r="A365" s="10"/>
      <c r="B365" s="13"/>
      <c r="C365" s="13"/>
    </row>
    <row r="366" spans="1:3" ht="13" x14ac:dyDescent="0.15">
      <c r="A366" s="10"/>
      <c r="B366" s="13"/>
      <c r="C366" s="13"/>
    </row>
    <row r="367" spans="1:3" ht="13" x14ac:dyDescent="0.15">
      <c r="A367" s="10"/>
      <c r="B367" s="13"/>
      <c r="C367" s="13"/>
    </row>
    <row r="368" spans="1:3" ht="13" x14ac:dyDescent="0.15">
      <c r="A368" s="10"/>
      <c r="B368" s="13"/>
      <c r="C368" s="13"/>
    </row>
    <row r="369" spans="1:3" ht="13" x14ac:dyDescent="0.15">
      <c r="A369" s="10"/>
      <c r="B369" s="13"/>
      <c r="C369" s="13"/>
    </row>
    <row r="370" spans="1:3" ht="13" x14ac:dyDescent="0.15">
      <c r="A370" s="10"/>
      <c r="B370" s="13"/>
      <c r="C370" s="13"/>
    </row>
    <row r="371" spans="1:3" ht="13" x14ac:dyDescent="0.15">
      <c r="A371" s="10"/>
      <c r="B371" s="13"/>
      <c r="C371" s="13"/>
    </row>
    <row r="372" spans="1:3" ht="13" x14ac:dyDescent="0.15">
      <c r="A372" s="10"/>
      <c r="B372" s="13"/>
      <c r="C372" s="13"/>
    </row>
    <row r="373" spans="1:3" ht="13" x14ac:dyDescent="0.15">
      <c r="A373" s="10"/>
      <c r="B373" s="13"/>
      <c r="C373" s="13"/>
    </row>
    <row r="374" spans="1:3" ht="13" x14ac:dyDescent="0.15">
      <c r="A374" s="10"/>
      <c r="B374" s="13"/>
      <c r="C374" s="13"/>
    </row>
    <row r="375" spans="1:3" ht="13" x14ac:dyDescent="0.15">
      <c r="A375" s="10"/>
      <c r="B375" s="13"/>
      <c r="C375" s="13"/>
    </row>
    <row r="376" spans="1:3" ht="13" x14ac:dyDescent="0.15">
      <c r="A376" s="10"/>
      <c r="B376" s="13"/>
      <c r="C376" s="13"/>
    </row>
    <row r="377" spans="1:3" ht="13" x14ac:dyDescent="0.15">
      <c r="A377" s="10"/>
      <c r="B377" s="13"/>
      <c r="C377" s="13"/>
    </row>
    <row r="378" spans="1:3" ht="13" x14ac:dyDescent="0.15">
      <c r="A378" s="10"/>
      <c r="B378" s="13"/>
      <c r="C378" s="13"/>
    </row>
    <row r="379" spans="1:3" ht="13" x14ac:dyDescent="0.15">
      <c r="A379" s="10"/>
      <c r="B379" s="13"/>
      <c r="C379" s="13"/>
    </row>
    <row r="380" spans="1:3" ht="13" x14ac:dyDescent="0.15">
      <c r="A380" s="10"/>
      <c r="B380" s="13"/>
      <c r="C380" s="13"/>
    </row>
    <row r="381" spans="1:3" ht="13" x14ac:dyDescent="0.15">
      <c r="A381" s="10"/>
      <c r="B381" s="13"/>
      <c r="C381" s="13"/>
    </row>
    <row r="382" spans="1:3" ht="13" x14ac:dyDescent="0.15">
      <c r="A382" s="10"/>
      <c r="B382" s="13"/>
      <c r="C382" s="13"/>
    </row>
    <row r="383" spans="1:3" ht="13" x14ac:dyDescent="0.15">
      <c r="A383" s="10"/>
      <c r="B383" s="13"/>
      <c r="C383" s="13"/>
    </row>
    <row r="384" spans="1:3" ht="13" x14ac:dyDescent="0.15">
      <c r="A384" s="10"/>
      <c r="B384" s="13"/>
      <c r="C384" s="13"/>
    </row>
    <row r="385" spans="1:3" ht="13" x14ac:dyDescent="0.15">
      <c r="A385" s="10"/>
      <c r="B385" s="13"/>
      <c r="C385" s="13"/>
    </row>
    <row r="386" spans="1:3" ht="13" x14ac:dyDescent="0.15">
      <c r="A386" s="10"/>
      <c r="B386" s="13"/>
      <c r="C386" s="13"/>
    </row>
    <row r="387" spans="1:3" ht="13" x14ac:dyDescent="0.15">
      <c r="A387" s="10"/>
      <c r="B387" s="13"/>
      <c r="C387" s="13"/>
    </row>
    <row r="388" spans="1:3" ht="13" x14ac:dyDescent="0.15">
      <c r="A388" s="10"/>
      <c r="B388" s="13"/>
      <c r="C388" s="13"/>
    </row>
    <row r="389" spans="1:3" ht="13" x14ac:dyDescent="0.15">
      <c r="A389" s="10"/>
      <c r="B389" s="13"/>
      <c r="C389" s="13"/>
    </row>
    <row r="390" spans="1:3" ht="13" x14ac:dyDescent="0.15">
      <c r="A390" s="10"/>
      <c r="B390" s="13"/>
      <c r="C390" s="13"/>
    </row>
    <row r="391" spans="1:3" ht="13" x14ac:dyDescent="0.15">
      <c r="A391" s="10"/>
      <c r="B391" s="13"/>
      <c r="C391" s="13"/>
    </row>
    <row r="392" spans="1:3" ht="13" x14ac:dyDescent="0.15">
      <c r="A392" s="10"/>
      <c r="B392" s="13"/>
      <c r="C392" s="13"/>
    </row>
    <row r="393" spans="1:3" ht="13" x14ac:dyDescent="0.15">
      <c r="A393" s="10"/>
      <c r="B393" s="13"/>
      <c r="C393" s="13"/>
    </row>
    <row r="394" spans="1:3" ht="13" x14ac:dyDescent="0.15">
      <c r="A394" s="10"/>
      <c r="B394" s="13"/>
      <c r="C394" s="13"/>
    </row>
    <row r="395" spans="1:3" ht="13" x14ac:dyDescent="0.15">
      <c r="A395" s="10"/>
      <c r="B395" s="13"/>
      <c r="C395" s="13"/>
    </row>
    <row r="396" spans="1:3" ht="13" x14ac:dyDescent="0.15">
      <c r="A396" s="10"/>
      <c r="B396" s="13"/>
      <c r="C396" s="13"/>
    </row>
    <row r="397" spans="1:3" ht="13" x14ac:dyDescent="0.15">
      <c r="A397" s="10"/>
      <c r="B397" s="13"/>
      <c r="C397" s="13"/>
    </row>
    <row r="398" spans="1:3" ht="13" x14ac:dyDescent="0.15">
      <c r="A398" s="10"/>
      <c r="B398" s="13"/>
      <c r="C398" s="13"/>
    </row>
    <row r="399" spans="1:3" ht="13" x14ac:dyDescent="0.15">
      <c r="A399" s="10"/>
      <c r="B399" s="13"/>
      <c r="C399" s="13"/>
    </row>
    <row r="400" spans="1:3" ht="13" x14ac:dyDescent="0.15">
      <c r="A400" s="10"/>
      <c r="B400" s="13"/>
      <c r="C400" s="13"/>
    </row>
    <row r="401" spans="1:3" ht="13" x14ac:dyDescent="0.15">
      <c r="A401" s="10"/>
      <c r="B401" s="13"/>
      <c r="C401" s="13"/>
    </row>
    <row r="402" spans="1:3" ht="13" x14ac:dyDescent="0.15">
      <c r="A402" s="10"/>
      <c r="B402" s="13"/>
      <c r="C402" s="13"/>
    </row>
    <row r="403" spans="1:3" ht="13" x14ac:dyDescent="0.15">
      <c r="A403" s="10"/>
      <c r="B403" s="13"/>
      <c r="C403" s="13"/>
    </row>
    <row r="404" spans="1:3" ht="13" x14ac:dyDescent="0.15">
      <c r="A404" s="10"/>
      <c r="B404" s="13"/>
      <c r="C404" s="13"/>
    </row>
    <row r="405" spans="1:3" ht="13" x14ac:dyDescent="0.15">
      <c r="A405" s="10"/>
      <c r="B405" s="13"/>
      <c r="C405" s="13"/>
    </row>
    <row r="406" spans="1:3" ht="13" x14ac:dyDescent="0.15">
      <c r="A406" s="10"/>
      <c r="B406" s="13"/>
      <c r="C406" s="13"/>
    </row>
    <row r="407" spans="1:3" ht="13" x14ac:dyDescent="0.15">
      <c r="A407" s="10"/>
      <c r="B407" s="13"/>
      <c r="C407" s="13"/>
    </row>
    <row r="408" spans="1:3" ht="13" x14ac:dyDescent="0.15">
      <c r="A408" s="10"/>
      <c r="B408" s="13"/>
      <c r="C408" s="13"/>
    </row>
    <row r="409" spans="1:3" ht="13" x14ac:dyDescent="0.15">
      <c r="A409" s="10"/>
      <c r="B409" s="13"/>
      <c r="C409" s="13"/>
    </row>
    <row r="410" spans="1:3" ht="13" x14ac:dyDescent="0.15">
      <c r="A410" s="10"/>
      <c r="B410" s="13"/>
      <c r="C410" s="13"/>
    </row>
    <row r="411" spans="1:3" ht="13" x14ac:dyDescent="0.15">
      <c r="A411" s="10"/>
      <c r="B411" s="13"/>
      <c r="C411" s="13"/>
    </row>
    <row r="412" spans="1:3" ht="13" x14ac:dyDescent="0.15">
      <c r="A412" s="10"/>
      <c r="B412" s="13"/>
      <c r="C412" s="13"/>
    </row>
    <row r="413" spans="1:3" ht="13" x14ac:dyDescent="0.15">
      <c r="A413" s="10"/>
      <c r="B413" s="13"/>
      <c r="C413" s="13"/>
    </row>
    <row r="414" spans="1:3" ht="13" x14ac:dyDescent="0.15">
      <c r="A414" s="10"/>
      <c r="B414" s="13"/>
      <c r="C414" s="13"/>
    </row>
    <row r="415" spans="1:3" ht="13" x14ac:dyDescent="0.15">
      <c r="A415" s="10"/>
      <c r="B415" s="13"/>
      <c r="C415" s="13"/>
    </row>
    <row r="416" spans="1:3" ht="13" x14ac:dyDescent="0.15">
      <c r="A416" s="10"/>
      <c r="B416" s="13"/>
      <c r="C416" s="13"/>
    </row>
    <row r="417" spans="1:3" ht="13" x14ac:dyDescent="0.15">
      <c r="A417" s="10"/>
      <c r="B417" s="13"/>
      <c r="C417" s="13"/>
    </row>
    <row r="418" spans="1:3" ht="13" x14ac:dyDescent="0.15">
      <c r="A418" s="10"/>
      <c r="B418" s="13"/>
      <c r="C418" s="13"/>
    </row>
    <row r="419" spans="1:3" ht="13" x14ac:dyDescent="0.15">
      <c r="A419" s="10"/>
      <c r="B419" s="13"/>
      <c r="C419" s="13"/>
    </row>
    <row r="420" spans="1:3" ht="13" x14ac:dyDescent="0.15">
      <c r="A420" s="10"/>
      <c r="B420" s="13"/>
      <c r="C420" s="13"/>
    </row>
    <row r="421" spans="1:3" ht="13" x14ac:dyDescent="0.15">
      <c r="A421" s="10"/>
      <c r="B421" s="13"/>
      <c r="C421" s="13"/>
    </row>
    <row r="422" spans="1:3" ht="13" x14ac:dyDescent="0.15">
      <c r="A422" s="10"/>
      <c r="B422" s="13"/>
      <c r="C422" s="13"/>
    </row>
    <row r="423" spans="1:3" ht="13" x14ac:dyDescent="0.15">
      <c r="A423" s="10"/>
      <c r="B423" s="13"/>
      <c r="C423" s="13"/>
    </row>
    <row r="424" spans="1:3" ht="13" x14ac:dyDescent="0.15">
      <c r="A424" s="10"/>
      <c r="B424" s="13"/>
      <c r="C424" s="13"/>
    </row>
    <row r="425" spans="1:3" ht="13" x14ac:dyDescent="0.15">
      <c r="A425" s="10"/>
      <c r="B425" s="13"/>
      <c r="C425" s="13"/>
    </row>
    <row r="426" spans="1:3" ht="13" x14ac:dyDescent="0.15">
      <c r="A426" s="10"/>
      <c r="B426" s="13"/>
      <c r="C426" s="13"/>
    </row>
    <row r="427" spans="1:3" ht="13" x14ac:dyDescent="0.15">
      <c r="A427" s="10"/>
      <c r="B427" s="13"/>
      <c r="C427" s="13"/>
    </row>
    <row r="428" spans="1:3" ht="13" x14ac:dyDescent="0.15">
      <c r="A428" s="10"/>
      <c r="B428" s="13"/>
      <c r="C428" s="13"/>
    </row>
    <row r="429" spans="1:3" ht="13" x14ac:dyDescent="0.15">
      <c r="A429" s="10"/>
      <c r="B429" s="13"/>
      <c r="C429" s="13"/>
    </row>
    <row r="430" spans="1:3" ht="13" x14ac:dyDescent="0.15">
      <c r="A430" s="10"/>
      <c r="B430" s="13"/>
      <c r="C430" s="13"/>
    </row>
    <row r="431" spans="1:3" ht="13" x14ac:dyDescent="0.15">
      <c r="A431" s="10"/>
      <c r="B431" s="13"/>
      <c r="C431" s="13"/>
    </row>
    <row r="432" spans="1:3" ht="13" x14ac:dyDescent="0.15">
      <c r="A432" s="10"/>
      <c r="B432" s="13"/>
      <c r="C432" s="13"/>
    </row>
    <row r="433" spans="1:3" ht="13" x14ac:dyDescent="0.15">
      <c r="A433" s="10"/>
      <c r="B433" s="13"/>
      <c r="C433" s="13"/>
    </row>
    <row r="434" spans="1:3" ht="13" x14ac:dyDescent="0.15">
      <c r="A434" s="10"/>
      <c r="B434" s="13"/>
      <c r="C434" s="13"/>
    </row>
    <row r="435" spans="1:3" ht="13" x14ac:dyDescent="0.15">
      <c r="A435" s="10"/>
      <c r="B435" s="13"/>
      <c r="C435" s="13"/>
    </row>
    <row r="436" spans="1:3" ht="13" x14ac:dyDescent="0.15">
      <c r="A436" s="10"/>
      <c r="B436" s="13"/>
      <c r="C436" s="13"/>
    </row>
    <row r="437" spans="1:3" ht="13" x14ac:dyDescent="0.15">
      <c r="A437" s="10"/>
      <c r="B437" s="13"/>
      <c r="C437" s="13"/>
    </row>
    <row r="438" spans="1:3" ht="13" x14ac:dyDescent="0.15">
      <c r="A438" s="10"/>
      <c r="B438" s="13"/>
      <c r="C438" s="13"/>
    </row>
    <row r="439" spans="1:3" ht="13" x14ac:dyDescent="0.15">
      <c r="A439" s="10"/>
      <c r="B439" s="13"/>
      <c r="C439" s="13"/>
    </row>
    <row r="440" spans="1:3" ht="13" x14ac:dyDescent="0.15">
      <c r="A440" s="10"/>
      <c r="B440" s="13"/>
      <c r="C440" s="13"/>
    </row>
    <row r="441" spans="1:3" ht="13" x14ac:dyDescent="0.15">
      <c r="A441" s="10"/>
      <c r="B441" s="13"/>
      <c r="C441" s="13"/>
    </row>
    <row r="442" spans="1:3" ht="13" x14ac:dyDescent="0.15">
      <c r="A442" s="10"/>
      <c r="B442" s="13"/>
      <c r="C442" s="13"/>
    </row>
    <row r="443" spans="1:3" ht="13" x14ac:dyDescent="0.15">
      <c r="A443" s="10"/>
      <c r="B443" s="13"/>
      <c r="C443" s="13"/>
    </row>
    <row r="444" spans="1:3" ht="13" x14ac:dyDescent="0.15">
      <c r="A444" s="10"/>
      <c r="B444" s="13"/>
      <c r="C444" s="13"/>
    </row>
    <row r="445" spans="1:3" ht="13" x14ac:dyDescent="0.15">
      <c r="A445" s="10"/>
      <c r="B445" s="13"/>
      <c r="C445" s="13"/>
    </row>
    <row r="446" spans="1:3" ht="13" x14ac:dyDescent="0.15">
      <c r="A446" s="10"/>
      <c r="B446" s="13"/>
      <c r="C446" s="13"/>
    </row>
    <row r="447" spans="1:3" ht="13" x14ac:dyDescent="0.15">
      <c r="A447" s="10"/>
      <c r="B447" s="13"/>
      <c r="C447" s="13"/>
    </row>
    <row r="448" spans="1:3" ht="13" x14ac:dyDescent="0.15">
      <c r="A448" s="10"/>
      <c r="B448" s="13"/>
      <c r="C448" s="13"/>
    </row>
    <row r="449" spans="1:3" ht="13" x14ac:dyDescent="0.15">
      <c r="A449" s="10"/>
      <c r="B449" s="13"/>
      <c r="C449" s="13"/>
    </row>
    <row r="450" spans="1:3" ht="13" x14ac:dyDescent="0.15">
      <c r="A450" s="10"/>
      <c r="B450" s="13"/>
      <c r="C450" s="13"/>
    </row>
    <row r="451" spans="1:3" ht="13" x14ac:dyDescent="0.15">
      <c r="A451" s="10"/>
      <c r="B451" s="13"/>
      <c r="C451" s="13"/>
    </row>
    <row r="452" spans="1:3" ht="13" x14ac:dyDescent="0.15">
      <c r="A452" s="10"/>
      <c r="B452" s="13"/>
      <c r="C452" s="13"/>
    </row>
    <row r="453" spans="1:3" ht="13" x14ac:dyDescent="0.15">
      <c r="A453" s="10"/>
      <c r="B453" s="13"/>
      <c r="C453" s="13"/>
    </row>
    <row r="454" spans="1:3" ht="13" x14ac:dyDescent="0.15">
      <c r="A454" s="10"/>
      <c r="B454" s="13"/>
      <c r="C454" s="13"/>
    </row>
    <row r="455" spans="1:3" ht="13" x14ac:dyDescent="0.15">
      <c r="A455" s="10"/>
      <c r="B455" s="13"/>
      <c r="C455" s="13"/>
    </row>
    <row r="456" spans="1:3" ht="13" x14ac:dyDescent="0.15">
      <c r="A456" s="10"/>
      <c r="B456" s="13"/>
      <c r="C456" s="13"/>
    </row>
    <row r="457" spans="1:3" ht="13" x14ac:dyDescent="0.15">
      <c r="A457" s="10"/>
      <c r="B457" s="13"/>
      <c r="C457" s="13"/>
    </row>
    <row r="458" spans="1:3" ht="13" x14ac:dyDescent="0.15">
      <c r="A458" s="10"/>
      <c r="B458" s="13"/>
      <c r="C458" s="13"/>
    </row>
    <row r="459" spans="1:3" ht="13" x14ac:dyDescent="0.15">
      <c r="A459" s="10"/>
      <c r="B459" s="13"/>
      <c r="C459" s="13"/>
    </row>
    <row r="460" spans="1:3" ht="13" x14ac:dyDescent="0.15">
      <c r="A460" s="10"/>
      <c r="B460" s="13"/>
      <c r="C460" s="13"/>
    </row>
    <row r="461" spans="1:3" ht="13" x14ac:dyDescent="0.15">
      <c r="A461" s="10"/>
      <c r="B461" s="13"/>
      <c r="C461" s="13"/>
    </row>
    <row r="462" spans="1:3" ht="13" x14ac:dyDescent="0.15">
      <c r="A462" s="10"/>
      <c r="B462" s="13"/>
      <c r="C462" s="13"/>
    </row>
    <row r="463" spans="1:3" ht="13" x14ac:dyDescent="0.15">
      <c r="A463" s="10"/>
      <c r="B463" s="13"/>
      <c r="C463" s="13"/>
    </row>
    <row r="464" spans="1:3" ht="13" x14ac:dyDescent="0.15">
      <c r="A464" s="10"/>
      <c r="B464" s="13"/>
      <c r="C464" s="13"/>
    </row>
    <row r="465" spans="1:3" ht="13" x14ac:dyDescent="0.15">
      <c r="A465" s="10"/>
      <c r="B465" s="13"/>
      <c r="C465" s="13"/>
    </row>
    <row r="466" spans="1:3" ht="13" x14ac:dyDescent="0.15">
      <c r="A466" s="10"/>
      <c r="B466" s="13"/>
      <c r="C466" s="13"/>
    </row>
    <row r="467" spans="1:3" ht="13" x14ac:dyDescent="0.15">
      <c r="A467" s="10"/>
      <c r="B467" s="13"/>
      <c r="C467" s="13"/>
    </row>
    <row r="468" spans="1:3" ht="13" x14ac:dyDescent="0.15">
      <c r="A468" s="10"/>
      <c r="B468" s="13"/>
      <c r="C468" s="13"/>
    </row>
    <row r="469" spans="1:3" ht="13" x14ac:dyDescent="0.15">
      <c r="A469" s="10"/>
      <c r="B469" s="13"/>
      <c r="C469" s="13"/>
    </row>
    <row r="470" spans="1:3" ht="13" x14ac:dyDescent="0.15">
      <c r="A470" s="10"/>
      <c r="B470" s="13"/>
      <c r="C470" s="13"/>
    </row>
    <row r="471" spans="1:3" ht="13" x14ac:dyDescent="0.15">
      <c r="A471" s="10"/>
      <c r="B471" s="13"/>
      <c r="C471" s="13"/>
    </row>
    <row r="472" spans="1:3" ht="13" x14ac:dyDescent="0.15">
      <c r="A472" s="10"/>
      <c r="B472" s="13"/>
      <c r="C472" s="13"/>
    </row>
    <row r="473" spans="1:3" ht="13" x14ac:dyDescent="0.15">
      <c r="A473" s="10"/>
      <c r="B473" s="13"/>
      <c r="C473" s="13"/>
    </row>
    <row r="474" spans="1:3" ht="13" x14ac:dyDescent="0.15">
      <c r="A474" s="10"/>
      <c r="B474" s="13"/>
      <c r="C474" s="13"/>
    </row>
    <row r="475" spans="1:3" ht="13" x14ac:dyDescent="0.15">
      <c r="A475" s="10"/>
      <c r="B475" s="13"/>
      <c r="C475" s="13"/>
    </row>
    <row r="476" spans="1:3" ht="13" x14ac:dyDescent="0.15">
      <c r="A476" s="10"/>
      <c r="B476" s="13"/>
      <c r="C476" s="13"/>
    </row>
    <row r="477" spans="1:3" ht="13" x14ac:dyDescent="0.15">
      <c r="A477" s="10"/>
      <c r="B477" s="13"/>
      <c r="C477" s="13"/>
    </row>
    <row r="478" spans="1:3" ht="13" x14ac:dyDescent="0.15">
      <c r="A478" s="10"/>
      <c r="B478" s="13"/>
      <c r="C478" s="13"/>
    </row>
    <row r="479" spans="1:3" ht="13" x14ac:dyDescent="0.15">
      <c r="A479" s="10"/>
      <c r="B479" s="13"/>
      <c r="C479" s="13"/>
    </row>
    <row r="480" spans="1:3" ht="13" x14ac:dyDescent="0.15">
      <c r="A480" s="10"/>
      <c r="B480" s="13"/>
      <c r="C480" s="13"/>
    </row>
    <row r="481" spans="1:3" ht="13" x14ac:dyDescent="0.15">
      <c r="A481" s="10"/>
      <c r="B481" s="13"/>
      <c r="C481" s="13"/>
    </row>
    <row r="482" spans="1:3" ht="13" x14ac:dyDescent="0.15">
      <c r="A482" s="10"/>
      <c r="B482" s="13"/>
      <c r="C482" s="13"/>
    </row>
    <row r="483" spans="1:3" ht="13" x14ac:dyDescent="0.15">
      <c r="A483" s="10"/>
      <c r="B483" s="13"/>
      <c r="C483" s="13"/>
    </row>
    <row r="484" spans="1:3" ht="13" x14ac:dyDescent="0.15">
      <c r="A484" s="10"/>
      <c r="B484" s="13"/>
      <c r="C484" s="13"/>
    </row>
    <row r="485" spans="1:3" ht="13" x14ac:dyDescent="0.15">
      <c r="A485" s="10"/>
      <c r="B485" s="13"/>
      <c r="C485" s="13"/>
    </row>
    <row r="486" spans="1:3" ht="13" x14ac:dyDescent="0.15">
      <c r="A486" s="10"/>
      <c r="B486" s="13"/>
      <c r="C486" s="13"/>
    </row>
    <row r="487" spans="1:3" ht="13" x14ac:dyDescent="0.15">
      <c r="A487" s="10"/>
      <c r="B487" s="13"/>
      <c r="C487" s="13"/>
    </row>
    <row r="488" spans="1:3" ht="13" x14ac:dyDescent="0.15">
      <c r="A488" s="10"/>
      <c r="B488" s="13"/>
      <c r="C488" s="13"/>
    </row>
    <row r="489" spans="1:3" ht="13" x14ac:dyDescent="0.15">
      <c r="A489" s="10"/>
      <c r="B489" s="13"/>
      <c r="C489" s="13"/>
    </row>
    <row r="490" spans="1:3" ht="13" x14ac:dyDescent="0.15">
      <c r="A490" s="10"/>
      <c r="B490" s="13"/>
      <c r="C490" s="13"/>
    </row>
    <row r="491" spans="1:3" ht="13" x14ac:dyDescent="0.15">
      <c r="A491" s="10"/>
      <c r="B491" s="13"/>
      <c r="C491" s="13"/>
    </row>
    <row r="492" spans="1:3" ht="13" x14ac:dyDescent="0.15">
      <c r="A492" s="10"/>
      <c r="B492" s="13"/>
      <c r="C492" s="13"/>
    </row>
    <row r="493" spans="1:3" ht="13" x14ac:dyDescent="0.15">
      <c r="A493" s="10"/>
      <c r="B493" s="13"/>
      <c r="C493" s="13"/>
    </row>
    <row r="494" spans="1:3" ht="13" x14ac:dyDescent="0.15">
      <c r="A494" s="10"/>
      <c r="B494" s="13"/>
      <c r="C494" s="13"/>
    </row>
    <row r="495" spans="1:3" ht="13" x14ac:dyDescent="0.15">
      <c r="A495" s="10"/>
      <c r="B495" s="13"/>
      <c r="C495" s="13"/>
    </row>
    <row r="496" spans="1:3" ht="13" x14ac:dyDescent="0.15">
      <c r="A496" s="10"/>
      <c r="B496" s="13"/>
      <c r="C496" s="13"/>
    </row>
    <row r="497" spans="1:3" ht="13" x14ac:dyDescent="0.15">
      <c r="A497" s="10"/>
      <c r="B497" s="13"/>
      <c r="C497" s="13"/>
    </row>
    <row r="498" spans="1:3" ht="13" x14ac:dyDescent="0.15">
      <c r="A498" s="10"/>
      <c r="B498" s="13"/>
      <c r="C498" s="13"/>
    </row>
    <row r="499" spans="1:3" ht="13" x14ac:dyDescent="0.15">
      <c r="A499" s="10"/>
      <c r="B499" s="13"/>
      <c r="C499" s="13"/>
    </row>
    <row r="500" spans="1:3" ht="13" x14ac:dyDescent="0.15">
      <c r="A500" s="10"/>
      <c r="B500" s="13"/>
      <c r="C500" s="13"/>
    </row>
    <row r="501" spans="1:3" ht="13" x14ac:dyDescent="0.15">
      <c r="A501" s="10"/>
      <c r="B501" s="13"/>
      <c r="C501" s="13"/>
    </row>
    <row r="502" spans="1:3" ht="13" x14ac:dyDescent="0.15">
      <c r="A502" s="10"/>
      <c r="B502" s="13"/>
      <c r="C502" s="13"/>
    </row>
    <row r="503" spans="1:3" ht="13" x14ac:dyDescent="0.15">
      <c r="A503" s="10"/>
      <c r="B503" s="13"/>
      <c r="C503" s="13"/>
    </row>
    <row r="504" spans="1:3" ht="13" x14ac:dyDescent="0.15">
      <c r="A504" s="10"/>
      <c r="B504" s="13"/>
      <c r="C504" s="13"/>
    </row>
    <row r="505" spans="1:3" ht="13" x14ac:dyDescent="0.15">
      <c r="A505" s="10"/>
      <c r="B505" s="13"/>
      <c r="C505" s="13"/>
    </row>
    <row r="506" spans="1:3" ht="13" x14ac:dyDescent="0.15">
      <c r="A506" s="10"/>
      <c r="B506" s="13"/>
      <c r="C506" s="13"/>
    </row>
    <row r="507" spans="1:3" ht="13" x14ac:dyDescent="0.15">
      <c r="A507" s="10"/>
      <c r="B507" s="13"/>
      <c r="C507" s="13"/>
    </row>
    <row r="508" spans="1:3" ht="13" x14ac:dyDescent="0.15">
      <c r="A508" s="10"/>
      <c r="B508" s="13"/>
      <c r="C508" s="13"/>
    </row>
    <row r="509" spans="1:3" ht="13" x14ac:dyDescent="0.15">
      <c r="A509" s="10"/>
      <c r="B509" s="13"/>
      <c r="C509" s="13"/>
    </row>
    <row r="510" spans="1:3" ht="13" x14ac:dyDescent="0.15">
      <c r="A510" s="10"/>
      <c r="B510" s="13"/>
      <c r="C510" s="13"/>
    </row>
    <row r="511" spans="1:3" ht="13" x14ac:dyDescent="0.15">
      <c r="A511" s="10"/>
      <c r="B511" s="13"/>
      <c r="C511" s="13"/>
    </row>
    <row r="512" spans="1:3" ht="13" x14ac:dyDescent="0.15">
      <c r="A512" s="10"/>
      <c r="B512" s="13"/>
      <c r="C512" s="13"/>
    </row>
    <row r="513" spans="1:3" ht="13" x14ac:dyDescent="0.15">
      <c r="A513" s="10"/>
      <c r="B513" s="13"/>
      <c r="C513" s="13"/>
    </row>
    <row r="514" spans="1:3" ht="13" x14ac:dyDescent="0.15">
      <c r="A514" s="10"/>
      <c r="B514" s="13"/>
      <c r="C514" s="13"/>
    </row>
    <row r="515" spans="1:3" ht="13" x14ac:dyDescent="0.15">
      <c r="A515" s="10"/>
      <c r="B515" s="13"/>
      <c r="C515" s="13"/>
    </row>
    <row r="516" spans="1:3" ht="13" x14ac:dyDescent="0.15">
      <c r="A516" s="10"/>
      <c r="B516" s="13"/>
      <c r="C516" s="13"/>
    </row>
    <row r="517" spans="1:3" ht="13" x14ac:dyDescent="0.15">
      <c r="A517" s="10"/>
      <c r="B517" s="13"/>
      <c r="C517" s="13"/>
    </row>
    <row r="518" spans="1:3" ht="13" x14ac:dyDescent="0.15">
      <c r="A518" s="10"/>
      <c r="B518" s="13"/>
      <c r="C518" s="13"/>
    </row>
    <row r="519" spans="1:3" ht="13" x14ac:dyDescent="0.15">
      <c r="A519" s="10"/>
      <c r="B519" s="13"/>
      <c r="C519" s="13"/>
    </row>
    <row r="520" spans="1:3" ht="13" x14ac:dyDescent="0.15">
      <c r="A520" s="10"/>
      <c r="B520" s="13"/>
      <c r="C520" s="13"/>
    </row>
    <row r="521" spans="1:3" ht="13" x14ac:dyDescent="0.15">
      <c r="A521" s="10"/>
      <c r="B521" s="13"/>
      <c r="C521" s="13"/>
    </row>
    <row r="522" spans="1:3" ht="13" x14ac:dyDescent="0.15">
      <c r="A522" s="10"/>
      <c r="B522" s="13"/>
      <c r="C522" s="13"/>
    </row>
    <row r="523" spans="1:3" ht="13" x14ac:dyDescent="0.15">
      <c r="A523" s="10"/>
      <c r="B523" s="13"/>
      <c r="C523" s="13"/>
    </row>
    <row r="524" spans="1:3" ht="13" x14ac:dyDescent="0.15">
      <c r="A524" s="10"/>
      <c r="B524" s="13"/>
      <c r="C524" s="13"/>
    </row>
    <row r="525" spans="1:3" ht="13" x14ac:dyDescent="0.15">
      <c r="A525" s="10"/>
      <c r="B525" s="13"/>
      <c r="C525" s="13"/>
    </row>
    <row r="526" spans="1:3" ht="13" x14ac:dyDescent="0.15">
      <c r="A526" s="10"/>
      <c r="B526" s="13"/>
      <c r="C526" s="13"/>
    </row>
    <row r="527" spans="1:3" ht="13" x14ac:dyDescent="0.15">
      <c r="A527" s="10"/>
      <c r="B527" s="13"/>
      <c r="C527" s="13"/>
    </row>
    <row r="528" spans="1:3" ht="13" x14ac:dyDescent="0.15">
      <c r="A528" s="10"/>
      <c r="B528" s="13"/>
      <c r="C528" s="13"/>
    </row>
    <row r="529" spans="1:3" ht="13" x14ac:dyDescent="0.15">
      <c r="A529" s="10"/>
      <c r="B529" s="13"/>
      <c r="C529" s="13"/>
    </row>
    <row r="530" spans="1:3" ht="13" x14ac:dyDescent="0.15">
      <c r="A530" s="10"/>
      <c r="B530" s="13"/>
      <c r="C530" s="13"/>
    </row>
    <row r="531" spans="1:3" ht="13" x14ac:dyDescent="0.15">
      <c r="A531" s="10"/>
      <c r="B531" s="13"/>
      <c r="C531" s="13"/>
    </row>
    <row r="532" spans="1:3" ht="13" x14ac:dyDescent="0.15">
      <c r="A532" s="10"/>
      <c r="B532" s="13"/>
      <c r="C532" s="13"/>
    </row>
    <row r="533" spans="1:3" ht="13" x14ac:dyDescent="0.15">
      <c r="A533" s="10"/>
      <c r="B533" s="13"/>
      <c r="C533" s="13"/>
    </row>
    <row r="534" spans="1:3" ht="13" x14ac:dyDescent="0.15">
      <c r="A534" s="10"/>
      <c r="B534" s="13"/>
      <c r="C534" s="13"/>
    </row>
    <row r="535" spans="1:3" ht="13" x14ac:dyDescent="0.15">
      <c r="A535" s="10"/>
      <c r="B535" s="13"/>
      <c r="C535" s="13"/>
    </row>
    <row r="536" spans="1:3" ht="13" x14ac:dyDescent="0.15">
      <c r="A536" s="10"/>
      <c r="B536" s="13"/>
      <c r="C536" s="13"/>
    </row>
    <row r="537" spans="1:3" ht="13" x14ac:dyDescent="0.15">
      <c r="A537" s="10"/>
      <c r="B537" s="13"/>
      <c r="C537" s="13"/>
    </row>
    <row r="538" spans="1:3" ht="13" x14ac:dyDescent="0.15">
      <c r="A538" s="10"/>
      <c r="B538" s="13"/>
      <c r="C538" s="13"/>
    </row>
    <row r="539" spans="1:3" ht="13" x14ac:dyDescent="0.15">
      <c r="A539" s="10"/>
      <c r="B539" s="13"/>
      <c r="C539" s="13"/>
    </row>
    <row r="540" spans="1:3" ht="13" x14ac:dyDescent="0.15">
      <c r="A540" s="10"/>
      <c r="B540" s="13"/>
      <c r="C540" s="13"/>
    </row>
    <row r="541" spans="1:3" ht="13" x14ac:dyDescent="0.15">
      <c r="A541" s="10"/>
      <c r="B541" s="13"/>
      <c r="C541" s="13"/>
    </row>
    <row r="542" spans="1:3" ht="13" x14ac:dyDescent="0.15">
      <c r="A542" s="10"/>
      <c r="B542" s="13"/>
      <c r="C542" s="13"/>
    </row>
    <row r="543" spans="1:3" ht="13" x14ac:dyDescent="0.15">
      <c r="A543" s="10"/>
      <c r="B543" s="13"/>
      <c r="C543" s="13"/>
    </row>
    <row r="544" spans="1:3" ht="13" x14ac:dyDescent="0.15">
      <c r="A544" s="10"/>
      <c r="B544" s="13"/>
      <c r="C544" s="13"/>
    </row>
    <row r="545" spans="1:3" ht="13" x14ac:dyDescent="0.15">
      <c r="A545" s="10"/>
      <c r="B545" s="13"/>
      <c r="C545" s="13"/>
    </row>
    <row r="546" spans="1:3" ht="13" x14ac:dyDescent="0.15">
      <c r="A546" s="10"/>
      <c r="B546" s="13"/>
      <c r="C546" s="13"/>
    </row>
    <row r="547" spans="1:3" ht="13" x14ac:dyDescent="0.15">
      <c r="A547" s="10"/>
      <c r="B547" s="13"/>
      <c r="C547" s="13"/>
    </row>
    <row r="548" spans="1:3" ht="13" x14ac:dyDescent="0.15">
      <c r="A548" s="10"/>
      <c r="B548" s="13"/>
      <c r="C548" s="13"/>
    </row>
    <row r="549" spans="1:3" ht="13" x14ac:dyDescent="0.15">
      <c r="A549" s="10"/>
      <c r="B549" s="13"/>
      <c r="C549" s="13"/>
    </row>
    <row r="550" spans="1:3" ht="13" x14ac:dyDescent="0.15">
      <c r="A550" s="10"/>
      <c r="B550" s="13"/>
      <c r="C550" s="13"/>
    </row>
    <row r="551" spans="1:3" ht="13" x14ac:dyDescent="0.15">
      <c r="A551" s="10"/>
      <c r="B551" s="13"/>
      <c r="C551" s="13"/>
    </row>
    <row r="552" spans="1:3" ht="13" x14ac:dyDescent="0.15">
      <c r="A552" s="10"/>
      <c r="B552" s="13"/>
      <c r="C552" s="13"/>
    </row>
    <row r="553" spans="1:3" ht="13" x14ac:dyDescent="0.15">
      <c r="A553" s="10"/>
      <c r="B553" s="13"/>
      <c r="C553" s="13"/>
    </row>
    <row r="554" spans="1:3" ht="13" x14ac:dyDescent="0.15">
      <c r="A554" s="10"/>
      <c r="B554" s="13"/>
      <c r="C554" s="13"/>
    </row>
    <row r="555" spans="1:3" ht="13" x14ac:dyDescent="0.15">
      <c r="A555" s="10"/>
      <c r="B555" s="13"/>
      <c r="C555" s="13"/>
    </row>
    <row r="556" spans="1:3" ht="13" x14ac:dyDescent="0.15">
      <c r="A556" s="10"/>
      <c r="B556" s="13"/>
      <c r="C556" s="13"/>
    </row>
    <row r="557" spans="1:3" ht="13" x14ac:dyDescent="0.15">
      <c r="A557" s="10"/>
      <c r="B557" s="13"/>
      <c r="C557" s="13"/>
    </row>
    <row r="558" spans="1:3" ht="13" x14ac:dyDescent="0.15">
      <c r="A558" s="10"/>
      <c r="B558" s="13"/>
      <c r="C558" s="13"/>
    </row>
    <row r="559" spans="1:3" ht="13" x14ac:dyDescent="0.15">
      <c r="A559" s="10"/>
      <c r="B559" s="13"/>
      <c r="C559" s="13"/>
    </row>
    <row r="560" spans="1:3" ht="13" x14ac:dyDescent="0.15">
      <c r="A560" s="10"/>
      <c r="B560" s="13"/>
      <c r="C560" s="13"/>
    </row>
    <row r="561" spans="1:3" ht="13" x14ac:dyDescent="0.15">
      <c r="A561" s="10"/>
      <c r="B561" s="13"/>
      <c r="C561" s="13"/>
    </row>
    <row r="562" spans="1:3" ht="13" x14ac:dyDescent="0.15">
      <c r="A562" s="10"/>
      <c r="B562" s="13"/>
      <c r="C562" s="13"/>
    </row>
    <row r="563" spans="1:3" ht="13" x14ac:dyDescent="0.15">
      <c r="A563" s="10"/>
      <c r="B563" s="13"/>
      <c r="C563" s="13"/>
    </row>
    <row r="564" spans="1:3" ht="13" x14ac:dyDescent="0.15">
      <c r="A564" s="10"/>
      <c r="B564" s="13"/>
      <c r="C564" s="13"/>
    </row>
    <row r="565" spans="1:3" ht="13" x14ac:dyDescent="0.15">
      <c r="A565" s="10"/>
      <c r="B565" s="13"/>
      <c r="C565" s="13"/>
    </row>
    <row r="566" spans="1:3" ht="13" x14ac:dyDescent="0.15">
      <c r="A566" s="10"/>
      <c r="B566" s="13"/>
      <c r="C566" s="13"/>
    </row>
    <row r="567" spans="1:3" ht="13" x14ac:dyDescent="0.15">
      <c r="A567" s="10"/>
      <c r="B567" s="13"/>
      <c r="C567" s="13"/>
    </row>
    <row r="568" spans="1:3" ht="13" x14ac:dyDescent="0.15">
      <c r="A568" s="10"/>
      <c r="B568" s="13"/>
      <c r="C568" s="13"/>
    </row>
    <row r="569" spans="1:3" ht="13" x14ac:dyDescent="0.15">
      <c r="A569" s="10"/>
      <c r="B569" s="13"/>
      <c r="C569" s="13"/>
    </row>
    <row r="570" spans="1:3" ht="13" x14ac:dyDescent="0.15">
      <c r="A570" s="10"/>
      <c r="B570" s="13"/>
      <c r="C570" s="13"/>
    </row>
    <row r="571" spans="1:3" ht="13" x14ac:dyDescent="0.15">
      <c r="A571" s="10"/>
      <c r="B571" s="13"/>
      <c r="C571" s="13"/>
    </row>
    <row r="572" spans="1:3" ht="13" x14ac:dyDescent="0.15">
      <c r="A572" s="10"/>
      <c r="B572" s="13"/>
      <c r="C572" s="13"/>
    </row>
    <row r="573" spans="1:3" ht="13" x14ac:dyDescent="0.15">
      <c r="A573" s="10"/>
      <c r="B573" s="13"/>
      <c r="C573" s="13"/>
    </row>
    <row r="574" spans="1:3" ht="13" x14ac:dyDescent="0.15">
      <c r="A574" s="10"/>
      <c r="B574" s="13"/>
      <c r="C574" s="13"/>
    </row>
    <row r="575" spans="1:3" ht="13" x14ac:dyDescent="0.15">
      <c r="A575" s="10"/>
      <c r="B575" s="13"/>
      <c r="C575" s="13"/>
    </row>
    <row r="576" spans="1:3" ht="13" x14ac:dyDescent="0.15">
      <c r="A576" s="10"/>
      <c r="B576" s="13"/>
      <c r="C576" s="13"/>
    </row>
    <row r="577" spans="1:3" ht="13" x14ac:dyDescent="0.15">
      <c r="A577" s="10"/>
      <c r="B577" s="13"/>
      <c r="C577" s="13"/>
    </row>
    <row r="578" spans="1:3" ht="13" x14ac:dyDescent="0.15">
      <c r="A578" s="10"/>
      <c r="B578" s="13"/>
      <c r="C578" s="13"/>
    </row>
    <row r="579" spans="1:3" ht="13" x14ac:dyDescent="0.15">
      <c r="A579" s="10"/>
      <c r="B579" s="13"/>
      <c r="C579" s="13"/>
    </row>
    <row r="580" spans="1:3" ht="13" x14ac:dyDescent="0.15">
      <c r="A580" s="10"/>
      <c r="B580" s="13"/>
      <c r="C580" s="13"/>
    </row>
    <row r="581" spans="1:3" ht="13" x14ac:dyDescent="0.15">
      <c r="A581" s="10"/>
      <c r="B581" s="13"/>
      <c r="C581" s="13"/>
    </row>
    <row r="582" spans="1:3" ht="13" x14ac:dyDescent="0.15">
      <c r="A582" s="10"/>
      <c r="B582" s="13"/>
      <c r="C582" s="13"/>
    </row>
    <row r="583" spans="1:3" ht="13" x14ac:dyDescent="0.15">
      <c r="A583" s="10"/>
      <c r="B583" s="13"/>
      <c r="C583" s="13"/>
    </row>
    <row r="584" spans="1:3" ht="13" x14ac:dyDescent="0.15">
      <c r="A584" s="10"/>
      <c r="B584" s="13"/>
      <c r="C584" s="13"/>
    </row>
    <row r="585" spans="1:3" ht="13" x14ac:dyDescent="0.15">
      <c r="A585" s="10"/>
      <c r="B585" s="13"/>
      <c r="C585" s="13"/>
    </row>
    <row r="586" spans="1:3" ht="13" x14ac:dyDescent="0.15">
      <c r="A586" s="10"/>
      <c r="B586" s="13"/>
      <c r="C586" s="13"/>
    </row>
    <row r="587" spans="1:3" ht="13" x14ac:dyDescent="0.15">
      <c r="A587" s="10"/>
      <c r="B587" s="13"/>
      <c r="C587" s="13"/>
    </row>
    <row r="588" spans="1:3" ht="13" x14ac:dyDescent="0.15">
      <c r="A588" s="10"/>
      <c r="B588" s="13"/>
      <c r="C588" s="13"/>
    </row>
    <row r="589" spans="1:3" ht="13" x14ac:dyDescent="0.15">
      <c r="A589" s="10"/>
      <c r="B589" s="13"/>
      <c r="C589" s="13"/>
    </row>
    <row r="590" spans="1:3" ht="13" x14ac:dyDescent="0.15">
      <c r="A590" s="10"/>
      <c r="B590" s="13"/>
      <c r="C590" s="13"/>
    </row>
    <row r="591" spans="1:3" ht="13" x14ac:dyDescent="0.15">
      <c r="A591" s="10"/>
      <c r="B591" s="13"/>
      <c r="C591" s="13"/>
    </row>
    <row r="592" spans="1:3" ht="13" x14ac:dyDescent="0.15">
      <c r="A592" s="10"/>
      <c r="B592" s="13"/>
      <c r="C592" s="13"/>
    </row>
    <row r="593" spans="1:3" ht="13" x14ac:dyDescent="0.15">
      <c r="A593" s="10"/>
      <c r="B593" s="13"/>
      <c r="C593" s="13"/>
    </row>
    <row r="594" spans="1:3" ht="13" x14ac:dyDescent="0.15">
      <c r="A594" s="10"/>
      <c r="B594" s="13"/>
      <c r="C594" s="13"/>
    </row>
    <row r="595" spans="1:3" ht="13" x14ac:dyDescent="0.15">
      <c r="A595" s="10"/>
      <c r="B595" s="13"/>
      <c r="C595" s="13"/>
    </row>
    <row r="596" spans="1:3" ht="13" x14ac:dyDescent="0.15">
      <c r="A596" s="10"/>
      <c r="B596" s="13"/>
      <c r="C596" s="13"/>
    </row>
    <row r="597" spans="1:3" ht="13" x14ac:dyDescent="0.15">
      <c r="A597" s="10"/>
      <c r="B597" s="13"/>
      <c r="C597" s="13"/>
    </row>
    <row r="598" spans="1:3" ht="13" x14ac:dyDescent="0.15">
      <c r="A598" s="10"/>
      <c r="B598" s="13"/>
      <c r="C598" s="13"/>
    </row>
    <row r="599" spans="1:3" ht="13" x14ac:dyDescent="0.15">
      <c r="A599" s="10"/>
      <c r="B599" s="13"/>
      <c r="C599" s="13"/>
    </row>
    <row r="600" spans="1:3" ht="13" x14ac:dyDescent="0.15">
      <c r="A600" s="10"/>
      <c r="B600" s="13"/>
      <c r="C600" s="13"/>
    </row>
    <row r="601" spans="1:3" ht="13" x14ac:dyDescent="0.15">
      <c r="A601" s="10"/>
      <c r="B601" s="13"/>
      <c r="C601" s="13"/>
    </row>
    <row r="602" spans="1:3" ht="13" x14ac:dyDescent="0.15">
      <c r="A602" s="10"/>
      <c r="B602" s="13"/>
      <c r="C602" s="13"/>
    </row>
    <row r="603" spans="1:3" ht="13" x14ac:dyDescent="0.15">
      <c r="A603" s="10"/>
      <c r="B603" s="13"/>
      <c r="C603" s="13"/>
    </row>
    <row r="604" spans="1:3" ht="13" x14ac:dyDescent="0.15">
      <c r="A604" s="10"/>
      <c r="B604" s="13"/>
      <c r="C604" s="13"/>
    </row>
    <row r="605" spans="1:3" ht="13" x14ac:dyDescent="0.15">
      <c r="A605" s="10"/>
      <c r="B605" s="13"/>
      <c r="C605" s="13"/>
    </row>
    <row r="606" spans="1:3" ht="13" x14ac:dyDescent="0.15">
      <c r="A606" s="10"/>
      <c r="B606" s="13"/>
      <c r="C606" s="13"/>
    </row>
    <row r="607" spans="1:3" ht="13" x14ac:dyDescent="0.15">
      <c r="A607" s="10"/>
      <c r="B607" s="13"/>
      <c r="C607" s="13"/>
    </row>
    <row r="608" spans="1:3" ht="13" x14ac:dyDescent="0.15">
      <c r="A608" s="10"/>
      <c r="B608" s="13"/>
      <c r="C608" s="13"/>
    </row>
    <row r="609" spans="1:3" ht="13" x14ac:dyDescent="0.15">
      <c r="A609" s="10"/>
      <c r="B609" s="13"/>
      <c r="C609" s="13"/>
    </row>
    <row r="610" spans="1:3" ht="13" x14ac:dyDescent="0.15">
      <c r="A610" s="10"/>
      <c r="B610" s="13"/>
      <c r="C610" s="13"/>
    </row>
    <row r="611" spans="1:3" ht="13" x14ac:dyDescent="0.15">
      <c r="A611" s="10"/>
      <c r="B611" s="13"/>
      <c r="C611" s="13"/>
    </row>
    <row r="612" spans="1:3" ht="13" x14ac:dyDescent="0.15">
      <c r="A612" s="10"/>
      <c r="B612" s="13"/>
      <c r="C612" s="13"/>
    </row>
    <row r="613" spans="1:3" ht="13" x14ac:dyDescent="0.15">
      <c r="A613" s="10"/>
      <c r="B613" s="13"/>
      <c r="C613" s="13"/>
    </row>
    <row r="614" spans="1:3" ht="13" x14ac:dyDescent="0.15">
      <c r="A614" s="10"/>
      <c r="B614" s="13"/>
      <c r="C614" s="13"/>
    </row>
    <row r="615" spans="1:3" ht="13" x14ac:dyDescent="0.15">
      <c r="A615" s="10"/>
      <c r="B615" s="13"/>
      <c r="C615" s="13"/>
    </row>
    <row r="616" spans="1:3" ht="13" x14ac:dyDescent="0.15">
      <c r="A616" s="10"/>
      <c r="B616" s="13"/>
      <c r="C616" s="13"/>
    </row>
    <row r="617" spans="1:3" ht="13" x14ac:dyDescent="0.15">
      <c r="A617" s="10"/>
      <c r="B617" s="13"/>
      <c r="C617" s="13"/>
    </row>
    <row r="618" spans="1:3" ht="13" x14ac:dyDescent="0.15">
      <c r="A618" s="10"/>
      <c r="B618" s="13"/>
      <c r="C618" s="13"/>
    </row>
    <row r="619" spans="1:3" ht="13" x14ac:dyDescent="0.15">
      <c r="A619" s="10"/>
      <c r="B619" s="13"/>
      <c r="C619" s="13"/>
    </row>
    <row r="620" spans="1:3" ht="13" x14ac:dyDescent="0.15">
      <c r="A620" s="10"/>
      <c r="B620" s="13"/>
      <c r="C620" s="13"/>
    </row>
    <row r="621" spans="1:3" ht="13" x14ac:dyDescent="0.15">
      <c r="A621" s="10"/>
      <c r="B621" s="13"/>
      <c r="C621" s="13"/>
    </row>
    <row r="622" spans="1:3" ht="13" x14ac:dyDescent="0.15">
      <c r="A622" s="10"/>
      <c r="B622" s="13"/>
      <c r="C622" s="13"/>
    </row>
    <row r="623" spans="1:3" ht="13" x14ac:dyDescent="0.15">
      <c r="A623" s="10"/>
      <c r="B623" s="13"/>
      <c r="C623" s="13"/>
    </row>
    <row r="624" spans="1:3" ht="13" x14ac:dyDescent="0.15">
      <c r="A624" s="10"/>
      <c r="B624" s="13"/>
      <c r="C624" s="13"/>
    </row>
    <row r="625" spans="1:3" ht="13" x14ac:dyDescent="0.15">
      <c r="A625" s="10"/>
      <c r="B625" s="13"/>
      <c r="C625" s="13"/>
    </row>
    <row r="626" spans="1:3" ht="13" x14ac:dyDescent="0.15">
      <c r="A626" s="10"/>
      <c r="B626" s="13"/>
      <c r="C626" s="13"/>
    </row>
    <row r="627" spans="1:3" ht="13" x14ac:dyDescent="0.15">
      <c r="A627" s="10"/>
      <c r="B627" s="13"/>
      <c r="C627" s="13"/>
    </row>
    <row r="628" spans="1:3" ht="13" x14ac:dyDescent="0.15">
      <c r="A628" s="10"/>
      <c r="B628" s="13"/>
      <c r="C628" s="13"/>
    </row>
    <row r="629" spans="1:3" ht="13" x14ac:dyDescent="0.15">
      <c r="A629" s="10"/>
      <c r="B629" s="13"/>
      <c r="C629" s="13"/>
    </row>
    <row r="630" spans="1:3" ht="13" x14ac:dyDescent="0.15">
      <c r="A630" s="10"/>
      <c r="B630" s="13"/>
      <c r="C630" s="13"/>
    </row>
    <row r="631" spans="1:3" ht="13" x14ac:dyDescent="0.15">
      <c r="A631" s="10"/>
      <c r="B631" s="13"/>
      <c r="C631" s="13"/>
    </row>
    <row r="632" spans="1:3" ht="13" x14ac:dyDescent="0.15">
      <c r="A632" s="10"/>
      <c r="B632" s="13"/>
      <c r="C632" s="13"/>
    </row>
    <row r="633" spans="1:3" ht="13" x14ac:dyDescent="0.15">
      <c r="A633" s="10"/>
      <c r="B633" s="13"/>
      <c r="C633" s="13"/>
    </row>
    <row r="634" spans="1:3" ht="13" x14ac:dyDescent="0.15">
      <c r="A634" s="10"/>
      <c r="B634" s="13"/>
      <c r="C634" s="13"/>
    </row>
    <row r="635" spans="1:3" ht="13" x14ac:dyDescent="0.15">
      <c r="A635" s="10"/>
      <c r="B635" s="13"/>
      <c r="C635" s="13"/>
    </row>
    <row r="636" spans="1:3" ht="13" x14ac:dyDescent="0.15">
      <c r="A636" s="10"/>
      <c r="B636" s="13"/>
      <c r="C636" s="13"/>
    </row>
    <row r="637" spans="1:3" ht="13" x14ac:dyDescent="0.15">
      <c r="A637" s="10"/>
      <c r="B637" s="13"/>
      <c r="C637" s="13"/>
    </row>
    <row r="638" spans="1:3" ht="13" x14ac:dyDescent="0.15">
      <c r="A638" s="10"/>
      <c r="B638" s="13"/>
      <c r="C638" s="13"/>
    </row>
    <row r="639" spans="1:3" ht="13" x14ac:dyDescent="0.15">
      <c r="A639" s="10"/>
      <c r="B639" s="13"/>
      <c r="C639" s="13"/>
    </row>
    <row r="640" spans="1:3" ht="13" x14ac:dyDescent="0.15">
      <c r="A640" s="10"/>
      <c r="B640" s="13"/>
      <c r="C640" s="13"/>
    </row>
    <row r="641" spans="1:3" ht="13" x14ac:dyDescent="0.15">
      <c r="A641" s="10"/>
      <c r="B641" s="13"/>
      <c r="C641" s="13"/>
    </row>
    <row r="642" spans="1:3" ht="13" x14ac:dyDescent="0.15">
      <c r="A642" s="10"/>
      <c r="B642" s="13"/>
      <c r="C642" s="13"/>
    </row>
    <row r="643" spans="1:3" ht="13" x14ac:dyDescent="0.15">
      <c r="A643" s="10"/>
      <c r="B643" s="13"/>
      <c r="C643" s="13"/>
    </row>
    <row r="644" spans="1:3" ht="13" x14ac:dyDescent="0.15">
      <c r="A644" s="10"/>
      <c r="B644" s="13"/>
      <c r="C644" s="13"/>
    </row>
    <row r="645" spans="1:3" ht="13" x14ac:dyDescent="0.15">
      <c r="A645" s="10"/>
      <c r="B645" s="13"/>
      <c r="C645" s="13"/>
    </row>
    <row r="646" spans="1:3" ht="13" x14ac:dyDescent="0.15">
      <c r="A646" s="10"/>
      <c r="B646" s="13"/>
      <c r="C646" s="13"/>
    </row>
    <row r="647" spans="1:3" ht="13" x14ac:dyDescent="0.15">
      <c r="A647" s="10"/>
      <c r="B647" s="13"/>
      <c r="C647" s="13"/>
    </row>
    <row r="648" spans="1:3" ht="13" x14ac:dyDescent="0.15">
      <c r="A648" s="10"/>
      <c r="B648" s="13"/>
      <c r="C648" s="13"/>
    </row>
    <row r="649" spans="1:3" ht="13" x14ac:dyDescent="0.15">
      <c r="A649" s="10"/>
      <c r="B649" s="13"/>
      <c r="C649" s="13"/>
    </row>
    <row r="650" spans="1:3" ht="13" x14ac:dyDescent="0.15">
      <c r="A650" s="10"/>
      <c r="B650" s="13"/>
      <c r="C650" s="13"/>
    </row>
    <row r="651" spans="1:3" ht="13" x14ac:dyDescent="0.15">
      <c r="A651" s="10"/>
      <c r="B651" s="13"/>
      <c r="C651" s="13"/>
    </row>
    <row r="652" spans="1:3" ht="13" x14ac:dyDescent="0.15">
      <c r="A652" s="10"/>
      <c r="B652" s="13"/>
      <c r="C652" s="13"/>
    </row>
    <row r="653" spans="1:3" ht="13" x14ac:dyDescent="0.15">
      <c r="A653" s="10"/>
      <c r="B653" s="13"/>
      <c r="C653" s="13"/>
    </row>
    <row r="654" spans="1:3" ht="13" x14ac:dyDescent="0.15">
      <c r="A654" s="10"/>
      <c r="B654" s="13"/>
      <c r="C654" s="13"/>
    </row>
    <row r="655" spans="1:3" ht="13" x14ac:dyDescent="0.15">
      <c r="A655" s="10"/>
      <c r="B655" s="13"/>
      <c r="C655" s="13"/>
    </row>
    <row r="656" spans="1:3" ht="13" x14ac:dyDescent="0.15">
      <c r="A656" s="10"/>
      <c r="B656" s="13"/>
      <c r="C656" s="13"/>
    </row>
    <row r="657" spans="1:3" ht="13" x14ac:dyDescent="0.15">
      <c r="A657" s="10"/>
      <c r="B657" s="13"/>
      <c r="C657" s="13"/>
    </row>
    <row r="658" spans="1:3" ht="13" x14ac:dyDescent="0.15">
      <c r="A658" s="10"/>
      <c r="B658" s="13"/>
      <c r="C658" s="13"/>
    </row>
    <row r="659" spans="1:3" ht="13" x14ac:dyDescent="0.15">
      <c r="A659" s="10"/>
      <c r="B659" s="13"/>
      <c r="C659" s="13"/>
    </row>
    <row r="660" spans="1:3" ht="13" x14ac:dyDescent="0.15">
      <c r="A660" s="10"/>
      <c r="B660" s="13"/>
      <c r="C660" s="13"/>
    </row>
    <row r="661" spans="1:3" ht="13" x14ac:dyDescent="0.15">
      <c r="A661" s="10"/>
      <c r="B661" s="13"/>
      <c r="C661" s="13"/>
    </row>
    <row r="662" spans="1:3" ht="13" x14ac:dyDescent="0.15">
      <c r="A662" s="10"/>
      <c r="B662" s="13"/>
      <c r="C662" s="13"/>
    </row>
    <row r="663" spans="1:3" ht="13" x14ac:dyDescent="0.15">
      <c r="A663" s="10"/>
      <c r="B663" s="13"/>
      <c r="C663" s="13"/>
    </row>
    <row r="664" spans="1:3" ht="13" x14ac:dyDescent="0.15">
      <c r="A664" s="10"/>
      <c r="B664" s="13"/>
      <c r="C664" s="13"/>
    </row>
    <row r="665" spans="1:3" ht="13" x14ac:dyDescent="0.15">
      <c r="A665" s="10"/>
      <c r="B665" s="13"/>
      <c r="C665" s="13"/>
    </row>
    <row r="666" spans="1:3" ht="13" x14ac:dyDescent="0.15">
      <c r="A666" s="10"/>
      <c r="B666" s="13"/>
      <c r="C666" s="13"/>
    </row>
    <row r="667" spans="1:3" ht="13" x14ac:dyDescent="0.15">
      <c r="A667" s="10"/>
      <c r="B667" s="13"/>
      <c r="C667" s="13"/>
    </row>
    <row r="668" spans="1:3" ht="13" x14ac:dyDescent="0.15">
      <c r="A668" s="10"/>
      <c r="B668" s="13"/>
      <c r="C668" s="13"/>
    </row>
    <row r="669" spans="1:3" ht="13" x14ac:dyDescent="0.15">
      <c r="A669" s="10"/>
      <c r="B669" s="13"/>
      <c r="C669" s="13"/>
    </row>
    <row r="670" spans="1:3" ht="13" x14ac:dyDescent="0.15">
      <c r="A670" s="10"/>
      <c r="B670" s="13"/>
      <c r="C670" s="13"/>
    </row>
    <row r="671" spans="1:3" ht="13" x14ac:dyDescent="0.15">
      <c r="A671" s="10"/>
      <c r="B671" s="13"/>
      <c r="C671" s="13"/>
    </row>
    <row r="672" spans="1:3" ht="13" x14ac:dyDescent="0.15">
      <c r="A672" s="10"/>
      <c r="B672" s="13"/>
      <c r="C672" s="13"/>
    </row>
    <row r="673" spans="1:3" ht="13" x14ac:dyDescent="0.15">
      <c r="A673" s="10"/>
      <c r="B673" s="13"/>
      <c r="C673" s="13"/>
    </row>
    <row r="674" spans="1:3" ht="13" x14ac:dyDescent="0.15">
      <c r="A674" s="10"/>
      <c r="B674" s="13"/>
      <c r="C674" s="13"/>
    </row>
    <row r="675" spans="1:3" ht="13" x14ac:dyDescent="0.15">
      <c r="A675" s="10"/>
      <c r="B675" s="13"/>
      <c r="C675" s="13"/>
    </row>
    <row r="676" spans="1:3" ht="13" x14ac:dyDescent="0.15">
      <c r="A676" s="10"/>
      <c r="B676" s="13"/>
      <c r="C676" s="13"/>
    </row>
    <row r="677" spans="1:3" ht="13" x14ac:dyDescent="0.15">
      <c r="A677" s="10"/>
      <c r="B677" s="13"/>
      <c r="C677" s="13"/>
    </row>
    <row r="678" spans="1:3" ht="13" x14ac:dyDescent="0.15">
      <c r="A678" s="10"/>
      <c r="B678" s="13"/>
      <c r="C678" s="13"/>
    </row>
    <row r="679" spans="1:3" ht="13" x14ac:dyDescent="0.15">
      <c r="A679" s="10"/>
      <c r="B679" s="13"/>
      <c r="C679" s="13"/>
    </row>
    <row r="680" spans="1:3" ht="13" x14ac:dyDescent="0.15">
      <c r="A680" s="10"/>
      <c r="B680" s="13"/>
      <c r="C680" s="13"/>
    </row>
    <row r="681" spans="1:3" ht="13" x14ac:dyDescent="0.15">
      <c r="A681" s="10"/>
      <c r="B681" s="13"/>
      <c r="C681" s="13"/>
    </row>
    <row r="682" spans="1:3" ht="13" x14ac:dyDescent="0.15">
      <c r="A682" s="10"/>
      <c r="B682" s="13"/>
      <c r="C682" s="13"/>
    </row>
    <row r="683" spans="1:3" ht="13" x14ac:dyDescent="0.15">
      <c r="A683" s="10"/>
      <c r="B683" s="13"/>
      <c r="C683" s="13"/>
    </row>
    <row r="684" spans="1:3" ht="13" x14ac:dyDescent="0.15">
      <c r="A684" s="10"/>
      <c r="B684" s="13"/>
      <c r="C684" s="13"/>
    </row>
    <row r="685" spans="1:3" ht="13" x14ac:dyDescent="0.15">
      <c r="A685" s="10"/>
      <c r="B685" s="13"/>
      <c r="C685" s="13"/>
    </row>
    <row r="686" spans="1:3" ht="13" x14ac:dyDescent="0.15">
      <c r="A686" s="10"/>
      <c r="B686" s="13"/>
      <c r="C686" s="13"/>
    </row>
    <row r="687" spans="1:3" ht="13" x14ac:dyDescent="0.15">
      <c r="A687" s="10"/>
      <c r="B687" s="13"/>
      <c r="C687" s="13"/>
    </row>
    <row r="688" spans="1:3" ht="13" x14ac:dyDescent="0.15">
      <c r="A688" s="10"/>
      <c r="B688" s="13"/>
      <c r="C688" s="13"/>
    </row>
    <row r="689" spans="1:3" ht="13" x14ac:dyDescent="0.15">
      <c r="A689" s="10"/>
      <c r="B689" s="13"/>
      <c r="C689" s="13"/>
    </row>
    <row r="690" spans="1:3" ht="13" x14ac:dyDescent="0.15">
      <c r="A690" s="10"/>
      <c r="B690" s="13"/>
      <c r="C690" s="13"/>
    </row>
    <row r="691" spans="1:3" ht="13" x14ac:dyDescent="0.15">
      <c r="A691" s="10"/>
      <c r="B691" s="13"/>
      <c r="C691" s="13"/>
    </row>
    <row r="692" spans="1:3" ht="13" x14ac:dyDescent="0.15">
      <c r="A692" s="10"/>
      <c r="B692" s="13"/>
      <c r="C692" s="13"/>
    </row>
    <row r="693" spans="1:3" ht="13" x14ac:dyDescent="0.15">
      <c r="A693" s="10"/>
      <c r="B693" s="13"/>
      <c r="C693" s="13"/>
    </row>
    <row r="694" spans="1:3" ht="13" x14ac:dyDescent="0.15">
      <c r="A694" s="10"/>
      <c r="B694" s="13"/>
      <c r="C694" s="13"/>
    </row>
    <row r="695" spans="1:3" ht="13" x14ac:dyDescent="0.15">
      <c r="A695" s="10"/>
      <c r="B695" s="13"/>
      <c r="C695" s="13"/>
    </row>
    <row r="696" spans="1:3" ht="13" x14ac:dyDescent="0.15">
      <c r="A696" s="10"/>
      <c r="B696" s="13"/>
      <c r="C696" s="13"/>
    </row>
    <row r="697" spans="1:3" ht="13" x14ac:dyDescent="0.15">
      <c r="A697" s="10"/>
      <c r="B697" s="13"/>
      <c r="C697" s="13"/>
    </row>
    <row r="698" spans="1:3" ht="13" x14ac:dyDescent="0.15">
      <c r="A698" s="10"/>
      <c r="B698" s="13"/>
      <c r="C698" s="13"/>
    </row>
    <row r="699" spans="1:3" ht="13" x14ac:dyDescent="0.15">
      <c r="A699" s="10"/>
      <c r="B699" s="13"/>
      <c r="C699" s="13"/>
    </row>
    <row r="700" spans="1:3" ht="13" x14ac:dyDescent="0.15">
      <c r="A700" s="10"/>
      <c r="B700" s="13"/>
      <c r="C700" s="13"/>
    </row>
    <row r="701" spans="1:3" ht="13" x14ac:dyDescent="0.15">
      <c r="A701" s="10"/>
      <c r="B701" s="13"/>
      <c r="C701" s="13"/>
    </row>
    <row r="702" spans="1:3" ht="13" x14ac:dyDescent="0.15">
      <c r="A702" s="10"/>
      <c r="B702" s="13"/>
      <c r="C702" s="13"/>
    </row>
    <row r="703" spans="1:3" ht="13" x14ac:dyDescent="0.15">
      <c r="A703" s="10"/>
      <c r="B703" s="13"/>
      <c r="C703" s="13"/>
    </row>
    <row r="704" spans="1:3" ht="13" x14ac:dyDescent="0.15">
      <c r="A704" s="10"/>
      <c r="B704" s="13"/>
      <c r="C704" s="13"/>
    </row>
    <row r="705" spans="1:3" ht="13" x14ac:dyDescent="0.15">
      <c r="A705" s="10"/>
      <c r="B705" s="13"/>
      <c r="C705" s="13"/>
    </row>
    <row r="706" spans="1:3" ht="13" x14ac:dyDescent="0.15">
      <c r="A706" s="10"/>
      <c r="B706" s="13"/>
      <c r="C706" s="13"/>
    </row>
    <row r="707" spans="1:3" ht="13" x14ac:dyDescent="0.15">
      <c r="A707" s="10"/>
      <c r="B707" s="13"/>
      <c r="C707" s="13"/>
    </row>
    <row r="708" spans="1:3" ht="13" x14ac:dyDescent="0.15">
      <c r="A708" s="10"/>
      <c r="B708" s="13"/>
      <c r="C708" s="13"/>
    </row>
    <row r="709" spans="1:3" ht="13" x14ac:dyDescent="0.15">
      <c r="A709" s="10"/>
      <c r="B709" s="13"/>
      <c r="C709" s="13"/>
    </row>
    <row r="710" spans="1:3" ht="13" x14ac:dyDescent="0.15">
      <c r="A710" s="10"/>
      <c r="B710" s="13"/>
      <c r="C710" s="13"/>
    </row>
    <row r="711" spans="1:3" ht="13" x14ac:dyDescent="0.15">
      <c r="A711" s="10"/>
      <c r="B711" s="13"/>
      <c r="C711" s="13"/>
    </row>
    <row r="712" spans="1:3" ht="13" x14ac:dyDescent="0.15">
      <c r="A712" s="10"/>
      <c r="B712" s="13"/>
      <c r="C712" s="13"/>
    </row>
    <row r="713" spans="1:3" ht="13" x14ac:dyDescent="0.15">
      <c r="A713" s="10"/>
      <c r="B713" s="13"/>
      <c r="C713" s="13"/>
    </row>
    <row r="714" spans="1:3" ht="13" x14ac:dyDescent="0.15">
      <c r="A714" s="10"/>
      <c r="B714" s="13"/>
      <c r="C714" s="13"/>
    </row>
    <row r="715" spans="1:3" ht="13" x14ac:dyDescent="0.15">
      <c r="A715" s="10"/>
      <c r="B715" s="13"/>
      <c r="C715" s="13"/>
    </row>
    <row r="716" spans="1:3" ht="13" x14ac:dyDescent="0.15">
      <c r="A716" s="10"/>
      <c r="B716" s="13"/>
      <c r="C716" s="13"/>
    </row>
    <row r="717" spans="1:3" ht="13" x14ac:dyDescent="0.15">
      <c r="A717" s="10"/>
      <c r="B717" s="13"/>
      <c r="C717" s="13"/>
    </row>
    <row r="718" spans="1:3" ht="13" x14ac:dyDescent="0.15">
      <c r="A718" s="10"/>
      <c r="B718" s="13"/>
      <c r="C718" s="13"/>
    </row>
    <row r="719" spans="1:3" ht="13" x14ac:dyDescent="0.15">
      <c r="A719" s="10"/>
      <c r="B719" s="13"/>
      <c r="C719" s="13"/>
    </row>
    <row r="720" spans="1:3" ht="13" x14ac:dyDescent="0.15">
      <c r="A720" s="10"/>
      <c r="B720" s="13"/>
      <c r="C720" s="13"/>
    </row>
    <row r="721" spans="1:3" ht="13" x14ac:dyDescent="0.15">
      <c r="A721" s="10"/>
      <c r="B721" s="13"/>
      <c r="C721" s="13"/>
    </row>
    <row r="722" spans="1:3" ht="13" x14ac:dyDescent="0.15">
      <c r="A722" s="10"/>
      <c r="B722" s="13"/>
      <c r="C722" s="13"/>
    </row>
    <row r="723" spans="1:3" ht="13" x14ac:dyDescent="0.15">
      <c r="A723" s="10"/>
      <c r="B723" s="13"/>
      <c r="C723" s="13"/>
    </row>
    <row r="724" spans="1:3" ht="13" x14ac:dyDescent="0.15">
      <c r="A724" s="10"/>
      <c r="B724" s="13"/>
      <c r="C724" s="13"/>
    </row>
    <row r="725" spans="1:3" ht="13" x14ac:dyDescent="0.15">
      <c r="A725" s="10"/>
      <c r="B725" s="13"/>
      <c r="C725" s="13"/>
    </row>
    <row r="726" spans="1:3" ht="13" x14ac:dyDescent="0.15">
      <c r="A726" s="10"/>
      <c r="B726" s="13"/>
      <c r="C726" s="13"/>
    </row>
    <row r="727" spans="1:3" ht="13" x14ac:dyDescent="0.15">
      <c r="A727" s="10"/>
      <c r="B727" s="13"/>
      <c r="C727" s="13"/>
    </row>
    <row r="728" spans="1:3" ht="13" x14ac:dyDescent="0.15">
      <c r="A728" s="10"/>
      <c r="B728" s="13"/>
      <c r="C728" s="13"/>
    </row>
    <row r="729" spans="1:3" ht="13" x14ac:dyDescent="0.15">
      <c r="A729" s="10"/>
      <c r="B729" s="13"/>
      <c r="C729" s="13"/>
    </row>
    <row r="730" spans="1:3" ht="13" x14ac:dyDescent="0.15">
      <c r="A730" s="10"/>
      <c r="B730" s="13"/>
      <c r="C730" s="13"/>
    </row>
    <row r="731" spans="1:3" ht="13" x14ac:dyDescent="0.15">
      <c r="A731" s="10"/>
      <c r="B731" s="13"/>
      <c r="C731" s="13"/>
    </row>
    <row r="732" spans="1:3" ht="13" x14ac:dyDescent="0.15">
      <c r="A732" s="10"/>
      <c r="B732" s="13"/>
      <c r="C732" s="13"/>
    </row>
    <row r="733" spans="1:3" ht="13" x14ac:dyDescent="0.15">
      <c r="A733" s="10"/>
      <c r="B733" s="13"/>
      <c r="C733" s="13"/>
    </row>
    <row r="734" spans="1:3" ht="13" x14ac:dyDescent="0.15">
      <c r="A734" s="10"/>
      <c r="B734" s="13"/>
      <c r="C734" s="13"/>
    </row>
    <row r="735" spans="1:3" ht="13" x14ac:dyDescent="0.15">
      <c r="A735" s="10"/>
      <c r="B735" s="13"/>
      <c r="C735" s="13"/>
    </row>
    <row r="736" spans="1:3" ht="13" x14ac:dyDescent="0.15">
      <c r="A736" s="10"/>
      <c r="B736" s="13"/>
      <c r="C736" s="13"/>
    </row>
    <row r="737" spans="1:3" ht="13" x14ac:dyDescent="0.15">
      <c r="A737" s="10"/>
      <c r="B737" s="13"/>
      <c r="C737" s="13"/>
    </row>
    <row r="738" spans="1:3" ht="13" x14ac:dyDescent="0.15">
      <c r="A738" s="10"/>
      <c r="B738" s="13"/>
      <c r="C738" s="13"/>
    </row>
    <row r="739" spans="1:3" ht="13" x14ac:dyDescent="0.15">
      <c r="A739" s="10"/>
      <c r="B739" s="13"/>
      <c r="C739" s="13"/>
    </row>
    <row r="740" spans="1:3" ht="13" x14ac:dyDescent="0.15">
      <c r="A740" s="10"/>
      <c r="B740" s="13"/>
      <c r="C740" s="13"/>
    </row>
    <row r="741" spans="1:3" ht="13" x14ac:dyDescent="0.15">
      <c r="A741" s="10"/>
      <c r="B741" s="13"/>
      <c r="C741" s="13"/>
    </row>
    <row r="742" spans="1:3" ht="13" x14ac:dyDescent="0.15">
      <c r="A742" s="10"/>
      <c r="B742" s="13"/>
      <c r="C742" s="13"/>
    </row>
    <row r="743" spans="1:3" ht="13" x14ac:dyDescent="0.15">
      <c r="A743" s="10"/>
      <c r="B743" s="13"/>
      <c r="C743" s="13"/>
    </row>
    <row r="744" spans="1:3" ht="13" x14ac:dyDescent="0.15">
      <c r="A744" s="10"/>
      <c r="B744" s="13"/>
      <c r="C744" s="13"/>
    </row>
    <row r="745" spans="1:3" ht="13" x14ac:dyDescent="0.15">
      <c r="A745" s="10"/>
      <c r="B745" s="13"/>
      <c r="C745" s="13"/>
    </row>
    <row r="746" spans="1:3" ht="13" x14ac:dyDescent="0.15">
      <c r="A746" s="10"/>
      <c r="B746" s="13"/>
      <c r="C746" s="13"/>
    </row>
    <row r="747" spans="1:3" ht="13" x14ac:dyDescent="0.15">
      <c r="A747" s="10"/>
      <c r="B747" s="13"/>
      <c r="C747" s="13"/>
    </row>
    <row r="748" spans="1:3" ht="13" x14ac:dyDescent="0.15">
      <c r="A748" s="10"/>
      <c r="B748" s="13"/>
      <c r="C748" s="13"/>
    </row>
    <row r="749" spans="1:3" ht="13" x14ac:dyDescent="0.15">
      <c r="A749" s="10"/>
      <c r="B749" s="13"/>
      <c r="C749" s="13"/>
    </row>
    <row r="750" spans="1:3" ht="13" x14ac:dyDescent="0.15">
      <c r="A750" s="10"/>
      <c r="B750" s="13"/>
      <c r="C750" s="13"/>
    </row>
    <row r="751" spans="1:3" ht="13" x14ac:dyDescent="0.15">
      <c r="A751" s="10"/>
      <c r="B751" s="13"/>
      <c r="C751" s="13"/>
    </row>
    <row r="752" spans="1:3" ht="13" x14ac:dyDescent="0.15">
      <c r="A752" s="10"/>
      <c r="B752" s="13"/>
      <c r="C752" s="13"/>
    </row>
    <row r="753" spans="1:3" ht="13" x14ac:dyDescent="0.15">
      <c r="A753" s="10"/>
      <c r="B753" s="13"/>
      <c r="C753" s="13"/>
    </row>
    <row r="754" spans="1:3" ht="13" x14ac:dyDescent="0.15">
      <c r="A754" s="10"/>
      <c r="B754" s="13"/>
      <c r="C754" s="13"/>
    </row>
    <row r="755" spans="1:3" ht="13" x14ac:dyDescent="0.15">
      <c r="A755" s="10"/>
      <c r="B755" s="13"/>
      <c r="C755" s="13"/>
    </row>
    <row r="756" spans="1:3" ht="13" x14ac:dyDescent="0.15">
      <c r="A756" s="10"/>
      <c r="B756" s="13"/>
      <c r="C756" s="13"/>
    </row>
    <row r="757" spans="1:3" ht="13" x14ac:dyDescent="0.15">
      <c r="A757" s="10"/>
      <c r="B757" s="13"/>
      <c r="C757" s="13"/>
    </row>
    <row r="758" spans="1:3" ht="13" x14ac:dyDescent="0.15">
      <c r="A758" s="10"/>
      <c r="B758" s="13"/>
      <c r="C758" s="13"/>
    </row>
    <row r="759" spans="1:3" ht="13" x14ac:dyDescent="0.15">
      <c r="A759" s="10"/>
      <c r="B759" s="13"/>
      <c r="C759" s="13"/>
    </row>
    <row r="760" spans="1:3" ht="13" x14ac:dyDescent="0.15">
      <c r="A760" s="10"/>
      <c r="B760" s="13"/>
      <c r="C760" s="13"/>
    </row>
    <row r="761" spans="1:3" ht="13" x14ac:dyDescent="0.15">
      <c r="A761" s="10"/>
      <c r="B761" s="13"/>
      <c r="C761" s="13"/>
    </row>
    <row r="762" spans="1:3" ht="13" x14ac:dyDescent="0.15">
      <c r="A762" s="10"/>
      <c r="B762" s="13"/>
      <c r="C762" s="13"/>
    </row>
    <row r="763" spans="1:3" ht="13" x14ac:dyDescent="0.15">
      <c r="A763" s="10"/>
      <c r="B763" s="13"/>
      <c r="C763" s="13"/>
    </row>
    <row r="764" spans="1:3" ht="13" x14ac:dyDescent="0.15">
      <c r="A764" s="10"/>
      <c r="B764" s="13"/>
      <c r="C764" s="13"/>
    </row>
    <row r="765" spans="1:3" ht="13" x14ac:dyDescent="0.15">
      <c r="A765" s="10"/>
      <c r="B765" s="13"/>
      <c r="C765" s="13"/>
    </row>
    <row r="766" spans="1:3" ht="13" x14ac:dyDescent="0.15">
      <c r="A766" s="10"/>
      <c r="B766" s="13"/>
      <c r="C766" s="13"/>
    </row>
    <row r="767" spans="1:3" ht="13" x14ac:dyDescent="0.15">
      <c r="A767" s="10"/>
      <c r="B767" s="13"/>
      <c r="C767" s="13"/>
    </row>
    <row r="768" spans="1:3" ht="13" x14ac:dyDescent="0.15">
      <c r="A768" s="10"/>
      <c r="B768" s="13"/>
      <c r="C768" s="13"/>
    </row>
    <row r="769" spans="1:3" ht="13" x14ac:dyDescent="0.15">
      <c r="A769" s="10"/>
      <c r="B769" s="13"/>
      <c r="C769" s="13"/>
    </row>
    <row r="770" spans="1:3" ht="13" x14ac:dyDescent="0.15">
      <c r="A770" s="10"/>
      <c r="B770" s="13"/>
      <c r="C770" s="13"/>
    </row>
    <row r="771" spans="1:3" ht="13" x14ac:dyDescent="0.15">
      <c r="A771" s="10"/>
      <c r="B771" s="13"/>
      <c r="C771" s="13"/>
    </row>
    <row r="772" spans="1:3" ht="13" x14ac:dyDescent="0.15">
      <c r="A772" s="10"/>
      <c r="B772" s="13"/>
      <c r="C772" s="13"/>
    </row>
    <row r="773" spans="1:3" ht="13" x14ac:dyDescent="0.15">
      <c r="A773" s="10"/>
      <c r="B773" s="13"/>
      <c r="C773" s="13"/>
    </row>
    <row r="774" spans="1:3" ht="13" x14ac:dyDescent="0.15">
      <c r="A774" s="10"/>
      <c r="B774" s="13"/>
      <c r="C774" s="13"/>
    </row>
    <row r="775" spans="1:3" ht="13" x14ac:dyDescent="0.15">
      <c r="A775" s="10"/>
      <c r="B775" s="13"/>
      <c r="C775" s="13"/>
    </row>
    <row r="776" spans="1:3" ht="13" x14ac:dyDescent="0.15">
      <c r="A776" s="10"/>
      <c r="B776" s="13"/>
      <c r="C776" s="13"/>
    </row>
    <row r="777" spans="1:3" ht="13" x14ac:dyDescent="0.15">
      <c r="A777" s="10"/>
      <c r="B777" s="13"/>
      <c r="C777" s="13"/>
    </row>
    <row r="778" spans="1:3" ht="13" x14ac:dyDescent="0.15">
      <c r="A778" s="10"/>
      <c r="B778" s="13"/>
      <c r="C778" s="13"/>
    </row>
    <row r="779" spans="1:3" ht="13" x14ac:dyDescent="0.15">
      <c r="A779" s="10"/>
      <c r="B779" s="13"/>
      <c r="C779" s="13"/>
    </row>
    <row r="780" spans="1:3" ht="13" x14ac:dyDescent="0.15">
      <c r="A780" s="10"/>
      <c r="B780" s="13"/>
      <c r="C780" s="13"/>
    </row>
    <row r="781" spans="1:3" ht="13" x14ac:dyDescent="0.15">
      <c r="A781" s="10"/>
      <c r="B781" s="13"/>
      <c r="C781" s="13"/>
    </row>
    <row r="782" spans="1:3" ht="13" x14ac:dyDescent="0.15">
      <c r="A782" s="10"/>
      <c r="B782" s="13"/>
      <c r="C782" s="13"/>
    </row>
    <row r="783" spans="1:3" ht="13" x14ac:dyDescent="0.15">
      <c r="A783" s="10"/>
      <c r="B783" s="13"/>
      <c r="C783" s="13"/>
    </row>
    <row r="784" spans="1:3" ht="13" x14ac:dyDescent="0.15">
      <c r="A784" s="10"/>
      <c r="B784" s="13"/>
      <c r="C784" s="13"/>
    </row>
    <row r="785" spans="1:3" ht="13" x14ac:dyDescent="0.15">
      <c r="A785" s="10"/>
      <c r="B785" s="13"/>
      <c r="C785" s="13"/>
    </row>
    <row r="786" spans="1:3" ht="13" x14ac:dyDescent="0.15">
      <c r="A786" s="10"/>
      <c r="B786" s="13"/>
      <c r="C786" s="13"/>
    </row>
    <row r="787" spans="1:3" ht="13" x14ac:dyDescent="0.15">
      <c r="A787" s="10"/>
      <c r="B787" s="13"/>
      <c r="C787" s="13"/>
    </row>
    <row r="788" spans="1:3" ht="13" x14ac:dyDescent="0.15">
      <c r="A788" s="10"/>
      <c r="B788" s="13"/>
      <c r="C788" s="13"/>
    </row>
    <row r="789" spans="1:3" ht="13" x14ac:dyDescent="0.15">
      <c r="A789" s="10"/>
      <c r="B789" s="13"/>
      <c r="C789" s="13"/>
    </row>
    <row r="790" spans="1:3" ht="13" x14ac:dyDescent="0.15">
      <c r="A790" s="10"/>
      <c r="B790" s="13"/>
      <c r="C790" s="13"/>
    </row>
    <row r="791" spans="1:3" ht="13" x14ac:dyDescent="0.15">
      <c r="A791" s="10"/>
      <c r="B791" s="13"/>
      <c r="C791" s="13"/>
    </row>
    <row r="792" spans="1:3" ht="13" x14ac:dyDescent="0.15">
      <c r="A792" s="10"/>
      <c r="B792" s="13"/>
      <c r="C792" s="13"/>
    </row>
    <row r="793" spans="1:3" ht="13" x14ac:dyDescent="0.15">
      <c r="A793" s="10"/>
      <c r="B793" s="13"/>
      <c r="C793" s="13"/>
    </row>
    <row r="794" spans="1:3" ht="13" x14ac:dyDescent="0.15">
      <c r="A794" s="10"/>
      <c r="B794" s="13"/>
      <c r="C794" s="13"/>
    </row>
    <row r="795" spans="1:3" ht="13" x14ac:dyDescent="0.15">
      <c r="A795" s="10"/>
      <c r="B795" s="13"/>
      <c r="C795" s="13"/>
    </row>
    <row r="796" spans="1:3" ht="13" x14ac:dyDescent="0.15">
      <c r="A796" s="10"/>
      <c r="B796" s="13"/>
      <c r="C796" s="13"/>
    </row>
    <row r="797" spans="1:3" ht="13" x14ac:dyDescent="0.15">
      <c r="A797" s="10"/>
      <c r="B797" s="13"/>
      <c r="C797" s="13"/>
    </row>
    <row r="798" spans="1:3" ht="13" x14ac:dyDescent="0.15">
      <c r="A798" s="10"/>
      <c r="B798" s="13"/>
      <c r="C798" s="13"/>
    </row>
    <row r="799" spans="1:3" ht="13" x14ac:dyDescent="0.15">
      <c r="A799" s="10"/>
      <c r="B799" s="13"/>
      <c r="C799" s="13"/>
    </row>
    <row r="800" spans="1:3" ht="13" x14ac:dyDescent="0.15">
      <c r="A800" s="10"/>
      <c r="B800" s="13"/>
      <c r="C800" s="13"/>
    </row>
    <row r="801" spans="1:3" ht="13" x14ac:dyDescent="0.15">
      <c r="A801" s="10"/>
      <c r="B801" s="13"/>
      <c r="C801" s="13"/>
    </row>
    <row r="802" spans="1:3" ht="13" x14ac:dyDescent="0.15">
      <c r="A802" s="10"/>
      <c r="B802" s="13"/>
      <c r="C802" s="13"/>
    </row>
    <row r="803" spans="1:3" ht="13" x14ac:dyDescent="0.15">
      <c r="A803" s="10"/>
      <c r="B803" s="13"/>
      <c r="C803" s="13"/>
    </row>
    <row r="804" spans="1:3" ht="13" x14ac:dyDescent="0.15">
      <c r="A804" s="10"/>
      <c r="B804" s="13"/>
      <c r="C804" s="13"/>
    </row>
    <row r="805" spans="1:3" ht="13" x14ac:dyDescent="0.15">
      <c r="A805" s="10"/>
      <c r="B805" s="13"/>
      <c r="C805" s="13"/>
    </row>
    <row r="806" spans="1:3" ht="13" x14ac:dyDescent="0.15">
      <c r="A806" s="10"/>
      <c r="B806" s="13"/>
      <c r="C806" s="13"/>
    </row>
    <row r="807" spans="1:3" ht="13" x14ac:dyDescent="0.15">
      <c r="A807" s="10"/>
      <c r="B807" s="13"/>
      <c r="C807" s="13"/>
    </row>
    <row r="808" spans="1:3" ht="13" x14ac:dyDescent="0.15">
      <c r="A808" s="10"/>
      <c r="B808" s="13"/>
      <c r="C808" s="13"/>
    </row>
    <row r="809" spans="1:3" ht="13" x14ac:dyDescent="0.15">
      <c r="A809" s="10"/>
      <c r="B809" s="13"/>
      <c r="C809" s="13"/>
    </row>
    <row r="810" spans="1:3" ht="13" x14ac:dyDescent="0.15">
      <c r="A810" s="10"/>
      <c r="B810" s="13"/>
      <c r="C810" s="13"/>
    </row>
    <row r="811" spans="1:3" ht="13" x14ac:dyDescent="0.15">
      <c r="A811" s="10"/>
      <c r="B811" s="13"/>
      <c r="C811" s="13"/>
    </row>
    <row r="812" spans="1:3" ht="13" x14ac:dyDescent="0.15">
      <c r="A812" s="10"/>
      <c r="B812" s="13"/>
      <c r="C812" s="13"/>
    </row>
    <row r="813" spans="1:3" ht="13" x14ac:dyDescent="0.15">
      <c r="A813" s="10"/>
      <c r="B813" s="13"/>
      <c r="C813" s="13"/>
    </row>
    <row r="814" spans="1:3" ht="13" x14ac:dyDescent="0.15">
      <c r="A814" s="10"/>
      <c r="B814" s="13"/>
      <c r="C814" s="13"/>
    </row>
    <row r="815" spans="1:3" ht="13" x14ac:dyDescent="0.15">
      <c r="A815" s="10"/>
      <c r="B815" s="13"/>
      <c r="C815" s="13"/>
    </row>
    <row r="816" spans="1:3" ht="13" x14ac:dyDescent="0.15">
      <c r="A816" s="10"/>
      <c r="B816" s="13"/>
      <c r="C816" s="13"/>
    </row>
    <row r="817" spans="1:3" ht="13" x14ac:dyDescent="0.15">
      <c r="A817" s="10"/>
      <c r="B817" s="13"/>
      <c r="C817" s="13"/>
    </row>
    <row r="818" spans="1:3" ht="13" x14ac:dyDescent="0.15">
      <c r="A818" s="10"/>
      <c r="B818" s="13"/>
      <c r="C818" s="13"/>
    </row>
    <row r="819" spans="1:3" ht="13" x14ac:dyDescent="0.15">
      <c r="A819" s="10"/>
      <c r="B819" s="13"/>
      <c r="C819" s="13"/>
    </row>
    <row r="820" spans="1:3" ht="13" x14ac:dyDescent="0.15">
      <c r="A820" s="10"/>
      <c r="B820" s="13"/>
      <c r="C820" s="13"/>
    </row>
    <row r="821" spans="1:3" ht="13" x14ac:dyDescent="0.15">
      <c r="A821" s="10"/>
      <c r="B821" s="13"/>
      <c r="C821" s="13"/>
    </row>
    <row r="822" spans="1:3" ht="13" x14ac:dyDescent="0.15">
      <c r="A822" s="10"/>
      <c r="B822" s="13"/>
      <c r="C822" s="13"/>
    </row>
    <row r="823" spans="1:3" ht="13" x14ac:dyDescent="0.15">
      <c r="A823" s="10"/>
      <c r="B823" s="13"/>
      <c r="C823" s="13"/>
    </row>
    <row r="824" spans="1:3" ht="13" x14ac:dyDescent="0.15">
      <c r="A824" s="10"/>
      <c r="B824" s="13"/>
      <c r="C824" s="13"/>
    </row>
    <row r="825" spans="1:3" ht="13" x14ac:dyDescent="0.15">
      <c r="A825" s="10"/>
      <c r="B825" s="13"/>
      <c r="C825" s="13"/>
    </row>
    <row r="826" spans="1:3" ht="13" x14ac:dyDescent="0.15">
      <c r="A826" s="10"/>
      <c r="B826" s="13"/>
      <c r="C826" s="13"/>
    </row>
    <row r="827" spans="1:3" ht="13" x14ac:dyDescent="0.15">
      <c r="A827" s="10"/>
      <c r="B827" s="13"/>
      <c r="C827" s="13"/>
    </row>
    <row r="828" spans="1:3" ht="13" x14ac:dyDescent="0.15">
      <c r="A828" s="10"/>
      <c r="B828" s="13"/>
      <c r="C828" s="13"/>
    </row>
    <row r="829" spans="1:3" ht="13" x14ac:dyDescent="0.15">
      <c r="A829" s="10"/>
      <c r="B829" s="13"/>
      <c r="C829" s="13"/>
    </row>
    <row r="830" spans="1:3" ht="13" x14ac:dyDescent="0.15">
      <c r="A830" s="10"/>
      <c r="B830" s="13"/>
      <c r="C830" s="13"/>
    </row>
    <row r="831" spans="1:3" ht="13" x14ac:dyDescent="0.15">
      <c r="A831" s="10"/>
      <c r="B831" s="13"/>
      <c r="C831" s="13"/>
    </row>
    <row r="832" spans="1:3" ht="13" x14ac:dyDescent="0.15">
      <c r="A832" s="10"/>
      <c r="B832" s="13"/>
      <c r="C832" s="13"/>
    </row>
    <row r="833" spans="1:3" ht="13" x14ac:dyDescent="0.15">
      <c r="A833" s="10"/>
      <c r="B833" s="13"/>
      <c r="C833" s="13"/>
    </row>
    <row r="834" spans="1:3" ht="13" x14ac:dyDescent="0.15">
      <c r="A834" s="10"/>
      <c r="B834" s="13"/>
      <c r="C834" s="13"/>
    </row>
    <row r="835" spans="1:3" ht="13" x14ac:dyDescent="0.15">
      <c r="A835" s="10"/>
      <c r="B835" s="13"/>
      <c r="C835" s="13"/>
    </row>
    <row r="836" spans="1:3" ht="13" x14ac:dyDescent="0.15">
      <c r="A836" s="10"/>
      <c r="B836" s="13"/>
      <c r="C836" s="13"/>
    </row>
    <row r="837" spans="1:3" ht="13" x14ac:dyDescent="0.15">
      <c r="A837" s="10"/>
      <c r="B837" s="13"/>
      <c r="C837" s="13"/>
    </row>
    <row r="838" spans="1:3" ht="13" x14ac:dyDescent="0.15">
      <c r="A838" s="10"/>
      <c r="B838" s="13"/>
      <c r="C838" s="13"/>
    </row>
    <row r="839" spans="1:3" ht="13" x14ac:dyDescent="0.15">
      <c r="A839" s="10"/>
      <c r="B839" s="13"/>
      <c r="C839" s="13"/>
    </row>
    <row r="840" spans="1:3" ht="13" x14ac:dyDescent="0.15">
      <c r="A840" s="10"/>
      <c r="B840" s="13"/>
      <c r="C840" s="13"/>
    </row>
    <row r="841" spans="1:3" ht="13" x14ac:dyDescent="0.15">
      <c r="A841" s="10"/>
      <c r="B841" s="13"/>
      <c r="C841" s="13"/>
    </row>
    <row r="842" spans="1:3" ht="13" x14ac:dyDescent="0.15">
      <c r="A842" s="10"/>
      <c r="B842" s="13"/>
      <c r="C842" s="13"/>
    </row>
    <row r="843" spans="1:3" ht="13" x14ac:dyDescent="0.15">
      <c r="A843" s="10"/>
      <c r="B843" s="13"/>
      <c r="C843" s="13"/>
    </row>
    <row r="844" spans="1:3" ht="13" x14ac:dyDescent="0.15">
      <c r="A844" s="10"/>
      <c r="B844" s="13"/>
      <c r="C844" s="13"/>
    </row>
    <row r="845" spans="1:3" ht="13" x14ac:dyDescent="0.15">
      <c r="A845" s="10"/>
      <c r="B845" s="13"/>
      <c r="C845" s="13"/>
    </row>
    <row r="846" spans="1:3" ht="13" x14ac:dyDescent="0.15">
      <c r="A846" s="10"/>
      <c r="B846" s="13"/>
      <c r="C846" s="13"/>
    </row>
    <row r="847" spans="1:3" ht="13" x14ac:dyDescent="0.15">
      <c r="A847" s="10"/>
      <c r="B847" s="13"/>
      <c r="C847" s="13"/>
    </row>
    <row r="848" spans="1:3" ht="13" x14ac:dyDescent="0.15">
      <c r="A848" s="10"/>
      <c r="B848" s="13"/>
      <c r="C848" s="13"/>
    </row>
    <row r="849" spans="1:3" ht="13" x14ac:dyDescent="0.15">
      <c r="A849" s="10"/>
      <c r="B849" s="13"/>
      <c r="C849" s="13"/>
    </row>
    <row r="850" spans="1:3" ht="13" x14ac:dyDescent="0.15">
      <c r="A850" s="10"/>
      <c r="B850" s="13"/>
      <c r="C850" s="13"/>
    </row>
    <row r="851" spans="1:3" ht="13" x14ac:dyDescent="0.15">
      <c r="A851" s="10"/>
      <c r="B851" s="13"/>
      <c r="C851" s="13"/>
    </row>
    <row r="852" spans="1:3" ht="13" x14ac:dyDescent="0.15">
      <c r="A852" s="10"/>
      <c r="B852" s="13"/>
      <c r="C852" s="13"/>
    </row>
    <row r="853" spans="1:3" ht="13" x14ac:dyDescent="0.15">
      <c r="A853" s="10"/>
      <c r="B853" s="13"/>
      <c r="C853" s="13"/>
    </row>
    <row r="854" spans="1:3" ht="13" x14ac:dyDescent="0.15">
      <c r="A854" s="10"/>
      <c r="B854" s="13"/>
      <c r="C854" s="13"/>
    </row>
    <row r="855" spans="1:3" ht="13" x14ac:dyDescent="0.15">
      <c r="A855" s="10"/>
      <c r="B855" s="13"/>
      <c r="C855" s="13"/>
    </row>
    <row r="856" spans="1:3" ht="13" x14ac:dyDescent="0.15">
      <c r="A856" s="10"/>
      <c r="B856" s="13"/>
      <c r="C856" s="13"/>
    </row>
    <row r="857" spans="1:3" ht="13" x14ac:dyDescent="0.15">
      <c r="A857" s="10"/>
      <c r="B857" s="13"/>
      <c r="C857" s="13"/>
    </row>
    <row r="858" spans="1:3" ht="13" x14ac:dyDescent="0.15">
      <c r="A858" s="10"/>
      <c r="B858" s="13"/>
      <c r="C858" s="13"/>
    </row>
    <row r="859" spans="1:3" ht="13" x14ac:dyDescent="0.15">
      <c r="A859" s="10"/>
      <c r="B859" s="13"/>
      <c r="C859" s="13"/>
    </row>
    <row r="860" spans="1:3" ht="13" x14ac:dyDescent="0.15">
      <c r="A860" s="10"/>
      <c r="B860" s="13"/>
      <c r="C860" s="13"/>
    </row>
    <row r="861" spans="1:3" ht="13" x14ac:dyDescent="0.15">
      <c r="A861" s="10"/>
      <c r="B861" s="13"/>
      <c r="C861" s="13"/>
    </row>
    <row r="862" spans="1:3" ht="13" x14ac:dyDescent="0.15">
      <c r="A862" s="10"/>
      <c r="B862" s="13"/>
      <c r="C862" s="13"/>
    </row>
    <row r="863" spans="1:3" ht="13" x14ac:dyDescent="0.15">
      <c r="A863" s="10"/>
      <c r="B863" s="13"/>
      <c r="C863" s="13"/>
    </row>
    <row r="864" spans="1:3" ht="13" x14ac:dyDescent="0.15">
      <c r="A864" s="10"/>
      <c r="B864" s="13"/>
      <c r="C864" s="13"/>
    </row>
    <row r="865" spans="1:3" ht="13" x14ac:dyDescent="0.15">
      <c r="A865" s="10"/>
      <c r="B865" s="13"/>
      <c r="C865" s="13"/>
    </row>
    <row r="866" spans="1:3" ht="13" x14ac:dyDescent="0.15">
      <c r="A866" s="10"/>
      <c r="B866" s="13"/>
      <c r="C866" s="13"/>
    </row>
    <row r="867" spans="1:3" ht="13" x14ac:dyDescent="0.15">
      <c r="A867" s="10"/>
      <c r="B867" s="13"/>
      <c r="C867" s="13"/>
    </row>
    <row r="868" spans="1:3" ht="13" x14ac:dyDescent="0.15">
      <c r="A868" s="10"/>
      <c r="B868" s="13"/>
      <c r="C868" s="13"/>
    </row>
    <row r="869" spans="1:3" ht="13" x14ac:dyDescent="0.15">
      <c r="A869" s="10"/>
      <c r="B869" s="13"/>
      <c r="C869" s="13"/>
    </row>
    <row r="870" spans="1:3" ht="13" x14ac:dyDescent="0.15">
      <c r="A870" s="10"/>
      <c r="B870" s="13"/>
      <c r="C870" s="13"/>
    </row>
    <row r="871" spans="1:3" ht="13" x14ac:dyDescent="0.15">
      <c r="A871" s="10"/>
      <c r="B871" s="13"/>
      <c r="C871" s="13"/>
    </row>
    <row r="872" spans="1:3" ht="13" x14ac:dyDescent="0.15">
      <c r="A872" s="10"/>
      <c r="B872" s="13"/>
      <c r="C872" s="13"/>
    </row>
    <row r="873" spans="1:3" ht="13" x14ac:dyDescent="0.15">
      <c r="A873" s="10"/>
      <c r="B873" s="13"/>
      <c r="C873" s="13"/>
    </row>
    <row r="874" spans="1:3" ht="13" x14ac:dyDescent="0.15">
      <c r="A874" s="10"/>
      <c r="B874" s="13"/>
      <c r="C874" s="13"/>
    </row>
    <row r="875" spans="1:3" ht="13" x14ac:dyDescent="0.15">
      <c r="A875" s="10"/>
      <c r="B875" s="13"/>
      <c r="C875" s="13"/>
    </row>
    <row r="876" spans="1:3" ht="13" x14ac:dyDescent="0.15">
      <c r="A876" s="10"/>
      <c r="B876" s="13"/>
      <c r="C876" s="13"/>
    </row>
    <row r="877" spans="1:3" ht="13" x14ac:dyDescent="0.15">
      <c r="A877" s="10"/>
      <c r="B877" s="13"/>
      <c r="C877" s="13"/>
    </row>
    <row r="878" spans="1:3" ht="13" x14ac:dyDescent="0.15">
      <c r="A878" s="10"/>
      <c r="B878" s="13"/>
      <c r="C878" s="13"/>
    </row>
    <row r="879" spans="1:3" ht="13" x14ac:dyDescent="0.15">
      <c r="A879" s="10"/>
      <c r="B879" s="13"/>
      <c r="C879" s="13"/>
    </row>
    <row r="880" spans="1:3" ht="13" x14ac:dyDescent="0.15">
      <c r="A880" s="10"/>
      <c r="B880" s="13"/>
      <c r="C880" s="13"/>
    </row>
    <row r="881" spans="1:3" ht="13" x14ac:dyDescent="0.15">
      <c r="A881" s="10"/>
      <c r="B881" s="13"/>
      <c r="C881" s="13"/>
    </row>
    <row r="882" spans="1:3" ht="13" x14ac:dyDescent="0.15">
      <c r="A882" s="10"/>
      <c r="B882" s="13"/>
      <c r="C882" s="13"/>
    </row>
    <row r="883" spans="1:3" ht="13" x14ac:dyDescent="0.15">
      <c r="A883" s="10"/>
      <c r="B883" s="13"/>
      <c r="C883" s="13"/>
    </row>
    <row r="884" spans="1:3" ht="13" x14ac:dyDescent="0.15">
      <c r="A884" s="10"/>
      <c r="B884" s="13"/>
      <c r="C884" s="13"/>
    </row>
    <row r="885" spans="1:3" ht="13" x14ac:dyDescent="0.15">
      <c r="A885" s="10"/>
      <c r="B885" s="13"/>
      <c r="C885" s="13"/>
    </row>
    <row r="886" spans="1:3" ht="13" x14ac:dyDescent="0.15">
      <c r="A886" s="10"/>
      <c r="B886" s="13"/>
      <c r="C886" s="13"/>
    </row>
    <row r="887" spans="1:3" ht="13" x14ac:dyDescent="0.15">
      <c r="A887" s="10"/>
      <c r="B887" s="13"/>
      <c r="C887" s="13"/>
    </row>
    <row r="888" spans="1:3" ht="13" x14ac:dyDescent="0.15">
      <c r="A888" s="10"/>
      <c r="B888" s="13"/>
      <c r="C888" s="13"/>
    </row>
    <row r="889" spans="1:3" ht="13" x14ac:dyDescent="0.15">
      <c r="A889" s="10"/>
      <c r="B889" s="13"/>
      <c r="C889" s="13"/>
    </row>
    <row r="890" spans="1:3" ht="13" x14ac:dyDescent="0.15">
      <c r="A890" s="10"/>
      <c r="B890" s="13"/>
      <c r="C890" s="13"/>
    </row>
    <row r="891" spans="1:3" ht="13" x14ac:dyDescent="0.15">
      <c r="A891" s="10"/>
      <c r="B891" s="13"/>
      <c r="C891" s="13"/>
    </row>
    <row r="892" spans="1:3" ht="13" x14ac:dyDescent="0.15">
      <c r="A892" s="10"/>
      <c r="B892" s="13"/>
      <c r="C892" s="13"/>
    </row>
    <row r="893" spans="1:3" ht="13" x14ac:dyDescent="0.15">
      <c r="A893" s="10"/>
      <c r="B893" s="13"/>
      <c r="C893" s="13"/>
    </row>
    <row r="894" spans="1:3" ht="13" x14ac:dyDescent="0.15">
      <c r="A894" s="10"/>
      <c r="B894" s="13"/>
      <c r="C894" s="13"/>
    </row>
    <row r="895" spans="1:3" ht="13" x14ac:dyDescent="0.15">
      <c r="A895" s="10"/>
      <c r="B895" s="13"/>
      <c r="C895" s="13"/>
    </row>
    <row r="896" spans="1:3" ht="13" x14ac:dyDescent="0.15">
      <c r="A896" s="10"/>
      <c r="B896" s="13"/>
      <c r="C896" s="13"/>
    </row>
    <row r="897" spans="1:3" ht="13" x14ac:dyDescent="0.15">
      <c r="A897" s="10"/>
      <c r="B897" s="13"/>
      <c r="C897" s="13"/>
    </row>
    <row r="898" spans="1:3" ht="13" x14ac:dyDescent="0.15">
      <c r="A898" s="10"/>
      <c r="B898" s="13"/>
      <c r="C898" s="13"/>
    </row>
    <row r="899" spans="1:3" ht="13" x14ac:dyDescent="0.15">
      <c r="A899" s="10"/>
      <c r="B899" s="13"/>
      <c r="C899" s="13"/>
    </row>
    <row r="900" spans="1:3" ht="13" x14ac:dyDescent="0.15">
      <c r="A900" s="10"/>
      <c r="B900" s="13"/>
      <c r="C900" s="13"/>
    </row>
    <row r="901" spans="1:3" ht="13" x14ac:dyDescent="0.15">
      <c r="A901" s="10"/>
      <c r="B901" s="13"/>
      <c r="C901" s="13"/>
    </row>
    <row r="902" spans="1:3" ht="13" x14ac:dyDescent="0.15">
      <c r="A902" s="10"/>
      <c r="B902" s="13"/>
      <c r="C902" s="13"/>
    </row>
    <row r="903" spans="1:3" ht="13" x14ac:dyDescent="0.15">
      <c r="A903" s="10"/>
      <c r="B903" s="13"/>
      <c r="C903" s="13"/>
    </row>
    <row r="904" spans="1:3" ht="13" x14ac:dyDescent="0.15">
      <c r="A904" s="10"/>
      <c r="B904" s="13"/>
      <c r="C904" s="13"/>
    </row>
    <row r="905" spans="1:3" ht="13" x14ac:dyDescent="0.15">
      <c r="A905" s="10"/>
      <c r="B905" s="13"/>
      <c r="C905" s="13"/>
    </row>
    <row r="906" spans="1:3" ht="13" x14ac:dyDescent="0.15">
      <c r="A906" s="10"/>
      <c r="B906" s="13"/>
      <c r="C906" s="13"/>
    </row>
    <row r="907" spans="1:3" ht="13" x14ac:dyDescent="0.15">
      <c r="A907" s="10"/>
      <c r="B907" s="13"/>
      <c r="C907" s="13"/>
    </row>
    <row r="908" spans="1:3" ht="13" x14ac:dyDescent="0.15">
      <c r="A908" s="10"/>
      <c r="B908" s="13"/>
      <c r="C908" s="13"/>
    </row>
    <row r="909" spans="1:3" ht="13" x14ac:dyDescent="0.15">
      <c r="A909" s="10"/>
      <c r="B909" s="13"/>
      <c r="C909" s="13"/>
    </row>
    <row r="910" spans="1:3" ht="13" x14ac:dyDescent="0.15">
      <c r="A910" s="10"/>
      <c r="B910" s="13"/>
      <c r="C910" s="13"/>
    </row>
    <row r="911" spans="1:3" ht="13" x14ac:dyDescent="0.15">
      <c r="A911" s="10"/>
      <c r="B911" s="13"/>
      <c r="C911" s="13"/>
    </row>
    <row r="912" spans="1:3" ht="13" x14ac:dyDescent="0.15">
      <c r="A912" s="10"/>
      <c r="B912" s="13"/>
      <c r="C912" s="13"/>
    </row>
    <row r="913" spans="1:3" ht="13" x14ac:dyDescent="0.15">
      <c r="A913" s="10"/>
      <c r="B913" s="13"/>
      <c r="C913" s="13"/>
    </row>
    <row r="914" spans="1:3" ht="13" x14ac:dyDescent="0.15">
      <c r="A914" s="10"/>
      <c r="B914" s="13"/>
      <c r="C914" s="13"/>
    </row>
    <row r="915" spans="1:3" ht="13" x14ac:dyDescent="0.15">
      <c r="A915" s="10"/>
      <c r="B915" s="13"/>
      <c r="C915" s="13"/>
    </row>
    <row r="916" spans="1:3" ht="13" x14ac:dyDescent="0.15">
      <c r="A916" s="10"/>
      <c r="B916" s="13"/>
      <c r="C916" s="13"/>
    </row>
    <row r="917" spans="1:3" ht="13" x14ac:dyDescent="0.15">
      <c r="A917" s="10"/>
      <c r="B917" s="13"/>
      <c r="C917" s="13"/>
    </row>
    <row r="918" spans="1:3" ht="13" x14ac:dyDescent="0.15">
      <c r="A918" s="10"/>
      <c r="B918" s="13"/>
      <c r="C918" s="13"/>
    </row>
    <row r="919" spans="1:3" ht="13" x14ac:dyDescent="0.15">
      <c r="A919" s="10"/>
      <c r="B919" s="13"/>
      <c r="C919" s="13"/>
    </row>
    <row r="920" spans="1:3" ht="13" x14ac:dyDescent="0.15">
      <c r="A920" s="10"/>
      <c r="B920" s="13"/>
      <c r="C920" s="13"/>
    </row>
    <row r="921" spans="1:3" ht="13" x14ac:dyDescent="0.15">
      <c r="A921" s="10"/>
      <c r="B921" s="13"/>
      <c r="C921" s="13"/>
    </row>
    <row r="922" spans="1:3" ht="13" x14ac:dyDescent="0.15">
      <c r="A922" s="10"/>
      <c r="B922" s="13"/>
      <c r="C922" s="13"/>
    </row>
    <row r="923" spans="1:3" ht="13" x14ac:dyDescent="0.15">
      <c r="A923" s="10"/>
      <c r="B923" s="13"/>
      <c r="C923" s="13"/>
    </row>
    <row r="924" spans="1:3" ht="13" x14ac:dyDescent="0.15">
      <c r="A924" s="10"/>
      <c r="B924" s="13"/>
      <c r="C924" s="13"/>
    </row>
    <row r="925" spans="1:3" ht="13" x14ac:dyDescent="0.15">
      <c r="A925" s="10"/>
      <c r="B925" s="13"/>
      <c r="C925" s="13"/>
    </row>
    <row r="926" spans="1:3" ht="13" x14ac:dyDescent="0.15">
      <c r="A926" s="10"/>
      <c r="B926" s="13"/>
      <c r="C926" s="13"/>
    </row>
    <row r="927" spans="1:3" ht="13" x14ac:dyDescent="0.15">
      <c r="A927" s="10"/>
      <c r="B927" s="13"/>
      <c r="C927" s="13"/>
    </row>
    <row r="928" spans="1:3" ht="13" x14ac:dyDescent="0.15">
      <c r="A928" s="10"/>
      <c r="B928" s="13"/>
      <c r="C928" s="13"/>
    </row>
    <row r="929" spans="1:3" ht="13" x14ac:dyDescent="0.15">
      <c r="A929" s="10"/>
      <c r="B929" s="13"/>
      <c r="C929" s="13"/>
    </row>
    <row r="930" spans="1:3" ht="13" x14ac:dyDescent="0.15">
      <c r="A930" s="10"/>
      <c r="B930" s="13"/>
      <c r="C930" s="13"/>
    </row>
    <row r="931" spans="1:3" ht="13" x14ac:dyDescent="0.15">
      <c r="A931" s="10"/>
      <c r="B931" s="13"/>
      <c r="C931" s="13"/>
    </row>
    <row r="932" spans="1:3" ht="13" x14ac:dyDescent="0.15">
      <c r="A932" s="10"/>
      <c r="B932" s="13"/>
      <c r="C932" s="13"/>
    </row>
    <row r="933" spans="1:3" ht="13" x14ac:dyDescent="0.15">
      <c r="A933" s="10"/>
      <c r="B933" s="13"/>
      <c r="C933" s="13"/>
    </row>
    <row r="934" spans="1:3" ht="13" x14ac:dyDescent="0.15">
      <c r="A934" s="10"/>
      <c r="B934" s="13"/>
      <c r="C934" s="13"/>
    </row>
    <row r="935" spans="1:3" ht="13" x14ac:dyDescent="0.15">
      <c r="A935" s="10"/>
      <c r="B935" s="13"/>
      <c r="C935" s="13"/>
    </row>
    <row r="936" spans="1:3" ht="13" x14ac:dyDescent="0.15">
      <c r="A936" s="10"/>
      <c r="B936" s="13"/>
      <c r="C936" s="13"/>
    </row>
    <row r="937" spans="1:3" ht="13" x14ac:dyDescent="0.15">
      <c r="A937" s="10"/>
      <c r="B937" s="13"/>
      <c r="C937" s="13"/>
    </row>
    <row r="938" spans="1:3" ht="13" x14ac:dyDescent="0.15">
      <c r="A938" s="10"/>
      <c r="B938" s="13"/>
      <c r="C938" s="13"/>
    </row>
    <row r="939" spans="1:3" ht="13" x14ac:dyDescent="0.15">
      <c r="A939" s="10"/>
      <c r="B939" s="13"/>
      <c r="C939" s="13"/>
    </row>
    <row r="940" spans="1:3" ht="13" x14ac:dyDescent="0.15">
      <c r="A940" s="10"/>
      <c r="B940" s="13"/>
      <c r="C940" s="13"/>
    </row>
    <row r="941" spans="1:3" ht="13" x14ac:dyDescent="0.15">
      <c r="A941" s="10"/>
      <c r="B941" s="13"/>
      <c r="C941" s="13"/>
    </row>
    <row r="942" spans="1:3" ht="13" x14ac:dyDescent="0.15">
      <c r="A942" s="10"/>
      <c r="B942" s="13"/>
      <c r="C942" s="13"/>
    </row>
    <row r="943" spans="1:3" ht="13" x14ac:dyDescent="0.15">
      <c r="A943" s="10"/>
      <c r="B943" s="13"/>
      <c r="C943" s="13"/>
    </row>
    <row r="944" spans="1:3" ht="13" x14ac:dyDescent="0.15">
      <c r="A944" s="10"/>
      <c r="B944" s="13"/>
      <c r="C944" s="13"/>
    </row>
    <row r="945" spans="1:3" ht="13" x14ac:dyDescent="0.15">
      <c r="A945" s="10"/>
      <c r="B945" s="13"/>
      <c r="C945" s="13"/>
    </row>
    <row r="946" spans="1:3" ht="13" x14ac:dyDescent="0.15">
      <c r="A946" s="10"/>
      <c r="B946" s="13"/>
      <c r="C946" s="13"/>
    </row>
    <row r="947" spans="1:3" ht="13" x14ac:dyDescent="0.15">
      <c r="A947" s="10"/>
      <c r="B947" s="13"/>
      <c r="C947" s="13"/>
    </row>
    <row r="948" spans="1:3" ht="13" x14ac:dyDescent="0.15">
      <c r="A948" s="10"/>
      <c r="B948" s="13"/>
      <c r="C948" s="13"/>
    </row>
    <row r="949" spans="1:3" ht="13" x14ac:dyDescent="0.15">
      <c r="A949" s="10"/>
      <c r="B949" s="13"/>
      <c r="C949" s="13"/>
    </row>
    <row r="950" spans="1:3" ht="13" x14ac:dyDescent="0.15">
      <c r="A950" s="10"/>
      <c r="B950" s="13"/>
      <c r="C950" s="13"/>
    </row>
    <row r="951" spans="1:3" ht="13" x14ac:dyDescent="0.15">
      <c r="A951" s="10"/>
      <c r="B951" s="13"/>
      <c r="C951" s="13"/>
    </row>
    <row r="952" spans="1:3" ht="13" x14ac:dyDescent="0.15">
      <c r="A952" s="10"/>
      <c r="B952" s="13"/>
      <c r="C952" s="13"/>
    </row>
    <row r="953" spans="1:3" ht="13" x14ac:dyDescent="0.15">
      <c r="A953" s="10"/>
      <c r="B953" s="13"/>
      <c r="C953" s="13"/>
    </row>
    <row r="954" spans="1:3" ht="13" x14ac:dyDescent="0.15">
      <c r="A954" s="10"/>
      <c r="B954" s="13"/>
      <c r="C954" s="13"/>
    </row>
    <row r="955" spans="1:3" ht="13" x14ac:dyDescent="0.15">
      <c r="A955" s="10"/>
      <c r="B955" s="13"/>
      <c r="C955" s="13"/>
    </row>
    <row r="956" spans="1:3" ht="13" x14ac:dyDescent="0.15">
      <c r="A956" s="10"/>
      <c r="B956" s="13"/>
      <c r="C956" s="13"/>
    </row>
    <row r="957" spans="1:3" ht="13" x14ac:dyDescent="0.15">
      <c r="A957" s="10"/>
      <c r="B957" s="13"/>
      <c r="C957" s="13"/>
    </row>
    <row r="958" spans="1:3" ht="13" x14ac:dyDescent="0.15">
      <c r="A958" s="10"/>
      <c r="B958" s="13"/>
      <c r="C958" s="13"/>
    </row>
    <row r="959" spans="1:3" ht="13" x14ac:dyDescent="0.15">
      <c r="A959" s="10"/>
      <c r="B959" s="13"/>
      <c r="C959" s="13"/>
    </row>
    <row r="960" spans="1:3" ht="13" x14ac:dyDescent="0.15">
      <c r="A960" s="10"/>
      <c r="B960" s="13"/>
      <c r="C960" s="13"/>
    </row>
    <row r="961" spans="1:3" ht="13" x14ac:dyDescent="0.15">
      <c r="A961" s="10"/>
      <c r="B961" s="13"/>
      <c r="C961" s="13"/>
    </row>
    <row r="962" spans="1:3" ht="13" x14ac:dyDescent="0.15">
      <c r="A962" s="10"/>
      <c r="B962" s="13"/>
      <c r="C962" s="13"/>
    </row>
    <row r="963" spans="1:3" ht="13" x14ac:dyDescent="0.15">
      <c r="A963" s="10"/>
      <c r="B963" s="13"/>
      <c r="C963" s="13"/>
    </row>
    <row r="964" spans="1:3" ht="13" x14ac:dyDescent="0.15">
      <c r="A964" s="10"/>
      <c r="B964" s="13"/>
      <c r="C964" s="13"/>
    </row>
    <row r="965" spans="1:3" ht="13" x14ac:dyDescent="0.15">
      <c r="A965" s="10"/>
      <c r="B965" s="13"/>
      <c r="C965" s="13"/>
    </row>
    <row r="966" spans="1:3" ht="13" x14ac:dyDescent="0.15">
      <c r="A966" s="10"/>
      <c r="B966" s="13"/>
      <c r="C966" s="13"/>
    </row>
    <row r="967" spans="1:3" ht="13" x14ac:dyDescent="0.15">
      <c r="A967" s="10"/>
      <c r="B967" s="13"/>
      <c r="C967" s="13"/>
    </row>
    <row r="968" spans="1:3" ht="13" x14ac:dyDescent="0.15">
      <c r="A968" s="10"/>
      <c r="B968" s="13"/>
      <c r="C968" s="13"/>
    </row>
    <row r="969" spans="1:3" ht="13" x14ac:dyDescent="0.15">
      <c r="A969" s="10"/>
      <c r="B969" s="13"/>
      <c r="C969" s="13"/>
    </row>
    <row r="970" spans="1:3" ht="13" x14ac:dyDescent="0.15">
      <c r="A970" s="10"/>
      <c r="B970" s="13"/>
      <c r="C970" s="13"/>
    </row>
    <row r="971" spans="1:3" ht="13" x14ac:dyDescent="0.15">
      <c r="A971" s="10"/>
      <c r="B971" s="13"/>
      <c r="C971" s="13"/>
    </row>
    <row r="972" spans="1:3" ht="13" x14ac:dyDescent="0.15">
      <c r="A972" s="10"/>
      <c r="B972" s="13"/>
      <c r="C972" s="13"/>
    </row>
    <row r="973" spans="1:3" ht="13" x14ac:dyDescent="0.15">
      <c r="A973" s="10"/>
      <c r="B973" s="13"/>
      <c r="C973" s="13"/>
    </row>
    <row r="974" spans="1:3" ht="13" x14ac:dyDescent="0.15">
      <c r="A974" s="10"/>
      <c r="B974" s="13"/>
      <c r="C974" s="13"/>
    </row>
    <row r="975" spans="1:3" ht="13" x14ac:dyDescent="0.15">
      <c r="A975" s="10"/>
      <c r="B975" s="13"/>
      <c r="C975" s="13"/>
    </row>
    <row r="976" spans="1:3" ht="13" x14ac:dyDescent="0.15">
      <c r="A976" s="10"/>
      <c r="B976" s="13"/>
      <c r="C976" s="13"/>
    </row>
    <row r="977" spans="1:3" ht="13" x14ac:dyDescent="0.15">
      <c r="A977" s="10"/>
      <c r="B977" s="13"/>
      <c r="C977" s="13"/>
    </row>
    <row r="978" spans="1:3" ht="13" x14ac:dyDescent="0.15">
      <c r="A978" s="10"/>
      <c r="B978" s="13"/>
      <c r="C978" s="13"/>
    </row>
    <row r="979" spans="1:3" ht="13" x14ac:dyDescent="0.15">
      <c r="A979" s="10"/>
      <c r="B979" s="13"/>
      <c r="C979" s="13"/>
    </row>
    <row r="980" spans="1:3" ht="13" x14ac:dyDescent="0.15">
      <c r="A980" s="10"/>
      <c r="B980" s="13"/>
      <c r="C980" s="13"/>
    </row>
    <row r="981" spans="1:3" ht="13" x14ac:dyDescent="0.15">
      <c r="A981" s="10"/>
      <c r="B981" s="13"/>
      <c r="C981" s="13"/>
    </row>
    <row r="982" spans="1:3" ht="13" x14ac:dyDescent="0.15">
      <c r="A982" s="10"/>
      <c r="B982" s="13"/>
      <c r="C982" s="13"/>
    </row>
    <row r="983" spans="1:3" ht="13" x14ac:dyDescent="0.15">
      <c r="A983" s="10"/>
      <c r="B983" s="13"/>
      <c r="C983" s="13"/>
    </row>
    <row r="984" spans="1:3" ht="13" x14ac:dyDescent="0.15">
      <c r="A984" s="10"/>
      <c r="B984" s="13"/>
      <c r="C984" s="13"/>
    </row>
    <row r="985" spans="1:3" ht="13" x14ac:dyDescent="0.15">
      <c r="A985" s="10"/>
      <c r="B985" s="13"/>
      <c r="C985" s="13"/>
    </row>
    <row r="986" spans="1:3" ht="13" x14ac:dyDescent="0.15">
      <c r="A986" s="10"/>
      <c r="B986" s="13"/>
      <c r="C986" s="13"/>
    </row>
    <row r="987" spans="1:3" ht="13" x14ac:dyDescent="0.15">
      <c r="A987" s="10"/>
      <c r="B987" s="13"/>
      <c r="C987" s="13"/>
    </row>
    <row r="988" spans="1:3" ht="13" x14ac:dyDescent="0.15">
      <c r="A988" s="10"/>
      <c r="B988" s="13"/>
      <c r="C988" s="13"/>
    </row>
    <row r="989" spans="1:3" ht="13" x14ac:dyDescent="0.15">
      <c r="A989" s="10"/>
      <c r="B989" s="13"/>
      <c r="C989" s="13"/>
    </row>
    <row r="990" spans="1:3" ht="13" x14ac:dyDescent="0.15">
      <c r="A990" s="10"/>
      <c r="B990" s="13"/>
      <c r="C990" s="13"/>
    </row>
    <row r="991" spans="1:3" ht="13" x14ac:dyDescent="0.15">
      <c r="A991" s="10"/>
      <c r="B991" s="13"/>
      <c r="C991" s="13"/>
    </row>
    <row r="992" spans="1:3" ht="13" x14ac:dyDescent="0.15">
      <c r="A992" s="10"/>
      <c r="B992" s="13"/>
      <c r="C992" s="13"/>
    </row>
    <row r="993" spans="1:3" ht="13" x14ac:dyDescent="0.15">
      <c r="A993" s="10"/>
      <c r="B993" s="13"/>
      <c r="C993" s="13"/>
    </row>
    <row r="994" spans="1:3" ht="13" x14ac:dyDescent="0.15">
      <c r="A994" s="10"/>
      <c r="B994" s="13"/>
      <c r="C994" s="13"/>
    </row>
    <row r="995" spans="1:3" ht="13" x14ac:dyDescent="0.15">
      <c r="A995" s="10"/>
      <c r="B995" s="13"/>
      <c r="C995" s="13"/>
    </row>
    <row r="996" spans="1:3" ht="13" x14ac:dyDescent="0.15">
      <c r="A996" s="10"/>
      <c r="B996" s="13"/>
      <c r="C996" s="13"/>
    </row>
    <row r="997" spans="1:3" ht="13" x14ac:dyDescent="0.15">
      <c r="A997" s="10"/>
      <c r="B997" s="13"/>
      <c r="C997" s="13"/>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outlinePr summaryBelow="0" summaryRight="0"/>
  </sheetPr>
  <dimension ref="A1:D997"/>
  <sheetViews>
    <sheetView workbookViewId="0"/>
  </sheetViews>
  <sheetFormatPr baseColWidth="10" defaultColWidth="12.6640625" defaultRowHeight="15.75" customHeight="1" x14ac:dyDescent="0.15"/>
  <cols>
    <col min="1" max="1" width="71.5" customWidth="1"/>
    <col min="2" max="4" width="37.6640625" customWidth="1"/>
  </cols>
  <sheetData>
    <row r="1" spans="1:4" x14ac:dyDescent="0.2">
      <c r="A1" s="1"/>
      <c r="B1" s="22" t="str">
        <f ca="1">IFERROR(__xludf.DUMMYFUNCTION("IMPORTRANGE(""https://docs.google.com/spreadsheets/u/0/d/1sbndBsfP-ncTtF1jluZBfKAuQh8_1k-En4z9g6Xyks0"", ""A21!B1:B22"")"),"Josh Ladner")</f>
        <v>Josh Ladner</v>
      </c>
      <c r="C1" s="10" t="str">
        <f ca="1">IFERROR(__xludf.DUMMYFUNCTION("IMPORTRANGE(""https://docs.google.com/spreadsheets/u/0/d/1tjgC5crHxYL6PIwdjQvl-Lz18xb2WRifl2-5aQ8KGT8"", ""A21!B1:B22"")"),"Jake Stafford")</f>
        <v>Jake Stafford</v>
      </c>
      <c r="D1" s="2" t="s">
        <v>1</v>
      </c>
    </row>
    <row r="2" spans="1:4" ht="15.75" customHeight="1" x14ac:dyDescent="0.15">
      <c r="A2" s="3" t="s">
        <v>2</v>
      </c>
      <c r="B2" s="15" t="str">
        <f ca="1">IFERROR(__xludf.DUMMYFUNCTION("""COMPUTED_VALUE"""),"15,403-15786 Forward")</f>
        <v>15,403-15786 Forward</v>
      </c>
      <c r="C2" s="15" t="str">
        <f ca="1">IFERROR(__xludf.DUMMYFUNCTION("""COMPUTED_VALUE"""),"Start: 15403 Stop: 15786 Forward")</f>
        <v>Start: 15403 Stop: 15786 Forward</v>
      </c>
      <c r="D2" s="4"/>
    </row>
    <row r="3" spans="1:4" ht="15.75" customHeight="1" x14ac:dyDescent="0.15">
      <c r="A3" s="5" t="s">
        <v>3</v>
      </c>
      <c r="B3" s="17" t="str">
        <f ca="1">IFERROR(__xludf.DUMMYFUNCTION("""COMPUTED_VALUE"""),"All:21")</f>
        <v>All:21</v>
      </c>
      <c r="C3" s="17" t="str">
        <f ca="1">IFERROR(__xludf.DUMMYFUNCTION("""COMPUTED_VALUE"""),"21 in Pham, 21 in DNAM")</f>
        <v>21 in Pham, 21 in DNAM</v>
      </c>
      <c r="D3" s="6"/>
    </row>
    <row r="4" spans="1:4" ht="15.75" customHeight="1" x14ac:dyDescent="0.15">
      <c r="A4" s="5" t="s">
        <v>4</v>
      </c>
      <c r="B4" s="17" t="str">
        <f ca="1">IFERROR(__xludf.DUMMYFUNCTION("""COMPUTED_VALUE"""),"198188 3/5/25")</f>
        <v>198188 3/5/25</v>
      </c>
      <c r="C4" s="17" t="str">
        <f ca="1">IFERROR(__xludf.DUMMYFUNCTION("""COMPUTED_VALUE"""),"Pham# 198188 3/5/25")</f>
        <v>Pham# 198188 3/5/25</v>
      </c>
      <c r="D4" s="6"/>
    </row>
    <row r="5" spans="1:4" ht="15.75" customHeight="1" x14ac:dyDescent="0.15">
      <c r="A5" s="5" t="s">
        <v>5</v>
      </c>
      <c r="B5" s="17" t="str">
        <f ca="1">IFERROR(__xludf.DUMMYFUNCTION("""COMPUTED_VALUE"""),"Abba_CDS_27; Altadena_CDS_58; Amela_CDS_4")</f>
        <v>Abba_CDS_27; Altadena_CDS_58; Amela_CDS_4</v>
      </c>
      <c r="C5" s="17" t="str">
        <f ca="1">IFERROR(__xludf.DUMMYFUNCTION("""COMPUTED_VALUE"""),"Kovu_22, Abba_27")</f>
        <v>Kovu_22, Abba_27</v>
      </c>
      <c r="D5" s="6"/>
    </row>
    <row r="6" spans="1:4" ht="15.75" customHeight="1" x14ac:dyDescent="0.15">
      <c r="A6" s="5" t="s">
        <v>6</v>
      </c>
      <c r="B6" s="17" t="str">
        <f ca="1">IFERROR(__xludf.DUMMYFUNCTION("""COMPUTED_VALUE"""),"Yes, both support")</f>
        <v>Yes, both support</v>
      </c>
      <c r="C6" s="17" t="str">
        <f ca="1">IFERROR(__xludf.DUMMYFUNCTION("""COMPUTED_VALUE"""),"Glimmer called 15403, Genemark called at 15394")</f>
        <v>Glimmer called 15403, Genemark called at 15394</v>
      </c>
      <c r="D6" s="6"/>
    </row>
    <row r="7" spans="1:4" ht="15.75" customHeight="1" x14ac:dyDescent="0.15">
      <c r="A7" s="5" t="s">
        <v>7</v>
      </c>
      <c r="B7" s="17"/>
      <c r="C7" s="17" t="str">
        <f ca="1">IFERROR(__xludf.DUMMYFUNCTION("""COMPUTED_VALUE"""),"Does have coding potential, all is included with this start")</f>
        <v>Does have coding potential, all is included with this start</v>
      </c>
      <c r="D7" s="6"/>
    </row>
    <row r="8" spans="1:4" ht="15.75" customHeight="1" x14ac:dyDescent="0.15">
      <c r="A8" s="5" t="s">
        <v>8</v>
      </c>
      <c r="B8" s="17"/>
      <c r="C8" s="17" t="str">
        <f ca="1">IFERROR(__xludf.DUMMYFUNCTION("""COMPUTED_VALUE"""),"No, has a start before the start being used.")</f>
        <v>No, has a start before the start being used.</v>
      </c>
      <c r="D8" s="6"/>
    </row>
    <row r="9" spans="1:4" ht="15.75" customHeight="1" x14ac:dyDescent="0.15">
      <c r="A9" s="5" t="s">
        <v>9</v>
      </c>
      <c r="B9" s="17"/>
      <c r="C9" s="17" t="str">
        <f ca="1">IFERROR(__xludf.DUMMYFUNCTION("""COMPUTED_VALUE"""),"Small overlap with previous gene")</f>
        <v>Small overlap with previous gene</v>
      </c>
      <c r="D9" s="6"/>
    </row>
    <row r="10" spans="1:4" ht="15.75" customHeight="1" x14ac:dyDescent="0.15">
      <c r="A10" s="5" t="s">
        <v>10</v>
      </c>
      <c r="B10" s="17"/>
      <c r="C10" s="17" t="str">
        <f ca="1">IFERROR(__xludf.DUMMYFUNCTION("""COMPUTED_VALUE"""),"start #2 z-score:1.945 F-score: -4.76, start#3 z-score: 1.667 F-score: -6.823, start#4 z-score: 2.420 S-score: -3.687")</f>
        <v>start #2 z-score:1.945 F-score: -4.76, start#3 z-score: 1.667 F-score: -6.823, start#4 z-score: 2.420 S-score: -3.687</v>
      </c>
      <c r="D10" s="6"/>
    </row>
    <row r="11" spans="1:4" ht="15.75" customHeight="1" x14ac:dyDescent="0.15">
      <c r="A11" s="5" t="s">
        <v>11</v>
      </c>
      <c r="B11" s="17"/>
      <c r="C11" s="17" t="str">
        <f ca="1">IFERROR(__xludf.DUMMYFUNCTION("""COMPUTED_VALUE"""),"Kovu_22, 74.8%, e-val:3e-57")</f>
        <v>Kovu_22, 74.8%, e-val:3e-57</v>
      </c>
      <c r="D11" s="6"/>
    </row>
    <row r="12" spans="1:4" ht="15.75" customHeight="1" x14ac:dyDescent="0.15">
      <c r="A12" s="5" t="s">
        <v>12</v>
      </c>
      <c r="B12" s="17"/>
      <c r="C12" s="17" t="str">
        <f ca="1">IFERROR(__xludf.DUMMYFUNCTION("""COMPUTED_VALUE"""),"No, 15/48, called 93.3% of the time when present")</f>
        <v>No, 15/48, called 93.3% of the time when present</v>
      </c>
      <c r="D12" s="6"/>
    </row>
    <row r="13" spans="1:4" ht="15.75" customHeight="1" x14ac:dyDescent="0.15">
      <c r="A13" s="5" t="s">
        <v>13</v>
      </c>
      <c r="B13" s="17"/>
      <c r="C13" s="17" t="str">
        <f ca="1">IFERROR(__xludf.DUMMYFUNCTION("""COMPUTED_VALUE"""),"Yes, poor z-scores, poor starterator score.")</f>
        <v>Yes, poor z-scores, poor starterator score.</v>
      </c>
      <c r="D13" s="6"/>
    </row>
    <row r="14" spans="1:4" ht="15.75" customHeight="1" x14ac:dyDescent="0.15">
      <c r="A14" s="5" t="s">
        <v>14</v>
      </c>
      <c r="B14" s="17"/>
      <c r="C14" s="17" t="str">
        <f ca="1">IFERROR(__xludf.DUMMYFUNCTION("""COMPUTED_VALUE"""),"Kovu_22, 1e-48, Altadena_48, 9e-24")</f>
        <v>Kovu_22, 1e-48, Altadena_48, 9e-24</v>
      </c>
      <c r="D14" s="6"/>
    </row>
    <row r="15" spans="1:4" ht="15.75" customHeight="1" x14ac:dyDescent="0.15">
      <c r="A15" s="5" t="s">
        <v>15</v>
      </c>
      <c r="B15" s="17"/>
      <c r="C15" s="17" t="str">
        <f ca="1">IFERROR(__xludf.DUMMYFUNCTION("""COMPUTED_VALUE"""),"Kovu_22 nuclease, Altadena_48 nuclease")</f>
        <v>Kovu_22 nuclease, Altadena_48 nuclease</v>
      </c>
      <c r="D15" s="6"/>
    </row>
    <row r="16" spans="1:4" ht="15.75" customHeight="1" x14ac:dyDescent="0.15">
      <c r="A16" s="5" t="s">
        <v>16</v>
      </c>
      <c r="B16" s="17"/>
      <c r="C16" s="17" t="str">
        <f ca="1">IFERROR(__xludf.DUMMYFUNCTION("""COMPUTED_VALUE"""),"Yes, similar colors, sizes and arrangement of genes. 21 in ApoKipo, 22 in Kovu ")</f>
        <v xml:space="preserve">Yes, similar colors, sizes and arrangement of genes. 21 in ApoKipo, 22 in Kovu </v>
      </c>
      <c r="D16" s="6"/>
    </row>
    <row r="17" spans="1:4" ht="15.75" customHeight="1" x14ac:dyDescent="0.15">
      <c r="A17" s="5" t="s">
        <v>17</v>
      </c>
      <c r="B17" s="17"/>
      <c r="C17" s="17" t="str">
        <f ca="1">IFERROR(__xludf.DUMMYFUNCTION("""COMPUTED_VALUE"""),"Thermonuclease; HYDROLASE, Calcium, Endonuclease, Membrane, Metal-binding, Nuclease, Secreted, Zymogen; NMR {Staphylococcus aureus} SCOP: b.40.1.1, prob: 99.27%, allQ: 78.7%, allT: 82.6%. Functional domain of the target is part of the alignment")</f>
        <v>Thermonuclease; HYDROLASE, Calcium, Endonuclease, Membrane, Metal-binding, Nuclease, Secreted, Zymogen; NMR {Staphylococcus aureus} SCOP: b.40.1.1, prob: 99.27%, allQ: 78.7%, allT: 82.6%. Functional domain of the target is part of the alignment</v>
      </c>
      <c r="D17" s="6"/>
    </row>
    <row r="18" spans="1:4" ht="15.75" customHeight="1" x14ac:dyDescent="0.15">
      <c r="A18" s="5" t="s">
        <v>18</v>
      </c>
      <c r="B18" s="17"/>
      <c r="C18" s="17" t="str">
        <f ca="1">IFERROR(__xludf.DUMMYFUNCTION("""COMPUTED_VALUE"""),"conserved domains, SNc, SNase...")</f>
        <v>conserved domains, SNc, SNase...</v>
      </c>
      <c r="D18" s="6"/>
    </row>
    <row r="19" spans="1:4" ht="15.75" customHeight="1" x14ac:dyDescent="0.15">
      <c r="A19" s="5" t="s">
        <v>19</v>
      </c>
      <c r="B19" s="17"/>
      <c r="C19" s="17" t="str">
        <f ca="1">IFERROR(__xludf.DUMMYFUNCTION("""COMPUTED_VALUE"""),"None")</f>
        <v>None</v>
      </c>
      <c r="D19" s="6"/>
    </row>
    <row r="20" spans="1:4" ht="15.75" customHeight="1" x14ac:dyDescent="0.15">
      <c r="A20" s="5" t="s">
        <v>20</v>
      </c>
      <c r="B20" s="17"/>
      <c r="C20" s="17" t="str">
        <f ca="1">IFERROR(__xludf.DUMMYFUNCTION("""COMPUTED_VALUE"""),"nuclease, homologous genes share common function, most likely function found in HHpred is also a nuclease.")</f>
        <v>nuclease, homologous genes share common function, most likely function found in HHpred is also a nuclease.</v>
      </c>
      <c r="D20" s="6"/>
    </row>
    <row r="21" spans="1:4" x14ac:dyDescent="0.2">
      <c r="A21" s="7"/>
      <c r="B21" s="19"/>
      <c r="C21" s="19"/>
      <c r="D21" s="8"/>
    </row>
    <row r="22" spans="1:4" ht="15.75" customHeight="1" x14ac:dyDescent="0.15">
      <c r="A22" s="9" t="s">
        <v>21</v>
      </c>
      <c r="B22" s="19"/>
      <c r="C22" s="19" t="str">
        <f ca="1">IFERROR(__xludf.DUMMYFUNCTION("""COMPUTED_VALUE"""),"Need to look at this one again, ")</f>
        <v xml:space="preserve">Need to look at this one again, </v>
      </c>
      <c r="D22" s="8"/>
    </row>
    <row r="23" spans="1:4" ht="15.75" customHeight="1" x14ac:dyDescent="0.15">
      <c r="A23" s="10"/>
      <c r="B23" s="13"/>
      <c r="C23" s="13"/>
    </row>
    <row r="24" spans="1:4" ht="15.75" customHeight="1" x14ac:dyDescent="0.15">
      <c r="A24" s="10"/>
      <c r="B24" s="13"/>
      <c r="C24" s="13"/>
    </row>
    <row r="25" spans="1:4" ht="15.75" customHeight="1" x14ac:dyDescent="0.15">
      <c r="A25" s="10"/>
      <c r="B25" s="13"/>
      <c r="C25" s="13"/>
    </row>
    <row r="26" spans="1:4" ht="15.75" customHeight="1" x14ac:dyDescent="0.15">
      <c r="A26" s="10"/>
      <c r="B26" s="13"/>
      <c r="C26" s="13"/>
    </row>
    <row r="27" spans="1:4" ht="15.75" customHeight="1" x14ac:dyDescent="0.15">
      <c r="A27" s="10"/>
      <c r="B27" s="13"/>
      <c r="C27" s="13"/>
    </row>
    <row r="28" spans="1:4" ht="15.75" customHeight="1" x14ac:dyDescent="0.15">
      <c r="A28" s="10"/>
      <c r="B28" s="13"/>
      <c r="C28" s="13"/>
    </row>
    <row r="29" spans="1:4" ht="15.75" customHeight="1" x14ac:dyDescent="0.15">
      <c r="A29" s="10"/>
      <c r="B29" s="13"/>
      <c r="C29" s="13"/>
    </row>
    <row r="30" spans="1:4" ht="15.75" customHeight="1" x14ac:dyDescent="0.15">
      <c r="A30" s="10"/>
      <c r="B30" s="13"/>
      <c r="C30" s="13"/>
    </row>
    <row r="31" spans="1:4" ht="15.75" customHeight="1" x14ac:dyDescent="0.15">
      <c r="A31" s="10"/>
      <c r="B31" s="13"/>
      <c r="C31" s="13"/>
    </row>
    <row r="32" spans="1:4" ht="15.75" customHeight="1" x14ac:dyDescent="0.15">
      <c r="A32" s="10"/>
      <c r="B32" s="13"/>
      <c r="C32" s="13"/>
    </row>
    <row r="33" spans="1:3" ht="15.75" customHeight="1" x14ac:dyDescent="0.15">
      <c r="A33" s="10"/>
      <c r="B33" s="13"/>
      <c r="C33" s="13"/>
    </row>
    <row r="34" spans="1:3" ht="15.75" customHeight="1" x14ac:dyDescent="0.15">
      <c r="A34" s="10"/>
      <c r="B34" s="13"/>
      <c r="C34" s="13"/>
    </row>
    <row r="35" spans="1:3" ht="15.75" customHeight="1" x14ac:dyDescent="0.15">
      <c r="A35" s="10"/>
      <c r="B35" s="13"/>
      <c r="C35" s="13"/>
    </row>
    <row r="36" spans="1:3" ht="15.75" customHeight="1" x14ac:dyDescent="0.15">
      <c r="A36" s="10"/>
      <c r="B36" s="13"/>
      <c r="C36" s="13"/>
    </row>
    <row r="37" spans="1:3" ht="15.75" customHeight="1" x14ac:dyDescent="0.15">
      <c r="A37" s="10"/>
      <c r="B37" s="13"/>
      <c r="C37" s="13"/>
    </row>
    <row r="38" spans="1:3" ht="15.75" customHeight="1" x14ac:dyDescent="0.15">
      <c r="A38" s="10"/>
      <c r="B38" s="13"/>
      <c r="C38" s="13"/>
    </row>
    <row r="39" spans="1:3" ht="13" x14ac:dyDescent="0.15">
      <c r="A39" s="10"/>
      <c r="B39" s="13"/>
      <c r="C39" s="13"/>
    </row>
    <row r="40" spans="1:3" ht="13" x14ac:dyDescent="0.15">
      <c r="A40" s="10"/>
      <c r="B40" s="13"/>
      <c r="C40" s="13"/>
    </row>
    <row r="41" spans="1:3" ht="13" x14ac:dyDescent="0.15">
      <c r="A41" s="10"/>
      <c r="B41" s="13"/>
      <c r="C41" s="13"/>
    </row>
    <row r="42" spans="1:3" ht="13" x14ac:dyDescent="0.15">
      <c r="A42" s="10"/>
      <c r="B42" s="13"/>
      <c r="C42" s="13"/>
    </row>
    <row r="43" spans="1:3" ht="13" x14ac:dyDescent="0.15">
      <c r="A43" s="10"/>
      <c r="B43" s="13"/>
      <c r="C43" s="13"/>
    </row>
    <row r="44" spans="1:3" ht="13" x14ac:dyDescent="0.15">
      <c r="A44" s="10"/>
      <c r="B44" s="13"/>
      <c r="C44" s="13"/>
    </row>
    <row r="45" spans="1:3" ht="13" x14ac:dyDescent="0.15">
      <c r="A45" s="10"/>
      <c r="B45" s="13"/>
      <c r="C45" s="13"/>
    </row>
    <row r="46" spans="1:3" ht="13" x14ac:dyDescent="0.15">
      <c r="A46" s="10"/>
      <c r="B46" s="13"/>
      <c r="C46" s="13"/>
    </row>
    <row r="47" spans="1:3" ht="13" x14ac:dyDescent="0.15">
      <c r="A47" s="10"/>
      <c r="B47" s="13"/>
      <c r="C47" s="13"/>
    </row>
    <row r="48" spans="1:3" ht="13" x14ac:dyDescent="0.15">
      <c r="A48" s="10"/>
      <c r="B48" s="13"/>
      <c r="C48" s="13"/>
    </row>
    <row r="49" spans="1:3" ht="13" x14ac:dyDescent="0.15">
      <c r="A49" s="10"/>
      <c r="B49" s="13"/>
      <c r="C49" s="13"/>
    </row>
    <row r="50" spans="1:3" ht="13" x14ac:dyDescent="0.15">
      <c r="A50" s="10"/>
      <c r="B50" s="13"/>
      <c r="C50" s="13"/>
    </row>
    <row r="51" spans="1:3" ht="13" x14ac:dyDescent="0.15">
      <c r="A51" s="10"/>
      <c r="B51" s="13"/>
      <c r="C51" s="13"/>
    </row>
    <row r="52" spans="1:3" ht="13" x14ac:dyDescent="0.15">
      <c r="A52" s="10"/>
      <c r="B52" s="13"/>
      <c r="C52" s="13"/>
    </row>
    <row r="53" spans="1:3" ht="13" x14ac:dyDescent="0.15">
      <c r="A53" s="10"/>
      <c r="B53" s="13"/>
      <c r="C53" s="13"/>
    </row>
    <row r="54" spans="1:3" ht="13" x14ac:dyDescent="0.15">
      <c r="A54" s="10"/>
      <c r="B54" s="13"/>
      <c r="C54" s="13"/>
    </row>
    <row r="55" spans="1:3" ht="13" x14ac:dyDescent="0.15">
      <c r="A55" s="10"/>
      <c r="B55" s="13"/>
      <c r="C55" s="13"/>
    </row>
    <row r="56" spans="1:3" ht="13" x14ac:dyDescent="0.15">
      <c r="A56" s="10"/>
      <c r="B56" s="13"/>
      <c r="C56" s="13"/>
    </row>
    <row r="57" spans="1:3" ht="13" x14ac:dyDescent="0.15">
      <c r="A57" s="10"/>
      <c r="B57" s="13"/>
      <c r="C57" s="13"/>
    </row>
    <row r="58" spans="1:3" ht="13" x14ac:dyDescent="0.15">
      <c r="A58" s="10"/>
      <c r="B58" s="13"/>
      <c r="C58" s="13"/>
    </row>
    <row r="59" spans="1:3" ht="13" x14ac:dyDescent="0.15">
      <c r="A59" s="10"/>
      <c r="B59" s="13"/>
      <c r="C59" s="13"/>
    </row>
    <row r="60" spans="1:3" ht="13" x14ac:dyDescent="0.15">
      <c r="A60" s="10"/>
      <c r="B60" s="13"/>
      <c r="C60" s="13"/>
    </row>
    <row r="61" spans="1:3" ht="13" x14ac:dyDescent="0.15">
      <c r="A61" s="10"/>
      <c r="B61" s="13"/>
      <c r="C61" s="13"/>
    </row>
    <row r="62" spans="1:3" ht="13" x14ac:dyDescent="0.15">
      <c r="A62" s="10"/>
      <c r="B62" s="13"/>
      <c r="C62" s="13"/>
    </row>
    <row r="63" spans="1:3" ht="13" x14ac:dyDescent="0.15">
      <c r="A63" s="10"/>
      <c r="B63" s="13"/>
      <c r="C63" s="13"/>
    </row>
    <row r="64" spans="1:3" ht="13" x14ac:dyDescent="0.15">
      <c r="A64" s="10"/>
      <c r="B64" s="13"/>
      <c r="C64" s="13"/>
    </row>
    <row r="65" spans="1:3" ht="13" x14ac:dyDescent="0.15">
      <c r="A65" s="10"/>
      <c r="B65" s="13"/>
      <c r="C65" s="13"/>
    </row>
    <row r="66" spans="1:3" ht="13" x14ac:dyDescent="0.15">
      <c r="A66" s="10"/>
      <c r="B66" s="13"/>
      <c r="C66" s="13"/>
    </row>
    <row r="67" spans="1:3" ht="13" x14ac:dyDescent="0.15">
      <c r="A67" s="10"/>
      <c r="B67" s="13"/>
      <c r="C67" s="13"/>
    </row>
    <row r="68" spans="1:3" ht="13" x14ac:dyDescent="0.15">
      <c r="A68" s="10"/>
      <c r="B68" s="13"/>
      <c r="C68" s="13"/>
    </row>
    <row r="69" spans="1:3" ht="13" x14ac:dyDescent="0.15">
      <c r="A69" s="10"/>
      <c r="B69" s="13"/>
      <c r="C69" s="13"/>
    </row>
    <row r="70" spans="1:3" ht="13" x14ac:dyDescent="0.15">
      <c r="A70" s="10"/>
      <c r="B70" s="13"/>
      <c r="C70" s="13"/>
    </row>
    <row r="71" spans="1:3" ht="13" x14ac:dyDescent="0.15">
      <c r="A71" s="10"/>
      <c r="B71" s="13"/>
      <c r="C71" s="13"/>
    </row>
    <row r="72" spans="1:3" ht="13" x14ac:dyDescent="0.15">
      <c r="A72" s="10"/>
      <c r="B72" s="13"/>
      <c r="C72" s="13"/>
    </row>
    <row r="73" spans="1:3" ht="13" x14ac:dyDescent="0.15">
      <c r="A73" s="10"/>
      <c r="B73" s="13"/>
      <c r="C73" s="13"/>
    </row>
    <row r="74" spans="1:3" ht="13" x14ac:dyDescent="0.15">
      <c r="A74" s="10"/>
      <c r="B74" s="13"/>
      <c r="C74" s="13"/>
    </row>
    <row r="75" spans="1:3" ht="13" x14ac:dyDescent="0.15">
      <c r="A75" s="10"/>
      <c r="B75" s="13"/>
      <c r="C75" s="13"/>
    </row>
    <row r="76" spans="1:3" ht="13" x14ac:dyDescent="0.15">
      <c r="A76" s="10"/>
      <c r="B76" s="13"/>
      <c r="C76" s="13"/>
    </row>
    <row r="77" spans="1:3" ht="13" x14ac:dyDescent="0.15">
      <c r="A77" s="10"/>
      <c r="B77" s="13"/>
      <c r="C77" s="13"/>
    </row>
    <row r="78" spans="1:3" ht="13" x14ac:dyDescent="0.15">
      <c r="A78" s="10"/>
      <c r="B78" s="13"/>
      <c r="C78" s="13"/>
    </row>
    <row r="79" spans="1:3" ht="13" x14ac:dyDescent="0.15">
      <c r="A79" s="10"/>
      <c r="B79" s="13"/>
      <c r="C79" s="13"/>
    </row>
    <row r="80" spans="1:3" ht="13" x14ac:dyDescent="0.15">
      <c r="A80" s="10"/>
      <c r="B80" s="13"/>
      <c r="C80" s="13"/>
    </row>
    <row r="81" spans="1:3" ht="13" x14ac:dyDescent="0.15">
      <c r="A81" s="10"/>
      <c r="B81" s="13"/>
      <c r="C81" s="13"/>
    </row>
    <row r="82" spans="1:3" ht="13" x14ac:dyDescent="0.15">
      <c r="A82" s="10"/>
      <c r="B82" s="13"/>
      <c r="C82" s="13"/>
    </row>
    <row r="83" spans="1:3" ht="13" x14ac:dyDescent="0.15">
      <c r="A83" s="10"/>
      <c r="B83" s="13"/>
      <c r="C83" s="13"/>
    </row>
    <row r="84" spans="1:3" ht="13" x14ac:dyDescent="0.15">
      <c r="A84" s="10"/>
      <c r="B84" s="13"/>
      <c r="C84" s="13"/>
    </row>
    <row r="85" spans="1:3" ht="13" x14ac:dyDescent="0.15">
      <c r="A85" s="10"/>
      <c r="B85" s="13"/>
      <c r="C85" s="13"/>
    </row>
    <row r="86" spans="1:3" ht="13" x14ac:dyDescent="0.15">
      <c r="A86" s="10"/>
      <c r="B86" s="13"/>
      <c r="C86" s="13"/>
    </row>
    <row r="87" spans="1:3" ht="13" x14ac:dyDescent="0.15">
      <c r="A87" s="10"/>
      <c r="B87" s="13"/>
      <c r="C87" s="13"/>
    </row>
    <row r="88" spans="1:3" ht="13" x14ac:dyDescent="0.15">
      <c r="A88" s="10"/>
      <c r="B88" s="13"/>
      <c r="C88" s="13"/>
    </row>
    <row r="89" spans="1:3" ht="13" x14ac:dyDescent="0.15">
      <c r="A89" s="10"/>
      <c r="B89" s="13"/>
      <c r="C89" s="13"/>
    </row>
    <row r="90" spans="1:3" ht="13" x14ac:dyDescent="0.15">
      <c r="A90" s="10"/>
      <c r="B90" s="13"/>
      <c r="C90" s="13"/>
    </row>
    <row r="91" spans="1:3" ht="13" x14ac:dyDescent="0.15">
      <c r="A91" s="10"/>
      <c r="B91" s="13"/>
      <c r="C91" s="13"/>
    </row>
    <row r="92" spans="1:3" ht="13" x14ac:dyDescent="0.15">
      <c r="A92" s="10"/>
      <c r="B92" s="13"/>
      <c r="C92" s="13"/>
    </row>
    <row r="93" spans="1:3" ht="13" x14ac:dyDescent="0.15">
      <c r="A93" s="10"/>
      <c r="B93" s="13"/>
      <c r="C93" s="13"/>
    </row>
    <row r="94" spans="1:3" ht="13" x14ac:dyDescent="0.15">
      <c r="A94" s="10"/>
      <c r="B94" s="13"/>
      <c r="C94" s="13"/>
    </row>
    <row r="95" spans="1:3" ht="13" x14ac:dyDescent="0.15">
      <c r="A95" s="10"/>
      <c r="B95" s="13"/>
      <c r="C95" s="13"/>
    </row>
    <row r="96" spans="1:3" ht="13" x14ac:dyDescent="0.15">
      <c r="A96" s="10"/>
      <c r="B96" s="13"/>
      <c r="C96" s="13"/>
    </row>
    <row r="97" spans="1:3" ht="13" x14ac:dyDescent="0.15">
      <c r="A97" s="10"/>
      <c r="B97" s="13"/>
      <c r="C97" s="13"/>
    </row>
    <row r="98" spans="1:3" ht="13" x14ac:dyDescent="0.15">
      <c r="A98" s="10"/>
      <c r="B98" s="13"/>
      <c r="C98" s="13"/>
    </row>
    <row r="99" spans="1:3" ht="13" x14ac:dyDescent="0.15">
      <c r="A99" s="10"/>
      <c r="B99" s="13"/>
      <c r="C99" s="13"/>
    </row>
    <row r="100" spans="1:3" ht="13" x14ac:dyDescent="0.15">
      <c r="A100" s="10"/>
      <c r="B100" s="13"/>
      <c r="C100" s="13"/>
    </row>
    <row r="101" spans="1:3" ht="13" x14ac:dyDescent="0.15">
      <c r="A101" s="10"/>
      <c r="B101" s="13"/>
      <c r="C101" s="13"/>
    </row>
    <row r="102" spans="1:3" ht="13" x14ac:dyDescent="0.15">
      <c r="A102" s="10"/>
      <c r="B102" s="13"/>
      <c r="C102" s="13"/>
    </row>
    <row r="103" spans="1:3" ht="13" x14ac:dyDescent="0.15">
      <c r="A103" s="10"/>
      <c r="B103" s="13"/>
      <c r="C103" s="13"/>
    </row>
    <row r="104" spans="1:3" ht="13" x14ac:dyDescent="0.15">
      <c r="A104" s="10"/>
      <c r="B104" s="13"/>
      <c r="C104" s="13"/>
    </row>
    <row r="105" spans="1:3" ht="13" x14ac:dyDescent="0.15">
      <c r="A105" s="10"/>
      <c r="B105" s="13"/>
      <c r="C105" s="13"/>
    </row>
    <row r="106" spans="1:3" ht="13" x14ac:dyDescent="0.15">
      <c r="A106" s="10"/>
      <c r="B106" s="13"/>
      <c r="C106" s="13"/>
    </row>
    <row r="107" spans="1:3" ht="13" x14ac:dyDescent="0.15">
      <c r="A107" s="10"/>
      <c r="B107" s="13"/>
      <c r="C107" s="13"/>
    </row>
    <row r="108" spans="1:3" ht="13" x14ac:dyDescent="0.15">
      <c r="A108" s="10"/>
      <c r="B108" s="13"/>
      <c r="C108" s="13"/>
    </row>
    <row r="109" spans="1:3" ht="13" x14ac:dyDescent="0.15">
      <c r="A109" s="10"/>
      <c r="B109" s="13"/>
      <c r="C109" s="13"/>
    </row>
    <row r="110" spans="1:3" ht="13" x14ac:dyDescent="0.15">
      <c r="A110" s="10"/>
      <c r="B110" s="13"/>
      <c r="C110" s="13"/>
    </row>
    <row r="111" spans="1:3" ht="13" x14ac:dyDescent="0.15">
      <c r="A111" s="10"/>
      <c r="B111" s="13"/>
      <c r="C111" s="13"/>
    </row>
    <row r="112" spans="1:3" ht="13" x14ac:dyDescent="0.15">
      <c r="A112" s="10"/>
      <c r="B112" s="13"/>
      <c r="C112" s="13"/>
    </row>
    <row r="113" spans="1:3" ht="13" x14ac:dyDescent="0.15">
      <c r="A113" s="10"/>
      <c r="B113" s="13"/>
      <c r="C113" s="13"/>
    </row>
    <row r="114" spans="1:3" ht="13" x14ac:dyDescent="0.15">
      <c r="A114" s="10"/>
      <c r="B114" s="13"/>
      <c r="C114" s="13"/>
    </row>
    <row r="115" spans="1:3" ht="13" x14ac:dyDescent="0.15">
      <c r="A115" s="10"/>
      <c r="B115" s="13"/>
      <c r="C115" s="13"/>
    </row>
    <row r="116" spans="1:3" ht="13" x14ac:dyDescent="0.15">
      <c r="A116" s="10"/>
      <c r="B116" s="13"/>
      <c r="C116" s="13"/>
    </row>
    <row r="117" spans="1:3" ht="13" x14ac:dyDescent="0.15">
      <c r="A117" s="10"/>
      <c r="B117" s="13"/>
      <c r="C117" s="13"/>
    </row>
    <row r="118" spans="1:3" ht="13" x14ac:dyDescent="0.15">
      <c r="A118" s="10"/>
      <c r="B118" s="13"/>
      <c r="C118" s="13"/>
    </row>
    <row r="119" spans="1:3" ht="13" x14ac:dyDescent="0.15">
      <c r="A119" s="10"/>
      <c r="B119" s="13"/>
      <c r="C119" s="13"/>
    </row>
    <row r="120" spans="1:3" ht="13" x14ac:dyDescent="0.15">
      <c r="A120" s="10"/>
      <c r="B120" s="13"/>
      <c r="C120" s="13"/>
    </row>
    <row r="121" spans="1:3" ht="13" x14ac:dyDescent="0.15">
      <c r="A121" s="10"/>
      <c r="B121" s="13"/>
      <c r="C121" s="13"/>
    </row>
    <row r="122" spans="1:3" ht="13" x14ac:dyDescent="0.15">
      <c r="A122" s="10"/>
      <c r="B122" s="13"/>
      <c r="C122" s="13"/>
    </row>
    <row r="123" spans="1:3" ht="13" x14ac:dyDescent="0.15">
      <c r="A123" s="10"/>
      <c r="B123" s="13"/>
      <c r="C123" s="13"/>
    </row>
    <row r="124" spans="1:3" ht="13" x14ac:dyDescent="0.15">
      <c r="A124" s="10"/>
      <c r="B124" s="13"/>
      <c r="C124" s="13"/>
    </row>
    <row r="125" spans="1:3" ht="13" x14ac:dyDescent="0.15">
      <c r="A125" s="10"/>
      <c r="B125" s="13"/>
      <c r="C125" s="13"/>
    </row>
    <row r="126" spans="1:3" ht="13" x14ac:dyDescent="0.15">
      <c r="A126" s="10"/>
      <c r="B126" s="13"/>
      <c r="C126" s="13"/>
    </row>
    <row r="127" spans="1:3" ht="13" x14ac:dyDescent="0.15">
      <c r="A127" s="10"/>
      <c r="B127" s="13"/>
      <c r="C127" s="13"/>
    </row>
    <row r="128" spans="1:3" ht="13" x14ac:dyDescent="0.15">
      <c r="A128" s="10"/>
      <c r="B128" s="13"/>
      <c r="C128" s="13"/>
    </row>
    <row r="129" spans="1:3" ht="13" x14ac:dyDescent="0.15">
      <c r="A129" s="10"/>
      <c r="B129" s="13"/>
      <c r="C129" s="13"/>
    </row>
    <row r="130" spans="1:3" ht="13" x14ac:dyDescent="0.15">
      <c r="A130" s="10"/>
      <c r="B130" s="13"/>
      <c r="C130" s="13"/>
    </row>
    <row r="131" spans="1:3" ht="13" x14ac:dyDescent="0.15">
      <c r="A131" s="10"/>
      <c r="B131" s="13"/>
      <c r="C131" s="13"/>
    </row>
    <row r="132" spans="1:3" ht="13" x14ac:dyDescent="0.15">
      <c r="A132" s="10"/>
      <c r="B132" s="13"/>
      <c r="C132" s="13"/>
    </row>
    <row r="133" spans="1:3" ht="13" x14ac:dyDescent="0.15">
      <c r="A133" s="10"/>
      <c r="B133" s="13"/>
      <c r="C133" s="13"/>
    </row>
    <row r="134" spans="1:3" ht="13" x14ac:dyDescent="0.15">
      <c r="A134" s="10"/>
      <c r="B134" s="13"/>
      <c r="C134" s="13"/>
    </row>
    <row r="135" spans="1:3" ht="13" x14ac:dyDescent="0.15">
      <c r="A135" s="10"/>
      <c r="B135" s="13"/>
      <c r="C135" s="13"/>
    </row>
    <row r="136" spans="1:3" ht="13" x14ac:dyDescent="0.15">
      <c r="A136" s="10"/>
      <c r="B136" s="13"/>
      <c r="C136" s="13"/>
    </row>
    <row r="137" spans="1:3" ht="13" x14ac:dyDescent="0.15">
      <c r="A137" s="10"/>
      <c r="B137" s="13"/>
      <c r="C137" s="13"/>
    </row>
    <row r="138" spans="1:3" ht="13" x14ac:dyDescent="0.15">
      <c r="A138" s="10"/>
      <c r="B138" s="13"/>
      <c r="C138" s="13"/>
    </row>
    <row r="139" spans="1:3" ht="13" x14ac:dyDescent="0.15">
      <c r="A139" s="10"/>
      <c r="B139" s="13"/>
      <c r="C139" s="13"/>
    </row>
    <row r="140" spans="1:3" ht="13" x14ac:dyDescent="0.15">
      <c r="A140" s="10"/>
      <c r="B140" s="13"/>
      <c r="C140" s="13"/>
    </row>
    <row r="141" spans="1:3" ht="13" x14ac:dyDescent="0.15">
      <c r="A141" s="10"/>
      <c r="B141" s="13"/>
      <c r="C141" s="13"/>
    </row>
    <row r="142" spans="1:3" ht="13" x14ac:dyDescent="0.15">
      <c r="A142" s="10"/>
      <c r="B142" s="13"/>
      <c r="C142" s="13"/>
    </row>
    <row r="143" spans="1:3" ht="13" x14ac:dyDescent="0.15">
      <c r="A143" s="10"/>
      <c r="B143" s="13"/>
      <c r="C143" s="13"/>
    </row>
    <row r="144" spans="1:3" ht="13" x14ac:dyDescent="0.15">
      <c r="A144" s="10"/>
      <c r="B144" s="13"/>
      <c r="C144" s="13"/>
    </row>
    <row r="145" spans="1:3" ht="13" x14ac:dyDescent="0.15">
      <c r="A145" s="10"/>
      <c r="B145" s="13"/>
      <c r="C145" s="13"/>
    </row>
    <row r="146" spans="1:3" ht="13" x14ac:dyDescent="0.15">
      <c r="A146" s="10"/>
      <c r="B146" s="13"/>
      <c r="C146" s="13"/>
    </row>
    <row r="147" spans="1:3" ht="13" x14ac:dyDescent="0.15">
      <c r="A147" s="10"/>
      <c r="B147" s="13"/>
      <c r="C147" s="13"/>
    </row>
    <row r="148" spans="1:3" ht="13" x14ac:dyDescent="0.15">
      <c r="A148" s="10"/>
      <c r="B148" s="13"/>
      <c r="C148" s="13"/>
    </row>
    <row r="149" spans="1:3" ht="13" x14ac:dyDescent="0.15">
      <c r="A149" s="10"/>
      <c r="B149" s="13"/>
      <c r="C149" s="13"/>
    </row>
    <row r="150" spans="1:3" ht="13" x14ac:dyDescent="0.15">
      <c r="A150" s="10"/>
      <c r="B150" s="13"/>
      <c r="C150" s="13"/>
    </row>
    <row r="151" spans="1:3" ht="13" x14ac:dyDescent="0.15">
      <c r="A151" s="10"/>
      <c r="B151" s="13"/>
      <c r="C151" s="13"/>
    </row>
    <row r="152" spans="1:3" ht="13" x14ac:dyDescent="0.15">
      <c r="A152" s="10"/>
      <c r="B152" s="13"/>
      <c r="C152" s="13"/>
    </row>
    <row r="153" spans="1:3" ht="13" x14ac:dyDescent="0.15">
      <c r="A153" s="10"/>
      <c r="B153" s="13"/>
      <c r="C153" s="13"/>
    </row>
    <row r="154" spans="1:3" ht="13" x14ac:dyDescent="0.15">
      <c r="A154" s="10"/>
      <c r="B154" s="13"/>
      <c r="C154" s="13"/>
    </row>
    <row r="155" spans="1:3" ht="13" x14ac:dyDescent="0.15">
      <c r="A155" s="10"/>
      <c r="B155" s="13"/>
      <c r="C155" s="13"/>
    </row>
    <row r="156" spans="1:3" ht="13" x14ac:dyDescent="0.15">
      <c r="A156" s="10"/>
      <c r="B156" s="13"/>
      <c r="C156" s="13"/>
    </row>
    <row r="157" spans="1:3" ht="13" x14ac:dyDescent="0.15">
      <c r="A157" s="10"/>
      <c r="B157" s="13"/>
      <c r="C157" s="13"/>
    </row>
    <row r="158" spans="1:3" ht="13" x14ac:dyDescent="0.15">
      <c r="A158" s="10"/>
      <c r="B158" s="13"/>
      <c r="C158" s="13"/>
    </row>
    <row r="159" spans="1:3" ht="13" x14ac:dyDescent="0.15">
      <c r="A159" s="10"/>
      <c r="B159" s="13"/>
      <c r="C159" s="13"/>
    </row>
    <row r="160" spans="1:3" ht="13" x14ac:dyDescent="0.15">
      <c r="A160" s="10"/>
      <c r="B160" s="13"/>
      <c r="C160" s="13"/>
    </row>
    <row r="161" spans="1:3" ht="13" x14ac:dyDescent="0.15">
      <c r="A161" s="10"/>
      <c r="B161" s="13"/>
      <c r="C161" s="13"/>
    </row>
    <row r="162" spans="1:3" ht="13" x14ac:dyDescent="0.15">
      <c r="A162" s="10"/>
      <c r="B162" s="13"/>
      <c r="C162" s="13"/>
    </row>
    <row r="163" spans="1:3" ht="13" x14ac:dyDescent="0.15">
      <c r="A163" s="10"/>
      <c r="B163" s="13"/>
      <c r="C163" s="13"/>
    </row>
    <row r="164" spans="1:3" ht="13" x14ac:dyDescent="0.15">
      <c r="A164" s="10"/>
      <c r="B164" s="13"/>
      <c r="C164" s="13"/>
    </row>
    <row r="165" spans="1:3" ht="13" x14ac:dyDescent="0.15">
      <c r="A165" s="10"/>
      <c r="B165" s="13"/>
      <c r="C165" s="13"/>
    </row>
    <row r="166" spans="1:3" ht="13" x14ac:dyDescent="0.15">
      <c r="A166" s="10"/>
      <c r="B166" s="13"/>
      <c r="C166" s="13"/>
    </row>
    <row r="167" spans="1:3" ht="13" x14ac:dyDescent="0.15">
      <c r="A167" s="10"/>
      <c r="B167" s="13"/>
      <c r="C167" s="13"/>
    </row>
    <row r="168" spans="1:3" ht="13" x14ac:dyDescent="0.15">
      <c r="A168" s="10"/>
      <c r="B168" s="13"/>
      <c r="C168" s="13"/>
    </row>
    <row r="169" spans="1:3" ht="13" x14ac:dyDescent="0.15">
      <c r="A169" s="10"/>
      <c r="B169" s="13"/>
      <c r="C169" s="13"/>
    </row>
    <row r="170" spans="1:3" ht="13" x14ac:dyDescent="0.15">
      <c r="A170" s="10"/>
      <c r="B170" s="13"/>
      <c r="C170" s="13"/>
    </row>
    <row r="171" spans="1:3" ht="13" x14ac:dyDescent="0.15">
      <c r="A171" s="10"/>
      <c r="B171" s="13"/>
      <c r="C171" s="13"/>
    </row>
    <row r="172" spans="1:3" ht="13" x14ac:dyDescent="0.15">
      <c r="A172" s="10"/>
      <c r="B172" s="13"/>
      <c r="C172" s="13"/>
    </row>
    <row r="173" spans="1:3" ht="13" x14ac:dyDescent="0.15">
      <c r="A173" s="10"/>
      <c r="B173" s="13"/>
      <c r="C173" s="13"/>
    </row>
    <row r="174" spans="1:3" ht="13" x14ac:dyDescent="0.15">
      <c r="A174" s="10"/>
      <c r="B174" s="13"/>
      <c r="C174" s="13"/>
    </row>
    <row r="175" spans="1:3" ht="13" x14ac:dyDescent="0.15">
      <c r="A175" s="10"/>
      <c r="B175" s="13"/>
      <c r="C175" s="13"/>
    </row>
    <row r="176" spans="1:3" ht="13" x14ac:dyDescent="0.15">
      <c r="A176" s="10"/>
      <c r="B176" s="13"/>
      <c r="C176" s="13"/>
    </row>
    <row r="177" spans="1:3" ht="13" x14ac:dyDescent="0.15">
      <c r="A177" s="10"/>
      <c r="B177" s="13"/>
      <c r="C177" s="13"/>
    </row>
    <row r="178" spans="1:3" ht="13" x14ac:dyDescent="0.15">
      <c r="A178" s="10"/>
      <c r="B178" s="13"/>
      <c r="C178" s="13"/>
    </row>
    <row r="179" spans="1:3" ht="13" x14ac:dyDescent="0.15">
      <c r="A179" s="10"/>
      <c r="B179" s="13"/>
      <c r="C179" s="13"/>
    </row>
    <row r="180" spans="1:3" ht="13" x14ac:dyDescent="0.15">
      <c r="A180" s="10"/>
      <c r="B180" s="13"/>
      <c r="C180" s="13"/>
    </row>
    <row r="181" spans="1:3" ht="13" x14ac:dyDescent="0.15">
      <c r="A181" s="10"/>
      <c r="B181" s="13"/>
      <c r="C181" s="13"/>
    </row>
    <row r="182" spans="1:3" ht="13" x14ac:dyDescent="0.15">
      <c r="A182" s="10"/>
      <c r="B182" s="13"/>
      <c r="C182" s="13"/>
    </row>
    <row r="183" spans="1:3" ht="13" x14ac:dyDescent="0.15">
      <c r="A183" s="10"/>
      <c r="B183" s="13"/>
      <c r="C183" s="13"/>
    </row>
    <row r="184" spans="1:3" ht="13" x14ac:dyDescent="0.15">
      <c r="A184" s="10"/>
      <c r="B184" s="13"/>
      <c r="C184" s="13"/>
    </row>
    <row r="185" spans="1:3" ht="13" x14ac:dyDescent="0.15">
      <c r="A185" s="10"/>
      <c r="B185" s="13"/>
      <c r="C185" s="13"/>
    </row>
    <row r="186" spans="1:3" ht="13" x14ac:dyDescent="0.15">
      <c r="A186" s="10"/>
      <c r="B186" s="13"/>
      <c r="C186" s="13"/>
    </row>
    <row r="187" spans="1:3" ht="13" x14ac:dyDescent="0.15">
      <c r="A187" s="10"/>
      <c r="B187" s="13"/>
      <c r="C187" s="13"/>
    </row>
    <row r="188" spans="1:3" ht="13" x14ac:dyDescent="0.15">
      <c r="A188" s="10"/>
      <c r="B188" s="13"/>
      <c r="C188" s="13"/>
    </row>
    <row r="189" spans="1:3" ht="13" x14ac:dyDescent="0.15">
      <c r="A189" s="10"/>
      <c r="B189" s="13"/>
      <c r="C189" s="13"/>
    </row>
    <row r="190" spans="1:3" ht="13" x14ac:dyDescent="0.15">
      <c r="A190" s="10"/>
      <c r="B190" s="13"/>
      <c r="C190" s="13"/>
    </row>
    <row r="191" spans="1:3" ht="13" x14ac:dyDescent="0.15">
      <c r="A191" s="10"/>
      <c r="B191" s="13"/>
      <c r="C191" s="13"/>
    </row>
    <row r="192" spans="1:3" ht="13" x14ac:dyDescent="0.15">
      <c r="A192" s="10"/>
      <c r="B192" s="13"/>
      <c r="C192" s="13"/>
    </row>
    <row r="193" spans="1:3" ht="13" x14ac:dyDescent="0.15">
      <c r="A193" s="10"/>
      <c r="B193" s="13"/>
      <c r="C193" s="13"/>
    </row>
    <row r="194" spans="1:3" ht="13" x14ac:dyDescent="0.15">
      <c r="A194" s="10"/>
      <c r="B194" s="13"/>
      <c r="C194" s="13"/>
    </row>
    <row r="195" spans="1:3" ht="13" x14ac:dyDescent="0.15">
      <c r="A195" s="10"/>
      <c r="B195" s="13"/>
      <c r="C195" s="13"/>
    </row>
    <row r="196" spans="1:3" ht="13" x14ac:dyDescent="0.15">
      <c r="A196" s="10"/>
      <c r="B196" s="13"/>
      <c r="C196" s="13"/>
    </row>
    <row r="197" spans="1:3" ht="13" x14ac:dyDescent="0.15">
      <c r="A197" s="10"/>
      <c r="B197" s="13"/>
      <c r="C197" s="13"/>
    </row>
    <row r="198" spans="1:3" ht="13" x14ac:dyDescent="0.15">
      <c r="A198" s="10"/>
      <c r="B198" s="13"/>
      <c r="C198" s="13"/>
    </row>
    <row r="199" spans="1:3" ht="13" x14ac:dyDescent="0.15">
      <c r="A199" s="10"/>
      <c r="B199" s="13"/>
      <c r="C199" s="13"/>
    </row>
    <row r="200" spans="1:3" ht="13" x14ac:dyDescent="0.15">
      <c r="A200" s="10"/>
      <c r="B200" s="13"/>
      <c r="C200" s="13"/>
    </row>
    <row r="201" spans="1:3" ht="13" x14ac:dyDescent="0.15">
      <c r="A201" s="10"/>
      <c r="B201" s="13"/>
      <c r="C201" s="13"/>
    </row>
    <row r="202" spans="1:3" ht="13" x14ac:dyDescent="0.15">
      <c r="A202" s="10"/>
      <c r="B202" s="13"/>
      <c r="C202" s="13"/>
    </row>
    <row r="203" spans="1:3" ht="13" x14ac:dyDescent="0.15">
      <c r="A203" s="10"/>
      <c r="B203" s="13"/>
      <c r="C203" s="13"/>
    </row>
    <row r="204" spans="1:3" ht="13" x14ac:dyDescent="0.15">
      <c r="A204" s="10"/>
      <c r="B204" s="13"/>
      <c r="C204" s="13"/>
    </row>
    <row r="205" spans="1:3" ht="13" x14ac:dyDescent="0.15">
      <c r="A205" s="10"/>
      <c r="B205" s="13"/>
      <c r="C205" s="13"/>
    </row>
    <row r="206" spans="1:3" ht="13" x14ac:dyDescent="0.15">
      <c r="A206" s="10"/>
      <c r="B206" s="13"/>
      <c r="C206" s="13"/>
    </row>
    <row r="207" spans="1:3" ht="13" x14ac:dyDescent="0.15">
      <c r="A207" s="10"/>
      <c r="B207" s="13"/>
      <c r="C207" s="13"/>
    </row>
    <row r="208" spans="1:3" ht="13" x14ac:dyDescent="0.15">
      <c r="A208" s="10"/>
      <c r="B208" s="13"/>
      <c r="C208" s="13"/>
    </row>
    <row r="209" spans="1:3" ht="13" x14ac:dyDescent="0.15">
      <c r="A209" s="10"/>
      <c r="B209" s="13"/>
      <c r="C209" s="13"/>
    </row>
    <row r="210" spans="1:3" ht="13" x14ac:dyDescent="0.15">
      <c r="A210" s="10"/>
      <c r="B210" s="13"/>
      <c r="C210" s="13"/>
    </row>
    <row r="211" spans="1:3" ht="13" x14ac:dyDescent="0.15">
      <c r="A211" s="10"/>
      <c r="B211" s="13"/>
      <c r="C211" s="13"/>
    </row>
    <row r="212" spans="1:3" ht="13" x14ac:dyDescent="0.15">
      <c r="A212" s="10"/>
      <c r="B212" s="13"/>
      <c r="C212" s="13"/>
    </row>
    <row r="213" spans="1:3" ht="13" x14ac:dyDescent="0.15">
      <c r="A213" s="10"/>
      <c r="B213" s="13"/>
      <c r="C213" s="13"/>
    </row>
    <row r="214" spans="1:3" ht="13" x14ac:dyDescent="0.15">
      <c r="A214" s="10"/>
      <c r="B214" s="13"/>
      <c r="C214" s="13"/>
    </row>
    <row r="215" spans="1:3" ht="13" x14ac:dyDescent="0.15">
      <c r="A215" s="10"/>
      <c r="B215" s="13"/>
      <c r="C215" s="13"/>
    </row>
    <row r="216" spans="1:3" ht="13" x14ac:dyDescent="0.15">
      <c r="A216" s="10"/>
      <c r="B216" s="13"/>
      <c r="C216" s="13"/>
    </row>
    <row r="217" spans="1:3" ht="13" x14ac:dyDescent="0.15">
      <c r="A217" s="10"/>
      <c r="B217" s="13"/>
      <c r="C217" s="13"/>
    </row>
    <row r="218" spans="1:3" ht="13" x14ac:dyDescent="0.15">
      <c r="A218" s="10"/>
      <c r="B218" s="13"/>
      <c r="C218" s="13"/>
    </row>
    <row r="219" spans="1:3" ht="13" x14ac:dyDescent="0.15">
      <c r="A219" s="10"/>
      <c r="B219" s="13"/>
      <c r="C219" s="13"/>
    </row>
    <row r="220" spans="1:3" ht="13" x14ac:dyDescent="0.15">
      <c r="A220" s="10"/>
      <c r="B220" s="13"/>
      <c r="C220" s="13"/>
    </row>
    <row r="221" spans="1:3" ht="13" x14ac:dyDescent="0.15">
      <c r="A221" s="10"/>
      <c r="B221" s="13"/>
      <c r="C221" s="13"/>
    </row>
    <row r="222" spans="1:3" ht="13" x14ac:dyDescent="0.15">
      <c r="A222" s="10"/>
      <c r="B222" s="13"/>
      <c r="C222" s="13"/>
    </row>
    <row r="223" spans="1:3" ht="13" x14ac:dyDescent="0.15">
      <c r="A223" s="10"/>
      <c r="B223" s="13"/>
      <c r="C223" s="13"/>
    </row>
    <row r="224" spans="1:3" ht="13" x14ac:dyDescent="0.15">
      <c r="A224" s="10"/>
      <c r="B224" s="13"/>
      <c r="C224" s="13"/>
    </row>
    <row r="225" spans="1:3" ht="13" x14ac:dyDescent="0.15">
      <c r="A225" s="10"/>
      <c r="B225" s="13"/>
      <c r="C225" s="13"/>
    </row>
    <row r="226" spans="1:3" ht="13" x14ac:dyDescent="0.15">
      <c r="A226" s="10"/>
      <c r="B226" s="13"/>
      <c r="C226" s="13"/>
    </row>
    <row r="227" spans="1:3" ht="13" x14ac:dyDescent="0.15">
      <c r="A227" s="10"/>
      <c r="B227" s="13"/>
      <c r="C227" s="13"/>
    </row>
    <row r="228" spans="1:3" ht="13" x14ac:dyDescent="0.15">
      <c r="A228" s="10"/>
      <c r="B228" s="13"/>
      <c r="C228" s="13"/>
    </row>
    <row r="229" spans="1:3" ht="13" x14ac:dyDescent="0.15">
      <c r="A229" s="10"/>
      <c r="B229" s="13"/>
      <c r="C229" s="13"/>
    </row>
    <row r="230" spans="1:3" ht="13" x14ac:dyDescent="0.15">
      <c r="A230" s="10"/>
      <c r="B230" s="13"/>
      <c r="C230" s="13"/>
    </row>
    <row r="231" spans="1:3" ht="13" x14ac:dyDescent="0.15">
      <c r="A231" s="10"/>
      <c r="B231" s="13"/>
      <c r="C231" s="13"/>
    </row>
    <row r="232" spans="1:3" ht="13" x14ac:dyDescent="0.15">
      <c r="A232" s="10"/>
      <c r="B232" s="13"/>
      <c r="C232" s="13"/>
    </row>
    <row r="233" spans="1:3" ht="13" x14ac:dyDescent="0.15">
      <c r="A233" s="10"/>
      <c r="B233" s="13"/>
      <c r="C233" s="13"/>
    </row>
    <row r="234" spans="1:3" ht="13" x14ac:dyDescent="0.15">
      <c r="A234" s="10"/>
      <c r="B234" s="13"/>
      <c r="C234" s="13"/>
    </row>
    <row r="235" spans="1:3" ht="13" x14ac:dyDescent="0.15">
      <c r="A235" s="10"/>
      <c r="B235" s="13"/>
      <c r="C235" s="13"/>
    </row>
    <row r="236" spans="1:3" ht="13" x14ac:dyDescent="0.15">
      <c r="A236" s="10"/>
      <c r="B236" s="13"/>
      <c r="C236" s="13"/>
    </row>
    <row r="237" spans="1:3" ht="13" x14ac:dyDescent="0.15">
      <c r="A237" s="10"/>
      <c r="B237" s="13"/>
      <c r="C237" s="13"/>
    </row>
    <row r="238" spans="1:3" ht="13" x14ac:dyDescent="0.15">
      <c r="A238" s="10"/>
      <c r="B238" s="13"/>
      <c r="C238" s="13"/>
    </row>
    <row r="239" spans="1:3" ht="13" x14ac:dyDescent="0.15">
      <c r="A239" s="10"/>
      <c r="B239" s="13"/>
      <c r="C239" s="13"/>
    </row>
    <row r="240" spans="1:3" ht="13" x14ac:dyDescent="0.15">
      <c r="A240" s="10"/>
      <c r="B240" s="13"/>
      <c r="C240" s="13"/>
    </row>
    <row r="241" spans="1:3" ht="13" x14ac:dyDescent="0.15">
      <c r="A241" s="10"/>
      <c r="B241" s="13"/>
      <c r="C241" s="13"/>
    </row>
    <row r="242" spans="1:3" ht="13" x14ac:dyDescent="0.15">
      <c r="A242" s="10"/>
      <c r="B242" s="13"/>
      <c r="C242" s="13"/>
    </row>
    <row r="243" spans="1:3" ht="13" x14ac:dyDescent="0.15">
      <c r="A243" s="10"/>
      <c r="B243" s="13"/>
      <c r="C243" s="13"/>
    </row>
    <row r="244" spans="1:3" ht="13" x14ac:dyDescent="0.15">
      <c r="A244" s="10"/>
      <c r="B244" s="13"/>
      <c r="C244" s="13"/>
    </row>
    <row r="245" spans="1:3" ht="13" x14ac:dyDescent="0.15">
      <c r="A245" s="10"/>
      <c r="B245" s="13"/>
      <c r="C245" s="13"/>
    </row>
    <row r="246" spans="1:3" ht="13" x14ac:dyDescent="0.15">
      <c r="A246" s="10"/>
      <c r="B246" s="13"/>
      <c r="C246" s="13"/>
    </row>
    <row r="247" spans="1:3" ht="13" x14ac:dyDescent="0.15">
      <c r="A247" s="10"/>
      <c r="B247" s="13"/>
      <c r="C247" s="13"/>
    </row>
    <row r="248" spans="1:3" ht="13" x14ac:dyDescent="0.15">
      <c r="A248" s="10"/>
      <c r="B248" s="13"/>
      <c r="C248" s="13"/>
    </row>
    <row r="249" spans="1:3" ht="13" x14ac:dyDescent="0.15">
      <c r="A249" s="10"/>
      <c r="B249" s="13"/>
      <c r="C249" s="13"/>
    </row>
    <row r="250" spans="1:3" ht="13" x14ac:dyDescent="0.15">
      <c r="A250" s="10"/>
      <c r="B250" s="13"/>
      <c r="C250" s="13"/>
    </row>
    <row r="251" spans="1:3" ht="13" x14ac:dyDescent="0.15">
      <c r="A251" s="10"/>
      <c r="B251" s="13"/>
      <c r="C251" s="13"/>
    </row>
    <row r="252" spans="1:3" ht="13" x14ac:dyDescent="0.15">
      <c r="A252" s="10"/>
      <c r="B252" s="13"/>
      <c r="C252" s="13"/>
    </row>
    <row r="253" spans="1:3" ht="13" x14ac:dyDescent="0.15">
      <c r="A253" s="10"/>
      <c r="B253" s="13"/>
      <c r="C253" s="13"/>
    </row>
    <row r="254" spans="1:3" ht="13" x14ac:dyDescent="0.15">
      <c r="A254" s="10"/>
      <c r="B254" s="13"/>
      <c r="C254" s="13"/>
    </row>
    <row r="255" spans="1:3" ht="13" x14ac:dyDescent="0.15">
      <c r="A255" s="10"/>
      <c r="B255" s="13"/>
      <c r="C255" s="13"/>
    </row>
    <row r="256" spans="1:3" ht="13" x14ac:dyDescent="0.15">
      <c r="A256" s="10"/>
      <c r="B256" s="13"/>
      <c r="C256" s="13"/>
    </row>
    <row r="257" spans="1:3" ht="13" x14ac:dyDescent="0.15">
      <c r="A257" s="10"/>
      <c r="B257" s="13"/>
      <c r="C257" s="13"/>
    </row>
    <row r="258" spans="1:3" ht="13" x14ac:dyDescent="0.15">
      <c r="A258" s="10"/>
      <c r="B258" s="13"/>
      <c r="C258" s="13"/>
    </row>
    <row r="259" spans="1:3" ht="13" x14ac:dyDescent="0.15">
      <c r="A259" s="10"/>
      <c r="B259" s="13"/>
      <c r="C259" s="13"/>
    </row>
    <row r="260" spans="1:3" ht="13" x14ac:dyDescent="0.15">
      <c r="A260" s="10"/>
      <c r="B260" s="13"/>
      <c r="C260" s="13"/>
    </row>
    <row r="261" spans="1:3" ht="13" x14ac:dyDescent="0.15">
      <c r="A261" s="10"/>
      <c r="B261" s="13"/>
      <c r="C261" s="13"/>
    </row>
    <row r="262" spans="1:3" ht="13" x14ac:dyDescent="0.15">
      <c r="A262" s="10"/>
      <c r="B262" s="13"/>
      <c r="C262" s="13"/>
    </row>
    <row r="263" spans="1:3" ht="13" x14ac:dyDescent="0.15">
      <c r="A263" s="10"/>
      <c r="B263" s="13"/>
      <c r="C263" s="13"/>
    </row>
    <row r="264" spans="1:3" ht="13" x14ac:dyDescent="0.15">
      <c r="A264" s="10"/>
      <c r="B264" s="13"/>
      <c r="C264" s="13"/>
    </row>
    <row r="265" spans="1:3" ht="13" x14ac:dyDescent="0.15">
      <c r="A265" s="10"/>
      <c r="B265" s="13"/>
      <c r="C265" s="13"/>
    </row>
    <row r="266" spans="1:3" ht="13" x14ac:dyDescent="0.15">
      <c r="A266" s="10"/>
      <c r="B266" s="13"/>
      <c r="C266" s="13"/>
    </row>
    <row r="267" spans="1:3" ht="13" x14ac:dyDescent="0.15">
      <c r="A267" s="10"/>
      <c r="B267" s="13"/>
      <c r="C267" s="13"/>
    </row>
    <row r="268" spans="1:3" ht="13" x14ac:dyDescent="0.15">
      <c r="A268" s="10"/>
      <c r="B268" s="13"/>
      <c r="C268" s="13"/>
    </row>
    <row r="269" spans="1:3" ht="13" x14ac:dyDescent="0.15">
      <c r="A269" s="10"/>
      <c r="B269" s="13"/>
      <c r="C269" s="13"/>
    </row>
    <row r="270" spans="1:3" ht="13" x14ac:dyDescent="0.15">
      <c r="A270" s="10"/>
      <c r="B270" s="13"/>
      <c r="C270" s="13"/>
    </row>
    <row r="271" spans="1:3" ht="13" x14ac:dyDescent="0.15">
      <c r="A271" s="10"/>
      <c r="B271" s="13"/>
      <c r="C271" s="13"/>
    </row>
    <row r="272" spans="1:3" ht="13" x14ac:dyDescent="0.15">
      <c r="A272" s="10"/>
      <c r="B272" s="13"/>
      <c r="C272" s="13"/>
    </row>
    <row r="273" spans="1:3" ht="13" x14ac:dyDescent="0.15">
      <c r="A273" s="10"/>
      <c r="B273" s="13"/>
      <c r="C273" s="13"/>
    </row>
    <row r="274" spans="1:3" ht="13" x14ac:dyDescent="0.15">
      <c r="A274" s="10"/>
      <c r="B274" s="13"/>
      <c r="C274" s="13"/>
    </row>
    <row r="275" spans="1:3" ht="13" x14ac:dyDescent="0.15">
      <c r="A275" s="10"/>
      <c r="B275" s="13"/>
      <c r="C275" s="13"/>
    </row>
    <row r="276" spans="1:3" ht="13" x14ac:dyDescent="0.15">
      <c r="A276" s="10"/>
      <c r="B276" s="13"/>
      <c r="C276" s="13"/>
    </row>
    <row r="277" spans="1:3" ht="13" x14ac:dyDescent="0.15">
      <c r="A277" s="10"/>
      <c r="B277" s="13"/>
      <c r="C277" s="13"/>
    </row>
    <row r="278" spans="1:3" ht="13" x14ac:dyDescent="0.15">
      <c r="A278" s="10"/>
      <c r="B278" s="13"/>
      <c r="C278" s="13"/>
    </row>
    <row r="279" spans="1:3" ht="13" x14ac:dyDescent="0.15">
      <c r="A279" s="10"/>
      <c r="B279" s="13"/>
      <c r="C279" s="13"/>
    </row>
    <row r="280" spans="1:3" ht="13" x14ac:dyDescent="0.15">
      <c r="A280" s="10"/>
      <c r="B280" s="13"/>
      <c r="C280" s="13"/>
    </row>
    <row r="281" spans="1:3" ht="13" x14ac:dyDescent="0.15">
      <c r="A281" s="10"/>
      <c r="B281" s="13"/>
      <c r="C281" s="13"/>
    </row>
    <row r="282" spans="1:3" ht="13" x14ac:dyDescent="0.15">
      <c r="A282" s="10"/>
      <c r="B282" s="13"/>
      <c r="C282" s="13"/>
    </row>
    <row r="283" spans="1:3" ht="13" x14ac:dyDescent="0.15">
      <c r="A283" s="10"/>
      <c r="B283" s="13"/>
      <c r="C283" s="13"/>
    </row>
    <row r="284" spans="1:3" ht="13" x14ac:dyDescent="0.15">
      <c r="A284" s="10"/>
      <c r="B284" s="13"/>
      <c r="C284" s="13"/>
    </row>
    <row r="285" spans="1:3" ht="13" x14ac:dyDescent="0.15">
      <c r="A285" s="10"/>
      <c r="B285" s="13"/>
      <c r="C285" s="13"/>
    </row>
    <row r="286" spans="1:3" ht="13" x14ac:dyDescent="0.15">
      <c r="A286" s="10"/>
      <c r="B286" s="13"/>
      <c r="C286" s="13"/>
    </row>
    <row r="287" spans="1:3" ht="13" x14ac:dyDescent="0.15">
      <c r="A287" s="10"/>
      <c r="B287" s="13"/>
      <c r="C287" s="13"/>
    </row>
    <row r="288" spans="1:3" ht="13" x14ac:dyDescent="0.15">
      <c r="A288" s="10"/>
      <c r="B288" s="13"/>
      <c r="C288" s="13"/>
    </row>
    <row r="289" spans="1:3" ht="13" x14ac:dyDescent="0.15">
      <c r="A289" s="10"/>
      <c r="B289" s="13"/>
      <c r="C289" s="13"/>
    </row>
    <row r="290" spans="1:3" ht="13" x14ac:dyDescent="0.15">
      <c r="A290" s="10"/>
      <c r="B290" s="13"/>
      <c r="C290" s="13"/>
    </row>
    <row r="291" spans="1:3" ht="13" x14ac:dyDescent="0.15">
      <c r="A291" s="10"/>
      <c r="B291" s="13"/>
      <c r="C291" s="13"/>
    </row>
    <row r="292" spans="1:3" ht="13" x14ac:dyDescent="0.15">
      <c r="A292" s="10"/>
      <c r="B292" s="13"/>
      <c r="C292" s="13"/>
    </row>
    <row r="293" spans="1:3" ht="13" x14ac:dyDescent="0.15">
      <c r="A293" s="10"/>
      <c r="B293" s="13"/>
      <c r="C293" s="13"/>
    </row>
    <row r="294" spans="1:3" ht="13" x14ac:dyDescent="0.15">
      <c r="A294" s="10"/>
      <c r="B294" s="13"/>
      <c r="C294" s="13"/>
    </row>
    <row r="295" spans="1:3" ht="13" x14ac:dyDescent="0.15">
      <c r="A295" s="10"/>
      <c r="B295" s="13"/>
      <c r="C295" s="13"/>
    </row>
    <row r="296" spans="1:3" ht="13" x14ac:dyDescent="0.15">
      <c r="A296" s="10"/>
      <c r="B296" s="13"/>
      <c r="C296" s="13"/>
    </row>
    <row r="297" spans="1:3" ht="13" x14ac:dyDescent="0.15">
      <c r="A297" s="10"/>
      <c r="B297" s="13"/>
      <c r="C297" s="13"/>
    </row>
    <row r="298" spans="1:3" ht="13" x14ac:dyDescent="0.15">
      <c r="A298" s="10"/>
      <c r="B298" s="13"/>
      <c r="C298" s="13"/>
    </row>
    <row r="299" spans="1:3" ht="13" x14ac:dyDescent="0.15">
      <c r="A299" s="10"/>
      <c r="B299" s="13"/>
      <c r="C299" s="13"/>
    </row>
    <row r="300" spans="1:3" ht="13" x14ac:dyDescent="0.15">
      <c r="A300" s="10"/>
      <c r="B300" s="13"/>
      <c r="C300" s="13"/>
    </row>
    <row r="301" spans="1:3" ht="13" x14ac:dyDescent="0.15">
      <c r="A301" s="10"/>
      <c r="B301" s="13"/>
      <c r="C301" s="13"/>
    </row>
    <row r="302" spans="1:3" ht="13" x14ac:dyDescent="0.15">
      <c r="A302" s="10"/>
      <c r="B302" s="13"/>
      <c r="C302" s="13"/>
    </row>
    <row r="303" spans="1:3" ht="13" x14ac:dyDescent="0.15">
      <c r="A303" s="10"/>
      <c r="B303" s="13"/>
      <c r="C303" s="13"/>
    </row>
    <row r="304" spans="1:3" ht="13" x14ac:dyDescent="0.15">
      <c r="A304" s="10"/>
      <c r="B304" s="13"/>
      <c r="C304" s="13"/>
    </row>
    <row r="305" spans="1:3" ht="13" x14ac:dyDescent="0.15">
      <c r="A305" s="10"/>
      <c r="B305" s="13"/>
      <c r="C305" s="13"/>
    </row>
    <row r="306" spans="1:3" ht="13" x14ac:dyDescent="0.15">
      <c r="A306" s="10"/>
      <c r="B306" s="13"/>
      <c r="C306" s="13"/>
    </row>
    <row r="307" spans="1:3" ht="13" x14ac:dyDescent="0.15">
      <c r="A307" s="10"/>
      <c r="B307" s="13"/>
      <c r="C307" s="13"/>
    </row>
    <row r="308" spans="1:3" ht="13" x14ac:dyDescent="0.15">
      <c r="A308" s="10"/>
      <c r="B308" s="13"/>
      <c r="C308" s="13"/>
    </row>
    <row r="309" spans="1:3" ht="13" x14ac:dyDescent="0.15">
      <c r="A309" s="10"/>
      <c r="B309" s="13"/>
      <c r="C309" s="13"/>
    </row>
    <row r="310" spans="1:3" ht="13" x14ac:dyDescent="0.15">
      <c r="A310" s="10"/>
      <c r="B310" s="13"/>
      <c r="C310" s="13"/>
    </row>
    <row r="311" spans="1:3" ht="13" x14ac:dyDescent="0.15">
      <c r="A311" s="10"/>
      <c r="B311" s="13"/>
      <c r="C311" s="13"/>
    </row>
    <row r="312" spans="1:3" ht="13" x14ac:dyDescent="0.15">
      <c r="A312" s="10"/>
      <c r="B312" s="13"/>
      <c r="C312" s="13"/>
    </row>
    <row r="313" spans="1:3" ht="13" x14ac:dyDescent="0.15">
      <c r="A313" s="10"/>
      <c r="B313" s="13"/>
      <c r="C313" s="13"/>
    </row>
    <row r="314" spans="1:3" ht="13" x14ac:dyDescent="0.15">
      <c r="A314" s="10"/>
      <c r="B314" s="13"/>
      <c r="C314" s="13"/>
    </row>
    <row r="315" spans="1:3" ht="13" x14ac:dyDescent="0.15">
      <c r="A315" s="10"/>
      <c r="B315" s="13"/>
      <c r="C315" s="13"/>
    </row>
    <row r="316" spans="1:3" ht="13" x14ac:dyDescent="0.15">
      <c r="A316" s="10"/>
      <c r="B316" s="13"/>
      <c r="C316" s="13"/>
    </row>
    <row r="317" spans="1:3" ht="13" x14ac:dyDescent="0.15">
      <c r="A317" s="10"/>
      <c r="B317" s="13"/>
      <c r="C317" s="13"/>
    </row>
    <row r="318" spans="1:3" ht="13" x14ac:dyDescent="0.15">
      <c r="A318" s="10"/>
      <c r="B318" s="13"/>
      <c r="C318" s="13"/>
    </row>
    <row r="319" spans="1:3" ht="13" x14ac:dyDescent="0.15">
      <c r="A319" s="10"/>
      <c r="B319" s="13"/>
      <c r="C319" s="13"/>
    </row>
    <row r="320" spans="1:3" ht="13" x14ac:dyDescent="0.15">
      <c r="A320" s="10"/>
      <c r="B320" s="13"/>
      <c r="C320" s="13"/>
    </row>
    <row r="321" spans="1:3" ht="13" x14ac:dyDescent="0.15">
      <c r="A321" s="10"/>
      <c r="B321" s="13"/>
      <c r="C321" s="13"/>
    </row>
    <row r="322" spans="1:3" ht="13" x14ac:dyDescent="0.15">
      <c r="A322" s="10"/>
      <c r="B322" s="13"/>
      <c r="C322" s="13"/>
    </row>
    <row r="323" spans="1:3" ht="13" x14ac:dyDescent="0.15">
      <c r="A323" s="10"/>
      <c r="B323" s="13"/>
      <c r="C323" s="13"/>
    </row>
    <row r="324" spans="1:3" ht="13" x14ac:dyDescent="0.15">
      <c r="A324" s="10"/>
      <c r="B324" s="13"/>
      <c r="C324" s="13"/>
    </row>
    <row r="325" spans="1:3" ht="13" x14ac:dyDescent="0.15">
      <c r="A325" s="10"/>
      <c r="B325" s="13"/>
      <c r="C325" s="13"/>
    </row>
    <row r="326" spans="1:3" ht="13" x14ac:dyDescent="0.15">
      <c r="A326" s="10"/>
      <c r="B326" s="13"/>
      <c r="C326" s="13"/>
    </row>
    <row r="327" spans="1:3" ht="13" x14ac:dyDescent="0.15">
      <c r="A327" s="10"/>
      <c r="B327" s="13"/>
      <c r="C327" s="13"/>
    </row>
    <row r="328" spans="1:3" ht="13" x14ac:dyDescent="0.15">
      <c r="A328" s="10"/>
      <c r="B328" s="13"/>
      <c r="C328" s="13"/>
    </row>
    <row r="329" spans="1:3" ht="13" x14ac:dyDescent="0.15">
      <c r="A329" s="10"/>
      <c r="B329" s="13"/>
      <c r="C329" s="13"/>
    </row>
    <row r="330" spans="1:3" ht="13" x14ac:dyDescent="0.15">
      <c r="A330" s="10"/>
      <c r="B330" s="13"/>
      <c r="C330" s="13"/>
    </row>
    <row r="331" spans="1:3" ht="13" x14ac:dyDescent="0.15">
      <c r="A331" s="10"/>
      <c r="B331" s="13"/>
      <c r="C331" s="13"/>
    </row>
    <row r="332" spans="1:3" ht="13" x14ac:dyDescent="0.15">
      <c r="A332" s="10"/>
      <c r="B332" s="13"/>
      <c r="C332" s="13"/>
    </row>
    <row r="333" spans="1:3" ht="13" x14ac:dyDescent="0.15">
      <c r="A333" s="10"/>
      <c r="B333" s="13"/>
      <c r="C333" s="13"/>
    </row>
    <row r="334" spans="1:3" ht="13" x14ac:dyDescent="0.15">
      <c r="A334" s="10"/>
      <c r="B334" s="13"/>
      <c r="C334" s="13"/>
    </row>
    <row r="335" spans="1:3" ht="13" x14ac:dyDescent="0.15">
      <c r="A335" s="10"/>
      <c r="B335" s="13"/>
      <c r="C335" s="13"/>
    </row>
    <row r="336" spans="1:3" ht="13" x14ac:dyDescent="0.15">
      <c r="A336" s="10"/>
      <c r="B336" s="13"/>
      <c r="C336" s="13"/>
    </row>
    <row r="337" spans="1:3" ht="13" x14ac:dyDescent="0.15">
      <c r="A337" s="10"/>
      <c r="B337" s="13"/>
      <c r="C337" s="13"/>
    </row>
    <row r="338" spans="1:3" ht="13" x14ac:dyDescent="0.15">
      <c r="A338" s="10"/>
      <c r="B338" s="13"/>
      <c r="C338" s="13"/>
    </row>
    <row r="339" spans="1:3" ht="13" x14ac:dyDescent="0.15">
      <c r="A339" s="10"/>
      <c r="B339" s="13"/>
      <c r="C339" s="13"/>
    </row>
    <row r="340" spans="1:3" ht="13" x14ac:dyDescent="0.15">
      <c r="A340" s="10"/>
      <c r="B340" s="13"/>
      <c r="C340" s="13"/>
    </row>
    <row r="341" spans="1:3" ht="13" x14ac:dyDescent="0.15">
      <c r="A341" s="10"/>
      <c r="B341" s="13"/>
      <c r="C341" s="13"/>
    </row>
    <row r="342" spans="1:3" ht="13" x14ac:dyDescent="0.15">
      <c r="A342" s="10"/>
      <c r="B342" s="13"/>
      <c r="C342" s="13"/>
    </row>
    <row r="343" spans="1:3" ht="13" x14ac:dyDescent="0.15">
      <c r="A343" s="10"/>
      <c r="B343" s="13"/>
      <c r="C343" s="13"/>
    </row>
    <row r="344" spans="1:3" ht="13" x14ac:dyDescent="0.15">
      <c r="A344" s="10"/>
      <c r="B344" s="13"/>
      <c r="C344" s="13"/>
    </row>
    <row r="345" spans="1:3" ht="13" x14ac:dyDescent="0.15">
      <c r="A345" s="10"/>
      <c r="B345" s="13"/>
      <c r="C345" s="13"/>
    </row>
    <row r="346" spans="1:3" ht="13" x14ac:dyDescent="0.15">
      <c r="A346" s="10"/>
      <c r="B346" s="13"/>
      <c r="C346" s="13"/>
    </row>
    <row r="347" spans="1:3" ht="13" x14ac:dyDescent="0.15">
      <c r="A347" s="10"/>
      <c r="B347" s="13"/>
      <c r="C347" s="13"/>
    </row>
    <row r="348" spans="1:3" ht="13" x14ac:dyDescent="0.15">
      <c r="A348" s="10"/>
      <c r="B348" s="13"/>
      <c r="C348" s="13"/>
    </row>
    <row r="349" spans="1:3" ht="13" x14ac:dyDescent="0.15">
      <c r="A349" s="10"/>
      <c r="B349" s="13"/>
      <c r="C349" s="13"/>
    </row>
    <row r="350" spans="1:3" ht="13" x14ac:dyDescent="0.15">
      <c r="A350" s="10"/>
      <c r="B350" s="13"/>
      <c r="C350" s="13"/>
    </row>
    <row r="351" spans="1:3" ht="13" x14ac:dyDescent="0.15">
      <c r="A351" s="10"/>
      <c r="B351" s="13"/>
      <c r="C351" s="13"/>
    </row>
    <row r="352" spans="1:3" ht="13" x14ac:dyDescent="0.15">
      <c r="A352" s="10"/>
      <c r="B352" s="13"/>
      <c r="C352" s="13"/>
    </row>
    <row r="353" spans="1:3" ht="13" x14ac:dyDescent="0.15">
      <c r="A353" s="10"/>
      <c r="B353" s="13"/>
      <c r="C353" s="13"/>
    </row>
    <row r="354" spans="1:3" ht="13" x14ac:dyDescent="0.15">
      <c r="A354" s="10"/>
      <c r="B354" s="13"/>
      <c r="C354" s="13"/>
    </row>
    <row r="355" spans="1:3" ht="13" x14ac:dyDescent="0.15">
      <c r="A355" s="10"/>
      <c r="B355" s="13"/>
      <c r="C355" s="13"/>
    </row>
    <row r="356" spans="1:3" ht="13" x14ac:dyDescent="0.15">
      <c r="A356" s="10"/>
      <c r="B356" s="13"/>
      <c r="C356" s="13"/>
    </row>
    <row r="357" spans="1:3" ht="13" x14ac:dyDescent="0.15">
      <c r="A357" s="10"/>
      <c r="B357" s="13"/>
      <c r="C357" s="13"/>
    </row>
    <row r="358" spans="1:3" ht="13" x14ac:dyDescent="0.15">
      <c r="A358" s="10"/>
      <c r="B358" s="13"/>
      <c r="C358" s="13"/>
    </row>
    <row r="359" spans="1:3" ht="13" x14ac:dyDescent="0.15">
      <c r="A359" s="10"/>
      <c r="B359" s="13"/>
      <c r="C359" s="13"/>
    </row>
    <row r="360" spans="1:3" ht="13" x14ac:dyDescent="0.15">
      <c r="A360" s="10"/>
      <c r="B360" s="13"/>
      <c r="C360" s="13"/>
    </row>
    <row r="361" spans="1:3" ht="13" x14ac:dyDescent="0.15">
      <c r="A361" s="10"/>
      <c r="B361" s="13"/>
      <c r="C361" s="13"/>
    </row>
    <row r="362" spans="1:3" ht="13" x14ac:dyDescent="0.15">
      <c r="A362" s="10"/>
      <c r="B362" s="13"/>
      <c r="C362" s="13"/>
    </row>
    <row r="363" spans="1:3" ht="13" x14ac:dyDescent="0.15">
      <c r="A363" s="10"/>
      <c r="B363" s="13"/>
      <c r="C363" s="13"/>
    </row>
    <row r="364" spans="1:3" ht="13" x14ac:dyDescent="0.15">
      <c r="A364" s="10"/>
      <c r="B364" s="13"/>
      <c r="C364" s="13"/>
    </row>
    <row r="365" spans="1:3" ht="13" x14ac:dyDescent="0.15">
      <c r="A365" s="10"/>
      <c r="B365" s="13"/>
      <c r="C365" s="13"/>
    </row>
    <row r="366" spans="1:3" ht="13" x14ac:dyDescent="0.15">
      <c r="A366" s="10"/>
      <c r="B366" s="13"/>
      <c r="C366" s="13"/>
    </row>
    <row r="367" spans="1:3" ht="13" x14ac:dyDescent="0.15">
      <c r="A367" s="10"/>
      <c r="B367" s="13"/>
      <c r="C367" s="13"/>
    </row>
    <row r="368" spans="1:3" ht="13" x14ac:dyDescent="0.15">
      <c r="A368" s="10"/>
      <c r="B368" s="13"/>
      <c r="C368" s="13"/>
    </row>
    <row r="369" spans="1:3" ht="13" x14ac:dyDescent="0.15">
      <c r="A369" s="10"/>
      <c r="B369" s="13"/>
      <c r="C369" s="13"/>
    </row>
    <row r="370" spans="1:3" ht="13" x14ac:dyDescent="0.15">
      <c r="A370" s="10"/>
      <c r="B370" s="13"/>
      <c r="C370" s="13"/>
    </row>
    <row r="371" spans="1:3" ht="13" x14ac:dyDescent="0.15">
      <c r="A371" s="10"/>
      <c r="B371" s="13"/>
      <c r="C371" s="13"/>
    </row>
    <row r="372" spans="1:3" ht="13" x14ac:dyDescent="0.15">
      <c r="A372" s="10"/>
      <c r="B372" s="13"/>
      <c r="C372" s="13"/>
    </row>
    <row r="373" spans="1:3" ht="13" x14ac:dyDescent="0.15">
      <c r="A373" s="10"/>
      <c r="B373" s="13"/>
      <c r="C373" s="13"/>
    </row>
    <row r="374" spans="1:3" ht="13" x14ac:dyDescent="0.15">
      <c r="A374" s="10"/>
      <c r="B374" s="13"/>
      <c r="C374" s="13"/>
    </row>
    <row r="375" spans="1:3" ht="13" x14ac:dyDescent="0.15">
      <c r="A375" s="10"/>
      <c r="B375" s="13"/>
      <c r="C375" s="13"/>
    </row>
    <row r="376" spans="1:3" ht="13" x14ac:dyDescent="0.15">
      <c r="A376" s="10"/>
      <c r="B376" s="13"/>
      <c r="C376" s="13"/>
    </row>
    <row r="377" spans="1:3" ht="13" x14ac:dyDescent="0.15">
      <c r="A377" s="10"/>
      <c r="B377" s="13"/>
      <c r="C377" s="13"/>
    </row>
    <row r="378" spans="1:3" ht="13" x14ac:dyDescent="0.15">
      <c r="A378" s="10"/>
      <c r="B378" s="13"/>
      <c r="C378" s="13"/>
    </row>
    <row r="379" spans="1:3" ht="13" x14ac:dyDescent="0.15">
      <c r="A379" s="10"/>
      <c r="B379" s="13"/>
      <c r="C379" s="13"/>
    </row>
    <row r="380" spans="1:3" ht="13" x14ac:dyDescent="0.15">
      <c r="A380" s="10"/>
      <c r="B380" s="13"/>
      <c r="C380" s="13"/>
    </row>
    <row r="381" spans="1:3" ht="13" x14ac:dyDescent="0.15">
      <c r="A381" s="10"/>
      <c r="B381" s="13"/>
      <c r="C381" s="13"/>
    </row>
    <row r="382" spans="1:3" ht="13" x14ac:dyDescent="0.15">
      <c r="A382" s="10"/>
      <c r="B382" s="13"/>
      <c r="C382" s="13"/>
    </row>
    <row r="383" spans="1:3" ht="13" x14ac:dyDescent="0.15">
      <c r="A383" s="10"/>
      <c r="B383" s="13"/>
      <c r="C383" s="13"/>
    </row>
    <row r="384" spans="1:3" ht="13" x14ac:dyDescent="0.15">
      <c r="A384" s="10"/>
      <c r="B384" s="13"/>
      <c r="C384" s="13"/>
    </row>
    <row r="385" spans="1:3" ht="13" x14ac:dyDescent="0.15">
      <c r="A385" s="10"/>
      <c r="B385" s="13"/>
      <c r="C385" s="13"/>
    </row>
    <row r="386" spans="1:3" ht="13" x14ac:dyDescent="0.15">
      <c r="A386" s="10"/>
      <c r="B386" s="13"/>
      <c r="C386" s="13"/>
    </row>
    <row r="387" spans="1:3" ht="13" x14ac:dyDescent="0.15">
      <c r="A387" s="10"/>
      <c r="B387" s="13"/>
      <c r="C387" s="13"/>
    </row>
    <row r="388" spans="1:3" ht="13" x14ac:dyDescent="0.15">
      <c r="A388" s="10"/>
      <c r="B388" s="13"/>
      <c r="C388" s="13"/>
    </row>
    <row r="389" spans="1:3" ht="13" x14ac:dyDescent="0.15">
      <c r="A389" s="10"/>
      <c r="B389" s="13"/>
      <c r="C389" s="13"/>
    </row>
    <row r="390" spans="1:3" ht="13" x14ac:dyDescent="0.15">
      <c r="A390" s="10"/>
      <c r="B390" s="13"/>
      <c r="C390" s="13"/>
    </row>
    <row r="391" spans="1:3" ht="13" x14ac:dyDescent="0.15">
      <c r="A391" s="10"/>
      <c r="B391" s="13"/>
      <c r="C391" s="13"/>
    </row>
    <row r="392" spans="1:3" ht="13" x14ac:dyDescent="0.15">
      <c r="A392" s="10"/>
      <c r="B392" s="13"/>
      <c r="C392" s="13"/>
    </row>
    <row r="393" spans="1:3" ht="13" x14ac:dyDescent="0.15">
      <c r="A393" s="10"/>
      <c r="B393" s="13"/>
      <c r="C393" s="13"/>
    </row>
    <row r="394" spans="1:3" ht="13" x14ac:dyDescent="0.15">
      <c r="A394" s="10"/>
      <c r="B394" s="13"/>
      <c r="C394" s="13"/>
    </row>
    <row r="395" spans="1:3" ht="13" x14ac:dyDescent="0.15">
      <c r="A395" s="10"/>
      <c r="B395" s="13"/>
      <c r="C395" s="13"/>
    </row>
    <row r="396" spans="1:3" ht="13" x14ac:dyDescent="0.15">
      <c r="A396" s="10"/>
      <c r="B396" s="13"/>
      <c r="C396" s="13"/>
    </row>
    <row r="397" spans="1:3" ht="13" x14ac:dyDescent="0.15">
      <c r="A397" s="10"/>
      <c r="B397" s="13"/>
      <c r="C397" s="13"/>
    </row>
    <row r="398" spans="1:3" ht="13" x14ac:dyDescent="0.15">
      <c r="A398" s="10"/>
      <c r="B398" s="13"/>
      <c r="C398" s="13"/>
    </row>
    <row r="399" spans="1:3" ht="13" x14ac:dyDescent="0.15">
      <c r="A399" s="10"/>
      <c r="B399" s="13"/>
      <c r="C399" s="13"/>
    </row>
    <row r="400" spans="1:3" ht="13" x14ac:dyDescent="0.15">
      <c r="A400" s="10"/>
      <c r="B400" s="13"/>
      <c r="C400" s="13"/>
    </row>
    <row r="401" spans="1:3" ht="13" x14ac:dyDescent="0.15">
      <c r="A401" s="10"/>
      <c r="B401" s="13"/>
      <c r="C401" s="13"/>
    </row>
    <row r="402" spans="1:3" ht="13" x14ac:dyDescent="0.15">
      <c r="A402" s="10"/>
      <c r="B402" s="13"/>
      <c r="C402" s="13"/>
    </row>
    <row r="403" spans="1:3" ht="13" x14ac:dyDescent="0.15">
      <c r="A403" s="10"/>
      <c r="B403" s="13"/>
      <c r="C403" s="13"/>
    </row>
    <row r="404" spans="1:3" ht="13" x14ac:dyDescent="0.15">
      <c r="A404" s="10"/>
      <c r="B404" s="13"/>
      <c r="C404" s="13"/>
    </row>
    <row r="405" spans="1:3" ht="13" x14ac:dyDescent="0.15">
      <c r="A405" s="10"/>
      <c r="B405" s="13"/>
      <c r="C405" s="13"/>
    </row>
    <row r="406" spans="1:3" ht="13" x14ac:dyDescent="0.15">
      <c r="A406" s="10"/>
      <c r="B406" s="13"/>
      <c r="C406" s="13"/>
    </row>
    <row r="407" spans="1:3" ht="13" x14ac:dyDescent="0.15">
      <c r="A407" s="10"/>
      <c r="B407" s="13"/>
      <c r="C407" s="13"/>
    </row>
    <row r="408" spans="1:3" ht="13" x14ac:dyDescent="0.15">
      <c r="A408" s="10"/>
      <c r="B408" s="13"/>
      <c r="C408" s="13"/>
    </row>
    <row r="409" spans="1:3" ht="13" x14ac:dyDescent="0.15">
      <c r="A409" s="10"/>
      <c r="B409" s="13"/>
      <c r="C409" s="13"/>
    </row>
    <row r="410" spans="1:3" ht="13" x14ac:dyDescent="0.15">
      <c r="A410" s="10"/>
      <c r="B410" s="13"/>
      <c r="C410" s="13"/>
    </row>
    <row r="411" spans="1:3" ht="13" x14ac:dyDescent="0.15">
      <c r="A411" s="10"/>
      <c r="B411" s="13"/>
      <c r="C411" s="13"/>
    </row>
    <row r="412" spans="1:3" ht="13" x14ac:dyDescent="0.15">
      <c r="A412" s="10"/>
      <c r="B412" s="13"/>
      <c r="C412" s="13"/>
    </row>
    <row r="413" spans="1:3" ht="13" x14ac:dyDescent="0.15">
      <c r="A413" s="10"/>
      <c r="B413" s="13"/>
      <c r="C413" s="13"/>
    </row>
    <row r="414" spans="1:3" ht="13" x14ac:dyDescent="0.15">
      <c r="A414" s="10"/>
      <c r="B414" s="13"/>
      <c r="C414" s="13"/>
    </row>
    <row r="415" spans="1:3" ht="13" x14ac:dyDescent="0.15">
      <c r="A415" s="10"/>
      <c r="B415" s="13"/>
      <c r="C415" s="13"/>
    </row>
    <row r="416" spans="1:3" ht="13" x14ac:dyDescent="0.15">
      <c r="A416" s="10"/>
      <c r="B416" s="13"/>
      <c r="C416" s="13"/>
    </row>
    <row r="417" spans="1:3" ht="13" x14ac:dyDescent="0.15">
      <c r="A417" s="10"/>
      <c r="B417" s="13"/>
      <c r="C417" s="13"/>
    </row>
    <row r="418" spans="1:3" ht="13" x14ac:dyDescent="0.15">
      <c r="A418" s="10"/>
      <c r="B418" s="13"/>
      <c r="C418" s="13"/>
    </row>
    <row r="419" spans="1:3" ht="13" x14ac:dyDescent="0.15">
      <c r="A419" s="10"/>
      <c r="B419" s="13"/>
      <c r="C419" s="13"/>
    </row>
    <row r="420" spans="1:3" ht="13" x14ac:dyDescent="0.15">
      <c r="A420" s="10"/>
      <c r="B420" s="13"/>
      <c r="C420" s="13"/>
    </row>
    <row r="421" spans="1:3" ht="13" x14ac:dyDescent="0.15">
      <c r="A421" s="10"/>
      <c r="B421" s="13"/>
      <c r="C421" s="13"/>
    </row>
    <row r="422" spans="1:3" ht="13" x14ac:dyDescent="0.15">
      <c r="A422" s="10"/>
      <c r="B422" s="13"/>
      <c r="C422" s="13"/>
    </row>
    <row r="423" spans="1:3" ht="13" x14ac:dyDescent="0.15">
      <c r="A423" s="10"/>
      <c r="B423" s="13"/>
      <c r="C423" s="13"/>
    </row>
    <row r="424" spans="1:3" ht="13" x14ac:dyDescent="0.15">
      <c r="A424" s="10"/>
      <c r="B424" s="13"/>
      <c r="C424" s="13"/>
    </row>
    <row r="425" spans="1:3" ht="13" x14ac:dyDescent="0.15">
      <c r="A425" s="10"/>
      <c r="B425" s="13"/>
      <c r="C425" s="13"/>
    </row>
    <row r="426" spans="1:3" ht="13" x14ac:dyDescent="0.15">
      <c r="A426" s="10"/>
      <c r="B426" s="13"/>
      <c r="C426" s="13"/>
    </row>
    <row r="427" spans="1:3" ht="13" x14ac:dyDescent="0.15">
      <c r="A427" s="10"/>
      <c r="B427" s="13"/>
      <c r="C427" s="13"/>
    </row>
    <row r="428" spans="1:3" ht="13" x14ac:dyDescent="0.15">
      <c r="A428" s="10"/>
      <c r="B428" s="13"/>
      <c r="C428" s="13"/>
    </row>
    <row r="429" spans="1:3" ht="13" x14ac:dyDescent="0.15">
      <c r="A429" s="10"/>
      <c r="B429" s="13"/>
      <c r="C429" s="13"/>
    </row>
    <row r="430" spans="1:3" ht="13" x14ac:dyDescent="0.15">
      <c r="A430" s="10"/>
      <c r="B430" s="13"/>
      <c r="C430" s="13"/>
    </row>
    <row r="431" spans="1:3" ht="13" x14ac:dyDescent="0.15">
      <c r="A431" s="10"/>
      <c r="B431" s="13"/>
      <c r="C431" s="13"/>
    </row>
    <row r="432" spans="1:3" ht="13" x14ac:dyDescent="0.15">
      <c r="A432" s="10"/>
      <c r="B432" s="13"/>
      <c r="C432" s="13"/>
    </row>
    <row r="433" spans="1:3" ht="13" x14ac:dyDescent="0.15">
      <c r="A433" s="10"/>
      <c r="B433" s="13"/>
      <c r="C433" s="13"/>
    </row>
    <row r="434" spans="1:3" ht="13" x14ac:dyDescent="0.15">
      <c r="A434" s="10"/>
      <c r="B434" s="13"/>
      <c r="C434" s="13"/>
    </row>
    <row r="435" spans="1:3" ht="13" x14ac:dyDescent="0.15">
      <c r="A435" s="10"/>
      <c r="B435" s="13"/>
      <c r="C435" s="13"/>
    </row>
    <row r="436" spans="1:3" ht="13" x14ac:dyDescent="0.15">
      <c r="A436" s="10"/>
      <c r="B436" s="13"/>
      <c r="C436" s="13"/>
    </row>
    <row r="437" spans="1:3" ht="13" x14ac:dyDescent="0.15">
      <c r="A437" s="10"/>
      <c r="B437" s="13"/>
      <c r="C437" s="13"/>
    </row>
    <row r="438" spans="1:3" ht="13" x14ac:dyDescent="0.15">
      <c r="A438" s="10"/>
      <c r="B438" s="13"/>
      <c r="C438" s="13"/>
    </row>
    <row r="439" spans="1:3" ht="13" x14ac:dyDescent="0.15">
      <c r="A439" s="10"/>
      <c r="B439" s="13"/>
      <c r="C439" s="13"/>
    </row>
    <row r="440" spans="1:3" ht="13" x14ac:dyDescent="0.15">
      <c r="A440" s="10"/>
      <c r="B440" s="13"/>
      <c r="C440" s="13"/>
    </row>
    <row r="441" spans="1:3" ht="13" x14ac:dyDescent="0.15">
      <c r="A441" s="10"/>
      <c r="B441" s="13"/>
      <c r="C441" s="13"/>
    </row>
    <row r="442" spans="1:3" ht="13" x14ac:dyDescent="0.15">
      <c r="A442" s="10"/>
      <c r="B442" s="13"/>
      <c r="C442" s="13"/>
    </row>
    <row r="443" spans="1:3" ht="13" x14ac:dyDescent="0.15">
      <c r="A443" s="10"/>
      <c r="B443" s="13"/>
      <c r="C443" s="13"/>
    </row>
    <row r="444" spans="1:3" ht="13" x14ac:dyDescent="0.15">
      <c r="A444" s="10"/>
      <c r="B444" s="13"/>
      <c r="C444" s="13"/>
    </row>
    <row r="445" spans="1:3" ht="13" x14ac:dyDescent="0.15">
      <c r="A445" s="10"/>
      <c r="B445" s="13"/>
      <c r="C445" s="13"/>
    </row>
    <row r="446" spans="1:3" ht="13" x14ac:dyDescent="0.15">
      <c r="A446" s="10"/>
      <c r="B446" s="13"/>
      <c r="C446" s="13"/>
    </row>
    <row r="447" spans="1:3" ht="13" x14ac:dyDescent="0.15">
      <c r="A447" s="10"/>
      <c r="B447" s="13"/>
      <c r="C447" s="13"/>
    </row>
    <row r="448" spans="1:3" ht="13" x14ac:dyDescent="0.15">
      <c r="A448" s="10"/>
      <c r="B448" s="13"/>
      <c r="C448" s="13"/>
    </row>
    <row r="449" spans="1:3" ht="13" x14ac:dyDescent="0.15">
      <c r="A449" s="10"/>
      <c r="B449" s="13"/>
      <c r="C449" s="13"/>
    </row>
    <row r="450" spans="1:3" ht="13" x14ac:dyDescent="0.15">
      <c r="A450" s="10"/>
      <c r="B450" s="13"/>
      <c r="C450" s="13"/>
    </row>
    <row r="451" spans="1:3" ht="13" x14ac:dyDescent="0.15">
      <c r="A451" s="10"/>
      <c r="B451" s="13"/>
      <c r="C451" s="13"/>
    </row>
    <row r="452" spans="1:3" ht="13" x14ac:dyDescent="0.15">
      <c r="A452" s="10"/>
      <c r="B452" s="13"/>
      <c r="C452" s="13"/>
    </row>
    <row r="453" spans="1:3" ht="13" x14ac:dyDescent="0.15">
      <c r="A453" s="10"/>
      <c r="B453" s="13"/>
      <c r="C453" s="13"/>
    </row>
    <row r="454" spans="1:3" ht="13" x14ac:dyDescent="0.15">
      <c r="A454" s="10"/>
      <c r="B454" s="13"/>
      <c r="C454" s="13"/>
    </row>
    <row r="455" spans="1:3" ht="13" x14ac:dyDescent="0.15">
      <c r="A455" s="10"/>
      <c r="B455" s="13"/>
      <c r="C455" s="13"/>
    </row>
    <row r="456" spans="1:3" ht="13" x14ac:dyDescent="0.15">
      <c r="A456" s="10"/>
      <c r="B456" s="13"/>
      <c r="C456" s="13"/>
    </row>
    <row r="457" spans="1:3" ht="13" x14ac:dyDescent="0.15">
      <c r="A457" s="10"/>
      <c r="B457" s="13"/>
      <c r="C457" s="13"/>
    </row>
    <row r="458" spans="1:3" ht="13" x14ac:dyDescent="0.15">
      <c r="A458" s="10"/>
      <c r="B458" s="13"/>
      <c r="C458" s="13"/>
    </row>
    <row r="459" spans="1:3" ht="13" x14ac:dyDescent="0.15">
      <c r="A459" s="10"/>
      <c r="B459" s="13"/>
      <c r="C459" s="13"/>
    </row>
    <row r="460" spans="1:3" ht="13" x14ac:dyDescent="0.15">
      <c r="A460" s="10"/>
      <c r="B460" s="13"/>
      <c r="C460" s="13"/>
    </row>
    <row r="461" spans="1:3" ht="13" x14ac:dyDescent="0.15">
      <c r="A461" s="10"/>
      <c r="B461" s="13"/>
      <c r="C461" s="13"/>
    </row>
    <row r="462" spans="1:3" ht="13" x14ac:dyDescent="0.15">
      <c r="A462" s="10"/>
      <c r="B462" s="13"/>
      <c r="C462" s="13"/>
    </row>
    <row r="463" spans="1:3" ht="13" x14ac:dyDescent="0.15">
      <c r="A463" s="10"/>
      <c r="B463" s="13"/>
      <c r="C463" s="13"/>
    </row>
    <row r="464" spans="1:3" ht="13" x14ac:dyDescent="0.15">
      <c r="A464" s="10"/>
      <c r="B464" s="13"/>
      <c r="C464" s="13"/>
    </row>
    <row r="465" spans="1:3" ht="13" x14ac:dyDescent="0.15">
      <c r="A465" s="10"/>
      <c r="B465" s="13"/>
      <c r="C465" s="13"/>
    </row>
    <row r="466" spans="1:3" ht="13" x14ac:dyDescent="0.15">
      <c r="A466" s="10"/>
      <c r="B466" s="13"/>
      <c r="C466" s="13"/>
    </row>
    <row r="467" spans="1:3" ht="13" x14ac:dyDescent="0.15">
      <c r="A467" s="10"/>
      <c r="B467" s="13"/>
      <c r="C467" s="13"/>
    </row>
    <row r="468" spans="1:3" ht="13" x14ac:dyDescent="0.15">
      <c r="A468" s="10"/>
      <c r="B468" s="13"/>
      <c r="C468" s="13"/>
    </row>
    <row r="469" spans="1:3" ht="13" x14ac:dyDescent="0.15">
      <c r="A469" s="10"/>
      <c r="B469" s="13"/>
      <c r="C469" s="13"/>
    </row>
    <row r="470" spans="1:3" ht="13" x14ac:dyDescent="0.15">
      <c r="A470" s="10"/>
      <c r="B470" s="13"/>
      <c r="C470" s="13"/>
    </row>
    <row r="471" spans="1:3" ht="13" x14ac:dyDescent="0.15">
      <c r="A471" s="10"/>
      <c r="B471" s="13"/>
      <c r="C471" s="13"/>
    </row>
    <row r="472" spans="1:3" ht="13" x14ac:dyDescent="0.15">
      <c r="A472" s="10"/>
      <c r="B472" s="13"/>
      <c r="C472" s="13"/>
    </row>
    <row r="473" spans="1:3" ht="13" x14ac:dyDescent="0.15">
      <c r="A473" s="10"/>
      <c r="B473" s="13"/>
      <c r="C473" s="13"/>
    </row>
    <row r="474" spans="1:3" ht="13" x14ac:dyDescent="0.15">
      <c r="A474" s="10"/>
      <c r="B474" s="13"/>
      <c r="C474" s="13"/>
    </row>
    <row r="475" spans="1:3" ht="13" x14ac:dyDescent="0.15">
      <c r="A475" s="10"/>
      <c r="B475" s="13"/>
      <c r="C475" s="13"/>
    </row>
    <row r="476" spans="1:3" ht="13" x14ac:dyDescent="0.15">
      <c r="A476" s="10"/>
      <c r="B476" s="13"/>
      <c r="C476" s="13"/>
    </row>
    <row r="477" spans="1:3" ht="13" x14ac:dyDescent="0.15">
      <c r="A477" s="10"/>
      <c r="B477" s="13"/>
      <c r="C477" s="13"/>
    </row>
    <row r="478" spans="1:3" ht="13" x14ac:dyDescent="0.15">
      <c r="A478" s="10"/>
      <c r="B478" s="13"/>
      <c r="C478" s="13"/>
    </row>
    <row r="479" spans="1:3" ht="13" x14ac:dyDescent="0.15">
      <c r="A479" s="10"/>
      <c r="B479" s="13"/>
      <c r="C479" s="13"/>
    </row>
    <row r="480" spans="1:3" ht="13" x14ac:dyDescent="0.15">
      <c r="A480" s="10"/>
      <c r="B480" s="13"/>
      <c r="C480" s="13"/>
    </row>
    <row r="481" spans="1:3" ht="13" x14ac:dyDescent="0.15">
      <c r="A481" s="10"/>
      <c r="B481" s="13"/>
      <c r="C481" s="13"/>
    </row>
    <row r="482" spans="1:3" ht="13" x14ac:dyDescent="0.15">
      <c r="A482" s="10"/>
      <c r="B482" s="13"/>
      <c r="C482" s="13"/>
    </row>
    <row r="483" spans="1:3" ht="13" x14ac:dyDescent="0.15">
      <c r="A483" s="10"/>
      <c r="B483" s="13"/>
      <c r="C483" s="13"/>
    </row>
    <row r="484" spans="1:3" ht="13" x14ac:dyDescent="0.15">
      <c r="A484" s="10"/>
      <c r="B484" s="13"/>
      <c r="C484" s="13"/>
    </row>
    <row r="485" spans="1:3" ht="13" x14ac:dyDescent="0.15">
      <c r="A485" s="10"/>
      <c r="B485" s="13"/>
      <c r="C485" s="13"/>
    </row>
    <row r="486" spans="1:3" ht="13" x14ac:dyDescent="0.15">
      <c r="A486" s="10"/>
      <c r="B486" s="13"/>
      <c r="C486" s="13"/>
    </row>
    <row r="487" spans="1:3" ht="13" x14ac:dyDescent="0.15">
      <c r="A487" s="10"/>
      <c r="B487" s="13"/>
      <c r="C487" s="13"/>
    </row>
    <row r="488" spans="1:3" ht="13" x14ac:dyDescent="0.15">
      <c r="A488" s="10"/>
      <c r="B488" s="13"/>
      <c r="C488" s="13"/>
    </row>
    <row r="489" spans="1:3" ht="13" x14ac:dyDescent="0.15">
      <c r="A489" s="10"/>
      <c r="B489" s="13"/>
      <c r="C489" s="13"/>
    </row>
    <row r="490" spans="1:3" ht="13" x14ac:dyDescent="0.15">
      <c r="A490" s="10"/>
      <c r="B490" s="13"/>
      <c r="C490" s="13"/>
    </row>
    <row r="491" spans="1:3" ht="13" x14ac:dyDescent="0.15">
      <c r="A491" s="10"/>
      <c r="B491" s="13"/>
      <c r="C491" s="13"/>
    </row>
    <row r="492" spans="1:3" ht="13" x14ac:dyDescent="0.15">
      <c r="A492" s="10"/>
      <c r="B492" s="13"/>
      <c r="C492" s="13"/>
    </row>
    <row r="493" spans="1:3" ht="13" x14ac:dyDescent="0.15">
      <c r="A493" s="10"/>
      <c r="B493" s="13"/>
      <c r="C493" s="13"/>
    </row>
    <row r="494" spans="1:3" ht="13" x14ac:dyDescent="0.15">
      <c r="A494" s="10"/>
      <c r="B494" s="13"/>
      <c r="C494" s="13"/>
    </row>
    <row r="495" spans="1:3" ht="13" x14ac:dyDescent="0.15">
      <c r="A495" s="10"/>
      <c r="B495" s="13"/>
      <c r="C495" s="13"/>
    </row>
    <row r="496" spans="1:3" ht="13" x14ac:dyDescent="0.15">
      <c r="A496" s="10"/>
      <c r="B496" s="13"/>
      <c r="C496" s="13"/>
    </row>
    <row r="497" spans="1:3" ht="13" x14ac:dyDescent="0.15">
      <c r="A497" s="10"/>
      <c r="B497" s="13"/>
      <c r="C497" s="13"/>
    </row>
    <row r="498" spans="1:3" ht="13" x14ac:dyDescent="0.15">
      <c r="A498" s="10"/>
      <c r="B498" s="13"/>
      <c r="C498" s="13"/>
    </row>
    <row r="499" spans="1:3" ht="13" x14ac:dyDescent="0.15">
      <c r="A499" s="10"/>
      <c r="B499" s="13"/>
      <c r="C499" s="13"/>
    </row>
    <row r="500" spans="1:3" ht="13" x14ac:dyDescent="0.15">
      <c r="A500" s="10"/>
      <c r="B500" s="13"/>
      <c r="C500" s="13"/>
    </row>
    <row r="501" spans="1:3" ht="13" x14ac:dyDescent="0.15">
      <c r="A501" s="10"/>
      <c r="B501" s="13"/>
      <c r="C501" s="13"/>
    </row>
    <row r="502" spans="1:3" ht="13" x14ac:dyDescent="0.15">
      <c r="A502" s="10"/>
      <c r="B502" s="13"/>
      <c r="C502" s="13"/>
    </row>
    <row r="503" spans="1:3" ht="13" x14ac:dyDescent="0.15">
      <c r="A503" s="10"/>
      <c r="B503" s="13"/>
      <c r="C503" s="13"/>
    </row>
    <row r="504" spans="1:3" ht="13" x14ac:dyDescent="0.15">
      <c r="A504" s="10"/>
      <c r="B504" s="13"/>
      <c r="C504" s="13"/>
    </row>
    <row r="505" spans="1:3" ht="13" x14ac:dyDescent="0.15">
      <c r="A505" s="10"/>
      <c r="B505" s="13"/>
      <c r="C505" s="13"/>
    </row>
    <row r="506" spans="1:3" ht="13" x14ac:dyDescent="0.15">
      <c r="A506" s="10"/>
      <c r="B506" s="13"/>
      <c r="C506" s="13"/>
    </row>
    <row r="507" spans="1:3" ht="13" x14ac:dyDescent="0.15">
      <c r="A507" s="10"/>
      <c r="B507" s="13"/>
      <c r="C507" s="13"/>
    </row>
    <row r="508" spans="1:3" ht="13" x14ac:dyDescent="0.15">
      <c r="A508" s="10"/>
      <c r="B508" s="13"/>
      <c r="C508" s="13"/>
    </row>
    <row r="509" spans="1:3" ht="13" x14ac:dyDescent="0.15">
      <c r="A509" s="10"/>
      <c r="B509" s="13"/>
      <c r="C509" s="13"/>
    </row>
    <row r="510" spans="1:3" ht="13" x14ac:dyDescent="0.15">
      <c r="A510" s="10"/>
      <c r="B510" s="13"/>
      <c r="C510" s="13"/>
    </row>
    <row r="511" spans="1:3" ht="13" x14ac:dyDescent="0.15">
      <c r="A511" s="10"/>
      <c r="B511" s="13"/>
      <c r="C511" s="13"/>
    </row>
    <row r="512" spans="1:3" ht="13" x14ac:dyDescent="0.15">
      <c r="A512" s="10"/>
      <c r="B512" s="13"/>
      <c r="C512" s="13"/>
    </row>
    <row r="513" spans="1:3" ht="13" x14ac:dyDescent="0.15">
      <c r="A513" s="10"/>
      <c r="B513" s="13"/>
      <c r="C513" s="13"/>
    </row>
    <row r="514" spans="1:3" ht="13" x14ac:dyDescent="0.15">
      <c r="A514" s="10"/>
      <c r="B514" s="13"/>
      <c r="C514" s="13"/>
    </row>
    <row r="515" spans="1:3" ht="13" x14ac:dyDescent="0.15">
      <c r="A515" s="10"/>
      <c r="B515" s="13"/>
      <c r="C515" s="13"/>
    </row>
    <row r="516" spans="1:3" ht="13" x14ac:dyDescent="0.15">
      <c r="A516" s="10"/>
      <c r="B516" s="13"/>
      <c r="C516" s="13"/>
    </row>
    <row r="517" spans="1:3" ht="13" x14ac:dyDescent="0.15">
      <c r="A517" s="10"/>
      <c r="B517" s="13"/>
      <c r="C517" s="13"/>
    </row>
    <row r="518" spans="1:3" ht="13" x14ac:dyDescent="0.15">
      <c r="A518" s="10"/>
      <c r="B518" s="13"/>
      <c r="C518" s="13"/>
    </row>
    <row r="519" spans="1:3" ht="13" x14ac:dyDescent="0.15">
      <c r="A519" s="10"/>
      <c r="B519" s="13"/>
      <c r="C519" s="13"/>
    </row>
    <row r="520" spans="1:3" ht="13" x14ac:dyDescent="0.15">
      <c r="A520" s="10"/>
      <c r="B520" s="13"/>
      <c r="C520" s="13"/>
    </row>
    <row r="521" spans="1:3" ht="13" x14ac:dyDescent="0.15">
      <c r="A521" s="10"/>
      <c r="B521" s="13"/>
      <c r="C521" s="13"/>
    </row>
    <row r="522" spans="1:3" ht="13" x14ac:dyDescent="0.15">
      <c r="A522" s="10"/>
      <c r="B522" s="13"/>
      <c r="C522" s="13"/>
    </row>
    <row r="523" spans="1:3" ht="13" x14ac:dyDescent="0.15">
      <c r="A523" s="10"/>
      <c r="B523" s="13"/>
      <c r="C523" s="13"/>
    </row>
    <row r="524" spans="1:3" ht="13" x14ac:dyDescent="0.15">
      <c r="A524" s="10"/>
      <c r="B524" s="13"/>
      <c r="C524" s="13"/>
    </row>
    <row r="525" spans="1:3" ht="13" x14ac:dyDescent="0.15">
      <c r="A525" s="10"/>
      <c r="B525" s="13"/>
      <c r="C525" s="13"/>
    </row>
    <row r="526" spans="1:3" ht="13" x14ac:dyDescent="0.15">
      <c r="A526" s="10"/>
      <c r="B526" s="13"/>
      <c r="C526" s="13"/>
    </row>
    <row r="527" spans="1:3" ht="13" x14ac:dyDescent="0.15">
      <c r="A527" s="10"/>
      <c r="B527" s="13"/>
      <c r="C527" s="13"/>
    </row>
    <row r="528" spans="1:3" ht="13" x14ac:dyDescent="0.15">
      <c r="A528" s="10"/>
      <c r="B528" s="13"/>
      <c r="C528" s="13"/>
    </row>
    <row r="529" spans="1:3" ht="13" x14ac:dyDescent="0.15">
      <c r="A529" s="10"/>
      <c r="B529" s="13"/>
      <c r="C529" s="13"/>
    </row>
    <row r="530" spans="1:3" ht="13" x14ac:dyDescent="0.15">
      <c r="A530" s="10"/>
      <c r="B530" s="13"/>
      <c r="C530" s="13"/>
    </row>
    <row r="531" spans="1:3" ht="13" x14ac:dyDescent="0.15">
      <c r="A531" s="10"/>
      <c r="B531" s="13"/>
      <c r="C531" s="13"/>
    </row>
    <row r="532" spans="1:3" ht="13" x14ac:dyDescent="0.15">
      <c r="A532" s="10"/>
      <c r="B532" s="13"/>
      <c r="C532" s="13"/>
    </row>
    <row r="533" spans="1:3" ht="13" x14ac:dyDescent="0.15">
      <c r="A533" s="10"/>
      <c r="B533" s="13"/>
      <c r="C533" s="13"/>
    </row>
    <row r="534" spans="1:3" ht="13" x14ac:dyDescent="0.15">
      <c r="A534" s="10"/>
      <c r="B534" s="13"/>
      <c r="C534" s="13"/>
    </row>
    <row r="535" spans="1:3" ht="13" x14ac:dyDescent="0.15">
      <c r="A535" s="10"/>
      <c r="B535" s="13"/>
      <c r="C535" s="13"/>
    </row>
    <row r="536" spans="1:3" ht="13" x14ac:dyDescent="0.15">
      <c r="A536" s="10"/>
      <c r="B536" s="13"/>
      <c r="C536" s="13"/>
    </row>
    <row r="537" spans="1:3" ht="13" x14ac:dyDescent="0.15">
      <c r="A537" s="10"/>
      <c r="B537" s="13"/>
      <c r="C537" s="13"/>
    </row>
    <row r="538" spans="1:3" ht="13" x14ac:dyDescent="0.15">
      <c r="A538" s="10"/>
      <c r="B538" s="13"/>
      <c r="C538" s="13"/>
    </row>
    <row r="539" spans="1:3" ht="13" x14ac:dyDescent="0.15">
      <c r="A539" s="10"/>
      <c r="B539" s="13"/>
      <c r="C539" s="13"/>
    </row>
    <row r="540" spans="1:3" ht="13" x14ac:dyDescent="0.15">
      <c r="A540" s="10"/>
      <c r="B540" s="13"/>
      <c r="C540" s="13"/>
    </row>
    <row r="541" spans="1:3" ht="13" x14ac:dyDescent="0.15">
      <c r="A541" s="10"/>
      <c r="B541" s="13"/>
      <c r="C541" s="13"/>
    </row>
    <row r="542" spans="1:3" ht="13" x14ac:dyDescent="0.15">
      <c r="A542" s="10"/>
      <c r="B542" s="13"/>
      <c r="C542" s="13"/>
    </row>
    <row r="543" spans="1:3" ht="13" x14ac:dyDescent="0.15">
      <c r="A543" s="10"/>
      <c r="B543" s="13"/>
      <c r="C543" s="13"/>
    </row>
    <row r="544" spans="1:3" ht="13" x14ac:dyDescent="0.15">
      <c r="A544" s="10"/>
      <c r="B544" s="13"/>
      <c r="C544" s="13"/>
    </row>
    <row r="545" spans="1:3" ht="13" x14ac:dyDescent="0.15">
      <c r="A545" s="10"/>
      <c r="B545" s="13"/>
      <c r="C545" s="13"/>
    </row>
    <row r="546" spans="1:3" ht="13" x14ac:dyDescent="0.15">
      <c r="A546" s="10"/>
      <c r="B546" s="13"/>
      <c r="C546" s="13"/>
    </row>
    <row r="547" spans="1:3" ht="13" x14ac:dyDescent="0.15">
      <c r="A547" s="10"/>
      <c r="B547" s="13"/>
      <c r="C547" s="13"/>
    </row>
    <row r="548" spans="1:3" ht="13" x14ac:dyDescent="0.15">
      <c r="A548" s="10"/>
      <c r="B548" s="13"/>
      <c r="C548" s="13"/>
    </row>
    <row r="549" spans="1:3" ht="13" x14ac:dyDescent="0.15">
      <c r="A549" s="10"/>
      <c r="B549" s="13"/>
      <c r="C549" s="13"/>
    </row>
    <row r="550" spans="1:3" ht="13" x14ac:dyDescent="0.15">
      <c r="A550" s="10"/>
      <c r="B550" s="13"/>
      <c r="C550" s="13"/>
    </row>
    <row r="551" spans="1:3" ht="13" x14ac:dyDescent="0.15">
      <c r="A551" s="10"/>
      <c r="B551" s="13"/>
      <c r="C551" s="13"/>
    </row>
    <row r="552" spans="1:3" ht="13" x14ac:dyDescent="0.15">
      <c r="A552" s="10"/>
      <c r="B552" s="13"/>
      <c r="C552" s="13"/>
    </row>
    <row r="553" spans="1:3" ht="13" x14ac:dyDescent="0.15">
      <c r="A553" s="10"/>
      <c r="B553" s="13"/>
      <c r="C553" s="13"/>
    </row>
    <row r="554" spans="1:3" ht="13" x14ac:dyDescent="0.15">
      <c r="A554" s="10"/>
      <c r="B554" s="13"/>
      <c r="C554" s="13"/>
    </row>
    <row r="555" spans="1:3" ht="13" x14ac:dyDescent="0.15">
      <c r="A555" s="10"/>
      <c r="B555" s="13"/>
      <c r="C555" s="13"/>
    </row>
    <row r="556" spans="1:3" ht="13" x14ac:dyDescent="0.15">
      <c r="A556" s="10"/>
      <c r="B556" s="13"/>
      <c r="C556" s="13"/>
    </row>
    <row r="557" spans="1:3" ht="13" x14ac:dyDescent="0.15">
      <c r="A557" s="10"/>
      <c r="B557" s="13"/>
      <c r="C557" s="13"/>
    </row>
    <row r="558" spans="1:3" ht="13" x14ac:dyDescent="0.15">
      <c r="A558" s="10"/>
      <c r="B558" s="13"/>
      <c r="C558" s="13"/>
    </row>
    <row r="559" spans="1:3" ht="13" x14ac:dyDescent="0.15">
      <c r="A559" s="10"/>
      <c r="B559" s="13"/>
      <c r="C559" s="13"/>
    </row>
    <row r="560" spans="1:3" ht="13" x14ac:dyDescent="0.15">
      <c r="A560" s="10"/>
      <c r="B560" s="13"/>
      <c r="C560" s="13"/>
    </row>
    <row r="561" spans="1:3" ht="13" x14ac:dyDescent="0.15">
      <c r="A561" s="10"/>
      <c r="B561" s="13"/>
      <c r="C561" s="13"/>
    </row>
    <row r="562" spans="1:3" ht="13" x14ac:dyDescent="0.15">
      <c r="A562" s="10"/>
      <c r="B562" s="13"/>
      <c r="C562" s="13"/>
    </row>
    <row r="563" spans="1:3" ht="13" x14ac:dyDescent="0.15">
      <c r="A563" s="10"/>
      <c r="B563" s="13"/>
      <c r="C563" s="13"/>
    </row>
    <row r="564" spans="1:3" ht="13" x14ac:dyDescent="0.15">
      <c r="A564" s="10"/>
      <c r="B564" s="13"/>
      <c r="C564" s="13"/>
    </row>
    <row r="565" spans="1:3" ht="13" x14ac:dyDescent="0.15">
      <c r="A565" s="10"/>
      <c r="B565" s="13"/>
      <c r="C565" s="13"/>
    </row>
    <row r="566" spans="1:3" ht="13" x14ac:dyDescent="0.15">
      <c r="A566" s="10"/>
      <c r="B566" s="13"/>
      <c r="C566" s="13"/>
    </row>
    <row r="567" spans="1:3" ht="13" x14ac:dyDescent="0.15">
      <c r="A567" s="10"/>
      <c r="B567" s="13"/>
      <c r="C567" s="13"/>
    </row>
    <row r="568" spans="1:3" ht="13" x14ac:dyDescent="0.15">
      <c r="A568" s="10"/>
      <c r="B568" s="13"/>
      <c r="C568" s="13"/>
    </row>
    <row r="569" spans="1:3" ht="13" x14ac:dyDescent="0.15">
      <c r="A569" s="10"/>
      <c r="B569" s="13"/>
      <c r="C569" s="13"/>
    </row>
    <row r="570" spans="1:3" ht="13" x14ac:dyDescent="0.15">
      <c r="A570" s="10"/>
      <c r="B570" s="13"/>
      <c r="C570" s="13"/>
    </row>
    <row r="571" spans="1:3" ht="13" x14ac:dyDescent="0.15">
      <c r="A571" s="10"/>
      <c r="B571" s="13"/>
      <c r="C571" s="13"/>
    </row>
    <row r="572" spans="1:3" ht="13" x14ac:dyDescent="0.15">
      <c r="A572" s="10"/>
      <c r="B572" s="13"/>
      <c r="C572" s="13"/>
    </row>
    <row r="573" spans="1:3" ht="13" x14ac:dyDescent="0.15">
      <c r="A573" s="10"/>
      <c r="B573" s="13"/>
      <c r="C573" s="13"/>
    </row>
    <row r="574" spans="1:3" ht="13" x14ac:dyDescent="0.15">
      <c r="A574" s="10"/>
      <c r="B574" s="13"/>
      <c r="C574" s="13"/>
    </row>
    <row r="575" spans="1:3" ht="13" x14ac:dyDescent="0.15">
      <c r="A575" s="10"/>
      <c r="B575" s="13"/>
      <c r="C575" s="13"/>
    </row>
    <row r="576" spans="1:3" ht="13" x14ac:dyDescent="0.15">
      <c r="A576" s="10"/>
      <c r="B576" s="13"/>
      <c r="C576" s="13"/>
    </row>
    <row r="577" spans="1:3" ht="13" x14ac:dyDescent="0.15">
      <c r="A577" s="10"/>
      <c r="B577" s="13"/>
      <c r="C577" s="13"/>
    </row>
    <row r="578" spans="1:3" ht="13" x14ac:dyDescent="0.15">
      <c r="A578" s="10"/>
      <c r="B578" s="13"/>
      <c r="C578" s="13"/>
    </row>
    <row r="579" spans="1:3" ht="13" x14ac:dyDescent="0.15">
      <c r="A579" s="10"/>
      <c r="B579" s="13"/>
      <c r="C579" s="13"/>
    </row>
    <row r="580" spans="1:3" ht="13" x14ac:dyDescent="0.15">
      <c r="A580" s="10"/>
      <c r="B580" s="13"/>
      <c r="C580" s="13"/>
    </row>
    <row r="581" spans="1:3" ht="13" x14ac:dyDescent="0.15">
      <c r="A581" s="10"/>
      <c r="B581" s="13"/>
      <c r="C581" s="13"/>
    </row>
    <row r="582" spans="1:3" ht="13" x14ac:dyDescent="0.15">
      <c r="A582" s="10"/>
      <c r="B582" s="13"/>
      <c r="C582" s="13"/>
    </row>
    <row r="583" spans="1:3" ht="13" x14ac:dyDescent="0.15">
      <c r="A583" s="10"/>
      <c r="B583" s="13"/>
      <c r="C583" s="13"/>
    </row>
    <row r="584" spans="1:3" ht="13" x14ac:dyDescent="0.15">
      <c r="A584" s="10"/>
      <c r="B584" s="13"/>
      <c r="C584" s="13"/>
    </row>
    <row r="585" spans="1:3" ht="13" x14ac:dyDescent="0.15">
      <c r="A585" s="10"/>
      <c r="B585" s="13"/>
      <c r="C585" s="13"/>
    </row>
    <row r="586" spans="1:3" ht="13" x14ac:dyDescent="0.15">
      <c r="A586" s="10"/>
      <c r="B586" s="13"/>
      <c r="C586" s="13"/>
    </row>
    <row r="587" spans="1:3" ht="13" x14ac:dyDescent="0.15">
      <c r="A587" s="10"/>
      <c r="B587" s="13"/>
      <c r="C587" s="13"/>
    </row>
    <row r="588" spans="1:3" ht="13" x14ac:dyDescent="0.15">
      <c r="A588" s="10"/>
      <c r="B588" s="13"/>
      <c r="C588" s="13"/>
    </row>
    <row r="589" spans="1:3" ht="13" x14ac:dyDescent="0.15">
      <c r="A589" s="10"/>
      <c r="B589" s="13"/>
      <c r="C589" s="13"/>
    </row>
    <row r="590" spans="1:3" ht="13" x14ac:dyDescent="0.15">
      <c r="A590" s="10"/>
      <c r="B590" s="13"/>
      <c r="C590" s="13"/>
    </row>
    <row r="591" spans="1:3" ht="13" x14ac:dyDescent="0.15">
      <c r="A591" s="10"/>
      <c r="B591" s="13"/>
      <c r="C591" s="13"/>
    </row>
    <row r="592" spans="1:3" ht="13" x14ac:dyDescent="0.15">
      <c r="A592" s="10"/>
      <c r="B592" s="13"/>
      <c r="C592" s="13"/>
    </row>
    <row r="593" spans="1:3" ht="13" x14ac:dyDescent="0.15">
      <c r="A593" s="10"/>
      <c r="B593" s="13"/>
      <c r="C593" s="13"/>
    </row>
    <row r="594" spans="1:3" ht="13" x14ac:dyDescent="0.15">
      <c r="A594" s="10"/>
      <c r="B594" s="13"/>
      <c r="C594" s="13"/>
    </row>
    <row r="595" spans="1:3" ht="13" x14ac:dyDescent="0.15">
      <c r="A595" s="10"/>
      <c r="B595" s="13"/>
      <c r="C595" s="13"/>
    </row>
    <row r="596" spans="1:3" ht="13" x14ac:dyDescent="0.15">
      <c r="A596" s="10"/>
      <c r="B596" s="13"/>
      <c r="C596" s="13"/>
    </row>
    <row r="597" spans="1:3" ht="13" x14ac:dyDescent="0.15">
      <c r="A597" s="10"/>
      <c r="B597" s="13"/>
      <c r="C597" s="13"/>
    </row>
    <row r="598" spans="1:3" ht="13" x14ac:dyDescent="0.15">
      <c r="A598" s="10"/>
      <c r="B598" s="13"/>
      <c r="C598" s="13"/>
    </row>
    <row r="599" spans="1:3" ht="13" x14ac:dyDescent="0.15">
      <c r="A599" s="10"/>
      <c r="B599" s="13"/>
      <c r="C599" s="13"/>
    </row>
    <row r="600" spans="1:3" ht="13" x14ac:dyDescent="0.15">
      <c r="A600" s="10"/>
      <c r="B600" s="13"/>
      <c r="C600" s="13"/>
    </row>
    <row r="601" spans="1:3" ht="13" x14ac:dyDescent="0.15">
      <c r="A601" s="10"/>
      <c r="B601" s="13"/>
      <c r="C601" s="13"/>
    </row>
    <row r="602" spans="1:3" ht="13" x14ac:dyDescent="0.15">
      <c r="A602" s="10"/>
      <c r="B602" s="13"/>
      <c r="C602" s="13"/>
    </row>
    <row r="603" spans="1:3" ht="13" x14ac:dyDescent="0.15">
      <c r="A603" s="10"/>
      <c r="B603" s="13"/>
      <c r="C603" s="13"/>
    </row>
    <row r="604" spans="1:3" ht="13" x14ac:dyDescent="0.15">
      <c r="A604" s="10"/>
      <c r="B604" s="13"/>
      <c r="C604" s="13"/>
    </row>
    <row r="605" spans="1:3" ht="13" x14ac:dyDescent="0.15">
      <c r="A605" s="10"/>
      <c r="B605" s="13"/>
      <c r="C605" s="13"/>
    </row>
    <row r="606" spans="1:3" ht="13" x14ac:dyDescent="0.15">
      <c r="A606" s="10"/>
      <c r="B606" s="13"/>
      <c r="C606" s="13"/>
    </row>
    <row r="607" spans="1:3" ht="13" x14ac:dyDescent="0.15">
      <c r="A607" s="10"/>
      <c r="B607" s="13"/>
      <c r="C607" s="13"/>
    </row>
    <row r="608" spans="1:3" ht="13" x14ac:dyDescent="0.15">
      <c r="A608" s="10"/>
      <c r="B608" s="13"/>
      <c r="C608" s="13"/>
    </row>
    <row r="609" spans="1:3" ht="13" x14ac:dyDescent="0.15">
      <c r="A609" s="10"/>
      <c r="B609" s="13"/>
      <c r="C609" s="13"/>
    </row>
    <row r="610" spans="1:3" ht="13" x14ac:dyDescent="0.15">
      <c r="A610" s="10"/>
      <c r="B610" s="13"/>
      <c r="C610" s="13"/>
    </row>
    <row r="611" spans="1:3" ht="13" x14ac:dyDescent="0.15">
      <c r="A611" s="10"/>
      <c r="B611" s="13"/>
      <c r="C611" s="13"/>
    </row>
    <row r="612" spans="1:3" ht="13" x14ac:dyDescent="0.15">
      <c r="A612" s="10"/>
      <c r="B612" s="13"/>
      <c r="C612" s="13"/>
    </row>
    <row r="613" spans="1:3" ht="13" x14ac:dyDescent="0.15">
      <c r="A613" s="10"/>
      <c r="B613" s="13"/>
      <c r="C613" s="13"/>
    </row>
    <row r="614" spans="1:3" ht="13" x14ac:dyDescent="0.15">
      <c r="A614" s="10"/>
      <c r="B614" s="13"/>
      <c r="C614" s="13"/>
    </row>
    <row r="615" spans="1:3" ht="13" x14ac:dyDescent="0.15">
      <c r="A615" s="10"/>
      <c r="B615" s="13"/>
      <c r="C615" s="13"/>
    </row>
    <row r="616" spans="1:3" ht="13" x14ac:dyDescent="0.15">
      <c r="A616" s="10"/>
      <c r="B616" s="13"/>
      <c r="C616" s="13"/>
    </row>
    <row r="617" spans="1:3" ht="13" x14ac:dyDescent="0.15">
      <c r="A617" s="10"/>
      <c r="B617" s="13"/>
      <c r="C617" s="13"/>
    </row>
    <row r="618" spans="1:3" ht="13" x14ac:dyDescent="0.15">
      <c r="A618" s="10"/>
      <c r="B618" s="13"/>
      <c r="C618" s="13"/>
    </row>
    <row r="619" spans="1:3" ht="13" x14ac:dyDescent="0.15">
      <c r="A619" s="10"/>
      <c r="B619" s="13"/>
      <c r="C619" s="13"/>
    </row>
    <row r="620" spans="1:3" ht="13" x14ac:dyDescent="0.15">
      <c r="A620" s="10"/>
      <c r="B620" s="13"/>
      <c r="C620" s="13"/>
    </row>
    <row r="621" spans="1:3" ht="13" x14ac:dyDescent="0.15">
      <c r="A621" s="10"/>
      <c r="B621" s="13"/>
      <c r="C621" s="13"/>
    </row>
    <row r="622" spans="1:3" ht="13" x14ac:dyDescent="0.15">
      <c r="A622" s="10"/>
      <c r="B622" s="13"/>
      <c r="C622" s="13"/>
    </row>
    <row r="623" spans="1:3" ht="13" x14ac:dyDescent="0.15">
      <c r="A623" s="10"/>
      <c r="B623" s="13"/>
      <c r="C623" s="13"/>
    </row>
    <row r="624" spans="1:3" ht="13" x14ac:dyDescent="0.15">
      <c r="A624" s="10"/>
      <c r="B624" s="13"/>
      <c r="C624" s="13"/>
    </row>
    <row r="625" spans="1:3" ht="13" x14ac:dyDescent="0.15">
      <c r="A625" s="10"/>
      <c r="B625" s="13"/>
      <c r="C625" s="13"/>
    </row>
    <row r="626" spans="1:3" ht="13" x14ac:dyDescent="0.15">
      <c r="A626" s="10"/>
      <c r="B626" s="13"/>
      <c r="C626" s="13"/>
    </row>
    <row r="627" spans="1:3" ht="13" x14ac:dyDescent="0.15">
      <c r="A627" s="10"/>
      <c r="B627" s="13"/>
      <c r="C627" s="13"/>
    </row>
    <row r="628" spans="1:3" ht="13" x14ac:dyDescent="0.15">
      <c r="A628" s="10"/>
      <c r="B628" s="13"/>
      <c r="C628" s="13"/>
    </row>
    <row r="629" spans="1:3" ht="13" x14ac:dyDescent="0.15">
      <c r="A629" s="10"/>
      <c r="B629" s="13"/>
      <c r="C629" s="13"/>
    </row>
    <row r="630" spans="1:3" ht="13" x14ac:dyDescent="0.15">
      <c r="A630" s="10"/>
      <c r="B630" s="13"/>
      <c r="C630" s="13"/>
    </row>
    <row r="631" spans="1:3" ht="13" x14ac:dyDescent="0.15">
      <c r="A631" s="10"/>
      <c r="B631" s="13"/>
      <c r="C631" s="13"/>
    </row>
    <row r="632" spans="1:3" ht="13" x14ac:dyDescent="0.15">
      <c r="A632" s="10"/>
      <c r="B632" s="13"/>
      <c r="C632" s="13"/>
    </row>
    <row r="633" spans="1:3" ht="13" x14ac:dyDescent="0.15">
      <c r="A633" s="10"/>
      <c r="B633" s="13"/>
      <c r="C633" s="13"/>
    </row>
    <row r="634" spans="1:3" ht="13" x14ac:dyDescent="0.15">
      <c r="A634" s="10"/>
      <c r="B634" s="13"/>
      <c r="C634" s="13"/>
    </row>
    <row r="635" spans="1:3" ht="13" x14ac:dyDescent="0.15">
      <c r="A635" s="10"/>
      <c r="B635" s="13"/>
      <c r="C635" s="13"/>
    </row>
    <row r="636" spans="1:3" ht="13" x14ac:dyDescent="0.15">
      <c r="A636" s="10"/>
      <c r="B636" s="13"/>
      <c r="C636" s="13"/>
    </row>
    <row r="637" spans="1:3" ht="13" x14ac:dyDescent="0.15">
      <c r="A637" s="10"/>
      <c r="B637" s="13"/>
      <c r="C637" s="13"/>
    </row>
    <row r="638" spans="1:3" ht="13" x14ac:dyDescent="0.15">
      <c r="A638" s="10"/>
      <c r="B638" s="13"/>
      <c r="C638" s="13"/>
    </row>
    <row r="639" spans="1:3" ht="13" x14ac:dyDescent="0.15">
      <c r="A639" s="10"/>
      <c r="B639" s="13"/>
      <c r="C639" s="13"/>
    </row>
    <row r="640" spans="1:3" ht="13" x14ac:dyDescent="0.15">
      <c r="A640" s="10"/>
      <c r="B640" s="13"/>
      <c r="C640" s="13"/>
    </row>
    <row r="641" spans="1:3" ht="13" x14ac:dyDescent="0.15">
      <c r="A641" s="10"/>
      <c r="B641" s="13"/>
      <c r="C641" s="13"/>
    </row>
    <row r="642" spans="1:3" ht="13" x14ac:dyDescent="0.15">
      <c r="A642" s="10"/>
      <c r="B642" s="13"/>
      <c r="C642" s="13"/>
    </row>
    <row r="643" spans="1:3" ht="13" x14ac:dyDescent="0.15">
      <c r="A643" s="10"/>
      <c r="B643" s="13"/>
      <c r="C643" s="13"/>
    </row>
    <row r="644" spans="1:3" ht="13" x14ac:dyDescent="0.15">
      <c r="A644" s="10"/>
      <c r="B644" s="13"/>
      <c r="C644" s="13"/>
    </row>
    <row r="645" spans="1:3" ht="13" x14ac:dyDescent="0.15">
      <c r="A645" s="10"/>
      <c r="B645" s="13"/>
      <c r="C645" s="13"/>
    </row>
    <row r="646" spans="1:3" ht="13" x14ac:dyDescent="0.15">
      <c r="A646" s="10"/>
      <c r="B646" s="13"/>
      <c r="C646" s="13"/>
    </row>
    <row r="647" spans="1:3" ht="13" x14ac:dyDescent="0.15">
      <c r="A647" s="10"/>
      <c r="B647" s="13"/>
      <c r="C647" s="13"/>
    </row>
    <row r="648" spans="1:3" ht="13" x14ac:dyDescent="0.15">
      <c r="A648" s="10"/>
      <c r="B648" s="13"/>
      <c r="C648" s="13"/>
    </row>
    <row r="649" spans="1:3" ht="13" x14ac:dyDescent="0.15">
      <c r="A649" s="10"/>
      <c r="B649" s="13"/>
      <c r="C649" s="13"/>
    </row>
    <row r="650" spans="1:3" ht="13" x14ac:dyDescent="0.15">
      <c r="A650" s="10"/>
      <c r="B650" s="13"/>
      <c r="C650" s="13"/>
    </row>
    <row r="651" spans="1:3" ht="13" x14ac:dyDescent="0.15">
      <c r="A651" s="10"/>
      <c r="B651" s="13"/>
      <c r="C651" s="13"/>
    </row>
    <row r="652" spans="1:3" ht="13" x14ac:dyDescent="0.15">
      <c r="A652" s="10"/>
      <c r="B652" s="13"/>
      <c r="C652" s="13"/>
    </row>
    <row r="653" spans="1:3" ht="13" x14ac:dyDescent="0.15">
      <c r="A653" s="10"/>
      <c r="B653" s="13"/>
      <c r="C653" s="13"/>
    </row>
    <row r="654" spans="1:3" ht="13" x14ac:dyDescent="0.15">
      <c r="A654" s="10"/>
      <c r="B654" s="13"/>
      <c r="C654" s="13"/>
    </row>
    <row r="655" spans="1:3" ht="13" x14ac:dyDescent="0.15">
      <c r="A655" s="10"/>
      <c r="B655" s="13"/>
      <c r="C655" s="13"/>
    </row>
    <row r="656" spans="1:3" ht="13" x14ac:dyDescent="0.15">
      <c r="A656" s="10"/>
      <c r="B656" s="13"/>
      <c r="C656" s="13"/>
    </row>
    <row r="657" spans="1:3" ht="13" x14ac:dyDescent="0.15">
      <c r="A657" s="10"/>
      <c r="B657" s="13"/>
      <c r="C657" s="13"/>
    </row>
    <row r="658" spans="1:3" ht="13" x14ac:dyDescent="0.15">
      <c r="A658" s="10"/>
      <c r="B658" s="13"/>
      <c r="C658" s="13"/>
    </row>
    <row r="659" spans="1:3" ht="13" x14ac:dyDescent="0.15">
      <c r="A659" s="10"/>
      <c r="B659" s="13"/>
      <c r="C659" s="13"/>
    </row>
    <row r="660" spans="1:3" ht="13" x14ac:dyDescent="0.15">
      <c r="A660" s="10"/>
      <c r="B660" s="13"/>
      <c r="C660" s="13"/>
    </row>
    <row r="661" spans="1:3" ht="13" x14ac:dyDescent="0.15">
      <c r="A661" s="10"/>
      <c r="B661" s="13"/>
      <c r="C661" s="13"/>
    </row>
    <row r="662" spans="1:3" ht="13" x14ac:dyDescent="0.15">
      <c r="A662" s="10"/>
      <c r="B662" s="13"/>
      <c r="C662" s="13"/>
    </row>
    <row r="663" spans="1:3" ht="13" x14ac:dyDescent="0.15">
      <c r="A663" s="10"/>
      <c r="B663" s="13"/>
      <c r="C663" s="13"/>
    </row>
    <row r="664" spans="1:3" ht="13" x14ac:dyDescent="0.15">
      <c r="A664" s="10"/>
      <c r="B664" s="13"/>
      <c r="C664" s="13"/>
    </row>
    <row r="665" spans="1:3" ht="13" x14ac:dyDescent="0.15">
      <c r="A665" s="10"/>
      <c r="B665" s="13"/>
      <c r="C665" s="13"/>
    </row>
    <row r="666" spans="1:3" ht="13" x14ac:dyDescent="0.15">
      <c r="A666" s="10"/>
      <c r="B666" s="13"/>
      <c r="C666" s="13"/>
    </row>
    <row r="667" spans="1:3" ht="13" x14ac:dyDescent="0.15">
      <c r="A667" s="10"/>
      <c r="B667" s="13"/>
      <c r="C667" s="13"/>
    </row>
    <row r="668" spans="1:3" ht="13" x14ac:dyDescent="0.15">
      <c r="A668" s="10"/>
      <c r="B668" s="13"/>
      <c r="C668" s="13"/>
    </row>
    <row r="669" spans="1:3" ht="13" x14ac:dyDescent="0.15">
      <c r="A669" s="10"/>
      <c r="B669" s="13"/>
      <c r="C669" s="13"/>
    </row>
    <row r="670" spans="1:3" ht="13" x14ac:dyDescent="0.15">
      <c r="A670" s="10"/>
      <c r="B670" s="13"/>
      <c r="C670" s="13"/>
    </row>
    <row r="671" spans="1:3" ht="13" x14ac:dyDescent="0.15">
      <c r="A671" s="10"/>
      <c r="B671" s="13"/>
      <c r="C671" s="13"/>
    </row>
    <row r="672" spans="1:3" ht="13" x14ac:dyDescent="0.15">
      <c r="A672" s="10"/>
      <c r="B672" s="13"/>
      <c r="C672" s="13"/>
    </row>
    <row r="673" spans="1:3" ht="13" x14ac:dyDescent="0.15">
      <c r="A673" s="10"/>
      <c r="B673" s="13"/>
      <c r="C673" s="13"/>
    </row>
    <row r="674" spans="1:3" ht="13" x14ac:dyDescent="0.15">
      <c r="A674" s="10"/>
      <c r="B674" s="13"/>
      <c r="C674" s="13"/>
    </row>
    <row r="675" spans="1:3" ht="13" x14ac:dyDescent="0.15">
      <c r="A675" s="10"/>
      <c r="B675" s="13"/>
      <c r="C675" s="13"/>
    </row>
    <row r="676" spans="1:3" ht="13" x14ac:dyDescent="0.15">
      <c r="A676" s="10"/>
      <c r="B676" s="13"/>
      <c r="C676" s="13"/>
    </row>
    <row r="677" spans="1:3" ht="13" x14ac:dyDescent="0.15">
      <c r="A677" s="10"/>
      <c r="B677" s="13"/>
      <c r="C677" s="13"/>
    </row>
    <row r="678" spans="1:3" ht="13" x14ac:dyDescent="0.15">
      <c r="A678" s="10"/>
      <c r="B678" s="13"/>
      <c r="C678" s="13"/>
    </row>
    <row r="679" spans="1:3" ht="13" x14ac:dyDescent="0.15">
      <c r="A679" s="10"/>
      <c r="B679" s="13"/>
      <c r="C679" s="13"/>
    </row>
    <row r="680" spans="1:3" ht="13" x14ac:dyDescent="0.15">
      <c r="A680" s="10"/>
      <c r="B680" s="13"/>
      <c r="C680" s="13"/>
    </row>
    <row r="681" spans="1:3" ht="13" x14ac:dyDescent="0.15">
      <c r="A681" s="10"/>
      <c r="B681" s="13"/>
      <c r="C681" s="13"/>
    </row>
    <row r="682" spans="1:3" ht="13" x14ac:dyDescent="0.15">
      <c r="A682" s="10"/>
      <c r="B682" s="13"/>
      <c r="C682" s="13"/>
    </row>
    <row r="683" spans="1:3" ht="13" x14ac:dyDescent="0.15">
      <c r="A683" s="10"/>
      <c r="B683" s="13"/>
      <c r="C683" s="13"/>
    </row>
    <row r="684" spans="1:3" ht="13" x14ac:dyDescent="0.15">
      <c r="A684" s="10"/>
      <c r="B684" s="13"/>
      <c r="C684" s="13"/>
    </row>
    <row r="685" spans="1:3" ht="13" x14ac:dyDescent="0.15">
      <c r="A685" s="10"/>
      <c r="B685" s="13"/>
      <c r="C685" s="13"/>
    </row>
    <row r="686" spans="1:3" ht="13" x14ac:dyDescent="0.15">
      <c r="A686" s="10"/>
      <c r="B686" s="13"/>
      <c r="C686" s="13"/>
    </row>
    <row r="687" spans="1:3" ht="13" x14ac:dyDescent="0.15">
      <c r="A687" s="10"/>
      <c r="B687" s="13"/>
      <c r="C687" s="13"/>
    </row>
    <row r="688" spans="1:3" ht="13" x14ac:dyDescent="0.15">
      <c r="A688" s="10"/>
      <c r="B688" s="13"/>
      <c r="C688" s="13"/>
    </row>
    <row r="689" spans="1:3" ht="13" x14ac:dyDescent="0.15">
      <c r="A689" s="10"/>
      <c r="B689" s="13"/>
      <c r="C689" s="13"/>
    </row>
    <row r="690" spans="1:3" ht="13" x14ac:dyDescent="0.15">
      <c r="A690" s="10"/>
      <c r="B690" s="13"/>
      <c r="C690" s="13"/>
    </row>
    <row r="691" spans="1:3" ht="13" x14ac:dyDescent="0.15">
      <c r="A691" s="10"/>
      <c r="B691" s="13"/>
      <c r="C691" s="13"/>
    </row>
    <row r="692" spans="1:3" ht="13" x14ac:dyDescent="0.15">
      <c r="A692" s="10"/>
      <c r="B692" s="13"/>
      <c r="C692" s="13"/>
    </row>
    <row r="693" spans="1:3" ht="13" x14ac:dyDescent="0.15">
      <c r="A693" s="10"/>
      <c r="B693" s="13"/>
      <c r="C693" s="13"/>
    </row>
    <row r="694" spans="1:3" ht="13" x14ac:dyDescent="0.15">
      <c r="A694" s="10"/>
      <c r="B694" s="13"/>
      <c r="C694" s="13"/>
    </row>
    <row r="695" spans="1:3" ht="13" x14ac:dyDescent="0.15">
      <c r="A695" s="10"/>
      <c r="B695" s="13"/>
      <c r="C695" s="13"/>
    </row>
    <row r="696" spans="1:3" ht="13" x14ac:dyDescent="0.15">
      <c r="A696" s="10"/>
      <c r="B696" s="13"/>
      <c r="C696" s="13"/>
    </row>
    <row r="697" spans="1:3" ht="13" x14ac:dyDescent="0.15">
      <c r="A697" s="10"/>
      <c r="B697" s="13"/>
      <c r="C697" s="13"/>
    </row>
    <row r="698" spans="1:3" ht="13" x14ac:dyDescent="0.15">
      <c r="A698" s="10"/>
      <c r="B698" s="13"/>
      <c r="C698" s="13"/>
    </row>
    <row r="699" spans="1:3" ht="13" x14ac:dyDescent="0.15">
      <c r="A699" s="10"/>
      <c r="B699" s="13"/>
      <c r="C699" s="13"/>
    </row>
    <row r="700" spans="1:3" ht="13" x14ac:dyDescent="0.15">
      <c r="A700" s="10"/>
      <c r="B700" s="13"/>
      <c r="C700" s="13"/>
    </row>
    <row r="701" spans="1:3" ht="13" x14ac:dyDescent="0.15">
      <c r="A701" s="10"/>
      <c r="B701" s="13"/>
      <c r="C701" s="13"/>
    </row>
    <row r="702" spans="1:3" ht="13" x14ac:dyDescent="0.15">
      <c r="A702" s="10"/>
      <c r="B702" s="13"/>
      <c r="C702" s="13"/>
    </row>
    <row r="703" spans="1:3" ht="13" x14ac:dyDescent="0.15">
      <c r="A703" s="10"/>
      <c r="B703" s="13"/>
      <c r="C703" s="13"/>
    </row>
    <row r="704" spans="1:3" ht="13" x14ac:dyDescent="0.15">
      <c r="A704" s="10"/>
      <c r="B704" s="13"/>
      <c r="C704" s="13"/>
    </row>
    <row r="705" spans="1:3" ht="13" x14ac:dyDescent="0.15">
      <c r="A705" s="10"/>
      <c r="B705" s="13"/>
      <c r="C705" s="13"/>
    </row>
    <row r="706" spans="1:3" ht="13" x14ac:dyDescent="0.15">
      <c r="A706" s="10"/>
      <c r="B706" s="13"/>
      <c r="C706" s="13"/>
    </row>
    <row r="707" spans="1:3" ht="13" x14ac:dyDescent="0.15">
      <c r="A707" s="10"/>
      <c r="B707" s="13"/>
      <c r="C707" s="13"/>
    </row>
    <row r="708" spans="1:3" ht="13" x14ac:dyDescent="0.15">
      <c r="A708" s="10"/>
      <c r="B708" s="13"/>
      <c r="C708" s="13"/>
    </row>
    <row r="709" spans="1:3" ht="13" x14ac:dyDescent="0.15">
      <c r="A709" s="10"/>
      <c r="B709" s="13"/>
      <c r="C709" s="13"/>
    </row>
    <row r="710" spans="1:3" ht="13" x14ac:dyDescent="0.15">
      <c r="A710" s="10"/>
      <c r="B710" s="13"/>
      <c r="C710" s="13"/>
    </row>
    <row r="711" spans="1:3" ht="13" x14ac:dyDescent="0.15">
      <c r="A711" s="10"/>
      <c r="B711" s="13"/>
      <c r="C711" s="13"/>
    </row>
    <row r="712" spans="1:3" ht="13" x14ac:dyDescent="0.15">
      <c r="A712" s="10"/>
      <c r="B712" s="13"/>
      <c r="C712" s="13"/>
    </row>
    <row r="713" spans="1:3" ht="13" x14ac:dyDescent="0.15">
      <c r="A713" s="10"/>
      <c r="B713" s="13"/>
      <c r="C713" s="13"/>
    </row>
    <row r="714" spans="1:3" ht="13" x14ac:dyDescent="0.15">
      <c r="A714" s="10"/>
      <c r="B714" s="13"/>
      <c r="C714" s="13"/>
    </row>
    <row r="715" spans="1:3" ht="13" x14ac:dyDescent="0.15">
      <c r="A715" s="10"/>
      <c r="B715" s="13"/>
      <c r="C715" s="13"/>
    </row>
    <row r="716" spans="1:3" ht="13" x14ac:dyDescent="0.15">
      <c r="A716" s="10"/>
      <c r="B716" s="13"/>
      <c r="C716" s="13"/>
    </row>
    <row r="717" spans="1:3" ht="13" x14ac:dyDescent="0.15">
      <c r="A717" s="10"/>
      <c r="B717" s="13"/>
      <c r="C717" s="13"/>
    </row>
    <row r="718" spans="1:3" ht="13" x14ac:dyDescent="0.15">
      <c r="A718" s="10"/>
      <c r="B718" s="13"/>
      <c r="C718" s="13"/>
    </row>
    <row r="719" spans="1:3" ht="13" x14ac:dyDescent="0.15">
      <c r="A719" s="10"/>
      <c r="B719" s="13"/>
      <c r="C719" s="13"/>
    </row>
    <row r="720" spans="1:3" ht="13" x14ac:dyDescent="0.15">
      <c r="A720" s="10"/>
      <c r="B720" s="13"/>
      <c r="C720" s="13"/>
    </row>
    <row r="721" spans="1:3" ht="13" x14ac:dyDescent="0.15">
      <c r="A721" s="10"/>
      <c r="B721" s="13"/>
      <c r="C721" s="13"/>
    </row>
    <row r="722" spans="1:3" ht="13" x14ac:dyDescent="0.15">
      <c r="A722" s="10"/>
      <c r="B722" s="13"/>
      <c r="C722" s="13"/>
    </row>
    <row r="723" spans="1:3" ht="13" x14ac:dyDescent="0.15">
      <c r="A723" s="10"/>
      <c r="B723" s="13"/>
      <c r="C723" s="13"/>
    </row>
    <row r="724" spans="1:3" ht="13" x14ac:dyDescent="0.15">
      <c r="A724" s="10"/>
      <c r="B724" s="13"/>
      <c r="C724" s="13"/>
    </row>
    <row r="725" spans="1:3" ht="13" x14ac:dyDescent="0.15">
      <c r="A725" s="10"/>
      <c r="B725" s="13"/>
      <c r="C725" s="13"/>
    </row>
    <row r="726" spans="1:3" ht="13" x14ac:dyDescent="0.15">
      <c r="A726" s="10"/>
      <c r="B726" s="13"/>
      <c r="C726" s="13"/>
    </row>
    <row r="727" spans="1:3" ht="13" x14ac:dyDescent="0.15">
      <c r="A727" s="10"/>
      <c r="B727" s="13"/>
      <c r="C727" s="13"/>
    </row>
    <row r="728" spans="1:3" ht="13" x14ac:dyDescent="0.15">
      <c r="A728" s="10"/>
      <c r="B728" s="13"/>
      <c r="C728" s="13"/>
    </row>
    <row r="729" spans="1:3" ht="13" x14ac:dyDescent="0.15">
      <c r="A729" s="10"/>
      <c r="B729" s="13"/>
      <c r="C729" s="13"/>
    </row>
    <row r="730" spans="1:3" ht="13" x14ac:dyDescent="0.15">
      <c r="A730" s="10"/>
      <c r="B730" s="13"/>
      <c r="C730" s="13"/>
    </row>
    <row r="731" spans="1:3" ht="13" x14ac:dyDescent="0.15">
      <c r="A731" s="10"/>
      <c r="B731" s="13"/>
      <c r="C731" s="13"/>
    </row>
    <row r="732" spans="1:3" ht="13" x14ac:dyDescent="0.15">
      <c r="A732" s="10"/>
      <c r="B732" s="13"/>
      <c r="C732" s="13"/>
    </row>
    <row r="733" spans="1:3" ht="13" x14ac:dyDescent="0.15">
      <c r="A733" s="10"/>
      <c r="B733" s="13"/>
      <c r="C733" s="13"/>
    </row>
    <row r="734" spans="1:3" ht="13" x14ac:dyDescent="0.15">
      <c r="A734" s="10"/>
      <c r="B734" s="13"/>
      <c r="C734" s="13"/>
    </row>
    <row r="735" spans="1:3" ht="13" x14ac:dyDescent="0.15">
      <c r="A735" s="10"/>
      <c r="B735" s="13"/>
      <c r="C735" s="13"/>
    </row>
    <row r="736" spans="1:3" ht="13" x14ac:dyDescent="0.15">
      <c r="A736" s="10"/>
      <c r="B736" s="13"/>
      <c r="C736" s="13"/>
    </row>
    <row r="737" spans="1:3" ht="13" x14ac:dyDescent="0.15">
      <c r="A737" s="10"/>
      <c r="B737" s="13"/>
      <c r="C737" s="13"/>
    </row>
    <row r="738" spans="1:3" ht="13" x14ac:dyDescent="0.15">
      <c r="A738" s="10"/>
      <c r="B738" s="13"/>
      <c r="C738" s="13"/>
    </row>
    <row r="739" spans="1:3" ht="13" x14ac:dyDescent="0.15">
      <c r="A739" s="10"/>
      <c r="B739" s="13"/>
      <c r="C739" s="13"/>
    </row>
    <row r="740" spans="1:3" ht="13" x14ac:dyDescent="0.15">
      <c r="A740" s="10"/>
      <c r="B740" s="13"/>
      <c r="C740" s="13"/>
    </row>
    <row r="741" spans="1:3" ht="13" x14ac:dyDescent="0.15">
      <c r="A741" s="10"/>
      <c r="B741" s="13"/>
      <c r="C741" s="13"/>
    </row>
    <row r="742" spans="1:3" ht="13" x14ac:dyDescent="0.15">
      <c r="A742" s="10"/>
      <c r="B742" s="13"/>
      <c r="C742" s="13"/>
    </row>
    <row r="743" spans="1:3" ht="13" x14ac:dyDescent="0.15">
      <c r="A743" s="10"/>
      <c r="B743" s="13"/>
      <c r="C743" s="13"/>
    </row>
    <row r="744" spans="1:3" ht="13" x14ac:dyDescent="0.15">
      <c r="A744" s="10"/>
      <c r="B744" s="13"/>
      <c r="C744" s="13"/>
    </row>
    <row r="745" spans="1:3" ht="13" x14ac:dyDescent="0.15">
      <c r="A745" s="10"/>
      <c r="B745" s="13"/>
      <c r="C745" s="13"/>
    </row>
    <row r="746" spans="1:3" ht="13" x14ac:dyDescent="0.15">
      <c r="A746" s="10"/>
      <c r="B746" s="13"/>
      <c r="C746" s="13"/>
    </row>
    <row r="747" spans="1:3" ht="13" x14ac:dyDescent="0.15">
      <c r="A747" s="10"/>
      <c r="B747" s="13"/>
      <c r="C747" s="13"/>
    </row>
    <row r="748" spans="1:3" ht="13" x14ac:dyDescent="0.15">
      <c r="A748" s="10"/>
      <c r="B748" s="13"/>
      <c r="C748" s="13"/>
    </row>
    <row r="749" spans="1:3" ht="13" x14ac:dyDescent="0.15">
      <c r="A749" s="10"/>
      <c r="B749" s="13"/>
      <c r="C749" s="13"/>
    </row>
    <row r="750" spans="1:3" ht="13" x14ac:dyDescent="0.15">
      <c r="A750" s="10"/>
      <c r="B750" s="13"/>
      <c r="C750" s="13"/>
    </row>
    <row r="751" spans="1:3" ht="13" x14ac:dyDescent="0.15">
      <c r="A751" s="10"/>
      <c r="B751" s="13"/>
      <c r="C751" s="13"/>
    </row>
    <row r="752" spans="1:3" ht="13" x14ac:dyDescent="0.15">
      <c r="A752" s="10"/>
      <c r="B752" s="13"/>
      <c r="C752" s="13"/>
    </row>
    <row r="753" spans="1:3" ht="13" x14ac:dyDescent="0.15">
      <c r="A753" s="10"/>
      <c r="B753" s="13"/>
      <c r="C753" s="13"/>
    </row>
    <row r="754" spans="1:3" ht="13" x14ac:dyDescent="0.15">
      <c r="A754" s="10"/>
      <c r="B754" s="13"/>
      <c r="C754" s="13"/>
    </row>
    <row r="755" spans="1:3" ht="13" x14ac:dyDescent="0.15">
      <c r="A755" s="10"/>
      <c r="B755" s="13"/>
      <c r="C755" s="13"/>
    </row>
    <row r="756" spans="1:3" ht="13" x14ac:dyDescent="0.15">
      <c r="A756" s="10"/>
      <c r="B756" s="13"/>
      <c r="C756" s="13"/>
    </row>
    <row r="757" spans="1:3" ht="13" x14ac:dyDescent="0.15">
      <c r="A757" s="10"/>
      <c r="B757" s="13"/>
      <c r="C757" s="13"/>
    </row>
    <row r="758" spans="1:3" ht="13" x14ac:dyDescent="0.15">
      <c r="A758" s="10"/>
      <c r="B758" s="13"/>
      <c r="C758" s="13"/>
    </row>
    <row r="759" spans="1:3" ht="13" x14ac:dyDescent="0.15">
      <c r="A759" s="10"/>
      <c r="B759" s="13"/>
      <c r="C759" s="13"/>
    </row>
    <row r="760" spans="1:3" ht="13" x14ac:dyDescent="0.15">
      <c r="A760" s="10"/>
      <c r="B760" s="13"/>
      <c r="C760" s="13"/>
    </row>
    <row r="761" spans="1:3" ht="13" x14ac:dyDescent="0.15">
      <c r="A761" s="10"/>
      <c r="B761" s="13"/>
      <c r="C761" s="13"/>
    </row>
    <row r="762" spans="1:3" ht="13" x14ac:dyDescent="0.15">
      <c r="A762" s="10"/>
      <c r="B762" s="13"/>
      <c r="C762" s="13"/>
    </row>
    <row r="763" spans="1:3" ht="13" x14ac:dyDescent="0.15">
      <c r="A763" s="10"/>
      <c r="B763" s="13"/>
      <c r="C763" s="13"/>
    </row>
    <row r="764" spans="1:3" ht="13" x14ac:dyDescent="0.15">
      <c r="A764" s="10"/>
      <c r="B764" s="13"/>
      <c r="C764" s="13"/>
    </row>
    <row r="765" spans="1:3" ht="13" x14ac:dyDescent="0.15">
      <c r="A765" s="10"/>
      <c r="B765" s="13"/>
      <c r="C765" s="13"/>
    </row>
    <row r="766" spans="1:3" ht="13" x14ac:dyDescent="0.15">
      <c r="A766" s="10"/>
      <c r="B766" s="13"/>
      <c r="C766" s="13"/>
    </row>
    <row r="767" spans="1:3" ht="13" x14ac:dyDescent="0.15">
      <c r="A767" s="10"/>
      <c r="B767" s="13"/>
      <c r="C767" s="13"/>
    </row>
    <row r="768" spans="1:3" ht="13" x14ac:dyDescent="0.15">
      <c r="A768" s="10"/>
      <c r="B768" s="13"/>
      <c r="C768" s="13"/>
    </row>
    <row r="769" spans="1:3" ht="13" x14ac:dyDescent="0.15">
      <c r="A769" s="10"/>
      <c r="B769" s="13"/>
      <c r="C769" s="13"/>
    </row>
    <row r="770" spans="1:3" ht="13" x14ac:dyDescent="0.15">
      <c r="A770" s="10"/>
      <c r="B770" s="13"/>
      <c r="C770" s="13"/>
    </row>
    <row r="771" spans="1:3" ht="13" x14ac:dyDescent="0.15">
      <c r="A771" s="10"/>
      <c r="B771" s="13"/>
      <c r="C771" s="13"/>
    </row>
    <row r="772" spans="1:3" ht="13" x14ac:dyDescent="0.15">
      <c r="A772" s="10"/>
      <c r="B772" s="13"/>
      <c r="C772" s="13"/>
    </row>
    <row r="773" spans="1:3" ht="13" x14ac:dyDescent="0.15">
      <c r="A773" s="10"/>
      <c r="B773" s="13"/>
      <c r="C773" s="13"/>
    </row>
    <row r="774" spans="1:3" ht="13" x14ac:dyDescent="0.15">
      <c r="A774" s="10"/>
      <c r="B774" s="13"/>
      <c r="C774" s="13"/>
    </row>
    <row r="775" spans="1:3" ht="13" x14ac:dyDescent="0.15">
      <c r="A775" s="10"/>
      <c r="B775" s="13"/>
      <c r="C775" s="13"/>
    </row>
    <row r="776" spans="1:3" ht="13" x14ac:dyDescent="0.15">
      <c r="A776" s="10"/>
      <c r="B776" s="13"/>
      <c r="C776" s="13"/>
    </row>
    <row r="777" spans="1:3" ht="13" x14ac:dyDescent="0.15">
      <c r="A777" s="10"/>
      <c r="B777" s="13"/>
      <c r="C777" s="13"/>
    </row>
    <row r="778" spans="1:3" ht="13" x14ac:dyDescent="0.15">
      <c r="A778" s="10"/>
      <c r="B778" s="13"/>
      <c r="C778" s="13"/>
    </row>
    <row r="779" spans="1:3" ht="13" x14ac:dyDescent="0.15">
      <c r="A779" s="10"/>
      <c r="B779" s="13"/>
      <c r="C779" s="13"/>
    </row>
    <row r="780" spans="1:3" ht="13" x14ac:dyDescent="0.15">
      <c r="A780" s="10"/>
      <c r="B780" s="13"/>
      <c r="C780" s="13"/>
    </row>
    <row r="781" spans="1:3" ht="13" x14ac:dyDescent="0.15">
      <c r="A781" s="10"/>
      <c r="B781" s="13"/>
      <c r="C781" s="13"/>
    </row>
    <row r="782" spans="1:3" ht="13" x14ac:dyDescent="0.15">
      <c r="A782" s="10"/>
      <c r="B782" s="13"/>
      <c r="C782" s="13"/>
    </row>
    <row r="783" spans="1:3" ht="13" x14ac:dyDescent="0.15">
      <c r="A783" s="10"/>
      <c r="B783" s="13"/>
      <c r="C783" s="13"/>
    </row>
    <row r="784" spans="1:3" ht="13" x14ac:dyDescent="0.15">
      <c r="A784" s="10"/>
      <c r="B784" s="13"/>
      <c r="C784" s="13"/>
    </row>
    <row r="785" spans="1:3" ht="13" x14ac:dyDescent="0.15">
      <c r="A785" s="10"/>
      <c r="B785" s="13"/>
      <c r="C785" s="13"/>
    </row>
    <row r="786" spans="1:3" ht="13" x14ac:dyDescent="0.15">
      <c r="A786" s="10"/>
      <c r="B786" s="13"/>
      <c r="C786" s="13"/>
    </row>
    <row r="787" spans="1:3" ht="13" x14ac:dyDescent="0.15">
      <c r="A787" s="10"/>
      <c r="B787" s="13"/>
      <c r="C787" s="13"/>
    </row>
    <row r="788" spans="1:3" ht="13" x14ac:dyDescent="0.15">
      <c r="A788" s="10"/>
      <c r="B788" s="13"/>
      <c r="C788" s="13"/>
    </row>
    <row r="789" spans="1:3" ht="13" x14ac:dyDescent="0.15">
      <c r="A789" s="10"/>
      <c r="B789" s="13"/>
      <c r="C789" s="13"/>
    </row>
    <row r="790" spans="1:3" ht="13" x14ac:dyDescent="0.15">
      <c r="A790" s="10"/>
      <c r="B790" s="13"/>
      <c r="C790" s="13"/>
    </row>
    <row r="791" spans="1:3" ht="13" x14ac:dyDescent="0.15">
      <c r="A791" s="10"/>
      <c r="B791" s="13"/>
      <c r="C791" s="13"/>
    </row>
    <row r="792" spans="1:3" ht="13" x14ac:dyDescent="0.15">
      <c r="A792" s="10"/>
      <c r="B792" s="13"/>
      <c r="C792" s="13"/>
    </row>
    <row r="793" spans="1:3" ht="13" x14ac:dyDescent="0.15">
      <c r="A793" s="10"/>
      <c r="B793" s="13"/>
      <c r="C793" s="13"/>
    </row>
    <row r="794" spans="1:3" ht="13" x14ac:dyDescent="0.15">
      <c r="A794" s="10"/>
      <c r="B794" s="13"/>
      <c r="C794" s="13"/>
    </row>
    <row r="795" spans="1:3" ht="13" x14ac:dyDescent="0.15">
      <c r="A795" s="10"/>
      <c r="B795" s="13"/>
      <c r="C795" s="13"/>
    </row>
    <row r="796" spans="1:3" ht="13" x14ac:dyDescent="0.15">
      <c r="A796" s="10"/>
      <c r="B796" s="13"/>
      <c r="C796" s="13"/>
    </row>
    <row r="797" spans="1:3" ht="13" x14ac:dyDescent="0.15">
      <c r="A797" s="10"/>
      <c r="B797" s="13"/>
      <c r="C797" s="13"/>
    </row>
    <row r="798" spans="1:3" ht="13" x14ac:dyDescent="0.15">
      <c r="A798" s="10"/>
      <c r="B798" s="13"/>
      <c r="C798" s="13"/>
    </row>
    <row r="799" spans="1:3" ht="13" x14ac:dyDescent="0.15">
      <c r="A799" s="10"/>
      <c r="B799" s="13"/>
      <c r="C799" s="13"/>
    </row>
    <row r="800" spans="1:3" ht="13" x14ac:dyDescent="0.15">
      <c r="A800" s="10"/>
      <c r="B800" s="13"/>
      <c r="C800" s="13"/>
    </row>
    <row r="801" spans="1:3" ht="13" x14ac:dyDescent="0.15">
      <c r="A801" s="10"/>
      <c r="B801" s="13"/>
      <c r="C801" s="13"/>
    </row>
    <row r="802" spans="1:3" ht="13" x14ac:dyDescent="0.15">
      <c r="A802" s="10"/>
      <c r="B802" s="13"/>
      <c r="C802" s="13"/>
    </row>
    <row r="803" spans="1:3" ht="13" x14ac:dyDescent="0.15">
      <c r="A803" s="10"/>
      <c r="B803" s="13"/>
      <c r="C803" s="13"/>
    </row>
    <row r="804" spans="1:3" ht="13" x14ac:dyDescent="0.15">
      <c r="A804" s="10"/>
      <c r="B804" s="13"/>
      <c r="C804" s="13"/>
    </row>
    <row r="805" spans="1:3" ht="13" x14ac:dyDescent="0.15">
      <c r="A805" s="10"/>
      <c r="B805" s="13"/>
      <c r="C805" s="13"/>
    </row>
    <row r="806" spans="1:3" ht="13" x14ac:dyDescent="0.15">
      <c r="A806" s="10"/>
      <c r="B806" s="13"/>
      <c r="C806" s="13"/>
    </row>
    <row r="807" spans="1:3" ht="13" x14ac:dyDescent="0.15">
      <c r="A807" s="10"/>
      <c r="B807" s="13"/>
      <c r="C807" s="13"/>
    </row>
    <row r="808" spans="1:3" ht="13" x14ac:dyDescent="0.15">
      <c r="A808" s="10"/>
      <c r="B808" s="13"/>
      <c r="C808" s="13"/>
    </row>
    <row r="809" spans="1:3" ht="13" x14ac:dyDescent="0.15">
      <c r="A809" s="10"/>
      <c r="B809" s="13"/>
      <c r="C809" s="13"/>
    </row>
    <row r="810" spans="1:3" ht="13" x14ac:dyDescent="0.15">
      <c r="A810" s="10"/>
      <c r="B810" s="13"/>
      <c r="C810" s="13"/>
    </row>
    <row r="811" spans="1:3" ht="13" x14ac:dyDescent="0.15">
      <c r="A811" s="10"/>
      <c r="B811" s="13"/>
      <c r="C811" s="13"/>
    </row>
    <row r="812" spans="1:3" ht="13" x14ac:dyDescent="0.15">
      <c r="A812" s="10"/>
      <c r="B812" s="13"/>
      <c r="C812" s="13"/>
    </row>
    <row r="813" spans="1:3" ht="13" x14ac:dyDescent="0.15">
      <c r="A813" s="10"/>
      <c r="B813" s="13"/>
      <c r="C813" s="13"/>
    </row>
    <row r="814" spans="1:3" ht="13" x14ac:dyDescent="0.15">
      <c r="A814" s="10"/>
      <c r="B814" s="13"/>
      <c r="C814" s="13"/>
    </row>
    <row r="815" spans="1:3" ht="13" x14ac:dyDescent="0.15">
      <c r="A815" s="10"/>
      <c r="B815" s="13"/>
      <c r="C815" s="13"/>
    </row>
    <row r="816" spans="1:3" ht="13" x14ac:dyDescent="0.15">
      <c r="A816" s="10"/>
      <c r="B816" s="13"/>
      <c r="C816" s="13"/>
    </row>
    <row r="817" spans="1:3" ht="13" x14ac:dyDescent="0.15">
      <c r="A817" s="10"/>
      <c r="B817" s="13"/>
      <c r="C817" s="13"/>
    </row>
    <row r="818" spans="1:3" ht="13" x14ac:dyDescent="0.15">
      <c r="A818" s="10"/>
      <c r="B818" s="13"/>
      <c r="C818" s="13"/>
    </row>
    <row r="819" spans="1:3" ht="13" x14ac:dyDescent="0.15">
      <c r="A819" s="10"/>
      <c r="B819" s="13"/>
      <c r="C819" s="13"/>
    </row>
    <row r="820" spans="1:3" ht="13" x14ac:dyDescent="0.15">
      <c r="A820" s="10"/>
      <c r="B820" s="13"/>
      <c r="C820" s="13"/>
    </row>
    <row r="821" spans="1:3" ht="13" x14ac:dyDescent="0.15">
      <c r="A821" s="10"/>
      <c r="B821" s="13"/>
      <c r="C821" s="13"/>
    </row>
    <row r="822" spans="1:3" ht="13" x14ac:dyDescent="0.15">
      <c r="A822" s="10"/>
      <c r="B822" s="13"/>
      <c r="C822" s="13"/>
    </row>
    <row r="823" spans="1:3" ht="13" x14ac:dyDescent="0.15">
      <c r="A823" s="10"/>
      <c r="B823" s="13"/>
      <c r="C823" s="13"/>
    </row>
    <row r="824" spans="1:3" ht="13" x14ac:dyDescent="0.15">
      <c r="A824" s="10"/>
      <c r="B824" s="13"/>
      <c r="C824" s="13"/>
    </row>
    <row r="825" spans="1:3" ht="13" x14ac:dyDescent="0.15">
      <c r="A825" s="10"/>
      <c r="B825" s="13"/>
      <c r="C825" s="13"/>
    </row>
    <row r="826" spans="1:3" ht="13" x14ac:dyDescent="0.15">
      <c r="A826" s="10"/>
      <c r="B826" s="13"/>
      <c r="C826" s="13"/>
    </row>
    <row r="827" spans="1:3" ht="13" x14ac:dyDescent="0.15">
      <c r="A827" s="10"/>
      <c r="B827" s="13"/>
      <c r="C827" s="13"/>
    </row>
    <row r="828" spans="1:3" ht="13" x14ac:dyDescent="0.15">
      <c r="A828" s="10"/>
      <c r="B828" s="13"/>
      <c r="C828" s="13"/>
    </row>
    <row r="829" spans="1:3" ht="13" x14ac:dyDescent="0.15">
      <c r="A829" s="10"/>
      <c r="B829" s="13"/>
      <c r="C829" s="13"/>
    </row>
    <row r="830" spans="1:3" ht="13" x14ac:dyDescent="0.15">
      <c r="A830" s="10"/>
      <c r="B830" s="13"/>
      <c r="C830" s="13"/>
    </row>
    <row r="831" spans="1:3" ht="13" x14ac:dyDescent="0.15">
      <c r="A831" s="10"/>
      <c r="B831" s="13"/>
      <c r="C831" s="13"/>
    </row>
    <row r="832" spans="1:3" ht="13" x14ac:dyDescent="0.15">
      <c r="A832" s="10"/>
      <c r="B832" s="13"/>
      <c r="C832" s="13"/>
    </row>
    <row r="833" spans="1:3" ht="13" x14ac:dyDescent="0.15">
      <c r="A833" s="10"/>
      <c r="B833" s="13"/>
      <c r="C833" s="13"/>
    </row>
    <row r="834" spans="1:3" ht="13" x14ac:dyDescent="0.15">
      <c r="A834" s="10"/>
      <c r="B834" s="13"/>
      <c r="C834" s="13"/>
    </row>
    <row r="835" spans="1:3" ht="13" x14ac:dyDescent="0.15">
      <c r="A835" s="10"/>
      <c r="B835" s="13"/>
      <c r="C835" s="13"/>
    </row>
    <row r="836" spans="1:3" ht="13" x14ac:dyDescent="0.15">
      <c r="A836" s="10"/>
      <c r="B836" s="13"/>
      <c r="C836" s="13"/>
    </row>
    <row r="837" spans="1:3" ht="13" x14ac:dyDescent="0.15">
      <c r="A837" s="10"/>
      <c r="B837" s="13"/>
      <c r="C837" s="13"/>
    </row>
    <row r="838" spans="1:3" ht="13" x14ac:dyDescent="0.15">
      <c r="A838" s="10"/>
      <c r="B838" s="13"/>
      <c r="C838" s="13"/>
    </row>
    <row r="839" spans="1:3" ht="13" x14ac:dyDescent="0.15">
      <c r="A839" s="10"/>
      <c r="B839" s="13"/>
      <c r="C839" s="13"/>
    </row>
    <row r="840" spans="1:3" ht="13" x14ac:dyDescent="0.15">
      <c r="A840" s="10"/>
      <c r="B840" s="13"/>
      <c r="C840" s="13"/>
    </row>
    <row r="841" spans="1:3" ht="13" x14ac:dyDescent="0.15">
      <c r="A841" s="10"/>
      <c r="B841" s="13"/>
      <c r="C841" s="13"/>
    </row>
    <row r="842" spans="1:3" ht="13" x14ac:dyDescent="0.15">
      <c r="A842" s="10"/>
      <c r="B842" s="13"/>
      <c r="C842" s="13"/>
    </row>
    <row r="843" spans="1:3" ht="13" x14ac:dyDescent="0.15">
      <c r="A843" s="10"/>
      <c r="B843" s="13"/>
      <c r="C843" s="13"/>
    </row>
    <row r="844" spans="1:3" ht="13" x14ac:dyDescent="0.15">
      <c r="A844" s="10"/>
      <c r="B844" s="13"/>
      <c r="C844" s="13"/>
    </row>
    <row r="845" spans="1:3" ht="13" x14ac:dyDescent="0.15">
      <c r="A845" s="10"/>
      <c r="B845" s="13"/>
      <c r="C845" s="13"/>
    </row>
    <row r="846" spans="1:3" ht="13" x14ac:dyDescent="0.15">
      <c r="A846" s="10"/>
      <c r="B846" s="13"/>
      <c r="C846" s="13"/>
    </row>
    <row r="847" spans="1:3" ht="13" x14ac:dyDescent="0.15">
      <c r="A847" s="10"/>
      <c r="B847" s="13"/>
      <c r="C847" s="13"/>
    </row>
    <row r="848" spans="1:3" ht="13" x14ac:dyDescent="0.15">
      <c r="A848" s="10"/>
      <c r="B848" s="13"/>
      <c r="C848" s="13"/>
    </row>
    <row r="849" spans="1:3" ht="13" x14ac:dyDescent="0.15">
      <c r="A849" s="10"/>
      <c r="B849" s="13"/>
      <c r="C849" s="13"/>
    </row>
    <row r="850" spans="1:3" ht="13" x14ac:dyDescent="0.15">
      <c r="A850" s="10"/>
      <c r="B850" s="13"/>
      <c r="C850" s="13"/>
    </row>
    <row r="851" spans="1:3" ht="13" x14ac:dyDescent="0.15">
      <c r="A851" s="10"/>
      <c r="B851" s="13"/>
      <c r="C851" s="13"/>
    </row>
    <row r="852" spans="1:3" ht="13" x14ac:dyDescent="0.15">
      <c r="A852" s="10"/>
      <c r="B852" s="13"/>
      <c r="C852" s="13"/>
    </row>
    <row r="853" spans="1:3" ht="13" x14ac:dyDescent="0.15">
      <c r="A853" s="10"/>
      <c r="B853" s="13"/>
      <c r="C853" s="13"/>
    </row>
    <row r="854" spans="1:3" ht="13" x14ac:dyDescent="0.15">
      <c r="A854" s="10"/>
      <c r="B854" s="13"/>
      <c r="C854" s="13"/>
    </row>
    <row r="855" spans="1:3" ht="13" x14ac:dyDescent="0.15">
      <c r="A855" s="10"/>
      <c r="B855" s="13"/>
      <c r="C855" s="13"/>
    </row>
    <row r="856" spans="1:3" ht="13" x14ac:dyDescent="0.15">
      <c r="A856" s="10"/>
      <c r="B856" s="13"/>
      <c r="C856" s="13"/>
    </row>
    <row r="857" spans="1:3" ht="13" x14ac:dyDescent="0.15">
      <c r="A857" s="10"/>
      <c r="B857" s="13"/>
      <c r="C857" s="13"/>
    </row>
    <row r="858" spans="1:3" ht="13" x14ac:dyDescent="0.15">
      <c r="A858" s="10"/>
      <c r="B858" s="13"/>
      <c r="C858" s="13"/>
    </row>
    <row r="859" spans="1:3" ht="13" x14ac:dyDescent="0.15">
      <c r="A859" s="10"/>
      <c r="B859" s="13"/>
      <c r="C859" s="13"/>
    </row>
    <row r="860" spans="1:3" ht="13" x14ac:dyDescent="0.15">
      <c r="A860" s="10"/>
      <c r="B860" s="13"/>
      <c r="C860" s="13"/>
    </row>
    <row r="861" spans="1:3" ht="13" x14ac:dyDescent="0.15">
      <c r="A861" s="10"/>
      <c r="B861" s="13"/>
      <c r="C861" s="13"/>
    </row>
    <row r="862" spans="1:3" ht="13" x14ac:dyDescent="0.15">
      <c r="A862" s="10"/>
      <c r="B862" s="13"/>
      <c r="C862" s="13"/>
    </row>
    <row r="863" spans="1:3" ht="13" x14ac:dyDescent="0.15">
      <c r="A863" s="10"/>
      <c r="B863" s="13"/>
      <c r="C863" s="13"/>
    </row>
    <row r="864" spans="1:3" ht="13" x14ac:dyDescent="0.15">
      <c r="A864" s="10"/>
      <c r="B864" s="13"/>
      <c r="C864" s="13"/>
    </row>
    <row r="865" spans="1:3" ht="13" x14ac:dyDescent="0.15">
      <c r="A865" s="10"/>
      <c r="B865" s="13"/>
      <c r="C865" s="13"/>
    </row>
    <row r="866" spans="1:3" ht="13" x14ac:dyDescent="0.15">
      <c r="A866" s="10"/>
      <c r="B866" s="13"/>
      <c r="C866" s="13"/>
    </row>
    <row r="867" spans="1:3" ht="13" x14ac:dyDescent="0.15">
      <c r="A867" s="10"/>
      <c r="B867" s="13"/>
      <c r="C867" s="13"/>
    </row>
    <row r="868" spans="1:3" ht="13" x14ac:dyDescent="0.15">
      <c r="A868" s="10"/>
      <c r="B868" s="13"/>
      <c r="C868" s="13"/>
    </row>
    <row r="869" spans="1:3" ht="13" x14ac:dyDescent="0.15">
      <c r="A869" s="10"/>
      <c r="B869" s="13"/>
      <c r="C869" s="13"/>
    </row>
    <row r="870" spans="1:3" ht="13" x14ac:dyDescent="0.15">
      <c r="A870" s="10"/>
      <c r="B870" s="13"/>
      <c r="C870" s="13"/>
    </row>
    <row r="871" spans="1:3" ht="13" x14ac:dyDescent="0.15">
      <c r="A871" s="10"/>
      <c r="B871" s="13"/>
      <c r="C871" s="13"/>
    </row>
    <row r="872" spans="1:3" ht="13" x14ac:dyDescent="0.15">
      <c r="A872" s="10"/>
      <c r="B872" s="13"/>
      <c r="C872" s="13"/>
    </row>
    <row r="873" spans="1:3" ht="13" x14ac:dyDescent="0.15">
      <c r="A873" s="10"/>
      <c r="B873" s="13"/>
      <c r="C873" s="13"/>
    </row>
    <row r="874" spans="1:3" ht="13" x14ac:dyDescent="0.15">
      <c r="A874" s="10"/>
      <c r="B874" s="13"/>
      <c r="C874" s="13"/>
    </row>
    <row r="875" spans="1:3" ht="13" x14ac:dyDescent="0.15">
      <c r="A875" s="10"/>
      <c r="B875" s="13"/>
      <c r="C875" s="13"/>
    </row>
    <row r="876" spans="1:3" ht="13" x14ac:dyDescent="0.15">
      <c r="A876" s="10"/>
      <c r="B876" s="13"/>
      <c r="C876" s="13"/>
    </row>
    <row r="877" spans="1:3" ht="13" x14ac:dyDescent="0.15">
      <c r="A877" s="10"/>
      <c r="B877" s="13"/>
      <c r="C877" s="13"/>
    </row>
    <row r="878" spans="1:3" ht="13" x14ac:dyDescent="0.15">
      <c r="A878" s="10"/>
      <c r="B878" s="13"/>
      <c r="C878" s="13"/>
    </row>
    <row r="879" spans="1:3" ht="13" x14ac:dyDescent="0.15">
      <c r="A879" s="10"/>
      <c r="B879" s="13"/>
      <c r="C879" s="13"/>
    </row>
    <row r="880" spans="1:3" ht="13" x14ac:dyDescent="0.15">
      <c r="A880" s="10"/>
      <c r="B880" s="13"/>
      <c r="C880" s="13"/>
    </row>
    <row r="881" spans="1:3" ht="13" x14ac:dyDescent="0.15">
      <c r="A881" s="10"/>
      <c r="B881" s="13"/>
      <c r="C881" s="13"/>
    </row>
    <row r="882" spans="1:3" ht="13" x14ac:dyDescent="0.15">
      <c r="A882" s="10"/>
      <c r="B882" s="13"/>
      <c r="C882" s="13"/>
    </row>
    <row r="883" spans="1:3" ht="13" x14ac:dyDescent="0.15">
      <c r="A883" s="10"/>
      <c r="B883" s="13"/>
      <c r="C883" s="13"/>
    </row>
    <row r="884" spans="1:3" ht="13" x14ac:dyDescent="0.15">
      <c r="A884" s="10"/>
      <c r="B884" s="13"/>
      <c r="C884" s="13"/>
    </row>
    <row r="885" spans="1:3" ht="13" x14ac:dyDescent="0.15">
      <c r="A885" s="10"/>
      <c r="B885" s="13"/>
      <c r="C885" s="13"/>
    </row>
    <row r="886" spans="1:3" ht="13" x14ac:dyDescent="0.15">
      <c r="A886" s="10"/>
      <c r="B886" s="13"/>
      <c r="C886" s="13"/>
    </row>
    <row r="887" spans="1:3" ht="13" x14ac:dyDescent="0.15">
      <c r="A887" s="10"/>
      <c r="B887" s="13"/>
      <c r="C887" s="13"/>
    </row>
    <row r="888" spans="1:3" ht="13" x14ac:dyDescent="0.15">
      <c r="A888" s="10"/>
      <c r="B888" s="13"/>
      <c r="C888" s="13"/>
    </row>
    <row r="889" spans="1:3" ht="13" x14ac:dyDescent="0.15">
      <c r="A889" s="10"/>
      <c r="B889" s="13"/>
      <c r="C889" s="13"/>
    </row>
    <row r="890" spans="1:3" ht="13" x14ac:dyDescent="0.15">
      <c r="A890" s="10"/>
      <c r="B890" s="13"/>
      <c r="C890" s="13"/>
    </row>
    <row r="891" spans="1:3" ht="13" x14ac:dyDescent="0.15">
      <c r="A891" s="10"/>
      <c r="B891" s="13"/>
      <c r="C891" s="13"/>
    </row>
    <row r="892" spans="1:3" ht="13" x14ac:dyDescent="0.15">
      <c r="A892" s="10"/>
      <c r="B892" s="13"/>
      <c r="C892" s="13"/>
    </row>
    <row r="893" spans="1:3" ht="13" x14ac:dyDescent="0.15">
      <c r="A893" s="10"/>
      <c r="B893" s="13"/>
      <c r="C893" s="13"/>
    </row>
    <row r="894" spans="1:3" ht="13" x14ac:dyDescent="0.15">
      <c r="A894" s="10"/>
      <c r="B894" s="13"/>
      <c r="C894" s="13"/>
    </row>
    <row r="895" spans="1:3" ht="13" x14ac:dyDescent="0.15">
      <c r="A895" s="10"/>
      <c r="B895" s="13"/>
      <c r="C895" s="13"/>
    </row>
    <row r="896" spans="1:3" ht="13" x14ac:dyDescent="0.15">
      <c r="A896" s="10"/>
      <c r="B896" s="13"/>
      <c r="C896" s="13"/>
    </row>
    <row r="897" spans="1:3" ht="13" x14ac:dyDescent="0.15">
      <c r="A897" s="10"/>
      <c r="B897" s="13"/>
      <c r="C897" s="13"/>
    </row>
    <row r="898" spans="1:3" ht="13" x14ac:dyDescent="0.15">
      <c r="A898" s="10"/>
      <c r="B898" s="13"/>
      <c r="C898" s="13"/>
    </row>
    <row r="899" spans="1:3" ht="13" x14ac:dyDescent="0.15">
      <c r="A899" s="10"/>
      <c r="B899" s="13"/>
      <c r="C899" s="13"/>
    </row>
    <row r="900" spans="1:3" ht="13" x14ac:dyDescent="0.15">
      <c r="A900" s="10"/>
      <c r="B900" s="13"/>
      <c r="C900" s="13"/>
    </row>
    <row r="901" spans="1:3" ht="13" x14ac:dyDescent="0.15">
      <c r="A901" s="10"/>
      <c r="B901" s="13"/>
      <c r="C901" s="13"/>
    </row>
    <row r="902" spans="1:3" ht="13" x14ac:dyDescent="0.15">
      <c r="A902" s="10"/>
      <c r="B902" s="13"/>
      <c r="C902" s="13"/>
    </row>
    <row r="903" spans="1:3" ht="13" x14ac:dyDescent="0.15">
      <c r="A903" s="10"/>
      <c r="B903" s="13"/>
      <c r="C903" s="13"/>
    </row>
    <row r="904" spans="1:3" ht="13" x14ac:dyDescent="0.15">
      <c r="A904" s="10"/>
      <c r="B904" s="13"/>
      <c r="C904" s="13"/>
    </row>
    <row r="905" spans="1:3" ht="13" x14ac:dyDescent="0.15">
      <c r="A905" s="10"/>
      <c r="B905" s="13"/>
      <c r="C905" s="13"/>
    </row>
    <row r="906" spans="1:3" ht="13" x14ac:dyDescent="0.15">
      <c r="A906" s="10"/>
      <c r="B906" s="13"/>
      <c r="C906" s="13"/>
    </row>
    <row r="907" spans="1:3" ht="13" x14ac:dyDescent="0.15">
      <c r="A907" s="10"/>
      <c r="B907" s="13"/>
      <c r="C907" s="13"/>
    </row>
    <row r="908" spans="1:3" ht="13" x14ac:dyDescent="0.15">
      <c r="A908" s="10"/>
      <c r="B908" s="13"/>
      <c r="C908" s="13"/>
    </row>
    <row r="909" spans="1:3" ht="13" x14ac:dyDescent="0.15">
      <c r="A909" s="10"/>
      <c r="B909" s="13"/>
      <c r="C909" s="13"/>
    </row>
    <row r="910" spans="1:3" ht="13" x14ac:dyDescent="0.15">
      <c r="A910" s="10"/>
      <c r="B910" s="13"/>
      <c r="C910" s="13"/>
    </row>
    <row r="911" spans="1:3" ht="13" x14ac:dyDescent="0.15">
      <c r="A911" s="10"/>
      <c r="B911" s="13"/>
      <c r="C911" s="13"/>
    </row>
    <row r="912" spans="1:3" ht="13" x14ac:dyDescent="0.15">
      <c r="A912" s="10"/>
      <c r="B912" s="13"/>
      <c r="C912" s="13"/>
    </row>
    <row r="913" spans="1:3" ht="13" x14ac:dyDescent="0.15">
      <c r="A913" s="10"/>
      <c r="B913" s="13"/>
      <c r="C913" s="13"/>
    </row>
    <row r="914" spans="1:3" ht="13" x14ac:dyDescent="0.15">
      <c r="A914" s="10"/>
      <c r="B914" s="13"/>
      <c r="C914" s="13"/>
    </row>
    <row r="915" spans="1:3" ht="13" x14ac:dyDescent="0.15">
      <c r="A915" s="10"/>
      <c r="B915" s="13"/>
      <c r="C915" s="13"/>
    </row>
    <row r="916" spans="1:3" ht="13" x14ac:dyDescent="0.15">
      <c r="A916" s="10"/>
      <c r="B916" s="13"/>
      <c r="C916" s="13"/>
    </row>
    <row r="917" spans="1:3" ht="13" x14ac:dyDescent="0.15">
      <c r="A917" s="10"/>
      <c r="B917" s="13"/>
      <c r="C917" s="13"/>
    </row>
    <row r="918" spans="1:3" ht="13" x14ac:dyDescent="0.15">
      <c r="A918" s="10"/>
      <c r="B918" s="13"/>
      <c r="C918" s="13"/>
    </row>
    <row r="919" spans="1:3" ht="13" x14ac:dyDescent="0.15">
      <c r="A919" s="10"/>
      <c r="B919" s="13"/>
      <c r="C919" s="13"/>
    </row>
    <row r="920" spans="1:3" ht="13" x14ac:dyDescent="0.15">
      <c r="A920" s="10"/>
      <c r="B920" s="13"/>
      <c r="C920" s="13"/>
    </row>
    <row r="921" spans="1:3" ht="13" x14ac:dyDescent="0.15">
      <c r="A921" s="10"/>
      <c r="B921" s="13"/>
      <c r="C921" s="13"/>
    </row>
    <row r="922" spans="1:3" ht="13" x14ac:dyDescent="0.15">
      <c r="A922" s="10"/>
      <c r="B922" s="13"/>
      <c r="C922" s="13"/>
    </row>
    <row r="923" spans="1:3" ht="13" x14ac:dyDescent="0.15">
      <c r="A923" s="10"/>
      <c r="B923" s="13"/>
      <c r="C923" s="13"/>
    </row>
    <row r="924" spans="1:3" ht="13" x14ac:dyDescent="0.15">
      <c r="A924" s="10"/>
      <c r="B924" s="13"/>
      <c r="C924" s="13"/>
    </row>
    <row r="925" spans="1:3" ht="13" x14ac:dyDescent="0.15">
      <c r="A925" s="10"/>
      <c r="B925" s="13"/>
      <c r="C925" s="13"/>
    </row>
    <row r="926" spans="1:3" ht="13" x14ac:dyDescent="0.15">
      <c r="A926" s="10"/>
      <c r="B926" s="13"/>
      <c r="C926" s="13"/>
    </row>
    <row r="927" spans="1:3" ht="13" x14ac:dyDescent="0.15">
      <c r="A927" s="10"/>
      <c r="B927" s="13"/>
      <c r="C927" s="13"/>
    </row>
    <row r="928" spans="1:3" ht="13" x14ac:dyDescent="0.15">
      <c r="A928" s="10"/>
      <c r="B928" s="13"/>
      <c r="C928" s="13"/>
    </row>
    <row r="929" spans="1:3" ht="13" x14ac:dyDescent="0.15">
      <c r="A929" s="10"/>
      <c r="B929" s="13"/>
      <c r="C929" s="13"/>
    </row>
    <row r="930" spans="1:3" ht="13" x14ac:dyDescent="0.15">
      <c r="A930" s="10"/>
      <c r="B930" s="13"/>
      <c r="C930" s="13"/>
    </row>
    <row r="931" spans="1:3" ht="13" x14ac:dyDescent="0.15">
      <c r="A931" s="10"/>
      <c r="B931" s="13"/>
      <c r="C931" s="13"/>
    </row>
    <row r="932" spans="1:3" ht="13" x14ac:dyDescent="0.15">
      <c r="A932" s="10"/>
      <c r="B932" s="13"/>
      <c r="C932" s="13"/>
    </row>
    <row r="933" spans="1:3" ht="13" x14ac:dyDescent="0.15">
      <c r="A933" s="10"/>
      <c r="B933" s="13"/>
      <c r="C933" s="13"/>
    </row>
    <row r="934" spans="1:3" ht="13" x14ac:dyDescent="0.15">
      <c r="A934" s="10"/>
      <c r="B934" s="13"/>
      <c r="C934" s="13"/>
    </row>
    <row r="935" spans="1:3" ht="13" x14ac:dyDescent="0.15">
      <c r="A935" s="10"/>
      <c r="B935" s="13"/>
      <c r="C935" s="13"/>
    </row>
    <row r="936" spans="1:3" ht="13" x14ac:dyDescent="0.15">
      <c r="A936" s="10"/>
      <c r="B936" s="13"/>
      <c r="C936" s="13"/>
    </row>
    <row r="937" spans="1:3" ht="13" x14ac:dyDescent="0.15">
      <c r="A937" s="10"/>
      <c r="B937" s="13"/>
      <c r="C937" s="13"/>
    </row>
    <row r="938" spans="1:3" ht="13" x14ac:dyDescent="0.15">
      <c r="A938" s="10"/>
      <c r="B938" s="13"/>
      <c r="C938" s="13"/>
    </row>
    <row r="939" spans="1:3" ht="13" x14ac:dyDescent="0.15">
      <c r="A939" s="10"/>
      <c r="B939" s="13"/>
      <c r="C939" s="13"/>
    </row>
    <row r="940" spans="1:3" ht="13" x14ac:dyDescent="0.15">
      <c r="A940" s="10"/>
      <c r="B940" s="13"/>
      <c r="C940" s="13"/>
    </row>
    <row r="941" spans="1:3" ht="13" x14ac:dyDescent="0.15">
      <c r="A941" s="10"/>
      <c r="B941" s="13"/>
      <c r="C941" s="13"/>
    </row>
    <row r="942" spans="1:3" ht="13" x14ac:dyDescent="0.15">
      <c r="A942" s="10"/>
      <c r="B942" s="13"/>
      <c r="C942" s="13"/>
    </row>
    <row r="943" spans="1:3" ht="13" x14ac:dyDescent="0.15">
      <c r="A943" s="10"/>
      <c r="B943" s="13"/>
      <c r="C943" s="13"/>
    </row>
    <row r="944" spans="1:3" ht="13" x14ac:dyDescent="0.15">
      <c r="A944" s="10"/>
      <c r="B944" s="13"/>
      <c r="C944" s="13"/>
    </row>
    <row r="945" spans="1:3" ht="13" x14ac:dyDescent="0.15">
      <c r="A945" s="10"/>
      <c r="B945" s="13"/>
      <c r="C945" s="13"/>
    </row>
    <row r="946" spans="1:3" ht="13" x14ac:dyDescent="0.15">
      <c r="A946" s="10"/>
      <c r="B946" s="13"/>
      <c r="C946" s="13"/>
    </row>
    <row r="947" spans="1:3" ht="13" x14ac:dyDescent="0.15">
      <c r="A947" s="10"/>
      <c r="B947" s="13"/>
      <c r="C947" s="13"/>
    </row>
    <row r="948" spans="1:3" ht="13" x14ac:dyDescent="0.15">
      <c r="A948" s="10"/>
      <c r="B948" s="13"/>
      <c r="C948" s="13"/>
    </row>
    <row r="949" spans="1:3" ht="13" x14ac:dyDescent="0.15">
      <c r="A949" s="10"/>
      <c r="B949" s="13"/>
      <c r="C949" s="13"/>
    </row>
    <row r="950" spans="1:3" ht="13" x14ac:dyDescent="0.15">
      <c r="A950" s="10"/>
      <c r="B950" s="13"/>
      <c r="C950" s="13"/>
    </row>
    <row r="951" spans="1:3" ht="13" x14ac:dyDescent="0.15">
      <c r="A951" s="10"/>
      <c r="B951" s="13"/>
      <c r="C951" s="13"/>
    </row>
    <row r="952" spans="1:3" ht="13" x14ac:dyDescent="0.15">
      <c r="A952" s="10"/>
      <c r="B952" s="13"/>
      <c r="C952" s="13"/>
    </row>
    <row r="953" spans="1:3" ht="13" x14ac:dyDescent="0.15">
      <c r="A953" s="10"/>
      <c r="B953" s="13"/>
      <c r="C953" s="13"/>
    </row>
    <row r="954" spans="1:3" ht="13" x14ac:dyDescent="0.15">
      <c r="A954" s="10"/>
      <c r="B954" s="13"/>
      <c r="C954" s="13"/>
    </row>
    <row r="955" spans="1:3" ht="13" x14ac:dyDescent="0.15">
      <c r="A955" s="10"/>
      <c r="B955" s="13"/>
      <c r="C955" s="13"/>
    </row>
    <row r="956" spans="1:3" ht="13" x14ac:dyDescent="0.15">
      <c r="A956" s="10"/>
      <c r="B956" s="13"/>
      <c r="C956" s="13"/>
    </row>
    <row r="957" spans="1:3" ht="13" x14ac:dyDescent="0.15">
      <c r="A957" s="10"/>
      <c r="B957" s="13"/>
      <c r="C957" s="13"/>
    </row>
    <row r="958" spans="1:3" ht="13" x14ac:dyDescent="0.15">
      <c r="A958" s="10"/>
      <c r="B958" s="13"/>
      <c r="C958" s="13"/>
    </row>
    <row r="959" spans="1:3" ht="13" x14ac:dyDescent="0.15">
      <c r="A959" s="10"/>
      <c r="B959" s="13"/>
      <c r="C959" s="13"/>
    </row>
    <row r="960" spans="1:3" ht="13" x14ac:dyDescent="0.15">
      <c r="A960" s="10"/>
      <c r="B960" s="13"/>
      <c r="C960" s="13"/>
    </row>
    <row r="961" spans="1:3" ht="13" x14ac:dyDescent="0.15">
      <c r="A961" s="10"/>
      <c r="B961" s="13"/>
      <c r="C961" s="13"/>
    </row>
    <row r="962" spans="1:3" ht="13" x14ac:dyDescent="0.15">
      <c r="A962" s="10"/>
      <c r="B962" s="13"/>
      <c r="C962" s="13"/>
    </row>
    <row r="963" spans="1:3" ht="13" x14ac:dyDescent="0.15">
      <c r="A963" s="10"/>
      <c r="B963" s="13"/>
      <c r="C963" s="13"/>
    </row>
    <row r="964" spans="1:3" ht="13" x14ac:dyDescent="0.15">
      <c r="A964" s="10"/>
      <c r="B964" s="13"/>
      <c r="C964" s="13"/>
    </row>
    <row r="965" spans="1:3" ht="13" x14ac:dyDescent="0.15">
      <c r="A965" s="10"/>
      <c r="B965" s="13"/>
      <c r="C965" s="13"/>
    </row>
    <row r="966" spans="1:3" ht="13" x14ac:dyDescent="0.15">
      <c r="A966" s="10"/>
      <c r="B966" s="13"/>
      <c r="C966" s="13"/>
    </row>
    <row r="967" spans="1:3" ht="13" x14ac:dyDescent="0.15">
      <c r="A967" s="10"/>
      <c r="B967" s="13"/>
      <c r="C967" s="13"/>
    </row>
    <row r="968" spans="1:3" ht="13" x14ac:dyDescent="0.15">
      <c r="A968" s="10"/>
      <c r="B968" s="13"/>
      <c r="C968" s="13"/>
    </row>
    <row r="969" spans="1:3" ht="13" x14ac:dyDescent="0.15">
      <c r="A969" s="10"/>
      <c r="B969" s="13"/>
      <c r="C969" s="13"/>
    </row>
    <row r="970" spans="1:3" ht="13" x14ac:dyDescent="0.15">
      <c r="A970" s="10"/>
      <c r="B970" s="13"/>
      <c r="C970" s="13"/>
    </row>
    <row r="971" spans="1:3" ht="13" x14ac:dyDescent="0.15">
      <c r="A971" s="10"/>
      <c r="B971" s="13"/>
      <c r="C971" s="13"/>
    </row>
    <row r="972" spans="1:3" ht="13" x14ac:dyDescent="0.15">
      <c r="A972" s="10"/>
      <c r="B972" s="13"/>
      <c r="C972" s="13"/>
    </row>
    <row r="973" spans="1:3" ht="13" x14ac:dyDescent="0.15">
      <c r="A973" s="10"/>
      <c r="B973" s="13"/>
      <c r="C973" s="13"/>
    </row>
    <row r="974" spans="1:3" ht="13" x14ac:dyDescent="0.15">
      <c r="A974" s="10"/>
      <c r="B974" s="13"/>
      <c r="C974" s="13"/>
    </row>
    <row r="975" spans="1:3" ht="13" x14ac:dyDescent="0.15">
      <c r="A975" s="10"/>
      <c r="B975" s="13"/>
      <c r="C975" s="13"/>
    </row>
    <row r="976" spans="1:3" ht="13" x14ac:dyDescent="0.15">
      <c r="A976" s="10"/>
      <c r="B976" s="13"/>
      <c r="C976" s="13"/>
    </row>
    <row r="977" spans="1:3" ht="13" x14ac:dyDescent="0.15">
      <c r="A977" s="10"/>
      <c r="B977" s="13"/>
      <c r="C977" s="13"/>
    </row>
    <row r="978" spans="1:3" ht="13" x14ac:dyDescent="0.15">
      <c r="A978" s="10"/>
      <c r="B978" s="13"/>
      <c r="C978" s="13"/>
    </row>
    <row r="979" spans="1:3" ht="13" x14ac:dyDescent="0.15">
      <c r="A979" s="10"/>
      <c r="B979" s="13"/>
      <c r="C979" s="13"/>
    </row>
    <row r="980" spans="1:3" ht="13" x14ac:dyDescent="0.15">
      <c r="A980" s="10"/>
      <c r="B980" s="13"/>
      <c r="C980" s="13"/>
    </row>
    <row r="981" spans="1:3" ht="13" x14ac:dyDescent="0.15">
      <c r="A981" s="10"/>
      <c r="B981" s="13"/>
      <c r="C981" s="13"/>
    </row>
    <row r="982" spans="1:3" ht="13" x14ac:dyDescent="0.15">
      <c r="A982" s="10"/>
      <c r="B982" s="13"/>
      <c r="C982" s="13"/>
    </row>
    <row r="983" spans="1:3" ht="13" x14ac:dyDescent="0.15">
      <c r="A983" s="10"/>
      <c r="B983" s="13"/>
      <c r="C983" s="13"/>
    </row>
    <row r="984" spans="1:3" ht="13" x14ac:dyDescent="0.15">
      <c r="A984" s="10"/>
      <c r="B984" s="13"/>
      <c r="C984" s="13"/>
    </row>
    <row r="985" spans="1:3" ht="13" x14ac:dyDescent="0.15">
      <c r="A985" s="10"/>
      <c r="B985" s="13"/>
      <c r="C985" s="13"/>
    </row>
    <row r="986" spans="1:3" ht="13" x14ac:dyDescent="0.15">
      <c r="A986" s="10"/>
      <c r="B986" s="13"/>
      <c r="C986" s="13"/>
    </row>
    <row r="987" spans="1:3" ht="13" x14ac:dyDescent="0.15">
      <c r="A987" s="10"/>
      <c r="B987" s="13"/>
      <c r="C987" s="13"/>
    </row>
    <row r="988" spans="1:3" ht="13" x14ac:dyDescent="0.15">
      <c r="A988" s="10"/>
      <c r="B988" s="13"/>
      <c r="C988" s="13"/>
    </row>
    <row r="989" spans="1:3" ht="13" x14ac:dyDescent="0.15">
      <c r="A989" s="10"/>
      <c r="B989" s="13"/>
      <c r="C989" s="13"/>
    </row>
    <row r="990" spans="1:3" ht="13" x14ac:dyDescent="0.15">
      <c r="A990" s="10"/>
      <c r="B990" s="13"/>
      <c r="C990" s="13"/>
    </row>
    <row r="991" spans="1:3" ht="13" x14ac:dyDescent="0.15">
      <c r="A991" s="10"/>
      <c r="B991" s="13"/>
      <c r="C991" s="13"/>
    </row>
    <row r="992" spans="1:3" ht="13" x14ac:dyDescent="0.15">
      <c r="A992" s="10"/>
      <c r="B992" s="13"/>
      <c r="C992" s="13"/>
    </row>
    <row r="993" spans="1:3" ht="13" x14ac:dyDescent="0.15">
      <c r="A993" s="10"/>
      <c r="B993" s="13"/>
      <c r="C993" s="13"/>
    </row>
    <row r="994" spans="1:3" ht="13" x14ac:dyDescent="0.15">
      <c r="A994" s="10"/>
      <c r="B994" s="13"/>
      <c r="C994" s="13"/>
    </row>
    <row r="995" spans="1:3" ht="13" x14ac:dyDescent="0.15">
      <c r="A995" s="10"/>
      <c r="B995" s="13"/>
      <c r="C995" s="13"/>
    </row>
    <row r="996" spans="1:3" ht="13" x14ac:dyDescent="0.15">
      <c r="A996" s="10"/>
      <c r="B996" s="13"/>
      <c r="C996" s="13"/>
    </row>
    <row r="997" spans="1:3" ht="13" x14ac:dyDescent="0.15">
      <c r="A997" s="10"/>
      <c r="B997" s="13"/>
      <c r="C997" s="13"/>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outlinePr summaryBelow="0" summaryRight="0"/>
  </sheetPr>
  <dimension ref="A1:D997"/>
  <sheetViews>
    <sheetView workbookViewId="0"/>
  </sheetViews>
  <sheetFormatPr baseColWidth="10" defaultColWidth="12.6640625" defaultRowHeight="15.75" customHeight="1" x14ac:dyDescent="0.15"/>
  <cols>
    <col min="1" max="1" width="71.5" customWidth="1"/>
    <col min="2" max="4" width="37.6640625" customWidth="1"/>
  </cols>
  <sheetData>
    <row r="1" spans="1:4" ht="15.75" customHeight="1" x14ac:dyDescent="0.15">
      <c r="A1" s="1"/>
      <c r="B1" s="10" t="str">
        <f ca="1">IFERROR(__xludf.DUMMYFUNCTION("IMPORTRANGE(""https://docs.google.com/spreadsheets/u/0/d/1etLQb97lMSNWG4ebq9e4mMf5V6Y_IPpBxMswZpIG47E"", ""A22!B1:B22"")"),"Erin Loudermilk")</f>
        <v>Erin Loudermilk</v>
      </c>
      <c r="C1" s="10" t="str">
        <f ca="1">IFERROR(__xludf.DUMMYFUNCTION("IMPORTRANGE(""https://docs.google.com/spreadsheets/u/0/d/1QLAeYl5D81_Myo-agZdCgYFm7rliPzxg4xkt-QHL9OA"", ""A22!B1:B22"")"),"Rin Godfrey")</f>
        <v>Rin Godfrey</v>
      </c>
      <c r="D1" s="2" t="s">
        <v>1</v>
      </c>
    </row>
    <row r="2" spans="1:4" ht="15.75" customHeight="1" x14ac:dyDescent="0.15">
      <c r="A2" s="3" t="s">
        <v>2</v>
      </c>
      <c r="B2" s="15" t="str">
        <f ca="1">IFERROR(__xludf.DUMMYFUNCTION("""COMPUTED_VALUE"""),"15841 - 16278 FOR")</f>
        <v>15841 - 16278 FOR</v>
      </c>
      <c r="C2" s="15" t="str">
        <f ca="1">IFERROR(__xludf.DUMMYFUNCTION("""COMPUTED_VALUE"""),"Start: 15841
Stop: 16278 FOR")</f>
        <v>Start: 15841
Stop: 16278 FOR</v>
      </c>
      <c r="D2" s="4"/>
    </row>
    <row r="3" spans="1:4" ht="15.75" customHeight="1" x14ac:dyDescent="0.15">
      <c r="A3" s="5" t="s">
        <v>3</v>
      </c>
      <c r="B3" s="17" t="str">
        <f ca="1">IFERROR(__xludf.DUMMYFUNCTION("""COMPUTED_VALUE"""),"22 in both")</f>
        <v>22 in both</v>
      </c>
      <c r="C3" s="17" t="str">
        <f ca="1">IFERROR(__xludf.DUMMYFUNCTION("""COMPUTED_VALUE"""),"22 on both")</f>
        <v>22 on both</v>
      </c>
      <c r="D3" s="6"/>
    </row>
    <row r="4" spans="1:4" ht="15.75" customHeight="1" x14ac:dyDescent="0.15">
      <c r="A4" s="5" t="s">
        <v>4</v>
      </c>
      <c r="B4" s="17" t="str">
        <f ca="1">IFERROR(__xludf.DUMMYFUNCTION("""COMPUTED_VALUE"""),"88504 (3/10/25)")</f>
        <v>88504 (3/10/25)</v>
      </c>
      <c r="C4" s="17" t="str">
        <f ca="1">IFERROR(__xludf.DUMMYFUNCTION("""COMPUTED_VALUE"""),"88504  2/27/25")</f>
        <v>88504  2/27/25</v>
      </c>
      <c r="D4" s="6"/>
    </row>
    <row r="5" spans="1:4" ht="15.75" customHeight="1" x14ac:dyDescent="0.15">
      <c r="A5" s="5" t="s">
        <v>5</v>
      </c>
      <c r="B5" s="17" t="str">
        <f ca="1">IFERROR(__xludf.DUMMYFUNCTION("""COMPUTED_VALUE"""),"Kovu_23, Edmundo_20")</f>
        <v>Kovu_23, Edmundo_20</v>
      </c>
      <c r="C5" s="17" t="str">
        <f ca="1">IFERROR(__xludf.DUMMYFUNCTION("""COMPUTED_VALUE"""),"Kovu_23  Edmundo_20")</f>
        <v>Kovu_23  Edmundo_20</v>
      </c>
      <c r="D5" s="6"/>
    </row>
    <row r="6" spans="1:4" ht="15.75" customHeight="1" x14ac:dyDescent="0.15">
      <c r="A6" s="5" t="s">
        <v>6</v>
      </c>
      <c r="B6" s="17" t="str">
        <f ca="1">IFERROR(__xludf.DUMMYFUNCTION("""COMPUTED_VALUE"""),"Both call start at 15841")</f>
        <v>Both call start at 15841</v>
      </c>
      <c r="C6" s="17" t="str">
        <f ca="1">IFERROR(__xludf.DUMMYFUNCTION("""COMPUTED_VALUE"""),"Both called at 15841 with a strength 18.48")</f>
        <v>Both called at 15841 with a strength 18.48</v>
      </c>
      <c r="D6" s="6"/>
    </row>
    <row r="7" spans="1:4" ht="15.75" customHeight="1" x14ac:dyDescent="0.15">
      <c r="A7" s="5" t="s">
        <v>7</v>
      </c>
      <c r="B7" s="17" t="str">
        <f ca="1">IFERROR(__xludf.DUMMYFUNCTION("""COMPUTED_VALUE"""),"Genemark has good coding potential at the start and throughout the gene")</f>
        <v>Genemark has good coding potential at the start and throughout the gene</v>
      </c>
      <c r="C7" s="17" t="str">
        <f ca="1">IFERROR(__xludf.DUMMYFUNCTION("""COMPUTED_VALUE"""),"It captures all of the coding potential. But leaves a little at the begin.")</f>
        <v>It captures all of the coding potential. But leaves a little at the begin.</v>
      </c>
      <c r="D7" s="6"/>
    </row>
    <row r="8" spans="1:4" ht="15.75" customHeight="1" x14ac:dyDescent="0.15">
      <c r="A8" s="5" t="s">
        <v>8</v>
      </c>
      <c r="B8" s="17" t="str">
        <f ca="1">IFERROR(__xludf.DUMMYFUNCTION("""COMPUTED_VALUE"""),"Yes")</f>
        <v>Yes</v>
      </c>
      <c r="C8" s="17" t="str">
        <f ca="1">IFERROR(__xludf.DUMMYFUNCTION("""COMPUTED_VALUE"""),"Yes ")</f>
        <v xml:space="preserve">Yes </v>
      </c>
      <c r="D8" s="6"/>
    </row>
    <row r="9" spans="1:4" ht="15.75" customHeight="1" x14ac:dyDescent="0.15">
      <c r="A9" s="5" t="s">
        <v>9</v>
      </c>
      <c r="B9" s="17" t="str">
        <f ca="1">IFERROR(__xludf.DUMMYFUNCTION("""COMPUTED_VALUE"""),"55 nucleotide gap, lowest gap possible")</f>
        <v>55 nucleotide gap, lowest gap possible</v>
      </c>
      <c r="C9" s="17" t="str">
        <f ca="1">IFERROR(__xludf.DUMMYFUNCTION("""COMPUTED_VALUE"""),"There is a gap of about 55 nucleotides")</f>
        <v>There is a gap of about 55 nucleotides</v>
      </c>
      <c r="D9" s="6"/>
    </row>
    <row r="10" spans="1:4" ht="15.75" customHeight="1" x14ac:dyDescent="0.15">
      <c r="A10" s="5" t="s">
        <v>10</v>
      </c>
      <c r="B10" s="17" t="str">
        <f ca="1">IFERROR(__xludf.DUMMYFUNCTION("""COMPUTED_VALUE"""),"2.807 z-score, best score")</f>
        <v>2.807 z-score, best score</v>
      </c>
      <c r="C10" s="17" t="str">
        <f ca="1">IFERROR(__xludf.DUMMYFUNCTION("""COMPUTED_VALUE"""),"The Z-score in 2.807 and the final score is -2.845. It is the best score.")</f>
        <v>The Z-score in 2.807 and the final score is -2.845. It is the best score.</v>
      </c>
      <c r="D10" s="6"/>
    </row>
    <row r="11" spans="1:4" ht="15.75" customHeight="1" x14ac:dyDescent="0.15">
      <c r="A11" s="5" t="s">
        <v>11</v>
      </c>
      <c r="B11" s="17" t="str">
        <f ca="1">IFERROR(__xludf.DUMMYFUNCTION("""COMPUTED_VALUE"""),"Kovu_23, 87.31% identity, 0.0E0 e-value, Q:145, T:147")</f>
        <v>Kovu_23, 87.31% identity, 0.0E0 e-value, Q:145, T:147</v>
      </c>
      <c r="C11" s="17" t="str">
        <f ca="1">IFERROR(__xludf.DUMMYFUNCTION("""COMPUTED_VALUE"""),"Kovu_23
87.76% identity
e0.0
q:14 s:14")</f>
        <v>Kovu_23
87.76% identity
e0.0
q:14 s:14</v>
      </c>
      <c r="D11" s="6"/>
    </row>
    <row r="12" spans="1:4" ht="15.75" customHeight="1" x14ac:dyDescent="0.15">
      <c r="A12" s="5" t="s">
        <v>12</v>
      </c>
      <c r="B12" s="17" t="str">
        <f ca="1">IFERROR(__xludf.DUMMYFUNCTION("""COMPUTED_VALUE"""),"Not conserved in all members of pham, called 100% of time when present")</f>
        <v>Not conserved in all members of pham, called 100% of time when present</v>
      </c>
      <c r="C12" s="17" t="str">
        <f ca="1">IFERROR(__xludf.DUMMYFUNCTION("""COMPUTED_VALUE"""),"It is called 100% of the time and share a start with Kovu_23")</f>
        <v>It is called 100% of the time and share a start with Kovu_23</v>
      </c>
      <c r="D12" s="6"/>
    </row>
    <row r="13" spans="1:4" ht="15.75" customHeight="1" x14ac:dyDescent="0.15">
      <c r="A13" s="5" t="s">
        <v>13</v>
      </c>
      <c r="B13" s="17" t="str">
        <f ca="1">IFERROR(__xludf.DUMMYFUNCTION("""COMPUTED_VALUE"""),"No ")</f>
        <v xml:space="preserve">No </v>
      </c>
      <c r="C13" s="17" t="str">
        <f ca="1">IFERROR(__xludf.DUMMYFUNCTION("""COMPUTED_VALUE"""),"NO because there is no other start to change it and all evidence is pointing to keep it.")</f>
        <v>NO because there is no other start to change it and all evidence is pointing to keep it.</v>
      </c>
      <c r="D13" s="6"/>
    </row>
    <row r="14" spans="1:4" ht="15.75" customHeight="1" x14ac:dyDescent="0.15">
      <c r="A14" s="5" t="s">
        <v>14</v>
      </c>
      <c r="B14" s="17" t="str">
        <f ca="1">IFERROR(__xludf.DUMMYFUNCTION("""COMPUTED_VALUE"""),"Kovu_23, 8e-83 e-value")</f>
        <v>Kovu_23, 8e-83 e-value</v>
      </c>
      <c r="C14" s="17" t="str">
        <f ca="1">IFERROR(__xludf.DUMMYFUNCTION("""COMPUTED_VALUE"""),"Matched with Kovu_23")</f>
        <v>Matched with Kovu_23</v>
      </c>
      <c r="D14" s="6"/>
    </row>
    <row r="15" spans="1:4" ht="15.75" customHeight="1" x14ac:dyDescent="0.15">
      <c r="A15" s="5" t="s">
        <v>15</v>
      </c>
      <c r="B15" s="17" t="str">
        <f ca="1">IFERROR(__xludf.DUMMYFUNCTION("""COMPUTED_VALUE"""),"Function unknown, Kovu_23")</f>
        <v>Function unknown, Kovu_23</v>
      </c>
      <c r="C15" s="17" t="str">
        <f ca="1">IFERROR(__xludf.DUMMYFUNCTION("""COMPUTED_VALUE"""),"unknown function")</f>
        <v>unknown function</v>
      </c>
      <c r="D15" s="6"/>
    </row>
    <row r="16" spans="1:4" ht="15.75" customHeight="1" x14ac:dyDescent="0.15">
      <c r="A16" s="5" t="s">
        <v>16</v>
      </c>
      <c r="B16" s="17" t="str">
        <f ca="1">IFERROR(__xludf.DUMMYFUNCTION("""COMPUTED_VALUE"""),"Yes, found in same environment in Kovu")</f>
        <v>Yes, found in same environment in Kovu</v>
      </c>
      <c r="C16" s="17" t="str">
        <f ca="1">IFERROR(__xludf.DUMMYFUNCTION("""COMPUTED_VALUE"""),"It matches well with Kovu and is in the relatively same area.")</f>
        <v>It matches well with Kovu and is in the relatively same area.</v>
      </c>
      <c r="D16" s="6"/>
    </row>
    <row r="17" spans="1:4" ht="15.75" customHeight="1" x14ac:dyDescent="0.15">
      <c r="A17" s="5" t="s">
        <v>17</v>
      </c>
      <c r="B17" s="17" t="str">
        <f ca="1">IFERROR(__xludf.DUMMYFUNCTION("""COMPUTED_VALUE"""),"PF16080.10; Phage_holin_2_3 ; Bacteriophage holin family HP1, 71.7% probability, 88.28% Query. 66.07% Target. Yes, functional domain part of target. ")</f>
        <v xml:space="preserve">PF16080.10; Phage_holin_2_3 ; Bacteriophage holin family HP1, 71.7% probability, 88.28% Query. 66.07% Target. Yes, functional domain part of target. </v>
      </c>
      <c r="C17" s="17" t="str">
        <f ca="1">IFERROR(__xludf.DUMMYFUNCTION("""COMPUTED_VALUE"""),"8GZU_96 Zf-Tim10_DDP Domain-containing protein; Electron transport chain, supercomplex, membrane protein, Tetrahymena thermophila
Q: 23%
T: 46%
There is no pink bar so I am assuming that the function does not align with the target.")</f>
        <v>8GZU_96 Zf-Tim10_DDP Domain-containing protein; Electron transport chain, supercomplex, membrane protein, Tetrahymena thermophila
Q: 23%
T: 46%
There is no pink bar so I am assuming that the function does not align with the target.</v>
      </c>
      <c r="D17" s="6"/>
    </row>
    <row r="18" spans="1:4" ht="15.75" customHeight="1" x14ac:dyDescent="0.15">
      <c r="A18" s="5" t="s">
        <v>18</v>
      </c>
      <c r="B18" s="17" t="str">
        <f ca="1">IFERROR(__xludf.DUMMYFUNCTION("""COMPUTED_VALUE"""),"No")</f>
        <v>No</v>
      </c>
      <c r="C18" s="17" t="str">
        <f ca="1">IFERROR(__xludf.DUMMYFUNCTION("""COMPUTED_VALUE"""),"None")</f>
        <v>None</v>
      </c>
      <c r="D18" s="6"/>
    </row>
    <row r="19" spans="1:4" ht="15.75" customHeight="1" x14ac:dyDescent="0.15">
      <c r="A19" s="5" t="s">
        <v>19</v>
      </c>
      <c r="B19" s="17" t="str">
        <f ca="1">IFERROR(__xludf.DUMMYFUNCTION("""COMPUTED_VALUE"""),"None")</f>
        <v>None</v>
      </c>
      <c r="C19" s="17" t="str">
        <f ca="1">IFERROR(__xludf.DUMMYFUNCTION("""COMPUTED_VALUE"""),"None")</f>
        <v>None</v>
      </c>
      <c r="D19" s="6"/>
    </row>
    <row r="20" spans="1:4" ht="15.75" customHeight="1" x14ac:dyDescent="0.15">
      <c r="A20" s="5" t="s">
        <v>20</v>
      </c>
      <c r="B20" s="17" t="str">
        <f ca="1">IFERROR(__xludf.DUMMYFUNCTION("""COMPUTED_VALUE"""),"Hypothetical protein")</f>
        <v>Hypothetical protein</v>
      </c>
      <c r="C20" s="17" t="str">
        <f ca="1">IFERROR(__xludf.DUMMYFUNCTION("""COMPUTED_VALUE"""),"Orphan there is not matchs or evidence that this gene has a proper function.")</f>
        <v>Orphan there is not matchs or evidence that this gene has a proper function.</v>
      </c>
      <c r="D20" s="6"/>
    </row>
    <row r="21" spans="1:4" x14ac:dyDescent="0.2">
      <c r="A21" s="7"/>
      <c r="B21" s="19"/>
      <c r="C21" s="19"/>
      <c r="D21" s="8"/>
    </row>
    <row r="22" spans="1:4" ht="15.75" customHeight="1" x14ac:dyDescent="0.15">
      <c r="A22" s="9" t="s">
        <v>21</v>
      </c>
      <c r="B22" s="19"/>
      <c r="C22" s="19"/>
      <c r="D22" s="8"/>
    </row>
    <row r="23" spans="1:4" ht="15.75" customHeight="1" x14ac:dyDescent="0.15">
      <c r="A23" s="10"/>
      <c r="B23" s="13"/>
      <c r="C23" s="13"/>
    </row>
    <row r="24" spans="1:4" ht="15.75" customHeight="1" x14ac:dyDescent="0.15">
      <c r="A24" s="10"/>
      <c r="B24" s="13"/>
      <c r="C24" s="13"/>
    </row>
    <row r="25" spans="1:4" ht="15.75" customHeight="1" x14ac:dyDescent="0.15">
      <c r="A25" s="10"/>
      <c r="B25" s="13"/>
      <c r="C25" s="13"/>
    </row>
    <row r="26" spans="1:4" ht="15.75" customHeight="1" x14ac:dyDescent="0.15">
      <c r="A26" s="10"/>
      <c r="B26" s="13"/>
      <c r="C26" s="13"/>
    </row>
    <row r="27" spans="1:4" ht="15.75" customHeight="1" x14ac:dyDescent="0.15">
      <c r="A27" s="10"/>
      <c r="B27" s="13"/>
      <c r="C27" s="13"/>
    </row>
    <row r="28" spans="1:4" ht="15.75" customHeight="1" x14ac:dyDescent="0.15">
      <c r="A28" s="10"/>
      <c r="B28" s="13"/>
      <c r="C28" s="13"/>
    </row>
    <row r="29" spans="1:4" ht="15.75" customHeight="1" x14ac:dyDescent="0.15">
      <c r="A29" s="10"/>
      <c r="B29" s="13"/>
      <c r="C29" s="13"/>
    </row>
    <row r="30" spans="1:4" ht="15.75" customHeight="1" x14ac:dyDescent="0.15">
      <c r="A30" s="10"/>
      <c r="B30" s="13"/>
      <c r="C30" s="13"/>
    </row>
    <row r="31" spans="1:4" ht="15.75" customHeight="1" x14ac:dyDescent="0.15">
      <c r="A31" s="10"/>
      <c r="B31" s="13"/>
      <c r="C31" s="13"/>
    </row>
    <row r="32" spans="1:4" ht="15.75" customHeight="1" x14ac:dyDescent="0.15">
      <c r="A32" s="10"/>
      <c r="B32" s="13"/>
      <c r="C32" s="13"/>
    </row>
    <row r="33" spans="1:3" ht="15.75" customHeight="1" x14ac:dyDescent="0.15">
      <c r="A33" s="10"/>
      <c r="B33" s="13"/>
      <c r="C33" s="13"/>
    </row>
    <row r="34" spans="1:3" ht="15.75" customHeight="1" x14ac:dyDescent="0.15">
      <c r="A34" s="10"/>
      <c r="B34" s="13"/>
      <c r="C34" s="13"/>
    </row>
    <row r="35" spans="1:3" ht="15.75" customHeight="1" x14ac:dyDescent="0.15">
      <c r="A35" s="10"/>
      <c r="B35" s="13"/>
      <c r="C35" s="13"/>
    </row>
    <row r="36" spans="1:3" ht="15.75" customHeight="1" x14ac:dyDescent="0.15">
      <c r="A36" s="10"/>
      <c r="B36" s="13"/>
      <c r="C36" s="13"/>
    </row>
    <row r="37" spans="1:3" ht="15.75" customHeight="1" x14ac:dyDescent="0.15">
      <c r="A37" s="10"/>
      <c r="B37" s="13"/>
      <c r="C37" s="13"/>
    </row>
    <row r="38" spans="1:3" ht="15.75" customHeight="1" x14ac:dyDescent="0.15">
      <c r="A38" s="10"/>
      <c r="B38" s="13"/>
      <c r="C38" s="13"/>
    </row>
    <row r="39" spans="1:3" ht="13" x14ac:dyDescent="0.15">
      <c r="A39" s="10"/>
      <c r="B39" s="13"/>
      <c r="C39" s="13"/>
    </row>
    <row r="40" spans="1:3" ht="13" x14ac:dyDescent="0.15">
      <c r="A40" s="10"/>
      <c r="B40" s="13"/>
      <c r="C40" s="13"/>
    </row>
    <row r="41" spans="1:3" ht="13" x14ac:dyDescent="0.15">
      <c r="A41" s="10"/>
      <c r="B41" s="13"/>
      <c r="C41" s="13"/>
    </row>
    <row r="42" spans="1:3" ht="13" x14ac:dyDescent="0.15">
      <c r="A42" s="10"/>
      <c r="B42" s="13"/>
      <c r="C42" s="13"/>
    </row>
    <row r="43" spans="1:3" ht="13" x14ac:dyDescent="0.15">
      <c r="A43" s="10"/>
      <c r="B43" s="13"/>
      <c r="C43" s="13"/>
    </row>
    <row r="44" spans="1:3" ht="13" x14ac:dyDescent="0.15">
      <c r="A44" s="10"/>
      <c r="B44" s="13"/>
      <c r="C44" s="13"/>
    </row>
    <row r="45" spans="1:3" ht="13" x14ac:dyDescent="0.15">
      <c r="A45" s="10"/>
      <c r="B45" s="13"/>
      <c r="C45" s="13"/>
    </row>
    <row r="46" spans="1:3" ht="13" x14ac:dyDescent="0.15">
      <c r="A46" s="10"/>
      <c r="B46" s="13"/>
      <c r="C46" s="13"/>
    </row>
    <row r="47" spans="1:3" ht="13" x14ac:dyDescent="0.15">
      <c r="A47" s="10"/>
      <c r="B47" s="13"/>
      <c r="C47" s="13"/>
    </row>
    <row r="48" spans="1:3" ht="13" x14ac:dyDescent="0.15">
      <c r="A48" s="10"/>
      <c r="B48" s="13"/>
      <c r="C48" s="13"/>
    </row>
    <row r="49" spans="1:3" ht="13" x14ac:dyDescent="0.15">
      <c r="A49" s="10"/>
      <c r="B49" s="13"/>
      <c r="C49" s="13"/>
    </row>
    <row r="50" spans="1:3" ht="13" x14ac:dyDescent="0.15">
      <c r="A50" s="10"/>
      <c r="B50" s="13"/>
      <c r="C50" s="13"/>
    </row>
    <row r="51" spans="1:3" ht="13" x14ac:dyDescent="0.15">
      <c r="A51" s="10"/>
      <c r="B51" s="13"/>
      <c r="C51" s="13"/>
    </row>
    <row r="52" spans="1:3" ht="13" x14ac:dyDescent="0.15">
      <c r="A52" s="10"/>
      <c r="B52" s="13"/>
      <c r="C52" s="13"/>
    </row>
    <row r="53" spans="1:3" ht="13" x14ac:dyDescent="0.15">
      <c r="A53" s="10"/>
      <c r="B53" s="13"/>
      <c r="C53" s="13"/>
    </row>
    <row r="54" spans="1:3" ht="13" x14ac:dyDescent="0.15">
      <c r="A54" s="10"/>
      <c r="B54" s="13"/>
      <c r="C54" s="13"/>
    </row>
    <row r="55" spans="1:3" ht="13" x14ac:dyDescent="0.15">
      <c r="A55" s="10"/>
      <c r="B55" s="13"/>
      <c r="C55" s="13"/>
    </row>
    <row r="56" spans="1:3" ht="13" x14ac:dyDescent="0.15">
      <c r="A56" s="10"/>
      <c r="B56" s="13"/>
      <c r="C56" s="13"/>
    </row>
    <row r="57" spans="1:3" ht="13" x14ac:dyDescent="0.15">
      <c r="A57" s="10"/>
      <c r="B57" s="13"/>
      <c r="C57" s="13"/>
    </row>
    <row r="58" spans="1:3" ht="13" x14ac:dyDescent="0.15">
      <c r="A58" s="10"/>
      <c r="B58" s="13"/>
      <c r="C58" s="13"/>
    </row>
    <row r="59" spans="1:3" ht="13" x14ac:dyDescent="0.15">
      <c r="A59" s="10"/>
      <c r="B59" s="13"/>
      <c r="C59" s="13"/>
    </row>
    <row r="60" spans="1:3" ht="13" x14ac:dyDescent="0.15">
      <c r="A60" s="10"/>
      <c r="B60" s="13"/>
      <c r="C60" s="13"/>
    </row>
    <row r="61" spans="1:3" ht="13" x14ac:dyDescent="0.15">
      <c r="A61" s="10"/>
      <c r="B61" s="13"/>
      <c r="C61" s="13"/>
    </row>
    <row r="62" spans="1:3" ht="13" x14ac:dyDescent="0.15">
      <c r="A62" s="10"/>
      <c r="B62" s="13"/>
      <c r="C62" s="13"/>
    </row>
    <row r="63" spans="1:3" ht="13" x14ac:dyDescent="0.15">
      <c r="A63" s="10"/>
      <c r="B63" s="13"/>
      <c r="C63" s="13"/>
    </row>
    <row r="64" spans="1:3" ht="13" x14ac:dyDescent="0.15">
      <c r="A64" s="10"/>
      <c r="B64" s="13"/>
      <c r="C64" s="13"/>
    </row>
    <row r="65" spans="1:3" ht="13" x14ac:dyDescent="0.15">
      <c r="A65" s="10"/>
      <c r="B65" s="13"/>
      <c r="C65" s="13"/>
    </row>
    <row r="66" spans="1:3" ht="13" x14ac:dyDescent="0.15">
      <c r="A66" s="10"/>
      <c r="B66" s="13"/>
      <c r="C66" s="13"/>
    </row>
    <row r="67" spans="1:3" ht="13" x14ac:dyDescent="0.15">
      <c r="A67" s="10"/>
      <c r="B67" s="13"/>
      <c r="C67" s="13"/>
    </row>
    <row r="68" spans="1:3" ht="13" x14ac:dyDescent="0.15">
      <c r="A68" s="10"/>
      <c r="B68" s="13"/>
      <c r="C68" s="13"/>
    </row>
    <row r="69" spans="1:3" ht="13" x14ac:dyDescent="0.15">
      <c r="A69" s="10"/>
      <c r="B69" s="13"/>
      <c r="C69" s="13"/>
    </row>
    <row r="70" spans="1:3" ht="13" x14ac:dyDescent="0.15">
      <c r="A70" s="10"/>
      <c r="B70" s="13"/>
      <c r="C70" s="13"/>
    </row>
    <row r="71" spans="1:3" ht="13" x14ac:dyDescent="0.15">
      <c r="A71" s="10"/>
      <c r="B71" s="13"/>
      <c r="C71" s="13"/>
    </row>
    <row r="72" spans="1:3" ht="13" x14ac:dyDescent="0.15">
      <c r="A72" s="10"/>
      <c r="B72" s="13"/>
      <c r="C72" s="13"/>
    </row>
    <row r="73" spans="1:3" ht="13" x14ac:dyDescent="0.15">
      <c r="A73" s="10"/>
      <c r="B73" s="13"/>
      <c r="C73" s="13"/>
    </row>
    <row r="74" spans="1:3" ht="13" x14ac:dyDescent="0.15">
      <c r="A74" s="10"/>
      <c r="B74" s="13"/>
      <c r="C74" s="13"/>
    </row>
    <row r="75" spans="1:3" ht="13" x14ac:dyDescent="0.15">
      <c r="A75" s="10"/>
      <c r="B75" s="13"/>
      <c r="C75" s="13"/>
    </row>
    <row r="76" spans="1:3" ht="13" x14ac:dyDescent="0.15">
      <c r="A76" s="10"/>
      <c r="B76" s="13"/>
      <c r="C76" s="13"/>
    </row>
    <row r="77" spans="1:3" ht="13" x14ac:dyDescent="0.15">
      <c r="A77" s="10"/>
      <c r="B77" s="13"/>
      <c r="C77" s="13"/>
    </row>
    <row r="78" spans="1:3" ht="13" x14ac:dyDescent="0.15">
      <c r="A78" s="10"/>
      <c r="B78" s="13"/>
      <c r="C78" s="13"/>
    </row>
    <row r="79" spans="1:3" ht="13" x14ac:dyDescent="0.15">
      <c r="A79" s="10"/>
      <c r="B79" s="13"/>
      <c r="C79" s="13"/>
    </row>
    <row r="80" spans="1:3" ht="13" x14ac:dyDescent="0.15">
      <c r="A80" s="10"/>
      <c r="B80" s="13"/>
      <c r="C80" s="13"/>
    </row>
    <row r="81" spans="1:3" ht="13" x14ac:dyDescent="0.15">
      <c r="A81" s="10"/>
      <c r="B81" s="13"/>
      <c r="C81" s="13"/>
    </row>
    <row r="82" spans="1:3" ht="13" x14ac:dyDescent="0.15">
      <c r="A82" s="10"/>
      <c r="B82" s="13"/>
      <c r="C82" s="13"/>
    </row>
    <row r="83" spans="1:3" ht="13" x14ac:dyDescent="0.15">
      <c r="A83" s="10"/>
      <c r="B83" s="13"/>
      <c r="C83" s="13"/>
    </row>
    <row r="84" spans="1:3" ht="13" x14ac:dyDescent="0.15">
      <c r="A84" s="10"/>
      <c r="B84" s="13"/>
      <c r="C84" s="13"/>
    </row>
    <row r="85" spans="1:3" ht="13" x14ac:dyDescent="0.15">
      <c r="A85" s="10"/>
      <c r="B85" s="13"/>
      <c r="C85" s="13"/>
    </row>
    <row r="86" spans="1:3" ht="13" x14ac:dyDescent="0.15">
      <c r="A86" s="10"/>
      <c r="B86" s="13"/>
      <c r="C86" s="13"/>
    </row>
    <row r="87" spans="1:3" ht="13" x14ac:dyDescent="0.15">
      <c r="A87" s="10"/>
      <c r="B87" s="13"/>
      <c r="C87" s="13"/>
    </row>
    <row r="88" spans="1:3" ht="13" x14ac:dyDescent="0.15">
      <c r="A88" s="10"/>
      <c r="B88" s="13"/>
      <c r="C88" s="13"/>
    </row>
    <row r="89" spans="1:3" ht="13" x14ac:dyDescent="0.15">
      <c r="A89" s="10"/>
      <c r="B89" s="13"/>
      <c r="C89" s="13"/>
    </row>
    <row r="90" spans="1:3" ht="13" x14ac:dyDescent="0.15">
      <c r="A90" s="10"/>
      <c r="B90" s="13"/>
      <c r="C90" s="13"/>
    </row>
    <row r="91" spans="1:3" ht="13" x14ac:dyDescent="0.15">
      <c r="A91" s="10"/>
      <c r="B91" s="13"/>
      <c r="C91" s="13"/>
    </row>
    <row r="92" spans="1:3" ht="13" x14ac:dyDescent="0.15">
      <c r="A92" s="10"/>
      <c r="B92" s="13"/>
      <c r="C92" s="13"/>
    </row>
    <row r="93" spans="1:3" ht="13" x14ac:dyDescent="0.15">
      <c r="A93" s="10"/>
      <c r="B93" s="13"/>
      <c r="C93" s="13"/>
    </row>
    <row r="94" spans="1:3" ht="13" x14ac:dyDescent="0.15">
      <c r="A94" s="10"/>
      <c r="B94" s="13"/>
      <c r="C94" s="13"/>
    </row>
    <row r="95" spans="1:3" ht="13" x14ac:dyDescent="0.15">
      <c r="A95" s="10"/>
      <c r="B95" s="13"/>
      <c r="C95" s="13"/>
    </row>
    <row r="96" spans="1:3" ht="13" x14ac:dyDescent="0.15">
      <c r="A96" s="10"/>
      <c r="B96" s="13"/>
      <c r="C96" s="13"/>
    </row>
    <row r="97" spans="1:3" ht="13" x14ac:dyDescent="0.15">
      <c r="A97" s="10"/>
      <c r="B97" s="13"/>
      <c r="C97" s="13"/>
    </row>
    <row r="98" spans="1:3" ht="13" x14ac:dyDescent="0.15">
      <c r="A98" s="10"/>
      <c r="B98" s="13"/>
      <c r="C98" s="13"/>
    </row>
    <row r="99" spans="1:3" ht="13" x14ac:dyDescent="0.15">
      <c r="A99" s="10"/>
      <c r="B99" s="13"/>
      <c r="C99" s="13"/>
    </row>
    <row r="100" spans="1:3" ht="13" x14ac:dyDescent="0.15">
      <c r="A100" s="10"/>
      <c r="B100" s="13"/>
      <c r="C100" s="13"/>
    </row>
    <row r="101" spans="1:3" ht="13" x14ac:dyDescent="0.15">
      <c r="A101" s="10"/>
      <c r="B101" s="13"/>
      <c r="C101" s="13"/>
    </row>
    <row r="102" spans="1:3" ht="13" x14ac:dyDescent="0.15">
      <c r="A102" s="10"/>
      <c r="B102" s="13"/>
      <c r="C102" s="13"/>
    </row>
    <row r="103" spans="1:3" ht="13" x14ac:dyDescent="0.15">
      <c r="A103" s="10"/>
      <c r="B103" s="13"/>
      <c r="C103" s="13"/>
    </row>
    <row r="104" spans="1:3" ht="13" x14ac:dyDescent="0.15">
      <c r="A104" s="10"/>
      <c r="B104" s="13"/>
      <c r="C104" s="13"/>
    </row>
    <row r="105" spans="1:3" ht="13" x14ac:dyDescent="0.15">
      <c r="A105" s="10"/>
      <c r="B105" s="13"/>
      <c r="C105" s="13"/>
    </row>
    <row r="106" spans="1:3" ht="13" x14ac:dyDescent="0.15">
      <c r="A106" s="10"/>
      <c r="B106" s="13"/>
      <c r="C106" s="13"/>
    </row>
    <row r="107" spans="1:3" ht="13" x14ac:dyDescent="0.15">
      <c r="A107" s="10"/>
      <c r="B107" s="13"/>
      <c r="C107" s="13"/>
    </row>
    <row r="108" spans="1:3" ht="13" x14ac:dyDescent="0.15">
      <c r="A108" s="10"/>
      <c r="B108" s="13"/>
      <c r="C108" s="13"/>
    </row>
    <row r="109" spans="1:3" ht="13" x14ac:dyDescent="0.15">
      <c r="A109" s="10"/>
      <c r="B109" s="13"/>
      <c r="C109" s="13"/>
    </row>
    <row r="110" spans="1:3" ht="13" x14ac:dyDescent="0.15">
      <c r="A110" s="10"/>
      <c r="B110" s="13"/>
      <c r="C110" s="13"/>
    </row>
    <row r="111" spans="1:3" ht="13" x14ac:dyDescent="0.15">
      <c r="A111" s="10"/>
      <c r="B111" s="13"/>
      <c r="C111" s="13"/>
    </row>
    <row r="112" spans="1:3" ht="13" x14ac:dyDescent="0.15">
      <c r="A112" s="10"/>
      <c r="B112" s="13"/>
      <c r="C112" s="13"/>
    </row>
    <row r="113" spans="1:3" ht="13" x14ac:dyDescent="0.15">
      <c r="A113" s="10"/>
      <c r="B113" s="13"/>
      <c r="C113" s="13"/>
    </row>
    <row r="114" spans="1:3" ht="13" x14ac:dyDescent="0.15">
      <c r="A114" s="10"/>
      <c r="B114" s="13"/>
      <c r="C114" s="13"/>
    </row>
    <row r="115" spans="1:3" ht="13" x14ac:dyDescent="0.15">
      <c r="A115" s="10"/>
      <c r="B115" s="13"/>
      <c r="C115" s="13"/>
    </row>
    <row r="116" spans="1:3" ht="13" x14ac:dyDescent="0.15">
      <c r="A116" s="10"/>
      <c r="B116" s="13"/>
      <c r="C116" s="13"/>
    </row>
    <row r="117" spans="1:3" ht="13" x14ac:dyDescent="0.15">
      <c r="A117" s="10"/>
      <c r="B117" s="13"/>
      <c r="C117" s="13"/>
    </row>
    <row r="118" spans="1:3" ht="13" x14ac:dyDescent="0.15">
      <c r="A118" s="10"/>
      <c r="B118" s="13"/>
      <c r="C118" s="13"/>
    </row>
    <row r="119" spans="1:3" ht="13" x14ac:dyDescent="0.15">
      <c r="A119" s="10"/>
      <c r="B119" s="13"/>
      <c r="C119" s="13"/>
    </row>
    <row r="120" spans="1:3" ht="13" x14ac:dyDescent="0.15">
      <c r="A120" s="10"/>
      <c r="B120" s="13"/>
      <c r="C120" s="13"/>
    </row>
    <row r="121" spans="1:3" ht="13" x14ac:dyDescent="0.15">
      <c r="A121" s="10"/>
      <c r="B121" s="13"/>
      <c r="C121" s="13"/>
    </row>
    <row r="122" spans="1:3" ht="13" x14ac:dyDescent="0.15">
      <c r="A122" s="10"/>
      <c r="B122" s="13"/>
      <c r="C122" s="13"/>
    </row>
    <row r="123" spans="1:3" ht="13" x14ac:dyDescent="0.15">
      <c r="A123" s="10"/>
      <c r="B123" s="13"/>
      <c r="C123" s="13"/>
    </row>
    <row r="124" spans="1:3" ht="13" x14ac:dyDescent="0.15">
      <c r="A124" s="10"/>
      <c r="B124" s="13"/>
      <c r="C124" s="13"/>
    </row>
    <row r="125" spans="1:3" ht="13" x14ac:dyDescent="0.15">
      <c r="A125" s="10"/>
      <c r="B125" s="13"/>
      <c r="C125" s="13"/>
    </row>
    <row r="126" spans="1:3" ht="13" x14ac:dyDescent="0.15">
      <c r="A126" s="10"/>
      <c r="B126" s="13"/>
      <c r="C126" s="13"/>
    </row>
    <row r="127" spans="1:3" ht="13" x14ac:dyDescent="0.15">
      <c r="A127" s="10"/>
      <c r="B127" s="13"/>
      <c r="C127" s="13"/>
    </row>
    <row r="128" spans="1:3" ht="13" x14ac:dyDescent="0.15">
      <c r="A128" s="10"/>
      <c r="B128" s="13"/>
      <c r="C128" s="13"/>
    </row>
    <row r="129" spans="1:3" ht="13" x14ac:dyDescent="0.15">
      <c r="A129" s="10"/>
      <c r="B129" s="13"/>
      <c r="C129" s="13"/>
    </row>
    <row r="130" spans="1:3" ht="13" x14ac:dyDescent="0.15">
      <c r="A130" s="10"/>
      <c r="B130" s="13"/>
      <c r="C130" s="13"/>
    </row>
    <row r="131" spans="1:3" ht="13" x14ac:dyDescent="0.15">
      <c r="A131" s="10"/>
      <c r="B131" s="13"/>
      <c r="C131" s="13"/>
    </row>
    <row r="132" spans="1:3" ht="13" x14ac:dyDescent="0.15">
      <c r="A132" s="10"/>
      <c r="B132" s="13"/>
      <c r="C132" s="13"/>
    </row>
    <row r="133" spans="1:3" ht="13" x14ac:dyDescent="0.15">
      <c r="A133" s="10"/>
      <c r="B133" s="13"/>
      <c r="C133" s="13"/>
    </row>
    <row r="134" spans="1:3" ht="13" x14ac:dyDescent="0.15">
      <c r="A134" s="10"/>
      <c r="B134" s="13"/>
      <c r="C134" s="13"/>
    </row>
    <row r="135" spans="1:3" ht="13" x14ac:dyDescent="0.15">
      <c r="A135" s="10"/>
      <c r="B135" s="13"/>
      <c r="C135" s="13"/>
    </row>
    <row r="136" spans="1:3" ht="13" x14ac:dyDescent="0.15">
      <c r="A136" s="10"/>
      <c r="B136" s="13"/>
      <c r="C136" s="13"/>
    </row>
    <row r="137" spans="1:3" ht="13" x14ac:dyDescent="0.15">
      <c r="A137" s="10"/>
      <c r="B137" s="13"/>
      <c r="C137" s="13"/>
    </row>
    <row r="138" spans="1:3" ht="13" x14ac:dyDescent="0.15">
      <c r="A138" s="10"/>
      <c r="B138" s="13"/>
      <c r="C138" s="13"/>
    </row>
    <row r="139" spans="1:3" ht="13" x14ac:dyDescent="0.15">
      <c r="A139" s="10"/>
      <c r="B139" s="13"/>
      <c r="C139" s="13"/>
    </row>
    <row r="140" spans="1:3" ht="13" x14ac:dyDescent="0.15">
      <c r="A140" s="10"/>
      <c r="B140" s="13"/>
      <c r="C140" s="13"/>
    </row>
    <row r="141" spans="1:3" ht="13" x14ac:dyDescent="0.15">
      <c r="A141" s="10"/>
      <c r="B141" s="13"/>
      <c r="C141" s="13"/>
    </row>
    <row r="142" spans="1:3" ht="13" x14ac:dyDescent="0.15">
      <c r="A142" s="10"/>
      <c r="B142" s="13"/>
      <c r="C142" s="13"/>
    </row>
    <row r="143" spans="1:3" ht="13" x14ac:dyDescent="0.15">
      <c r="A143" s="10"/>
      <c r="B143" s="13"/>
      <c r="C143" s="13"/>
    </row>
    <row r="144" spans="1:3" ht="13" x14ac:dyDescent="0.15">
      <c r="A144" s="10"/>
      <c r="B144" s="13"/>
      <c r="C144" s="13"/>
    </row>
    <row r="145" spans="1:3" ht="13" x14ac:dyDescent="0.15">
      <c r="A145" s="10"/>
      <c r="B145" s="13"/>
      <c r="C145" s="13"/>
    </row>
    <row r="146" spans="1:3" ht="13" x14ac:dyDescent="0.15">
      <c r="A146" s="10"/>
      <c r="B146" s="13"/>
      <c r="C146" s="13"/>
    </row>
    <row r="147" spans="1:3" ht="13" x14ac:dyDescent="0.15">
      <c r="A147" s="10"/>
      <c r="B147" s="13"/>
      <c r="C147" s="13"/>
    </row>
    <row r="148" spans="1:3" ht="13" x14ac:dyDescent="0.15">
      <c r="A148" s="10"/>
      <c r="B148" s="13"/>
      <c r="C148" s="13"/>
    </row>
    <row r="149" spans="1:3" ht="13" x14ac:dyDescent="0.15">
      <c r="A149" s="10"/>
      <c r="B149" s="13"/>
      <c r="C149" s="13"/>
    </row>
    <row r="150" spans="1:3" ht="13" x14ac:dyDescent="0.15">
      <c r="A150" s="10"/>
      <c r="B150" s="13"/>
      <c r="C150" s="13"/>
    </row>
    <row r="151" spans="1:3" ht="13" x14ac:dyDescent="0.15">
      <c r="A151" s="10"/>
      <c r="B151" s="13"/>
      <c r="C151" s="13"/>
    </row>
    <row r="152" spans="1:3" ht="13" x14ac:dyDescent="0.15">
      <c r="A152" s="10"/>
      <c r="B152" s="13"/>
      <c r="C152" s="13"/>
    </row>
    <row r="153" spans="1:3" ht="13" x14ac:dyDescent="0.15">
      <c r="A153" s="10"/>
      <c r="B153" s="13"/>
      <c r="C153" s="13"/>
    </row>
    <row r="154" spans="1:3" ht="13" x14ac:dyDescent="0.15">
      <c r="A154" s="10"/>
      <c r="B154" s="13"/>
      <c r="C154" s="13"/>
    </row>
    <row r="155" spans="1:3" ht="13" x14ac:dyDescent="0.15">
      <c r="A155" s="10"/>
      <c r="B155" s="13"/>
      <c r="C155" s="13"/>
    </row>
    <row r="156" spans="1:3" ht="13" x14ac:dyDescent="0.15">
      <c r="A156" s="10"/>
      <c r="B156" s="13"/>
      <c r="C156" s="13"/>
    </row>
    <row r="157" spans="1:3" ht="13" x14ac:dyDescent="0.15">
      <c r="A157" s="10"/>
      <c r="B157" s="13"/>
      <c r="C157" s="13"/>
    </row>
    <row r="158" spans="1:3" ht="13" x14ac:dyDescent="0.15">
      <c r="A158" s="10"/>
      <c r="B158" s="13"/>
      <c r="C158" s="13"/>
    </row>
    <row r="159" spans="1:3" ht="13" x14ac:dyDescent="0.15">
      <c r="A159" s="10"/>
      <c r="B159" s="13"/>
      <c r="C159" s="13"/>
    </row>
    <row r="160" spans="1:3" ht="13" x14ac:dyDescent="0.15">
      <c r="A160" s="10"/>
      <c r="B160" s="13"/>
      <c r="C160" s="13"/>
    </row>
    <row r="161" spans="1:3" ht="13" x14ac:dyDescent="0.15">
      <c r="A161" s="10"/>
      <c r="B161" s="13"/>
      <c r="C161" s="13"/>
    </row>
    <row r="162" spans="1:3" ht="13" x14ac:dyDescent="0.15">
      <c r="A162" s="10"/>
      <c r="B162" s="13"/>
      <c r="C162" s="13"/>
    </row>
    <row r="163" spans="1:3" ht="13" x14ac:dyDescent="0.15">
      <c r="A163" s="10"/>
      <c r="B163" s="13"/>
      <c r="C163" s="13"/>
    </row>
    <row r="164" spans="1:3" ht="13" x14ac:dyDescent="0.15">
      <c r="A164" s="10"/>
      <c r="B164" s="13"/>
      <c r="C164" s="13"/>
    </row>
    <row r="165" spans="1:3" ht="13" x14ac:dyDescent="0.15">
      <c r="A165" s="10"/>
      <c r="B165" s="13"/>
      <c r="C165" s="13"/>
    </row>
    <row r="166" spans="1:3" ht="13" x14ac:dyDescent="0.15">
      <c r="A166" s="10"/>
      <c r="B166" s="13"/>
      <c r="C166" s="13"/>
    </row>
    <row r="167" spans="1:3" ht="13" x14ac:dyDescent="0.15">
      <c r="A167" s="10"/>
      <c r="B167" s="13"/>
      <c r="C167" s="13"/>
    </row>
    <row r="168" spans="1:3" ht="13" x14ac:dyDescent="0.15">
      <c r="A168" s="10"/>
      <c r="B168" s="13"/>
      <c r="C168" s="13"/>
    </row>
    <row r="169" spans="1:3" ht="13" x14ac:dyDescent="0.15">
      <c r="A169" s="10"/>
      <c r="B169" s="13"/>
      <c r="C169" s="13"/>
    </row>
    <row r="170" spans="1:3" ht="13" x14ac:dyDescent="0.15">
      <c r="A170" s="10"/>
      <c r="B170" s="13"/>
      <c r="C170" s="13"/>
    </row>
    <row r="171" spans="1:3" ht="13" x14ac:dyDescent="0.15">
      <c r="A171" s="10"/>
      <c r="B171" s="13"/>
      <c r="C171" s="13"/>
    </row>
    <row r="172" spans="1:3" ht="13" x14ac:dyDescent="0.15">
      <c r="A172" s="10"/>
      <c r="B172" s="13"/>
      <c r="C172" s="13"/>
    </row>
    <row r="173" spans="1:3" ht="13" x14ac:dyDescent="0.15">
      <c r="A173" s="10"/>
      <c r="B173" s="13"/>
      <c r="C173" s="13"/>
    </row>
    <row r="174" spans="1:3" ht="13" x14ac:dyDescent="0.15">
      <c r="A174" s="10"/>
      <c r="B174" s="13"/>
      <c r="C174" s="13"/>
    </row>
    <row r="175" spans="1:3" ht="13" x14ac:dyDescent="0.15">
      <c r="A175" s="10"/>
      <c r="B175" s="13"/>
      <c r="C175" s="13"/>
    </row>
    <row r="176" spans="1:3" ht="13" x14ac:dyDescent="0.15">
      <c r="A176" s="10"/>
      <c r="B176" s="13"/>
      <c r="C176" s="13"/>
    </row>
    <row r="177" spans="1:3" ht="13" x14ac:dyDescent="0.15">
      <c r="A177" s="10"/>
      <c r="B177" s="13"/>
      <c r="C177" s="13"/>
    </row>
    <row r="178" spans="1:3" ht="13" x14ac:dyDescent="0.15">
      <c r="A178" s="10"/>
      <c r="B178" s="13"/>
      <c r="C178" s="13"/>
    </row>
    <row r="179" spans="1:3" ht="13" x14ac:dyDescent="0.15">
      <c r="A179" s="10"/>
      <c r="B179" s="13"/>
      <c r="C179" s="13"/>
    </row>
    <row r="180" spans="1:3" ht="13" x14ac:dyDescent="0.15">
      <c r="A180" s="10"/>
      <c r="B180" s="13"/>
      <c r="C180" s="13"/>
    </row>
    <row r="181" spans="1:3" ht="13" x14ac:dyDescent="0.15">
      <c r="A181" s="10"/>
      <c r="B181" s="13"/>
      <c r="C181" s="13"/>
    </row>
    <row r="182" spans="1:3" ht="13" x14ac:dyDescent="0.15">
      <c r="A182" s="10"/>
      <c r="B182" s="13"/>
      <c r="C182" s="13"/>
    </row>
    <row r="183" spans="1:3" ht="13" x14ac:dyDescent="0.15">
      <c r="A183" s="10"/>
      <c r="B183" s="13"/>
      <c r="C183" s="13"/>
    </row>
    <row r="184" spans="1:3" ht="13" x14ac:dyDescent="0.15">
      <c r="A184" s="10"/>
      <c r="B184" s="13"/>
      <c r="C184" s="13"/>
    </row>
    <row r="185" spans="1:3" ht="13" x14ac:dyDescent="0.15">
      <c r="A185" s="10"/>
      <c r="B185" s="13"/>
      <c r="C185" s="13"/>
    </row>
    <row r="186" spans="1:3" ht="13" x14ac:dyDescent="0.15">
      <c r="A186" s="10"/>
      <c r="B186" s="13"/>
      <c r="C186" s="13"/>
    </row>
    <row r="187" spans="1:3" ht="13" x14ac:dyDescent="0.15">
      <c r="A187" s="10"/>
      <c r="B187" s="13"/>
      <c r="C187" s="13"/>
    </row>
    <row r="188" spans="1:3" ht="13" x14ac:dyDescent="0.15">
      <c r="A188" s="10"/>
      <c r="B188" s="13"/>
      <c r="C188" s="13"/>
    </row>
    <row r="189" spans="1:3" ht="13" x14ac:dyDescent="0.15">
      <c r="A189" s="10"/>
      <c r="B189" s="13"/>
      <c r="C189" s="13"/>
    </row>
    <row r="190" spans="1:3" ht="13" x14ac:dyDescent="0.15">
      <c r="A190" s="10"/>
      <c r="B190" s="13"/>
      <c r="C190" s="13"/>
    </row>
    <row r="191" spans="1:3" ht="13" x14ac:dyDescent="0.15">
      <c r="A191" s="10"/>
      <c r="B191" s="13"/>
      <c r="C191" s="13"/>
    </row>
    <row r="192" spans="1:3" ht="13" x14ac:dyDescent="0.15">
      <c r="A192" s="10"/>
      <c r="B192" s="13"/>
      <c r="C192" s="13"/>
    </row>
    <row r="193" spans="1:3" ht="13" x14ac:dyDescent="0.15">
      <c r="A193" s="10"/>
      <c r="B193" s="13"/>
      <c r="C193" s="13"/>
    </row>
    <row r="194" spans="1:3" ht="13" x14ac:dyDescent="0.15">
      <c r="A194" s="10"/>
      <c r="B194" s="13"/>
      <c r="C194" s="13"/>
    </row>
    <row r="195" spans="1:3" ht="13" x14ac:dyDescent="0.15">
      <c r="A195" s="10"/>
      <c r="B195" s="13"/>
      <c r="C195" s="13"/>
    </row>
    <row r="196" spans="1:3" ht="13" x14ac:dyDescent="0.15">
      <c r="A196" s="10"/>
      <c r="B196" s="13"/>
      <c r="C196" s="13"/>
    </row>
    <row r="197" spans="1:3" ht="13" x14ac:dyDescent="0.15">
      <c r="A197" s="10"/>
      <c r="B197" s="13"/>
      <c r="C197" s="13"/>
    </row>
    <row r="198" spans="1:3" ht="13" x14ac:dyDescent="0.15">
      <c r="A198" s="10"/>
      <c r="B198" s="13"/>
      <c r="C198" s="13"/>
    </row>
    <row r="199" spans="1:3" ht="13" x14ac:dyDescent="0.15">
      <c r="A199" s="10"/>
      <c r="B199" s="13"/>
      <c r="C199" s="13"/>
    </row>
    <row r="200" spans="1:3" ht="13" x14ac:dyDescent="0.15">
      <c r="A200" s="10"/>
      <c r="B200" s="13"/>
      <c r="C200" s="13"/>
    </row>
    <row r="201" spans="1:3" ht="13" x14ac:dyDescent="0.15">
      <c r="A201" s="10"/>
      <c r="B201" s="13"/>
      <c r="C201" s="13"/>
    </row>
    <row r="202" spans="1:3" ht="13" x14ac:dyDescent="0.15">
      <c r="A202" s="10"/>
      <c r="B202" s="13"/>
      <c r="C202" s="13"/>
    </row>
    <row r="203" spans="1:3" ht="13" x14ac:dyDescent="0.15">
      <c r="A203" s="10"/>
      <c r="B203" s="13"/>
      <c r="C203" s="13"/>
    </row>
    <row r="204" spans="1:3" ht="13" x14ac:dyDescent="0.15">
      <c r="A204" s="10"/>
      <c r="B204" s="13"/>
      <c r="C204" s="13"/>
    </row>
    <row r="205" spans="1:3" ht="13" x14ac:dyDescent="0.15">
      <c r="A205" s="10"/>
      <c r="B205" s="13"/>
      <c r="C205" s="13"/>
    </row>
    <row r="206" spans="1:3" ht="13" x14ac:dyDescent="0.15">
      <c r="A206" s="10"/>
      <c r="B206" s="13"/>
      <c r="C206" s="13"/>
    </row>
    <row r="207" spans="1:3" ht="13" x14ac:dyDescent="0.15">
      <c r="A207" s="10"/>
      <c r="B207" s="13"/>
      <c r="C207" s="13"/>
    </row>
    <row r="208" spans="1:3" ht="13" x14ac:dyDescent="0.15">
      <c r="A208" s="10"/>
      <c r="B208" s="13"/>
      <c r="C208" s="13"/>
    </row>
    <row r="209" spans="1:3" ht="13" x14ac:dyDescent="0.15">
      <c r="A209" s="10"/>
      <c r="B209" s="13"/>
      <c r="C209" s="13"/>
    </row>
    <row r="210" spans="1:3" ht="13" x14ac:dyDescent="0.15">
      <c r="A210" s="10"/>
      <c r="B210" s="13"/>
      <c r="C210" s="13"/>
    </row>
    <row r="211" spans="1:3" ht="13" x14ac:dyDescent="0.15">
      <c r="A211" s="10"/>
      <c r="B211" s="13"/>
      <c r="C211" s="13"/>
    </row>
    <row r="212" spans="1:3" ht="13" x14ac:dyDescent="0.15">
      <c r="A212" s="10"/>
      <c r="B212" s="13"/>
      <c r="C212" s="13"/>
    </row>
    <row r="213" spans="1:3" ht="13" x14ac:dyDescent="0.15">
      <c r="A213" s="10"/>
      <c r="B213" s="13"/>
      <c r="C213" s="13"/>
    </row>
    <row r="214" spans="1:3" ht="13" x14ac:dyDescent="0.15">
      <c r="A214" s="10"/>
      <c r="B214" s="13"/>
      <c r="C214" s="13"/>
    </row>
    <row r="215" spans="1:3" ht="13" x14ac:dyDescent="0.15">
      <c r="A215" s="10"/>
      <c r="B215" s="13"/>
      <c r="C215" s="13"/>
    </row>
    <row r="216" spans="1:3" ht="13" x14ac:dyDescent="0.15">
      <c r="A216" s="10"/>
      <c r="B216" s="13"/>
      <c r="C216" s="13"/>
    </row>
    <row r="217" spans="1:3" ht="13" x14ac:dyDescent="0.15">
      <c r="A217" s="10"/>
      <c r="B217" s="13"/>
      <c r="C217" s="13"/>
    </row>
    <row r="218" spans="1:3" ht="13" x14ac:dyDescent="0.15">
      <c r="A218" s="10"/>
      <c r="B218" s="13"/>
      <c r="C218" s="13"/>
    </row>
    <row r="219" spans="1:3" ht="13" x14ac:dyDescent="0.15">
      <c r="A219" s="10"/>
      <c r="B219" s="13"/>
      <c r="C219" s="13"/>
    </row>
    <row r="220" spans="1:3" ht="13" x14ac:dyDescent="0.15">
      <c r="A220" s="10"/>
      <c r="B220" s="13"/>
      <c r="C220" s="13"/>
    </row>
    <row r="221" spans="1:3" ht="13" x14ac:dyDescent="0.15">
      <c r="A221" s="10"/>
      <c r="B221" s="13"/>
      <c r="C221" s="13"/>
    </row>
    <row r="222" spans="1:3" ht="13" x14ac:dyDescent="0.15">
      <c r="A222" s="10"/>
      <c r="B222" s="13"/>
      <c r="C222" s="13"/>
    </row>
    <row r="223" spans="1:3" ht="13" x14ac:dyDescent="0.15">
      <c r="A223" s="10"/>
      <c r="B223" s="13"/>
      <c r="C223" s="13"/>
    </row>
    <row r="224" spans="1:3" ht="13" x14ac:dyDescent="0.15">
      <c r="A224" s="10"/>
      <c r="B224" s="13"/>
      <c r="C224" s="13"/>
    </row>
    <row r="225" spans="1:3" ht="13" x14ac:dyDescent="0.15">
      <c r="A225" s="10"/>
      <c r="B225" s="13"/>
      <c r="C225" s="13"/>
    </row>
    <row r="226" spans="1:3" ht="13" x14ac:dyDescent="0.15">
      <c r="A226" s="10"/>
      <c r="B226" s="13"/>
      <c r="C226" s="13"/>
    </row>
    <row r="227" spans="1:3" ht="13" x14ac:dyDescent="0.15">
      <c r="A227" s="10"/>
      <c r="B227" s="13"/>
      <c r="C227" s="13"/>
    </row>
    <row r="228" spans="1:3" ht="13" x14ac:dyDescent="0.15">
      <c r="A228" s="10"/>
      <c r="B228" s="13"/>
      <c r="C228" s="13"/>
    </row>
    <row r="229" spans="1:3" ht="13" x14ac:dyDescent="0.15">
      <c r="A229" s="10"/>
      <c r="B229" s="13"/>
      <c r="C229" s="13"/>
    </row>
    <row r="230" spans="1:3" ht="13" x14ac:dyDescent="0.15">
      <c r="A230" s="10"/>
      <c r="B230" s="13"/>
      <c r="C230" s="13"/>
    </row>
    <row r="231" spans="1:3" ht="13" x14ac:dyDescent="0.15">
      <c r="A231" s="10"/>
      <c r="B231" s="13"/>
      <c r="C231" s="13"/>
    </row>
    <row r="232" spans="1:3" ht="13" x14ac:dyDescent="0.15">
      <c r="A232" s="10"/>
      <c r="B232" s="13"/>
      <c r="C232" s="13"/>
    </row>
    <row r="233" spans="1:3" ht="13" x14ac:dyDescent="0.15">
      <c r="A233" s="10"/>
      <c r="B233" s="13"/>
      <c r="C233" s="13"/>
    </row>
    <row r="234" spans="1:3" ht="13" x14ac:dyDescent="0.15">
      <c r="A234" s="10"/>
      <c r="B234" s="13"/>
      <c r="C234" s="13"/>
    </row>
    <row r="235" spans="1:3" ht="13" x14ac:dyDescent="0.15">
      <c r="A235" s="10"/>
      <c r="B235" s="13"/>
      <c r="C235" s="13"/>
    </row>
    <row r="236" spans="1:3" ht="13" x14ac:dyDescent="0.15">
      <c r="A236" s="10"/>
      <c r="B236" s="13"/>
      <c r="C236" s="13"/>
    </row>
    <row r="237" spans="1:3" ht="13" x14ac:dyDescent="0.15">
      <c r="A237" s="10"/>
      <c r="B237" s="13"/>
      <c r="C237" s="13"/>
    </row>
    <row r="238" spans="1:3" ht="13" x14ac:dyDescent="0.15">
      <c r="A238" s="10"/>
      <c r="B238" s="13"/>
      <c r="C238" s="13"/>
    </row>
    <row r="239" spans="1:3" ht="13" x14ac:dyDescent="0.15">
      <c r="A239" s="10"/>
      <c r="B239" s="13"/>
      <c r="C239" s="13"/>
    </row>
    <row r="240" spans="1:3" ht="13" x14ac:dyDescent="0.15">
      <c r="A240" s="10"/>
      <c r="B240" s="13"/>
      <c r="C240" s="13"/>
    </row>
    <row r="241" spans="1:3" ht="13" x14ac:dyDescent="0.15">
      <c r="A241" s="10"/>
      <c r="B241" s="13"/>
      <c r="C241" s="13"/>
    </row>
    <row r="242" spans="1:3" ht="13" x14ac:dyDescent="0.15">
      <c r="A242" s="10"/>
      <c r="B242" s="13"/>
      <c r="C242" s="13"/>
    </row>
    <row r="243" spans="1:3" ht="13" x14ac:dyDescent="0.15">
      <c r="A243" s="10"/>
      <c r="B243" s="13"/>
      <c r="C243" s="13"/>
    </row>
    <row r="244" spans="1:3" ht="13" x14ac:dyDescent="0.15">
      <c r="A244" s="10"/>
      <c r="B244" s="13"/>
      <c r="C244" s="13"/>
    </row>
    <row r="245" spans="1:3" ht="13" x14ac:dyDescent="0.15">
      <c r="A245" s="10"/>
      <c r="B245" s="13"/>
      <c r="C245" s="13"/>
    </row>
    <row r="246" spans="1:3" ht="13" x14ac:dyDescent="0.15">
      <c r="A246" s="10"/>
      <c r="B246" s="13"/>
      <c r="C246" s="13"/>
    </row>
    <row r="247" spans="1:3" ht="13" x14ac:dyDescent="0.15">
      <c r="A247" s="10"/>
      <c r="B247" s="13"/>
      <c r="C247" s="13"/>
    </row>
    <row r="248" spans="1:3" ht="13" x14ac:dyDescent="0.15">
      <c r="A248" s="10"/>
      <c r="B248" s="13"/>
      <c r="C248" s="13"/>
    </row>
    <row r="249" spans="1:3" ht="13" x14ac:dyDescent="0.15">
      <c r="A249" s="10"/>
      <c r="B249" s="13"/>
      <c r="C249" s="13"/>
    </row>
    <row r="250" spans="1:3" ht="13" x14ac:dyDescent="0.15">
      <c r="A250" s="10"/>
      <c r="B250" s="13"/>
      <c r="C250" s="13"/>
    </row>
    <row r="251" spans="1:3" ht="13" x14ac:dyDescent="0.15">
      <c r="A251" s="10"/>
      <c r="B251" s="13"/>
      <c r="C251" s="13"/>
    </row>
    <row r="252" spans="1:3" ht="13" x14ac:dyDescent="0.15">
      <c r="A252" s="10"/>
      <c r="B252" s="13"/>
      <c r="C252" s="13"/>
    </row>
    <row r="253" spans="1:3" ht="13" x14ac:dyDescent="0.15">
      <c r="A253" s="10"/>
      <c r="B253" s="13"/>
      <c r="C253" s="13"/>
    </row>
    <row r="254" spans="1:3" ht="13" x14ac:dyDescent="0.15">
      <c r="A254" s="10"/>
      <c r="B254" s="13"/>
      <c r="C254" s="13"/>
    </row>
    <row r="255" spans="1:3" ht="13" x14ac:dyDescent="0.15">
      <c r="A255" s="10"/>
      <c r="B255" s="13"/>
      <c r="C255" s="13"/>
    </row>
    <row r="256" spans="1:3" ht="13" x14ac:dyDescent="0.15">
      <c r="A256" s="10"/>
      <c r="B256" s="13"/>
      <c r="C256" s="13"/>
    </row>
    <row r="257" spans="1:3" ht="13" x14ac:dyDescent="0.15">
      <c r="A257" s="10"/>
      <c r="B257" s="13"/>
      <c r="C257" s="13"/>
    </row>
    <row r="258" spans="1:3" ht="13" x14ac:dyDescent="0.15">
      <c r="A258" s="10"/>
      <c r="B258" s="13"/>
      <c r="C258" s="13"/>
    </row>
    <row r="259" spans="1:3" ht="13" x14ac:dyDescent="0.15">
      <c r="A259" s="10"/>
      <c r="B259" s="13"/>
      <c r="C259" s="13"/>
    </row>
    <row r="260" spans="1:3" ht="13" x14ac:dyDescent="0.15">
      <c r="A260" s="10"/>
      <c r="B260" s="13"/>
      <c r="C260" s="13"/>
    </row>
    <row r="261" spans="1:3" ht="13" x14ac:dyDescent="0.15">
      <c r="A261" s="10"/>
      <c r="B261" s="13"/>
      <c r="C261" s="13"/>
    </row>
    <row r="262" spans="1:3" ht="13" x14ac:dyDescent="0.15">
      <c r="A262" s="10"/>
      <c r="B262" s="13"/>
      <c r="C262" s="13"/>
    </row>
    <row r="263" spans="1:3" ht="13" x14ac:dyDescent="0.15">
      <c r="A263" s="10"/>
      <c r="B263" s="13"/>
      <c r="C263" s="13"/>
    </row>
    <row r="264" spans="1:3" ht="13" x14ac:dyDescent="0.15">
      <c r="A264" s="10"/>
      <c r="B264" s="13"/>
      <c r="C264" s="13"/>
    </row>
    <row r="265" spans="1:3" ht="13" x14ac:dyDescent="0.15">
      <c r="A265" s="10"/>
      <c r="B265" s="13"/>
      <c r="C265" s="13"/>
    </row>
    <row r="266" spans="1:3" ht="13" x14ac:dyDescent="0.15">
      <c r="A266" s="10"/>
      <c r="B266" s="13"/>
      <c r="C266" s="13"/>
    </row>
    <row r="267" spans="1:3" ht="13" x14ac:dyDescent="0.15">
      <c r="A267" s="10"/>
      <c r="B267" s="13"/>
      <c r="C267" s="13"/>
    </row>
    <row r="268" spans="1:3" ht="13" x14ac:dyDescent="0.15">
      <c r="A268" s="10"/>
      <c r="B268" s="13"/>
      <c r="C268" s="13"/>
    </row>
    <row r="269" spans="1:3" ht="13" x14ac:dyDescent="0.15">
      <c r="A269" s="10"/>
      <c r="B269" s="13"/>
      <c r="C269" s="13"/>
    </row>
    <row r="270" spans="1:3" ht="13" x14ac:dyDescent="0.15">
      <c r="A270" s="10"/>
      <c r="B270" s="13"/>
      <c r="C270" s="13"/>
    </row>
    <row r="271" spans="1:3" ht="13" x14ac:dyDescent="0.15">
      <c r="A271" s="10"/>
      <c r="B271" s="13"/>
      <c r="C271" s="13"/>
    </row>
    <row r="272" spans="1:3" ht="13" x14ac:dyDescent="0.15">
      <c r="A272" s="10"/>
      <c r="B272" s="13"/>
      <c r="C272" s="13"/>
    </row>
    <row r="273" spans="1:3" ht="13" x14ac:dyDescent="0.15">
      <c r="A273" s="10"/>
      <c r="B273" s="13"/>
      <c r="C273" s="13"/>
    </row>
    <row r="274" spans="1:3" ht="13" x14ac:dyDescent="0.15">
      <c r="A274" s="10"/>
      <c r="B274" s="13"/>
      <c r="C274" s="13"/>
    </row>
    <row r="275" spans="1:3" ht="13" x14ac:dyDescent="0.15">
      <c r="A275" s="10"/>
      <c r="B275" s="13"/>
      <c r="C275" s="13"/>
    </row>
    <row r="276" spans="1:3" ht="13" x14ac:dyDescent="0.15">
      <c r="A276" s="10"/>
      <c r="B276" s="13"/>
      <c r="C276" s="13"/>
    </row>
    <row r="277" spans="1:3" ht="13" x14ac:dyDescent="0.15">
      <c r="A277" s="10"/>
      <c r="B277" s="13"/>
      <c r="C277" s="13"/>
    </row>
    <row r="278" spans="1:3" ht="13" x14ac:dyDescent="0.15">
      <c r="A278" s="10"/>
      <c r="B278" s="13"/>
      <c r="C278" s="13"/>
    </row>
    <row r="279" spans="1:3" ht="13" x14ac:dyDescent="0.15">
      <c r="A279" s="10"/>
      <c r="B279" s="13"/>
      <c r="C279" s="13"/>
    </row>
    <row r="280" spans="1:3" ht="13" x14ac:dyDescent="0.15">
      <c r="A280" s="10"/>
      <c r="B280" s="13"/>
      <c r="C280" s="13"/>
    </row>
    <row r="281" spans="1:3" ht="13" x14ac:dyDescent="0.15">
      <c r="A281" s="10"/>
      <c r="B281" s="13"/>
      <c r="C281" s="13"/>
    </row>
    <row r="282" spans="1:3" ht="13" x14ac:dyDescent="0.15">
      <c r="A282" s="10"/>
      <c r="B282" s="13"/>
      <c r="C282" s="13"/>
    </row>
    <row r="283" spans="1:3" ht="13" x14ac:dyDescent="0.15">
      <c r="A283" s="10"/>
      <c r="B283" s="13"/>
      <c r="C283" s="13"/>
    </row>
    <row r="284" spans="1:3" ht="13" x14ac:dyDescent="0.15">
      <c r="A284" s="10"/>
      <c r="B284" s="13"/>
      <c r="C284" s="13"/>
    </row>
    <row r="285" spans="1:3" ht="13" x14ac:dyDescent="0.15">
      <c r="A285" s="10"/>
      <c r="B285" s="13"/>
      <c r="C285" s="13"/>
    </row>
    <row r="286" spans="1:3" ht="13" x14ac:dyDescent="0.15">
      <c r="A286" s="10"/>
      <c r="B286" s="13"/>
      <c r="C286" s="13"/>
    </row>
    <row r="287" spans="1:3" ht="13" x14ac:dyDescent="0.15">
      <c r="A287" s="10"/>
      <c r="B287" s="13"/>
      <c r="C287" s="13"/>
    </row>
    <row r="288" spans="1:3" ht="13" x14ac:dyDescent="0.15">
      <c r="A288" s="10"/>
      <c r="B288" s="13"/>
      <c r="C288" s="13"/>
    </row>
    <row r="289" spans="1:3" ht="13" x14ac:dyDescent="0.15">
      <c r="A289" s="10"/>
      <c r="B289" s="13"/>
      <c r="C289" s="13"/>
    </row>
    <row r="290" spans="1:3" ht="13" x14ac:dyDescent="0.15">
      <c r="A290" s="10"/>
      <c r="B290" s="13"/>
      <c r="C290" s="13"/>
    </row>
    <row r="291" spans="1:3" ht="13" x14ac:dyDescent="0.15">
      <c r="A291" s="10"/>
      <c r="B291" s="13"/>
      <c r="C291" s="13"/>
    </row>
    <row r="292" spans="1:3" ht="13" x14ac:dyDescent="0.15">
      <c r="A292" s="10"/>
      <c r="B292" s="13"/>
      <c r="C292" s="13"/>
    </row>
    <row r="293" spans="1:3" ht="13" x14ac:dyDescent="0.15">
      <c r="A293" s="10"/>
      <c r="B293" s="13"/>
      <c r="C293" s="13"/>
    </row>
    <row r="294" spans="1:3" ht="13" x14ac:dyDescent="0.15">
      <c r="A294" s="10"/>
      <c r="B294" s="13"/>
      <c r="C294" s="13"/>
    </row>
    <row r="295" spans="1:3" ht="13" x14ac:dyDescent="0.15">
      <c r="A295" s="10"/>
      <c r="B295" s="13"/>
      <c r="C295" s="13"/>
    </row>
    <row r="296" spans="1:3" ht="13" x14ac:dyDescent="0.15">
      <c r="A296" s="10"/>
      <c r="B296" s="13"/>
      <c r="C296" s="13"/>
    </row>
    <row r="297" spans="1:3" ht="13" x14ac:dyDescent="0.15">
      <c r="A297" s="10"/>
      <c r="B297" s="13"/>
      <c r="C297" s="13"/>
    </row>
    <row r="298" spans="1:3" ht="13" x14ac:dyDescent="0.15">
      <c r="A298" s="10"/>
      <c r="B298" s="13"/>
      <c r="C298" s="13"/>
    </row>
    <row r="299" spans="1:3" ht="13" x14ac:dyDescent="0.15">
      <c r="A299" s="10"/>
      <c r="B299" s="13"/>
      <c r="C299" s="13"/>
    </row>
    <row r="300" spans="1:3" ht="13" x14ac:dyDescent="0.15">
      <c r="A300" s="10"/>
      <c r="B300" s="13"/>
      <c r="C300" s="13"/>
    </row>
    <row r="301" spans="1:3" ht="13" x14ac:dyDescent="0.15">
      <c r="A301" s="10"/>
      <c r="B301" s="13"/>
      <c r="C301" s="13"/>
    </row>
    <row r="302" spans="1:3" ht="13" x14ac:dyDescent="0.15">
      <c r="A302" s="10"/>
      <c r="B302" s="13"/>
      <c r="C302" s="13"/>
    </row>
    <row r="303" spans="1:3" ht="13" x14ac:dyDescent="0.15">
      <c r="A303" s="10"/>
      <c r="B303" s="13"/>
      <c r="C303" s="13"/>
    </row>
    <row r="304" spans="1:3" ht="13" x14ac:dyDescent="0.15">
      <c r="A304" s="10"/>
      <c r="B304" s="13"/>
      <c r="C304" s="13"/>
    </row>
    <row r="305" spans="1:3" ht="13" x14ac:dyDescent="0.15">
      <c r="A305" s="10"/>
      <c r="B305" s="13"/>
      <c r="C305" s="13"/>
    </row>
    <row r="306" spans="1:3" ht="13" x14ac:dyDescent="0.15">
      <c r="A306" s="10"/>
      <c r="B306" s="13"/>
      <c r="C306" s="13"/>
    </row>
    <row r="307" spans="1:3" ht="13" x14ac:dyDescent="0.15">
      <c r="A307" s="10"/>
      <c r="B307" s="13"/>
      <c r="C307" s="13"/>
    </row>
    <row r="308" spans="1:3" ht="13" x14ac:dyDescent="0.15">
      <c r="A308" s="10"/>
      <c r="B308" s="13"/>
      <c r="C308" s="13"/>
    </row>
    <row r="309" spans="1:3" ht="13" x14ac:dyDescent="0.15">
      <c r="A309" s="10"/>
      <c r="B309" s="13"/>
      <c r="C309" s="13"/>
    </row>
    <row r="310" spans="1:3" ht="13" x14ac:dyDescent="0.15">
      <c r="A310" s="10"/>
      <c r="B310" s="13"/>
      <c r="C310" s="13"/>
    </row>
    <row r="311" spans="1:3" ht="13" x14ac:dyDescent="0.15">
      <c r="A311" s="10"/>
      <c r="B311" s="13"/>
      <c r="C311" s="13"/>
    </row>
    <row r="312" spans="1:3" ht="13" x14ac:dyDescent="0.15">
      <c r="A312" s="10"/>
      <c r="B312" s="13"/>
      <c r="C312" s="13"/>
    </row>
    <row r="313" spans="1:3" ht="13" x14ac:dyDescent="0.15">
      <c r="A313" s="10"/>
      <c r="B313" s="13"/>
      <c r="C313" s="13"/>
    </row>
    <row r="314" spans="1:3" ht="13" x14ac:dyDescent="0.15">
      <c r="A314" s="10"/>
      <c r="B314" s="13"/>
      <c r="C314" s="13"/>
    </row>
    <row r="315" spans="1:3" ht="13" x14ac:dyDescent="0.15">
      <c r="A315" s="10"/>
      <c r="B315" s="13"/>
      <c r="C315" s="13"/>
    </row>
    <row r="316" spans="1:3" ht="13" x14ac:dyDescent="0.15">
      <c r="A316" s="10"/>
      <c r="B316" s="13"/>
      <c r="C316" s="13"/>
    </row>
    <row r="317" spans="1:3" ht="13" x14ac:dyDescent="0.15">
      <c r="A317" s="10"/>
      <c r="B317" s="13"/>
      <c r="C317" s="13"/>
    </row>
    <row r="318" spans="1:3" ht="13" x14ac:dyDescent="0.15">
      <c r="A318" s="10"/>
      <c r="B318" s="13"/>
      <c r="C318" s="13"/>
    </row>
    <row r="319" spans="1:3" ht="13" x14ac:dyDescent="0.15">
      <c r="A319" s="10"/>
      <c r="B319" s="13"/>
      <c r="C319" s="13"/>
    </row>
    <row r="320" spans="1:3" ht="13" x14ac:dyDescent="0.15">
      <c r="A320" s="10"/>
      <c r="B320" s="13"/>
      <c r="C320" s="13"/>
    </row>
    <row r="321" spans="1:3" ht="13" x14ac:dyDescent="0.15">
      <c r="A321" s="10"/>
      <c r="B321" s="13"/>
      <c r="C321" s="13"/>
    </row>
    <row r="322" spans="1:3" ht="13" x14ac:dyDescent="0.15">
      <c r="A322" s="10"/>
      <c r="B322" s="13"/>
      <c r="C322" s="13"/>
    </row>
    <row r="323" spans="1:3" ht="13" x14ac:dyDescent="0.15">
      <c r="A323" s="10"/>
      <c r="B323" s="13"/>
      <c r="C323" s="13"/>
    </row>
    <row r="324" spans="1:3" ht="13" x14ac:dyDescent="0.15">
      <c r="A324" s="10"/>
      <c r="B324" s="13"/>
      <c r="C324" s="13"/>
    </row>
    <row r="325" spans="1:3" ht="13" x14ac:dyDescent="0.15">
      <c r="A325" s="10"/>
      <c r="B325" s="13"/>
      <c r="C325" s="13"/>
    </row>
    <row r="326" spans="1:3" ht="13" x14ac:dyDescent="0.15">
      <c r="A326" s="10"/>
      <c r="B326" s="13"/>
      <c r="C326" s="13"/>
    </row>
    <row r="327" spans="1:3" ht="13" x14ac:dyDescent="0.15">
      <c r="A327" s="10"/>
      <c r="B327" s="13"/>
      <c r="C327" s="13"/>
    </row>
    <row r="328" spans="1:3" ht="13" x14ac:dyDescent="0.15">
      <c r="A328" s="10"/>
      <c r="B328" s="13"/>
      <c r="C328" s="13"/>
    </row>
    <row r="329" spans="1:3" ht="13" x14ac:dyDescent="0.15">
      <c r="A329" s="10"/>
      <c r="B329" s="13"/>
      <c r="C329" s="13"/>
    </row>
    <row r="330" spans="1:3" ht="13" x14ac:dyDescent="0.15">
      <c r="A330" s="10"/>
      <c r="B330" s="13"/>
      <c r="C330" s="13"/>
    </row>
    <row r="331" spans="1:3" ht="13" x14ac:dyDescent="0.15">
      <c r="A331" s="10"/>
      <c r="B331" s="13"/>
      <c r="C331" s="13"/>
    </row>
    <row r="332" spans="1:3" ht="13" x14ac:dyDescent="0.15">
      <c r="A332" s="10"/>
      <c r="B332" s="13"/>
      <c r="C332" s="13"/>
    </row>
    <row r="333" spans="1:3" ht="13" x14ac:dyDescent="0.15">
      <c r="A333" s="10"/>
      <c r="B333" s="13"/>
      <c r="C333" s="13"/>
    </row>
    <row r="334" spans="1:3" ht="13" x14ac:dyDescent="0.15">
      <c r="A334" s="10"/>
      <c r="B334" s="13"/>
      <c r="C334" s="13"/>
    </row>
    <row r="335" spans="1:3" ht="13" x14ac:dyDescent="0.15">
      <c r="A335" s="10"/>
      <c r="B335" s="13"/>
      <c r="C335" s="13"/>
    </row>
    <row r="336" spans="1:3" ht="13" x14ac:dyDescent="0.15">
      <c r="A336" s="10"/>
      <c r="B336" s="13"/>
      <c r="C336" s="13"/>
    </row>
    <row r="337" spans="1:3" ht="13" x14ac:dyDescent="0.15">
      <c r="A337" s="10"/>
      <c r="B337" s="13"/>
      <c r="C337" s="13"/>
    </row>
    <row r="338" spans="1:3" ht="13" x14ac:dyDescent="0.15">
      <c r="A338" s="10"/>
      <c r="B338" s="13"/>
      <c r="C338" s="13"/>
    </row>
    <row r="339" spans="1:3" ht="13" x14ac:dyDescent="0.15">
      <c r="A339" s="10"/>
      <c r="B339" s="13"/>
      <c r="C339" s="13"/>
    </row>
    <row r="340" spans="1:3" ht="13" x14ac:dyDescent="0.15">
      <c r="A340" s="10"/>
      <c r="B340" s="13"/>
      <c r="C340" s="13"/>
    </row>
    <row r="341" spans="1:3" ht="13" x14ac:dyDescent="0.15">
      <c r="A341" s="10"/>
      <c r="B341" s="13"/>
      <c r="C341" s="13"/>
    </row>
    <row r="342" spans="1:3" ht="13" x14ac:dyDescent="0.15">
      <c r="A342" s="10"/>
      <c r="B342" s="13"/>
      <c r="C342" s="13"/>
    </row>
    <row r="343" spans="1:3" ht="13" x14ac:dyDescent="0.15">
      <c r="A343" s="10"/>
      <c r="B343" s="13"/>
      <c r="C343" s="13"/>
    </row>
    <row r="344" spans="1:3" ht="13" x14ac:dyDescent="0.15">
      <c r="A344" s="10"/>
      <c r="B344" s="13"/>
      <c r="C344" s="13"/>
    </row>
    <row r="345" spans="1:3" ht="13" x14ac:dyDescent="0.15">
      <c r="A345" s="10"/>
      <c r="B345" s="13"/>
      <c r="C345" s="13"/>
    </row>
    <row r="346" spans="1:3" ht="13" x14ac:dyDescent="0.15">
      <c r="A346" s="10"/>
      <c r="B346" s="13"/>
      <c r="C346" s="13"/>
    </row>
    <row r="347" spans="1:3" ht="13" x14ac:dyDescent="0.15">
      <c r="A347" s="10"/>
      <c r="B347" s="13"/>
      <c r="C347" s="13"/>
    </row>
    <row r="348" spans="1:3" ht="13" x14ac:dyDescent="0.15">
      <c r="A348" s="10"/>
      <c r="B348" s="13"/>
      <c r="C348" s="13"/>
    </row>
    <row r="349" spans="1:3" ht="13" x14ac:dyDescent="0.15">
      <c r="A349" s="10"/>
      <c r="B349" s="13"/>
      <c r="C349" s="13"/>
    </row>
    <row r="350" spans="1:3" ht="13" x14ac:dyDescent="0.15">
      <c r="A350" s="10"/>
      <c r="B350" s="13"/>
      <c r="C350" s="13"/>
    </row>
    <row r="351" spans="1:3" ht="13" x14ac:dyDescent="0.15">
      <c r="A351" s="10"/>
      <c r="B351" s="13"/>
      <c r="C351" s="13"/>
    </row>
    <row r="352" spans="1:3" ht="13" x14ac:dyDescent="0.15">
      <c r="A352" s="10"/>
      <c r="B352" s="13"/>
      <c r="C352" s="13"/>
    </row>
    <row r="353" spans="1:3" ht="13" x14ac:dyDescent="0.15">
      <c r="A353" s="10"/>
      <c r="B353" s="13"/>
      <c r="C353" s="13"/>
    </row>
    <row r="354" spans="1:3" ht="13" x14ac:dyDescent="0.15">
      <c r="A354" s="10"/>
      <c r="B354" s="13"/>
      <c r="C354" s="13"/>
    </row>
    <row r="355" spans="1:3" ht="13" x14ac:dyDescent="0.15">
      <c r="A355" s="10"/>
      <c r="B355" s="13"/>
      <c r="C355" s="13"/>
    </row>
    <row r="356" spans="1:3" ht="13" x14ac:dyDescent="0.15">
      <c r="A356" s="10"/>
      <c r="B356" s="13"/>
      <c r="C356" s="13"/>
    </row>
    <row r="357" spans="1:3" ht="13" x14ac:dyDescent="0.15">
      <c r="A357" s="10"/>
      <c r="B357" s="13"/>
      <c r="C357" s="13"/>
    </row>
    <row r="358" spans="1:3" ht="13" x14ac:dyDescent="0.15">
      <c r="A358" s="10"/>
      <c r="B358" s="13"/>
      <c r="C358" s="13"/>
    </row>
    <row r="359" spans="1:3" ht="13" x14ac:dyDescent="0.15">
      <c r="A359" s="10"/>
      <c r="B359" s="13"/>
      <c r="C359" s="13"/>
    </row>
    <row r="360" spans="1:3" ht="13" x14ac:dyDescent="0.15">
      <c r="A360" s="10"/>
      <c r="B360" s="13"/>
      <c r="C360" s="13"/>
    </row>
    <row r="361" spans="1:3" ht="13" x14ac:dyDescent="0.15">
      <c r="A361" s="10"/>
      <c r="B361" s="13"/>
      <c r="C361" s="13"/>
    </row>
    <row r="362" spans="1:3" ht="13" x14ac:dyDescent="0.15">
      <c r="A362" s="10"/>
      <c r="B362" s="13"/>
      <c r="C362" s="13"/>
    </row>
    <row r="363" spans="1:3" ht="13" x14ac:dyDescent="0.15">
      <c r="A363" s="10"/>
      <c r="B363" s="13"/>
      <c r="C363" s="13"/>
    </row>
    <row r="364" spans="1:3" ht="13" x14ac:dyDescent="0.15">
      <c r="A364" s="10"/>
      <c r="B364" s="13"/>
      <c r="C364" s="13"/>
    </row>
    <row r="365" spans="1:3" ht="13" x14ac:dyDescent="0.15">
      <c r="A365" s="10"/>
      <c r="B365" s="13"/>
      <c r="C365" s="13"/>
    </row>
    <row r="366" spans="1:3" ht="13" x14ac:dyDescent="0.15">
      <c r="A366" s="10"/>
      <c r="B366" s="13"/>
      <c r="C366" s="13"/>
    </row>
    <row r="367" spans="1:3" ht="13" x14ac:dyDescent="0.15">
      <c r="A367" s="10"/>
      <c r="B367" s="13"/>
      <c r="C367" s="13"/>
    </row>
    <row r="368" spans="1:3" ht="13" x14ac:dyDescent="0.15">
      <c r="A368" s="10"/>
      <c r="B368" s="13"/>
      <c r="C368" s="13"/>
    </row>
    <row r="369" spans="1:3" ht="13" x14ac:dyDescent="0.15">
      <c r="A369" s="10"/>
      <c r="B369" s="13"/>
      <c r="C369" s="13"/>
    </row>
    <row r="370" spans="1:3" ht="13" x14ac:dyDescent="0.15">
      <c r="A370" s="10"/>
      <c r="B370" s="13"/>
      <c r="C370" s="13"/>
    </row>
    <row r="371" spans="1:3" ht="13" x14ac:dyDescent="0.15">
      <c r="A371" s="10"/>
      <c r="B371" s="13"/>
      <c r="C371" s="13"/>
    </row>
    <row r="372" spans="1:3" ht="13" x14ac:dyDescent="0.15">
      <c r="A372" s="10"/>
      <c r="B372" s="13"/>
      <c r="C372" s="13"/>
    </row>
    <row r="373" spans="1:3" ht="13" x14ac:dyDescent="0.15">
      <c r="A373" s="10"/>
      <c r="B373" s="13"/>
      <c r="C373" s="13"/>
    </row>
    <row r="374" spans="1:3" ht="13" x14ac:dyDescent="0.15">
      <c r="A374" s="10"/>
      <c r="B374" s="13"/>
      <c r="C374" s="13"/>
    </row>
    <row r="375" spans="1:3" ht="13" x14ac:dyDescent="0.15">
      <c r="A375" s="10"/>
      <c r="B375" s="13"/>
      <c r="C375" s="13"/>
    </row>
    <row r="376" spans="1:3" ht="13" x14ac:dyDescent="0.15">
      <c r="A376" s="10"/>
      <c r="B376" s="13"/>
      <c r="C376" s="13"/>
    </row>
    <row r="377" spans="1:3" ht="13" x14ac:dyDescent="0.15">
      <c r="A377" s="10"/>
      <c r="B377" s="13"/>
      <c r="C377" s="13"/>
    </row>
    <row r="378" spans="1:3" ht="13" x14ac:dyDescent="0.15">
      <c r="A378" s="10"/>
      <c r="B378" s="13"/>
      <c r="C378" s="13"/>
    </row>
    <row r="379" spans="1:3" ht="13" x14ac:dyDescent="0.15">
      <c r="A379" s="10"/>
      <c r="B379" s="13"/>
      <c r="C379" s="13"/>
    </row>
    <row r="380" spans="1:3" ht="13" x14ac:dyDescent="0.15">
      <c r="A380" s="10"/>
      <c r="B380" s="13"/>
      <c r="C380" s="13"/>
    </row>
    <row r="381" spans="1:3" ht="13" x14ac:dyDescent="0.15">
      <c r="A381" s="10"/>
      <c r="B381" s="13"/>
      <c r="C381" s="13"/>
    </row>
    <row r="382" spans="1:3" ht="13" x14ac:dyDescent="0.15">
      <c r="A382" s="10"/>
      <c r="B382" s="13"/>
      <c r="C382" s="13"/>
    </row>
    <row r="383" spans="1:3" ht="13" x14ac:dyDescent="0.15">
      <c r="A383" s="10"/>
      <c r="B383" s="13"/>
      <c r="C383" s="13"/>
    </row>
    <row r="384" spans="1:3" ht="13" x14ac:dyDescent="0.15">
      <c r="A384" s="10"/>
      <c r="B384" s="13"/>
      <c r="C384" s="13"/>
    </row>
    <row r="385" spans="1:3" ht="13" x14ac:dyDescent="0.15">
      <c r="A385" s="10"/>
      <c r="B385" s="13"/>
      <c r="C385" s="13"/>
    </row>
    <row r="386" spans="1:3" ht="13" x14ac:dyDescent="0.15">
      <c r="A386" s="10"/>
      <c r="B386" s="13"/>
      <c r="C386" s="13"/>
    </row>
    <row r="387" spans="1:3" ht="13" x14ac:dyDescent="0.15">
      <c r="A387" s="10"/>
      <c r="B387" s="13"/>
      <c r="C387" s="13"/>
    </row>
    <row r="388" spans="1:3" ht="13" x14ac:dyDescent="0.15">
      <c r="A388" s="10"/>
      <c r="B388" s="13"/>
      <c r="C388" s="13"/>
    </row>
    <row r="389" spans="1:3" ht="13" x14ac:dyDescent="0.15">
      <c r="A389" s="10"/>
      <c r="B389" s="13"/>
      <c r="C389" s="13"/>
    </row>
    <row r="390" spans="1:3" ht="13" x14ac:dyDescent="0.15">
      <c r="A390" s="10"/>
      <c r="B390" s="13"/>
      <c r="C390" s="13"/>
    </row>
    <row r="391" spans="1:3" ht="13" x14ac:dyDescent="0.15">
      <c r="A391" s="10"/>
      <c r="B391" s="13"/>
      <c r="C391" s="13"/>
    </row>
    <row r="392" spans="1:3" ht="13" x14ac:dyDescent="0.15">
      <c r="A392" s="10"/>
      <c r="B392" s="13"/>
      <c r="C392" s="13"/>
    </row>
    <row r="393" spans="1:3" ht="13" x14ac:dyDescent="0.15">
      <c r="A393" s="10"/>
      <c r="B393" s="13"/>
      <c r="C393" s="13"/>
    </row>
    <row r="394" spans="1:3" ht="13" x14ac:dyDescent="0.15">
      <c r="A394" s="10"/>
      <c r="B394" s="13"/>
      <c r="C394" s="13"/>
    </row>
    <row r="395" spans="1:3" ht="13" x14ac:dyDescent="0.15">
      <c r="A395" s="10"/>
      <c r="B395" s="13"/>
      <c r="C395" s="13"/>
    </row>
    <row r="396" spans="1:3" ht="13" x14ac:dyDescent="0.15">
      <c r="A396" s="10"/>
      <c r="B396" s="13"/>
      <c r="C396" s="13"/>
    </row>
    <row r="397" spans="1:3" ht="13" x14ac:dyDescent="0.15">
      <c r="A397" s="10"/>
      <c r="B397" s="13"/>
      <c r="C397" s="13"/>
    </row>
    <row r="398" spans="1:3" ht="13" x14ac:dyDescent="0.15">
      <c r="A398" s="10"/>
      <c r="B398" s="13"/>
      <c r="C398" s="13"/>
    </row>
    <row r="399" spans="1:3" ht="13" x14ac:dyDescent="0.15">
      <c r="A399" s="10"/>
      <c r="B399" s="13"/>
      <c r="C399" s="13"/>
    </row>
    <row r="400" spans="1:3" ht="13" x14ac:dyDescent="0.15">
      <c r="A400" s="10"/>
      <c r="B400" s="13"/>
      <c r="C400" s="13"/>
    </row>
    <row r="401" spans="1:3" ht="13" x14ac:dyDescent="0.15">
      <c r="A401" s="10"/>
      <c r="B401" s="13"/>
      <c r="C401" s="13"/>
    </row>
    <row r="402" spans="1:3" ht="13" x14ac:dyDescent="0.15">
      <c r="A402" s="10"/>
      <c r="B402" s="13"/>
      <c r="C402" s="13"/>
    </row>
    <row r="403" spans="1:3" ht="13" x14ac:dyDescent="0.15">
      <c r="A403" s="10"/>
      <c r="B403" s="13"/>
      <c r="C403" s="13"/>
    </row>
    <row r="404" spans="1:3" ht="13" x14ac:dyDescent="0.15">
      <c r="A404" s="10"/>
      <c r="B404" s="13"/>
      <c r="C404" s="13"/>
    </row>
    <row r="405" spans="1:3" ht="13" x14ac:dyDescent="0.15">
      <c r="A405" s="10"/>
      <c r="B405" s="13"/>
      <c r="C405" s="13"/>
    </row>
    <row r="406" spans="1:3" ht="13" x14ac:dyDescent="0.15">
      <c r="A406" s="10"/>
      <c r="B406" s="13"/>
      <c r="C406" s="13"/>
    </row>
    <row r="407" spans="1:3" ht="13" x14ac:dyDescent="0.15">
      <c r="A407" s="10"/>
      <c r="B407" s="13"/>
      <c r="C407" s="13"/>
    </row>
    <row r="408" spans="1:3" ht="13" x14ac:dyDescent="0.15">
      <c r="A408" s="10"/>
      <c r="B408" s="13"/>
      <c r="C408" s="13"/>
    </row>
    <row r="409" spans="1:3" ht="13" x14ac:dyDescent="0.15">
      <c r="A409" s="10"/>
      <c r="B409" s="13"/>
      <c r="C409" s="13"/>
    </row>
    <row r="410" spans="1:3" ht="13" x14ac:dyDescent="0.15">
      <c r="A410" s="10"/>
      <c r="B410" s="13"/>
      <c r="C410" s="13"/>
    </row>
    <row r="411" spans="1:3" ht="13" x14ac:dyDescent="0.15">
      <c r="A411" s="10"/>
      <c r="B411" s="13"/>
      <c r="C411" s="13"/>
    </row>
    <row r="412" spans="1:3" ht="13" x14ac:dyDescent="0.15">
      <c r="A412" s="10"/>
      <c r="B412" s="13"/>
      <c r="C412" s="13"/>
    </row>
    <row r="413" spans="1:3" ht="13" x14ac:dyDescent="0.15">
      <c r="A413" s="10"/>
      <c r="B413" s="13"/>
      <c r="C413" s="13"/>
    </row>
    <row r="414" spans="1:3" ht="13" x14ac:dyDescent="0.15">
      <c r="A414" s="10"/>
      <c r="B414" s="13"/>
      <c r="C414" s="13"/>
    </row>
    <row r="415" spans="1:3" ht="13" x14ac:dyDescent="0.15">
      <c r="A415" s="10"/>
      <c r="B415" s="13"/>
      <c r="C415" s="13"/>
    </row>
    <row r="416" spans="1:3" ht="13" x14ac:dyDescent="0.15">
      <c r="A416" s="10"/>
      <c r="B416" s="13"/>
      <c r="C416" s="13"/>
    </row>
    <row r="417" spans="1:3" ht="13" x14ac:dyDescent="0.15">
      <c r="A417" s="10"/>
      <c r="B417" s="13"/>
      <c r="C417" s="13"/>
    </row>
    <row r="418" spans="1:3" ht="13" x14ac:dyDescent="0.15">
      <c r="A418" s="10"/>
      <c r="B418" s="13"/>
      <c r="C418" s="13"/>
    </row>
    <row r="419" spans="1:3" ht="13" x14ac:dyDescent="0.15">
      <c r="A419" s="10"/>
      <c r="B419" s="13"/>
      <c r="C419" s="13"/>
    </row>
    <row r="420" spans="1:3" ht="13" x14ac:dyDescent="0.15">
      <c r="A420" s="10"/>
      <c r="B420" s="13"/>
      <c r="C420" s="13"/>
    </row>
    <row r="421" spans="1:3" ht="13" x14ac:dyDescent="0.15">
      <c r="A421" s="10"/>
      <c r="B421" s="13"/>
      <c r="C421" s="13"/>
    </row>
    <row r="422" spans="1:3" ht="13" x14ac:dyDescent="0.15">
      <c r="A422" s="10"/>
      <c r="B422" s="13"/>
      <c r="C422" s="13"/>
    </row>
    <row r="423" spans="1:3" ht="13" x14ac:dyDescent="0.15">
      <c r="A423" s="10"/>
      <c r="B423" s="13"/>
      <c r="C423" s="13"/>
    </row>
    <row r="424" spans="1:3" ht="13" x14ac:dyDescent="0.15">
      <c r="A424" s="10"/>
      <c r="B424" s="13"/>
      <c r="C424" s="13"/>
    </row>
    <row r="425" spans="1:3" ht="13" x14ac:dyDescent="0.15">
      <c r="A425" s="10"/>
      <c r="B425" s="13"/>
      <c r="C425" s="13"/>
    </row>
    <row r="426" spans="1:3" ht="13" x14ac:dyDescent="0.15">
      <c r="A426" s="10"/>
      <c r="B426" s="13"/>
      <c r="C426" s="13"/>
    </row>
    <row r="427" spans="1:3" ht="13" x14ac:dyDescent="0.15">
      <c r="A427" s="10"/>
      <c r="B427" s="13"/>
      <c r="C427" s="13"/>
    </row>
    <row r="428" spans="1:3" ht="13" x14ac:dyDescent="0.15">
      <c r="A428" s="10"/>
      <c r="B428" s="13"/>
      <c r="C428" s="13"/>
    </row>
    <row r="429" spans="1:3" ht="13" x14ac:dyDescent="0.15">
      <c r="A429" s="10"/>
      <c r="B429" s="13"/>
      <c r="C429" s="13"/>
    </row>
    <row r="430" spans="1:3" ht="13" x14ac:dyDescent="0.15">
      <c r="A430" s="10"/>
      <c r="B430" s="13"/>
      <c r="C430" s="13"/>
    </row>
    <row r="431" spans="1:3" ht="13" x14ac:dyDescent="0.15">
      <c r="A431" s="10"/>
      <c r="B431" s="13"/>
      <c r="C431" s="13"/>
    </row>
    <row r="432" spans="1:3" ht="13" x14ac:dyDescent="0.15">
      <c r="A432" s="10"/>
      <c r="B432" s="13"/>
      <c r="C432" s="13"/>
    </row>
    <row r="433" spans="1:3" ht="13" x14ac:dyDescent="0.15">
      <c r="A433" s="10"/>
      <c r="B433" s="13"/>
      <c r="C433" s="13"/>
    </row>
    <row r="434" spans="1:3" ht="13" x14ac:dyDescent="0.15">
      <c r="A434" s="10"/>
      <c r="B434" s="13"/>
      <c r="C434" s="13"/>
    </row>
    <row r="435" spans="1:3" ht="13" x14ac:dyDescent="0.15">
      <c r="A435" s="10"/>
      <c r="B435" s="13"/>
      <c r="C435" s="13"/>
    </row>
    <row r="436" spans="1:3" ht="13" x14ac:dyDescent="0.15">
      <c r="A436" s="10"/>
      <c r="B436" s="13"/>
      <c r="C436" s="13"/>
    </row>
    <row r="437" spans="1:3" ht="13" x14ac:dyDescent="0.15">
      <c r="A437" s="10"/>
      <c r="B437" s="13"/>
      <c r="C437" s="13"/>
    </row>
    <row r="438" spans="1:3" ht="13" x14ac:dyDescent="0.15">
      <c r="A438" s="10"/>
      <c r="B438" s="13"/>
      <c r="C438" s="13"/>
    </row>
    <row r="439" spans="1:3" ht="13" x14ac:dyDescent="0.15">
      <c r="A439" s="10"/>
      <c r="B439" s="13"/>
      <c r="C439" s="13"/>
    </row>
    <row r="440" spans="1:3" ht="13" x14ac:dyDescent="0.15">
      <c r="A440" s="10"/>
      <c r="B440" s="13"/>
      <c r="C440" s="13"/>
    </row>
    <row r="441" spans="1:3" ht="13" x14ac:dyDescent="0.15">
      <c r="A441" s="10"/>
      <c r="B441" s="13"/>
      <c r="C441" s="13"/>
    </row>
    <row r="442" spans="1:3" ht="13" x14ac:dyDescent="0.15">
      <c r="A442" s="10"/>
      <c r="B442" s="13"/>
      <c r="C442" s="13"/>
    </row>
    <row r="443" spans="1:3" ht="13" x14ac:dyDescent="0.15">
      <c r="A443" s="10"/>
      <c r="B443" s="13"/>
      <c r="C443" s="13"/>
    </row>
    <row r="444" spans="1:3" ht="13" x14ac:dyDescent="0.15">
      <c r="A444" s="10"/>
      <c r="B444" s="13"/>
      <c r="C444" s="13"/>
    </row>
    <row r="445" spans="1:3" ht="13" x14ac:dyDescent="0.15">
      <c r="A445" s="10"/>
      <c r="B445" s="13"/>
      <c r="C445" s="13"/>
    </row>
    <row r="446" spans="1:3" ht="13" x14ac:dyDescent="0.15">
      <c r="A446" s="10"/>
      <c r="B446" s="13"/>
      <c r="C446" s="13"/>
    </row>
    <row r="447" spans="1:3" ht="13" x14ac:dyDescent="0.15">
      <c r="A447" s="10"/>
      <c r="B447" s="13"/>
      <c r="C447" s="13"/>
    </row>
    <row r="448" spans="1:3" ht="13" x14ac:dyDescent="0.15">
      <c r="A448" s="10"/>
      <c r="B448" s="13"/>
      <c r="C448" s="13"/>
    </row>
    <row r="449" spans="1:3" ht="13" x14ac:dyDescent="0.15">
      <c r="A449" s="10"/>
      <c r="B449" s="13"/>
      <c r="C449" s="13"/>
    </row>
    <row r="450" spans="1:3" ht="13" x14ac:dyDescent="0.15">
      <c r="A450" s="10"/>
      <c r="B450" s="13"/>
      <c r="C450" s="13"/>
    </row>
    <row r="451" spans="1:3" ht="13" x14ac:dyDescent="0.15">
      <c r="A451" s="10"/>
      <c r="B451" s="13"/>
      <c r="C451" s="13"/>
    </row>
    <row r="452" spans="1:3" ht="13" x14ac:dyDescent="0.15">
      <c r="A452" s="10"/>
      <c r="B452" s="13"/>
      <c r="C452" s="13"/>
    </row>
    <row r="453" spans="1:3" ht="13" x14ac:dyDescent="0.15">
      <c r="A453" s="10"/>
      <c r="B453" s="13"/>
      <c r="C453" s="13"/>
    </row>
    <row r="454" spans="1:3" ht="13" x14ac:dyDescent="0.15">
      <c r="A454" s="10"/>
      <c r="B454" s="13"/>
      <c r="C454" s="13"/>
    </row>
    <row r="455" spans="1:3" ht="13" x14ac:dyDescent="0.15">
      <c r="A455" s="10"/>
      <c r="B455" s="13"/>
      <c r="C455" s="13"/>
    </row>
    <row r="456" spans="1:3" ht="13" x14ac:dyDescent="0.15">
      <c r="A456" s="10"/>
      <c r="B456" s="13"/>
      <c r="C456" s="13"/>
    </row>
    <row r="457" spans="1:3" ht="13" x14ac:dyDescent="0.15">
      <c r="A457" s="10"/>
      <c r="B457" s="13"/>
      <c r="C457" s="13"/>
    </row>
    <row r="458" spans="1:3" ht="13" x14ac:dyDescent="0.15">
      <c r="A458" s="10"/>
      <c r="B458" s="13"/>
      <c r="C458" s="13"/>
    </row>
    <row r="459" spans="1:3" ht="13" x14ac:dyDescent="0.15">
      <c r="A459" s="10"/>
      <c r="B459" s="13"/>
      <c r="C459" s="13"/>
    </row>
    <row r="460" spans="1:3" ht="13" x14ac:dyDescent="0.15">
      <c r="A460" s="10"/>
      <c r="B460" s="13"/>
      <c r="C460" s="13"/>
    </row>
    <row r="461" spans="1:3" ht="13" x14ac:dyDescent="0.15">
      <c r="A461" s="10"/>
      <c r="B461" s="13"/>
      <c r="C461" s="13"/>
    </row>
    <row r="462" spans="1:3" ht="13" x14ac:dyDescent="0.15">
      <c r="A462" s="10"/>
      <c r="B462" s="13"/>
      <c r="C462" s="13"/>
    </row>
    <row r="463" spans="1:3" ht="13" x14ac:dyDescent="0.15">
      <c r="A463" s="10"/>
      <c r="B463" s="13"/>
      <c r="C463" s="13"/>
    </row>
    <row r="464" spans="1:3" ht="13" x14ac:dyDescent="0.15">
      <c r="A464" s="10"/>
      <c r="B464" s="13"/>
      <c r="C464" s="13"/>
    </row>
    <row r="465" spans="1:3" ht="13" x14ac:dyDescent="0.15">
      <c r="A465" s="10"/>
      <c r="B465" s="13"/>
      <c r="C465" s="13"/>
    </row>
    <row r="466" spans="1:3" ht="13" x14ac:dyDescent="0.15">
      <c r="A466" s="10"/>
      <c r="B466" s="13"/>
      <c r="C466" s="13"/>
    </row>
    <row r="467" spans="1:3" ht="13" x14ac:dyDescent="0.15">
      <c r="A467" s="10"/>
      <c r="B467" s="13"/>
      <c r="C467" s="13"/>
    </row>
    <row r="468" spans="1:3" ht="13" x14ac:dyDescent="0.15">
      <c r="A468" s="10"/>
      <c r="B468" s="13"/>
      <c r="C468" s="13"/>
    </row>
    <row r="469" spans="1:3" ht="13" x14ac:dyDescent="0.15">
      <c r="A469" s="10"/>
      <c r="B469" s="13"/>
      <c r="C469" s="13"/>
    </row>
    <row r="470" spans="1:3" ht="13" x14ac:dyDescent="0.15">
      <c r="A470" s="10"/>
      <c r="B470" s="13"/>
      <c r="C470" s="13"/>
    </row>
    <row r="471" spans="1:3" ht="13" x14ac:dyDescent="0.15">
      <c r="A471" s="10"/>
      <c r="B471" s="13"/>
      <c r="C471" s="13"/>
    </row>
    <row r="472" spans="1:3" ht="13" x14ac:dyDescent="0.15">
      <c r="A472" s="10"/>
      <c r="B472" s="13"/>
      <c r="C472" s="13"/>
    </row>
    <row r="473" spans="1:3" ht="13" x14ac:dyDescent="0.15">
      <c r="A473" s="10"/>
      <c r="B473" s="13"/>
      <c r="C473" s="13"/>
    </row>
    <row r="474" spans="1:3" ht="13" x14ac:dyDescent="0.15">
      <c r="A474" s="10"/>
      <c r="B474" s="13"/>
      <c r="C474" s="13"/>
    </row>
    <row r="475" spans="1:3" ht="13" x14ac:dyDescent="0.15">
      <c r="A475" s="10"/>
      <c r="B475" s="13"/>
      <c r="C475" s="13"/>
    </row>
    <row r="476" spans="1:3" ht="13" x14ac:dyDescent="0.15">
      <c r="A476" s="10"/>
      <c r="B476" s="13"/>
      <c r="C476" s="13"/>
    </row>
    <row r="477" spans="1:3" ht="13" x14ac:dyDescent="0.15">
      <c r="A477" s="10"/>
      <c r="B477" s="13"/>
      <c r="C477" s="13"/>
    </row>
    <row r="478" spans="1:3" ht="13" x14ac:dyDescent="0.15">
      <c r="A478" s="10"/>
      <c r="B478" s="13"/>
      <c r="C478" s="13"/>
    </row>
    <row r="479" spans="1:3" ht="13" x14ac:dyDescent="0.15">
      <c r="A479" s="10"/>
      <c r="B479" s="13"/>
      <c r="C479" s="13"/>
    </row>
    <row r="480" spans="1:3" ht="13" x14ac:dyDescent="0.15">
      <c r="A480" s="10"/>
      <c r="B480" s="13"/>
      <c r="C480" s="13"/>
    </row>
    <row r="481" spans="1:3" ht="13" x14ac:dyDescent="0.15">
      <c r="A481" s="10"/>
      <c r="B481" s="13"/>
      <c r="C481" s="13"/>
    </row>
    <row r="482" spans="1:3" ht="13" x14ac:dyDescent="0.15">
      <c r="A482" s="10"/>
      <c r="B482" s="13"/>
      <c r="C482" s="13"/>
    </row>
    <row r="483" spans="1:3" ht="13" x14ac:dyDescent="0.15">
      <c r="A483" s="10"/>
      <c r="B483" s="13"/>
      <c r="C483" s="13"/>
    </row>
    <row r="484" spans="1:3" ht="13" x14ac:dyDescent="0.15">
      <c r="A484" s="10"/>
      <c r="B484" s="13"/>
      <c r="C484" s="13"/>
    </row>
    <row r="485" spans="1:3" ht="13" x14ac:dyDescent="0.15">
      <c r="A485" s="10"/>
      <c r="B485" s="13"/>
      <c r="C485" s="13"/>
    </row>
    <row r="486" spans="1:3" ht="13" x14ac:dyDescent="0.15">
      <c r="A486" s="10"/>
      <c r="B486" s="13"/>
      <c r="C486" s="13"/>
    </row>
    <row r="487" spans="1:3" ht="13" x14ac:dyDescent="0.15">
      <c r="A487" s="10"/>
      <c r="B487" s="13"/>
      <c r="C487" s="13"/>
    </row>
    <row r="488" spans="1:3" ht="13" x14ac:dyDescent="0.15">
      <c r="A488" s="10"/>
      <c r="B488" s="13"/>
      <c r="C488" s="13"/>
    </row>
    <row r="489" spans="1:3" ht="13" x14ac:dyDescent="0.15">
      <c r="A489" s="10"/>
      <c r="B489" s="13"/>
      <c r="C489" s="13"/>
    </row>
    <row r="490" spans="1:3" ht="13" x14ac:dyDescent="0.15">
      <c r="A490" s="10"/>
      <c r="B490" s="13"/>
      <c r="C490" s="13"/>
    </row>
    <row r="491" spans="1:3" ht="13" x14ac:dyDescent="0.15">
      <c r="A491" s="10"/>
      <c r="B491" s="13"/>
      <c r="C491" s="13"/>
    </row>
    <row r="492" spans="1:3" ht="13" x14ac:dyDescent="0.15">
      <c r="A492" s="10"/>
      <c r="B492" s="13"/>
      <c r="C492" s="13"/>
    </row>
    <row r="493" spans="1:3" ht="13" x14ac:dyDescent="0.15">
      <c r="A493" s="10"/>
      <c r="B493" s="13"/>
      <c r="C493" s="13"/>
    </row>
    <row r="494" spans="1:3" ht="13" x14ac:dyDescent="0.15">
      <c r="A494" s="10"/>
      <c r="B494" s="13"/>
      <c r="C494" s="13"/>
    </row>
    <row r="495" spans="1:3" ht="13" x14ac:dyDescent="0.15">
      <c r="A495" s="10"/>
      <c r="B495" s="13"/>
      <c r="C495" s="13"/>
    </row>
    <row r="496" spans="1:3" ht="13" x14ac:dyDescent="0.15">
      <c r="A496" s="10"/>
      <c r="B496" s="13"/>
      <c r="C496" s="13"/>
    </row>
    <row r="497" spans="1:3" ht="13" x14ac:dyDescent="0.15">
      <c r="A497" s="10"/>
      <c r="B497" s="13"/>
      <c r="C497" s="13"/>
    </row>
    <row r="498" spans="1:3" ht="13" x14ac:dyDescent="0.15">
      <c r="A498" s="10"/>
      <c r="B498" s="13"/>
      <c r="C498" s="13"/>
    </row>
    <row r="499" spans="1:3" ht="13" x14ac:dyDescent="0.15">
      <c r="A499" s="10"/>
      <c r="B499" s="13"/>
      <c r="C499" s="13"/>
    </row>
    <row r="500" spans="1:3" ht="13" x14ac:dyDescent="0.15">
      <c r="A500" s="10"/>
      <c r="B500" s="13"/>
      <c r="C500" s="13"/>
    </row>
    <row r="501" spans="1:3" ht="13" x14ac:dyDescent="0.15">
      <c r="A501" s="10"/>
      <c r="B501" s="13"/>
      <c r="C501" s="13"/>
    </row>
    <row r="502" spans="1:3" ht="13" x14ac:dyDescent="0.15">
      <c r="A502" s="10"/>
      <c r="B502" s="13"/>
      <c r="C502" s="13"/>
    </row>
    <row r="503" spans="1:3" ht="13" x14ac:dyDescent="0.15">
      <c r="A503" s="10"/>
      <c r="B503" s="13"/>
      <c r="C503" s="13"/>
    </row>
    <row r="504" spans="1:3" ht="13" x14ac:dyDescent="0.15">
      <c r="A504" s="10"/>
      <c r="B504" s="13"/>
      <c r="C504" s="13"/>
    </row>
    <row r="505" spans="1:3" ht="13" x14ac:dyDescent="0.15">
      <c r="A505" s="10"/>
      <c r="B505" s="13"/>
      <c r="C505" s="13"/>
    </row>
    <row r="506" spans="1:3" ht="13" x14ac:dyDescent="0.15">
      <c r="A506" s="10"/>
      <c r="B506" s="13"/>
      <c r="C506" s="13"/>
    </row>
    <row r="507" spans="1:3" ht="13" x14ac:dyDescent="0.15">
      <c r="A507" s="10"/>
      <c r="B507" s="13"/>
      <c r="C507" s="13"/>
    </row>
    <row r="508" spans="1:3" ht="13" x14ac:dyDescent="0.15">
      <c r="A508" s="10"/>
      <c r="B508" s="13"/>
      <c r="C508" s="13"/>
    </row>
    <row r="509" spans="1:3" ht="13" x14ac:dyDescent="0.15">
      <c r="A509" s="10"/>
      <c r="B509" s="13"/>
      <c r="C509" s="13"/>
    </row>
    <row r="510" spans="1:3" ht="13" x14ac:dyDescent="0.15">
      <c r="A510" s="10"/>
      <c r="B510" s="13"/>
      <c r="C510" s="13"/>
    </row>
    <row r="511" spans="1:3" ht="13" x14ac:dyDescent="0.15">
      <c r="A511" s="10"/>
      <c r="B511" s="13"/>
      <c r="C511" s="13"/>
    </row>
    <row r="512" spans="1:3" ht="13" x14ac:dyDescent="0.15">
      <c r="A512" s="10"/>
      <c r="B512" s="13"/>
      <c r="C512" s="13"/>
    </row>
    <row r="513" spans="1:3" ht="13" x14ac:dyDescent="0.15">
      <c r="A513" s="10"/>
      <c r="B513" s="13"/>
      <c r="C513" s="13"/>
    </row>
    <row r="514" spans="1:3" ht="13" x14ac:dyDescent="0.15">
      <c r="A514" s="10"/>
      <c r="B514" s="13"/>
      <c r="C514" s="13"/>
    </row>
    <row r="515" spans="1:3" ht="13" x14ac:dyDescent="0.15">
      <c r="A515" s="10"/>
      <c r="B515" s="13"/>
      <c r="C515" s="13"/>
    </row>
    <row r="516" spans="1:3" ht="13" x14ac:dyDescent="0.15">
      <c r="A516" s="10"/>
      <c r="B516" s="13"/>
      <c r="C516" s="13"/>
    </row>
    <row r="517" spans="1:3" ht="13" x14ac:dyDescent="0.15">
      <c r="A517" s="10"/>
      <c r="B517" s="13"/>
      <c r="C517" s="13"/>
    </row>
    <row r="518" spans="1:3" ht="13" x14ac:dyDescent="0.15">
      <c r="A518" s="10"/>
      <c r="B518" s="13"/>
      <c r="C518" s="13"/>
    </row>
    <row r="519" spans="1:3" ht="13" x14ac:dyDescent="0.15">
      <c r="A519" s="10"/>
      <c r="B519" s="13"/>
      <c r="C519" s="13"/>
    </row>
    <row r="520" spans="1:3" ht="13" x14ac:dyDescent="0.15">
      <c r="A520" s="10"/>
      <c r="B520" s="13"/>
      <c r="C520" s="13"/>
    </row>
    <row r="521" spans="1:3" ht="13" x14ac:dyDescent="0.15">
      <c r="A521" s="10"/>
      <c r="B521" s="13"/>
      <c r="C521" s="13"/>
    </row>
    <row r="522" spans="1:3" ht="13" x14ac:dyDescent="0.15">
      <c r="A522" s="10"/>
      <c r="B522" s="13"/>
      <c r="C522" s="13"/>
    </row>
    <row r="523" spans="1:3" ht="13" x14ac:dyDescent="0.15">
      <c r="A523" s="10"/>
      <c r="B523" s="13"/>
      <c r="C523" s="13"/>
    </row>
    <row r="524" spans="1:3" ht="13" x14ac:dyDescent="0.15">
      <c r="A524" s="10"/>
      <c r="B524" s="13"/>
      <c r="C524" s="13"/>
    </row>
    <row r="525" spans="1:3" ht="13" x14ac:dyDescent="0.15">
      <c r="A525" s="10"/>
      <c r="B525" s="13"/>
      <c r="C525" s="13"/>
    </row>
    <row r="526" spans="1:3" ht="13" x14ac:dyDescent="0.15">
      <c r="A526" s="10"/>
      <c r="B526" s="13"/>
      <c r="C526" s="13"/>
    </row>
    <row r="527" spans="1:3" ht="13" x14ac:dyDescent="0.15">
      <c r="A527" s="10"/>
      <c r="B527" s="13"/>
      <c r="C527" s="13"/>
    </row>
    <row r="528" spans="1:3" ht="13" x14ac:dyDescent="0.15">
      <c r="A528" s="10"/>
      <c r="B528" s="13"/>
      <c r="C528" s="13"/>
    </row>
    <row r="529" spans="1:3" ht="13" x14ac:dyDescent="0.15">
      <c r="A529" s="10"/>
      <c r="B529" s="13"/>
      <c r="C529" s="13"/>
    </row>
    <row r="530" spans="1:3" ht="13" x14ac:dyDescent="0.15">
      <c r="A530" s="10"/>
      <c r="B530" s="13"/>
      <c r="C530" s="13"/>
    </row>
    <row r="531" spans="1:3" ht="13" x14ac:dyDescent="0.15">
      <c r="A531" s="10"/>
      <c r="B531" s="13"/>
      <c r="C531" s="13"/>
    </row>
    <row r="532" spans="1:3" ht="13" x14ac:dyDescent="0.15">
      <c r="A532" s="10"/>
      <c r="B532" s="13"/>
      <c r="C532" s="13"/>
    </row>
    <row r="533" spans="1:3" ht="13" x14ac:dyDescent="0.15">
      <c r="A533" s="10"/>
      <c r="B533" s="13"/>
      <c r="C533" s="13"/>
    </row>
    <row r="534" spans="1:3" ht="13" x14ac:dyDescent="0.15">
      <c r="A534" s="10"/>
      <c r="B534" s="13"/>
      <c r="C534" s="13"/>
    </row>
    <row r="535" spans="1:3" ht="13" x14ac:dyDescent="0.15">
      <c r="A535" s="10"/>
      <c r="B535" s="13"/>
      <c r="C535" s="13"/>
    </row>
    <row r="536" spans="1:3" ht="13" x14ac:dyDescent="0.15">
      <c r="A536" s="10"/>
      <c r="B536" s="13"/>
      <c r="C536" s="13"/>
    </row>
    <row r="537" spans="1:3" ht="13" x14ac:dyDescent="0.15">
      <c r="A537" s="10"/>
      <c r="B537" s="13"/>
      <c r="C537" s="13"/>
    </row>
    <row r="538" spans="1:3" ht="13" x14ac:dyDescent="0.15">
      <c r="A538" s="10"/>
      <c r="B538" s="13"/>
      <c r="C538" s="13"/>
    </row>
    <row r="539" spans="1:3" ht="13" x14ac:dyDescent="0.15">
      <c r="A539" s="10"/>
      <c r="B539" s="13"/>
      <c r="C539" s="13"/>
    </row>
    <row r="540" spans="1:3" ht="13" x14ac:dyDescent="0.15">
      <c r="A540" s="10"/>
      <c r="B540" s="13"/>
      <c r="C540" s="13"/>
    </row>
    <row r="541" spans="1:3" ht="13" x14ac:dyDescent="0.15">
      <c r="A541" s="10"/>
      <c r="B541" s="13"/>
      <c r="C541" s="13"/>
    </row>
    <row r="542" spans="1:3" ht="13" x14ac:dyDescent="0.15">
      <c r="A542" s="10"/>
      <c r="B542" s="13"/>
      <c r="C542" s="13"/>
    </row>
    <row r="543" spans="1:3" ht="13" x14ac:dyDescent="0.15">
      <c r="A543" s="10"/>
      <c r="B543" s="13"/>
      <c r="C543" s="13"/>
    </row>
    <row r="544" spans="1:3" ht="13" x14ac:dyDescent="0.15">
      <c r="A544" s="10"/>
      <c r="B544" s="13"/>
      <c r="C544" s="13"/>
    </row>
    <row r="545" spans="1:3" ht="13" x14ac:dyDescent="0.15">
      <c r="A545" s="10"/>
      <c r="B545" s="13"/>
      <c r="C545" s="13"/>
    </row>
    <row r="546" spans="1:3" ht="13" x14ac:dyDescent="0.15">
      <c r="A546" s="10"/>
      <c r="B546" s="13"/>
      <c r="C546" s="13"/>
    </row>
    <row r="547" spans="1:3" ht="13" x14ac:dyDescent="0.15">
      <c r="A547" s="10"/>
      <c r="B547" s="13"/>
      <c r="C547" s="13"/>
    </row>
    <row r="548" spans="1:3" ht="13" x14ac:dyDescent="0.15">
      <c r="A548" s="10"/>
      <c r="B548" s="13"/>
      <c r="C548" s="13"/>
    </row>
    <row r="549" spans="1:3" ht="13" x14ac:dyDescent="0.15">
      <c r="A549" s="10"/>
      <c r="B549" s="13"/>
      <c r="C549" s="13"/>
    </row>
    <row r="550" spans="1:3" ht="13" x14ac:dyDescent="0.15">
      <c r="A550" s="10"/>
      <c r="B550" s="13"/>
      <c r="C550" s="13"/>
    </row>
    <row r="551" spans="1:3" ht="13" x14ac:dyDescent="0.15">
      <c r="A551" s="10"/>
      <c r="B551" s="13"/>
      <c r="C551" s="13"/>
    </row>
    <row r="552" spans="1:3" ht="13" x14ac:dyDescent="0.15">
      <c r="A552" s="10"/>
      <c r="B552" s="13"/>
      <c r="C552" s="13"/>
    </row>
    <row r="553" spans="1:3" ht="13" x14ac:dyDescent="0.15">
      <c r="A553" s="10"/>
      <c r="B553" s="13"/>
      <c r="C553" s="13"/>
    </row>
    <row r="554" spans="1:3" ht="13" x14ac:dyDescent="0.15">
      <c r="A554" s="10"/>
      <c r="B554" s="13"/>
      <c r="C554" s="13"/>
    </row>
    <row r="555" spans="1:3" ht="13" x14ac:dyDescent="0.15">
      <c r="A555" s="10"/>
      <c r="B555" s="13"/>
      <c r="C555" s="13"/>
    </row>
    <row r="556" spans="1:3" ht="13" x14ac:dyDescent="0.15">
      <c r="A556" s="10"/>
      <c r="B556" s="13"/>
      <c r="C556" s="13"/>
    </row>
    <row r="557" spans="1:3" ht="13" x14ac:dyDescent="0.15">
      <c r="A557" s="10"/>
      <c r="B557" s="13"/>
      <c r="C557" s="13"/>
    </row>
    <row r="558" spans="1:3" ht="13" x14ac:dyDescent="0.15">
      <c r="A558" s="10"/>
      <c r="B558" s="13"/>
      <c r="C558" s="13"/>
    </row>
    <row r="559" spans="1:3" ht="13" x14ac:dyDescent="0.15">
      <c r="A559" s="10"/>
      <c r="B559" s="13"/>
      <c r="C559" s="13"/>
    </row>
    <row r="560" spans="1:3" ht="13" x14ac:dyDescent="0.15">
      <c r="A560" s="10"/>
      <c r="B560" s="13"/>
      <c r="C560" s="13"/>
    </row>
    <row r="561" spans="1:3" ht="13" x14ac:dyDescent="0.15">
      <c r="A561" s="10"/>
      <c r="B561" s="13"/>
      <c r="C561" s="13"/>
    </row>
    <row r="562" spans="1:3" ht="13" x14ac:dyDescent="0.15">
      <c r="A562" s="10"/>
      <c r="B562" s="13"/>
      <c r="C562" s="13"/>
    </row>
    <row r="563" spans="1:3" ht="13" x14ac:dyDescent="0.15">
      <c r="A563" s="10"/>
      <c r="B563" s="13"/>
      <c r="C563" s="13"/>
    </row>
    <row r="564" spans="1:3" ht="13" x14ac:dyDescent="0.15">
      <c r="A564" s="10"/>
      <c r="B564" s="13"/>
      <c r="C564" s="13"/>
    </row>
    <row r="565" spans="1:3" ht="13" x14ac:dyDescent="0.15">
      <c r="A565" s="10"/>
      <c r="B565" s="13"/>
      <c r="C565" s="13"/>
    </row>
    <row r="566" spans="1:3" ht="13" x14ac:dyDescent="0.15">
      <c r="A566" s="10"/>
      <c r="B566" s="13"/>
      <c r="C566" s="13"/>
    </row>
    <row r="567" spans="1:3" ht="13" x14ac:dyDescent="0.15">
      <c r="A567" s="10"/>
      <c r="B567" s="13"/>
      <c r="C567" s="13"/>
    </row>
    <row r="568" spans="1:3" ht="13" x14ac:dyDescent="0.15">
      <c r="A568" s="10"/>
      <c r="B568" s="13"/>
      <c r="C568" s="13"/>
    </row>
    <row r="569" spans="1:3" ht="13" x14ac:dyDescent="0.15">
      <c r="A569" s="10"/>
      <c r="B569" s="13"/>
      <c r="C569" s="13"/>
    </row>
    <row r="570" spans="1:3" ht="13" x14ac:dyDescent="0.15">
      <c r="A570" s="10"/>
      <c r="B570" s="13"/>
      <c r="C570" s="13"/>
    </row>
    <row r="571" spans="1:3" ht="13" x14ac:dyDescent="0.15">
      <c r="A571" s="10"/>
      <c r="B571" s="13"/>
      <c r="C571" s="13"/>
    </row>
    <row r="572" spans="1:3" ht="13" x14ac:dyDescent="0.15">
      <c r="A572" s="10"/>
      <c r="B572" s="13"/>
      <c r="C572" s="13"/>
    </row>
    <row r="573" spans="1:3" ht="13" x14ac:dyDescent="0.15">
      <c r="A573" s="10"/>
      <c r="B573" s="13"/>
      <c r="C573" s="13"/>
    </row>
    <row r="574" spans="1:3" ht="13" x14ac:dyDescent="0.15">
      <c r="A574" s="10"/>
      <c r="B574" s="13"/>
      <c r="C574" s="13"/>
    </row>
    <row r="575" spans="1:3" ht="13" x14ac:dyDescent="0.15">
      <c r="A575" s="10"/>
      <c r="B575" s="13"/>
      <c r="C575" s="13"/>
    </row>
    <row r="576" spans="1:3" ht="13" x14ac:dyDescent="0.15">
      <c r="A576" s="10"/>
      <c r="B576" s="13"/>
      <c r="C576" s="13"/>
    </row>
    <row r="577" spans="1:3" ht="13" x14ac:dyDescent="0.15">
      <c r="A577" s="10"/>
      <c r="B577" s="13"/>
      <c r="C577" s="13"/>
    </row>
    <row r="578" spans="1:3" ht="13" x14ac:dyDescent="0.15">
      <c r="A578" s="10"/>
      <c r="B578" s="13"/>
      <c r="C578" s="13"/>
    </row>
    <row r="579" spans="1:3" ht="13" x14ac:dyDescent="0.15">
      <c r="A579" s="10"/>
      <c r="B579" s="13"/>
      <c r="C579" s="13"/>
    </row>
    <row r="580" spans="1:3" ht="13" x14ac:dyDescent="0.15">
      <c r="A580" s="10"/>
      <c r="B580" s="13"/>
      <c r="C580" s="13"/>
    </row>
    <row r="581" spans="1:3" ht="13" x14ac:dyDescent="0.15">
      <c r="A581" s="10"/>
      <c r="B581" s="13"/>
      <c r="C581" s="13"/>
    </row>
    <row r="582" spans="1:3" ht="13" x14ac:dyDescent="0.15">
      <c r="A582" s="10"/>
      <c r="B582" s="13"/>
      <c r="C582" s="13"/>
    </row>
    <row r="583" spans="1:3" ht="13" x14ac:dyDescent="0.15">
      <c r="A583" s="10"/>
      <c r="B583" s="13"/>
      <c r="C583" s="13"/>
    </row>
    <row r="584" spans="1:3" ht="13" x14ac:dyDescent="0.15">
      <c r="A584" s="10"/>
      <c r="B584" s="13"/>
      <c r="C584" s="13"/>
    </row>
    <row r="585" spans="1:3" ht="13" x14ac:dyDescent="0.15">
      <c r="A585" s="10"/>
      <c r="B585" s="13"/>
      <c r="C585" s="13"/>
    </row>
    <row r="586" spans="1:3" ht="13" x14ac:dyDescent="0.15">
      <c r="A586" s="10"/>
      <c r="B586" s="13"/>
      <c r="C586" s="13"/>
    </row>
    <row r="587" spans="1:3" ht="13" x14ac:dyDescent="0.15">
      <c r="A587" s="10"/>
      <c r="B587" s="13"/>
      <c r="C587" s="13"/>
    </row>
    <row r="588" spans="1:3" ht="13" x14ac:dyDescent="0.15">
      <c r="A588" s="10"/>
      <c r="B588" s="13"/>
      <c r="C588" s="13"/>
    </row>
    <row r="589" spans="1:3" ht="13" x14ac:dyDescent="0.15">
      <c r="A589" s="10"/>
      <c r="B589" s="13"/>
      <c r="C589" s="13"/>
    </row>
    <row r="590" spans="1:3" ht="13" x14ac:dyDescent="0.15">
      <c r="A590" s="10"/>
      <c r="B590" s="13"/>
      <c r="C590" s="13"/>
    </row>
    <row r="591" spans="1:3" ht="13" x14ac:dyDescent="0.15">
      <c r="A591" s="10"/>
      <c r="B591" s="13"/>
      <c r="C591" s="13"/>
    </row>
    <row r="592" spans="1:3" ht="13" x14ac:dyDescent="0.15">
      <c r="A592" s="10"/>
      <c r="B592" s="13"/>
      <c r="C592" s="13"/>
    </row>
    <row r="593" spans="1:3" ht="13" x14ac:dyDescent="0.15">
      <c r="A593" s="10"/>
      <c r="B593" s="13"/>
      <c r="C593" s="13"/>
    </row>
    <row r="594" spans="1:3" ht="13" x14ac:dyDescent="0.15">
      <c r="A594" s="10"/>
      <c r="B594" s="13"/>
      <c r="C594" s="13"/>
    </row>
    <row r="595" spans="1:3" ht="13" x14ac:dyDescent="0.15">
      <c r="A595" s="10"/>
      <c r="B595" s="13"/>
      <c r="C595" s="13"/>
    </row>
    <row r="596" spans="1:3" ht="13" x14ac:dyDescent="0.15">
      <c r="A596" s="10"/>
      <c r="B596" s="13"/>
      <c r="C596" s="13"/>
    </row>
    <row r="597" spans="1:3" ht="13" x14ac:dyDescent="0.15">
      <c r="A597" s="10"/>
      <c r="B597" s="13"/>
      <c r="C597" s="13"/>
    </row>
    <row r="598" spans="1:3" ht="13" x14ac:dyDescent="0.15">
      <c r="A598" s="10"/>
      <c r="B598" s="13"/>
      <c r="C598" s="13"/>
    </row>
    <row r="599" spans="1:3" ht="13" x14ac:dyDescent="0.15">
      <c r="A599" s="10"/>
      <c r="B599" s="13"/>
      <c r="C599" s="13"/>
    </row>
    <row r="600" spans="1:3" ht="13" x14ac:dyDescent="0.15">
      <c r="A600" s="10"/>
      <c r="B600" s="13"/>
      <c r="C600" s="13"/>
    </row>
    <row r="601" spans="1:3" ht="13" x14ac:dyDescent="0.15">
      <c r="A601" s="10"/>
      <c r="B601" s="13"/>
      <c r="C601" s="13"/>
    </row>
    <row r="602" spans="1:3" ht="13" x14ac:dyDescent="0.15">
      <c r="A602" s="10"/>
      <c r="B602" s="13"/>
      <c r="C602" s="13"/>
    </row>
    <row r="603" spans="1:3" ht="13" x14ac:dyDescent="0.15">
      <c r="A603" s="10"/>
      <c r="B603" s="13"/>
      <c r="C603" s="13"/>
    </row>
    <row r="604" spans="1:3" ht="13" x14ac:dyDescent="0.15">
      <c r="A604" s="10"/>
      <c r="B604" s="13"/>
      <c r="C604" s="13"/>
    </row>
    <row r="605" spans="1:3" ht="13" x14ac:dyDescent="0.15">
      <c r="A605" s="10"/>
      <c r="B605" s="13"/>
      <c r="C605" s="13"/>
    </row>
    <row r="606" spans="1:3" ht="13" x14ac:dyDescent="0.15">
      <c r="A606" s="10"/>
      <c r="B606" s="13"/>
      <c r="C606" s="13"/>
    </row>
    <row r="607" spans="1:3" ht="13" x14ac:dyDescent="0.15">
      <c r="A607" s="10"/>
      <c r="B607" s="13"/>
      <c r="C607" s="13"/>
    </row>
    <row r="608" spans="1:3" ht="13" x14ac:dyDescent="0.15">
      <c r="A608" s="10"/>
      <c r="B608" s="13"/>
      <c r="C608" s="13"/>
    </row>
    <row r="609" spans="1:3" ht="13" x14ac:dyDescent="0.15">
      <c r="A609" s="10"/>
      <c r="B609" s="13"/>
      <c r="C609" s="13"/>
    </row>
    <row r="610" spans="1:3" ht="13" x14ac:dyDescent="0.15">
      <c r="A610" s="10"/>
      <c r="B610" s="13"/>
      <c r="C610" s="13"/>
    </row>
    <row r="611" spans="1:3" ht="13" x14ac:dyDescent="0.15">
      <c r="A611" s="10"/>
      <c r="B611" s="13"/>
      <c r="C611" s="13"/>
    </row>
    <row r="612" spans="1:3" ht="13" x14ac:dyDescent="0.15">
      <c r="A612" s="10"/>
      <c r="B612" s="13"/>
      <c r="C612" s="13"/>
    </row>
    <row r="613" spans="1:3" ht="13" x14ac:dyDescent="0.15">
      <c r="A613" s="10"/>
      <c r="B613" s="13"/>
      <c r="C613" s="13"/>
    </row>
    <row r="614" spans="1:3" ht="13" x14ac:dyDescent="0.15">
      <c r="A614" s="10"/>
      <c r="B614" s="13"/>
      <c r="C614" s="13"/>
    </row>
    <row r="615" spans="1:3" ht="13" x14ac:dyDescent="0.15">
      <c r="A615" s="10"/>
      <c r="B615" s="13"/>
      <c r="C615" s="13"/>
    </row>
    <row r="616" spans="1:3" ht="13" x14ac:dyDescent="0.15">
      <c r="A616" s="10"/>
      <c r="B616" s="13"/>
      <c r="C616" s="13"/>
    </row>
    <row r="617" spans="1:3" ht="13" x14ac:dyDescent="0.15">
      <c r="A617" s="10"/>
      <c r="B617" s="13"/>
      <c r="C617" s="13"/>
    </row>
    <row r="618" spans="1:3" ht="13" x14ac:dyDescent="0.15">
      <c r="A618" s="10"/>
      <c r="B618" s="13"/>
      <c r="C618" s="13"/>
    </row>
    <row r="619" spans="1:3" ht="13" x14ac:dyDescent="0.15">
      <c r="A619" s="10"/>
      <c r="B619" s="13"/>
      <c r="C619" s="13"/>
    </row>
    <row r="620" spans="1:3" ht="13" x14ac:dyDescent="0.15">
      <c r="A620" s="10"/>
      <c r="B620" s="13"/>
      <c r="C620" s="13"/>
    </row>
    <row r="621" spans="1:3" ht="13" x14ac:dyDescent="0.15">
      <c r="A621" s="10"/>
      <c r="B621" s="13"/>
      <c r="C621" s="13"/>
    </row>
    <row r="622" spans="1:3" ht="13" x14ac:dyDescent="0.15">
      <c r="A622" s="10"/>
      <c r="B622" s="13"/>
      <c r="C622" s="13"/>
    </row>
    <row r="623" spans="1:3" ht="13" x14ac:dyDescent="0.15">
      <c r="A623" s="10"/>
      <c r="B623" s="13"/>
      <c r="C623" s="13"/>
    </row>
    <row r="624" spans="1:3" ht="13" x14ac:dyDescent="0.15">
      <c r="A624" s="10"/>
      <c r="B624" s="13"/>
      <c r="C624" s="13"/>
    </row>
    <row r="625" spans="1:3" ht="13" x14ac:dyDescent="0.15">
      <c r="A625" s="10"/>
      <c r="B625" s="13"/>
      <c r="C625" s="13"/>
    </row>
    <row r="626" spans="1:3" ht="13" x14ac:dyDescent="0.15">
      <c r="A626" s="10"/>
      <c r="B626" s="13"/>
      <c r="C626" s="13"/>
    </row>
    <row r="627" spans="1:3" ht="13" x14ac:dyDescent="0.15">
      <c r="A627" s="10"/>
      <c r="B627" s="13"/>
      <c r="C627" s="13"/>
    </row>
    <row r="628" spans="1:3" ht="13" x14ac:dyDescent="0.15">
      <c r="A628" s="10"/>
      <c r="B628" s="13"/>
      <c r="C628" s="13"/>
    </row>
    <row r="629" spans="1:3" ht="13" x14ac:dyDescent="0.15">
      <c r="A629" s="10"/>
      <c r="B629" s="13"/>
      <c r="C629" s="13"/>
    </row>
    <row r="630" spans="1:3" ht="13" x14ac:dyDescent="0.15">
      <c r="A630" s="10"/>
      <c r="B630" s="13"/>
      <c r="C630" s="13"/>
    </row>
    <row r="631" spans="1:3" ht="13" x14ac:dyDescent="0.15">
      <c r="A631" s="10"/>
      <c r="B631" s="13"/>
      <c r="C631" s="13"/>
    </row>
    <row r="632" spans="1:3" ht="13" x14ac:dyDescent="0.15">
      <c r="A632" s="10"/>
      <c r="B632" s="13"/>
      <c r="C632" s="13"/>
    </row>
    <row r="633" spans="1:3" ht="13" x14ac:dyDescent="0.15">
      <c r="A633" s="10"/>
      <c r="B633" s="13"/>
      <c r="C633" s="13"/>
    </row>
    <row r="634" spans="1:3" ht="13" x14ac:dyDescent="0.15">
      <c r="A634" s="10"/>
      <c r="B634" s="13"/>
      <c r="C634" s="13"/>
    </row>
    <row r="635" spans="1:3" ht="13" x14ac:dyDescent="0.15">
      <c r="A635" s="10"/>
      <c r="B635" s="13"/>
      <c r="C635" s="13"/>
    </row>
    <row r="636" spans="1:3" ht="13" x14ac:dyDescent="0.15">
      <c r="A636" s="10"/>
      <c r="B636" s="13"/>
      <c r="C636" s="13"/>
    </row>
    <row r="637" spans="1:3" ht="13" x14ac:dyDescent="0.15">
      <c r="A637" s="10"/>
      <c r="B637" s="13"/>
      <c r="C637" s="13"/>
    </row>
    <row r="638" spans="1:3" ht="13" x14ac:dyDescent="0.15">
      <c r="A638" s="10"/>
      <c r="B638" s="13"/>
      <c r="C638" s="13"/>
    </row>
    <row r="639" spans="1:3" ht="13" x14ac:dyDescent="0.15">
      <c r="A639" s="10"/>
      <c r="B639" s="13"/>
      <c r="C639" s="13"/>
    </row>
    <row r="640" spans="1:3" ht="13" x14ac:dyDescent="0.15">
      <c r="A640" s="10"/>
      <c r="B640" s="13"/>
      <c r="C640" s="13"/>
    </row>
    <row r="641" spans="1:3" ht="13" x14ac:dyDescent="0.15">
      <c r="A641" s="10"/>
      <c r="B641" s="13"/>
      <c r="C641" s="13"/>
    </row>
    <row r="642" spans="1:3" ht="13" x14ac:dyDescent="0.15">
      <c r="A642" s="10"/>
      <c r="B642" s="13"/>
      <c r="C642" s="13"/>
    </row>
    <row r="643" spans="1:3" ht="13" x14ac:dyDescent="0.15">
      <c r="A643" s="10"/>
      <c r="B643" s="13"/>
      <c r="C643" s="13"/>
    </row>
    <row r="644" spans="1:3" ht="13" x14ac:dyDescent="0.15">
      <c r="A644" s="10"/>
      <c r="B644" s="13"/>
      <c r="C644" s="13"/>
    </row>
    <row r="645" spans="1:3" ht="13" x14ac:dyDescent="0.15">
      <c r="A645" s="10"/>
      <c r="B645" s="13"/>
      <c r="C645" s="13"/>
    </row>
    <row r="646" spans="1:3" ht="13" x14ac:dyDescent="0.15">
      <c r="A646" s="10"/>
      <c r="B646" s="13"/>
      <c r="C646" s="13"/>
    </row>
    <row r="647" spans="1:3" ht="13" x14ac:dyDescent="0.15">
      <c r="A647" s="10"/>
      <c r="B647" s="13"/>
      <c r="C647" s="13"/>
    </row>
    <row r="648" spans="1:3" ht="13" x14ac:dyDescent="0.15">
      <c r="A648" s="10"/>
      <c r="B648" s="13"/>
      <c r="C648" s="13"/>
    </row>
    <row r="649" spans="1:3" ht="13" x14ac:dyDescent="0.15">
      <c r="A649" s="10"/>
      <c r="B649" s="13"/>
      <c r="C649" s="13"/>
    </row>
    <row r="650" spans="1:3" ht="13" x14ac:dyDescent="0.15">
      <c r="A650" s="10"/>
      <c r="B650" s="13"/>
      <c r="C650" s="13"/>
    </row>
    <row r="651" spans="1:3" ht="13" x14ac:dyDescent="0.15">
      <c r="A651" s="10"/>
      <c r="B651" s="13"/>
      <c r="C651" s="13"/>
    </row>
    <row r="652" spans="1:3" ht="13" x14ac:dyDescent="0.15">
      <c r="A652" s="10"/>
      <c r="B652" s="13"/>
      <c r="C652" s="13"/>
    </row>
    <row r="653" spans="1:3" ht="13" x14ac:dyDescent="0.15">
      <c r="A653" s="10"/>
      <c r="B653" s="13"/>
      <c r="C653" s="13"/>
    </row>
    <row r="654" spans="1:3" ht="13" x14ac:dyDescent="0.15">
      <c r="A654" s="10"/>
      <c r="B654" s="13"/>
      <c r="C654" s="13"/>
    </row>
    <row r="655" spans="1:3" ht="13" x14ac:dyDescent="0.15">
      <c r="A655" s="10"/>
      <c r="B655" s="13"/>
      <c r="C655" s="13"/>
    </row>
    <row r="656" spans="1:3" ht="13" x14ac:dyDescent="0.15">
      <c r="A656" s="10"/>
      <c r="B656" s="13"/>
      <c r="C656" s="13"/>
    </row>
    <row r="657" spans="1:3" ht="13" x14ac:dyDescent="0.15">
      <c r="A657" s="10"/>
      <c r="B657" s="13"/>
      <c r="C657" s="13"/>
    </row>
    <row r="658" spans="1:3" ht="13" x14ac:dyDescent="0.15">
      <c r="A658" s="10"/>
      <c r="B658" s="13"/>
      <c r="C658" s="13"/>
    </row>
    <row r="659" spans="1:3" ht="13" x14ac:dyDescent="0.15">
      <c r="A659" s="10"/>
      <c r="B659" s="13"/>
      <c r="C659" s="13"/>
    </row>
    <row r="660" spans="1:3" ht="13" x14ac:dyDescent="0.15">
      <c r="A660" s="10"/>
      <c r="B660" s="13"/>
      <c r="C660" s="13"/>
    </row>
    <row r="661" spans="1:3" ht="13" x14ac:dyDescent="0.15">
      <c r="A661" s="10"/>
      <c r="B661" s="13"/>
      <c r="C661" s="13"/>
    </row>
    <row r="662" spans="1:3" ht="13" x14ac:dyDescent="0.15">
      <c r="A662" s="10"/>
      <c r="B662" s="13"/>
      <c r="C662" s="13"/>
    </row>
    <row r="663" spans="1:3" ht="13" x14ac:dyDescent="0.15">
      <c r="A663" s="10"/>
      <c r="B663" s="13"/>
      <c r="C663" s="13"/>
    </row>
    <row r="664" spans="1:3" ht="13" x14ac:dyDescent="0.15">
      <c r="A664" s="10"/>
      <c r="B664" s="13"/>
      <c r="C664" s="13"/>
    </row>
    <row r="665" spans="1:3" ht="13" x14ac:dyDescent="0.15">
      <c r="A665" s="10"/>
      <c r="B665" s="13"/>
      <c r="C665" s="13"/>
    </row>
    <row r="666" spans="1:3" ht="13" x14ac:dyDescent="0.15">
      <c r="A666" s="10"/>
      <c r="B666" s="13"/>
      <c r="C666" s="13"/>
    </row>
    <row r="667" spans="1:3" ht="13" x14ac:dyDescent="0.15">
      <c r="A667" s="10"/>
      <c r="B667" s="13"/>
      <c r="C667" s="13"/>
    </row>
    <row r="668" spans="1:3" ht="13" x14ac:dyDescent="0.15">
      <c r="A668" s="10"/>
      <c r="B668" s="13"/>
      <c r="C668" s="13"/>
    </row>
    <row r="669" spans="1:3" ht="13" x14ac:dyDescent="0.15">
      <c r="A669" s="10"/>
      <c r="B669" s="13"/>
      <c r="C669" s="13"/>
    </row>
    <row r="670" spans="1:3" ht="13" x14ac:dyDescent="0.15">
      <c r="A670" s="10"/>
      <c r="B670" s="13"/>
      <c r="C670" s="13"/>
    </row>
    <row r="671" spans="1:3" ht="13" x14ac:dyDescent="0.15">
      <c r="A671" s="10"/>
      <c r="B671" s="13"/>
      <c r="C671" s="13"/>
    </row>
    <row r="672" spans="1:3" ht="13" x14ac:dyDescent="0.15">
      <c r="A672" s="10"/>
      <c r="B672" s="13"/>
      <c r="C672" s="13"/>
    </row>
    <row r="673" spans="1:3" ht="13" x14ac:dyDescent="0.15">
      <c r="A673" s="10"/>
      <c r="B673" s="13"/>
      <c r="C673" s="13"/>
    </row>
    <row r="674" spans="1:3" ht="13" x14ac:dyDescent="0.15">
      <c r="A674" s="10"/>
      <c r="B674" s="13"/>
      <c r="C674" s="13"/>
    </row>
    <row r="675" spans="1:3" ht="13" x14ac:dyDescent="0.15">
      <c r="A675" s="10"/>
      <c r="B675" s="13"/>
      <c r="C675" s="13"/>
    </row>
    <row r="676" spans="1:3" ht="13" x14ac:dyDescent="0.15">
      <c r="A676" s="10"/>
      <c r="B676" s="13"/>
      <c r="C676" s="13"/>
    </row>
    <row r="677" spans="1:3" ht="13" x14ac:dyDescent="0.15">
      <c r="A677" s="10"/>
      <c r="B677" s="13"/>
      <c r="C677" s="13"/>
    </row>
    <row r="678" spans="1:3" ht="13" x14ac:dyDescent="0.15">
      <c r="A678" s="10"/>
      <c r="B678" s="13"/>
      <c r="C678" s="13"/>
    </row>
    <row r="679" spans="1:3" ht="13" x14ac:dyDescent="0.15">
      <c r="A679" s="10"/>
      <c r="B679" s="13"/>
      <c r="C679" s="13"/>
    </row>
    <row r="680" spans="1:3" ht="13" x14ac:dyDescent="0.15">
      <c r="A680" s="10"/>
      <c r="B680" s="13"/>
      <c r="C680" s="13"/>
    </row>
    <row r="681" spans="1:3" ht="13" x14ac:dyDescent="0.15">
      <c r="A681" s="10"/>
      <c r="B681" s="13"/>
      <c r="C681" s="13"/>
    </row>
    <row r="682" spans="1:3" ht="13" x14ac:dyDescent="0.15">
      <c r="A682" s="10"/>
      <c r="B682" s="13"/>
      <c r="C682" s="13"/>
    </row>
    <row r="683" spans="1:3" ht="13" x14ac:dyDescent="0.15">
      <c r="A683" s="10"/>
      <c r="B683" s="13"/>
      <c r="C683" s="13"/>
    </row>
    <row r="684" spans="1:3" ht="13" x14ac:dyDescent="0.15">
      <c r="A684" s="10"/>
      <c r="B684" s="13"/>
      <c r="C684" s="13"/>
    </row>
    <row r="685" spans="1:3" ht="13" x14ac:dyDescent="0.15">
      <c r="A685" s="10"/>
      <c r="B685" s="13"/>
      <c r="C685" s="13"/>
    </row>
    <row r="686" spans="1:3" ht="13" x14ac:dyDescent="0.15">
      <c r="A686" s="10"/>
      <c r="B686" s="13"/>
      <c r="C686" s="13"/>
    </row>
    <row r="687" spans="1:3" ht="13" x14ac:dyDescent="0.15">
      <c r="A687" s="10"/>
      <c r="B687" s="13"/>
      <c r="C687" s="13"/>
    </row>
    <row r="688" spans="1:3" ht="13" x14ac:dyDescent="0.15">
      <c r="A688" s="10"/>
      <c r="B688" s="13"/>
      <c r="C688" s="13"/>
    </row>
    <row r="689" spans="1:3" ht="13" x14ac:dyDescent="0.15">
      <c r="A689" s="10"/>
      <c r="B689" s="13"/>
      <c r="C689" s="13"/>
    </row>
    <row r="690" spans="1:3" ht="13" x14ac:dyDescent="0.15">
      <c r="A690" s="10"/>
      <c r="B690" s="13"/>
      <c r="C690" s="13"/>
    </row>
    <row r="691" spans="1:3" ht="13" x14ac:dyDescent="0.15">
      <c r="A691" s="10"/>
      <c r="B691" s="13"/>
      <c r="C691" s="13"/>
    </row>
    <row r="692" spans="1:3" ht="13" x14ac:dyDescent="0.15">
      <c r="A692" s="10"/>
      <c r="B692" s="13"/>
      <c r="C692" s="13"/>
    </row>
    <row r="693" spans="1:3" ht="13" x14ac:dyDescent="0.15">
      <c r="A693" s="10"/>
      <c r="B693" s="13"/>
      <c r="C693" s="13"/>
    </row>
    <row r="694" spans="1:3" ht="13" x14ac:dyDescent="0.15">
      <c r="A694" s="10"/>
      <c r="B694" s="13"/>
      <c r="C694" s="13"/>
    </row>
    <row r="695" spans="1:3" ht="13" x14ac:dyDescent="0.15">
      <c r="A695" s="10"/>
      <c r="B695" s="13"/>
      <c r="C695" s="13"/>
    </row>
    <row r="696" spans="1:3" ht="13" x14ac:dyDescent="0.15">
      <c r="A696" s="10"/>
      <c r="B696" s="13"/>
      <c r="C696" s="13"/>
    </row>
    <row r="697" spans="1:3" ht="13" x14ac:dyDescent="0.15">
      <c r="A697" s="10"/>
      <c r="B697" s="13"/>
      <c r="C697" s="13"/>
    </row>
    <row r="698" spans="1:3" ht="13" x14ac:dyDescent="0.15">
      <c r="A698" s="10"/>
      <c r="B698" s="13"/>
      <c r="C698" s="13"/>
    </row>
    <row r="699" spans="1:3" ht="13" x14ac:dyDescent="0.15">
      <c r="A699" s="10"/>
      <c r="B699" s="13"/>
      <c r="C699" s="13"/>
    </row>
    <row r="700" spans="1:3" ht="13" x14ac:dyDescent="0.15">
      <c r="A700" s="10"/>
      <c r="B700" s="13"/>
      <c r="C700" s="13"/>
    </row>
    <row r="701" spans="1:3" ht="13" x14ac:dyDescent="0.15">
      <c r="A701" s="10"/>
      <c r="B701" s="13"/>
      <c r="C701" s="13"/>
    </row>
    <row r="702" spans="1:3" ht="13" x14ac:dyDescent="0.15">
      <c r="A702" s="10"/>
      <c r="B702" s="13"/>
      <c r="C702" s="13"/>
    </row>
    <row r="703" spans="1:3" ht="13" x14ac:dyDescent="0.15">
      <c r="A703" s="10"/>
      <c r="B703" s="13"/>
      <c r="C703" s="13"/>
    </row>
    <row r="704" spans="1:3" ht="13" x14ac:dyDescent="0.15">
      <c r="A704" s="10"/>
      <c r="B704" s="13"/>
      <c r="C704" s="13"/>
    </row>
    <row r="705" spans="1:3" ht="13" x14ac:dyDescent="0.15">
      <c r="A705" s="10"/>
      <c r="B705" s="13"/>
      <c r="C705" s="13"/>
    </row>
    <row r="706" spans="1:3" ht="13" x14ac:dyDescent="0.15">
      <c r="A706" s="10"/>
      <c r="B706" s="13"/>
      <c r="C706" s="13"/>
    </row>
    <row r="707" spans="1:3" ht="13" x14ac:dyDescent="0.15">
      <c r="A707" s="10"/>
      <c r="B707" s="13"/>
      <c r="C707" s="13"/>
    </row>
    <row r="708" spans="1:3" ht="13" x14ac:dyDescent="0.15">
      <c r="A708" s="10"/>
      <c r="B708" s="13"/>
      <c r="C708" s="13"/>
    </row>
    <row r="709" spans="1:3" ht="13" x14ac:dyDescent="0.15">
      <c r="A709" s="10"/>
      <c r="B709" s="13"/>
      <c r="C709" s="13"/>
    </row>
    <row r="710" spans="1:3" ht="13" x14ac:dyDescent="0.15">
      <c r="A710" s="10"/>
      <c r="B710" s="13"/>
      <c r="C710" s="13"/>
    </row>
    <row r="711" spans="1:3" ht="13" x14ac:dyDescent="0.15">
      <c r="A711" s="10"/>
      <c r="B711" s="13"/>
      <c r="C711" s="13"/>
    </row>
    <row r="712" spans="1:3" ht="13" x14ac:dyDescent="0.15">
      <c r="A712" s="10"/>
      <c r="B712" s="13"/>
      <c r="C712" s="13"/>
    </row>
    <row r="713" spans="1:3" ht="13" x14ac:dyDescent="0.15">
      <c r="A713" s="10"/>
      <c r="B713" s="13"/>
      <c r="C713" s="13"/>
    </row>
    <row r="714" spans="1:3" ht="13" x14ac:dyDescent="0.15">
      <c r="A714" s="10"/>
      <c r="B714" s="13"/>
      <c r="C714" s="13"/>
    </row>
    <row r="715" spans="1:3" ht="13" x14ac:dyDescent="0.15">
      <c r="A715" s="10"/>
      <c r="B715" s="13"/>
      <c r="C715" s="13"/>
    </row>
    <row r="716" spans="1:3" ht="13" x14ac:dyDescent="0.15">
      <c r="A716" s="10"/>
      <c r="B716" s="13"/>
      <c r="C716" s="13"/>
    </row>
    <row r="717" spans="1:3" ht="13" x14ac:dyDescent="0.15">
      <c r="A717" s="10"/>
      <c r="B717" s="13"/>
      <c r="C717" s="13"/>
    </row>
    <row r="718" spans="1:3" ht="13" x14ac:dyDescent="0.15">
      <c r="A718" s="10"/>
      <c r="B718" s="13"/>
      <c r="C718" s="13"/>
    </row>
    <row r="719" spans="1:3" ht="13" x14ac:dyDescent="0.15">
      <c r="A719" s="10"/>
      <c r="B719" s="13"/>
      <c r="C719" s="13"/>
    </row>
    <row r="720" spans="1:3" ht="13" x14ac:dyDescent="0.15">
      <c r="A720" s="10"/>
      <c r="B720" s="13"/>
      <c r="C720" s="13"/>
    </row>
    <row r="721" spans="1:3" ht="13" x14ac:dyDescent="0.15">
      <c r="A721" s="10"/>
      <c r="B721" s="13"/>
      <c r="C721" s="13"/>
    </row>
    <row r="722" spans="1:3" ht="13" x14ac:dyDescent="0.15">
      <c r="A722" s="10"/>
      <c r="B722" s="13"/>
      <c r="C722" s="13"/>
    </row>
    <row r="723" spans="1:3" ht="13" x14ac:dyDescent="0.15">
      <c r="A723" s="10"/>
      <c r="B723" s="13"/>
      <c r="C723" s="13"/>
    </row>
    <row r="724" spans="1:3" ht="13" x14ac:dyDescent="0.15">
      <c r="A724" s="10"/>
      <c r="B724" s="13"/>
      <c r="C724" s="13"/>
    </row>
    <row r="725" spans="1:3" ht="13" x14ac:dyDescent="0.15">
      <c r="A725" s="10"/>
      <c r="B725" s="13"/>
      <c r="C725" s="13"/>
    </row>
    <row r="726" spans="1:3" ht="13" x14ac:dyDescent="0.15">
      <c r="A726" s="10"/>
      <c r="B726" s="13"/>
      <c r="C726" s="13"/>
    </row>
    <row r="727" spans="1:3" ht="13" x14ac:dyDescent="0.15">
      <c r="A727" s="10"/>
      <c r="B727" s="13"/>
      <c r="C727" s="13"/>
    </row>
    <row r="728" spans="1:3" ht="13" x14ac:dyDescent="0.15">
      <c r="A728" s="10"/>
      <c r="B728" s="13"/>
      <c r="C728" s="13"/>
    </row>
    <row r="729" spans="1:3" ht="13" x14ac:dyDescent="0.15">
      <c r="A729" s="10"/>
      <c r="B729" s="13"/>
      <c r="C729" s="13"/>
    </row>
    <row r="730" spans="1:3" ht="13" x14ac:dyDescent="0.15">
      <c r="A730" s="10"/>
      <c r="B730" s="13"/>
      <c r="C730" s="13"/>
    </row>
    <row r="731" spans="1:3" ht="13" x14ac:dyDescent="0.15">
      <c r="A731" s="10"/>
      <c r="B731" s="13"/>
      <c r="C731" s="13"/>
    </row>
    <row r="732" spans="1:3" ht="13" x14ac:dyDescent="0.15">
      <c r="A732" s="10"/>
      <c r="B732" s="13"/>
      <c r="C732" s="13"/>
    </row>
    <row r="733" spans="1:3" ht="13" x14ac:dyDescent="0.15">
      <c r="A733" s="10"/>
      <c r="B733" s="13"/>
      <c r="C733" s="13"/>
    </row>
    <row r="734" spans="1:3" ht="13" x14ac:dyDescent="0.15">
      <c r="A734" s="10"/>
      <c r="B734" s="13"/>
      <c r="C734" s="13"/>
    </row>
    <row r="735" spans="1:3" ht="13" x14ac:dyDescent="0.15">
      <c r="A735" s="10"/>
      <c r="B735" s="13"/>
      <c r="C735" s="13"/>
    </row>
    <row r="736" spans="1:3" ht="13" x14ac:dyDescent="0.15">
      <c r="A736" s="10"/>
      <c r="B736" s="13"/>
      <c r="C736" s="13"/>
    </row>
    <row r="737" spans="1:3" ht="13" x14ac:dyDescent="0.15">
      <c r="A737" s="10"/>
      <c r="B737" s="13"/>
      <c r="C737" s="13"/>
    </row>
    <row r="738" spans="1:3" ht="13" x14ac:dyDescent="0.15">
      <c r="A738" s="10"/>
      <c r="B738" s="13"/>
      <c r="C738" s="13"/>
    </row>
    <row r="739" spans="1:3" ht="13" x14ac:dyDescent="0.15">
      <c r="A739" s="10"/>
      <c r="B739" s="13"/>
      <c r="C739" s="13"/>
    </row>
    <row r="740" spans="1:3" ht="13" x14ac:dyDescent="0.15">
      <c r="A740" s="10"/>
      <c r="B740" s="13"/>
      <c r="C740" s="13"/>
    </row>
    <row r="741" spans="1:3" ht="13" x14ac:dyDescent="0.15">
      <c r="A741" s="10"/>
      <c r="B741" s="13"/>
      <c r="C741" s="13"/>
    </row>
    <row r="742" spans="1:3" ht="13" x14ac:dyDescent="0.15">
      <c r="A742" s="10"/>
      <c r="B742" s="13"/>
      <c r="C742" s="13"/>
    </row>
    <row r="743" spans="1:3" ht="13" x14ac:dyDescent="0.15">
      <c r="A743" s="10"/>
      <c r="B743" s="13"/>
      <c r="C743" s="13"/>
    </row>
    <row r="744" spans="1:3" ht="13" x14ac:dyDescent="0.15">
      <c r="A744" s="10"/>
      <c r="B744" s="13"/>
      <c r="C744" s="13"/>
    </row>
    <row r="745" spans="1:3" ht="13" x14ac:dyDescent="0.15">
      <c r="A745" s="10"/>
      <c r="B745" s="13"/>
      <c r="C745" s="13"/>
    </row>
    <row r="746" spans="1:3" ht="13" x14ac:dyDescent="0.15">
      <c r="A746" s="10"/>
      <c r="B746" s="13"/>
      <c r="C746" s="13"/>
    </row>
    <row r="747" spans="1:3" ht="13" x14ac:dyDescent="0.15">
      <c r="A747" s="10"/>
      <c r="B747" s="13"/>
      <c r="C747" s="13"/>
    </row>
    <row r="748" spans="1:3" ht="13" x14ac:dyDescent="0.15">
      <c r="A748" s="10"/>
      <c r="B748" s="13"/>
      <c r="C748" s="13"/>
    </row>
    <row r="749" spans="1:3" ht="13" x14ac:dyDescent="0.15">
      <c r="A749" s="10"/>
      <c r="B749" s="13"/>
      <c r="C749" s="13"/>
    </row>
    <row r="750" spans="1:3" ht="13" x14ac:dyDescent="0.15">
      <c r="A750" s="10"/>
      <c r="B750" s="13"/>
      <c r="C750" s="13"/>
    </row>
    <row r="751" spans="1:3" ht="13" x14ac:dyDescent="0.15">
      <c r="A751" s="10"/>
      <c r="B751" s="13"/>
      <c r="C751" s="13"/>
    </row>
    <row r="752" spans="1:3" ht="13" x14ac:dyDescent="0.15">
      <c r="A752" s="10"/>
      <c r="B752" s="13"/>
      <c r="C752" s="13"/>
    </row>
    <row r="753" spans="1:3" ht="13" x14ac:dyDescent="0.15">
      <c r="A753" s="10"/>
      <c r="B753" s="13"/>
      <c r="C753" s="13"/>
    </row>
    <row r="754" spans="1:3" ht="13" x14ac:dyDescent="0.15">
      <c r="A754" s="10"/>
      <c r="B754" s="13"/>
      <c r="C754" s="13"/>
    </row>
    <row r="755" spans="1:3" ht="13" x14ac:dyDescent="0.15">
      <c r="A755" s="10"/>
      <c r="B755" s="13"/>
      <c r="C755" s="13"/>
    </row>
    <row r="756" spans="1:3" ht="13" x14ac:dyDescent="0.15">
      <c r="A756" s="10"/>
      <c r="B756" s="13"/>
      <c r="C756" s="13"/>
    </row>
    <row r="757" spans="1:3" ht="13" x14ac:dyDescent="0.15">
      <c r="A757" s="10"/>
      <c r="B757" s="13"/>
      <c r="C757" s="13"/>
    </row>
    <row r="758" spans="1:3" ht="13" x14ac:dyDescent="0.15">
      <c r="A758" s="10"/>
      <c r="B758" s="13"/>
      <c r="C758" s="13"/>
    </row>
    <row r="759" spans="1:3" ht="13" x14ac:dyDescent="0.15">
      <c r="A759" s="10"/>
      <c r="B759" s="13"/>
      <c r="C759" s="13"/>
    </row>
    <row r="760" spans="1:3" ht="13" x14ac:dyDescent="0.15">
      <c r="A760" s="10"/>
      <c r="B760" s="13"/>
      <c r="C760" s="13"/>
    </row>
    <row r="761" spans="1:3" ht="13" x14ac:dyDescent="0.15">
      <c r="A761" s="10"/>
      <c r="B761" s="13"/>
      <c r="C761" s="13"/>
    </row>
    <row r="762" spans="1:3" ht="13" x14ac:dyDescent="0.15">
      <c r="A762" s="10"/>
      <c r="B762" s="13"/>
      <c r="C762" s="13"/>
    </row>
    <row r="763" spans="1:3" ht="13" x14ac:dyDescent="0.15">
      <c r="A763" s="10"/>
      <c r="B763" s="13"/>
      <c r="C763" s="13"/>
    </row>
    <row r="764" spans="1:3" ht="13" x14ac:dyDescent="0.15">
      <c r="A764" s="10"/>
      <c r="B764" s="13"/>
      <c r="C764" s="13"/>
    </row>
    <row r="765" spans="1:3" ht="13" x14ac:dyDescent="0.15">
      <c r="A765" s="10"/>
      <c r="B765" s="13"/>
      <c r="C765" s="13"/>
    </row>
    <row r="766" spans="1:3" ht="13" x14ac:dyDescent="0.15">
      <c r="A766" s="10"/>
      <c r="B766" s="13"/>
      <c r="C766" s="13"/>
    </row>
    <row r="767" spans="1:3" ht="13" x14ac:dyDescent="0.15">
      <c r="A767" s="10"/>
      <c r="B767" s="13"/>
      <c r="C767" s="13"/>
    </row>
    <row r="768" spans="1:3" ht="13" x14ac:dyDescent="0.15">
      <c r="A768" s="10"/>
      <c r="B768" s="13"/>
      <c r="C768" s="13"/>
    </row>
    <row r="769" spans="1:3" ht="13" x14ac:dyDescent="0.15">
      <c r="A769" s="10"/>
      <c r="B769" s="13"/>
      <c r="C769" s="13"/>
    </row>
    <row r="770" spans="1:3" ht="13" x14ac:dyDescent="0.15">
      <c r="A770" s="10"/>
      <c r="B770" s="13"/>
      <c r="C770" s="13"/>
    </row>
    <row r="771" spans="1:3" ht="13" x14ac:dyDescent="0.15">
      <c r="A771" s="10"/>
      <c r="B771" s="13"/>
      <c r="C771" s="13"/>
    </row>
    <row r="772" spans="1:3" ht="13" x14ac:dyDescent="0.15">
      <c r="A772" s="10"/>
      <c r="B772" s="13"/>
      <c r="C772" s="13"/>
    </row>
    <row r="773" spans="1:3" ht="13" x14ac:dyDescent="0.15">
      <c r="A773" s="10"/>
      <c r="B773" s="13"/>
      <c r="C773" s="13"/>
    </row>
    <row r="774" spans="1:3" ht="13" x14ac:dyDescent="0.15">
      <c r="A774" s="10"/>
      <c r="B774" s="13"/>
      <c r="C774" s="13"/>
    </row>
    <row r="775" spans="1:3" ht="13" x14ac:dyDescent="0.15">
      <c r="A775" s="10"/>
      <c r="B775" s="13"/>
      <c r="C775" s="13"/>
    </row>
    <row r="776" spans="1:3" ht="13" x14ac:dyDescent="0.15">
      <c r="A776" s="10"/>
      <c r="B776" s="13"/>
      <c r="C776" s="13"/>
    </row>
    <row r="777" spans="1:3" ht="13" x14ac:dyDescent="0.15">
      <c r="A777" s="10"/>
      <c r="B777" s="13"/>
      <c r="C777" s="13"/>
    </row>
    <row r="778" spans="1:3" ht="13" x14ac:dyDescent="0.15">
      <c r="A778" s="10"/>
      <c r="B778" s="13"/>
      <c r="C778" s="13"/>
    </row>
    <row r="779" spans="1:3" ht="13" x14ac:dyDescent="0.15">
      <c r="A779" s="10"/>
      <c r="B779" s="13"/>
      <c r="C779" s="13"/>
    </row>
    <row r="780" spans="1:3" ht="13" x14ac:dyDescent="0.15">
      <c r="A780" s="10"/>
      <c r="B780" s="13"/>
      <c r="C780" s="13"/>
    </row>
    <row r="781" spans="1:3" ht="13" x14ac:dyDescent="0.15">
      <c r="A781" s="10"/>
      <c r="B781" s="13"/>
      <c r="C781" s="13"/>
    </row>
    <row r="782" spans="1:3" ht="13" x14ac:dyDescent="0.15">
      <c r="A782" s="10"/>
      <c r="B782" s="13"/>
      <c r="C782" s="13"/>
    </row>
    <row r="783" spans="1:3" ht="13" x14ac:dyDescent="0.15">
      <c r="A783" s="10"/>
      <c r="B783" s="13"/>
      <c r="C783" s="13"/>
    </row>
    <row r="784" spans="1:3" ht="13" x14ac:dyDescent="0.15">
      <c r="A784" s="10"/>
      <c r="B784" s="13"/>
      <c r="C784" s="13"/>
    </row>
    <row r="785" spans="1:3" ht="13" x14ac:dyDescent="0.15">
      <c r="A785" s="10"/>
      <c r="B785" s="13"/>
      <c r="C785" s="13"/>
    </row>
    <row r="786" spans="1:3" ht="13" x14ac:dyDescent="0.15">
      <c r="A786" s="10"/>
      <c r="B786" s="13"/>
      <c r="C786" s="13"/>
    </row>
    <row r="787" spans="1:3" ht="13" x14ac:dyDescent="0.15">
      <c r="A787" s="10"/>
      <c r="B787" s="13"/>
      <c r="C787" s="13"/>
    </row>
    <row r="788" spans="1:3" ht="13" x14ac:dyDescent="0.15">
      <c r="A788" s="10"/>
      <c r="B788" s="13"/>
      <c r="C788" s="13"/>
    </row>
    <row r="789" spans="1:3" ht="13" x14ac:dyDescent="0.15">
      <c r="A789" s="10"/>
      <c r="B789" s="13"/>
      <c r="C789" s="13"/>
    </row>
    <row r="790" spans="1:3" ht="13" x14ac:dyDescent="0.15">
      <c r="A790" s="10"/>
      <c r="B790" s="13"/>
      <c r="C790" s="13"/>
    </row>
    <row r="791" spans="1:3" ht="13" x14ac:dyDescent="0.15">
      <c r="A791" s="10"/>
      <c r="B791" s="13"/>
      <c r="C791" s="13"/>
    </row>
    <row r="792" spans="1:3" ht="13" x14ac:dyDescent="0.15">
      <c r="A792" s="10"/>
      <c r="B792" s="13"/>
      <c r="C792" s="13"/>
    </row>
    <row r="793" spans="1:3" ht="13" x14ac:dyDescent="0.15">
      <c r="A793" s="10"/>
      <c r="B793" s="13"/>
      <c r="C793" s="13"/>
    </row>
    <row r="794" spans="1:3" ht="13" x14ac:dyDescent="0.15">
      <c r="A794" s="10"/>
      <c r="B794" s="13"/>
      <c r="C794" s="13"/>
    </row>
    <row r="795" spans="1:3" ht="13" x14ac:dyDescent="0.15">
      <c r="A795" s="10"/>
      <c r="B795" s="13"/>
      <c r="C795" s="13"/>
    </row>
    <row r="796" spans="1:3" ht="13" x14ac:dyDescent="0.15">
      <c r="A796" s="10"/>
      <c r="B796" s="13"/>
      <c r="C796" s="13"/>
    </row>
    <row r="797" spans="1:3" ht="13" x14ac:dyDescent="0.15">
      <c r="A797" s="10"/>
      <c r="B797" s="13"/>
      <c r="C797" s="13"/>
    </row>
    <row r="798" spans="1:3" ht="13" x14ac:dyDescent="0.15">
      <c r="A798" s="10"/>
      <c r="B798" s="13"/>
      <c r="C798" s="13"/>
    </row>
    <row r="799" spans="1:3" ht="13" x14ac:dyDescent="0.15">
      <c r="A799" s="10"/>
      <c r="B799" s="13"/>
      <c r="C799" s="13"/>
    </row>
    <row r="800" spans="1:3" ht="13" x14ac:dyDescent="0.15">
      <c r="A800" s="10"/>
      <c r="B800" s="13"/>
      <c r="C800" s="13"/>
    </row>
    <row r="801" spans="1:3" ht="13" x14ac:dyDescent="0.15">
      <c r="A801" s="10"/>
      <c r="B801" s="13"/>
      <c r="C801" s="13"/>
    </row>
    <row r="802" spans="1:3" ht="13" x14ac:dyDescent="0.15">
      <c r="A802" s="10"/>
      <c r="B802" s="13"/>
      <c r="C802" s="13"/>
    </row>
    <row r="803" spans="1:3" ht="13" x14ac:dyDescent="0.15">
      <c r="A803" s="10"/>
      <c r="B803" s="13"/>
      <c r="C803" s="13"/>
    </row>
    <row r="804" spans="1:3" ht="13" x14ac:dyDescent="0.15">
      <c r="A804" s="10"/>
      <c r="B804" s="13"/>
      <c r="C804" s="13"/>
    </row>
    <row r="805" spans="1:3" ht="13" x14ac:dyDescent="0.15">
      <c r="A805" s="10"/>
      <c r="B805" s="13"/>
      <c r="C805" s="13"/>
    </row>
    <row r="806" spans="1:3" ht="13" x14ac:dyDescent="0.15">
      <c r="A806" s="10"/>
      <c r="B806" s="13"/>
      <c r="C806" s="13"/>
    </row>
    <row r="807" spans="1:3" ht="13" x14ac:dyDescent="0.15">
      <c r="A807" s="10"/>
      <c r="B807" s="13"/>
      <c r="C807" s="13"/>
    </row>
    <row r="808" spans="1:3" ht="13" x14ac:dyDescent="0.15">
      <c r="A808" s="10"/>
      <c r="B808" s="13"/>
      <c r="C808" s="13"/>
    </row>
    <row r="809" spans="1:3" ht="13" x14ac:dyDescent="0.15">
      <c r="A809" s="10"/>
      <c r="B809" s="13"/>
      <c r="C809" s="13"/>
    </row>
    <row r="810" spans="1:3" ht="13" x14ac:dyDescent="0.15">
      <c r="A810" s="10"/>
      <c r="B810" s="13"/>
      <c r="C810" s="13"/>
    </row>
    <row r="811" spans="1:3" ht="13" x14ac:dyDescent="0.15">
      <c r="A811" s="10"/>
      <c r="B811" s="13"/>
      <c r="C811" s="13"/>
    </row>
    <row r="812" spans="1:3" ht="13" x14ac:dyDescent="0.15">
      <c r="A812" s="10"/>
      <c r="B812" s="13"/>
      <c r="C812" s="13"/>
    </row>
    <row r="813" spans="1:3" ht="13" x14ac:dyDescent="0.15">
      <c r="A813" s="10"/>
      <c r="B813" s="13"/>
      <c r="C813" s="13"/>
    </row>
    <row r="814" spans="1:3" ht="13" x14ac:dyDescent="0.15">
      <c r="A814" s="10"/>
      <c r="B814" s="13"/>
      <c r="C814" s="13"/>
    </row>
    <row r="815" spans="1:3" ht="13" x14ac:dyDescent="0.15">
      <c r="A815" s="10"/>
      <c r="B815" s="13"/>
      <c r="C815" s="13"/>
    </row>
    <row r="816" spans="1:3" ht="13" x14ac:dyDescent="0.15">
      <c r="A816" s="10"/>
      <c r="B816" s="13"/>
      <c r="C816" s="13"/>
    </row>
    <row r="817" spans="1:3" ht="13" x14ac:dyDescent="0.15">
      <c r="A817" s="10"/>
      <c r="B817" s="13"/>
      <c r="C817" s="13"/>
    </row>
    <row r="818" spans="1:3" ht="13" x14ac:dyDescent="0.15">
      <c r="A818" s="10"/>
      <c r="B818" s="13"/>
      <c r="C818" s="13"/>
    </row>
    <row r="819" spans="1:3" ht="13" x14ac:dyDescent="0.15">
      <c r="A819" s="10"/>
      <c r="B819" s="13"/>
      <c r="C819" s="13"/>
    </row>
    <row r="820" spans="1:3" ht="13" x14ac:dyDescent="0.15">
      <c r="A820" s="10"/>
      <c r="B820" s="13"/>
      <c r="C820" s="13"/>
    </row>
    <row r="821" spans="1:3" ht="13" x14ac:dyDescent="0.15">
      <c r="A821" s="10"/>
      <c r="B821" s="13"/>
      <c r="C821" s="13"/>
    </row>
    <row r="822" spans="1:3" ht="13" x14ac:dyDescent="0.15">
      <c r="A822" s="10"/>
      <c r="B822" s="13"/>
      <c r="C822" s="13"/>
    </row>
    <row r="823" spans="1:3" ht="13" x14ac:dyDescent="0.15">
      <c r="A823" s="10"/>
      <c r="B823" s="13"/>
      <c r="C823" s="13"/>
    </row>
    <row r="824" spans="1:3" ht="13" x14ac:dyDescent="0.15">
      <c r="A824" s="10"/>
      <c r="B824" s="13"/>
      <c r="C824" s="13"/>
    </row>
    <row r="825" spans="1:3" ht="13" x14ac:dyDescent="0.15">
      <c r="A825" s="10"/>
      <c r="B825" s="13"/>
      <c r="C825" s="13"/>
    </row>
    <row r="826" spans="1:3" ht="13" x14ac:dyDescent="0.15">
      <c r="A826" s="10"/>
      <c r="B826" s="13"/>
      <c r="C826" s="13"/>
    </row>
    <row r="827" spans="1:3" ht="13" x14ac:dyDescent="0.15">
      <c r="A827" s="10"/>
      <c r="B827" s="13"/>
      <c r="C827" s="13"/>
    </row>
    <row r="828" spans="1:3" ht="13" x14ac:dyDescent="0.15">
      <c r="A828" s="10"/>
      <c r="B828" s="13"/>
      <c r="C828" s="13"/>
    </row>
    <row r="829" spans="1:3" ht="13" x14ac:dyDescent="0.15">
      <c r="A829" s="10"/>
      <c r="B829" s="13"/>
      <c r="C829" s="13"/>
    </row>
    <row r="830" spans="1:3" ht="13" x14ac:dyDescent="0.15">
      <c r="A830" s="10"/>
      <c r="B830" s="13"/>
      <c r="C830" s="13"/>
    </row>
    <row r="831" spans="1:3" ht="13" x14ac:dyDescent="0.15">
      <c r="A831" s="10"/>
      <c r="B831" s="13"/>
      <c r="C831" s="13"/>
    </row>
    <row r="832" spans="1:3" ht="13" x14ac:dyDescent="0.15">
      <c r="A832" s="10"/>
      <c r="B832" s="13"/>
      <c r="C832" s="13"/>
    </row>
    <row r="833" spans="1:3" ht="13" x14ac:dyDescent="0.15">
      <c r="A833" s="10"/>
      <c r="B833" s="13"/>
      <c r="C833" s="13"/>
    </row>
    <row r="834" spans="1:3" ht="13" x14ac:dyDescent="0.15">
      <c r="A834" s="10"/>
      <c r="B834" s="13"/>
      <c r="C834" s="13"/>
    </row>
    <row r="835" spans="1:3" ht="13" x14ac:dyDescent="0.15">
      <c r="A835" s="10"/>
      <c r="B835" s="13"/>
      <c r="C835" s="13"/>
    </row>
    <row r="836" spans="1:3" ht="13" x14ac:dyDescent="0.15">
      <c r="A836" s="10"/>
      <c r="B836" s="13"/>
      <c r="C836" s="13"/>
    </row>
    <row r="837" spans="1:3" ht="13" x14ac:dyDescent="0.15">
      <c r="A837" s="10"/>
      <c r="B837" s="13"/>
      <c r="C837" s="13"/>
    </row>
    <row r="838" spans="1:3" ht="13" x14ac:dyDescent="0.15">
      <c r="A838" s="10"/>
      <c r="B838" s="13"/>
      <c r="C838" s="13"/>
    </row>
    <row r="839" spans="1:3" ht="13" x14ac:dyDescent="0.15">
      <c r="A839" s="10"/>
      <c r="B839" s="13"/>
      <c r="C839" s="13"/>
    </row>
    <row r="840" spans="1:3" ht="13" x14ac:dyDescent="0.15">
      <c r="A840" s="10"/>
      <c r="B840" s="13"/>
      <c r="C840" s="13"/>
    </row>
    <row r="841" spans="1:3" ht="13" x14ac:dyDescent="0.15">
      <c r="A841" s="10"/>
      <c r="B841" s="13"/>
      <c r="C841" s="13"/>
    </row>
    <row r="842" spans="1:3" ht="13" x14ac:dyDescent="0.15">
      <c r="A842" s="10"/>
      <c r="B842" s="13"/>
      <c r="C842" s="13"/>
    </row>
    <row r="843" spans="1:3" ht="13" x14ac:dyDescent="0.15">
      <c r="A843" s="10"/>
      <c r="B843" s="13"/>
      <c r="C843" s="13"/>
    </row>
    <row r="844" spans="1:3" ht="13" x14ac:dyDescent="0.15">
      <c r="A844" s="10"/>
      <c r="B844" s="13"/>
      <c r="C844" s="13"/>
    </row>
    <row r="845" spans="1:3" ht="13" x14ac:dyDescent="0.15">
      <c r="A845" s="10"/>
      <c r="B845" s="13"/>
      <c r="C845" s="13"/>
    </row>
    <row r="846" spans="1:3" ht="13" x14ac:dyDescent="0.15">
      <c r="A846" s="10"/>
      <c r="B846" s="13"/>
      <c r="C846" s="13"/>
    </row>
    <row r="847" spans="1:3" ht="13" x14ac:dyDescent="0.15">
      <c r="A847" s="10"/>
      <c r="B847" s="13"/>
      <c r="C847" s="13"/>
    </row>
    <row r="848" spans="1:3" ht="13" x14ac:dyDescent="0.15">
      <c r="A848" s="10"/>
      <c r="B848" s="13"/>
      <c r="C848" s="13"/>
    </row>
    <row r="849" spans="1:3" ht="13" x14ac:dyDescent="0.15">
      <c r="A849" s="10"/>
      <c r="B849" s="13"/>
      <c r="C849" s="13"/>
    </row>
    <row r="850" spans="1:3" ht="13" x14ac:dyDescent="0.15">
      <c r="A850" s="10"/>
      <c r="B850" s="13"/>
      <c r="C850" s="13"/>
    </row>
    <row r="851" spans="1:3" ht="13" x14ac:dyDescent="0.15">
      <c r="A851" s="10"/>
      <c r="B851" s="13"/>
      <c r="C851" s="13"/>
    </row>
    <row r="852" spans="1:3" ht="13" x14ac:dyDescent="0.15">
      <c r="A852" s="10"/>
      <c r="B852" s="13"/>
      <c r="C852" s="13"/>
    </row>
    <row r="853" spans="1:3" ht="13" x14ac:dyDescent="0.15">
      <c r="A853" s="10"/>
      <c r="B853" s="13"/>
      <c r="C853" s="13"/>
    </row>
    <row r="854" spans="1:3" ht="13" x14ac:dyDescent="0.15">
      <c r="A854" s="10"/>
      <c r="B854" s="13"/>
      <c r="C854" s="13"/>
    </row>
    <row r="855" spans="1:3" ht="13" x14ac:dyDescent="0.15">
      <c r="A855" s="10"/>
      <c r="B855" s="13"/>
      <c r="C855" s="13"/>
    </row>
    <row r="856" spans="1:3" ht="13" x14ac:dyDescent="0.15">
      <c r="A856" s="10"/>
      <c r="B856" s="13"/>
      <c r="C856" s="13"/>
    </row>
    <row r="857" spans="1:3" ht="13" x14ac:dyDescent="0.15">
      <c r="A857" s="10"/>
      <c r="B857" s="13"/>
      <c r="C857" s="13"/>
    </row>
    <row r="858" spans="1:3" ht="13" x14ac:dyDescent="0.15">
      <c r="A858" s="10"/>
      <c r="B858" s="13"/>
      <c r="C858" s="13"/>
    </row>
    <row r="859" spans="1:3" ht="13" x14ac:dyDescent="0.15">
      <c r="A859" s="10"/>
      <c r="B859" s="13"/>
      <c r="C859" s="13"/>
    </row>
    <row r="860" spans="1:3" ht="13" x14ac:dyDescent="0.15">
      <c r="A860" s="10"/>
      <c r="B860" s="13"/>
      <c r="C860" s="13"/>
    </row>
    <row r="861" spans="1:3" ht="13" x14ac:dyDescent="0.15">
      <c r="A861" s="10"/>
      <c r="B861" s="13"/>
      <c r="C861" s="13"/>
    </row>
    <row r="862" spans="1:3" ht="13" x14ac:dyDescent="0.15">
      <c r="A862" s="10"/>
      <c r="B862" s="13"/>
      <c r="C862" s="13"/>
    </row>
    <row r="863" spans="1:3" ht="13" x14ac:dyDescent="0.15">
      <c r="A863" s="10"/>
      <c r="B863" s="13"/>
      <c r="C863" s="13"/>
    </row>
    <row r="864" spans="1:3" ht="13" x14ac:dyDescent="0.15">
      <c r="A864" s="10"/>
      <c r="B864" s="13"/>
      <c r="C864" s="13"/>
    </row>
    <row r="865" spans="1:3" ht="13" x14ac:dyDescent="0.15">
      <c r="A865" s="10"/>
      <c r="B865" s="13"/>
      <c r="C865" s="13"/>
    </row>
    <row r="866" spans="1:3" ht="13" x14ac:dyDescent="0.15">
      <c r="A866" s="10"/>
      <c r="B866" s="13"/>
      <c r="C866" s="13"/>
    </row>
    <row r="867" spans="1:3" ht="13" x14ac:dyDescent="0.15">
      <c r="A867" s="10"/>
      <c r="B867" s="13"/>
      <c r="C867" s="13"/>
    </row>
    <row r="868" spans="1:3" ht="13" x14ac:dyDescent="0.15">
      <c r="A868" s="10"/>
      <c r="B868" s="13"/>
      <c r="C868" s="13"/>
    </row>
    <row r="869" spans="1:3" ht="13" x14ac:dyDescent="0.15">
      <c r="A869" s="10"/>
      <c r="B869" s="13"/>
      <c r="C869" s="13"/>
    </row>
    <row r="870" spans="1:3" ht="13" x14ac:dyDescent="0.15">
      <c r="A870" s="10"/>
      <c r="B870" s="13"/>
      <c r="C870" s="13"/>
    </row>
    <row r="871" spans="1:3" ht="13" x14ac:dyDescent="0.15">
      <c r="A871" s="10"/>
      <c r="B871" s="13"/>
      <c r="C871" s="13"/>
    </row>
    <row r="872" spans="1:3" ht="13" x14ac:dyDescent="0.15">
      <c r="A872" s="10"/>
      <c r="B872" s="13"/>
      <c r="C872" s="13"/>
    </row>
    <row r="873" spans="1:3" ht="13" x14ac:dyDescent="0.15">
      <c r="A873" s="10"/>
      <c r="B873" s="13"/>
      <c r="C873" s="13"/>
    </row>
    <row r="874" spans="1:3" ht="13" x14ac:dyDescent="0.15">
      <c r="A874" s="10"/>
      <c r="B874" s="13"/>
      <c r="C874" s="13"/>
    </row>
    <row r="875" spans="1:3" ht="13" x14ac:dyDescent="0.15">
      <c r="A875" s="10"/>
      <c r="B875" s="13"/>
      <c r="C875" s="13"/>
    </row>
    <row r="876" spans="1:3" ht="13" x14ac:dyDescent="0.15">
      <c r="A876" s="10"/>
      <c r="B876" s="13"/>
      <c r="C876" s="13"/>
    </row>
    <row r="877" spans="1:3" ht="13" x14ac:dyDescent="0.15">
      <c r="A877" s="10"/>
      <c r="B877" s="13"/>
      <c r="C877" s="13"/>
    </row>
    <row r="878" spans="1:3" ht="13" x14ac:dyDescent="0.15">
      <c r="A878" s="10"/>
      <c r="B878" s="13"/>
      <c r="C878" s="13"/>
    </row>
    <row r="879" spans="1:3" ht="13" x14ac:dyDescent="0.15">
      <c r="A879" s="10"/>
      <c r="B879" s="13"/>
      <c r="C879" s="13"/>
    </row>
    <row r="880" spans="1:3" ht="13" x14ac:dyDescent="0.15">
      <c r="A880" s="10"/>
      <c r="B880" s="13"/>
      <c r="C880" s="13"/>
    </row>
    <row r="881" spans="1:3" ht="13" x14ac:dyDescent="0.15">
      <c r="A881" s="10"/>
      <c r="B881" s="13"/>
      <c r="C881" s="13"/>
    </row>
    <row r="882" spans="1:3" ht="13" x14ac:dyDescent="0.15">
      <c r="A882" s="10"/>
      <c r="B882" s="13"/>
      <c r="C882" s="13"/>
    </row>
    <row r="883" spans="1:3" ht="13" x14ac:dyDescent="0.15">
      <c r="A883" s="10"/>
      <c r="B883" s="13"/>
      <c r="C883" s="13"/>
    </row>
    <row r="884" spans="1:3" ht="13" x14ac:dyDescent="0.15">
      <c r="A884" s="10"/>
      <c r="B884" s="13"/>
      <c r="C884" s="13"/>
    </row>
    <row r="885" spans="1:3" ht="13" x14ac:dyDescent="0.15">
      <c r="A885" s="10"/>
      <c r="B885" s="13"/>
      <c r="C885" s="13"/>
    </row>
    <row r="886" spans="1:3" ht="13" x14ac:dyDescent="0.15">
      <c r="A886" s="10"/>
      <c r="B886" s="13"/>
      <c r="C886" s="13"/>
    </row>
    <row r="887" spans="1:3" ht="13" x14ac:dyDescent="0.15">
      <c r="A887" s="10"/>
      <c r="B887" s="13"/>
      <c r="C887" s="13"/>
    </row>
    <row r="888" spans="1:3" ht="13" x14ac:dyDescent="0.15">
      <c r="A888" s="10"/>
      <c r="B888" s="13"/>
      <c r="C888" s="13"/>
    </row>
    <row r="889" spans="1:3" ht="13" x14ac:dyDescent="0.15">
      <c r="A889" s="10"/>
      <c r="B889" s="13"/>
      <c r="C889" s="13"/>
    </row>
    <row r="890" spans="1:3" ht="13" x14ac:dyDescent="0.15">
      <c r="A890" s="10"/>
      <c r="B890" s="13"/>
      <c r="C890" s="13"/>
    </row>
    <row r="891" spans="1:3" ht="13" x14ac:dyDescent="0.15">
      <c r="A891" s="10"/>
      <c r="B891" s="13"/>
      <c r="C891" s="13"/>
    </row>
    <row r="892" spans="1:3" ht="13" x14ac:dyDescent="0.15">
      <c r="A892" s="10"/>
      <c r="B892" s="13"/>
      <c r="C892" s="13"/>
    </row>
    <row r="893" spans="1:3" ht="13" x14ac:dyDescent="0.15">
      <c r="A893" s="10"/>
      <c r="B893" s="13"/>
      <c r="C893" s="13"/>
    </row>
    <row r="894" spans="1:3" ht="13" x14ac:dyDescent="0.15">
      <c r="A894" s="10"/>
      <c r="B894" s="13"/>
      <c r="C894" s="13"/>
    </row>
    <row r="895" spans="1:3" ht="13" x14ac:dyDescent="0.15">
      <c r="A895" s="10"/>
      <c r="B895" s="13"/>
      <c r="C895" s="13"/>
    </row>
    <row r="896" spans="1:3" ht="13" x14ac:dyDescent="0.15">
      <c r="A896" s="10"/>
      <c r="B896" s="13"/>
      <c r="C896" s="13"/>
    </row>
    <row r="897" spans="1:3" ht="13" x14ac:dyDescent="0.15">
      <c r="A897" s="10"/>
      <c r="B897" s="13"/>
      <c r="C897" s="13"/>
    </row>
    <row r="898" spans="1:3" ht="13" x14ac:dyDescent="0.15">
      <c r="A898" s="10"/>
      <c r="B898" s="13"/>
      <c r="C898" s="13"/>
    </row>
    <row r="899" spans="1:3" ht="13" x14ac:dyDescent="0.15">
      <c r="A899" s="10"/>
      <c r="B899" s="13"/>
      <c r="C899" s="13"/>
    </row>
    <row r="900" spans="1:3" ht="13" x14ac:dyDescent="0.15">
      <c r="A900" s="10"/>
      <c r="B900" s="13"/>
      <c r="C900" s="13"/>
    </row>
    <row r="901" spans="1:3" ht="13" x14ac:dyDescent="0.15">
      <c r="A901" s="10"/>
      <c r="B901" s="13"/>
      <c r="C901" s="13"/>
    </row>
    <row r="902" spans="1:3" ht="13" x14ac:dyDescent="0.15">
      <c r="A902" s="10"/>
      <c r="B902" s="13"/>
      <c r="C902" s="13"/>
    </row>
    <row r="903" spans="1:3" ht="13" x14ac:dyDescent="0.15">
      <c r="A903" s="10"/>
      <c r="B903" s="13"/>
      <c r="C903" s="13"/>
    </row>
    <row r="904" spans="1:3" ht="13" x14ac:dyDescent="0.15">
      <c r="A904" s="10"/>
      <c r="B904" s="13"/>
      <c r="C904" s="13"/>
    </row>
    <row r="905" spans="1:3" ht="13" x14ac:dyDescent="0.15">
      <c r="A905" s="10"/>
      <c r="B905" s="13"/>
      <c r="C905" s="13"/>
    </row>
    <row r="906" spans="1:3" ht="13" x14ac:dyDescent="0.15">
      <c r="A906" s="10"/>
      <c r="B906" s="13"/>
      <c r="C906" s="13"/>
    </row>
    <row r="907" spans="1:3" ht="13" x14ac:dyDescent="0.15">
      <c r="A907" s="10"/>
      <c r="B907" s="13"/>
      <c r="C907" s="13"/>
    </row>
    <row r="908" spans="1:3" ht="13" x14ac:dyDescent="0.15">
      <c r="A908" s="10"/>
      <c r="B908" s="13"/>
      <c r="C908" s="13"/>
    </row>
    <row r="909" spans="1:3" ht="13" x14ac:dyDescent="0.15">
      <c r="A909" s="10"/>
      <c r="B909" s="13"/>
      <c r="C909" s="13"/>
    </row>
    <row r="910" spans="1:3" ht="13" x14ac:dyDescent="0.15">
      <c r="A910" s="10"/>
      <c r="B910" s="13"/>
      <c r="C910" s="13"/>
    </row>
    <row r="911" spans="1:3" ht="13" x14ac:dyDescent="0.15">
      <c r="A911" s="10"/>
      <c r="B911" s="13"/>
      <c r="C911" s="13"/>
    </row>
    <row r="912" spans="1:3" ht="13" x14ac:dyDescent="0.15">
      <c r="A912" s="10"/>
      <c r="B912" s="13"/>
      <c r="C912" s="13"/>
    </row>
    <row r="913" spans="1:3" ht="13" x14ac:dyDescent="0.15">
      <c r="A913" s="10"/>
      <c r="B913" s="13"/>
      <c r="C913" s="13"/>
    </row>
    <row r="914" spans="1:3" ht="13" x14ac:dyDescent="0.15">
      <c r="A914" s="10"/>
      <c r="B914" s="13"/>
      <c r="C914" s="13"/>
    </row>
    <row r="915" spans="1:3" ht="13" x14ac:dyDescent="0.15">
      <c r="A915" s="10"/>
      <c r="B915" s="13"/>
      <c r="C915" s="13"/>
    </row>
    <row r="916" spans="1:3" ht="13" x14ac:dyDescent="0.15">
      <c r="A916" s="10"/>
      <c r="B916" s="13"/>
      <c r="C916" s="13"/>
    </row>
    <row r="917" spans="1:3" ht="13" x14ac:dyDescent="0.15">
      <c r="A917" s="10"/>
      <c r="B917" s="13"/>
      <c r="C917" s="13"/>
    </row>
    <row r="918" spans="1:3" ht="13" x14ac:dyDescent="0.15">
      <c r="A918" s="10"/>
      <c r="B918" s="13"/>
      <c r="C918" s="13"/>
    </row>
    <row r="919" spans="1:3" ht="13" x14ac:dyDescent="0.15">
      <c r="A919" s="10"/>
      <c r="B919" s="13"/>
      <c r="C919" s="13"/>
    </row>
    <row r="920" spans="1:3" ht="13" x14ac:dyDescent="0.15">
      <c r="A920" s="10"/>
      <c r="B920" s="13"/>
      <c r="C920" s="13"/>
    </row>
    <row r="921" spans="1:3" ht="13" x14ac:dyDescent="0.15">
      <c r="A921" s="10"/>
      <c r="B921" s="13"/>
      <c r="C921" s="13"/>
    </row>
    <row r="922" spans="1:3" ht="13" x14ac:dyDescent="0.15">
      <c r="A922" s="10"/>
      <c r="B922" s="13"/>
      <c r="C922" s="13"/>
    </row>
    <row r="923" spans="1:3" ht="13" x14ac:dyDescent="0.15">
      <c r="A923" s="10"/>
      <c r="B923" s="13"/>
      <c r="C923" s="13"/>
    </row>
    <row r="924" spans="1:3" ht="13" x14ac:dyDescent="0.15">
      <c r="A924" s="10"/>
      <c r="B924" s="13"/>
      <c r="C924" s="13"/>
    </row>
    <row r="925" spans="1:3" ht="13" x14ac:dyDescent="0.15">
      <c r="A925" s="10"/>
      <c r="B925" s="13"/>
      <c r="C925" s="13"/>
    </row>
    <row r="926" spans="1:3" ht="13" x14ac:dyDescent="0.15">
      <c r="A926" s="10"/>
      <c r="B926" s="13"/>
      <c r="C926" s="13"/>
    </row>
    <row r="927" spans="1:3" ht="13" x14ac:dyDescent="0.15">
      <c r="A927" s="10"/>
      <c r="B927" s="13"/>
      <c r="C927" s="13"/>
    </row>
    <row r="928" spans="1:3" ht="13" x14ac:dyDescent="0.15">
      <c r="A928" s="10"/>
      <c r="B928" s="13"/>
      <c r="C928" s="13"/>
    </row>
    <row r="929" spans="1:3" ht="13" x14ac:dyDescent="0.15">
      <c r="A929" s="10"/>
      <c r="B929" s="13"/>
      <c r="C929" s="13"/>
    </row>
    <row r="930" spans="1:3" ht="13" x14ac:dyDescent="0.15">
      <c r="A930" s="10"/>
      <c r="B930" s="13"/>
      <c r="C930" s="13"/>
    </row>
    <row r="931" spans="1:3" ht="13" x14ac:dyDescent="0.15">
      <c r="A931" s="10"/>
      <c r="B931" s="13"/>
      <c r="C931" s="13"/>
    </row>
    <row r="932" spans="1:3" ht="13" x14ac:dyDescent="0.15">
      <c r="A932" s="10"/>
      <c r="B932" s="13"/>
      <c r="C932" s="13"/>
    </row>
    <row r="933" spans="1:3" ht="13" x14ac:dyDescent="0.15">
      <c r="A933" s="10"/>
      <c r="B933" s="13"/>
      <c r="C933" s="13"/>
    </row>
    <row r="934" spans="1:3" ht="13" x14ac:dyDescent="0.15">
      <c r="A934" s="10"/>
      <c r="B934" s="13"/>
      <c r="C934" s="13"/>
    </row>
    <row r="935" spans="1:3" ht="13" x14ac:dyDescent="0.15">
      <c r="A935" s="10"/>
      <c r="B935" s="13"/>
      <c r="C935" s="13"/>
    </row>
    <row r="936" spans="1:3" ht="13" x14ac:dyDescent="0.15">
      <c r="A936" s="10"/>
      <c r="B936" s="13"/>
      <c r="C936" s="13"/>
    </row>
    <row r="937" spans="1:3" ht="13" x14ac:dyDescent="0.15">
      <c r="A937" s="10"/>
      <c r="B937" s="13"/>
      <c r="C937" s="13"/>
    </row>
    <row r="938" spans="1:3" ht="13" x14ac:dyDescent="0.15">
      <c r="A938" s="10"/>
      <c r="B938" s="13"/>
      <c r="C938" s="13"/>
    </row>
    <row r="939" spans="1:3" ht="13" x14ac:dyDescent="0.15">
      <c r="A939" s="10"/>
      <c r="B939" s="13"/>
      <c r="C939" s="13"/>
    </row>
    <row r="940" spans="1:3" ht="13" x14ac:dyDescent="0.15">
      <c r="A940" s="10"/>
      <c r="B940" s="13"/>
      <c r="C940" s="13"/>
    </row>
    <row r="941" spans="1:3" ht="13" x14ac:dyDescent="0.15">
      <c r="A941" s="10"/>
      <c r="B941" s="13"/>
      <c r="C941" s="13"/>
    </row>
    <row r="942" spans="1:3" ht="13" x14ac:dyDescent="0.15">
      <c r="A942" s="10"/>
      <c r="B942" s="13"/>
      <c r="C942" s="13"/>
    </row>
    <row r="943" spans="1:3" ht="13" x14ac:dyDescent="0.15">
      <c r="A943" s="10"/>
      <c r="B943" s="13"/>
      <c r="C943" s="13"/>
    </row>
    <row r="944" spans="1:3" ht="13" x14ac:dyDescent="0.15">
      <c r="A944" s="10"/>
      <c r="B944" s="13"/>
      <c r="C944" s="13"/>
    </row>
    <row r="945" spans="1:3" ht="13" x14ac:dyDescent="0.15">
      <c r="A945" s="10"/>
      <c r="B945" s="13"/>
      <c r="C945" s="13"/>
    </row>
    <row r="946" spans="1:3" ht="13" x14ac:dyDescent="0.15">
      <c r="A946" s="10"/>
      <c r="B946" s="13"/>
      <c r="C946" s="13"/>
    </row>
    <row r="947" spans="1:3" ht="13" x14ac:dyDescent="0.15">
      <c r="A947" s="10"/>
      <c r="B947" s="13"/>
      <c r="C947" s="13"/>
    </row>
    <row r="948" spans="1:3" ht="13" x14ac:dyDescent="0.15">
      <c r="A948" s="10"/>
      <c r="B948" s="13"/>
      <c r="C948" s="13"/>
    </row>
    <row r="949" spans="1:3" ht="13" x14ac:dyDescent="0.15">
      <c r="A949" s="10"/>
      <c r="B949" s="13"/>
      <c r="C949" s="13"/>
    </row>
    <row r="950" spans="1:3" ht="13" x14ac:dyDescent="0.15">
      <c r="A950" s="10"/>
      <c r="B950" s="13"/>
      <c r="C950" s="13"/>
    </row>
    <row r="951" spans="1:3" ht="13" x14ac:dyDescent="0.15">
      <c r="A951" s="10"/>
      <c r="B951" s="13"/>
      <c r="C951" s="13"/>
    </row>
    <row r="952" spans="1:3" ht="13" x14ac:dyDescent="0.15">
      <c r="A952" s="10"/>
      <c r="B952" s="13"/>
      <c r="C952" s="13"/>
    </row>
    <row r="953" spans="1:3" ht="13" x14ac:dyDescent="0.15">
      <c r="A953" s="10"/>
      <c r="B953" s="13"/>
      <c r="C953" s="13"/>
    </row>
    <row r="954" spans="1:3" ht="13" x14ac:dyDescent="0.15">
      <c r="A954" s="10"/>
      <c r="B954" s="13"/>
      <c r="C954" s="13"/>
    </row>
    <row r="955" spans="1:3" ht="13" x14ac:dyDescent="0.15">
      <c r="A955" s="10"/>
      <c r="B955" s="13"/>
      <c r="C955" s="13"/>
    </row>
    <row r="956" spans="1:3" ht="13" x14ac:dyDescent="0.15">
      <c r="A956" s="10"/>
      <c r="B956" s="13"/>
      <c r="C956" s="13"/>
    </row>
    <row r="957" spans="1:3" ht="13" x14ac:dyDescent="0.15">
      <c r="A957" s="10"/>
      <c r="B957" s="13"/>
      <c r="C957" s="13"/>
    </row>
    <row r="958" spans="1:3" ht="13" x14ac:dyDescent="0.15">
      <c r="A958" s="10"/>
      <c r="B958" s="13"/>
      <c r="C958" s="13"/>
    </row>
    <row r="959" spans="1:3" ht="13" x14ac:dyDescent="0.15">
      <c r="A959" s="10"/>
      <c r="B959" s="13"/>
      <c r="C959" s="13"/>
    </row>
    <row r="960" spans="1:3" ht="13" x14ac:dyDescent="0.15">
      <c r="A960" s="10"/>
      <c r="B960" s="13"/>
      <c r="C960" s="13"/>
    </row>
    <row r="961" spans="1:3" ht="13" x14ac:dyDescent="0.15">
      <c r="A961" s="10"/>
      <c r="B961" s="13"/>
      <c r="C961" s="13"/>
    </row>
    <row r="962" spans="1:3" ht="13" x14ac:dyDescent="0.15">
      <c r="A962" s="10"/>
      <c r="B962" s="13"/>
      <c r="C962" s="13"/>
    </row>
    <row r="963" spans="1:3" ht="13" x14ac:dyDescent="0.15">
      <c r="A963" s="10"/>
      <c r="B963" s="13"/>
      <c r="C963" s="13"/>
    </row>
    <row r="964" spans="1:3" ht="13" x14ac:dyDescent="0.15">
      <c r="A964" s="10"/>
      <c r="B964" s="13"/>
      <c r="C964" s="13"/>
    </row>
    <row r="965" spans="1:3" ht="13" x14ac:dyDescent="0.15">
      <c r="A965" s="10"/>
      <c r="B965" s="13"/>
      <c r="C965" s="13"/>
    </row>
    <row r="966" spans="1:3" ht="13" x14ac:dyDescent="0.15">
      <c r="A966" s="10"/>
      <c r="B966" s="13"/>
      <c r="C966" s="13"/>
    </row>
    <row r="967" spans="1:3" ht="13" x14ac:dyDescent="0.15">
      <c r="A967" s="10"/>
      <c r="B967" s="13"/>
      <c r="C967" s="13"/>
    </row>
    <row r="968" spans="1:3" ht="13" x14ac:dyDescent="0.15">
      <c r="A968" s="10"/>
      <c r="B968" s="13"/>
      <c r="C968" s="13"/>
    </row>
    <row r="969" spans="1:3" ht="13" x14ac:dyDescent="0.15">
      <c r="A969" s="10"/>
      <c r="B969" s="13"/>
      <c r="C969" s="13"/>
    </row>
    <row r="970" spans="1:3" ht="13" x14ac:dyDescent="0.15">
      <c r="A970" s="10"/>
      <c r="B970" s="13"/>
      <c r="C970" s="13"/>
    </row>
    <row r="971" spans="1:3" ht="13" x14ac:dyDescent="0.15">
      <c r="A971" s="10"/>
      <c r="B971" s="13"/>
      <c r="C971" s="13"/>
    </row>
    <row r="972" spans="1:3" ht="13" x14ac:dyDescent="0.15">
      <c r="A972" s="10"/>
      <c r="B972" s="13"/>
      <c r="C972" s="13"/>
    </row>
    <row r="973" spans="1:3" ht="13" x14ac:dyDescent="0.15">
      <c r="A973" s="10"/>
      <c r="B973" s="13"/>
      <c r="C973" s="13"/>
    </row>
    <row r="974" spans="1:3" ht="13" x14ac:dyDescent="0.15">
      <c r="A974" s="10"/>
      <c r="B974" s="13"/>
      <c r="C974" s="13"/>
    </row>
    <row r="975" spans="1:3" ht="13" x14ac:dyDescent="0.15">
      <c r="A975" s="10"/>
      <c r="B975" s="13"/>
      <c r="C975" s="13"/>
    </row>
    <row r="976" spans="1:3" ht="13" x14ac:dyDescent="0.15">
      <c r="A976" s="10"/>
      <c r="B976" s="13"/>
      <c r="C976" s="13"/>
    </row>
    <row r="977" spans="1:3" ht="13" x14ac:dyDescent="0.15">
      <c r="A977" s="10"/>
      <c r="B977" s="13"/>
      <c r="C977" s="13"/>
    </row>
    <row r="978" spans="1:3" ht="13" x14ac:dyDescent="0.15">
      <c r="A978" s="10"/>
      <c r="B978" s="13"/>
      <c r="C978" s="13"/>
    </row>
    <row r="979" spans="1:3" ht="13" x14ac:dyDescent="0.15">
      <c r="A979" s="10"/>
      <c r="B979" s="13"/>
      <c r="C979" s="13"/>
    </row>
    <row r="980" spans="1:3" ht="13" x14ac:dyDescent="0.15">
      <c r="A980" s="10"/>
      <c r="B980" s="13"/>
      <c r="C980" s="13"/>
    </row>
    <row r="981" spans="1:3" ht="13" x14ac:dyDescent="0.15">
      <c r="A981" s="10"/>
      <c r="B981" s="13"/>
      <c r="C981" s="13"/>
    </row>
    <row r="982" spans="1:3" ht="13" x14ac:dyDescent="0.15">
      <c r="A982" s="10"/>
      <c r="B982" s="13"/>
      <c r="C982" s="13"/>
    </row>
    <row r="983" spans="1:3" ht="13" x14ac:dyDescent="0.15">
      <c r="A983" s="10"/>
      <c r="B983" s="13"/>
      <c r="C983" s="13"/>
    </row>
    <row r="984" spans="1:3" ht="13" x14ac:dyDescent="0.15">
      <c r="A984" s="10"/>
      <c r="B984" s="13"/>
      <c r="C984" s="13"/>
    </row>
    <row r="985" spans="1:3" ht="13" x14ac:dyDescent="0.15">
      <c r="A985" s="10"/>
      <c r="B985" s="13"/>
      <c r="C985" s="13"/>
    </row>
    <row r="986" spans="1:3" ht="13" x14ac:dyDescent="0.15">
      <c r="A986" s="10"/>
      <c r="B986" s="13"/>
      <c r="C986" s="13"/>
    </row>
    <row r="987" spans="1:3" ht="13" x14ac:dyDescent="0.15">
      <c r="A987" s="10"/>
      <c r="B987" s="13"/>
      <c r="C987" s="13"/>
    </row>
    <row r="988" spans="1:3" ht="13" x14ac:dyDescent="0.15">
      <c r="A988" s="10"/>
      <c r="B988" s="13"/>
      <c r="C988" s="13"/>
    </row>
    <row r="989" spans="1:3" ht="13" x14ac:dyDescent="0.15">
      <c r="A989" s="10"/>
      <c r="B989" s="13"/>
      <c r="C989" s="13"/>
    </row>
    <row r="990" spans="1:3" ht="13" x14ac:dyDescent="0.15">
      <c r="A990" s="10"/>
      <c r="B990" s="13"/>
      <c r="C990" s="13"/>
    </row>
    <row r="991" spans="1:3" ht="13" x14ac:dyDescent="0.15">
      <c r="A991" s="10"/>
      <c r="B991" s="13"/>
      <c r="C991" s="13"/>
    </row>
    <row r="992" spans="1:3" ht="13" x14ac:dyDescent="0.15">
      <c r="A992" s="10"/>
      <c r="B992" s="13"/>
      <c r="C992" s="13"/>
    </row>
    <row r="993" spans="1:3" ht="13" x14ac:dyDescent="0.15">
      <c r="A993" s="10"/>
      <c r="B993" s="13"/>
      <c r="C993" s="13"/>
    </row>
    <row r="994" spans="1:3" ht="13" x14ac:dyDescent="0.15">
      <c r="A994" s="10"/>
      <c r="B994" s="13"/>
      <c r="C994" s="13"/>
    </row>
    <row r="995" spans="1:3" ht="13" x14ac:dyDescent="0.15">
      <c r="A995" s="10"/>
      <c r="B995" s="13"/>
      <c r="C995" s="13"/>
    </row>
    <row r="996" spans="1:3" ht="13" x14ac:dyDescent="0.15">
      <c r="A996" s="10"/>
      <c r="B996" s="13"/>
      <c r="C996" s="13"/>
    </row>
    <row r="997" spans="1:3" ht="13" x14ac:dyDescent="0.15">
      <c r="A997" s="10"/>
      <c r="B997" s="13"/>
      <c r="C997" s="13"/>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outlinePr summaryBelow="0" summaryRight="0"/>
  </sheetPr>
  <dimension ref="A1:D997"/>
  <sheetViews>
    <sheetView workbookViewId="0"/>
  </sheetViews>
  <sheetFormatPr baseColWidth="10" defaultColWidth="12.6640625" defaultRowHeight="15.75" customHeight="1" x14ac:dyDescent="0.15"/>
  <cols>
    <col min="1" max="1" width="71.5" customWidth="1"/>
    <col min="2" max="4" width="37.6640625" customWidth="1"/>
  </cols>
  <sheetData>
    <row r="1" spans="1:4" ht="15.75" customHeight="1" x14ac:dyDescent="0.15">
      <c r="A1" s="1"/>
      <c r="B1" s="12" t="str">
        <f ca="1">IFERROR(__xludf.DUMMYFUNCTION("IMPORTRANGE(""https://docs.google.com/spreadsheets/d/1Eq2M_a4_TeZImjU1FJcBSaIp6Xib8-RIHm3cQ24mbRI"", ""A23!B1:B22"")
"),"Zachary Edwards")</f>
        <v>Zachary Edwards</v>
      </c>
      <c r="C1" s="10" t="str">
        <f ca="1">IFERROR(__xludf.DUMMYFUNCTION("IMPORTRANGE(""https://docs.google.com/spreadsheets/u/0/d/1tjgC5crHxYL6PIwdjQvl-Lz18xb2WRifl2-5aQ8KGT8"", ""A23!B1:B22"")"),"Jake Stafford")</f>
        <v>Jake Stafford</v>
      </c>
      <c r="D1" s="2" t="s">
        <v>1</v>
      </c>
    </row>
    <row r="2" spans="1:4" ht="15.75" customHeight="1" x14ac:dyDescent="0.15">
      <c r="A2" s="3" t="s">
        <v>2</v>
      </c>
      <c r="B2" s="15" t="str">
        <f ca="1">IFERROR(__xludf.DUMMYFUNCTION("""COMPUTED_VALUE"""),"PHAM Start: 16268  Stop: 16588
DNAM Start: 16268  Stop: 16588
FOR")</f>
        <v>PHAM Start: 16268  Stop: 16588
DNAM Start: 16268  Stop: 16588
FOR</v>
      </c>
      <c r="C2" s="15" t="str">
        <f ca="1">IFERROR(__xludf.DUMMYFUNCTION("""COMPUTED_VALUE"""),"Start: 16268 Stop: 16588 Forward")</f>
        <v>Start: 16268 Stop: 16588 Forward</v>
      </c>
      <c r="D2" s="4"/>
    </row>
    <row r="3" spans="1:4" ht="15.75" customHeight="1" x14ac:dyDescent="0.15">
      <c r="A3" s="5" t="s">
        <v>3</v>
      </c>
      <c r="B3" s="17" t="str">
        <f ca="1">IFERROR(__xludf.DUMMYFUNCTION("""COMPUTED_VALUE"""),"Gene 23 on PHAM.  Gene 23 on DNAM")</f>
        <v>Gene 23 on PHAM.  Gene 23 on DNAM</v>
      </c>
      <c r="C3" s="17" t="str">
        <f ca="1">IFERROR(__xludf.DUMMYFUNCTION("""COMPUTED_VALUE"""),"23 on Pham 23 on DNAM")</f>
        <v>23 on Pham 23 on DNAM</v>
      </c>
      <c r="D3" s="6"/>
    </row>
    <row r="4" spans="1:4" ht="15.75" customHeight="1" x14ac:dyDescent="0.15">
      <c r="A4" s="5" t="s">
        <v>4</v>
      </c>
      <c r="B4" s="17" t="str">
        <f ca="1">IFERROR(__xludf.DUMMYFUNCTION("""COMPUTED_VALUE"""),"6805 2/27/25")</f>
        <v>6805 2/27/25</v>
      </c>
      <c r="C4" s="17" t="str">
        <f ca="1">IFERROR(__xludf.DUMMYFUNCTION("""COMPUTED_VALUE"""),"pham 6805")</f>
        <v>pham 6805</v>
      </c>
      <c r="D4" s="6"/>
    </row>
    <row r="5" spans="1:4" ht="15.75" customHeight="1" x14ac:dyDescent="0.15">
      <c r="A5" s="5" t="s">
        <v>5</v>
      </c>
      <c r="B5" s="17" t="str">
        <f ca="1">IFERROR(__xludf.DUMMYFUNCTION("""COMPUTED_VALUE"""),"Edmundo_21 and Kovu_24")</f>
        <v>Edmundo_21 and Kovu_24</v>
      </c>
      <c r="C5" s="17" t="str">
        <f ca="1">IFERROR(__xludf.DUMMYFUNCTION("""COMPUTED_VALUE"""),"Edmundo_21, Kovu_24")</f>
        <v>Edmundo_21, Kovu_24</v>
      </c>
      <c r="D5" s="6"/>
    </row>
    <row r="6" spans="1:4" ht="15.75" customHeight="1" x14ac:dyDescent="0.15">
      <c r="A6" s="5" t="s">
        <v>6</v>
      </c>
      <c r="B6" s="17" t="str">
        <f ca="1">IFERROR(__xludf.DUMMYFUNCTION("""COMPUTED_VALUE"""),"Glimmer and Gene Mark agree on the Gene")</f>
        <v>Glimmer and Gene Mark agree on the Gene</v>
      </c>
      <c r="C6" s="17" t="str">
        <f ca="1">IFERROR(__xludf.DUMMYFUNCTION("""COMPUTED_VALUE"""),"both called 16268")</f>
        <v>both called 16268</v>
      </c>
      <c r="D6" s="6"/>
    </row>
    <row r="7" spans="1:4" ht="15.75" customHeight="1" x14ac:dyDescent="0.15">
      <c r="A7" s="5" t="s">
        <v>7</v>
      </c>
      <c r="B7" s="17"/>
      <c r="C7" s="17" t="str">
        <f ca="1">IFERROR(__xludf.DUMMYFUNCTION("""COMPUTED_VALUE"""),"No, bad coding potential. Not all coding potential with this start, starts too late and doesn't include all potential")</f>
        <v>No, bad coding potential. Not all coding potential with this start, starts too late and doesn't include all potential</v>
      </c>
      <c r="D7" s="6"/>
    </row>
    <row r="8" spans="1:4" ht="15.75" customHeight="1" x14ac:dyDescent="0.15">
      <c r="A8" s="5" t="s">
        <v>8</v>
      </c>
      <c r="B8" s="17" t="str">
        <f ca="1">IFERROR(__xludf.DUMMYFUNCTION("""COMPUTED_VALUE"""),"Yes there is only one start codon. ")</f>
        <v xml:space="preserve">Yes there is only one start codon. </v>
      </c>
      <c r="C8" s="17" t="str">
        <f ca="1">IFERROR(__xludf.DUMMYFUNCTION("""COMPUTED_VALUE"""),"yes")</f>
        <v>yes</v>
      </c>
      <c r="D8" s="6"/>
    </row>
    <row r="9" spans="1:4" ht="15.75" customHeight="1" x14ac:dyDescent="0.15">
      <c r="A9" s="5" t="s">
        <v>9</v>
      </c>
      <c r="B9" s="17" t="str">
        <f ca="1">IFERROR(__xludf.DUMMYFUNCTION("""COMPUTED_VALUE"""),"Phamerator is recongizning a whole reveresed gene inside of gene 23, and 5 nt overlap at the end with 24DNAM/25Pham")</f>
        <v>Phamerator is recongizning a whole reveresed gene inside of gene 23, and 5 nt overlap at the end with 24DNAM/25Pham</v>
      </c>
      <c r="C9" s="17" t="str">
        <f ca="1">IFERROR(__xludf.DUMMYFUNCTION("""COMPUTED_VALUE"""),"overlap with previous gene")</f>
        <v>overlap with previous gene</v>
      </c>
      <c r="D9" s="6"/>
    </row>
    <row r="10" spans="1:4" ht="15.75" customHeight="1" x14ac:dyDescent="0.15">
      <c r="A10" s="5" t="s">
        <v>10</v>
      </c>
      <c r="B10" s="17" t="str">
        <f ca="1">IFERROR(__xludf.DUMMYFUNCTION("""COMPUTED_VALUE"""),"Only one Z: 2.292")</f>
        <v>Only one Z: 2.292</v>
      </c>
      <c r="C10" s="17" t="str">
        <f ca="1">IFERROR(__xludf.DUMMYFUNCTION("""COMPUTED_VALUE"""),"z-score: 2.292, F-score: -3.935")</f>
        <v>z-score: 2.292, F-score: -3.935</v>
      </c>
      <c r="D10" s="6"/>
    </row>
    <row r="11" spans="1:4" ht="15.75" customHeight="1" x14ac:dyDescent="0.15">
      <c r="A11" s="5" t="s">
        <v>11</v>
      </c>
      <c r="B11" s="17" t="str">
        <f ca="1">IFERROR(__xludf.DUMMYFUNCTION("""COMPUTED_VALUE"""),"Kovu_24
%ID: 90
E: 0
1:1 Alignment")</f>
        <v>Kovu_24
%ID: 90
E: 0
1:1 Alignment</v>
      </c>
      <c r="C11" s="17" t="str">
        <f ca="1">IFERROR(__xludf.DUMMYFUNCTION("""COMPUTED_VALUE"""),"hypothetical_Kovu_24, 98%, 1e-63")</f>
        <v>hypothetical_Kovu_24, 98%, 1e-63</v>
      </c>
      <c r="D11" s="6"/>
    </row>
    <row r="12" spans="1:4" ht="15.75" customHeight="1" x14ac:dyDescent="0.15">
      <c r="A12" s="5" t="s">
        <v>12</v>
      </c>
      <c r="B12" s="17" t="str">
        <f ca="1">IFERROR(__xludf.DUMMYFUNCTION("""COMPUTED_VALUE"""),"Alignment with only Kovu_24 at start 7")</f>
        <v>Alignment with only Kovu_24 at start 7</v>
      </c>
      <c r="C12" s="17" t="str">
        <f ca="1">IFERROR(__xludf.DUMMYFUNCTION("""COMPUTED_VALUE"""),"start 2 found in 2/9 genes")</f>
        <v>start 2 found in 2/9 genes</v>
      </c>
      <c r="D12" s="6"/>
    </row>
    <row r="13" spans="1:4" ht="15.75" customHeight="1" x14ac:dyDescent="0.15">
      <c r="A13" s="5" t="s">
        <v>13</v>
      </c>
      <c r="B13" s="17" t="str">
        <f ca="1">IFERROR(__xludf.DUMMYFUNCTION("""COMPUTED_VALUE"""),"Can't so no")</f>
        <v>Can't so no</v>
      </c>
      <c r="C13" s="17" t="str">
        <f ca="1">IFERROR(__xludf.DUMMYFUNCTION("""COMPUTED_VALUE"""),"Gene may need to be deleted due to only having one start, small size, and poor starterator conservation.")</f>
        <v>Gene may need to be deleted due to only having one start, small size, and poor starterator conservation.</v>
      </c>
      <c r="D13" s="6"/>
    </row>
    <row r="14" spans="1:4" ht="15.75" customHeight="1" x14ac:dyDescent="0.15">
      <c r="A14" s="5" t="s">
        <v>14</v>
      </c>
      <c r="B14" s="17" t="str">
        <f ca="1">IFERROR(__xludf.DUMMYFUNCTION("""COMPUTED_VALUE"""),"Kovu_24 
2e-57 ")</f>
        <v xml:space="preserve">Kovu_24 
2e-57 </v>
      </c>
      <c r="C14" s="17" t="str">
        <f ca="1">IFERROR(__xludf.DUMMYFUNCTION("""COMPUTED_VALUE"""),"Edmundo_23, Kovu_24")</f>
        <v>Edmundo_23, Kovu_24</v>
      </c>
      <c r="D14" s="6"/>
    </row>
    <row r="15" spans="1:4" ht="15.75" customHeight="1" x14ac:dyDescent="0.15">
      <c r="A15" s="5" t="s">
        <v>15</v>
      </c>
      <c r="B15" s="17" t="str">
        <f ca="1">IFERROR(__xludf.DUMMYFUNCTION("""COMPUTED_VALUE"""),"Unknown Function")</f>
        <v>Unknown Function</v>
      </c>
      <c r="C15" s="17" t="str">
        <f ca="1">IFERROR(__xludf.DUMMYFUNCTION("""COMPUTED_VALUE"""),"Unknown Function")</f>
        <v>Unknown Function</v>
      </c>
      <c r="D15" s="6"/>
    </row>
    <row r="16" spans="1:4" ht="15.75" customHeight="1" x14ac:dyDescent="0.15">
      <c r="A16" s="5" t="s">
        <v>16</v>
      </c>
      <c r="B16" s="17" t="str">
        <f ca="1">IFERROR(__xludf.DUMMYFUNCTION("""COMPUTED_VALUE"""),"Found in the same genetic environemtn as Kovu")</f>
        <v>Found in the same genetic environemtn as Kovu</v>
      </c>
      <c r="C16" s="17" t="str">
        <f ca="1">IFERROR(__xludf.DUMMYFUNCTION("""COMPUTED_VALUE"""),"similar colors and arrangement with Kovu, following gene is reverse and in the same area in Kovu.")</f>
        <v>similar colors and arrangement with Kovu, following gene is reverse and in the same area in Kovu.</v>
      </c>
      <c r="D16" s="6"/>
    </row>
    <row r="17" spans="1:4" ht="15.75" customHeight="1" x14ac:dyDescent="0.15">
      <c r="A17" s="5" t="s">
        <v>17</v>
      </c>
      <c r="B17" s="17" t="str">
        <f ca="1">IFERROR(__xludf.DUMMYFUNCTION("""COMPUTED_VALUE"""),"Nothing of Comparabilty. HHPRED compares the gene to some other genes not above 90% However NCBI blast only compares the gene to Hypothetical Proteins")</f>
        <v>Nothing of Comparabilty. HHPRED compares the gene to some other genes not above 90% However NCBI blast only compares the gene to Hypothetical Proteins</v>
      </c>
      <c r="C17" s="17" t="str">
        <f ca="1">IFERROR(__xludf.DUMMYFUNCTION("""COMPUTED_VALUE"""),"GATOR complex protein WDR24; mTOR, GATOR, lysosome, nutrient sensing, complex, zinc finger, ZnF, RING, C2 symmetry, octa. 72.7%, 39.6%, 5.3%, The functional domain is part of the target part of the alignment.")</f>
        <v>GATOR complex protein WDR24; mTOR, GATOR, lysosome, nutrient sensing, complex, zinc finger, ZnF, RING, C2 symmetry, octa. 72.7%, 39.6%, 5.3%, The functional domain is part of the target part of the alignment.</v>
      </c>
      <c r="D17" s="6"/>
    </row>
    <row r="18" spans="1:4" ht="15.75" customHeight="1" x14ac:dyDescent="0.15">
      <c r="A18" s="5" t="s">
        <v>18</v>
      </c>
      <c r="B18" s="17" t="str">
        <f ca="1">IFERROR(__xludf.DUMMYFUNCTION("""COMPUTED_VALUE"""),"DUF")</f>
        <v>DUF</v>
      </c>
      <c r="C18" s="17" t="str">
        <f ca="1">IFERROR(__xludf.DUMMYFUNCTION("""COMPUTED_VALUE"""),"None")</f>
        <v>None</v>
      </c>
      <c r="D18" s="6"/>
    </row>
    <row r="19" spans="1:4" ht="15.75" customHeight="1" x14ac:dyDescent="0.15">
      <c r="A19" s="5" t="s">
        <v>19</v>
      </c>
      <c r="B19" s="17" t="str">
        <f ca="1">IFERROR(__xludf.DUMMYFUNCTION("""COMPUTED_VALUE"""),"No")</f>
        <v>No</v>
      </c>
      <c r="C19" s="17" t="str">
        <f ca="1">IFERROR(__xludf.DUMMYFUNCTION("""COMPUTED_VALUE"""),"None")</f>
        <v>None</v>
      </c>
      <c r="D19" s="6"/>
    </row>
    <row r="20" spans="1:4" ht="15.75" customHeight="1" x14ac:dyDescent="0.15">
      <c r="A20" s="5" t="s">
        <v>20</v>
      </c>
      <c r="B20" s="17" t="str">
        <f ca="1">IFERROR(__xludf.DUMMYFUNCTION("""COMPUTED_VALUE"""),"Hypothetical Protein       ")</f>
        <v xml:space="preserve">Hypothetical Protein       </v>
      </c>
      <c r="C20" s="17" t="str">
        <f ca="1">IFERROR(__xludf.DUMMYFUNCTION("""COMPUTED_VALUE"""),"most likely none, function does not appear on approved functions list. Hypothetical protein")</f>
        <v>most likely none, function does not appear on approved functions list. Hypothetical protein</v>
      </c>
      <c r="D20" s="6"/>
    </row>
    <row r="21" spans="1:4" x14ac:dyDescent="0.2">
      <c r="A21" s="7"/>
      <c r="B21" s="19"/>
      <c r="C21" s="19"/>
      <c r="D21" s="8"/>
    </row>
    <row r="22" spans="1:4" ht="15.75" customHeight="1" x14ac:dyDescent="0.15">
      <c r="A22" s="9" t="s">
        <v>21</v>
      </c>
      <c r="B22" s="19"/>
      <c r="C22" s="19"/>
      <c r="D22" s="8"/>
    </row>
    <row r="23" spans="1:4" ht="15.75" customHeight="1" x14ac:dyDescent="0.15">
      <c r="A23" s="10"/>
      <c r="B23" s="13"/>
      <c r="C23" s="13"/>
    </row>
    <row r="24" spans="1:4" ht="15.75" customHeight="1" x14ac:dyDescent="0.15">
      <c r="A24" s="10"/>
      <c r="B24" s="13"/>
      <c r="C24" s="13"/>
    </row>
    <row r="25" spans="1:4" ht="15.75" customHeight="1" x14ac:dyDescent="0.15">
      <c r="A25" s="10"/>
      <c r="B25" s="13"/>
      <c r="C25" s="13"/>
    </row>
    <row r="26" spans="1:4" ht="15.75" customHeight="1" x14ac:dyDescent="0.15">
      <c r="A26" s="10"/>
      <c r="B26" s="13"/>
      <c r="C26" s="13"/>
    </row>
    <row r="27" spans="1:4" ht="15.75" customHeight="1" x14ac:dyDescent="0.15">
      <c r="A27" s="10"/>
      <c r="B27" s="13"/>
      <c r="C27" s="13"/>
    </row>
    <row r="28" spans="1:4" ht="15.75" customHeight="1" x14ac:dyDescent="0.15">
      <c r="A28" s="10"/>
      <c r="B28" s="13"/>
      <c r="C28" s="13"/>
    </row>
    <row r="29" spans="1:4" ht="15.75" customHeight="1" x14ac:dyDescent="0.15">
      <c r="A29" s="10"/>
      <c r="B29" s="13"/>
      <c r="C29" s="13"/>
    </row>
    <row r="30" spans="1:4" ht="15.75" customHeight="1" x14ac:dyDescent="0.15">
      <c r="A30" s="10"/>
      <c r="B30" s="13"/>
      <c r="C30" s="13"/>
    </row>
    <row r="31" spans="1:4" ht="15.75" customHeight="1" x14ac:dyDescent="0.15">
      <c r="A31" s="10"/>
      <c r="B31" s="13"/>
      <c r="C31" s="13"/>
    </row>
    <row r="32" spans="1:4" ht="15.75" customHeight="1" x14ac:dyDescent="0.15">
      <c r="A32" s="10"/>
      <c r="B32" s="13"/>
      <c r="C32" s="13"/>
    </row>
    <row r="33" spans="1:3" ht="15.75" customHeight="1" x14ac:dyDescent="0.15">
      <c r="A33" s="10"/>
      <c r="B33" s="13"/>
      <c r="C33" s="13"/>
    </row>
    <row r="34" spans="1:3" ht="15.75" customHeight="1" x14ac:dyDescent="0.15">
      <c r="A34" s="10"/>
      <c r="B34" s="13"/>
      <c r="C34" s="13"/>
    </row>
    <row r="35" spans="1:3" ht="15.75" customHeight="1" x14ac:dyDescent="0.15">
      <c r="A35" s="10"/>
      <c r="B35" s="13"/>
      <c r="C35" s="13"/>
    </row>
    <row r="36" spans="1:3" ht="15.75" customHeight="1" x14ac:dyDescent="0.15">
      <c r="A36" s="10"/>
      <c r="B36" s="13"/>
      <c r="C36" s="13"/>
    </row>
    <row r="37" spans="1:3" ht="15.75" customHeight="1" x14ac:dyDescent="0.15">
      <c r="A37" s="10"/>
      <c r="B37" s="13"/>
      <c r="C37" s="13"/>
    </row>
    <row r="38" spans="1:3" ht="15.75" customHeight="1" x14ac:dyDescent="0.15">
      <c r="A38" s="10"/>
      <c r="B38" s="13"/>
      <c r="C38" s="13"/>
    </row>
    <row r="39" spans="1:3" ht="13" x14ac:dyDescent="0.15">
      <c r="A39" s="10"/>
      <c r="B39" s="13"/>
      <c r="C39" s="13"/>
    </row>
    <row r="40" spans="1:3" ht="13" x14ac:dyDescent="0.15">
      <c r="A40" s="10"/>
      <c r="B40" s="13"/>
      <c r="C40" s="13"/>
    </row>
    <row r="41" spans="1:3" ht="13" x14ac:dyDescent="0.15">
      <c r="A41" s="10"/>
      <c r="B41" s="13"/>
      <c r="C41" s="13"/>
    </row>
    <row r="42" spans="1:3" ht="13" x14ac:dyDescent="0.15">
      <c r="A42" s="10"/>
      <c r="B42" s="13"/>
      <c r="C42" s="13"/>
    </row>
    <row r="43" spans="1:3" ht="13" x14ac:dyDescent="0.15">
      <c r="A43" s="10"/>
      <c r="B43" s="13"/>
      <c r="C43" s="13"/>
    </row>
    <row r="44" spans="1:3" ht="13" x14ac:dyDescent="0.15">
      <c r="A44" s="10"/>
      <c r="B44" s="13"/>
      <c r="C44" s="13"/>
    </row>
    <row r="45" spans="1:3" ht="13" x14ac:dyDescent="0.15">
      <c r="A45" s="10"/>
      <c r="B45" s="13"/>
      <c r="C45" s="13"/>
    </row>
    <row r="46" spans="1:3" ht="13" x14ac:dyDescent="0.15">
      <c r="A46" s="10"/>
      <c r="B46" s="13"/>
      <c r="C46" s="13"/>
    </row>
    <row r="47" spans="1:3" ht="13" x14ac:dyDescent="0.15">
      <c r="A47" s="10"/>
      <c r="B47" s="13"/>
      <c r="C47" s="13"/>
    </row>
    <row r="48" spans="1:3" ht="13" x14ac:dyDescent="0.15">
      <c r="A48" s="10"/>
      <c r="B48" s="13"/>
      <c r="C48" s="13"/>
    </row>
    <row r="49" spans="1:3" ht="13" x14ac:dyDescent="0.15">
      <c r="A49" s="10"/>
      <c r="B49" s="13"/>
      <c r="C49" s="13"/>
    </row>
    <row r="50" spans="1:3" ht="13" x14ac:dyDescent="0.15">
      <c r="A50" s="10"/>
      <c r="B50" s="13"/>
      <c r="C50" s="13"/>
    </row>
    <row r="51" spans="1:3" ht="13" x14ac:dyDescent="0.15">
      <c r="A51" s="10"/>
      <c r="B51" s="13"/>
      <c r="C51" s="13"/>
    </row>
    <row r="52" spans="1:3" ht="13" x14ac:dyDescent="0.15">
      <c r="A52" s="10"/>
      <c r="B52" s="13"/>
      <c r="C52" s="13"/>
    </row>
    <row r="53" spans="1:3" ht="13" x14ac:dyDescent="0.15">
      <c r="A53" s="10"/>
      <c r="B53" s="13"/>
      <c r="C53" s="13"/>
    </row>
    <row r="54" spans="1:3" ht="13" x14ac:dyDescent="0.15">
      <c r="A54" s="10"/>
      <c r="B54" s="13"/>
      <c r="C54" s="13"/>
    </row>
    <row r="55" spans="1:3" ht="13" x14ac:dyDescent="0.15">
      <c r="A55" s="10"/>
      <c r="B55" s="13"/>
      <c r="C55" s="13"/>
    </row>
    <row r="56" spans="1:3" ht="13" x14ac:dyDescent="0.15">
      <c r="A56" s="10"/>
      <c r="B56" s="13"/>
      <c r="C56" s="13"/>
    </row>
    <row r="57" spans="1:3" ht="13" x14ac:dyDescent="0.15">
      <c r="A57" s="10"/>
      <c r="B57" s="13"/>
      <c r="C57" s="13"/>
    </row>
    <row r="58" spans="1:3" ht="13" x14ac:dyDescent="0.15">
      <c r="A58" s="10"/>
      <c r="B58" s="13"/>
      <c r="C58" s="13"/>
    </row>
    <row r="59" spans="1:3" ht="13" x14ac:dyDescent="0.15">
      <c r="A59" s="10"/>
      <c r="B59" s="13"/>
      <c r="C59" s="13"/>
    </row>
    <row r="60" spans="1:3" ht="13" x14ac:dyDescent="0.15">
      <c r="A60" s="10"/>
      <c r="B60" s="13"/>
      <c r="C60" s="13"/>
    </row>
    <row r="61" spans="1:3" ht="13" x14ac:dyDescent="0.15">
      <c r="A61" s="10"/>
      <c r="B61" s="13"/>
      <c r="C61" s="13"/>
    </row>
    <row r="62" spans="1:3" ht="13" x14ac:dyDescent="0.15">
      <c r="A62" s="10"/>
      <c r="B62" s="13"/>
      <c r="C62" s="13"/>
    </row>
    <row r="63" spans="1:3" ht="13" x14ac:dyDescent="0.15">
      <c r="A63" s="10"/>
      <c r="B63" s="13"/>
      <c r="C63" s="13"/>
    </row>
    <row r="64" spans="1:3" ht="13" x14ac:dyDescent="0.15">
      <c r="A64" s="10"/>
      <c r="B64" s="13"/>
      <c r="C64" s="13"/>
    </row>
    <row r="65" spans="1:3" ht="13" x14ac:dyDescent="0.15">
      <c r="A65" s="10"/>
      <c r="B65" s="13"/>
      <c r="C65" s="13"/>
    </row>
    <row r="66" spans="1:3" ht="13" x14ac:dyDescent="0.15">
      <c r="A66" s="10"/>
      <c r="B66" s="13"/>
      <c r="C66" s="13"/>
    </row>
    <row r="67" spans="1:3" ht="13" x14ac:dyDescent="0.15">
      <c r="A67" s="10"/>
      <c r="B67" s="13"/>
      <c r="C67" s="13"/>
    </row>
    <row r="68" spans="1:3" ht="13" x14ac:dyDescent="0.15">
      <c r="A68" s="10"/>
      <c r="B68" s="13"/>
      <c r="C68" s="13"/>
    </row>
    <row r="69" spans="1:3" ht="13" x14ac:dyDescent="0.15">
      <c r="A69" s="10"/>
      <c r="B69" s="13"/>
      <c r="C69" s="13"/>
    </row>
    <row r="70" spans="1:3" ht="13" x14ac:dyDescent="0.15">
      <c r="A70" s="10"/>
      <c r="B70" s="13"/>
      <c r="C70" s="13"/>
    </row>
    <row r="71" spans="1:3" ht="13" x14ac:dyDescent="0.15">
      <c r="A71" s="10"/>
      <c r="B71" s="13"/>
      <c r="C71" s="13"/>
    </row>
    <row r="72" spans="1:3" ht="13" x14ac:dyDescent="0.15">
      <c r="A72" s="10"/>
      <c r="B72" s="13"/>
      <c r="C72" s="13"/>
    </row>
    <row r="73" spans="1:3" ht="13" x14ac:dyDescent="0.15">
      <c r="A73" s="10"/>
      <c r="B73" s="13"/>
      <c r="C73" s="13"/>
    </row>
    <row r="74" spans="1:3" ht="13" x14ac:dyDescent="0.15">
      <c r="A74" s="10"/>
      <c r="B74" s="13"/>
      <c r="C74" s="13"/>
    </row>
    <row r="75" spans="1:3" ht="13" x14ac:dyDescent="0.15">
      <c r="A75" s="10"/>
      <c r="B75" s="13"/>
      <c r="C75" s="13"/>
    </row>
    <row r="76" spans="1:3" ht="13" x14ac:dyDescent="0.15">
      <c r="A76" s="10"/>
      <c r="B76" s="13"/>
      <c r="C76" s="13"/>
    </row>
    <row r="77" spans="1:3" ht="13" x14ac:dyDescent="0.15">
      <c r="A77" s="10"/>
      <c r="B77" s="13"/>
      <c r="C77" s="13"/>
    </row>
    <row r="78" spans="1:3" ht="13" x14ac:dyDescent="0.15">
      <c r="A78" s="10"/>
      <c r="B78" s="13"/>
      <c r="C78" s="13"/>
    </row>
    <row r="79" spans="1:3" ht="13" x14ac:dyDescent="0.15">
      <c r="A79" s="10"/>
      <c r="B79" s="13"/>
      <c r="C79" s="13"/>
    </row>
    <row r="80" spans="1:3" ht="13" x14ac:dyDescent="0.15">
      <c r="A80" s="10"/>
      <c r="B80" s="13"/>
      <c r="C80" s="13"/>
    </row>
    <row r="81" spans="1:3" ht="13" x14ac:dyDescent="0.15">
      <c r="A81" s="10"/>
      <c r="B81" s="13"/>
      <c r="C81" s="13"/>
    </row>
    <row r="82" spans="1:3" ht="13" x14ac:dyDescent="0.15">
      <c r="A82" s="10"/>
      <c r="B82" s="13"/>
      <c r="C82" s="13"/>
    </row>
    <row r="83" spans="1:3" ht="13" x14ac:dyDescent="0.15">
      <c r="A83" s="10"/>
      <c r="B83" s="13"/>
      <c r="C83" s="13"/>
    </row>
    <row r="84" spans="1:3" ht="13" x14ac:dyDescent="0.15">
      <c r="A84" s="10"/>
      <c r="B84" s="13"/>
      <c r="C84" s="13"/>
    </row>
    <row r="85" spans="1:3" ht="13" x14ac:dyDescent="0.15">
      <c r="A85" s="10"/>
      <c r="B85" s="13"/>
      <c r="C85" s="13"/>
    </row>
    <row r="86" spans="1:3" ht="13" x14ac:dyDescent="0.15">
      <c r="A86" s="10"/>
      <c r="B86" s="13"/>
      <c r="C86" s="13"/>
    </row>
    <row r="87" spans="1:3" ht="13" x14ac:dyDescent="0.15">
      <c r="A87" s="10"/>
      <c r="B87" s="13"/>
      <c r="C87" s="13"/>
    </row>
    <row r="88" spans="1:3" ht="13" x14ac:dyDescent="0.15">
      <c r="A88" s="10"/>
      <c r="B88" s="13"/>
      <c r="C88" s="13"/>
    </row>
    <row r="89" spans="1:3" ht="13" x14ac:dyDescent="0.15">
      <c r="A89" s="10"/>
      <c r="B89" s="13"/>
      <c r="C89" s="13"/>
    </row>
    <row r="90" spans="1:3" ht="13" x14ac:dyDescent="0.15">
      <c r="A90" s="10"/>
      <c r="B90" s="13"/>
      <c r="C90" s="13"/>
    </row>
    <row r="91" spans="1:3" ht="13" x14ac:dyDescent="0.15">
      <c r="A91" s="10"/>
      <c r="B91" s="13"/>
      <c r="C91" s="13"/>
    </row>
    <row r="92" spans="1:3" ht="13" x14ac:dyDescent="0.15">
      <c r="A92" s="10"/>
      <c r="B92" s="13"/>
      <c r="C92" s="13"/>
    </row>
    <row r="93" spans="1:3" ht="13" x14ac:dyDescent="0.15">
      <c r="A93" s="10"/>
      <c r="B93" s="13"/>
      <c r="C93" s="13"/>
    </row>
    <row r="94" spans="1:3" ht="13" x14ac:dyDescent="0.15">
      <c r="A94" s="10"/>
      <c r="B94" s="13"/>
      <c r="C94" s="13"/>
    </row>
    <row r="95" spans="1:3" ht="13" x14ac:dyDescent="0.15">
      <c r="A95" s="10"/>
      <c r="B95" s="13"/>
      <c r="C95" s="13"/>
    </row>
    <row r="96" spans="1:3" ht="13" x14ac:dyDescent="0.15">
      <c r="A96" s="10"/>
      <c r="B96" s="13"/>
      <c r="C96" s="13"/>
    </row>
    <row r="97" spans="1:3" ht="13" x14ac:dyDescent="0.15">
      <c r="A97" s="10"/>
      <c r="B97" s="13"/>
      <c r="C97" s="13"/>
    </row>
    <row r="98" spans="1:3" ht="13" x14ac:dyDescent="0.15">
      <c r="A98" s="10"/>
      <c r="B98" s="13"/>
      <c r="C98" s="13"/>
    </row>
    <row r="99" spans="1:3" ht="13" x14ac:dyDescent="0.15">
      <c r="A99" s="10"/>
      <c r="B99" s="13"/>
      <c r="C99" s="13"/>
    </row>
    <row r="100" spans="1:3" ht="13" x14ac:dyDescent="0.15">
      <c r="A100" s="10"/>
      <c r="B100" s="13"/>
      <c r="C100" s="13"/>
    </row>
    <row r="101" spans="1:3" ht="13" x14ac:dyDescent="0.15">
      <c r="A101" s="10"/>
      <c r="B101" s="13"/>
      <c r="C101" s="13"/>
    </row>
    <row r="102" spans="1:3" ht="13" x14ac:dyDescent="0.15">
      <c r="A102" s="10"/>
      <c r="B102" s="13"/>
      <c r="C102" s="13"/>
    </row>
    <row r="103" spans="1:3" ht="13" x14ac:dyDescent="0.15">
      <c r="A103" s="10"/>
      <c r="B103" s="13"/>
      <c r="C103" s="13"/>
    </row>
    <row r="104" spans="1:3" ht="13" x14ac:dyDescent="0.15">
      <c r="A104" s="10"/>
      <c r="B104" s="13"/>
      <c r="C104" s="13"/>
    </row>
    <row r="105" spans="1:3" ht="13" x14ac:dyDescent="0.15">
      <c r="A105" s="10"/>
      <c r="B105" s="13"/>
      <c r="C105" s="13"/>
    </row>
    <row r="106" spans="1:3" ht="13" x14ac:dyDescent="0.15">
      <c r="A106" s="10"/>
      <c r="B106" s="13"/>
      <c r="C106" s="13"/>
    </row>
    <row r="107" spans="1:3" ht="13" x14ac:dyDescent="0.15">
      <c r="A107" s="10"/>
      <c r="B107" s="13"/>
      <c r="C107" s="13"/>
    </row>
    <row r="108" spans="1:3" ht="13" x14ac:dyDescent="0.15">
      <c r="A108" s="10"/>
      <c r="B108" s="13"/>
      <c r="C108" s="13"/>
    </row>
    <row r="109" spans="1:3" ht="13" x14ac:dyDescent="0.15">
      <c r="A109" s="10"/>
      <c r="B109" s="13"/>
      <c r="C109" s="13"/>
    </row>
    <row r="110" spans="1:3" ht="13" x14ac:dyDescent="0.15">
      <c r="A110" s="10"/>
      <c r="B110" s="13"/>
      <c r="C110" s="13"/>
    </row>
    <row r="111" spans="1:3" ht="13" x14ac:dyDescent="0.15">
      <c r="A111" s="10"/>
      <c r="B111" s="13"/>
      <c r="C111" s="13"/>
    </row>
    <row r="112" spans="1:3" ht="13" x14ac:dyDescent="0.15">
      <c r="A112" s="10"/>
      <c r="B112" s="13"/>
      <c r="C112" s="13"/>
    </row>
    <row r="113" spans="1:3" ht="13" x14ac:dyDescent="0.15">
      <c r="A113" s="10"/>
      <c r="B113" s="13"/>
      <c r="C113" s="13"/>
    </row>
    <row r="114" spans="1:3" ht="13" x14ac:dyDescent="0.15">
      <c r="A114" s="10"/>
      <c r="B114" s="13"/>
      <c r="C114" s="13"/>
    </row>
    <row r="115" spans="1:3" ht="13" x14ac:dyDescent="0.15">
      <c r="A115" s="10"/>
      <c r="B115" s="13"/>
      <c r="C115" s="13"/>
    </row>
    <row r="116" spans="1:3" ht="13" x14ac:dyDescent="0.15">
      <c r="A116" s="10"/>
      <c r="B116" s="13"/>
      <c r="C116" s="13"/>
    </row>
    <row r="117" spans="1:3" ht="13" x14ac:dyDescent="0.15">
      <c r="A117" s="10"/>
      <c r="B117" s="13"/>
      <c r="C117" s="13"/>
    </row>
    <row r="118" spans="1:3" ht="13" x14ac:dyDescent="0.15">
      <c r="A118" s="10"/>
      <c r="B118" s="13"/>
      <c r="C118" s="13"/>
    </row>
    <row r="119" spans="1:3" ht="13" x14ac:dyDescent="0.15">
      <c r="A119" s="10"/>
      <c r="B119" s="13"/>
      <c r="C119" s="13"/>
    </row>
    <row r="120" spans="1:3" ht="13" x14ac:dyDescent="0.15">
      <c r="A120" s="10"/>
      <c r="B120" s="13"/>
      <c r="C120" s="13"/>
    </row>
    <row r="121" spans="1:3" ht="13" x14ac:dyDescent="0.15">
      <c r="A121" s="10"/>
      <c r="B121" s="13"/>
      <c r="C121" s="13"/>
    </row>
    <row r="122" spans="1:3" ht="13" x14ac:dyDescent="0.15">
      <c r="A122" s="10"/>
      <c r="B122" s="13"/>
      <c r="C122" s="13"/>
    </row>
    <row r="123" spans="1:3" ht="13" x14ac:dyDescent="0.15">
      <c r="A123" s="10"/>
      <c r="B123" s="13"/>
      <c r="C123" s="13"/>
    </row>
    <row r="124" spans="1:3" ht="13" x14ac:dyDescent="0.15">
      <c r="A124" s="10"/>
      <c r="B124" s="13"/>
      <c r="C124" s="13"/>
    </row>
    <row r="125" spans="1:3" ht="13" x14ac:dyDescent="0.15">
      <c r="A125" s="10"/>
      <c r="B125" s="13"/>
      <c r="C125" s="13"/>
    </row>
    <row r="126" spans="1:3" ht="13" x14ac:dyDescent="0.15">
      <c r="A126" s="10"/>
      <c r="B126" s="13"/>
      <c r="C126" s="13"/>
    </row>
    <row r="127" spans="1:3" ht="13" x14ac:dyDescent="0.15">
      <c r="A127" s="10"/>
      <c r="B127" s="13"/>
      <c r="C127" s="13"/>
    </row>
    <row r="128" spans="1:3" ht="13" x14ac:dyDescent="0.15">
      <c r="A128" s="10"/>
      <c r="B128" s="13"/>
      <c r="C128" s="13"/>
    </row>
    <row r="129" spans="1:3" ht="13" x14ac:dyDescent="0.15">
      <c r="A129" s="10"/>
      <c r="B129" s="13"/>
      <c r="C129" s="13"/>
    </row>
    <row r="130" spans="1:3" ht="13" x14ac:dyDescent="0.15">
      <c r="A130" s="10"/>
      <c r="B130" s="13"/>
      <c r="C130" s="13"/>
    </row>
    <row r="131" spans="1:3" ht="13" x14ac:dyDescent="0.15">
      <c r="A131" s="10"/>
      <c r="B131" s="13"/>
      <c r="C131" s="13"/>
    </row>
    <row r="132" spans="1:3" ht="13" x14ac:dyDescent="0.15">
      <c r="A132" s="10"/>
      <c r="B132" s="13"/>
      <c r="C132" s="13"/>
    </row>
    <row r="133" spans="1:3" ht="13" x14ac:dyDescent="0.15">
      <c r="A133" s="10"/>
      <c r="B133" s="13"/>
      <c r="C133" s="13"/>
    </row>
    <row r="134" spans="1:3" ht="13" x14ac:dyDescent="0.15">
      <c r="A134" s="10"/>
      <c r="B134" s="13"/>
      <c r="C134" s="13"/>
    </row>
    <row r="135" spans="1:3" ht="13" x14ac:dyDescent="0.15">
      <c r="A135" s="10"/>
      <c r="B135" s="13"/>
      <c r="C135" s="13"/>
    </row>
    <row r="136" spans="1:3" ht="13" x14ac:dyDescent="0.15">
      <c r="A136" s="10"/>
      <c r="B136" s="13"/>
      <c r="C136" s="13"/>
    </row>
    <row r="137" spans="1:3" ht="13" x14ac:dyDescent="0.15">
      <c r="A137" s="10"/>
      <c r="B137" s="13"/>
      <c r="C137" s="13"/>
    </row>
    <row r="138" spans="1:3" ht="13" x14ac:dyDescent="0.15">
      <c r="A138" s="10"/>
      <c r="B138" s="13"/>
      <c r="C138" s="13"/>
    </row>
    <row r="139" spans="1:3" ht="13" x14ac:dyDescent="0.15">
      <c r="A139" s="10"/>
      <c r="B139" s="13"/>
      <c r="C139" s="13"/>
    </row>
    <row r="140" spans="1:3" ht="13" x14ac:dyDescent="0.15">
      <c r="A140" s="10"/>
      <c r="B140" s="13"/>
      <c r="C140" s="13"/>
    </row>
    <row r="141" spans="1:3" ht="13" x14ac:dyDescent="0.15">
      <c r="A141" s="10"/>
      <c r="B141" s="13"/>
      <c r="C141" s="13"/>
    </row>
    <row r="142" spans="1:3" ht="13" x14ac:dyDescent="0.15">
      <c r="A142" s="10"/>
      <c r="B142" s="13"/>
      <c r="C142" s="13"/>
    </row>
    <row r="143" spans="1:3" ht="13" x14ac:dyDescent="0.15">
      <c r="A143" s="10"/>
      <c r="B143" s="13"/>
      <c r="C143" s="13"/>
    </row>
    <row r="144" spans="1:3" ht="13" x14ac:dyDescent="0.15">
      <c r="A144" s="10"/>
      <c r="B144" s="13"/>
      <c r="C144" s="13"/>
    </row>
    <row r="145" spans="1:3" ht="13" x14ac:dyDescent="0.15">
      <c r="A145" s="10"/>
      <c r="B145" s="13"/>
      <c r="C145" s="13"/>
    </row>
    <row r="146" spans="1:3" ht="13" x14ac:dyDescent="0.15">
      <c r="A146" s="10"/>
      <c r="B146" s="13"/>
      <c r="C146" s="13"/>
    </row>
    <row r="147" spans="1:3" ht="13" x14ac:dyDescent="0.15">
      <c r="A147" s="10"/>
      <c r="B147" s="13"/>
      <c r="C147" s="13"/>
    </row>
    <row r="148" spans="1:3" ht="13" x14ac:dyDescent="0.15">
      <c r="A148" s="10"/>
      <c r="B148" s="13"/>
      <c r="C148" s="13"/>
    </row>
    <row r="149" spans="1:3" ht="13" x14ac:dyDescent="0.15">
      <c r="A149" s="10"/>
      <c r="B149" s="13"/>
      <c r="C149" s="13"/>
    </row>
    <row r="150" spans="1:3" ht="13" x14ac:dyDescent="0.15">
      <c r="A150" s="10"/>
      <c r="B150" s="13"/>
      <c r="C150" s="13"/>
    </row>
    <row r="151" spans="1:3" ht="13" x14ac:dyDescent="0.15">
      <c r="A151" s="10"/>
      <c r="B151" s="13"/>
      <c r="C151" s="13"/>
    </row>
    <row r="152" spans="1:3" ht="13" x14ac:dyDescent="0.15">
      <c r="A152" s="10"/>
      <c r="B152" s="13"/>
      <c r="C152" s="13"/>
    </row>
    <row r="153" spans="1:3" ht="13" x14ac:dyDescent="0.15">
      <c r="A153" s="10"/>
      <c r="B153" s="13"/>
      <c r="C153" s="13"/>
    </row>
    <row r="154" spans="1:3" ht="13" x14ac:dyDescent="0.15">
      <c r="A154" s="10"/>
      <c r="B154" s="13"/>
      <c r="C154" s="13"/>
    </row>
    <row r="155" spans="1:3" ht="13" x14ac:dyDescent="0.15">
      <c r="A155" s="10"/>
      <c r="B155" s="13"/>
      <c r="C155" s="13"/>
    </row>
    <row r="156" spans="1:3" ht="13" x14ac:dyDescent="0.15">
      <c r="A156" s="10"/>
      <c r="B156" s="13"/>
      <c r="C156" s="13"/>
    </row>
    <row r="157" spans="1:3" ht="13" x14ac:dyDescent="0.15">
      <c r="A157" s="10"/>
      <c r="B157" s="13"/>
      <c r="C157" s="13"/>
    </row>
    <row r="158" spans="1:3" ht="13" x14ac:dyDescent="0.15">
      <c r="A158" s="10"/>
      <c r="B158" s="13"/>
      <c r="C158" s="13"/>
    </row>
    <row r="159" spans="1:3" ht="13" x14ac:dyDescent="0.15">
      <c r="A159" s="10"/>
      <c r="B159" s="13"/>
      <c r="C159" s="13"/>
    </row>
    <row r="160" spans="1:3" ht="13" x14ac:dyDescent="0.15">
      <c r="A160" s="10"/>
      <c r="B160" s="13"/>
      <c r="C160" s="13"/>
    </row>
    <row r="161" spans="1:3" ht="13" x14ac:dyDescent="0.15">
      <c r="A161" s="10"/>
      <c r="B161" s="13"/>
      <c r="C161" s="13"/>
    </row>
    <row r="162" spans="1:3" ht="13" x14ac:dyDescent="0.15">
      <c r="A162" s="10"/>
      <c r="B162" s="13"/>
      <c r="C162" s="13"/>
    </row>
    <row r="163" spans="1:3" ht="13" x14ac:dyDescent="0.15">
      <c r="A163" s="10"/>
      <c r="B163" s="13"/>
      <c r="C163" s="13"/>
    </row>
    <row r="164" spans="1:3" ht="13" x14ac:dyDescent="0.15">
      <c r="A164" s="10"/>
      <c r="B164" s="13"/>
      <c r="C164" s="13"/>
    </row>
    <row r="165" spans="1:3" ht="13" x14ac:dyDescent="0.15">
      <c r="A165" s="10"/>
      <c r="B165" s="13"/>
      <c r="C165" s="13"/>
    </row>
    <row r="166" spans="1:3" ht="13" x14ac:dyDescent="0.15">
      <c r="A166" s="10"/>
      <c r="B166" s="13"/>
      <c r="C166" s="13"/>
    </row>
    <row r="167" spans="1:3" ht="13" x14ac:dyDescent="0.15">
      <c r="A167" s="10"/>
      <c r="B167" s="13"/>
      <c r="C167" s="13"/>
    </row>
    <row r="168" spans="1:3" ht="13" x14ac:dyDescent="0.15">
      <c r="A168" s="10"/>
      <c r="B168" s="13"/>
      <c r="C168" s="13"/>
    </row>
    <row r="169" spans="1:3" ht="13" x14ac:dyDescent="0.15">
      <c r="A169" s="10"/>
      <c r="B169" s="13"/>
      <c r="C169" s="13"/>
    </row>
    <row r="170" spans="1:3" ht="13" x14ac:dyDescent="0.15">
      <c r="A170" s="10"/>
      <c r="B170" s="13"/>
      <c r="C170" s="13"/>
    </row>
    <row r="171" spans="1:3" ht="13" x14ac:dyDescent="0.15">
      <c r="A171" s="10"/>
      <c r="B171" s="13"/>
      <c r="C171" s="13"/>
    </row>
    <row r="172" spans="1:3" ht="13" x14ac:dyDescent="0.15">
      <c r="A172" s="10"/>
      <c r="B172" s="13"/>
      <c r="C172" s="13"/>
    </row>
    <row r="173" spans="1:3" ht="13" x14ac:dyDescent="0.15">
      <c r="A173" s="10"/>
      <c r="B173" s="13"/>
      <c r="C173" s="13"/>
    </row>
    <row r="174" spans="1:3" ht="13" x14ac:dyDescent="0.15">
      <c r="A174" s="10"/>
      <c r="B174" s="13"/>
      <c r="C174" s="13"/>
    </row>
    <row r="175" spans="1:3" ht="13" x14ac:dyDescent="0.15">
      <c r="A175" s="10"/>
      <c r="B175" s="13"/>
      <c r="C175" s="13"/>
    </row>
    <row r="176" spans="1:3" ht="13" x14ac:dyDescent="0.15">
      <c r="A176" s="10"/>
      <c r="B176" s="13"/>
      <c r="C176" s="13"/>
    </row>
    <row r="177" spans="1:3" ht="13" x14ac:dyDescent="0.15">
      <c r="A177" s="10"/>
      <c r="B177" s="13"/>
      <c r="C177" s="13"/>
    </row>
    <row r="178" spans="1:3" ht="13" x14ac:dyDescent="0.15">
      <c r="A178" s="10"/>
      <c r="B178" s="13"/>
      <c r="C178" s="13"/>
    </row>
    <row r="179" spans="1:3" ht="13" x14ac:dyDescent="0.15">
      <c r="A179" s="10"/>
      <c r="B179" s="13"/>
      <c r="C179" s="13"/>
    </row>
    <row r="180" spans="1:3" ht="13" x14ac:dyDescent="0.15">
      <c r="A180" s="10"/>
      <c r="B180" s="13"/>
      <c r="C180" s="13"/>
    </row>
    <row r="181" spans="1:3" ht="13" x14ac:dyDescent="0.15">
      <c r="A181" s="10"/>
      <c r="B181" s="13"/>
      <c r="C181" s="13"/>
    </row>
    <row r="182" spans="1:3" ht="13" x14ac:dyDescent="0.15">
      <c r="A182" s="10"/>
      <c r="B182" s="13"/>
      <c r="C182" s="13"/>
    </row>
    <row r="183" spans="1:3" ht="13" x14ac:dyDescent="0.15">
      <c r="A183" s="10"/>
      <c r="B183" s="13"/>
      <c r="C183" s="13"/>
    </row>
    <row r="184" spans="1:3" ht="13" x14ac:dyDescent="0.15">
      <c r="A184" s="10"/>
      <c r="B184" s="13"/>
      <c r="C184" s="13"/>
    </row>
    <row r="185" spans="1:3" ht="13" x14ac:dyDescent="0.15">
      <c r="A185" s="10"/>
      <c r="B185" s="13"/>
      <c r="C185" s="13"/>
    </row>
    <row r="186" spans="1:3" ht="13" x14ac:dyDescent="0.15">
      <c r="A186" s="10"/>
      <c r="B186" s="13"/>
      <c r="C186" s="13"/>
    </row>
    <row r="187" spans="1:3" ht="13" x14ac:dyDescent="0.15">
      <c r="A187" s="10"/>
      <c r="B187" s="13"/>
      <c r="C187" s="13"/>
    </row>
    <row r="188" spans="1:3" ht="13" x14ac:dyDescent="0.15">
      <c r="A188" s="10"/>
      <c r="B188" s="13"/>
      <c r="C188" s="13"/>
    </row>
    <row r="189" spans="1:3" ht="13" x14ac:dyDescent="0.15">
      <c r="A189" s="10"/>
      <c r="B189" s="13"/>
      <c r="C189" s="13"/>
    </row>
    <row r="190" spans="1:3" ht="13" x14ac:dyDescent="0.15">
      <c r="A190" s="10"/>
      <c r="B190" s="13"/>
      <c r="C190" s="13"/>
    </row>
    <row r="191" spans="1:3" ht="13" x14ac:dyDescent="0.15">
      <c r="A191" s="10"/>
      <c r="B191" s="13"/>
      <c r="C191" s="13"/>
    </row>
    <row r="192" spans="1:3" ht="13" x14ac:dyDescent="0.15">
      <c r="A192" s="10"/>
      <c r="B192" s="13"/>
      <c r="C192" s="13"/>
    </row>
    <row r="193" spans="1:3" ht="13" x14ac:dyDescent="0.15">
      <c r="A193" s="10"/>
      <c r="B193" s="13"/>
      <c r="C193" s="13"/>
    </row>
    <row r="194" spans="1:3" ht="13" x14ac:dyDescent="0.15">
      <c r="A194" s="10"/>
      <c r="B194" s="13"/>
      <c r="C194" s="13"/>
    </row>
    <row r="195" spans="1:3" ht="13" x14ac:dyDescent="0.15">
      <c r="A195" s="10"/>
      <c r="B195" s="13"/>
      <c r="C195" s="13"/>
    </row>
    <row r="196" spans="1:3" ht="13" x14ac:dyDescent="0.15">
      <c r="A196" s="10"/>
      <c r="B196" s="13"/>
      <c r="C196" s="13"/>
    </row>
    <row r="197" spans="1:3" ht="13" x14ac:dyDescent="0.15">
      <c r="A197" s="10"/>
      <c r="B197" s="13"/>
      <c r="C197" s="13"/>
    </row>
    <row r="198" spans="1:3" ht="13" x14ac:dyDescent="0.15">
      <c r="A198" s="10"/>
      <c r="B198" s="13"/>
      <c r="C198" s="13"/>
    </row>
    <row r="199" spans="1:3" ht="13" x14ac:dyDescent="0.15">
      <c r="A199" s="10"/>
      <c r="B199" s="13"/>
      <c r="C199" s="13"/>
    </row>
    <row r="200" spans="1:3" ht="13" x14ac:dyDescent="0.15">
      <c r="A200" s="10"/>
      <c r="B200" s="13"/>
      <c r="C200" s="13"/>
    </row>
    <row r="201" spans="1:3" ht="13" x14ac:dyDescent="0.15">
      <c r="A201" s="10"/>
      <c r="B201" s="13"/>
      <c r="C201" s="13"/>
    </row>
    <row r="202" spans="1:3" ht="13" x14ac:dyDescent="0.15">
      <c r="A202" s="10"/>
      <c r="B202" s="13"/>
      <c r="C202" s="13"/>
    </row>
    <row r="203" spans="1:3" ht="13" x14ac:dyDescent="0.15">
      <c r="A203" s="10"/>
      <c r="B203" s="13"/>
      <c r="C203" s="13"/>
    </row>
    <row r="204" spans="1:3" ht="13" x14ac:dyDescent="0.15">
      <c r="A204" s="10"/>
      <c r="B204" s="13"/>
      <c r="C204" s="13"/>
    </row>
    <row r="205" spans="1:3" ht="13" x14ac:dyDescent="0.15">
      <c r="A205" s="10"/>
      <c r="B205" s="13"/>
      <c r="C205" s="13"/>
    </row>
    <row r="206" spans="1:3" ht="13" x14ac:dyDescent="0.15">
      <c r="A206" s="10"/>
      <c r="B206" s="13"/>
      <c r="C206" s="13"/>
    </row>
    <row r="207" spans="1:3" ht="13" x14ac:dyDescent="0.15">
      <c r="A207" s="10"/>
      <c r="B207" s="13"/>
      <c r="C207" s="13"/>
    </row>
    <row r="208" spans="1:3" ht="13" x14ac:dyDescent="0.15">
      <c r="A208" s="10"/>
      <c r="B208" s="13"/>
      <c r="C208" s="13"/>
    </row>
    <row r="209" spans="1:3" ht="13" x14ac:dyDescent="0.15">
      <c r="A209" s="10"/>
      <c r="B209" s="13"/>
      <c r="C209" s="13"/>
    </row>
    <row r="210" spans="1:3" ht="13" x14ac:dyDescent="0.15">
      <c r="A210" s="10"/>
      <c r="B210" s="13"/>
      <c r="C210" s="13"/>
    </row>
    <row r="211" spans="1:3" ht="13" x14ac:dyDescent="0.15">
      <c r="A211" s="10"/>
      <c r="B211" s="13"/>
      <c r="C211" s="13"/>
    </row>
    <row r="212" spans="1:3" ht="13" x14ac:dyDescent="0.15">
      <c r="A212" s="10"/>
      <c r="B212" s="13"/>
      <c r="C212" s="13"/>
    </row>
    <row r="213" spans="1:3" ht="13" x14ac:dyDescent="0.15">
      <c r="A213" s="10"/>
      <c r="B213" s="13"/>
      <c r="C213" s="13"/>
    </row>
    <row r="214" spans="1:3" ht="13" x14ac:dyDescent="0.15">
      <c r="A214" s="10"/>
      <c r="B214" s="13"/>
      <c r="C214" s="13"/>
    </row>
    <row r="215" spans="1:3" ht="13" x14ac:dyDescent="0.15">
      <c r="A215" s="10"/>
      <c r="B215" s="13"/>
      <c r="C215" s="13"/>
    </row>
    <row r="216" spans="1:3" ht="13" x14ac:dyDescent="0.15">
      <c r="A216" s="10"/>
      <c r="B216" s="13"/>
      <c r="C216" s="13"/>
    </row>
    <row r="217" spans="1:3" ht="13" x14ac:dyDescent="0.15">
      <c r="A217" s="10"/>
      <c r="B217" s="13"/>
      <c r="C217" s="13"/>
    </row>
    <row r="218" spans="1:3" ht="13" x14ac:dyDescent="0.15">
      <c r="A218" s="10"/>
      <c r="B218" s="13"/>
      <c r="C218" s="13"/>
    </row>
    <row r="219" spans="1:3" ht="13" x14ac:dyDescent="0.15">
      <c r="A219" s="10"/>
      <c r="B219" s="13"/>
      <c r="C219" s="13"/>
    </row>
    <row r="220" spans="1:3" ht="13" x14ac:dyDescent="0.15">
      <c r="A220" s="10"/>
      <c r="B220" s="13"/>
      <c r="C220" s="13"/>
    </row>
    <row r="221" spans="1:3" ht="13" x14ac:dyDescent="0.15">
      <c r="A221" s="10"/>
      <c r="B221" s="13"/>
      <c r="C221" s="13"/>
    </row>
    <row r="222" spans="1:3" ht="13" x14ac:dyDescent="0.15">
      <c r="A222" s="10"/>
      <c r="B222" s="13"/>
      <c r="C222" s="13"/>
    </row>
    <row r="223" spans="1:3" ht="13" x14ac:dyDescent="0.15">
      <c r="A223" s="10"/>
      <c r="B223" s="13"/>
      <c r="C223" s="13"/>
    </row>
    <row r="224" spans="1:3" ht="13" x14ac:dyDescent="0.15">
      <c r="A224" s="10"/>
      <c r="B224" s="13"/>
      <c r="C224" s="13"/>
    </row>
    <row r="225" spans="1:3" ht="13" x14ac:dyDescent="0.15">
      <c r="A225" s="10"/>
      <c r="B225" s="13"/>
      <c r="C225" s="13"/>
    </row>
    <row r="226" spans="1:3" ht="13" x14ac:dyDescent="0.15">
      <c r="A226" s="10"/>
      <c r="B226" s="13"/>
      <c r="C226" s="13"/>
    </row>
    <row r="227" spans="1:3" ht="13" x14ac:dyDescent="0.15">
      <c r="A227" s="10"/>
      <c r="B227" s="13"/>
      <c r="C227" s="13"/>
    </row>
    <row r="228" spans="1:3" ht="13" x14ac:dyDescent="0.15">
      <c r="A228" s="10"/>
      <c r="B228" s="13"/>
      <c r="C228" s="13"/>
    </row>
    <row r="229" spans="1:3" ht="13" x14ac:dyDescent="0.15">
      <c r="A229" s="10"/>
      <c r="B229" s="13"/>
      <c r="C229" s="13"/>
    </row>
    <row r="230" spans="1:3" ht="13" x14ac:dyDescent="0.15">
      <c r="A230" s="10"/>
      <c r="B230" s="13"/>
      <c r="C230" s="13"/>
    </row>
    <row r="231" spans="1:3" ht="13" x14ac:dyDescent="0.15">
      <c r="A231" s="10"/>
      <c r="B231" s="13"/>
      <c r="C231" s="13"/>
    </row>
    <row r="232" spans="1:3" ht="13" x14ac:dyDescent="0.15">
      <c r="A232" s="10"/>
      <c r="B232" s="13"/>
      <c r="C232" s="13"/>
    </row>
    <row r="233" spans="1:3" ht="13" x14ac:dyDescent="0.15">
      <c r="A233" s="10"/>
      <c r="B233" s="13"/>
      <c r="C233" s="13"/>
    </row>
    <row r="234" spans="1:3" ht="13" x14ac:dyDescent="0.15">
      <c r="A234" s="10"/>
      <c r="B234" s="13"/>
      <c r="C234" s="13"/>
    </row>
    <row r="235" spans="1:3" ht="13" x14ac:dyDescent="0.15">
      <c r="A235" s="10"/>
      <c r="B235" s="13"/>
      <c r="C235" s="13"/>
    </row>
    <row r="236" spans="1:3" ht="13" x14ac:dyDescent="0.15">
      <c r="A236" s="10"/>
      <c r="B236" s="13"/>
      <c r="C236" s="13"/>
    </row>
    <row r="237" spans="1:3" ht="13" x14ac:dyDescent="0.15">
      <c r="A237" s="10"/>
      <c r="B237" s="13"/>
      <c r="C237" s="13"/>
    </row>
    <row r="238" spans="1:3" ht="13" x14ac:dyDescent="0.15">
      <c r="A238" s="10"/>
      <c r="B238" s="13"/>
      <c r="C238" s="13"/>
    </row>
    <row r="239" spans="1:3" ht="13" x14ac:dyDescent="0.15">
      <c r="A239" s="10"/>
      <c r="B239" s="13"/>
      <c r="C239" s="13"/>
    </row>
    <row r="240" spans="1:3" ht="13" x14ac:dyDescent="0.15">
      <c r="A240" s="10"/>
      <c r="B240" s="13"/>
      <c r="C240" s="13"/>
    </row>
    <row r="241" spans="1:3" ht="13" x14ac:dyDescent="0.15">
      <c r="A241" s="10"/>
      <c r="B241" s="13"/>
      <c r="C241" s="13"/>
    </row>
    <row r="242" spans="1:3" ht="13" x14ac:dyDescent="0.15">
      <c r="A242" s="10"/>
      <c r="B242" s="13"/>
      <c r="C242" s="13"/>
    </row>
    <row r="243" spans="1:3" ht="13" x14ac:dyDescent="0.15">
      <c r="A243" s="10"/>
      <c r="B243" s="13"/>
      <c r="C243" s="13"/>
    </row>
    <row r="244" spans="1:3" ht="13" x14ac:dyDescent="0.15">
      <c r="A244" s="10"/>
      <c r="B244" s="13"/>
      <c r="C244" s="13"/>
    </row>
    <row r="245" spans="1:3" ht="13" x14ac:dyDescent="0.15">
      <c r="A245" s="10"/>
      <c r="B245" s="13"/>
      <c r="C245" s="13"/>
    </row>
    <row r="246" spans="1:3" ht="13" x14ac:dyDescent="0.15">
      <c r="A246" s="10"/>
      <c r="B246" s="13"/>
      <c r="C246" s="13"/>
    </row>
    <row r="247" spans="1:3" ht="13" x14ac:dyDescent="0.15">
      <c r="A247" s="10"/>
      <c r="B247" s="13"/>
      <c r="C247" s="13"/>
    </row>
    <row r="248" spans="1:3" ht="13" x14ac:dyDescent="0.15">
      <c r="A248" s="10"/>
      <c r="B248" s="13"/>
      <c r="C248" s="13"/>
    </row>
    <row r="249" spans="1:3" ht="13" x14ac:dyDescent="0.15">
      <c r="A249" s="10"/>
      <c r="B249" s="13"/>
      <c r="C249" s="13"/>
    </row>
    <row r="250" spans="1:3" ht="13" x14ac:dyDescent="0.15">
      <c r="A250" s="10"/>
      <c r="B250" s="13"/>
      <c r="C250" s="13"/>
    </row>
    <row r="251" spans="1:3" ht="13" x14ac:dyDescent="0.15">
      <c r="A251" s="10"/>
      <c r="B251" s="13"/>
      <c r="C251" s="13"/>
    </row>
    <row r="252" spans="1:3" ht="13" x14ac:dyDescent="0.15">
      <c r="A252" s="10"/>
      <c r="B252" s="13"/>
      <c r="C252" s="13"/>
    </row>
    <row r="253" spans="1:3" ht="13" x14ac:dyDescent="0.15">
      <c r="A253" s="10"/>
      <c r="B253" s="13"/>
      <c r="C253" s="13"/>
    </row>
    <row r="254" spans="1:3" ht="13" x14ac:dyDescent="0.15">
      <c r="A254" s="10"/>
      <c r="B254" s="13"/>
      <c r="C254" s="13"/>
    </row>
    <row r="255" spans="1:3" ht="13" x14ac:dyDescent="0.15">
      <c r="A255" s="10"/>
      <c r="B255" s="13"/>
      <c r="C255" s="13"/>
    </row>
    <row r="256" spans="1:3" ht="13" x14ac:dyDescent="0.15">
      <c r="A256" s="10"/>
      <c r="B256" s="13"/>
      <c r="C256" s="13"/>
    </row>
    <row r="257" spans="1:3" ht="13" x14ac:dyDescent="0.15">
      <c r="A257" s="10"/>
      <c r="B257" s="13"/>
      <c r="C257" s="13"/>
    </row>
    <row r="258" spans="1:3" ht="13" x14ac:dyDescent="0.15">
      <c r="A258" s="10"/>
      <c r="B258" s="13"/>
      <c r="C258" s="13"/>
    </row>
    <row r="259" spans="1:3" ht="13" x14ac:dyDescent="0.15">
      <c r="A259" s="10"/>
      <c r="B259" s="13"/>
      <c r="C259" s="13"/>
    </row>
    <row r="260" spans="1:3" ht="13" x14ac:dyDescent="0.15">
      <c r="A260" s="10"/>
      <c r="B260" s="13"/>
      <c r="C260" s="13"/>
    </row>
    <row r="261" spans="1:3" ht="13" x14ac:dyDescent="0.15">
      <c r="A261" s="10"/>
      <c r="B261" s="13"/>
      <c r="C261" s="13"/>
    </row>
    <row r="262" spans="1:3" ht="13" x14ac:dyDescent="0.15">
      <c r="A262" s="10"/>
      <c r="B262" s="13"/>
      <c r="C262" s="13"/>
    </row>
    <row r="263" spans="1:3" ht="13" x14ac:dyDescent="0.15">
      <c r="A263" s="10"/>
      <c r="B263" s="13"/>
      <c r="C263" s="13"/>
    </row>
    <row r="264" spans="1:3" ht="13" x14ac:dyDescent="0.15">
      <c r="A264" s="10"/>
      <c r="B264" s="13"/>
      <c r="C264" s="13"/>
    </row>
    <row r="265" spans="1:3" ht="13" x14ac:dyDescent="0.15">
      <c r="A265" s="10"/>
      <c r="B265" s="13"/>
      <c r="C265" s="13"/>
    </row>
    <row r="266" spans="1:3" ht="13" x14ac:dyDescent="0.15">
      <c r="A266" s="10"/>
      <c r="B266" s="13"/>
      <c r="C266" s="13"/>
    </row>
    <row r="267" spans="1:3" ht="13" x14ac:dyDescent="0.15">
      <c r="A267" s="10"/>
      <c r="B267" s="13"/>
      <c r="C267" s="13"/>
    </row>
    <row r="268" spans="1:3" ht="13" x14ac:dyDescent="0.15">
      <c r="A268" s="10"/>
      <c r="B268" s="13"/>
      <c r="C268" s="13"/>
    </row>
    <row r="269" spans="1:3" ht="13" x14ac:dyDescent="0.15">
      <c r="A269" s="10"/>
      <c r="B269" s="13"/>
      <c r="C269" s="13"/>
    </row>
    <row r="270" spans="1:3" ht="13" x14ac:dyDescent="0.15">
      <c r="A270" s="10"/>
      <c r="B270" s="13"/>
      <c r="C270" s="13"/>
    </row>
    <row r="271" spans="1:3" ht="13" x14ac:dyDescent="0.15">
      <c r="A271" s="10"/>
      <c r="B271" s="13"/>
      <c r="C271" s="13"/>
    </row>
    <row r="272" spans="1:3" ht="13" x14ac:dyDescent="0.15">
      <c r="A272" s="10"/>
      <c r="B272" s="13"/>
      <c r="C272" s="13"/>
    </row>
    <row r="273" spans="1:3" ht="13" x14ac:dyDescent="0.15">
      <c r="A273" s="10"/>
      <c r="B273" s="13"/>
      <c r="C273" s="13"/>
    </row>
    <row r="274" spans="1:3" ht="13" x14ac:dyDescent="0.15">
      <c r="A274" s="10"/>
      <c r="B274" s="13"/>
      <c r="C274" s="13"/>
    </row>
    <row r="275" spans="1:3" ht="13" x14ac:dyDescent="0.15">
      <c r="A275" s="10"/>
      <c r="B275" s="13"/>
      <c r="C275" s="13"/>
    </row>
    <row r="276" spans="1:3" ht="13" x14ac:dyDescent="0.15">
      <c r="A276" s="10"/>
      <c r="B276" s="13"/>
      <c r="C276" s="13"/>
    </row>
    <row r="277" spans="1:3" ht="13" x14ac:dyDescent="0.15">
      <c r="A277" s="10"/>
      <c r="B277" s="13"/>
      <c r="C277" s="13"/>
    </row>
    <row r="278" spans="1:3" ht="13" x14ac:dyDescent="0.15">
      <c r="A278" s="10"/>
      <c r="B278" s="13"/>
      <c r="C278" s="13"/>
    </row>
    <row r="279" spans="1:3" ht="13" x14ac:dyDescent="0.15">
      <c r="A279" s="10"/>
      <c r="B279" s="13"/>
      <c r="C279" s="13"/>
    </row>
    <row r="280" spans="1:3" ht="13" x14ac:dyDescent="0.15">
      <c r="A280" s="10"/>
      <c r="B280" s="13"/>
      <c r="C280" s="13"/>
    </row>
    <row r="281" spans="1:3" ht="13" x14ac:dyDescent="0.15">
      <c r="A281" s="10"/>
      <c r="B281" s="13"/>
      <c r="C281" s="13"/>
    </row>
    <row r="282" spans="1:3" ht="13" x14ac:dyDescent="0.15">
      <c r="A282" s="10"/>
      <c r="B282" s="13"/>
      <c r="C282" s="13"/>
    </row>
    <row r="283" spans="1:3" ht="13" x14ac:dyDescent="0.15">
      <c r="A283" s="10"/>
      <c r="B283" s="13"/>
      <c r="C283" s="13"/>
    </row>
    <row r="284" spans="1:3" ht="13" x14ac:dyDescent="0.15">
      <c r="A284" s="10"/>
      <c r="B284" s="13"/>
      <c r="C284" s="13"/>
    </row>
    <row r="285" spans="1:3" ht="13" x14ac:dyDescent="0.15">
      <c r="A285" s="10"/>
      <c r="B285" s="13"/>
      <c r="C285" s="13"/>
    </row>
    <row r="286" spans="1:3" ht="13" x14ac:dyDescent="0.15">
      <c r="A286" s="10"/>
      <c r="B286" s="13"/>
      <c r="C286" s="13"/>
    </row>
    <row r="287" spans="1:3" ht="13" x14ac:dyDescent="0.15">
      <c r="A287" s="10"/>
      <c r="B287" s="13"/>
      <c r="C287" s="13"/>
    </row>
    <row r="288" spans="1:3" ht="13" x14ac:dyDescent="0.15">
      <c r="A288" s="10"/>
      <c r="B288" s="13"/>
      <c r="C288" s="13"/>
    </row>
    <row r="289" spans="1:3" ht="13" x14ac:dyDescent="0.15">
      <c r="A289" s="10"/>
      <c r="B289" s="13"/>
      <c r="C289" s="13"/>
    </row>
    <row r="290" spans="1:3" ht="13" x14ac:dyDescent="0.15">
      <c r="A290" s="10"/>
      <c r="B290" s="13"/>
      <c r="C290" s="13"/>
    </row>
    <row r="291" spans="1:3" ht="13" x14ac:dyDescent="0.15">
      <c r="A291" s="10"/>
      <c r="B291" s="13"/>
      <c r="C291" s="13"/>
    </row>
    <row r="292" spans="1:3" ht="13" x14ac:dyDescent="0.15">
      <c r="A292" s="10"/>
      <c r="B292" s="13"/>
      <c r="C292" s="13"/>
    </row>
    <row r="293" spans="1:3" ht="13" x14ac:dyDescent="0.15">
      <c r="A293" s="10"/>
      <c r="B293" s="13"/>
      <c r="C293" s="13"/>
    </row>
    <row r="294" spans="1:3" ht="13" x14ac:dyDescent="0.15">
      <c r="A294" s="10"/>
      <c r="B294" s="13"/>
      <c r="C294" s="13"/>
    </row>
    <row r="295" spans="1:3" ht="13" x14ac:dyDescent="0.15">
      <c r="A295" s="10"/>
      <c r="B295" s="13"/>
      <c r="C295" s="13"/>
    </row>
    <row r="296" spans="1:3" ht="13" x14ac:dyDescent="0.15">
      <c r="A296" s="10"/>
      <c r="B296" s="13"/>
      <c r="C296" s="13"/>
    </row>
    <row r="297" spans="1:3" ht="13" x14ac:dyDescent="0.15">
      <c r="A297" s="10"/>
      <c r="B297" s="13"/>
      <c r="C297" s="13"/>
    </row>
    <row r="298" spans="1:3" ht="13" x14ac:dyDescent="0.15">
      <c r="A298" s="10"/>
      <c r="B298" s="13"/>
      <c r="C298" s="13"/>
    </row>
    <row r="299" spans="1:3" ht="13" x14ac:dyDescent="0.15">
      <c r="A299" s="10"/>
      <c r="B299" s="13"/>
      <c r="C299" s="13"/>
    </row>
    <row r="300" spans="1:3" ht="13" x14ac:dyDescent="0.15">
      <c r="A300" s="10"/>
      <c r="B300" s="13"/>
      <c r="C300" s="13"/>
    </row>
    <row r="301" spans="1:3" ht="13" x14ac:dyDescent="0.15">
      <c r="A301" s="10"/>
      <c r="B301" s="13"/>
      <c r="C301" s="13"/>
    </row>
    <row r="302" spans="1:3" ht="13" x14ac:dyDescent="0.15">
      <c r="A302" s="10"/>
      <c r="B302" s="13"/>
      <c r="C302" s="13"/>
    </row>
    <row r="303" spans="1:3" ht="13" x14ac:dyDescent="0.15">
      <c r="A303" s="10"/>
      <c r="B303" s="13"/>
      <c r="C303" s="13"/>
    </row>
    <row r="304" spans="1:3" ht="13" x14ac:dyDescent="0.15">
      <c r="A304" s="10"/>
      <c r="B304" s="13"/>
      <c r="C304" s="13"/>
    </row>
    <row r="305" spans="1:3" ht="13" x14ac:dyDescent="0.15">
      <c r="A305" s="10"/>
      <c r="B305" s="13"/>
      <c r="C305" s="13"/>
    </row>
    <row r="306" spans="1:3" ht="13" x14ac:dyDescent="0.15">
      <c r="A306" s="10"/>
      <c r="B306" s="13"/>
      <c r="C306" s="13"/>
    </row>
    <row r="307" spans="1:3" ht="13" x14ac:dyDescent="0.15">
      <c r="A307" s="10"/>
      <c r="B307" s="13"/>
      <c r="C307" s="13"/>
    </row>
    <row r="308" spans="1:3" ht="13" x14ac:dyDescent="0.15">
      <c r="A308" s="10"/>
      <c r="B308" s="13"/>
      <c r="C308" s="13"/>
    </row>
    <row r="309" spans="1:3" ht="13" x14ac:dyDescent="0.15">
      <c r="A309" s="10"/>
      <c r="B309" s="13"/>
      <c r="C309" s="13"/>
    </row>
    <row r="310" spans="1:3" ht="13" x14ac:dyDescent="0.15">
      <c r="A310" s="10"/>
      <c r="B310" s="13"/>
      <c r="C310" s="13"/>
    </row>
    <row r="311" spans="1:3" ht="13" x14ac:dyDescent="0.15">
      <c r="A311" s="10"/>
      <c r="B311" s="13"/>
      <c r="C311" s="13"/>
    </row>
    <row r="312" spans="1:3" ht="13" x14ac:dyDescent="0.15">
      <c r="A312" s="10"/>
      <c r="B312" s="13"/>
      <c r="C312" s="13"/>
    </row>
    <row r="313" spans="1:3" ht="13" x14ac:dyDescent="0.15">
      <c r="A313" s="10"/>
      <c r="B313" s="13"/>
      <c r="C313" s="13"/>
    </row>
    <row r="314" spans="1:3" ht="13" x14ac:dyDescent="0.15">
      <c r="A314" s="10"/>
      <c r="B314" s="13"/>
      <c r="C314" s="13"/>
    </row>
    <row r="315" spans="1:3" ht="13" x14ac:dyDescent="0.15">
      <c r="A315" s="10"/>
      <c r="B315" s="13"/>
      <c r="C315" s="13"/>
    </row>
    <row r="316" spans="1:3" ht="13" x14ac:dyDescent="0.15">
      <c r="A316" s="10"/>
      <c r="B316" s="13"/>
      <c r="C316" s="13"/>
    </row>
    <row r="317" spans="1:3" ht="13" x14ac:dyDescent="0.15">
      <c r="A317" s="10"/>
      <c r="B317" s="13"/>
      <c r="C317" s="13"/>
    </row>
    <row r="318" spans="1:3" ht="13" x14ac:dyDescent="0.15">
      <c r="A318" s="10"/>
      <c r="B318" s="13"/>
      <c r="C318" s="13"/>
    </row>
    <row r="319" spans="1:3" ht="13" x14ac:dyDescent="0.15">
      <c r="A319" s="10"/>
      <c r="B319" s="13"/>
      <c r="C319" s="13"/>
    </row>
    <row r="320" spans="1:3" ht="13" x14ac:dyDescent="0.15">
      <c r="A320" s="10"/>
      <c r="B320" s="13"/>
      <c r="C320" s="13"/>
    </row>
    <row r="321" spans="1:3" ht="13" x14ac:dyDescent="0.15">
      <c r="A321" s="10"/>
      <c r="B321" s="13"/>
      <c r="C321" s="13"/>
    </row>
    <row r="322" spans="1:3" ht="13" x14ac:dyDescent="0.15">
      <c r="A322" s="10"/>
      <c r="B322" s="13"/>
      <c r="C322" s="13"/>
    </row>
    <row r="323" spans="1:3" ht="13" x14ac:dyDescent="0.15">
      <c r="A323" s="10"/>
      <c r="B323" s="13"/>
      <c r="C323" s="13"/>
    </row>
    <row r="324" spans="1:3" ht="13" x14ac:dyDescent="0.15">
      <c r="A324" s="10"/>
      <c r="B324" s="13"/>
      <c r="C324" s="13"/>
    </row>
    <row r="325" spans="1:3" ht="13" x14ac:dyDescent="0.15">
      <c r="A325" s="10"/>
      <c r="B325" s="13"/>
      <c r="C325" s="13"/>
    </row>
    <row r="326" spans="1:3" ht="13" x14ac:dyDescent="0.15">
      <c r="A326" s="10"/>
      <c r="B326" s="13"/>
      <c r="C326" s="13"/>
    </row>
    <row r="327" spans="1:3" ht="13" x14ac:dyDescent="0.15">
      <c r="A327" s="10"/>
      <c r="B327" s="13"/>
      <c r="C327" s="13"/>
    </row>
    <row r="328" spans="1:3" ht="13" x14ac:dyDescent="0.15">
      <c r="A328" s="10"/>
      <c r="B328" s="13"/>
      <c r="C328" s="13"/>
    </row>
    <row r="329" spans="1:3" ht="13" x14ac:dyDescent="0.15">
      <c r="A329" s="10"/>
      <c r="B329" s="13"/>
      <c r="C329" s="13"/>
    </row>
    <row r="330" spans="1:3" ht="13" x14ac:dyDescent="0.15">
      <c r="A330" s="10"/>
      <c r="B330" s="13"/>
      <c r="C330" s="13"/>
    </row>
    <row r="331" spans="1:3" ht="13" x14ac:dyDescent="0.15">
      <c r="A331" s="10"/>
      <c r="B331" s="13"/>
      <c r="C331" s="13"/>
    </row>
    <row r="332" spans="1:3" ht="13" x14ac:dyDescent="0.15">
      <c r="A332" s="10"/>
      <c r="B332" s="13"/>
      <c r="C332" s="13"/>
    </row>
    <row r="333" spans="1:3" ht="13" x14ac:dyDescent="0.15">
      <c r="A333" s="10"/>
      <c r="B333" s="13"/>
      <c r="C333" s="13"/>
    </row>
    <row r="334" spans="1:3" ht="13" x14ac:dyDescent="0.15">
      <c r="A334" s="10"/>
      <c r="B334" s="13"/>
      <c r="C334" s="13"/>
    </row>
    <row r="335" spans="1:3" ht="13" x14ac:dyDescent="0.15">
      <c r="A335" s="10"/>
      <c r="B335" s="13"/>
      <c r="C335" s="13"/>
    </row>
    <row r="336" spans="1:3" ht="13" x14ac:dyDescent="0.15">
      <c r="A336" s="10"/>
      <c r="B336" s="13"/>
      <c r="C336" s="13"/>
    </row>
    <row r="337" spans="1:3" ht="13" x14ac:dyDescent="0.15">
      <c r="A337" s="10"/>
      <c r="B337" s="13"/>
      <c r="C337" s="13"/>
    </row>
    <row r="338" spans="1:3" ht="13" x14ac:dyDescent="0.15">
      <c r="A338" s="10"/>
      <c r="B338" s="13"/>
      <c r="C338" s="13"/>
    </row>
    <row r="339" spans="1:3" ht="13" x14ac:dyDescent="0.15">
      <c r="A339" s="10"/>
      <c r="B339" s="13"/>
      <c r="C339" s="13"/>
    </row>
    <row r="340" spans="1:3" ht="13" x14ac:dyDescent="0.15">
      <c r="A340" s="10"/>
      <c r="B340" s="13"/>
      <c r="C340" s="13"/>
    </row>
    <row r="341" spans="1:3" ht="13" x14ac:dyDescent="0.15">
      <c r="A341" s="10"/>
      <c r="B341" s="13"/>
      <c r="C341" s="13"/>
    </row>
    <row r="342" spans="1:3" ht="13" x14ac:dyDescent="0.15">
      <c r="A342" s="10"/>
      <c r="B342" s="13"/>
      <c r="C342" s="13"/>
    </row>
    <row r="343" spans="1:3" ht="13" x14ac:dyDescent="0.15">
      <c r="A343" s="10"/>
      <c r="B343" s="13"/>
      <c r="C343" s="13"/>
    </row>
    <row r="344" spans="1:3" ht="13" x14ac:dyDescent="0.15">
      <c r="A344" s="10"/>
      <c r="B344" s="13"/>
      <c r="C344" s="13"/>
    </row>
    <row r="345" spans="1:3" ht="13" x14ac:dyDescent="0.15">
      <c r="A345" s="10"/>
      <c r="B345" s="13"/>
      <c r="C345" s="13"/>
    </row>
    <row r="346" spans="1:3" ht="13" x14ac:dyDescent="0.15">
      <c r="A346" s="10"/>
      <c r="B346" s="13"/>
      <c r="C346" s="13"/>
    </row>
    <row r="347" spans="1:3" ht="13" x14ac:dyDescent="0.15">
      <c r="A347" s="10"/>
      <c r="B347" s="13"/>
      <c r="C347" s="13"/>
    </row>
    <row r="348" spans="1:3" ht="13" x14ac:dyDescent="0.15">
      <c r="A348" s="10"/>
      <c r="B348" s="13"/>
      <c r="C348" s="13"/>
    </row>
    <row r="349" spans="1:3" ht="13" x14ac:dyDescent="0.15">
      <c r="A349" s="10"/>
      <c r="B349" s="13"/>
      <c r="C349" s="13"/>
    </row>
    <row r="350" spans="1:3" ht="13" x14ac:dyDescent="0.15">
      <c r="A350" s="10"/>
      <c r="B350" s="13"/>
      <c r="C350" s="13"/>
    </row>
    <row r="351" spans="1:3" ht="13" x14ac:dyDescent="0.15">
      <c r="A351" s="10"/>
      <c r="B351" s="13"/>
      <c r="C351" s="13"/>
    </row>
    <row r="352" spans="1:3" ht="13" x14ac:dyDescent="0.15">
      <c r="A352" s="10"/>
      <c r="B352" s="13"/>
      <c r="C352" s="13"/>
    </row>
    <row r="353" spans="1:3" ht="13" x14ac:dyDescent="0.15">
      <c r="A353" s="10"/>
      <c r="B353" s="13"/>
      <c r="C353" s="13"/>
    </row>
    <row r="354" spans="1:3" ht="13" x14ac:dyDescent="0.15">
      <c r="A354" s="10"/>
      <c r="B354" s="13"/>
      <c r="C354" s="13"/>
    </row>
    <row r="355" spans="1:3" ht="13" x14ac:dyDescent="0.15">
      <c r="A355" s="10"/>
      <c r="B355" s="13"/>
      <c r="C355" s="13"/>
    </row>
    <row r="356" spans="1:3" ht="13" x14ac:dyDescent="0.15">
      <c r="A356" s="10"/>
      <c r="B356" s="13"/>
      <c r="C356" s="13"/>
    </row>
    <row r="357" spans="1:3" ht="13" x14ac:dyDescent="0.15">
      <c r="A357" s="10"/>
      <c r="B357" s="13"/>
      <c r="C357" s="13"/>
    </row>
    <row r="358" spans="1:3" ht="13" x14ac:dyDescent="0.15">
      <c r="A358" s="10"/>
      <c r="B358" s="13"/>
      <c r="C358" s="13"/>
    </row>
    <row r="359" spans="1:3" ht="13" x14ac:dyDescent="0.15">
      <c r="A359" s="10"/>
      <c r="B359" s="13"/>
      <c r="C359" s="13"/>
    </row>
    <row r="360" spans="1:3" ht="13" x14ac:dyDescent="0.15">
      <c r="A360" s="10"/>
      <c r="B360" s="13"/>
      <c r="C360" s="13"/>
    </row>
    <row r="361" spans="1:3" ht="13" x14ac:dyDescent="0.15">
      <c r="A361" s="10"/>
      <c r="B361" s="13"/>
      <c r="C361" s="13"/>
    </row>
    <row r="362" spans="1:3" ht="13" x14ac:dyDescent="0.15">
      <c r="A362" s="10"/>
      <c r="B362" s="13"/>
      <c r="C362" s="13"/>
    </row>
    <row r="363" spans="1:3" ht="13" x14ac:dyDescent="0.15">
      <c r="A363" s="10"/>
      <c r="B363" s="13"/>
      <c r="C363" s="13"/>
    </row>
    <row r="364" spans="1:3" ht="13" x14ac:dyDescent="0.15">
      <c r="A364" s="10"/>
      <c r="B364" s="13"/>
      <c r="C364" s="13"/>
    </row>
    <row r="365" spans="1:3" ht="13" x14ac:dyDescent="0.15">
      <c r="A365" s="10"/>
      <c r="B365" s="13"/>
      <c r="C365" s="13"/>
    </row>
    <row r="366" spans="1:3" ht="13" x14ac:dyDescent="0.15">
      <c r="A366" s="10"/>
      <c r="B366" s="13"/>
      <c r="C366" s="13"/>
    </row>
    <row r="367" spans="1:3" ht="13" x14ac:dyDescent="0.15">
      <c r="A367" s="10"/>
      <c r="B367" s="13"/>
      <c r="C367" s="13"/>
    </row>
    <row r="368" spans="1:3" ht="13" x14ac:dyDescent="0.15">
      <c r="A368" s="10"/>
      <c r="B368" s="13"/>
      <c r="C368" s="13"/>
    </row>
    <row r="369" spans="1:3" ht="13" x14ac:dyDescent="0.15">
      <c r="A369" s="10"/>
      <c r="B369" s="13"/>
      <c r="C369" s="13"/>
    </row>
    <row r="370" spans="1:3" ht="13" x14ac:dyDescent="0.15">
      <c r="A370" s="10"/>
      <c r="B370" s="13"/>
      <c r="C370" s="13"/>
    </row>
    <row r="371" spans="1:3" ht="13" x14ac:dyDescent="0.15">
      <c r="A371" s="10"/>
      <c r="B371" s="13"/>
      <c r="C371" s="13"/>
    </row>
    <row r="372" spans="1:3" ht="13" x14ac:dyDescent="0.15">
      <c r="A372" s="10"/>
      <c r="B372" s="13"/>
      <c r="C372" s="13"/>
    </row>
    <row r="373" spans="1:3" ht="13" x14ac:dyDescent="0.15">
      <c r="A373" s="10"/>
      <c r="B373" s="13"/>
      <c r="C373" s="13"/>
    </row>
    <row r="374" spans="1:3" ht="13" x14ac:dyDescent="0.15">
      <c r="A374" s="10"/>
      <c r="B374" s="13"/>
      <c r="C374" s="13"/>
    </row>
    <row r="375" spans="1:3" ht="13" x14ac:dyDescent="0.15">
      <c r="A375" s="10"/>
      <c r="B375" s="13"/>
      <c r="C375" s="13"/>
    </row>
    <row r="376" spans="1:3" ht="13" x14ac:dyDescent="0.15">
      <c r="A376" s="10"/>
      <c r="B376" s="13"/>
      <c r="C376" s="13"/>
    </row>
    <row r="377" spans="1:3" ht="13" x14ac:dyDescent="0.15">
      <c r="A377" s="10"/>
      <c r="B377" s="13"/>
      <c r="C377" s="13"/>
    </row>
    <row r="378" spans="1:3" ht="13" x14ac:dyDescent="0.15">
      <c r="A378" s="10"/>
      <c r="B378" s="13"/>
      <c r="C378" s="13"/>
    </row>
    <row r="379" spans="1:3" ht="13" x14ac:dyDescent="0.15">
      <c r="A379" s="10"/>
      <c r="B379" s="13"/>
      <c r="C379" s="13"/>
    </row>
    <row r="380" spans="1:3" ht="13" x14ac:dyDescent="0.15">
      <c r="A380" s="10"/>
      <c r="B380" s="13"/>
      <c r="C380" s="13"/>
    </row>
    <row r="381" spans="1:3" ht="13" x14ac:dyDescent="0.15">
      <c r="A381" s="10"/>
      <c r="B381" s="13"/>
      <c r="C381" s="13"/>
    </row>
    <row r="382" spans="1:3" ht="13" x14ac:dyDescent="0.15">
      <c r="A382" s="10"/>
      <c r="B382" s="13"/>
      <c r="C382" s="13"/>
    </row>
    <row r="383" spans="1:3" ht="13" x14ac:dyDescent="0.15">
      <c r="A383" s="10"/>
      <c r="B383" s="13"/>
      <c r="C383" s="13"/>
    </row>
    <row r="384" spans="1:3" ht="13" x14ac:dyDescent="0.15">
      <c r="A384" s="10"/>
      <c r="B384" s="13"/>
      <c r="C384" s="13"/>
    </row>
    <row r="385" spans="1:3" ht="13" x14ac:dyDescent="0.15">
      <c r="A385" s="10"/>
      <c r="B385" s="13"/>
      <c r="C385" s="13"/>
    </row>
    <row r="386" spans="1:3" ht="13" x14ac:dyDescent="0.15">
      <c r="A386" s="10"/>
      <c r="B386" s="13"/>
      <c r="C386" s="13"/>
    </row>
    <row r="387" spans="1:3" ht="13" x14ac:dyDescent="0.15">
      <c r="A387" s="10"/>
      <c r="B387" s="13"/>
      <c r="C387" s="13"/>
    </row>
    <row r="388" spans="1:3" ht="13" x14ac:dyDescent="0.15">
      <c r="A388" s="10"/>
      <c r="B388" s="13"/>
      <c r="C388" s="13"/>
    </row>
    <row r="389" spans="1:3" ht="13" x14ac:dyDescent="0.15">
      <c r="A389" s="10"/>
      <c r="B389" s="13"/>
      <c r="C389" s="13"/>
    </row>
    <row r="390" spans="1:3" ht="13" x14ac:dyDescent="0.15">
      <c r="A390" s="10"/>
      <c r="B390" s="13"/>
      <c r="C390" s="13"/>
    </row>
    <row r="391" spans="1:3" ht="13" x14ac:dyDescent="0.15">
      <c r="A391" s="10"/>
      <c r="B391" s="13"/>
      <c r="C391" s="13"/>
    </row>
    <row r="392" spans="1:3" ht="13" x14ac:dyDescent="0.15">
      <c r="A392" s="10"/>
      <c r="B392" s="13"/>
      <c r="C392" s="13"/>
    </row>
    <row r="393" spans="1:3" ht="13" x14ac:dyDescent="0.15">
      <c r="A393" s="10"/>
      <c r="B393" s="13"/>
      <c r="C393" s="13"/>
    </row>
    <row r="394" spans="1:3" ht="13" x14ac:dyDescent="0.15">
      <c r="A394" s="10"/>
      <c r="B394" s="13"/>
      <c r="C394" s="13"/>
    </row>
    <row r="395" spans="1:3" ht="13" x14ac:dyDescent="0.15">
      <c r="A395" s="10"/>
      <c r="B395" s="13"/>
      <c r="C395" s="13"/>
    </row>
    <row r="396" spans="1:3" ht="13" x14ac:dyDescent="0.15">
      <c r="A396" s="10"/>
      <c r="B396" s="13"/>
      <c r="C396" s="13"/>
    </row>
    <row r="397" spans="1:3" ht="13" x14ac:dyDescent="0.15">
      <c r="A397" s="10"/>
      <c r="B397" s="13"/>
      <c r="C397" s="13"/>
    </row>
    <row r="398" spans="1:3" ht="13" x14ac:dyDescent="0.15">
      <c r="A398" s="10"/>
      <c r="B398" s="13"/>
      <c r="C398" s="13"/>
    </row>
    <row r="399" spans="1:3" ht="13" x14ac:dyDescent="0.15">
      <c r="A399" s="10"/>
      <c r="B399" s="13"/>
      <c r="C399" s="13"/>
    </row>
    <row r="400" spans="1:3" ht="13" x14ac:dyDescent="0.15">
      <c r="A400" s="10"/>
      <c r="B400" s="13"/>
      <c r="C400" s="13"/>
    </row>
    <row r="401" spans="1:3" ht="13" x14ac:dyDescent="0.15">
      <c r="A401" s="10"/>
      <c r="B401" s="13"/>
      <c r="C401" s="13"/>
    </row>
    <row r="402" spans="1:3" ht="13" x14ac:dyDescent="0.15">
      <c r="A402" s="10"/>
      <c r="B402" s="13"/>
      <c r="C402" s="13"/>
    </row>
    <row r="403" spans="1:3" ht="13" x14ac:dyDescent="0.15">
      <c r="A403" s="10"/>
      <c r="B403" s="13"/>
      <c r="C403" s="13"/>
    </row>
    <row r="404" spans="1:3" ht="13" x14ac:dyDescent="0.15">
      <c r="A404" s="10"/>
      <c r="B404" s="13"/>
      <c r="C404" s="13"/>
    </row>
    <row r="405" spans="1:3" ht="13" x14ac:dyDescent="0.15">
      <c r="A405" s="10"/>
      <c r="B405" s="13"/>
      <c r="C405" s="13"/>
    </row>
    <row r="406" spans="1:3" ht="13" x14ac:dyDescent="0.15">
      <c r="A406" s="10"/>
      <c r="B406" s="13"/>
      <c r="C406" s="13"/>
    </row>
    <row r="407" spans="1:3" ht="13" x14ac:dyDescent="0.15">
      <c r="A407" s="10"/>
      <c r="B407" s="13"/>
      <c r="C407" s="13"/>
    </row>
    <row r="408" spans="1:3" ht="13" x14ac:dyDescent="0.15">
      <c r="A408" s="10"/>
      <c r="B408" s="13"/>
      <c r="C408" s="13"/>
    </row>
    <row r="409" spans="1:3" ht="13" x14ac:dyDescent="0.15">
      <c r="A409" s="10"/>
      <c r="B409" s="13"/>
      <c r="C409" s="13"/>
    </row>
    <row r="410" spans="1:3" ht="13" x14ac:dyDescent="0.15">
      <c r="A410" s="10"/>
      <c r="B410" s="13"/>
      <c r="C410" s="13"/>
    </row>
    <row r="411" spans="1:3" ht="13" x14ac:dyDescent="0.15">
      <c r="A411" s="10"/>
      <c r="B411" s="13"/>
      <c r="C411" s="13"/>
    </row>
    <row r="412" spans="1:3" ht="13" x14ac:dyDescent="0.15">
      <c r="A412" s="10"/>
      <c r="B412" s="13"/>
      <c r="C412" s="13"/>
    </row>
    <row r="413" spans="1:3" ht="13" x14ac:dyDescent="0.15">
      <c r="A413" s="10"/>
      <c r="B413" s="13"/>
      <c r="C413" s="13"/>
    </row>
    <row r="414" spans="1:3" ht="13" x14ac:dyDescent="0.15">
      <c r="A414" s="10"/>
      <c r="B414" s="13"/>
      <c r="C414" s="13"/>
    </row>
    <row r="415" spans="1:3" ht="13" x14ac:dyDescent="0.15">
      <c r="A415" s="10"/>
      <c r="B415" s="13"/>
      <c r="C415" s="13"/>
    </row>
    <row r="416" spans="1:3" ht="13" x14ac:dyDescent="0.15">
      <c r="A416" s="10"/>
      <c r="B416" s="13"/>
      <c r="C416" s="13"/>
    </row>
    <row r="417" spans="1:3" ht="13" x14ac:dyDescent="0.15">
      <c r="A417" s="10"/>
      <c r="B417" s="13"/>
      <c r="C417" s="13"/>
    </row>
    <row r="418" spans="1:3" ht="13" x14ac:dyDescent="0.15">
      <c r="A418" s="10"/>
      <c r="B418" s="13"/>
      <c r="C418" s="13"/>
    </row>
    <row r="419" spans="1:3" ht="13" x14ac:dyDescent="0.15">
      <c r="A419" s="10"/>
      <c r="B419" s="13"/>
      <c r="C419" s="13"/>
    </row>
    <row r="420" spans="1:3" ht="13" x14ac:dyDescent="0.15">
      <c r="A420" s="10"/>
      <c r="B420" s="13"/>
      <c r="C420" s="13"/>
    </row>
    <row r="421" spans="1:3" ht="13" x14ac:dyDescent="0.15">
      <c r="A421" s="10"/>
      <c r="B421" s="13"/>
      <c r="C421" s="13"/>
    </row>
    <row r="422" spans="1:3" ht="13" x14ac:dyDescent="0.15">
      <c r="A422" s="10"/>
      <c r="B422" s="13"/>
      <c r="C422" s="13"/>
    </row>
    <row r="423" spans="1:3" ht="13" x14ac:dyDescent="0.15">
      <c r="A423" s="10"/>
      <c r="B423" s="13"/>
      <c r="C423" s="13"/>
    </row>
    <row r="424" spans="1:3" ht="13" x14ac:dyDescent="0.15">
      <c r="A424" s="10"/>
      <c r="B424" s="13"/>
      <c r="C424" s="13"/>
    </row>
    <row r="425" spans="1:3" ht="13" x14ac:dyDescent="0.15">
      <c r="A425" s="10"/>
      <c r="B425" s="13"/>
      <c r="C425" s="13"/>
    </row>
    <row r="426" spans="1:3" ht="13" x14ac:dyDescent="0.15">
      <c r="A426" s="10"/>
      <c r="B426" s="13"/>
      <c r="C426" s="13"/>
    </row>
    <row r="427" spans="1:3" ht="13" x14ac:dyDescent="0.15">
      <c r="A427" s="10"/>
      <c r="B427" s="13"/>
      <c r="C427" s="13"/>
    </row>
    <row r="428" spans="1:3" ht="13" x14ac:dyDescent="0.15">
      <c r="A428" s="10"/>
      <c r="B428" s="13"/>
      <c r="C428" s="13"/>
    </row>
    <row r="429" spans="1:3" ht="13" x14ac:dyDescent="0.15">
      <c r="A429" s="10"/>
      <c r="B429" s="13"/>
      <c r="C429" s="13"/>
    </row>
    <row r="430" spans="1:3" ht="13" x14ac:dyDescent="0.15">
      <c r="A430" s="10"/>
      <c r="B430" s="13"/>
      <c r="C430" s="13"/>
    </row>
    <row r="431" spans="1:3" ht="13" x14ac:dyDescent="0.15">
      <c r="A431" s="10"/>
      <c r="B431" s="13"/>
      <c r="C431" s="13"/>
    </row>
    <row r="432" spans="1:3" ht="13" x14ac:dyDescent="0.15">
      <c r="A432" s="10"/>
      <c r="B432" s="13"/>
      <c r="C432" s="13"/>
    </row>
    <row r="433" spans="1:3" ht="13" x14ac:dyDescent="0.15">
      <c r="A433" s="10"/>
      <c r="B433" s="13"/>
      <c r="C433" s="13"/>
    </row>
    <row r="434" spans="1:3" ht="13" x14ac:dyDescent="0.15">
      <c r="A434" s="10"/>
      <c r="B434" s="13"/>
      <c r="C434" s="13"/>
    </row>
    <row r="435" spans="1:3" ht="13" x14ac:dyDescent="0.15">
      <c r="A435" s="10"/>
      <c r="B435" s="13"/>
      <c r="C435" s="13"/>
    </row>
    <row r="436" spans="1:3" ht="13" x14ac:dyDescent="0.15">
      <c r="A436" s="10"/>
      <c r="B436" s="13"/>
      <c r="C436" s="13"/>
    </row>
    <row r="437" spans="1:3" ht="13" x14ac:dyDescent="0.15">
      <c r="A437" s="10"/>
      <c r="B437" s="13"/>
      <c r="C437" s="13"/>
    </row>
    <row r="438" spans="1:3" ht="13" x14ac:dyDescent="0.15">
      <c r="A438" s="10"/>
      <c r="B438" s="13"/>
      <c r="C438" s="13"/>
    </row>
    <row r="439" spans="1:3" ht="13" x14ac:dyDescent="0.15">
      <c r="A439" s="10"/>
      <c r="B439" s="13"/>
      <c r="C439" s="13"/>
    </row>
    <row r="440" spans="1:3" ht="13" x14ac:dyDescent="0.15">
      <c r="A440" s="10"/>
      <c r="B440" s="13"/>
      <c r="C440" s="13"/>
    </row>
    <row r="441" spans="1:3" ht="13" x14ac:dyDescent="0.15">
      <c r="A441" s="10"/>
      <c r="B441" s="13"/>
      <c r="C441" s="13"/>
    </row>
    <row r="442" spans="1:3" ht="13" x14ac:dyDescent="0.15">
      <c r="A442" s="10"/>
      <c r="B442" s="13"/>
      <c r="C442" s="13"/>
    </row>
    <row r="443" spans="1:3" ht="13" x14ac:dyDescent="0.15">
      <c r="A443" s="10"/>
      <c r="B443" s="13"/>
      <c r="C443" s="13"/>
    </row>
    <row r="444" spans="1:3" ht="13" x14ac:dyDescent="0.15">
      <c r="A444" s="10"/>
      <c r="B444" s="13"/>
      <c r="C444" s="13"/>
    </row>
    <row r="445" spans="1:3" ht="13" x14ac:dyDescent="0.15">
      <c r="A445" s="10"/>
      <c r="B445" s="13"/>
      <c r="C445" s="13"/>
    </row>
    <row r="446" spans="1:3" ht="13" x14ac:dyDescent="0.15">
      <c r="A446" s="10"/>
      <c r="B446" s="13"/>
      <c r="C446" s="13"/>
    </row>
    <row r="447" spans="1:3" ht="13" x14ac:dyDescent="0.15">
      <c r="A447" s="10"/>
      <c r="B447" s="13"/>
      <c r="C447" s="13"/>
    </row>
    <row r="448" spans="1:3" ht="13" x14ac:dyDescent="0.15">
      <c r="A448" s="10"/>
      <c r="B448" s="13"/>
      <c r="C448" s="13"/>
    </row>
    <row r="449" spans="1:3" ht="13" x14ac:dyDescent="0.15">
      <c r="A449" s="10"/>
      <c r="B449" s="13"/>
      <c r="C449" s="13"/>
    </row>
    <row r="450" spans="1:3" ht="13" x14ac:dyDescent="0.15">
      <c r="A450" s="10"/>
      <c r="B450" s="13"/>
      <c r="C450" s="13"/>
    </row>
    <row r="451" spans="1:3" ht="13" x14ac:dyDescent="0.15">
      <c r="A451" s="10"/>
      <c r="B451" s="13"/>
      <c r="C451" s="13"/>
    </row>
    <row r="452" spans="1:3" ht="13" x14ac:dyDescent="0.15">
      <c r="A452" s="10"/>
      <c r="B452" s="13"/>
      <c r="C452" s="13"/>
    </row>
    <row r="453" spans="1:3" ht="13" x14ac:dyDescent="0.15">
      <c r="A453" s="10"/>
      <c r="B453" s="13"/>
      <c r="C453" s="13"/>
    </row>
    <row r="454" spans="1:3" ht="13" x14ac:dyDescent="0.15">
      <c r="A454" s="10"/>
      <c r="B454" s="13"/>
      <c r="C454" s="13"/>
    </row>
    <row r="455" spans="1:3" ht="13" x14ac:dyDescent="0.15">
      <c r="A455" s="10"/>
      <c r="B455" s="13"/>
      <c r="C455" s="13"/>
    </row>
    <row r="456" spans="1:3" ht="13" x14ac:dyDescent="0.15">
      <c r="A456" s="10"/>
      <c r="B456" s="13"/>
      <c r="C456" s="13"/>
    </row>
    <row r="457" spans="1:3" ht="13" x14ac:dyDescent="0.15">
      <c r="A457" s="10"/>
      <c r="B457" s="13"/>
      <c r="C457" s="13"/>
    </row>
    <row r="458" spans="1:3" ht="13" x14ac:dyDescent="0.15">
      <c r="A458" s="10"/>
      <c r="B458" s="13"/>
      <c r="C458" s="13"/>
    </row>
    <row r="459" spans="1:3" ht="13" x14ac:dyDescent="0.15">
      <c r="A459" s="10"/>
      <c r="B459" s="13"/>
      <c r="C459" s="13"/>
    </row>
    <row r="460" spans="1:3" ht="13" x14ac:dyDescent="0.15">
      <c r="A460" s="10"/>
      <c r="B460" s="13"/>
      <c r="C460" s="13"/>
    </row>
    <row r="461" spans="1:3" ht="13" x14ac:dyDescent="0.15">
      <c r="A461" s="10"/>
      <c r="B461" s="13"/>
      <c r="C461" s="13"/>
    </row>
    <row r="462" spans="1:3" ht="13" x14ac:dyDescent="0.15">
      <c r="A462" s="10"/>
      <c r="B462" s="13"/>
      <c r="C462" s="13"/>
    </row>
    <row r="463" spans="1:3" ht="13" x14ac:dyDescent="0.15">
      <c r="A463" s="10"/>
      <c r="B463" s="13"/>
      <c r="C463" s="13"/>
    </row>
    <row r="464" spans="1:3" ht="13" x14ac:dyDescent="0.15">
      <c r="A464" s="10"/>
      <c r="B464" s="13"/>
      <c r="C464" s="13"/>
    </row>
    <row r="465" spans="1:3" ht="13" x14ac:dyDescent="0.15">
      <c r="A465" s="10"/>
      <c r="B465" s="13"/>
      <c r="C465" s="13"/>
    </row>
    <row r="466" spans="1:3" ht="13" x14ac:dyDescent="0.15">
      <c r="A466" s="10"/>
      <c r="B466" s="13"/>
      <c r="C466" s="13"/>
    </row>
    <row r="467" spans="1:3" ht="13" x14ac:dyDescent="0.15">
      <c r="A467" s="10"/>
      <c r="B467" s="13"/>
      <c r="C467" s="13"/>
    </row>
    <row r="468" spans="1:3" ht="13" x14ac:dyDescent="0.15">
      <c r="A468" s="10"/>
      <c r="B468" s="13"/>
      <c r="C468" s="13"/>
    </row>
    <row r="469" spans="1:3" ht="13" x14ac:dyDescent="0.15">
      <c r="A469" s="10"/>
      <c r="B469" s="13"/>
      <c r="C469" s="13"/>
    </row>
    <row r="470" spans="1:3" ht="13" x14ac:dyDescent="0.15">
      <c r="A470" s="10"/>
      <c r="B470" s="13"/>
      <c r="C470" s="13"/>
    </row>
    <row r="471" spans="1:3" ht="13" x14ac:dyDescent="0.15">
      <c r="A471" s="10"/>
      <c r="B471" s="13"/>
      <c r="C471" s="13"/>
    </row>
    <row r="472" spans="1:3" ht="13" x14ac:dyDescent="0.15">
      <c r="A472" s="10"/>
      <c r="B472" s="13"/>
      <c r="C472" s="13"/>
    </row>
    <row r="473" spans="1:3" ht="13" x14ac:dyDescent="0.15">
      <c r="A473" s="10"/>
      <c r="B473" s="13"/>
      <c r="C473" s="13"/>
    </row>
    <row r="474" spans="1:3" ht="13" x14ac:dyDescent="0.15">
      <c r="A474" s="10"/>
      <c r="B474" s="13"/>
      <c r="C474" s="13"/>
    </row>
    <row r="475" spans="1:3" ht="13" x14ac:dyDescent="0.15">
      <c r="A475" s="10"/>
      <c r="B475" s="13"/>
      <c r="C475" s="13"/>
    </row>
    <row r="476" spans="1:3" ht="13" x14ac:dyDescent="0.15">
      <c r="A476" s="10"/>
      <c r="B476" s="13"/>
      <c r="C476" s="13"/>
    </row>
    <row r="477" spans="1:3" ht="13" x14ac:dyDescent="0.15">
      <c r="A477" s="10"/>
      <c r="B477" s="13"/>
      <c r="C477" s="13"/>
    </row>
    <row r="478" spans="1:3" ht="13" x14ac:dyDescent="0.15">
      <c r="A478" s="10"/>
      <c r="B478" s="13"/>
      <c r="C478" s="13"/>
    </row>
    <row r="479" spans="1:3" ht="13" x14ac:dyDescent="0.15">
      <c r="A479" s="10"/>
      <c r="B479" s="13"/>
      <c r="C479" s="13"/>
    </row>
    <row r="480" spans="1:3" ht="13" x14ac:dyDescent="0.15">
      <c r="A480" s="10"/>
      <c r="B480" s="13"/>
      <c r="C480" s="13"/>
    </row>
    <row r="481" spans="1:3" ht="13" x14ac:dyDescent="0.15">
      <c r="A481" s="10"/>
      <c r="B481" s="13"/>
      <c r="C481" s="13"/>
    </row>
    <row r="482" spans="1:3" ht="13" x14ac:dyDescent="0.15">
      <c r="A482" s="10"/>
      <c r="B482" s="13"/>
      <c r="C482" s="13"/>
    </row>
    <row r="483" spans="1:3" ht="13" x14ac:dyDescent="0.15">
      <c r="A483" s="10"/>
      <c r="B483" s="13"/>
      <c r="C483" s="13"/>
    </row>
    <row r="484" spans="1:3" ht="13" x14ac:dyDescent="0.15">
      <c r="A484" s="10"/>
      <c r="B484" s="13"/>
      <c r="C484" s="13"/>
    </row>
    <row r="485" spans="1:3" ht="13" x14ac:dyDescent="0.15">
      <c r="A485" s="10"/>
      <c r="B485" s="13"/>
      <c r="C485" s="13"/>
    </row>
    <row r="486" spans="1:3" ht="13" x14ac:dyDescent="0.15">
      <c r="A486" s="10"/>
      <c r="B486" s="13"/>
      <c r="C486" s="13"/>
    </row>
    <row r="487" spans="1:3" ht="13" x14ac:dyDescent="0.15">
      <c r="A487" s="10"/>
      <c r="B487" s="13"/>
      <c r="C487" s="13"/>
    </row>
    <row r="488" spans="1:3" ht="13" x14ac:dyDescent="0.15">
      <c r="A488" s="10"/>
      <c r="B488" s="13"/>
      <c r="C488" s="13"/>
    </row>
    <row r="489" spans="1:3" ht="13" x14ac:dyDescent="0.15">
      <c r="A489" s="10"/>
      <c r="B489" s="13"/>
      <c r="C489" s="13"/>
    </row>
    <row r="490" spans="1:3" ht="13" x14ac:dyDescent="0.15">
      <c r="A490" s="10"/>
      <c r="B490" s="13"/>
      <c r="C490" s="13"/>
    </row>
    <row r="491" spans="1:3" ht="13" x14ac:dyDescent="0.15">
      <c r="A491" s="10"/>
      <c r="B491" s="13"/>
      <c r="C491" s="13"/>
    </row>
    <row r="492" spans="1:3" ht="13" x14ac:dyDescent="0.15">
      <c r="A492" s="10"/>
      <c r="B492" s="13"/>
      <c r="C492" s="13"/>
    </row>
    <row r="493" spans="1:3" ht="13" x14ac:dyDescent="0.15">
      <c r="A493" s="10"/>
      <c r="B493" s="13"/>
      <c r="C493" s="13"/>
    </row>
    <row r="494" spans="1:3" ht="13" x14ac:dyDescent="0.15">
      <c r="A494" s="10"/>
      <c r="B494" s="13"/>
      <c r="C494" s="13"/>
    </row>
    <row r="495" spans="1:3" ht="13" x14ac:dyDescent="0.15">
      <c r="A495" s="10"/>
      <c r="B495" s="13"/>
      <c r="C495" s="13"/>
    </row>
    <row r="496" spans="1:3" ht="13" x14ac:dyDescent="0.15">
      <c r="A496" s="10"/>
      <c r="B496" s="13"/>
      <c r="C496" s="13"/>
    </row>
    <row r="497" spans="1:3" ht="13" x14ac:dyDescent="0.15">
      <c r="A497" s="10"/>
      <c r="B497" s="13"/>
      <c r="C497" s="13"/>
    </row>
    <row r="498" spans="1:3" ht="13" x14ac:dyDescent="0.15">
      <c r="A498" s="10"/>
      <c r="B498" s="13"/>
      <c r="C498" s="13"/>
    </row>
    <row r="499" spans="1:3" ht="13" x14ac:dyDescent="0.15">
      <c r="A499" s="10"/>
      <c r="B499" s="13"/>
      <c r="C499" s="13"/>
    </row>
    <row r="500" spans="1:3" ht="13" x14ac:dyDescent="0.15">
      <c r="A500" s="10"/>
      <c r="B500" s="13"/>
      <c r="C500" s="13"/>
    </row>
    <row r="501" spans="1:3" ht="13" x14ac:dyDescent="0.15">
      <c r="A501" s="10"/>
      <c r="B501" s="13"/>
      <c r="C501" s="13"/>
    </row>
    <row r="502" spans="1:3" ht="13" x14ac:dyDescent="0.15">
      <c r="A502" s="10"/>
      <c r="B502" s="13"/>
      <c r="C502" s="13"/>
    </row>
    <row r="503" spans="1:3" ht="13" x14ac:dyDescent="0.15">
      <c r="A503" s="10"/>
      <c r="B503" s="13"/>
      <c r="C503" s="13"/>
    </row>
    <row r="504" spans="1:3" ht="13" x14ac:dyDescent="0.15">
      <c r="A504" s="10"/>
      <c r="B504" s="13"/>
      <c r="C504" s="13"/>
    </row>
    <row r="505" spans="1:3" ht="13" x14ac:dyDescent="0.15">
      <c r="A505" s="10"/>
      <c r="B505" s="13"/>
      <c r="C505" s="13"/>
    </row>
    <row r="506" spans="1:3" ht="13" x14ac:dyDescent="0.15">
      <c r="A506" s="10"/>
      <c r="B506" s="13"/>
      <c r="C506" s="13"/>
    </row>
    <row r="507" spans="1:3" ht="13" x14ac:dyDescent="0.15">
      <c r="A507" s="10"/>
      <c r="B507" s="13"/>
      <c r="C507" s="13"/>
    </row>
    <row r="508" spans="1:3" ht="13" x14ac:dyDescent="0.15">
      <c r="A508" s="10"/>
      <c r="B508" s="13"/>
      <c r="C508" s="13"/>
    </row>
    <row r="509" spans="1:3" ht="13" x14ac:dyDescent="0.15">
      <c r="A509" s="10"/>
      <c r="B509" s="13"/>
      <c r="C509" s="13"/>
    </row>
    <row r="510" spans="1:3" ht="13" x14ac:dyDescent="0.15">
      <c r="A510" s="10"/>
      <c r="B510" s="13"/>
      <c r="C510" s="13"/>
    </row>
    <row r="511" spans="1:3" ht="13" x14ac:dyDescent="0.15">
      <c r="A511" s="10"/>
      <c r="B511" s="13"/>
      <c r="C511" s="13"/>
    </row>
    <row r="512" spans="1:3" ht="13" x14ac:dyDescent="0.15">
      <c r="A512" s="10"/>
      <c r="B512" s="13"/>
      <c r="C512" s="13"/>
    </row>
    <row r="513" spans="1:3" ht="13" x14ac:dyDescent="0.15">
      <c r="A513" s="10"/>
      <c r="B513" s="13"/>
      <c r="C513" s="13"/>
    </row>
    <row r="514" spans="1:3" ht="13" x14ac:dyDescent="0.15">
      <c r="A514" s="10"/>
      <c r="B514" s="13"/>
      <c r="C514" s="13"/>
    </row>
    <row r="515" spans="1:3" ht="13" x14ac:dyDescent="0.15">
      <c r="A515" s="10"/>
      <c r="B515" s="13"/>
      <c r="C515" s="13"/>
    </row>
    <row r="516" spans="1:3" ht="13" x14ac:dyDescent="0.15">
      <c r="A516" s="10"/>
      <c r="B516" s="13"/>
      <c r="C516" s="13"/>
    </row>
    <row r="517" spans="1:3" ht="13" x14ac:dyDescent="0.15">
      <c r="A517" s="10"/>
      <c r="B517" s="13"/>
      <c r="C517" s="13"/>
    </row>
    <row r="518" spans="1:3" ht="13" x14ac:dyDescent="0.15">
      <c r="A518" s="10"/>
      <c r="B518" s="13"/>
      <c r="C518" s="13"/>
    </row>
    <row r="519" spans="1:3" ht="13" x14ac:dyDescent="0.15">
      <c r="A519" s="10"/>
      <c r="B519" s="13"/>
      <c r="C519" s="13"/>
    </row>
    <row r="520" spans="1:3" ht="13" x14ac:dyDescent="0.15">
      <c r="A520" s="10"/>
      <c r="B520" s="13"/>
      <c r="C520" s="13"/>
    </row>
    <row r="521" spans="1:3" ht="13" x14ac:dyDescent="0.15">
      <c r="A521" s="10"/>
      <c r="B521" s="13"/>
      <c r="C521" s="13"/>
    </row>
    <row r="522" spans="1:3" ht="13" x14ac:dyDescent="0.15">
      <c r="A522" s="10"/>
      <c r="B522" s="13"/>
      <c r="C522" s="13"/>
    </row>
    <row r="523" spans="1:3" ht="13" x14ac:dyDescent="0.15">
      <c r="A523" s="10"/>
      <c r="B523" s="13"/>
      <c r="C523" s="13"/>
    </row>
    <row r="524" spans="1:3" ht="13" x14ac:dyDescent="0.15">
      <c r="A524" s="10"/>
      <c r="B524" s="13"/>
      <c r="C524" s="13"/>
    </row>
    <row r="525" spans="1:3" ht="13" x14ac:dyDescent="0.15">
      <c r="A525" s="10"/>
      <c r="B525" s="13"/>
      <c r="C525" s="13"/>
    </row>
    <row r="526" spans="1:3" ht="13" x14ac:dyDescent="0.15">
      <c r="A526" s="10"/>
      <c r="B526" s="13"/>
      <c r="C526" s="13"/>
    </row>
    <row r="527" spans="1:3" ht="13" x14ac:dyDescent="0.15">
      <c r="A527" s="10"/>
      <c r="B527" s="13"/>
      <c r="C527" s="13"/>
    </row>
    <row r="528" spans="1:3" ht="13" x14ac:dyDescent="0.15">
      <c r="A528" s="10"/>
      <c r="B528" s="13"/>
      <c r="C528" s="13"/>
    </row>
    <row r="529" spans="1:3" ht="13" x14ac:dyDescent="0.15">
      <c r="A529" s="10"/>
      <c r="B529" s="13"/>
      <c r="C529" s="13"/>
    </row>
    <row r="530" spans="1:3" ht="13" x14ac:dyDescent="0.15">
      <c r="A530" s="10"/>
      <c r="B530" s="13"/>
      <c r="C530" s="13"/>
    </row>
    <row r="531" spans="1:3" ht="13" x14ac:dyDescent="0.15">
      <c r="A531" s="10"/>
      <c r="B531" s="13"/>
      <c r="C531" s="13"/>
    </row>
    <row r="532" spans="1:3" ht="13" x14ac:dyDescent="0.15">
      <c r="A532" s="10"/>
      <c r="B532" s="13"/>
      <c r="C532" s="13"/>
    </row>
    <row r="533" spans="1:3" ht="13" x14ac:dyDescent="0.15">
      <c r="A533" s="10"/>
      <c r="B533" s="13"/>
      <c r="C533" s="13"/>
    </row>
    <row r="534" spans="1:3" ht="13" x14ac:dyDescent="0.15">
      <c r="A534" s="10"/>
      <c r="B534" s="13"/>
      <c r="C534" s="13"/>
    </row>
    <row r="535" spans="1:3" ht="13" x14ac:dyDescent="0.15">
      <c r="A535" s="10"/>
      <c r="B535" s="13"/>
      <c r="C535" s="13"/>
    </row>
    <row r="536" spans="1:3" ht="13" x14ac:dyDescent="0.15">
      <c r="A536" s="10"/>
      <c r="B536" s="13"/>
      <c r="C536" s="13"/>
    </row>
    <row r="537" spans="1:3" ht="13" x14ac:dyDescent="0.15">
      <c r="A537" s="10"/>
      <c r="B537" s="13"/>
      <c r="C537" s="13"/>
    </row>
    <row r="538" spans="1:3" ht="13" x14ac:dyDescent="0.15">
      <c r="A538" s="10"/>
      <c r="B538" s="13"/>
      <c r="C538" s="13"/>
    </row>
    <row r="539" spans="1:3" ht="13" x14ac:dyDescent="0.15">
      <c r="A539" s="10"/>
      <c r="B539" s="13"/>
      <c r="C539" s="13"/>
    </row>
    <row r="540" spans="1:3" ht="13" x14ac:dyDescent="0.15">
      <c r="A540" s="10"/>
      <c r="B540" s="13"/>
      <c r="C540" s="13"/>
    </row>
    <row r="541" spans="1:3" ht="13" x14ac:dyDescent="0.15">
      <c r="A541" s="10"/>
      <c r="B541" s="13"/>
      <c r="C541" s="13"/>
    </row>
    <row r="542" spans="1:3" ht="13" x14ac:dyDescent="0.15">
      <c r="A542" s="10"/>
      <c r="B542" s="13"/>
      <c r="C542" s="13"/>
    </row>
    <row r="543" spans="1:3" ht="13" x14ac:dyDescent="0.15">
      <c r="A543" s="10"/>
      <c r="B543" s="13"/>
      <c r="C543" s="13"/>
    </row>
    <row r="544" spans="1:3" ht="13" x14ac:dyDescent="0.15">
      <c r="A544" s="10"/>
      <c r="B544" s="13"/>
      <c r="C544" s="13"/>
    </row>
    <row r="545" spans="1:3" ht="13" x14ac:dyDescent="0.15">
      <c r="A545" s="10"/>
      <c r="B545" s="13"/>
      <c r="C545" s="13"/>
    </row>
    <row r="546" spans="1:3" ht="13" x14ac:dyDescent="0.15">
      <c r="A546" s="10"/>
      <c r="B546" s="13"/>
      <c r="C546" s="13"/>
    </row>
    <row r="547" spans="1:3" ht="13" x14ac:dyDescent="0.15">
      <c r="A547" s="10"/>
      <c r="B547" s="13"/>
      <c r="C547" s="13"/>
    </row>
    <row r="548" spans="1:3" ht="13" x14ac:dyDescent="0.15">
      <c r="A548" s="10"/>
      <c r="B548" s="13"/>
      <c r="C548" s="13"/>
    </row>
    <row r="549" spans="1:3" ht="13" x14ac:dyDescent="0.15">
      <c r="A549" s="10"/>
      <c r="B549" s="13"/>
      <c r="C549" s="13"/>
    </row>
    <row r="550" spans="1:3" ht="13" x14ac:dyDescent="0.15">
      <c r="A550" s="10"/>
      <c r="B550" s="13"/>
      <c r="C550" s="13"/>
    </row>
    <row r="551" spans="1:3" ht="13" x14ac:dyDescent="0.15">
      <c r="A551" s="10"/>
      <c r="B551" s="13"/>
      <c r="C551" s="13"/>
    </row>
    <row r="552" spans="1:3" ht="13" x14ac:dyDescent="0.15">
      <c r="A552" s="10"/>
      <c r="B552" s="13"/>
      <c r="C552" s="13"/>
    </row>
    <row r="553" spans="1:3" ht="13" x14ac:dyDescent="0.15">
      <c r="A553" s="10"/>
      <c r="B553" s="13"/>
      <c r="C553" s="13"/>
    </row>
    <row r="554" spans="1:3" ht="13" x14ac:dyDescent="0.15">
      <c r="A554" s="10"/>
      <c r="B554" s="13"/>
      <c r="C554" s="13"/>
    </row>
    <row r="555" spans="1:3" ht="13" x14ac:dyDescent="0.15">
      <c r="A555" s="10"/>
      <c r="B555" s="13"/>
      <c r="C555" s="13"/>
    </row>
    <row r="556" spans="1:3" ht="13" x14ac:dyDescent="0.15">
      <c r="A556" s="10"/>
      <c r="B556" s="13"/>
      <c r="C556" s="13"/>
    </row>
    <row r="557" spans="1:3" ht="13" x14ac:dyDescent="0.15">
      <c r="A557" s="10"/>
      <c r="B557" s="13"/>
      <c r="C557" s="13"/>
    </row>
    <row r="558" spans="1:3" ht="13" x14ac:dyDescent="0.15">
      <c r="A558" s="10"/>
      <c r="B558" s="13"/>
      <c r="C558" s="13"/>
    </row>
    <row r="559" spans="1:3" ht="13" x14ac:dyDescent="0.15">
      <c r="A559" s="10"/>
      <c r="B559" s="13"/>
      <c r="C559" s="13"/>
    </row>
    <row r="560" spans="1:3" ht="13" x14ac:dyDescent="0.15">
      <c r="A560" s="10"/>
      <c r="B560" s="13"/>
      <c r="C560" s="13"/>
    </row>
    <row r="561" spans="1:3" ht="13" x14ac:dyDescent="0.15">
      <c r="A561" s="10"/>
      <c r="B561" s="13"/>
      <c r="C561" s="13"/>
    </row>
    <row r="562" spans="1:3" ht="13" x14ac:dyDescent="0.15">
      <c r="A562" s="10"/>
      <c r="B562" s="13"/>
      <c r="C562" s="13"/>
    </row>
    <row r="563" spans="1:3" ht="13" x14ac:dyDescent="0.15">
      <c r="A563" s="10"/>
      <c r="B563" s="13"/>
      <c r="C563" s="13"/>
    </row>
    <row r="564" spans="1:3" ht="13" x14ac:dyDescent="0.15">
      <c r="A564" s="10"/>
      <c r="B564" s="13"/>
      <c r="C564" s="13"/>
    </row>
    <row r="565" spans="1:3" ht="13" x14ac:dyDescent="0.15">
      <c r="A565" s="10"/>
      <c r="B565" s="13"/>
      <c r="C565" s="13"/>
    </row>
    <row r="566" spans="1:3" ht="13" x14ac:dyDescent="0.15">
      <c r="A566" s="10"/>
      <c r="B566" s="13"/>
      <c r="C566" s="13"/>
    </row>
    <row r="567" spans="1:3" ht="13" x14ac:dyDescent="0.15">
      <c r="A567" s="10"/>
      <c r="B567" s="13"/>
      <c r="C567" s="13"/>
    </row>
    <row r="568" spans="1:3" ht="13" x14ac:dyDescent="0.15">
      <c r="A568" s="10"/>
      <c r="B568" s="13"/>
      <c r="C568" s="13"/>
    </row>
    <row r="569" spans="1:3" ht="13" x14ac:dyDescent="0.15">
      <c r="A569" s="10"/>
      <c r="B569" s="13"/>
      <c r="C569" s="13"/>
    </row>
    <row r="570" spans="1:3" ht="13" x14ac:dyDescent="0.15">
      <c r="A570" s="10"/>
      <c r="B570" s="13"/>
      <c r="C570" s="13"/>
    </row>
    <row r="571" spans="1:3" ht="13" x14ac:dyDescent="0.15">
      <c r="A571" s="10"/>
      <c r="B571" s="13"/>
      <c r="C571" s="13"/>
    </row>
    <row r="572" spans="1:3" ht="13" x14ac:dyDescent="0.15">
      <c r="A572" s="10"/>
      <c r="B572" s="13"/>
      <c r="C572" s="13"/>
    </row>
    <row r="573" spans="1:3" ht="13" x14ac:dyDescent="0.15">
      <c r="A573" s="10"/>
      <c r="B573" s="13"/>
      <c r="C573" s="13"/>
    </row>
    <row r="574" spans="1:3" ht="13" x14ac:dyDescent="0.15">
      <c r="A574" s="10"/>
      <c r="B574" s="13"/>
      <c r="C574" s="13"/>
    </row>
    <row r="575" spans="1:3" ht="13" x14ac:dyDescent="0.15">
      <c r="A575" s="10"/>
      <c r="B575" s="13"/>
      <c r="C575" s="13"/>
    </row>
    <row r="576" spans="1:3" ht="13" x14ac:dyDescent="0.15">
      <c r="A576" s="10"/>
      <c r="B576" s="13"/>
      <c r="C576" s="13"/>
    </row>
    <row r="577" spans="1:3" ht="13" x14ac:dyDescent="0.15">
      <c r="A577" s="10"/>
      <c r="B577" s="13"/>
      <c r="C577" s="13"/>
    </row>
    <row r="578" spans="1:3" ht="13" x14ac:dyDescent="0.15">
      <c r="A578" s="10"/>
      <c r="B578" s="13"/>
      <c r="C578" s="13"/>
    </row>
    <row r="579" spans="1:3" ht="13" x14ac:dyDescent="0.15">
      <c r="A579" s="10"/>
      <c r="B579" s="13"/>
      <c r="C579" s="13"/>
    </row>
    <row r="580" spans="1:3" ht="13" x14ac:dyDescent="0.15">
      <c r="A580" s="10"/>
      <c r="B580" s="13"/>
      <c r="C580" s="13"/>
    </row>
    <row r="581" spans="1:3" ht="13" x14ac:dyDescent="0.15">
      <c r="A581" s="10"/>
      <c r="B581" s="13"/>
      <c r="C581" s="13"/>
    </row>
    <row r="582" spans="1:3" ht="13" x14ac:dyDescent="0.15">
      <c r="A582" s="10"/>
      <c r="B582" s="13"/>
      <c r="C582" s="13"/>
    </row>
    <row r="583" spans="1:3" ht="13" x14ac:dyDescent="0.15">
      <c r="A583" s="10"/>
      <c r="B583" s="13"/>
      <c r="C583" s="13"/>
    </row>
    <row r="584" spans="1:3" ht="13" x14ac:dyDescent="0.15">
      <c r="A584" s="10"/>
      <c r="B584" s="13"/>
      <c r="C584" s="13"/>
    </row>
    <row r="585" spans="1:3" ht="13" x14ac:dyDescent="0.15">
      <c r="A585" s="10"/>
      <c r="B585" s="13"/>
      <c r="C585" s="13"/>
    </row>
    <row r="586" spans="1:3" ht="13" x14ac:dyDescent="0.15">
      <c r="A586" s="10"/>
      <c r="B586" s="13"/>
      <c r="C586" s="13"/>
    </row>
    <row r="587" spans="1:3" ht="13" x14ac:dyDescent="0.15">
      <c r="A587" s="10"/>
      <c r="B587" s="13"/>
      <c r="C587" s="13"/>
    </row>
    <row r="588" spans="1:3" ht="13" x14ac:dyDescent="0.15">
      <c r="A588" s="10"/>
      <c r="B588" s="13"/>
      <c r="C588" s="13"/>
    </row>
    <row r="589" spans="1:3" ht="13" x14ac:dyDescent="0.15">
      <c r="A589" s="10"/>
      <c r="B589" s="13"/>
      <c r="C589" s="13"/>
    </row>
    <row r="590" spans="1:3" ht="13" x14ac:dyDescent="0.15">
      <c r="A590" s="10"/>
      <c r="B590" s="13"/>
      <c r="C590" s="13"/>
    </row>
    <row r="591" spans="1:3" ht="13" x14ac:dyDescent="0.15">
      <c r="A591" s="10"/>
      <c r="B591" s="13"/>
      <c r="C591" s="13"/>
    </row>
    <row r="592" spans="1:3" ht="13" x14ac:dyDescent="0.15">
      <c r="A592" s="10"/>
      <c r="B592" s="13"/>
      <c r="C592" s="13"/>
    </row>
    <row r="593" spans="1:3" ht="13" x14ac:dyDescent="0.15">
      <c r="A593" s="10"/>
      <c r="B593" s="13"/>
      <c r="C593" s="13"/>
    </row>
    <row r="594" spans="1:3" ht="13" x14ac:dyDescent="0.15">
      <c r="A594" s="10"/>
      <c r="B594" s="13"/>
      <c r="C594" s="13"/>
    </row>
    <row r="595" spans="1:3" ht="13" x14ac:dyDescent="0.15">
      <c r="A595" s="10"/>
      <c r="B595" s="13"/>
      <c r="C595" s="13"/>
    </row>
    <row r="596" spans="1:3" ht="13" x14ac:dyDescent="0.15">
      <c r="A596" s="10"/>
      <c r="B596" s="13"/>
      <c r="C596" s="13"/>
    </row>
    <row r="597" spans="1:3" ht="13" x14ac:dyDescent="0.15">
      <c r="A597" s="10"/>
      <c r="B597" s="13"/>
      <c r="C597" s="13"/>
    </row>
    <row r="598" spans="1:3" ht="13" x14ac:dyDescent="0.15">
      <c r="A598" s="10"/>
      <c r="B598" s="13"/>
      <c r="C598" s="13"/>
    </row>
    <row r="599" spans="1:3" ht="13" x14ac:dyDescent="0.15">
      <c r="A599" s="10"/>
      <c r="B599" s="13"/>
      <c r="C599" s="13"/>
    </row>
    <row r="600" spans="1:3" ht="13" x14ac:dyDescent="0.15">
      <c r="A600" s="10"/>
      <c r="B600" s="13"/>
      <c r="C600" s="13"/>
    </row>
    <row r="601" spans="1:3" ht="13" x14ac:dyDescent="0.15">
      <c r="A601" s="10"/>
      <c r="B601" s="13"/>
      <c r="C601" s="13"/>
    </row>
    <row r="602" spans="1:3" ht="13" x14ac:dyDescent="0.15">
      <c r="A602" s="10"/>
      <c r="B602" s="13"/>
      <c r="C602" s="13"/>
    </row>
    <row r="603" spans="1:3" ht="13" x14ac:dyDescent="0.15">
      <c r="A603" s="10"/>
      <c r="B603" s="13"/>
      <c r="C603" s="13"/>
    </row>
    <row r="604" spans="1:3" ht="13" x14ac:dyDescent="0.15">
      <c r="A604" s="10"/>
      <c r="B604" s="13"/>
      <c r="C604" s="13"/>
    </row>
    <row r="605" spans="1:3" ht="13" x14ac:dyDescent="0.15">
      <c r="A605" s="10"/>
      <c r="B605" s="13"/>
      <c r="C605" s="13"/>
    </row>
    <row r="606" spans="1:3" ht="13" x14ac:dyDescent="0.15">
      <c r="A606" s="10"/>
      <c r="B606" s="13"/>
      <c r="C606" s="13"/>
    </row>
    <row r="607" spans="1:3" ht="13" x14ac:dyDescent="0.15">
      <c r="A607" s="10"/>
      <c r="B607" s="13"/>
      <c r="C607" s="13"/>
    </row>
    <row r="608" spans="1:3" ht="13" x14ac:dyDescent="0.15">
      <c r="A608" s="10"/>
      <c r="B608" s="13"/>
      <c r="C608" s="13"/>
    </row>
    <row r="609" spans="1:3" ht="13" x14ac:dyDescent="0.15">
      <c r="A609" s="10"/>
      <c r="B609" s="13"/>
      <c r="C609" s="13"/>
    </row>
    <row r="610" spans="1:3" ht="13" x14ac:dyDescent="0.15">
      <c r="A610" s="10"/>
      <c r="B610" s="13"/>
      <c r="C610" s="13"/>
    </row>
    <row r="611" spans="1:3" ht="13" x14ac:dyDescent="0.15">
      <c r="A611" s="10"/>
      <c r="B611" s="13"/>
      <c r="C611" s="13"/>
    </row>
    <row r="612" spans="1:3" ht="13" x14ac:dyDescent="0.15">
      <c r="A612" s="10"/>
      <c r="B612" s="13"/>
      <c r="C612" s="13"/>
    </row>
    <row r="613" spans="1:3" ht="13" x14ac:dyDescent="0.15">
      <c r="A613" s="10"/>
      <c r="B613" s="13"/>
      <c r="C613" s="13"/>
    </row>
    <row r="614" spans="1:3" ht="13" x14ac:dyDescent="0.15">
      <c r="A614" s="10"/>
      <c r="B614" s="13"/>
      <c r="C614" s="13"/>
    </row>
    <row r="615" spans="1:3" ht="13" x14ac:dyDescent="0.15">
      <c r="A615" s="10"/>
      <c r="B615" s="13"/>
      <c r="C615" s="13"/>
    </row>
    <row r="616" spans="1:3" ht="13" x14ac:dyDescent="0.15">
      <c r="A616" s="10"/>
      <c r="B616" s="13"/>
      <c r="C616" s="13"/>
    </row>
    <row r="617" spans="1:3" ht="13" x14ac:dyDescent="0.15">
      <c r="A617" s="10"/>
      <c r="B617" s="13"/>
      <c r="C617" s="13"/>
    </row>
    <row r="618" spans="1:3" ht="13" x14ac:dyDescent="0.15">
      <c r="A618" s="10"/>
      <c r="B618" s="13"/>
      <c r="C618" s="13"/>
    </row>
    <row r="619" spans="1:3" ht="13" x14ac:dyDescent="0.15">
      <c r="A619" s="10"/>
      <c r="B619" s="13"/>
      <c r="C619" s="13"/>
    </row>
    <row r="620" spans="1:3" ht="13" x14ac:dyDescent="0.15">
      <c r="A620" s="10"/>
      <c r="B620" s="13"/>
      <c r="C620" s="13"/>
    </row>
    <row r="621" spans="1:3" ht="13" x14ac:dyDescent="0.15">
      <c r="A621" s="10"/>
      <c r="B621" s="13"/>
      <c r="C621" s="13"/>
    </row>
    <row r="622" spans="1:3" ht="13" x14ac:dyDescent="0.15">
      <c r="A622" s="10"/>
      <c r="B622" s="13"/>
      <c r="C622" s="13"/>
    </row>
    <row r="623" spans="1:3" ht="13" x14ac:dyDescent="0.15">
      <c r="A623" s="10"/>
      <c r="B623" s="13"/>
      <c r="C623" s="13"/>
    </row>
    <row r="624" spans="1:3" ht="13" x14ac:dyDescent="0.15">
      <c r="A624" s="10"/>
      <c r="B624" s="13"/>
      <c r="C624" s="13"/>
    </row>
    <row r="625" spans="1:3" ht="13" x14ac:dyDescent="0.15">
      <c r="A625" s="10"/>
      <c r="B625" s="13"/>
      <c r="C625" s="13"/>
    </row>
    <row r="626" spans="1:3" ht="13" x14ac:dyDescent="0.15">
      <c r="A626" s="10"/>
      <c r="B626" s="13"/>
      <c r="C626" s="13"/>
    </row>
    <row r="627" spans="1:3" ht="13" x14ac:dyDescent="0.15">
      <c r="A627" s="10"/>
      <c r="B627" s="13"/>
      <c r="C627" s="13"/>
    </row>
    <row r="628" spans="1:3" ht="13" x14ac:dyDescent="0.15">
      <c r="A628" s="10"/>
      <c r="B628" s="13"/>
      <c r="C628" s="13"/>
    </row>
    <row r="629" spans="1:3" ht="13" x14ac:dyDescent="0.15">
      <c r="A629" s="10"/>
      <c r="B629" s="13"/>
      <c r="C629" s="13"/>
    </row>
    <row r="630" spans="1:3" ht="13" x14ac:dyDescent="0.15">
      <c r="A630" s="10"/>
      <c r="B630" s="13"/>
      <c r="C630" s="13"/>
    </row>
    <row r="631" spans="1:3" ht="13" x14ac:dyDescent="0.15">
      <c r="A631" s="10"/>
      <c r="B631" s="13"/>
      <c r="C631" s="13"/>
    </row>
    <row r="632" spans="1:3" ht="13" x14ac:dyDescent="0.15">
      <c r="A632" s="10"/>
      <c r="B632" s="13"/>
      <c r="C632" s="13"/>
    </row>
    <row r="633" spans="1:3" ht="13" x14ac:dyDescent="0.15">
      <c r="A633" s="10"/>
      <c r="B633" s="13"/>
      <c r="C633" s="13"/>
    </row>
    <row r="634" spans="1:3" ht="13" x14ac:dyDescent="0.15">
      <c r="A634" s="10"/>
      <c r="B634" s="13"/>
      <c r="C634" s="13"/>
    </row>
    <row r="635" spans="1:3" ht="13" x14ac:dyDescent="0.15">
      <c r="A635" s="10"/>
      <c r="B635" s="13"/>
      <c r="C635" s="13"/>
    </row>
    <row r="636" spans="1:3" ht="13" x14ac:dyDescent="0.15">
      <c r="A636" s="10"/>
      <c r="B636" s="13"/>
      <c r="C636" s="13"/>
    </row>
    <row r="637" spans="1:3" ht="13" x14ac:dyDescent="0.15">
      <c r="A637" s="10"/>
      <c r="B637" s="13"/>
      <c r="C637" s="13"/>
    </row>
    <row r="638" spans="1:3" ht="13" x14ac:dyDescent="0.15">
      <c r="A638" s="10"/>
      <c r="B638" s="13"/>
      <c r="C638" s="13"/>
    </row>
    <row r="639" spans="1:3" ht="13" x14ac:dyDescent="0.15">
      <c r="A639" s="10"/>
      <c r="B639" s="13"/>
      <c r="C639" s="13"/>
    </row>
    <row r="640" spans="1:3" ht="13" x14ac:dyDescent="0.15">
      <c r="A640" s="10"/>
      <c r="B640" s="13"/>
      <c r="C640" s="13"/>
    </row>
    <row r="641" spans="1:3" ht="13" x14ac:dyDescent="0.15">
      <c r="A641" s="10"/>
      <c r="B641" s="13"/>
      <c r="C641" s="13"/>
    </row>
    <row r="642" spans="1:3" ht="13" x14ac:dyDescent="0.15">
      <c r="A642" s="10"/>
      <c r="B642" s="13"/>
      <c r="C642" s="13"/>
    </row>
    <row r="643" spans="1:3" ht="13" x14ac:dyDescent="0.15">
      <c r="A643" s="10"/>
      <c r="B643" s="13"/>
      <c r="C643" s="13"/>
    </row>
    <row r="644" spans="1:3" ht="13" x14ac:dyDescent="0.15">
      <c r="A644" s="10"/>
      <c r="B644" s="13"/>
      <c r="C644" s="13"/>
    </row>
    <row r="645" spans="1:3" ht="13" x14ac:dyDescent="0.15">
      <c r="A645" s="10"/>
      <c r="B645" s="13"/>
      <c r="C645" s="13"/>
    </row>
    <row r="646" spans="1:3" ht="13" x14ac:dyDescent="0.15">
      <c r="A646" s="10"/>
      <c r="B646" s="13"/>
      <c r="C646" s="13"/>
    </row>
    <row r="647" spans="1:3" ht="13" x14ac:dyDescent="0.15">
      <c r="A647" s="10"/>
      <c r="B647" s="13"/>
      <c r="C647" s="13"/>
    </row>
    <row r="648" spans="1:3" ht="13" x14ac:dyDescent="0.15">
      <c r="A648" s="10"/>
      <c r="B648" s="13"/>
      <c r="C648" s="13"/>
    </row>
    <row r="649" spans="1:3" ht="13" x14ac:dyDescent="0.15">
      <c r="A649" s="10"/>
      <c r="B649" s="13"/>
      <c r="C649" s="13"/>
    </row>
    <row r="650" spans="1:3" ht="13" x14ac:dyDescent="0.15">
      <c r="A650" s="10"/>
      <c r="B650" s="13"/>
      <c r="C650" s="13"/>
    </row>
    <row r="651" spans="1:3" ht="13" x14ac:dyDescent="0.15">
      <c r="A651" s="10"/>
      <c r="B651" s="13"/>
      <c r="C651" s="13"/>
    </row>
    <row r="652" spans="1:3" ht="13" x14ac:dyDescent="0.15">
      <c r="A652" s="10"/>
      <c r="B652" s="13"/>
      <c r="C652" s="13"/>
    </row>
    <row r="653" spans="1:3" ht="13" x14ac:dyDescent="0.15">
      <c r="A653" s="10"/>
      <c r="B653" s="13"/>
      <c r="C653" s="13"/>
    </row>
    <row r="654" spans="1:3" ht="13" x14ac:dyDescent="0.15">
      <c r="A654" s="10"/>
      <c r="B654" s="13"/>
      <c r="C654" s="13"/>
    </row>
    <row r="655" spans="1:3" ht="13" x14ac:dyDescent="0.15">
      <c r="A655" s="10"/>
      <c r="B655" s="13"/>
      <c r="C655" s="13"/>
    </row>
    <row r="656" spans="1:3" ht="13" x14ac:dyDescent="0.15">
      <c r="A656" s="10"/>
      <c r="B656" s="13"/>
      <c r="C656" s="13"/>
    </row>
    <row r="657" spans="1:3" ht="13" x14ac:dyDescent="0.15">
      <c r="A657" s="10"/>
      <c r="B657" s="13"/>
      <c r="C657" s="13"/>
    </row>
    <row r="658" spans="1:3" ht="13" x14ac:dyDescent="0.15">
      <c r="A658" s="10"/>
      <c r="B658" s="13"/>
      <c r="C658" s="13"/>
    </row>
    <row r="659" spans="1:3" ht="13" x14ac:dyDescent="0.15">
      <c r="A659" s="10"/>
      <c r="B659" s="13"/>
      <c r="C659" s="13"/>
    </row>
    <row r="660" spans="1:3" ht="13" x14ac:dyDescent="0.15">
      <c r="A660" s="10"/>
      <c r="B660" s="13"/>
      <c r="C660" s="13"/>
    </row>
    <row r="661" spans="1:3" ht="13" x14ac:dyDescent="0.15">
      <c r="A661" s="10"/>
      <c r="B661" s="13"/>
      <c r="C661" s="13"/>
    </row>
    <row r="662" spans="1:3" ht="13" x14ac:dyDescent="0.15">
      <c r="A662" s="10"/>
      <c r="B662" s="13"/>
      <c r="C662" s="13"/>
    </row>
    <row r="663" spans="1:3" ht="13" x14ac:dyDescent="0.15">
      <c r="A663" s="10"/>
      <c r="B663" s="13"/>
      <c r="C663" s="13"/>
    </row>
    <row r="664" spans="1:3" ht="13" x14ac:dyDescent="0.15">
      <c r="A664" s="10"/>
      <c r="B664" s="13"/>
      <c r="C664" s="13"/>
    </row>
    <row r="665" spans="1:3" ht="13" x14ac:dyDescent="0.15">
      <c r="A665" s="10"/>
      <c r="B665" s="13"/>
      <c r="C665" s="13"/>
    </row>
    <row r="666" spans="1:3" ht="13" x14ac:dyDescent="0.15">
      <c r="A666" s="10"/>
      <c r="B666" s="13"/>
      <c r="C666" s="13"/>
    </row>
    <row r="667" spans="1:3" ht="13" x14ac:dyDescent="0.15">
      <c r="A667" s="10"/>
      <c r="B667" s="13"/>
      <c r="C667" s="13"/>
    </row>
    <row r="668" spans="1:3" ht="13" x14ac:dyDescent="0.15">
      <c r="A668" s="10"/>
      <c r="B668" s="13"/>
      <c r="C668" s="13"/>
    </row>
    <row r="669" spans="1:3" ht="13" x14ac:dyDescent="0.15">
      <c r="A669" s="10"/>
      <c r="B669" s="13"/>
      <c r="C669" s="13"/>
    </row>
    <row r="670" spans="1:3" ht="13" x14ac:dyDescent="0.15">
      <c r="A670" s="10"/>
      <c r="B670" s="13"/>
      <c r="C670" s="13"/>
    </row>
    <row r="671" spans="1:3" ht="13" x14ac:dyDescent="0.15">
      <c r="A671" s="10"/>
      <c r="B671" s="13"/>
      <c r="C671" s="13"/>
    </row>
    <row r="672" spans="1:3" ht="13" x14ac:dyDescent="0.15">
      <c r="A672" s="10"/>
      <c r="B672" s="13"/>
      <c r="C672" s="13"/>
    </row>
    <row r="673" spans="1:3" ht="13" x14ac:dyDescent="0.15">
      <c r="A673" s="10"/>
      <c r="B673" s="13"/>
      <c r="C673" s="13"/>
    </row>
    <row r="674" spans="1:3" ht="13" x14ac:dyDescent="0.15">
      <c r="A674" s="10"/>
      <c r="B674" s="13"/>
      <c r="C674" s="13"/>
    </row>
    <row r="675" spans="1:3" ht="13" x14ac:dyDescent="0.15">
      <c r="A675" s="10"/>
      <c r="B675" s="13"/>
      <c r="C675" s="13"/>
    </row>
    <row r="676" spans="1:3" ht="13" x14ac:dyDescent="0.15">
      <c r="A676" s="10"/>
      <c r="B676" s="13"/>
      <c r="C676" s="13"/>
    </row>
    <row r="677" spans="1:3" ht="13" x14ac:dyDescent="0.15">
      <c r="A677" s="10"/>
      <c r="B677" s="13"/>
      <c r="C677" s="13"/>
    </row>
    <row r="678" spans="1:3" ht="13" x14ac:dyDescent="0.15">
      <c r="A678" s="10"/>
      <c r="B678" s="13"/>
      <c r="C678" s="13"/>
    </row>
    <row r="679" spans="1:3" ht="13" x14ac:dyDescent="0.15">
      <c r="A679" s="10"/>
      <c r="B679" s="13"/>
      <c r="C679" s="13"/>
    </row>
    <row r="680" spans="1:3" ht="13" x14ac:dyDescent="0.15">
      <c r="A680" s="10"/>
      <c r="B680" s="13"/>
      <c r="C680" s="13"/>
    </row>
    <row r="681" spans="1:3" ht="13" x14ac:dyDescent="0.15">
      <c r="A681" s="10"/>
      <c r="B681" s="13"/>
      <c r="C681" s="13"/>
    </row>
    <row r="682" spans="1:3" ht="13" x14ac:dyDescent="0.15">
      <c r="A682" s="10"/>
      <c r="B682" s="13"/>
      <c r="C682" s="13"/>
    </row>
    <row r="683" spans="1:3" ht="13" x14ac:dyDescent="0.15">
      <c r="A683" s="10"/>
      <c r="B683" s="13"/>
      <c r="C683" s="13"/>
    </row>
    <row r="684" spans="1:3" ht="13" x14ac:dyDescent="0.15">
      <c r="A684" s="10"/>
      <c r="B684" s="13"/>
      <c r="C684" s="13"/>
    </row>
    <row r="685" spans="1:3" ht="13" x14ac:dyDescent="0.15">
      <c r="A685" s="10"/>
      <c r="B685" s="13"/>
      <c r="C685" s="13"/>
    </row>
    <row r="686" spans="1:3" ht="13" x14ac:dyDescent="0.15">
      <c r="A686" s="10"/>
      <c r="B686" s="13"/>
      <c r="C686" s="13"/>
    </row>
    <row r="687" spans="1:3" ht="13" x14ac:dyDescent="0.15">
      <c r="A687" s="10"/>
      <c r="B687" s="13"/>
      <c r="C687" s="13"/>
    </row>
    <row r="688" spans="1:3" ht="13" x14ac:dyDescent="0.15">
      <c r="A688" s="10"/>
      <c r="B688" s="13"/>
      <c r="C688" s="13"/>
    </row>
    <row r="689" spans="1:3" ht="13" x14ac:dyDescent="0.15">
      <c r="A689" s="10"/>
      <c r="B689" s="13"/>
      <c r="C689" s="13"/>
    </row>
    <row r="690" spans="1:3" ht="13" x14ac:dyDescent="0.15">
      <c r="A690" s="10"/>
      <c r="B690" s="13"/>
      <c r="C690" s="13"/>
    </row>
    <row r="691" spans="1:3" ht="13" x14ac:dyDescent="0.15">
      <c r="A691" s="10"/>
      <c r="B691" s="13"/>
      <c r="C691" s="13"/>
    </row>
    <row r="692" spans="1:3" ht="13" x14ac:dyDescent="0.15">
      <c r="A692" s="10"/>
      <c r="B692" s="13"/>
      <c r="C692" s="13"/>
    </row>
    <row r="693" spans="1:3" ht="13" x14ac:dyDescent="0.15">
      <c r="A693" s="10"/>
      <c r="B693" s="13"/>
      <c r="C693" s="13"/>
    </row>
    <row r="694" spans="1:3" ht="13" x14ac:dyDescent="0.15">
      <c r="A694" s="10"/>
      <c r="B694" s="13"/>
      <c r="C694" s="13"/>
    </row>
    <row r="695" spans="1:3" ht="13" x14ac:dyDescent="0.15">
      <c r="A695" s="10"/>
      <c r="B695" s="13"/>
      <c r="C695" s="13"/>
    </row>
    <row r="696" spans="1:3" ht="13" x14ac:dyDescent="0.15">
      <c r="A696" s="10"/>
      <c r="B696" s="13"/>
      <c r="C696" s="13"/>
    </row>
    <row r="697" spans="1:3" ht="13" x14ac:dyDescent="0.15">
      <c r="A697" s="10"/>
      <c r="B697" s="13"/>
      <c r="C697" s="13"/>
    </row>
    <row r="698" spans="1:3" ht="13" x14ac:dyDescent="0.15">
      <c r="A698" s="10"/>
      <c r="B698" s="13"/>
      <c r="C698" s="13"/>
    </row>
    <row r="699" spans="1:3" ht="13" x14ac:dyDescent="0.15">
      <c r="A699" s="10"/>
      <c r="B699" s="13"/>
      <c r="C699" s="13"/>
    </row>
    <row r="700" spans="1:3" ht="13" x14ac:dyDescent="0.15">
      <c r="A700" s="10"/>
      <c r="B700" s="13"/>
      <c r="C700" s="13"/>
    </row>
    <row r="701" spans="1:3" ht="13" x14ac:dyDescent="0.15">
      <c r="A701" s="10"/>
      <c r="B701" s="13"/>
      <c r="C701" s="13"/>
    </row>
    <row r="702" spans="1:3" ht="13" x14ac:dyDescent="0.15">
      <c r="A702" s="10"/>
      <c r="B702" s="13"/>
      <c r="C702" s="13"/>
    </row>
    <row r="703" spans="1:3" ht="13" x14ac:dyDescent="0.15">
      <c r="A703" s="10"/>
      <c r="B703" s="13"/>
      <c r="C703" s="13"/>
    </row>
    <row r="704" spans="1:3" ht="13" x14ac:dyDescent="0.15">
      <c r="A704" s="10"/>
      <c r="B704" s="13"/>
      <c r="C704" s="13"/>
    </row>
    <row r="705" spans="1:3" ht="13" x14ac:dyDescent="0.15">
      <c r="A705" s="10"/>
      <c r="B705" s="13"/>
      <c r="C705" s="13"/>
    </row>
    <row r="706" spans="1:3" ht="13" x14ac:dyDescent="0.15">
      <c r="A706" s="10"/>
      <c r="B706" s="13"/>
      <c r="C706" s="13"/>
    </row>
    <row r="707" spans="1:3" ht="13" x14ac:dyDescent="0.15">
      <c r="A707" s="10"/>
      <c r="B707" s="13"/>
      <c r="C707" s="13"/>
    </row>
    <row r="708" spans="1:3" ht="13" x14ac:dyDescent="0.15">
      <c r="A708" s="10"/>
      <c r="B708" s="13"/>
      <c r="C708" s="13"/>
    </row>
    <row r="709" spans="1:3" ht="13" x14ac:dyDescent="0.15">
      <c r="A709" s="10"/>
      <c r="B709" s="13"/>
      <c r="C709" s="13"/>
    </row>
    <row r="710" spans="1:3" ht="13" x14ac:dyDescent="0.15">
      <c r="A710" s="10"/>
      <c r="B710" s="13"/>
      <c r="C710" s="13"/>
    </row>
    <row r="711" spans="1:3" ht="13" x14ac:dyDescent="0.15">
      <c r="A711" s="10"/>
      <c r="B711" s="13"/>
      <c r="C711" s="13"/>
    </row>
    <row r="712" spans="1:3" ht="13" x14ac:dyDescent="0.15">
      <c r="A712" s="10"/>
      <c r="B712" s="13"/>
      <c r="C712" s="13"/>
    </row>
    <row r="713" spans="1:3" ht="13" x14ac:dyDescent="0.15">
      <c r="A713" s="10"/>
      <c r="B713" s="13"/>
      <c r="C713" s="13"/>
    </row>
    <row r="714" spans="1:3" ht="13" x14ac:dyDescent="0.15">
      <c r="A714" s="10"/>
      <c r="B714" s="13"/>
      <c r="C714" s="13"/>
    </row>
    <row r="715" spans="1:3" ht="13" x14ac:dyDescent="0.15">
      <c r="A715" s="10"/>
      <c r="B715" s="13"/>
      <c r="C715" s="13"/>
    </row>
    <row r="716" spans="1:3" ht="13" x14ac:dyDescent="0.15">
      <c r="A716" s="10"/>
      <c r="B716" s="13"/>
      <c r="C716" s="13"/>
    </row>
    <row r="717" spans="1:3" ht="13" x14ac:dyDescent="0.15">
      <c r="A717" s="10"/>
      <c r="B717" s="13"/>
      <c r="C717" s="13"/>
    </row>
    <row r="718" spans="1:3" ht="13" x14ac:dyDescent="0.15">
      <c r="A718" s="10"/>
      <c r="B718" s="13"/>
      <c r="C718" s="13"/>
    </row>
    <row r="719" spans="1:3" ht="13" x14ac:dyDescent="0.15">
      <c r="A719" s="10"/>
      <c r="B719" s="13"/>
      <c r="C719" s="13"/>
    </row>
    <row r="720" spans="1:3" ht="13" x14ac:dyDescent="0.15">
      <c r="A720" s="10"/>
      <c r="B720" s="13"/>
      <c r="C720" s="13"/>
    </row>
    <row r="721" spans="1:3" ht="13" x14ac:dyDescent="0.15">
      <c r="A721" s="10"/>
      <c r="B721" s="13"/>
      <c r="C721" s="13"/>
    </row>
    <row r="722" spans="1:3" ht="13" x14ac:dyDescent="0.15">
      <c r="A722" s="10"/>
      <c r="B722" s="13"/>
      <c r="C722" s="13"/>
    </row>
    <row r="723" spans="1:3" ht="13" x14ac:dyDescent="0.15">
      <c r="A723" s="10"/>
      <c r="B723" s="13"/>
      <c r="C723" s="13"/>
    </row>
    <row r="724" spans="1:3" ht="13" x14ac:dyDescent="0.15">
      <c r="A724" s="10"/>
      <c r="B724" s="13"/>
      <c r="C724" s="13"/>
    </row>
    <row r="725" spans="1:3" ht="13" x14ac:dyDescent="0.15">
      <c r="A725" s="10"/>
      <c r="B725" s="13"/>
      <c r="C725" s="13"/>
    </row>
    <row r="726" spans="1:3" ht="13" x14ac:dyDescent="0.15">
      <c r="A726" s="10"/>
      <c r="B726" s="13"/>
      <c r="C726" s="13"/>
    </row>
    <row r="727" spans="1:3" ht="13" x14ac:dyDescent="0.15">
      <c r="A727" s="10"/>
      <c r="B727" s="13"/>
      <c r="C727" s="13"/>
    </row>
    <row r="728" spans="1:3" ht="13" x14ac:dyDescent="0.15">
      <c r="A728" s="10"/>
      <c r="B728" s="13"/>
      <c r="C728" s="13"/>
    </row>
    <row r="729" spans="1:3" ht="13" x14ac:dyDescent="0.15">
      <c r="A729" s="10"/>
      <c r="B729" s="13"/>
      <c r="C729" s="13"/>
    </row>
    <row r="730" spans="1:3" ht="13" x14ac:dyDescent="0.15">
      <c r="A730" s="10"/>
      <c r="B730" s="13"/>
      <c r="C730" s="13"/>
    </row>
    <row r="731" spans="1:3" ht="13" x14ac:dyDescent="0.15">
      <c r="A731" s="10"/>
      <c r="B731" s="13"/>
      <c r="C731" s="13"/>
    </row>
    <row r="732" spans="1:3" ht="13" x14ac:dyDescent="0.15">
      <c r="A732" s="10"/>
      <c r="B732" s="13"/>
      <c r="C732" s="13"/>
    </row>
    <row r="733" spans="1:3" ht="13" x14ac:dyDescent="0.15">
      <c r="A733" s="10"/>
      <c r="B733" s="13"/>
      <c r="C733" s="13"/>
    </row>
    <row r="734" spans="1:3" ht="13" x14ac:dyDescent="0.15">
      <c r="A734" s="10"/>
      <c r="B734" s="13"/>
      <c r="C734" s="13"/>
    </row>
    <row r="735" spans="1:3" ht="13" x14ac:dyDescent="0.15">
      <c r="A735" s="10"/>
      <c r="B735" s="13"/>
      <c r="C735" s="13"/>
    </row>
    <row r="736" spans="1:3" ht="13" x14ac:dyDescent="0.15">
      <c r="A736" s="10"/>
      <c r="B736" s="13"/>
      <c r="C736" s="13"/>
    </row>
    <row r="737" spans="1:3" ht="13" x14ac:dyDescent="0.15">
      <c r="A737" s="10"/>
      <c r="B737" s="13"/>
      <c r="C737" s="13"/>
    </row>
    <row r="738" spans="1:3" ht="13" x14ac:dyDescent="0.15">
      <c r="A738" s="10"/>
      <c r="B738" s="13"/>
      <c r="C738" s="13"/>
    </row>
    <row r="739" spans="1:3" ht="13" x14ac:dyDescent="0.15">
      <c r="A739" s="10"/>
      <c r="B739" s="13"/>
      <c r="C739" s="13"/>
    </row>
    <row r="740" spans="1:3" ht="13" x14ac:dyDescent="0.15">
      <c r="A740" s="10"/>
      <c r="B740" s="13"/>
      <c r="C740" s="13"/>
    </row>
    <row r="741" spans="1:3" ht="13" x14ac:dyDescent="0.15">
      <c r="A741" s="10"/>
      <c r="B741" s="13"/>
      <c r="C741" s="13"/>
    </row>
    <row r="742" spans="1:3" ht="13" x14ac:dyDescent="0.15">
      <c r="A742" s="10"/>
      <c r="B742" s="13"/>
      <c r="C742" s="13"/>
    </row>
    <row r="743" spans="1:3" ht="13" x14ac:dyDescent="0.15">
      <c r="A743" s="10"/>
      <c r="B743" s="13"/>
      <c r="C743" s="13"/>
    </row>
    <row r="744" spans="1:3" ht="13" x14ac:dyDescent="0.15">
      <c r="A744" s="10"/>
      <c r="B744" s="13"/>
      <c r="C744" s="13"/>
    </row>
    <row r="745" spans="1:3" ht="13" x14ac:dyDescent="0.15">
      <c r="A745" s="10"/>
      <c r="B745" s="13"/>
      <c r="C745" s="13"/>
    </row>
    <row r="746" spans="1:3" ht="13" x14ac:dyDescent="0.15">
      <c r="A746" s="10"/>
      <c r="B746" s="13"/>
      <c r="C746" s="13"/>
    </row>
    <row r="747" spans="1:3" ht="13" x14ac:dyDescent="0.15">
      <c r="A747" s="10"/>
      <c r="B747" s="13"/>
      <c r="C747" s="13"/>
    </row>
    <row r="748" spans="1:3" ht="13" x14ac:dyDescent="0.15">
      <c r="A748" s="10"/>
      <c r="B748" s="13"/>
      <c r="C748" s="13"/>
    </row>
    <row r="749" spans="1:3" ht="13" x14ac:dyDescent="0.15">
      <c r="A749" s="10"/>
      <c r="B749" s="13"/>
      <c r="C749" s="13"/>
    </row>
    <row r="750" spans="1:3" ht="13" x14ac:dyDescent="0.15">
      <c r="A750" s="10"/>
      <c r="B750" s="13"/>
      <c r="C750" s="13"/>
    </row>
    <row r="751" spans="1:3" ht="13" x14ac:dyDescent="0.15">
      <c r="A751" s="10"/>
      <c r="B751" s="13"/>
      <c r="C751" s="13"/>
    </row>
    <row r="752" spans="1:3" ht="13" x14ac:dyDescent="0.15">
      <c r="A752" s="10"/>
      <c r="B752" s="13"/>
      <c r="C752" s="13"/>
    </row>
    <row r="753" spans="1:3" ht="13" x14ac:dyDescent="0.15">
      <c r="A753" s="10"/>
      <c r="B753" s="13"/>
      <c r="C753" s="13"/>
    </row>
    <row r="754" spans="1:3" ht="13" x14ac:dyDescent="0.15">
      <c r="A754" s="10"/>
      <c r="B754" s="13"/>
      <c r="C754" s="13"/>
    </row>
    <row r="755" spans="1:3" ht="13" x14ac:dyDescent="0.15">
      <c r="A755" s="10"/>
      <c r="B755" s="13"/>
      <c r="C755" s="13"/>
    </row>
    <row r="756" spans="1:3" ht="13" x14ac:dyDescent="0.15">
      <c r="A756" s="10"/>
      <c r="B756" s="13"/>
      <c r="C756" s="13"/>
    </row>
    <row r="757" spans="1:3" ht="13" x14ac:dyDescent="0.15">
      <c r="A757" s="10"/>
      <c r="B757" s="13"/>
      <c r="C757" s="13"/>
    </row>
    <row r="758" spans="1:3" ht="13" x14ac:dyDescent="0.15">
      <c r="A758" s="10"/>
      <c r="B758" s="13"/>
      <c r="C758" s="13"/>
    </row>
    <row r="759" spans="1:3" ht="13" x14ac:dyDescent="0.15">
      <c r="A759" s="10"/>
      <c r="B759" s="13"/>
      <c r="C759" s="13"/>
    </row>
    <row r="760" spans="1:3" ht="13" x14ac:dyDescent="0.15">
      <c r="A760" s="10"/>
      <c r="B760" s="13"/>
      <c r="C760" s="13"/>
    </row>
    <row r="761" spans="1:3" ht="13" x14ac:dyDescent="0.15">
      <c r="A761" s="10"/>
      <c r="B761" s="13"/>
      <c r="C761" s="13"/>
    </row>
    <row r="762" spans="1:3" ht="13" x14ac:dyDescent="0.15">
      <c r="A762" s="10"/>
      <c r="B762" s="13"/>
      <c r="C762" s="13"/>
    </row>
    <row r="763" spans="1:3" ht="13" x14ac:dyDescent="0.15">
      <c r="A763" s="10"/>
      <c r="B763" s="13"/>
      <c r="C763" s="13"/>
    </row>
    <row r="764" spans="1:3" ht="13" x14ac:dyDescent="0.15">
      <c r="A764" s="10"/>
      <c r="B764" s="13"/>
      <c r="C764" s="13"/>
    </row>
    <row r="765" spans="1:3" ht="13" x14ac:dyDescent="0.15">
      <c r="A765" s="10"/>
      <c r="B765" s="13"/>
      <c r="C765" s="13"/>
    </row>
    <row r="766" spans="1:3" ht="13" x14ac:dyDescent="0.15">
      <c r="A766" s="10"/>
      <c r="B766" s="13"/>
      <c r="C766" s="13"/>
    </row>
    <row r="767" spans="1:3" ht="13" x14ac:dyDescent="0.15">
      <c r="A767" s="10"/>
      <c r="B767" s="13"/>
      <c r="C767" s="13"/>
    </row>
    <row r="768" spans="1:3" ht="13" x14ac:dyDescent="0.15">
      <c r="A768" s="10"/>
      <c r="B768" s="13"/>
      <c r="C768" s="13"/>
    </row>
    <row r="769" spans="1:3" ht="13" x14ac:dyDescent="0.15">
      <c r="A769" s="10"/>
      <c r="B769" s="13"/>
      <c r="C769" s="13"/>
    </row>
    <row r="770" spans="1:3" ht="13" x14ac:dyDescent="0.15">
      <c r="A770" s="10"/>
      <c r="B770" s="13"/>
      <c r="C770" s="13"/>
    </row>
    <row r="771" spans="1:3" ht="13" x14ac:dyDescent="0.15">
      <c r="A771" s="10"/>
      <c r="B771" s="13"/>
      <c r="C771" s="13"/>
    </row>
    <row r="772" spans="1:3" ht="13" x14ac:dyDescent="0.15">
      <c r="A772" s="10"/>
      <c r="B772" s="13"/>
      <c r="C772" s="13"/>
    </row>
    <row r="773" spans="1:3" ht="13" x14ac:dyDescent="0.15">
      <c r="A773" s="10"/>
      <c r="B773" s="13"/>
      <c r="C773" s="13"/>
    </row>
    <row r="774" spans="1:3" ht="13" x14ac:dyDescent="0.15">
      <c r="A774" s="10"/>
      <c r="B774" s="13"/>
      <c r="C774" s="13"/>
    </row>
    <row r="775" spans="1:3" ht="13" x14ac:dyDescent="0.15">
      <c r="A775" s="10"/>
      <c r="B775" s="13"/>
      <c r="C775" s="13"/>
    </row>
    <row r="776" spans="1:3" ht="13" x14ac:dyDescent="0.15">
      <c r="A776" s="10"/>
      <c r="B776" s="13"/>
      <c r="C776" s="13"/>
    </row>
    <row r="777" spans="1:3" ht="13" x14ac:dyDescent="0.15">
      <c r="A777" s="10"/>
      <c r="B777" s="13"/>
      <c r="C777" s="13"/>
    </row>
    <row r="778" spans="1:3" ht="13" x14ac:dyDescent="0.15">
      <c r="A778" s="10"/>
      <c r="B778" s="13"/>
      <c r="C778" s="13"/>
    </row>
    <row r="779" spans="1:3" ht="13" x14ac:dyDescent="0.15">
      <c r="A779" s="10"/>
      <c r="B779" s="13"/>
      <c r="C779" s="13"/>
    </row>
    <row r="780" spans="1:3" ht="13" x14ac:dyDescent="0.15">
      <c r="A780" s="10"/>
      <c r="B780" s="13"/>
      <c r="C780" s="13"/>
    </row>
    <row r="781" spans="1:3" ht="13" x14ac:dyDescent="0.15">
      <c r="A781" s="10"/>
      <c r="B781" s="13"/>
      <c r="C781" s="13"/>
    </row>
    <row r="782" spans="1:3" ht="13" x14ac:dyDescent="0.15">
      <c r="A782" s="10"/>
      <c r="B782" s="13"/>
      <c r="C782" s="13"/>
    </row>
    <row r="783" spans="1:3" ht="13" x14ac:dyDescent="0.15">
      <c r="A783" s="10"/>
      <c r="B783" s="13"/>
      <c r="C783" s="13"/>
    </row>
    <row r="784" spans="1:3" ht="13" x14ac:dyDescent="0.15">
      <c r="A784" s="10"/>
      <c r="B784" s="13"/>
      <c r="C784" s="13"/>
    </row>
    <row r="785" spans="1:3" ht="13" x14ac:dyDescent="0.15">
      <c r="A785" s="10"/>
      <c r="B785" s="13"/>
      <c r="C785" s="13"/>
    </row>
    <row r="786" spans="1:3" ht="13" x14ac:dyDescent="0.15">
      <c r="A786" s="10"/>
      <c r="B786" s="13"/>
      <c r="C786" s="13"/>
    </row>
    <row r="787" spans="1:3" ht="13" x14ac:dyDescent="0.15">
      <c r="A787" s="10"/>
      <c r="B787" s="13"/>
      <c r="C787" s="13"/>
    </row>
    <row r="788" spans="1:3" ht="13" x14ac:dyDescent="0.15">
      <c r="A788" s="10"/>
      <c r="B788" s="13"/>
      <c r="C788" s="13"/>
    </row>
    <row r="789" spans="1:3" ht="13" x14ac:dyDescent="0.15">
      <c r="A789" s="10"/>
      <c r="B789" s="13"/>
      <c r="C789" s="13"/>
    </row>
    <row r="790" spans="1:3" ht="13" x14ac:dyDescent="0.15">
      <c r="A790" s="10"/>
      <c r="B790" s="13"/>
      <c r="C790" s="13"/>
    </row>
    <row r="791" spans="1:3" ht="13" x14ac:dyDescent="0.15">
      <c r="A791" s="10"/>
      <c r="B791" s="13"/>
      <c r="C791" s="13"/>
    </row>
    <row r="792" spans="1:3" ht="13" x14ac:dyDescent="0.15">
      <c r="A792" s="10"/>
      <c r="B792" s="13"/>
      <c r="C792" s="13"/>
    </row>
    <row r="793" spans="1:3" ht="13" x14ac:dyDescent="0.15">
      <c r="A793" s="10"/>
      <c r="B793" s="13"/>
      <c r="C793" s="13"/>
    </row>
    <row r="794" spans="1:3" ht="13" x14ac:dyDescent="0.15">
      <c r="A794" s="10"/>
      <c r="B794" s="13"/>
      <c r="C794" s="13"/>
    </row>
    <row r="795" spans="1:3" ht="13" x14ac:dyDescent="0.15">
      <c r="A795" s="10"/>
      <c r="B795" s="13"/>
      <c r="C795" s="13"/>
    </row>
    <row r="796" spans="1:3" ht="13" x14ac:dyDescent="0.15">
      <c r="A796" s="10"/>
      <c r="B796" s="13"/>
      <c r="C796" s="13"/>
    </row>
    <row r="797" spans="1:3" ht="13" x14ac:dyDescent="0.15">
      <c r="A797" s="10"/>
      <c r="B797" s="13"/>
      <c r="C797" s="13"/>
    </row>
    <row r="798" spans="1:3" ht="13" x14ac:dyDescent="0.15">
      <c r="A798" s="10"/>
      <c r="B798" s="13"/>
      <c r="C798" s="13"/>
    </row>
    <row r="799" spans="1:3" ht="13" x14ac:dyDescent="0.15">
      <c r="A799" s="10"/>
      <c r="B799" s="13"/>
      <c r="C799" s="13"/>
    </row>
    <row r="800" spans="1:3" ht="13" x14ac:dyDescent="0.15">
      <c r="A800" s="10"/>
      <c r="B800" s="13"/>
      <c r="C800" s="13"/>
    </row>
    <row r="801" spans="1:3" ht="13" x14ac:dyDescent="0.15">
      <c r="A801" s="10"/>
      <c r="B801" s="13"/>
      <c r="C801" s="13"/>
    </row>
    <row r="802" spans="1:3" ht="13" x14ac:dyDescent="0.15">
      <c r="A802" s="10"/>
      <c r="B802" s="13"/>
      <c r="C802" s="13"/>
    </row>
    <row r="803" spans="1:3" ht="13" x14ac:dyDescent="0.15">
      <c r="A803" s="10"/>
      <c r="B803" s="13"/>
      <c r="C803" s="13"/>
    </row>
    <row r="804" spans="1:3" ht="13" x14ac:dyDescent="0.15">
      <c r="A804" s="10"/>
      <c r="B804" s="13"/>
      <c r="C804" s="13"/>
    </row>
    <row r="805" spans="1:3" ht="13" x14ac:dyDescent="0.15">
      <c r="A805" s="10"/>
      <c r="B805" s="13"/>
      <c r="C805" s="13"/>
    </row>
    <row r="806" spans="1:3" ht="13" x14ac:dyDescent="0.15">
      <c r="A806" s="10"/>
      <c r="B806" s="13"/>
      <c r="C806" s="13"/>
    </row>
    <row r="807" spans="1:3" ht="13" x14ac:dyDescent="0.15">
      <c r="A807" s="10"/>
      <c r="B807" s="13"/>
      <c r="C807" s="13"/>
    </row>
    <row r="808" spans="1:3" ht="13" x14ac:dyDescent="0.15">
      <c r="A808" s="10"/>
      <c r="B808" s="13"/>
      <c r="C808" s="13"/>
    </row>
    <row r="809" spans="1:3" ht="13" x14ac:dyDescent="0.15">
      <c r="A809" s="10"/>
      <c r="B809" s="13"/>
      <c r="C809" s="13"/>
    </row>
    <row r="810" spans="1:3" ht="13" x14ac:dyDescent="0.15">
      <c r="A810" s="10"/>
      <c r="B810" s="13"/>
      <c r="C810" s="13"/>
    </row>
    <row r="811" spans="1:3" ht="13" x14ac:dyDescent="0.15">
      <c r="A811" s="10"/>
      <c r="B811" s="13"/>
      <c r="C811" s="13"/>
    </row>
    <row r="812" spans="1:3" ht="13" x14ac:dyDescent="0.15">
      <c r="A812" s="10"/>
      <c r="B812" s="13"/>
      <c r="C812" s="13"/>
    </row>
    <row r="813" spans="1:3" ht="13" x14ac:dyDescent="0.15">
      <c r="A813" s="10"/>
      <c r="B813" s="13"/>
      <c r="C813" s="13"/>
    </row>
    <row r="814" spans="1:3" ht="13" x14ac:dyDescent="0.15">
      <c r="A814" s="10"/>
      <c r="B814" s="13"/>
      <c r="C814" s="13"/>
    </row>
    <row r="815" spans="1:3" ht="13" x14ac:dyDescent="0.15">
      <c r="A815" s="10"/>
      <c r="B815" s="13"/>
      <c r="C815" s="13"/>
    </row>
    <row r="816" spans="1:3" ht="13" x14ac:dyDescent="0.15">
      <c r="A816" s="10"/>
      <c r="B816" s="13"/>
      <c r="C816" s="13"/>
    </row>
    <row r="817" spans="1:3" ht="13" x14ac:dyDescent="0.15">
      <c r="A817" s="10"/>
      <c r="B817" s="13"/>
      <c r="C817" s="13"/>
    </row>
    <row r="818" spans="1:3" ht="13" x14ac:dyDescent="0.15">
      <c r="A818" s="10"/>
      <c r="B818" s="13"/>
      <c r="C818" s="13"/>
    </row>
    <row r="819" spans="1:3" ht="13" x14ac:dyDescent="0.15">
      <c r="A819" s="10"/>
      <c r="B819" s="13"/>
      <c r="C819" s="13"/>
    </row>
    <row r="820" spans="1:3" ht="13" x14ac:dyDescent="0.15">
      <c r="A820" s="10"/>
      <c r="B820" s="13"/>
      <c r="C820" s="13"/>
    </row>
    <row r="821" spans="1:3" ht="13" x14ac:dyDescent="0.15">
      <c r="A821" s="10"/>
      <c r="B821" s="13"/>
      <c r="C821" s="13"/>
    </row>
    <row r="822" spans="1:3" ht="13" x14ac:dyDescent="0.15">
      <c r="A822" s="10"/>
      <c r="B822" s="13"/>
      <c r="C822" s="13"/>
    </row>
    <row r="823" spans="1:3" ht="13" x14ac:dyDescent="0.15">
      <c r="A823" s="10"/>
      <c r="B823" s="13"/>
      <c r="C823" s="13"/>
    </row>
    <row r="824" spans="1:3" ht="13" x14ac:dyDescent="0.15">
      <c r="A824" s="10"/>
      <c r="B824" s="13"/>
      <c r="C824" s="13"/>
    </row>
    <row r="825" spans="1:3" ht="13" x14ac:dyDescent="0.15">
      <c r="A825" s="10"/>
      <c r="B825" s="13"/>
      <c r="C825" s="13"/>
    </row>
    <row r="826" spans="1:3" ht="13" x14ac:dyDescent="0.15">
      <c r="A826" s="10"/>
      <c r="B826" s="13"/>
      <c r="C826" s="13"/>
    </row>
    <row r="827" spans="1:3" ht="13" x14ac:dyDescent="0.15">
      <c r="A827" s="10"/>
      <c r="B827" s="13"/>
      <c r="C827" s="13"/>
    </row>
    <row r="828" spans="1:3" ht="13" x14ac:dyDescent="0.15">
      <c r="A828" s="10"/>
      <c r="B828" s="13"/>
      <c r="C828" s="13"/>
    </row>
    <row r="829" spans="1:3" ht="13" x14ac:dyDescent="0.15">
      <c r="A829" s="10"/>
      <c r="B829" s="13"/>
      <c r="C829" s="13"/>
    </row>
    <row r="830" spans="1:3" ht="13" x14ac:dyDescent="0.15">
      <c r="A830" s="10"/>
      <c r="B830" s="13"/>
      <c r="C830" s="13"/>
    </row>
    <row r="831" spans="1:3" ht="13" x14ac:dyDescent="0.15">
      <c r="A831" s="10"/>
      <c r="B831" s="13"/>
      <c r="C831" s="13"/>
    </row>
    <row r="832" spans="1:3" ht="13" x14ac:dyDescent="0.15">
      <c r="A832" s="10"/>
      <c r="B832" s="13"/>
      <c r="C832" s="13"/>
    </row>
    <row r="833" spans="1:3" ht="13" x14ac:dyDescent="0.15">
      <c r="A833" s="10"/>
      <c r="B833" s="13"/>
      <c r="C833" s="13"/>
    </row>
    <row r="834" spans="1:3" ht="13" x14ac:dyDescent="0.15">
      <c r="A834" s="10"/>
      <c r="B834" s="13"/>
      <c r="C834" s="13"/>
    </row>
    <row r="835" spans="1:3" ht="13" x14ac:dyDescent="0.15">
      <c r="A835" s="10"/>
      <c r="B835" s="13"/>
      <c r="C835" s="13"/>
    </row>
    <row r="836" spans="1:3" ht="13" x14ac:dyDescent="0.15">
      <c r="A836" s="10"/>
      <c r="B836" s="13"/>
      <c r="C836" s="13"/>
    </row>
    <row r="837" spans="1:3" ht="13" x14ac:dyDescent="0.15">
      <c r="A837" s="10"/>
      <c r="B837" s="13"/>
      <c r="C837" s="13"/>
    </row>
    <row r="838" spans="1:3" ht="13" x14ac:dyDescent="0.15">
      <c r="A838" s="10"/>
      <c r="B838" s="13"/>
      <c r="C838" s="13"/>
    </row>
    <row r="839" spans="1:3" ht="13" x14ac:dyDescent="0.15">
      <c r="A839" s="10"/>
      <c r="B839" s="13"/>
      <c r="C839" s="13"/>
    </row>
    <row r="840" spans="1:3" ht="13" x14ac:dyDescent="0.15">
      <c r="A840" s="10"/>
      <c r="B840" s="13"/>
      <c r="C840" s="13"/>
    </row>
    <row r="841" spans="1:3" ht="13" x14ac:dyDescent="0.15">
      <c r="A841" s="10"/>
      <c r="B841" s="13"/>
      <c r="C841" s="13"/>
    </row>
    <row r="842" spans="1:3" ht="13" x14ac:dyDescent="0.15">
      <c r="A842" s="10"/>
      <c r="B842" s="13"/>
      <c r="C842" s="13"/>
    </row>
    <row r="843" spans="1:3" ht="13" x14ac:dyDescent="0.15">
      <c r="A843" s="10"/>
      <c r="B843" s="13"/>
      <c r="C843" s="13"/>
    </row>
    <row r="844" spans="1:3" ht="13" x14ac:dyDescent="0.15">
      <c r="A844" s="10"/>
      <c r="B844" s="13"/>
      <c r="C844" s="13"/>
    </row>
    <row r="845" spans="1:3" ht="13" x14ac:dyDescent="0.15">
      <c r="A845" s="10"/>
      <c r="B845" s="13"/>
      <c r="C845" s="13"/>
    </row>
    <row r="846" spans="1:3" ht="13" x14ac:dyDescent="0.15">
      <c r="A846" s="10"/>
      <c r="B846" s="13"/>
      <c r="C846" s="13"/>
    </row>
    <row r="847" spans="1:3" ht="13" x14ac:dyDescent="0.15">
      <c r="A847" s="10"/>
      <c r="B847" s="13"/>
      <c r="C847" s="13"/>
    </row>
    <row r="848" spans="1:3" ht="13" x14ac:dyDescent="0.15">
      <c r="A848" s="10"/>
      <c r="B848" s="13"/>
      <c r="C848" s="13"/>
    </row>
    <row r="849" spans="1:3" ht="13" x14ac:dyDescent="0.15">
      <c r="A849" s="10"/>
      <c r="B849" s="13"/>
      <c r="C849" s="13"/>
    </row>
    <row r="850" spans="1:3" ht="13" x14ac:dyDescent="0.15">
      <c r="A850" s="10"/>
      <c r="B850" s="13"/>
      <c r="C850" s="13"/>
    </row>
    <row r="851" spans="1:3" ht="13" x14ac:dyDescent="0.15">
      <c r="A851" s="10"/>
      <c r="B851" s="13"/>
      <c r="C851" s="13"/>
    </row>
    <row r="852" spans="1:3" ht="13" x14ac:dyDescent="0.15">
      <c r="A852" s="10"/>
      <c r="B852" s="13"/>
      <c r="C852" s="13"/>
    </row>
    <row r="853" spans="1:3" ht="13" x14ac:dyDescent="0.15">
      <c r="A853" s="10"/>
      <c r="B853" s="13"/>
      <c r="C853" s="13"/>
    </row>
    <row r="854" spans="1:3" ht="13" x14ac:dyDescent="0.15">
      <c r="A854" s="10"/>
      <c r="B854" s="13"/>
      <c r="C854" s="13"/>
    </row>
    <row r="855" spans="1:3" ht="13" x14ac:dyDescent="0.15">
      <c r="A855" s="10"/>
      <c r="B855" s="13"/>
      <c r="C855" s="13"/>
    </row>
    <row r="856" spans="1:3" ht="13" x14ac:dyDescent="0.15">
      <c r="A856" s="10"/>
      <c r="B856" s="13"/>
      <c r="C856" s="13"/>
    </row>
    <row r="857" spans="1:3" ht="13" x14ac:dyDescent="0.15">
      <c r="A857" s="10"/>
      <c r="B857" s="13"/>
      <c r="C857" s="13"/>
    </row>
    <row r="858" spans="1:3" ht="13" x14ac:dyDescent="0.15">
      <c r="A858" s="10"/>
      <c r="B858" s="13"/>
      <c r="C858" s="13"/>
    </row>
    <row r="859" spans="1:3" ht="13" x14ac:dyDescent="0.15">
      <c r="A859" s="10"/>
      <c r="B859" s="13"/>
      <c r="C859" s="13"/>
    </row>
    <row r="860" spans="1:3" ht="13" x14ac:dyDescent="0.15">
      <c r="A860" s="10"/>
      <c r="B860" s="13"/>
      <c r="C860" s="13"/>
    </row>
    <row r="861" spans="1:3" ht="13" x14ac:dyDescent="0.15">
      <c r="A861" s="10"/>
      <c r="B861" s="13"/>
      <c r="C861" s="13"/>
    </row>
    <row r="862" spans="1:3" ht="13" x14ac:dyDescent="0.15">
      <c r="A862" s="10"/>
      <c r="B862" s="13"/>
      <c r="C862" s="13"/>
    </row>
    <row r="863" spans="1:3" ht="13" x14ac:dyDescent="0.15">
      <c r="A863" s="10"/>
      <c r="B863" s="13"/>
      <c r="C863" s="13"/>
    </row>
    <row r="864" spans="1:3" ht="13" x14ac:dyDescent="0.15">
      <c r="A864" s="10"/>
      <c r="B864" s="13"/>
      <c r="C864" s="13"/>
    </row>
    <row r="865" spans="1:3" ht="13" x14ac:dyDescent="0.15">
      <c r="A865" s="10"/>
      <c r="B865" s="13"/>
      <c r="C865" s="13"/>
    </row>
    <row r="866" spans="1:3" ht="13" x14ac:dyDescent="0.15">
      <c r="A866" s="10"/>
      <c r="B866" s="13"/>
      <c r="C866" s="13"/>
    </row>
    <row r="867" spans="1:3" ht="13" x14ac:dyDescent="0.15">
      <c r="A867" s="10"/>
      <c r="B867" s="13"/>
      <c r="C867" s="13"/>
    </row>
    <row r="868" spans="1:3" ht="13" x14ac:dyDescent="0.15">
      <c r="A868" s="10"/>
      <c r="B868" s="13"/>
      <c r="C868" s="13"/>
    </row>
    <row r="869" spans="1:3" ht="13" x14ac:dyDescent="0.15">
      <c r="A869" s="10"/>
      <c r="B869" s="13"/>
      <c r="C869" s="13"/>
    </row>
    <row r="870" spans="1:3" ht="13" x14ac:dyDescent="0.15">
      <c r="A870" s="10"/>
      <c r="B870" s="13"/>
      <c r="C870" s="13"/>
    </row>
    <row r="871" spans="1:3" ht="13" x14ac:dyDescent="0.15">
      <c r="A871" s="10"/>
      <c r="B871" s="13"/>
      <c r="C871" s="13"/>
    </row>
    <row r="872" spans="1:3" ht="13" x14ac:dyDescent="0.15">
      <c r="A872" s="10"/>
      <c r="B872" s="13"/>
      <c r="C872" s="13"/>
    </row>
    <row r="873" spans="1:3" ht="13" x14ac:dyDescent="0.15">
      <c r="A873" s="10"/>
      <c r="B873" s="13"/>
      <c r="C873" s="13"/>
    </row>
    <row r="874" spans="1:3" ht="13" x14ac:dyDescent="0.15">
      <c r="A874" s="10"/>
      <c r="B874" s="13"/>
      <c r="C874" s="13"/>
    </row>
    <row r="875" spans="1:3" ht="13" x14ac:dyDescent="0.15">
      <c r="A875" s="10"/>
      <c r="B875" s="13"/>
      <c r="C875" s="13"/>
    </row>
    <row r="876" spans="1:3" ht="13" x14ac:dyDescent="0.15">
      <c r="A876" s="10"/>
      <c r="B876" s="13"/>
      <c r="C876" s="13"/>
    </row>
    <row r="877" spans="1:3" ht="13" x14ac:dyDescent="0.15">
      <c r="A877" s="10"/>
      <c r="B877" s="13"/>
      <c r="C877" s="13"/>
    </row>
    <row r="878" spans="1:3" ht="13" x14ac:dyDescent="0.15">
      <c r="A878" s="10"/>
      <c r="B878" s="13"/>
      <c r="C878" s="13"/>
    </row>
    <row r="879" spans="1:3" ht="13" x14ac:dyDescent="0.15">
      <c r="A879" s="10"/>
      <c r="B879" s="13"/>
      <c r="C879" s="13"/>
    </row>
    <row r="880" spans="1:3" ht="13" x14ac:dyDescent="0.15">
      <c r="A880" s="10"/>
      <c r="B880" s="13"/>
      <c r="C880" s="13"/>
    </row>
    <row r="881" spans="1:3" ht="13" x14ac:dyDescent="0.15">
      <c r="A881" s="10"/>
      <c r="B881" s="13"/>
      <c r="C881" s="13"/>
    </row>
    <row r="882" spans="1:3" ht="13" x14ac:dyDescent="0.15">
      <c r="A882" s="10"/>
      <c r="B882" s="13"/>
      <c r="C882" s="13"/>
    </row>
    <row r="883" spans="1:3" ht="13" x14ac:dyDescent="0.15">
      <c r="A883" s="10"/>
      <c r="B883" s="13"/>
      <c r="C883" s="13"/>
    </row>
    <row r="884" spans="1:3" ht="13" x14ac:dyDescent="0.15">
      <c r="A884" s="10"/>
      <c r="B884" s="13"/>
      <c r="C884" s="13"/>
    </row>
    <row r="885" spans="1:3" ht="13" x14ac:dyDescent="0.15">
      <c r="A885" s="10"/>
      <c r="B885" s="13"/>
      <c r="C885" s="13"/>
    </row>
    <row r="886" spans="1:3" ht="13" x14ac:dyDescent="0.15">
      <c r="A886" s="10"/>
      <c r="B886" s="13"/>
      <c r="C886" s="13"/>
    </row>
    <row r="887" spans="1:3" ht="13" x14ac:dyDescent="0.15">
      <c r="A887" s="10"/>
      <c r="B887" s="13"/>
      <c r="C887" s="13"/>
    </row>
    <row r="888" spans="1:3" ht="13" x14ac:dyDescent="0.15">
      <c r="A888" s="10"/>
      <c r="B888" s="13"/>
      <c r="C888" s="13"/>
    </row>
    <row r="889" spans="1:3" ht="13" x14ac:dyDescent="0.15">
      <c r="A889" s="10"/>
      <c r="B889" s="13"/>
      <c r="C889" s="13"/>
    </row>
    <row r="890" spans="1:3" ht="13" x14ac:dyDescent="0.15">
      <c r="A890" s="10"/>
      <c r="B890" s="13"/>
      <c r="C890" s="13"/>
    </row>
    <row r="891" spans="1:3" ht="13" x14ac:dyDescent="0.15">
      <c r="A891" s="10"/>
      <c r="B891" s="13"/>
      <c r="C891" s="13"/>
    </row>
    <row r="892" spans="1:3" ht="13" x14ac:dyDescent="0.15">
      <c r="A892" s="10"/>
      <c r="B892" s="13"/>
      <c r="C892" s="13"/>
    </row>
    <row r="893" spans="1:3" ht="13" x14ac:dyDescent="0.15">
      <c r="A893" s="10"/>
      <c r="B893" s="13"/>
      <c r="C893" s="13"/>
    </row>
    <row r="894" spans="1:3" ht="13" x14ac:dyDescent="0.15">
      <c r="A894" s="10"/>
      <c r="B894" s="13"/>
      <c r="C894" s="13"/>
    </row>
    <row r="895" spans="1:3" ht="13" x14ac:dyDescent="0.15">
      <c r="A895" s="10"/>
      <c r="B895" s="13"/>
      <c r="C895" s="13"/>
    </row>
    <row r="896" spans="1:3" ht="13" x14ac:dyDescent="0.15">
      <c r="A896" s="10"/>
      <c r="B896" s="13"/>
      <c r="C896" s="13"/>
    </row>
    <row r="897" spans="1:3" ht="13" x14ac:dyDescent="0.15">
      <c r="A897" s="10"/>
      <c r="B897" s="13"/>
      <c r="C897" s="13"/>
    </row>
    <row r="898" spans="1:3" ht="13" x14ac:dyDescent="0.15">
      <c r="A898" s="10"/>
      <c r="B898" s="13"/>
      <c r="C898" s="13"/>
    </row>
    <row r="899" spans="1:3" ht="13" x14ac:dyDescent="0.15">
      <c r="A899" s="10"/>
      <c r="B899" s="13"/>
      <c r="C899" s="13"/>
    </row>
    <row r="900" spans="1:3" ht="13" x14ac:dyDescent="0.15">
      <c r="A900" s="10"/>
      <c r="B900" s="13"/>
      <c r="C900" s="13"/>
    </row>
    <row r="901" spans="1:3" ht="13" x14ac:dyDescent="0.15">
      <c r="A901" s="10"/>
      <c r="B901" s="13"/>
      <c r="C901" s="13"/>
    </row>
    <row r="902" spans="1:3" ht="13" x14ac:dyDescent="0.15">
      <c r="A902" s="10"/>
      <c r="B902" s="13"/>
      <c r="C902" s="13"/>
    </row>
    <row r="903" spans="1:3" ht="13" x14ac:dyDescent="0.15">
      <c r="A903" s="10"/>
      <c r="B903" s="13"/>
      <c r="C903" s="13"/>
    </row>
    <row r="904" spans="1:3" ht="13" x14ac:dyDescent="0.15">
      <c r="A904" s="10"/>
      <c r="B904" s="13"/>
      <c r="C904" s="13"/>
    </row>
    <row r="905" spans="1:3" ht="13" x14ac:dyDescent="0.15">
      <c r="A905" s="10"/>
      <c r="B905" s="13"/>
      <c r="C905" s="13"/>
    </row>
    <row r="906" spans="1:3" ht="13" x14ac:dyDescent="0.15">
      <c r="A906" s="10"/>
      <c r="B906" s="13"/>
      <c r="C906" s="13"/>
    </row>
    <row r="907" spans="1:3" ht="13" x14ac:dyDescent="0.15">
      <c r="A907" s="10"/>
      <c r="B907" s="13"/>
      <c r="C907" s="13"/>
    </row>
    <row r="908" spans="1:3" ht="13" x14ac:dyDescent="0.15">
      <c r="A908" s="10"/>
      <c r="B908" s="13"/>
      <c r="C908" s="13"/>
    </row>
    <row r="909" spans="1:3" ht="13" x14ac:dyDescent="0.15">
      <c r="A909" s="10"/>
      <c r="B909" s="13"/>
      <c r="C909" s="13"/>
    </row>
    <row r="910" spans="1:3" ht="13" x14ac:dyDescent="0.15">
      <c r="A910" s="10"/>
      <c r="B910" s="13"/>
      <c r="C910" s="13"/>
    </row>
    <row r="911" spans="1:3" ht="13" x14ac:dyDescent="0.15">
      <c r="A911" s="10"/>
      <c r="B911" s="13"/>
      <c r="C911" s="13"/>
    </row>
    <row r="912" spans="1:3" ht="13" x14ac:dyDescent="0.15">
      <c r="A912" s="10"/>
      <c r="B912" s="13"/>
      <c r="C912" s="13"/>
    </row>
    <row r="913" spans="1:3" ht="13" x14ac:dyDescent="0.15">
      <c r="A913" s="10"/>
      <c r="B913" s="13"/>
      <c r="C913" s="13"/>
    </row>
    <row r="914" spans="1:3" ht="13" x14ac:dyDescent="0.15">
      <c r="A914" s="10"/>
      <c r="B914" s="13"/>
      <c r="C914" s="13"/>
    </row>
    <row r="915" spans="1:3" ht="13" x14ac:dyDescent="0.15">
      <c r="A915" s="10"/>
      <c r="B915" s="13"/>
      <c r="C915" s="13"/>
    </row>
    <row r="916" spans="1:3" ht="13" x14ac:dyDescent="0.15">
      <c r="A916" s="10"/>
      <c r="B916" s="13"/>
      <c r="C916" s="13"/>
    </row>
    <row r="917" spans="1:3" ht="13" x14ac:dyDescent="0.15">
      <c r="A917" s="10"/>
      <c r="B917" s="13"/>
      <c r="C917" s="13"/>
    </row>
    <row r="918" spans="1:3" ht="13" x14ac:dyDescent="0.15">
      <c r="A918" s="10"/>
      <c r="B918" s="13"/>
      <c r="C918" s="13"/>
    </row>
    <row r="919" spans="1:3" ht="13" x14ac:dyDescent="0.15">
      <c r="A919" s="10"/>
      <c r="B919" s="13"/>
      <c r="C919" s="13"/>
    </row>
    <row r="920" spans="1:3" ht="13" x14ac:dyDescent="0.15">
      <c r="A920" s="10"/>
      <c r="B920" s="13"/>
      <c r="C920" s="13"/>
    </row>
    <row r="921" spans="1:3" ht="13" x14ac:dyDescent="0.15">
      <c r="A921" s="10"/>
      <c r="B921" s="13"/>
      <c r="C921" s="13"/>
    </row>
    <row r="922" spans="1:3" ht="13" x14ac:dyDescent="0.15">
      <c r="A922" s="10"/>
      <c r="B922" s="13"/>
      <c r="C922" s="13"/>
    </row>
    <row r="923" spans="1:3" ht="13" x14ac:dyDescent="0.15">
      <c r="A923" s="10"/>
      <c r="B923" s="13"/>
      <c r="C923" s="13"/>
    </row>
    <row r="924" spans="1:3" ht="13" x14ac:dyDescent="0.15">
      <c r="A924" s="10"/>
      <c r="B924" s="13"/>
      <c r="C924" s="13"/>
    </row>
    <row r="925" spans="1:3" ht="13" x14ac:dyDescent="0.15">
      <c r="A925" s="10"/>
      <c r="B925" s="13"/>
      <c r="C925" s="13"/>
    </row>
    <row r="926" spans="1:3" ht="13" x14ac:dyDescent="0.15">
      <c r="A926" s="10"/>
      <c r="B926" s="13"/>
      <c r="C926" s="13"/>
    </row>
    <row r="927" spans="1:3" ht="13" x14ac:dyDescent="0.15">
      <c r="A927" s="10"/>
      <c r="B927" s="13"/>
      <c r="C927" s="13"/>
    </row>
    <row r="928" spans="1:3" ht="13" x14ac:dyDescent="0.15">
      <c r="A928" s="10"/>
      <c r="B928" s="13"/>
      <c r="C928" s="13"/>
    </row>
    <row r="929" spans="1:3" ht="13" x14ac:dyDescent="0.15">
      <c r="A929" s="10"/>
      <c r="B929" s="13"/>
      <c r="C929" s="13"/>
    </row>
    <row r="930" spans="1:3" ht="13" x14ac:dyDescent="0.15">
      <c r="A930" s="10"/>
      <c r="B930" s="13"/>
      <c r="C930" s="13"/>
    </row>
    <row r="931" spans="1:3" ht="13" x14ac:dyDescent="0.15">
      <c r="A931" s="10"/>
      <c r="B931" s="13"/>
      <c r="C931" s="13"/>
    </row>
    <row r="932" spans="1:3" ht="13" x14ac:dyDescent="0.15">
      <c r="A932" s="10"/>
      <c r="B932" s="13"/>
      <c r="C932" s="13"/>
    </row>
    <row r="933" spans="1:3" ht="13" x14ac:dyDescent="0.15">
      <c r="A933" s="10"/>
      <c r="B933" s="13"/>
      <c r="C933" s="13"/>
    </row>
    <row r="934" spans="1:3" ht="13" x14ac:dyDescent="0.15">
      <c r="A934" s="10"/>
      <c r="B934" s="13"/>
      <c r="C934" s="13"/>
    </row>
    <row r="935" spans="1:3" ht="13" x14ac:dyDescent="0.15">
      <c r="A935" s="10"/>
      <c r="B935" s="13"/>
      <c r="C935" s="13"/>
    </row>
    <row r="936" spans="1:3" ht="13" x14ac:dyDescent="0.15">
      <c r="A936" s="10"/>
      <c r="B936" s="13"/>
      <c r="C936" s="13"/>
    </row>
    <row r="937" spans="1:3" ht="13" x14ac:dyDescent="0.15">
      <c r="A937" s="10"/>
      <c r="B937" s="13"/>
      <c r="C937" s="13"/>
    </row>
    <row r="938" spans="1:3" ht="13" x14ac:dyDescent="0.15">
      <c r="A938" s="10"/>
      <c r="B938" s="13"/>
      <c r="C938" s="13"/>
    </row>
    <row r="939" spans="1:3" ht="13" x14ac:dyDescent="0.15">
      <c r="A939" s="10"/>
      <c r="B939" s="13"/>
      <c r="C939" s="13"/>
    </row>
    <row r="940" spans="1:3" ht="13" x14ac:dyDescent="0.15">
      <c r="A940" s="10"/>
      <c r="B940" s="13"/>
      <c r="C940" s="13"/>
    </row>
    <row r="941" spans="1:3" ht="13" x14ac:dyDescent="0.15">
      <c r="A941" s="10"/>
      <c r="B941" s="13"/>
      <c r="C941" s="13"/>
    </row>
    <row r="942" spans="1:3" ht="13" x14ac:dyDescent="0.15">
      <c r="A942" s="10"/>
      <c r="B942" s="13"/>
      <c r="C942" s="13"/>
    </row>
    <row r="943" spans="1:3" ht="13" x14ac:dyDescent="0.15">
      <c r="A943" s="10"/>
      <c r="B943" s="13"/>
      <c r="C943" s="13"/>
    </row>
    <row r="944" spans="1:3" ht="13" x14ac:dyDescent="0.15">
      <c r="A944" s="10"/>
      <c r="B944" s="13"/>
      <c r="C944" s="13"/>
    </row>
    <row r="945" spans="1:3" ht="13" x14ac:dyDescent="0.15">
      <c r="A945" s="10"/>
      <c r="B945" s="13"/>
      <c r="C945" s="13"/>
    </row>
    <row r="946" spans="1:3" ht="13" x14ac:dyDescent="0.15">
      <c r="A946" s="10"/>
      <c r="B946" s="13"/>
      <c r="C946" s="13"/>
    </row>
    <row r="947" spans="1:3" ht="13" x14ac:dyDescent="0.15">
      <c r="A947" s="10"/>
      <c r="B947" s="13"/>
      <c r="C947" s="13"/>
    </row>
    <row r="948" spans="1:3" ht="13" x14ac:dyDescent="0.15">
      <c r="A948" s="10"/>
      <c r="B948" s="13"/>
      <c r="C948" s="13"/>
    </row>
    <row r="949" spans="1:3" ht="13" x14ac:dyDescent="0.15">
      <c r="A949" s="10"/>
      <c r="B949" s="13"/>
      <c r="C949" s="13"/>
    </row>
    <row r="950" spans="1:3" ht="13" x14ac:dyDescent="0.15">
      <c r="A950" s="10"/>
      <c r="B950" s="13"/>
      <c r="C950" s="13"/>
    </row>
    <row r="951" spans="1:3" ht="13" x14ac:dyDescent="0.15">
      <c r="A951" s="10"/>
      <c r="B951" s="13"/>
      <c r="C951" s="13"/>
    </row>
    <row r="952" spans="1:3" ht="13" x14ac:dyDescent="0.15">
      <c r="A952" s="10"/>
      <c r="B952" s="13"/>
      <c r="C952" s="13"/>
    </row>
    <row r="953" spans="1:3" ht="13" x14ac:dyDescent="0.15">
      <c r="A953" s="10"/>
      <c r="B953" s="13"/>
      <c r="C953" s="13"/>
    </row>
    <row r="954" spans="1:3" ht="13" x14ac:dyDescent="0.15">
      <c r="A954" s="10"/>
      <c r="B954" s="13"/>
      <c r="C954" s="13"/>
    </row>
    <row r="955" spans="1:3" ht="13" x14ac:dyDescent="0.15">
      <c r="A955" s="10"/>
      <c r="B955" s="13"/>
      <c r="C955" s="13"/>
    </row>
    <row r="956" spans="1:3" ht="13" x14ac:dyDescent="0.15">
      <c r="A956" s="10"/>
      <c r="B956" s="13"/>
      <c r="C956" s="13"/>
    </row>
    <row r="957" spans="1:3" ht="13" x14ac:dyDescent="0.15">
      <c r="A957" s="10"/>
      <c r="B957" s="13"/>
      <c r="C957" s="13"/>
    </row>
    <row r="958" spans="1:3" ht="13" x14ac:dyDescent="0.15">
      <c r="A958" s="10"/>
      <c r="B958" s="13"/>
      <c r="C958" s="13"/>
    </row>
    <row r="959" spans="1:3" ht="13" x14ac:dyDescent="0.15">
      <c r="A959" s="10"/>
      <c r="B959" s="13"/>
      <c r="C959" s="13"/>
    </row>
    <row r="960" spans="1:3" ht="13" x14ac:dyDescent="0.15">
      <c r="A960" s="10"/>
      <c r="B960" s="13"/>
      <c r="C960" s="13"/>
    </row>
    <row r="961" spans="1:3" ht="13" x14ac:dyDescent="0.15">
      <c r="A961" s="10"/>
      <c r="B961" s="13"/>
      <c r="C961" s="13"/>
    </row>
    <row r="962" spans="1:3" ht="13" x14ac:dyDescent="0.15">
      <c r="A962" s="10"/>
      <c r="B962" s="13"/>
      <c r="C962" s="13"/>
    </row>
    <row r="963" spans="1:3" ht="13" x14ac:dyDescent="0.15">
      <c r="A963" s="10"/>
      <c r="B963" s="13"/>
      <c r="C963" s="13"/>
    </row>
    <row r="964" spans="1:3" ht="13" x14ac:dyDescent="0.15">
      <c r="A964" s="10"/>
      <c r="B964" s="13"/>
      <c r="C964" s="13"/>
    </row>
    <row r="965" spans="1:3" ht="13" x14ac:dyDescent="0.15">
      <c r="A965" s="10"/>
      <c r="B965" s="13"/>
      <c r="C965" s="13"/>
    </row>
    <row r="966" spans="1:3" ht="13" x14ac:dyDescent="0.15">
      <c r="A966" s="10"/>
      <c r="B966" s="13"/>
      <c r="C966" s="13"/>
    </row>
    <row r="967" spans="1:3" ht="13" x14ac:dyDescent="0.15">
      <c r="A967" s="10"/>
      <c r="B967" s="13"/>
      <c r="C967" s="13"/>
    </row>
    <row r="968" spans="1:3" ht="13" x14ac:dyDescent="0.15">
      <c r="A968" s="10"/>
      <c r="B968" s="13"/>
      <c r="C968" s="13"/>
    </row>
    <row r="969" spans="1:3" ht="13" x14ac:dyDescent="0.15">
      <c r="A969" s="10"/>
      <c r="B969" s="13"/>
      <c r="C969" s="13"/>
    </row>
    <row r="970" spans="1:3" ht="13" x14ac:dyDescent="0.15">
      <c r="A970" s="10"/>
      <c r="B970" s="13"/>
      <c r="C970" s="13"/>
    </row>
    <row r="971" spans="1:3" ht="13" x14ac:dyDescent="0.15">
      <c r="A971" s="10"/>
      <c r="B971" s="13"/>
      <c r="C971" s="13"/>
    </row>
    <row r="972" spans="1:3" ht="13" x14ac:dyDescent="0.15">
      <c r="A972" s="10"/>
      <c r="B972" s="13"/>
      <c r="C972" s="13"/>
    </row>
    <row r="973" spans="1:3" ht="13" x14ac:dyDescent="0.15">
      <c r="A973" s="10"/>
      <c r="B973" s="13"/>
      <c r="C973" s="13"/>
    </row>
    <row r="974" spans="1:3" ht="13" x14ac:dyDescent="0.15">
      <c r="A974" s="10"/>
      <c r="B974" s="13"/>
      <c r="C974" s="13"/>
    </row>
    <row r="975" spans="1:3" ht="13" x14ac:dyDescent="0.15">
      <c r="A975" s="10"/>
      <c r="B975" s="13"/>
      <c r="C975" s="13"/>
    </row>
    <row r="976" spans="1:3" ht="13" x14ac:dyDescent="0.15">
      <c r="A976" s="10"/>
      <c r="B976" s="13"/>
      <c r="C976" s="13"/>
    </row>
    <row r="977" spans="1:3" ht="13" x14ac:dyDescent="0.15">
      <c r="A977" s="10"/>
      <c r="B977" s="13"/>
      <c r="C977" s="13"/>
    </row>
    <row r="978" spans="1:3" ht="13" x14ac:dyDescent="0.15">
      <c r="A978" s="10"/>
      <c r="B978" s="13"/>
      <c r="C978" s="13"/>
    </row>
    <row r="979" spans="1:3" ht="13" x14ac:dyDescent="0.15">
      <c r="A979" s="10"/>
      <c r="B979" s="13"/>
      <c r="C979" s="13"/>
    </row>
    <row r="980" spans="1:3" ht="13" x14ac:dyDescent="0.15">
      <c r="A980" s="10"/>
      <c r="B980" s="13"/>
      <c r="C980" s="13"/>
    </row>
    <row r="981" spans="1:3" ht="13" x14ac:dyDescent="0.15">
      <c r="A981" s="10"/>
      <c r="B981" s="13"/>
      <c r="C981" s="13"/>
    </row>
    <row r="982" spans="1:3" ht="13" x14ac:dyDescent="0.15">
      <c r="A982" s="10"/>
      <c r="B982" s="13"/>
      <c r="C982" s="13"/>
    </row>
    <row r="983" spans="1:3" ht="13" x14ac:dyDescent="0.15">
      <c r="A983" s="10"/>
      <c r="B983" s="13"/>
      <c r="C983" s="13"/>
    </row>
    <row r="984" spans="1:3" ht="13" x14ac:dyDescent="0.15">
      <c r="A984" s="10"/>
      <c r="B984" s="13"/>
      <c r="C984" s="13"/>
    </row>
    <row r="985" spans="1:3" ht="13" x14ac:dyDescent="0.15">
      <c r="A985" s="10"/>
      <c r="B985" s="13"/>
      <c r="C985" s="13"/>
    </row>
    <row r="986" spans="1:3" ht="13" x14ac:dyDescent="0.15">
      <c r="A986" s="10"/>
      <c r="B986" s="13"/>
      <c r="C986" s="13"/>
    </row>
    <row r="987" spans="1:3" ht="13" x14ac:dyDescent="0.15">
      <c r="A987" s="10"/>
      <c r="B987" s="13"/>
      <c r="C987" s="13"/>
    </row>
    <row r="988" spans="1:3" ht="13" x14ac:dyDescent="0.15">
      <c r="A988" s="10"/>
      <c r="B988" s="13"/>
      <c r="C988" s="13"/>
    </row>
    <row r="989" spans="1:3" ht="13" x14ac:dyDescent="0.15">
      <c r="A989" s="10"/>
      <c r="B989" s="13"/>
      <c r="C989" s="13"/>
    </row>
    <row r="990" spans="1:3" ht="13" x14ac:dyDescent="0.15">
      <c r="A990" s="10"/>
      <c r="B990" s="13"/>
      <c r="C990" s="13"/>
    </row>
    <row r="991" spans="1:3" ht="13" x14ac:dyDescent="0.15">
      <c r="A991" s="10"/>
      <c r="B991" s="13"/>
      <c r="C991" s="13"/>
    </row>
    <row r="992" spans="1:3" ht="13" x14ac:dyDescent="0.15">
      <c r="A992" s="10"/>
      <c r="B992" s="13"/>
      <c r="C992" s="13"/>
    </row>
    <row r="993" spans="1:3" ht="13" x14ac:dyDescent="0.15">
      <c r="A993" s="10"/>
      <c r="B993" s="13"/>
      <c r="C993" s="13"/>
    </row>
    <row r="994" spans="1:3" ht="13" x14ac:dyDescent="0.15">
      <c r="A994" s="10"/>
      <c r="B994" s="13"/>
      <c r="C994" s="13"/>
    </row>
    <row r="995" spans="1:3" ht="13" x14ac:dyDescent="0.15">
      <c r="A995" s="10"/>
      <c r="B995" s="13"/>
      <c r="C995" s="13"/>
    </row>
    <row r="996" spans="1:3" ht="13" x14ac:dyDescent="0.15">
      <c r="A996" s="10"/>
      <c r="B996" s="13"/>
      <c r="C996" s="13"/>
    </row>
    <row r="997" spans="1:3" ht="13" x14ac:dyDescent="0.15">
      <c r="A997" s="10"/>
      <c r="B997" s="13"/>
      <c r="C997" s="13"/>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outlinePr summaryBelow="0" summaryRight="0"/>
  </sheetPr>
  <dimension ref="A1:D997"/>
  <sheetViews>
    <sheetView workbookViewId="0"/>
  </sheetViews>
  <sheetFormatPr baseColWidth="10" defaultColWidth="12.6640625" defaultRowHeight="15.75" customHeight="1" x14ac:dyDescent="0.15"/>
  <cols>
    <col min="1" max="1" width="71.5" customWidth="1"/>
    <col min="2" max="4" width="37.6640625" customWidth="1"/>
  </cols>
  <sheetData>
    <row r="1" spans="1:4" ht="15.75" customHeight="1" x14ac:dyDescent="0.15">
      <c r="A1" s="1"/>
      <c r="B1" s="12" t="str">
        <f ca="1">IFERROR(__xludf.DUMMYFUNCTION("IMPORTRANGE(""https://docs.google.com/spreadsheets/d/1C06Vs6H0Eg3__x1-dePLdZcY_bo1r3ReCeWRxqLlaS4"",""A24!B1:B22"")"),"Layla Baldwin")</f>
        <v>Layla Baldwin</v>
      </c>
      <c r="C1" s="12" t="str">
        <f ca="1">IFERROR(__xludf.DUMMYFUNCTION("IMPORTRANGE(""https://docs.google.com/spreadsheets/u/0/d/19yPRVnLV0A_2o92-w6L11RYWj24Qqnerv8i8p-ngiq4"", ""A24!B1:B22"")"),"Jackson Root")</f>
        <v>Jackson Root</v>
      </c>
      <c r="D1" s="2" t="s">
        <v>1</v>
      </c>
    </row>
    <row r="2" spans="1:4" ht="15.75" customHeight="1" x14ac:dyDescent="0.15">
      <c r="A2" s="3" t="s">
        <v>2</v>
      </c>
      <c r="B2" s="15" t="str">
        <f ca="1">IFERROR(__xludf.DUMMYFUNCTION("""COMPUTED_VALUE"""),"16536-16294 (Reverse) in PDB and Pham, Not in DNAM")</f>
        <v>16536-16294 (Reverse) in PDB and Pham, Not in DNAM</v>
      </c>
      <c r="C2" s="15" t="str">
        <f ca="1">IFERROR(__xludf.DUMMYFUNCTION("""COMPUTED_VALUE"""),"Stop in pham: 16294 REV")</f>
        <v>Stop in pham: 16294 REV</v>
      </c>
      <c r="D2" s="4"/>
    </row>
    <row r="3" spans="1:4" ht="15.75" customHeight="1" x14ac:dyDescent="0.15">
      <c r="A3" s="5" t="s">
        <v>3</v>
      </c>
      <c r="B3" s="17" t="str">
        <f ca="1">IFERROR(__xludf.DUMMYFUNCTION("""COMPUTED_VALUE"""),"Not in DNAM, 24 on Pham and PDB")</f>
        <v>Not in DNAM, 24 on Pham and PDB</v>
      </c>
      <c r="C3" s="17" t="str">
        <f ca="1">IFERROR(__xludf.DUMMYFUNCTION("""COMPUTED_VALUE"""),"Pham: 24   DNA master: Gene 23?")</f>
        <v>Pham: 24   DNA master: Gene 23?</v>
      </c>
      <c r="D3" s="6"/>
    </row>
    <row r="4" spans="1:4" ht="15.75" customHeight="1" x14ac:dyDescent="0.15">
      <c r="A4" s="5" t="s">
        <v>4</v>
      </c>
      <c r="B4" s="17" t="str">
        <f ca="1">IFERROR(__xludf.DUMMYFUNCTION("""COMPUTED_VALUE"""),"209879 3/17/25")</f>
        <v>209879 3/17/25</v>
      </c>
      <c r="C4" s="17" t="str">
        <f ca="1">IFERROR(__xludf.DUMMYFUNCTION("""COMPUTED_VALUE"""),"pham 209879      12 March 2025")</f>
        <v>pham 209879      12 March 2025</v>
      </c>
      <c r="D4" s="6"/>
    </row>
    <row r="5" spans="1:4" ht="15.75" customHeight="1" x14ac:dyDescent="0.15">
      <c r="A5" s="5" t="s">
        <v>5</v>
      </c>
      <c r="B5" s="17" t="str">
        <f ca="1">IFERROR(__xludf.DUMMYFUNCTION("""COMPUTED_VALUE"""),"Orphan")</f>
        <v>Orphan</v>
      </c>
      <c r="C5" s="17" t="str">
        <f ca="1">IFERROR(__xludf.DUMMYFUNCTION("""COMPUTED_VALUE"""),"Orphan")</f>
        <v>Orphan</v>
      </c>
      <c r="D5" s="6"/>
    </row>
    <row r="6" spans="1:4" ht="15.75" customHeight="1" x14ac:dyDescent="0.15">
      <c r="A6" s="5" t="s">
        <v>6</v>
      </c>
      <c r="B6" s="17" t="str">
        <f ca="1">IFERROR(__xludf.DUMMYFUNCTION("""COMPUTED_VALUE"""),"Neither")</f>
        <v>Neither</v>
      </c>
      <c r="C6" s="17" t="str">
        <f ca="1">IFERROR(__xludf.DUMMYFUNCTION("""COMPUTED_VALUE"""),"both called 16268, which is different than what is called in phamerator (16294)")</f>
        <v>both called 16268, which is different than what is called in phamerator (16294)</v>
      </c>
      <c r="D6" s="6"/>
    </row>
    <row r="7" spans="1:4" ht="15.75" customHeight="1" x14ac:dyDescent="0.15">
      <c r="A7" s="5" t="s">
        <v>7</v>
      </c>
      <c r="B7" s="17" t="str">
        <f ca="1">IFERROR(__xludf.DUMMYFUNCTION("""COMPUTED_VALUE"""),"No coding potential.")</f>
        <v>No coding potential.</v>
      </c>
      <c r="C7" s="17" t="str">
        <f ca="1">IFERROR(__xludf.DUMMYFUNCTION("""COMPUTED_VALUE"""),"no, there is a little coding potential afer the stop, but it barely makes the .40 possibility mark")</f>
        <v>no, there is a little coding potential afer the stop, but it barely makes the .40 possibility mark</v>
      </c>
      <c r="D7" s="6"/>
    </row>
    <row r="8" spans="1:4" ht="15.75" customHeight="1" x14ac:dyDescent="0.15">
      <c r="A8" s="5" t="s">
        <v>8</v>
      </c>
      <c r="B8" s="17" t="str">
        <f ca="1">IFERROR(__xludf.DUMMYFUNCTION("""COMPUTED_VALUE"""),"Yes")</f>
        <v>Yes</v>
      </c>
      <c r="C8" s="17" t="str">
        <f ca="1">IFERROR(__xludf.DUMMYFUNCTION("""COMPUTED_VALUE"""),"yes")</f>
        <v>yes</v>
      </c>
      <c r="D8" s="6"/>
    </row>
    <row r="9" spans="1:4" ht="15.75" customHeight="1" x14ac:dyDescent="0.15">
      <c r="A9" s="5" t="s">
        <v>9</v>
      </c>
      <c r="B9" s="17" t="str">
        <f ca="1">IFERROR(__xludf.DUMMYFUNCTION("""COMPUTED_VALUE"""),"Completely embedded in gene 23.")</f>
        <v>Completely embedded in gene 23.</v>
      </c>
      <c r="C9" s="17" t="str">
        <f ca="1">IFERROR(__xludf.DUMMYFUNCTION("""COMPUTED_VALUE"""),"Overlap with gene 22: 10Bp, Overlap with Gene 25: 3 Bp")</f>
        <v>Overlap with gene 22: 10Bp, Overlap with Gene 25: 3 Bp</v>
      </c>
      <c r="D9" s="6"/>
    </row>
    <row r="10" spans="1:4" ht="15.75" customHeight="1" x14ac:dyDescent="0.15">
      <c r="A10" s="5" t="s">
        <v>10</v>
      </c>
      <c r="B10" s="17" t="str">
        <f ca="1">IFERROR(__xludf.DUMMYFUNCTION("""COMPUTED_VALUE"""),"Not in DNAM")</f>
        <v>Not in DNAM</v>
      </c>
      <c r="C10" s="17" t="str">
        <f ca="1">IFERROR(__xludf.DUMMYFUNCTION("""COMPUTED_VALUE"""),"Z-value: 2.292; this is the best score")</f>
        <v>Z-value: 2.292; this is the best score</v>
      </c>
      <c r="D10" s="6"/>
    </row>
    <row r="11" spans="1:4" ht="15.75" customHeight="1" x14ac:dyDescent="0.15">
      <c r="A11" s="5" t="s">
        <v>11</v>
      </c>
      <c r="B11" s="17" t="str">
        <f ca="1">IFERROR(__xludf.DUMMYFUNCTION("""COMPUTED_VALUE"""),"No significant similarities found")</f>
        <v>No significant similarities found</v>
      </c>
      <c r="C11" s="17"/>
      <c r="D11" s="6"/>
    </row>
    <row r="12" spans="1:4" ht="15.75" customHeight="1" x14ac:dyDescent="0.15">
      <c r="A12" s="5" t="s">
        <v>12</v>
      </c>
      <c r="B12" s="17" t="str">
        <f ca="1">IFERROR(__xludf.DUMMYFUNCTION("""COMPUTED_VALUE"""),"None, orphan")</f>
        <v>None, orphan</v>
      </c>
      <c r="C12" s="17" t="str">
        <f ca="1">IFERROR(__xludf.DUMMYFUNCTION("""COMPUTED_VALUE"""),"Orpham, not data")</f>
        <v>Orpham, not data</v>
      </c>
      <c r="D12" s="6"/>
    </row>
    <row r="13" spans="1:4" ht="15.75" customHeight="1" x14ac:dyDescent="0.15">
      <c r="A13" s="5" t="s">
        <v>13</v>
      </c>
      <c r="B13" s="17" t="str">
        <f ca="1">IFERROR(__xludf.DUMMYFUNCTION("""COMPUTED_VALUE"""),"No, delete gene. No coding potential and embedded with a gene. DNAM doesn't even call.")</f>
        <v>No, delete gene. No coding potential and embedded with a gene. DNAM doesn't even call.</v>
      </c>
      <c r="C13" s="17" t="str">
        <f ca="1">IFERROR(__xludf.DUMMYFUNCTION("""COMPUTED_VALUE"""),"Gene should be deleted as its embeded within gene 23, which is against the guidelines for potential genes, as well as very little coding potential, and being an orpham, so the start isn't conserved. ")</f>
        <v xml:space="preserve">Gene should be deleted as its embeded within gene 23, which is against the guidelines for potential genes, as well as very little coding potential, and being an orpham, so the start isn't conserved. </v>
      </c>
      <c r="D13" s="6"/>
    </row>
    <row r="14" spans="1:4" ht="15.75" customHeight="1" x14ac:dyDescent="0.15">
      <c r="A14" s="5" t="s">
        <v>14</v>
      </c>
      <c r="B14" s="17" t="str">
        <f ca="1">IFERROR(__xludf.DUMMYFUNCTION("""COMPUTED_VALUE"""),"None, orphan")</f>
        <v>None, orphan</v>
      </c>
      <c r="C14" s="17" t="str">
        <f ca="1">IFERROR(__xludf.DUMMYFUNCTION("""COMPUTED_VALUE"""),"Orpham, no data")</f>
        <v>Orpham, no data</v>
      </c>
      <c r="D14" s="6"/>
    </row>
    <row r="15" spans="1:4" ht="15.75" customHeight="1" x14ac:dyDescent="0.15">
      <c r="A15" s="5" t="s">
        <v>15</v>
      </c>
      <c r="B15" s="17" t="str">
        <f ca="1">IFERROR(__xludf.DUMMYFUNCTION("""COMPUTED_VALUE"""),"None ")</f>
        <v xml:space="preserve">None </v>
      </c>
      <c r="C15" s="17" t="str">
        <f ca="1">IFERROR(__xludf.DUMMYFUNCTION("""COMPUTED_VALUE"""),"No data")</f>
        <v>No data</v>
      </c>
      <c r="D15" s="6"/>
    </row>
    <row r="16" spans="1:4" ht="15.75" customHeight="1" x14ac:dyDescent="0.15">
      <c r="A16" s="5" t="s">
        <v>16</v>
      </c>
      <c r="B16" s="17" t="str">
        <f ca="1">IFERROR(__xludf.DUMMYFUNCTION("""COMPUTED_VALUE"""),"N/A")</f>
        <v>N/A</v>
      </c>
      <c r="C16" s="17" t="str">
        <f ca="1">IFERROR(__xludf.DUMMYFUNCTION("""COMPUTED_VALUE"""),"No data")</f>
        <v>No data</v>
      </c>
      <c r="D16" s="6"/>
    </row>
    <row r="17" spans="1:4" ht="15.75" customHeight="1" x14ac:dyDescent="0.15">
      <c r="A17" s="5" t="s">
        <v>17</v>
      </c>
      <c r="B17" s="17" t="str">
        <f ca="1">IFERROR(__xludf.DUMMYFUNCTION("""COMPUTED_VALUE"""),"CRISPR-associated protein (Cas_csx3), probability = 17.15, e = 270")</f>
        <v>CRISPR-associated protein (Cas_csx3), probability = 17.15, e = 270</v>
      </c>
      <c r="C17" s="17" t="str">
        <f ca="1">IFERROR(__xludf.DUMMYFUNCTION("""COMPUTED_VALUE"""),"Only one hit, was a CRISPR-associated protien,  %q: 27.5%; %T: 28.9%")</f>
        <v>Only one hit, was a CRISPR-associated protien,  %q: 27.5%; %T: 28.9%</v>
      </c>
      <c r="D17" s="6"/>
    </row>
    <row r="18" spans="1:4" ht="15.75" customHeight="1" x14ac:dyDescent="0.15">
      <c r="A18" s="5" t="s">
        <v>18</v>
      </c>
      <c r="B18" s="17" t="str">
        <f ca="1">IFERROR(__xludf.DUMMYFUNCTION("""COMPUTED_VALUE"""),"No")</f>
        <v>No</v>
      </c>
      <c r="C18" s="17" t="str">
        <f ca="1">IFERROR(__xludf.DUMMYFUNCTION("""COMPUTED_VALUE"""),"No conserved domain, the sequence didnt had a ""no significant similarity found"" message pop up")</f>
        <v>No conserved domain, the sequence didnt had a "no significant similarity found" message pop up</v>
      </c>
      <c r="D18" s="6"/>
    </row>
    <row r="19" spans="1:4" ht="15.75" customHeight="1" x14ac:dyDescent="0.15">
      <c r="A19" s="5" t="s">
        <v>19</v>
      </c>
      <c r="B19" s="17" t="str">
        <f ca="1">IFERROR(__xludf.DUMMYFUNCTION("""COMPUTED_VALUE"""),"No")</f>
        <v>No</v>
      </c>
      <c r="C19" s="17" t="str">
        <f ca="1">IFERROR(__xludf.DUMMYFUNCTION("""COMPUTED_VALUE"""),"Not a membrane protien, most likely inside the membrane")</f>
        <v>Not a membrane protien, most likely inside the membrane</v>
      </c>
      <c r="D19" s="6"/>
    </row>
    <row r="20" spans="1:4" ht="15.75" customHeight="1" x14ac:dyDescent="0.15">
      <c r="A20" s="5" t="s">
        <v>20</v>
      </c>
      <c r="B20" s="17" t="str">
        <f ca="1">IFERROR(__xludf.DUMMYFUNCTION("""COMPUTED_VALUE"""),"Hypothetical protein, but deleting gene anyway. No evidence to support anything else.")</f>
        <v>Hypothetical protein, but deleting gene anyway. No evidence to support anything else.</v>
      </c>
      <c r="C20" s="17" t="str">
        <f ca="1">IFERROR(__xludf.DUMMYFUNCTION("""COMPUTED_VALUE"""),"Hypothetical protien? there really isnt a function or at least a good function call with only one hit, nd the CRISPR isnt a valid call in the approved functions, and considering the gene should be deleted, the function probably doesnt exist.")</f>
        <v>Hypothetical protien? there really isnt a function or at least a good function call with only one hit, nd the CRISPR isnt a valid call in the approved functions, and considering the gene should be deleted, the function probably doesnt exist.</v>
      </c>
      <c r="D20" s="6"/>
    </row>
    <row r="21" spans="1:4" x14ac:dyDescent="0.2">
      <c r="A21" s="7"/>
      <c r="B21" s="19"/>
      <c r="C21" s="19"/>
      <c r="D21" s="8"/>
    </row>
    <row r="22" spans="1:4" ht="15.75" customHeight="1" x14ac:dyDescent="0.15">
      <c r="A22" s="9" t="s">
        <v>21</v>
      </c>
      <c r="B22" s="19"/>
      <c r="C22" s="19"/>
      <c r="D22" s="8"/>
    </row>
    <row r="23" spans="1:4" ht="15.75" customHeight="1" x14ac:dyDescent="0.15">
      <c r="A23" s="10"/>
      <c r="B23" s="13"/>
      <c r="C23" s="13"/>
    </row>
    <row r="24" spans="1:4" ht="15.75" customHeight="1" x14ac:dyDescent="0.15">
      <c r="A24" s="10"/>
      <c r="B24" s="13"/>
      <c r="C24" s="13"/>
    </row>
    <row r="25" spans="1:4" ht="15.75" customHeight="1" x14ac:dyDescent="0.15">
      <c r="A25" s="10"/>
      <c r="B25" s="13"/>
      <c r="C25" s="13"/>
    </row>
    <row r="26" spans="1:4" ht="15.75" customHeight="1" x14ac:dyDescent="0.15">
      <c r="A26" s="10"/>
      <c r="B26" s="13"/>
      <c r="C26" s="13"/>
    </row>
    <row r="27" spans="1:4" ht="15.75" customHeight="1" x14ac:dyDescent="0.15">
      <c r="A27" s="10"/>
      <c r="B27" s="13"/>
      <c r="C27" s="13"/>
    </row>
    <row r="28" spans="1:4" ht="15.75" customHeight="1" x14ac:dyDescent="0.15">
      <c r="A28" s="10"/>
      <c r="B28" s="13"/>
      <c r="C28" s="13"/>
    </row>
    <row r="29" spans="1:4" ht="15.75" customHeight="1" x14ac:dyDescent="0.15">
      <c r="A29" s="10"/>
      <c r="B29" s="13"/>
      <c r="C29" s="13"/>
    </row>
    <row r="30" spans="1:4" ht="15.75" customHeight="1" x14ac:dyDescent="0.15">
      <c r="A30" s="10"/>
      <c r="B30" s="13"/>
      <c r="C30" s="13"/>
    </row>
    <row r="31" spans="1:4" ht="15.75" customHeight="1" x14ac:dyDescent="0.15">
      <c r="A31" s="10"/>
      <c r="B31" s="13"/>
      <c r="C31" s="13"/>
    </row>
    <row r="32" spans="1:4" ht="15.75" customHeight="1" x14ac:dyDescent="0.15">
      <c r="A32" s="10"/>
      <c r="B32" s="13"/>
      <c r="C32" s="13"/>
    </row>
    <row r="33" spans="1:3" ht="15.75" customHeight="1" x14ac:dyDescent="0.15">
      <c r="A33" s="10"/>
      <c r="B33" s="13"/>
      <c r="C33" s="13"/>
    </row>
    <row r="34" spans="1:3" ht="15.75" customHeight="1" x14ac:dyDescent="0.15">
      <c r="A34" s="10"/>
      <c r="B34" s="13"/>
      <c r="C34" s="13"/>
    </row>
    <row r="35" spans="1:3" ht="15.75" customHeight="1" x14ac:dyDescent="0.15">
      <c r="A35" s="10"/>
      <c r="B35" s="13"/>
      <c r="C35" s="13"/>
    </row>
    <row r="36" spans="1:3" ht="15.75" customHeight="1" x14ac:dyDescent="0.15">
      <c r="A36" s="10"/>
      <c r="B36" s="13"/>
      <c r="C36" s="13"/>
    </row>
    <row r="37" spans="1:3" ht="15.75" customHeight="1" x14ac:dyDescent="0.15">
      <c r="A37" s="10"/>
      <c r="B37" s="13"/>
      <c r="C37" s="13"/>
    </row>
    <row r="38" spans="1:3" ht="15.75" customHeight="1" x14ac:dyDescent="0.15">
      <c r="A38" s="10"/>
      <c r="B38" s="13"/>
      <c r="C38" s="13"/>
    </row>
    <row r="39" spans="1:3" ht="13" x14ac:dyDescent="0.15">
      <c r="A39" s="10"/>
      <c r="B39" s="13"/>
      <c r="C39" s="13"/>
    </row>
    <row r="40" spans="1:3" ht="13" x14ac:dyDescent="0.15">
      <c r="A40" s="10"/>
      <c r="B40" s="13"/>
      <c r="C40" s="13"/>
    </row>
    <row r="41" spans="1:3" ht="13" x14ac:dyDescent="0.15">
      <c r="A41" s="10"/>
      <c r="B41" s="13"/>
      <c r="C41" s="13"/>
    </row>
    <row r="42" spans="1:3" ht="13" x14ac:dyDescent="0.15">
      <c r="A42" s="10"/>
      <c r="B42" s="13"/>
      <c r="C42" s="13"/>
    </row>
    <row r="43" spans="1:3" ht="13" x14ac:dyDescent="0.15">
      <c r="A43" s="10"/>
      <c r="B43" s="13"/>
      <c r="C43" s="13"/>
    </row>
    <row r="44" spans="1:3" ht="13" x14ac:dyDescent="0.15">
      <c r="A44" s="10"/>
      <c r="B44" s="13"/>
      <c r="C44" s="13"/>
    </row>
    <row r="45" spans="1:3" ht="13" x14ac:dyDescent="0.15">
      <c r="A45" s="10"/>
      <c r="B45" s="13"/>
      <c r="C45" s="13"/>
    </row>
    <row r="46" spans="1:3" ht="13" x14ac:dyDescent="0.15">
      <c r="A46" s="10"/>
      <c r="B46" s="13"/>
      <c r="C46" s="13"/>
    </row>
    <row r="47" spans="1:3" ht="13" x14ac:dyDescent="0.15">
      <c r="A47" s="10"/>
      <c r="B47" s="13"/>
      <c r="C47" s="13"/>
    </row>
    <row r="48" spans="1:3" ht="13" x14ac:dyDescent="0.15">
      <c r="A48" s="10"/>
      <c r="B48" s="13"/>
      <c r="C48" s="13"/>
    </row>
    <row r="49" spans="1:3" ht="13" x14ac:dyDescent="0.15">
      <c r="A49" s="10"/>
      <c r="B49" s="13"/>
      <c r="C49" s="13"/>
    </row>
    <row r="50" spans="1:3" ht="13" x14ac:dyDescent="0.15">
      <c r="A50" s="10"/>
      <c r="B50" s="13"/>
      <c r="C50" s="13"/>
    </row>
    <row r="51" spans="1:3" ht="13" x14ac:dyDescent="0.15">
      <c r="A51" s="10"/>
      <c r="B51" s="13"/>
      <c r="C51" s="13"/>
    </row>
    <row r="52" spans="1:3" ht="13" x14ac:dyDescent="0.15">
      <c r="A52" s="10"/>
      <c r="B52" s="13"/>
      <c r="C52" s="13"/>
    </row>
    <row r="53" spans="1:3" ht="13" x14ac:dyDescent="0.15">
      <c r="A53" s="10"/>
      <c r="B53" s="13"/>
      <c r="C53" s="13"/>
    </row>
    <row r="54" spans="1:3" ht="13" x14ac:dyDescent="0.15">
      <c r="A54" s="10"/>
      <c r="B54" s="13"/>
      <c r="C54" s="13"/>
    </row>
    <row r="55" spans="1:3" ht="13" x14ac:dyDescent="0.15">
      <c r="A55" s="10"/>
      <c r="B55" s="13"/>
      <c r="C55" s="13"/>
    </row>
    <row r="56" spans="1:3" ht="13" x14ac:dyDescent="0.15">
      <c r="A56" s="10"/>
      <c r="B56" s="13"/>
      <c r="C56" s="13"/>
    </row>
    <row r="57" spans="1:3" ht="13" x14ac:dyDescent="0.15">
      <c r="A57" s="10"/>
      <c r="B57" s="13"/>
      <c r="C57" s="13"/>
    </row>
    <row r="58" spans="1:3" ht="13" x14ac:dyDescent="0.15">
      <c r="A58" s="10"/>
      <c r="B58" s="13"/>
      <c r="C58" s="13"/>
    </row>
    <row r="59" spans="1:3" ht="13" x14ac:dyDescent="0.15">
      <c r="A59" s="10"/>
      <c r="B59" s="13"/>
      <c r="C59" s="13"/>
    </row>
    <row r="60" spans="1:3" ht="13" x14ac:dyDescent="0.15">
      <c r="A60" s="10"/>
      <c r="B60" s="13"/>
      <c r="C60" s="13"/>
    </row>
    <row r="61" spans="1:3" ht="13" x14ac:dyDescent="0.15">
      <c r="A61" s="10"/>
      <c r="B61" s="13"/>
      <c r="C61" s="13"/>
    </row>
    <row r="62" spans="1:3" ht="13" x14ac:dyDescent="0.15">
      <c r="A62" s="10"/>
      <c r="B62" s="13"/>
      <c r="C62" s="13"/>
    </row>
    <row r="63" spans="1:3" ht="13" x14ac:dyDescent="0.15">
      <c r="A63" s="10"/>
      <c r="B63" s="13"/>
      <c r="C63" s="13"/>
    </row>
    <row r="64" spans="1:3" ht="13" x14ac:dyDescent="0.15">
      <c r="A64" s="10"/>
      <c r="B64" s="13"/>
      <c r="C64" s="13"/>
    </row>
    <row r="65" spans="1:3" ht="13" x14ac:dyDescent="0.15">
      <c r="A65" s="10"/>
      <c r="B65" s="13"/>
      <c r="C65" s="13"/>
    </row>
    <row r="66" spans="1:3" ht="13" x14ac:dyDescent="0.15">
      <c r="A66" s="10"/>
      <c r="B66" s="13"/>
      <c r="C66" s="13"/>
    </row>
    <row r="67" spans="1:3" ht="13" x14ac:dyDescent="0.15">
      <c r="A67" s="10"/>
      <c r="B67" s="13"/>
      <c r="C67" s="13"/>
    </row>
    <row r="68" spans="1:3" ht="13" x14ac:dyDescent="0.15">
      <c r="A68" s="10"/>
      <c r="B68" s="13"/>
      <c r="C68" s="13"/>
    </row>
    <row r="69" spans="1:3" ht="13" x14ac:dyDescent="0.15">
      <c r="A69" s="10"/>
      <c r="B69" s="13"/>
      <c r="C69" s="13"/>
    </row>
    <row r="70" spans="1:3" ht="13" x14ac:dyDescent="0.15">
      <c r="A70" s="10"/>
      <c r="B70" s="13"/>
      <c r="C70" s="13"/>
    </row>
    <row r="71" spans="1:3" ht="13" x14ac:dyDescent="0.15">
      <c r="A71" s="10"/>
      <c r="B71" s="13"/>
      <c r="C71" s="13"/>
    </row>
    <row r="72" spans="1:3" ht="13" x14ac:dyDescent="0.15">
      <c r="A72" s="10"/>
      <c r="B72" s="13"/>
      <c r="C72" s="13"/>
    </row>
    <row r="73" spans="1:3" ht="13" x14ac:dyDescent="0.15">
      <c r="A73" s="10"/>
      <c r="B73" s="13"/>
      <c r="C73" s="13"/>
    </row>
    <row r="74" spans="1:3" ht="13" x14ac:dyDescent="0.15">
      <c r="A74" s="10"/>
      <c r="B74" s="13"/>
      <c r="C74" s="13"/>
    </row>
    <row r="75" spans="1:3" ht="13" x14ac:dyDescent="0.15">
      <c r="A75" s="10"/>
      <c r="B75" s="13"/>
      <c r="C75" s="13"/>
    </row>
    <row r="76" spans="1:3" ht="13" x14ac:dyDescent="0.15">
      <c r="A76" s="10"/>
      <c r="B76" s="13"/>
      <c r="C76" s="13"/>
    </row>
    <row r="77" spans="1:3" ht="13" x14ac:dyDescent="0.15">
      <c r="A77" s="10"/>
      <c r="B77" s="13"/>
      <c r="C77" s="13"/>
    </row>
    <row r="78" spans="1:3" ht="13" x14ac:dyDescent="0.15">
      <c r="A78" s="10"/>
      <c r="B78" s="13"/>
      <c r="C78" s="13"/>
    </row>
    <row r="79" spans="1:3" ht="13" x14ac:dyDescent="0.15">
      <c r="A79" s="10"/>
      <c r="B79" s="13"/>
      <c r="C79" s="13"/>
    </row>
    <row r="80" spans="1:3" ht="13" x14ac:dyDescent="0.15">
      <c r="A80" s="10"/>
      <c r="B80" s="13"/>
      <c r="C80" s="13"/>
    </row>
    <row r="81" spans="1:3" ht="13" x14ac:dyDescent="0.15">
      <c r="A81" s="10"/>
      <c r="B81" s="13"/>
      <c r="C81" s="13"/>
    </row>
    <row r="82" spans="1:3" ht="13" x14ac:dyDescent="0.15">
      <c r="A82" s="10"/>
      <c r="B82" s="13"/>
      <c r="C82" s="13"/>
    </row>
    <row r="83" spans="1:3" ht="13" x14ac:dyDescent="0.15">
      <c r="A83" s="10"/>
      <c r="B83" s="13"/>
      <c r="C83" s="13"/>
    </row>
    <row r="84" spans="1:3" ht="13" x14ac:dyDescent="0.15">
      <c r="A84" s="10"/>
      <c r="B84" s="13"/>
      <c r="C84" s="13"/>
    </row>
    <row r="85" spans="1:3" ht="13" x14ac:dyDescent="0.15">
      <c r="A85" s="10"/>
      <c r="B85" s="13"/>
      <c r="C85" s="13"/>
    </row>
    <row r="86" spans="1:3" ht="13" x14ac:dyDescent="0.15">
      <c r="A86" s="10"/>
      <c r="B86" s="13"/>
      <c r="C86" s="13"/>
    </row>
    <row r="87" spans="1:3" ht="13" x14ac:dyDescent="0.15">
      <c r="A87" s="10"/>
      <c r="B87" s="13"/>
      <c r="C87" s="13"/>
    </row>
    <row r="88" spans="1:3" ht="13" x14ac:dyDescent="0.15">
      <c r="A88" s="10"/>
      <c r="B88" s="13"/>
      <c r="C88" s="13"/>
    </row>
    <row r="89" spans="1:3" ht="13" x14ac:dyDescent="0.15">
      <c r="A89" s="10"/>
      <c r="B89" s="13"/>
      <c r="C89" s="13"/>
    </row>
    <row r="90" spans="1:3" ht="13" x14ac:dyDescent="0.15">
      <c r="A90" s="10"/>
      <c r="B90" s="13"/>
      <c r="C90" s="13"/>
    </row>
    <row r="91" spans="1:3" ht="13" x14ac:dyDescent="0.15">
      <c r="A91" s="10"/>
      <c r="B91" s="13"/>
      <c r="C91" s="13"/>
    </row>
    <row r="92" spans="1:3" ht="13" x14ac:dyDescent="0.15">
      <c r="A92" s="10"/>
      <c r="B92" s="13"/>
      <c r="C92" s="13"/>
    </row>
    <row r="93" spans="1:3" ht="13" x14ac:dyDescent="0.15">
      <c r="A93" s="10"/>
      <c r="B93" s="13"/>
      <c r="C93" s="13"/>
    </row>
    <row r="94" spans="1:3" ht="13" x14ac:dyDescent="0.15">
      <c r="A94" s="10"/>
      <c r="B94" s="13"/>
      <c r="C94" s="13"/>
    </row>
    <row r="95" spans="1:3" ht="13" x14ac:dyDescent="0.15">
      <c r="A95" s="10"/>
      <c r="B95" s="13"/>
      <c r="C95" s="13"/>
    </row>
    <row r="96" spans="1:3" ht="13" x14ac:dyDescent="0.15">
      <c r="A96" s="10"/>
      <c r="B96" s="13"/>
      <c r="C96" s="13"/>
    </row>
    <row r="97" spans="1:3" ht="13" x14ac:dyDescent="0.15">
      <c r="A97" s="10"/>
      <c r="B97" s="13"/>
      <c r="C97" s="13"/>
    </row>
    <row r="98" spans="1:3" ht="13" x14ac:dyDescent="0.15">
      <c r="A98" s="10"/>
      <c r="B98" s="13"/>
      <c r="C98" s="13"/>
    </row>
    <row r="99" spans="1:3" ht="13" x14ac:dyDescent="0.15">
      <c r="A99" s="10"/>
      <c r="B99" s="13"/>
      <c r="C99" s="13"/>
    </row>
    <row r="100" spans="1:3" ht="13" x14ac:dyDescent="0.15">
      <c r="A100" s="10"/>
      <c r="B100" s="13"/>
      <c r="C100" s="13"/>
    </row>
    <row r="101" spans="1:3" ht="13" x14ac:dyDescent="0.15">
      <c r="A101" s="10"/>
      <c r="B101" s="13"/>
      <c r="C101" s="13"/>
    </row>
    <row r="102" spans="1:3" ht="13" x14ac:dyDescent="0.15">
      <c r="A102" s="10"/>
      <c r="B102" s="13"/>
      <c r="C102" s="13"/>
    </row>
    <row r="103" spans="1:3" ht="13" x14ac:dyDescent="0.15">
      <c r="A103" s="10"/>
      <c r="B103" s="13"/>
      <c r="C103" s="13"/>
    </row>
    <row r="104" spans="1:3" ht="13" x14ac:dyDescent="0.15">
      <c r="A104" s="10"/>
      <c r="B104" s="13"/>
      <c r="C104" s="13"/>
    </row>
    <row r="105" spans="1:3" ht="13" x14ac:dyDescent="0.15">
      <c r="A105" s="10"/>
      <c r="B105" s="13"/>
      <c r="C105" s="13"/>
    </row>
    <row r="106" spans="1:3" ht="13" x14ac:dyDescent="0.15">
      <c r="A106" s="10"/>
      <c r="B106" s="13"/>
      <c r="C106" s="13"/>
    </row>
    <row r="107" spans="1:3" ht="13" x14ac:dyDescent="0.15">
      <c r="A107" s="10"/>
      <c r="B107" s="13"/>
      <c r="C107" s="13"/>
    </row>
    <row r="108" spans="1:3" ht="13" x14ac:dyDescent="0.15">
      <c r="A108" s="10"/>
      <c r="B108" s="13"/>
      <c r="C108" s="13"/>
    </row>
    <row r="109" spans="1:3" ht="13" x14ac:dyDescent="0.15">
      <c r="A109" s="10"/>
      <c r="B109" s="13"/>
      <c r="C109" s="13"/>
    </row>
    <row r="110" spans="1:3" ht="13" x14ac:dyDescent="0.15">
      <c r="A110" s="10"/>
      <c r="B110" s="13"/>
      <c r="C110" s="13"/>
    </row>
    <row r="111" spans="1:3" ht="13" x14ac:dyDescent="0.15">
      <c r="A111" s="10"/>
      <c r="B111" s="13"/>
      <c r="C111" s="13"/>
    </row>
    <row r="112" spans="1:3" ht="13" x14ac:dyDescent="0.15">
      <c r="A112" s="10"/>
      <c r="B112" s="13"/>
      <c r="C112" s="13"/>
    </row>
    <row r="113" spans="1:3" ht="13" x14ac:dyDescent="0.15">
      <c r="A113" s="10"/>
      <c r="B113" s="13"/>
      <c r="C113" s="13"/>
    </row>
    <row r="114" spans="1:3" ht="13" x14ac:dyDescent="0.15">
      <c r="A114" s="10"/>
      <c r="B114" s="13"/>
      <c r="C114" s="13"/>
    </row>
    <row r="115" spans="1:3" ht="13" x14ac:dyDescent="0.15">
      <c r="A115" s="10"/>
      <c r="B115" s="13"/>
      <c r="C115" s="13"/>
    </row>
    <row r="116" spans="1:3" ht="13" x14ac:dyDescent="0.15">
      <c r="A116" s="10"/>
      <c r="B116" s="13"/>
      <c r="C116" s="13"/>
    </row>
    <row r="117" spans="1:3" ht="13" x14ac:dyDescent="0.15">
      <c r="A117" s="10"/>
      <c r="B117" s="13"/>
      <c r="C117" s="13"/>
    </row>
    <row r="118" spans="1:3" ht="13" x14ac:dyDescent="0.15">
      <c r="A118" s="10"/>
      <c r="B118" s="13"/>
      <c r="C118" s="13"/>
    </row>
    <row r="119" spans="1:3" ht="13" x14ac:dyDescent="0.15">
      <c r="A119" s="10"/>
      <c r="B119" s="13"/>
      <c r="C119" s="13"/>
    </row>
    <row r="120" spans="1:3" ht="13" x14ac:dyDescent="0.15">
      <c r="A120" s="10"/>
      <c r="B120" s="13"/>
      <c r="C120" s="13"/>
    </row>
    <row r="121" spans="1:3" ht="13" x14ac:dyDescent="0.15">
      <c r="A121" s="10"/>
      <c r="B121" s="13"/>
      <c r="C121" s="13"/>
    </row>
    <row r="122" spans="1:3" ht="13" x14ac:dyDescent="0.15">
      <c r="A122" s="10"/>
      <c r="B122" s="13"/>
      <c r="C122" s="13"/>
    </row>
    <row r="123" spans="1:3" ht="13" x14ac:dyDescent="0.15">
      <c r="A123" s="10"/>
      <c r="B123" s="13"/>
      <c r="C123" s="13"/>
    </row>
    <row r="124" spans="1:3" ht="13" x14ac:dyDescent="0.15">
      <c r="A124" s="10"/>
      <c r="B124" s="13"/>
      <c r="C124" s="13"/>
    </row>
    <row r="125" spans="1:3" ht="13" x14ac:dyDescent="0.15">
      <c r="A125" s="10"/>
      <c r="B125" s="13"/>
      <c r="C125" s="13"/>
    </row>
    <row r="126" spans="1:3" ht="13" x14ac:dyDescent="0.15">
      <c r="A126" s="10"/>
      <c r="B126" s="13"/>
      <c r="C126" s="13"/>
    </row>
    <row r="127" spans="1:3" ht="13" x14ac:dyDescent="0.15">
      <c r="A127" s="10"/>
      <c r="B127" s="13"/>
      <c r="C127" s="13"/>
    </row>
    <row r="128" spans="1:3" ht="13" x14ac:dyDescent="0.15">
      <c r="A128" s="10"/>
      <c r="B128" s="13"/>
      <c r="C128" s="13"/>
    </row>
    <row r="129" spans="1:3" ht="13" x14ac:dyDescent="0.15">
      <c r="A129" s="10"/>
      <c r="B129" s="13"/>
      <c r="C129" s="13"/>
    </row>
    <row r="130" spans="1:3" ht="13" x14ac:dyDescent="0.15">
      <c r="A130" s="10"/>
      <c r="B130" s="13"/>
      <c r="C130" s="13"/>
    </row>
    <row r="131" spans="1:3" ht="13" x14ac:dyDescent="0.15">
      <c r="A131" s="10"/>
      <c r="B131" s="13"/>
      <c r="C131" s="13"/>
    </row>
    <row r="132" spans="1:3" ht="13" x14ac:dyDescent="0.15">
      <c r="A132" s="10"/>
      <c r="B132" s="13"/>
      <c r="C132" s="13"/>
    </row>
    <row r="133" spans="1:3" ht="13" x14ac:dyDescent="0.15">
      <c r="A133" s="10"/>
      <c r="B133" s="13"/>
      <c r="C133" s="13"/>
    </row>
    <row r="134" spans="1:3" ht="13" x14ac:dyDescent="0.15">
      <c r="A134" s="10"/>
      <c r="B134" s="13"/>
      <c r="C134" s="13"/>
    </row>
    <row r="135" spans="1:3" ht="13" x14ac:dyDescent="0.15">
      <c r="A135" s="10"/>
      <c r="B135" s="13"/>
      <c r="C135" s="13"/>
    </row>
    <row r="136" spans="1:3" ht="13" x14ac:dyDescent="0.15">
      <c r="A136" s="10"/>
      <c r="B136" s="13"/>
      <c r="C136" s="13"/>
    </row>
    <row r="137" spans="1:3" ht="13" x14ac:dyDescent="0.15">
      <c r="A137" s="10"/>
      <c r="B137" s="13"/>
      <c r="C137" s="13"/>
    </row>
    <row r="138" spans="1:3" ht="13" x14ac:dyDescent="0.15">
      <c r="A138" s="10"/>
      <c r="B138" s="13"/>
      <c r="C138" s="13"/>
    </row>
    <row r="139" spans="1:3" ht="13" x14ac:dyDescent="0.15">
      <c r="A139" s="10"/>
      <c r="B139" s="13"/>
      <c r="C139" s="13"/>
    </row>
    <row r="140" spans="1:3" ht="13" x14ac:dyDescent="0.15">
      <c r="A140" s="10"/>
      <c r="B140" s="13"/>
      <c r="C140" s="13"/>
    </row>
    <row r="141" spans="1:3" ht="13" x14ac:dyDescent="0.15">
      <c r="A141" s="10"/>
      <c r="B141" s="13"/>
      <c r="C141" s="13"/>
    </row>
    <row r="142" spans="1:3" ht="13" x14ac:dyDescent="0.15">
      <c r="A142" s="10"/>
      <c r="B142" s="13"/>
      <c r="C142" s="13"/>
    </row>
    <row r="143" spans="1:3" ht="13" x14ac:dyDescent="0.15">
      <c r="A143" s="10"/>
      <c r="B143" s="13"/>
      <c r="C143" s="13"/>
    </row>
    <row r="144" spans="1:3" ht="13" x14ac:dyDescent="0.15">
      <c r="A144" s="10"/>
      <c r="B144" s="13"/>
      <c r="C144" s="13"/>
    </row>
    <row r="145" spans="1:3" ht="13" x14ac:dyDescent="0.15">
      <c r="A145" s="10"/>
      <c r="B145" s="13"/>
      <c r="C145" s="13"/>
    </row>
    <row r="146" spans="1:3" ht="13" x14ac:dyDescent="0.15">
      <c r="A146" s="10"/>
      <c r="B146" s="13"/>
      <c r="C146" s="13"/>
    </row>
    <row r="147" spans="1:3" ht="13" x14ac:dyDescent="0.15">
      <c r="A147" s="10"/>
      <c r="B147" s="13"/>
      <c r="C147" s="13"/>
    </row>
    <row r="148" spans="1:3" ht="13" x14ac:dyDescent="0.15">
      <c r="A148" s="10"/>
      <c r="B148" s="13"/>
      <c r="C148" s="13"/>
    </row>
    <row r="149" spans="1:3" ht="13" x14ac:dyDescent="0.15">
      <c r="A149" s="10"/>
      <c r="B149" s="13"/>
      <c r="C149" s="13"/>
    </row>
    <row r="150" spans="1:3" ht="13" x14ac:dyDescent="0.15">
      <c r="A150" s="10"/>
      <c r="B150" s="13"/>
      <c r="C150" s="13"/>
    </row>
    <row r="151" spans="1:3" ht="13" x14ac:dyDescent="0.15">
      <c r="A151" s="10"/>
      <c r="B151" s="13"/>
      <c r="C151" s="13"/>
    </row>
    <row r="152" spans="1:3" ht="13" x14ac:dyDescent="0.15">
      <c r="A152" s="10"/>
      <c r="B152" s="13"/>
      <c r="C152" s="13"/>
    </row>
    <row r="153" spans="1:3" ht="13" x14ac:dyDescent="0.15">
      <c r="A153" s="10"/>
      <c r="B153" s="13"/>
      <c r="C153" s="13"/>
    </row>
    <row r="154" spans="1:3" ht="13" x14ac:dyDescent="0.15">
      <c r="A154" s="10"/>
      <c r="B154" s="13"/>
      <c r="C154" s="13"/>
    </row>
    <row r="155" spans="1:3" ht="13" x14ac:dyDescent="0.15">
      <c r="A155" s="10"/>
      <c r="B155" s="13"/>
      <c r="C155" s="13"/>
    </row>
    <row r="156" spans="1:3" ht="13" x14ac:dyDescent="0.15">
      <c r="A156" s="10"/>
      <c r="B156" s="13"/>
      <c r="C156" s="13"/>
    </row>
    <row r="157" spans="1:3" ht="13" x14ac:dyDescent="0.15">
      <c r="A157" s="10"/>
      <c r="B157" s="13"/>
      <c r="C157" s="13"/>
    </row>
    <row r="158" spans="1:3" ht="13" x14ac:dyDescent="0.15">
      <c r="A158" s="10"/>
      <c r="B158" s="13"/>
      <c r="C158" s="13"/>
    </row>
    <row r="159" spans="1:3" ht="13" x14ac:dyDescent="0.15">
      <c r="A159" s="10"/>
      <c r="B159" s="13"/>
      <c r="C159" s="13"/>
    </row>
    <row r="160" spans="1:3" ht="13" x14ac:dyDescent="0.15">
      <c r="A160" s="10"/>
      <c r="B160" s="13"/>
      <c r="C160" s="13"/>
    </row>
    <row r="161" spans="1:3" ht="13" x14ac:dyDescent="0.15">
      <c r="A161" s="10"/>
      <c r="B161" s="13"/>
      <c r="C161" s="13"/>
    </row>
    <row r="162" spans="1:3" ht="13" x14ac:dyDescent="0.15">
      <c r="A162" s="10"/>
      <c r="B162" s="13"/>
      <c r="C162" s="13"/>
    </row>
    <row r="163" spans="1:3" ht="13" x14ac:dyDescent="0.15">
      <c r="A163" s="10"/>
      <c r="B163" s="13"/>
      <c r="C163" s="13"/>
    </row>
    <row r="164" spans="1:3" ht="13" x14ac:dyDescent="0.15">
      <c r="A164" s="10"/>
      <c r="B164" s="13"/>
      <c r="C164" s="13"/>
    </row>
    <row r="165" spans="1:3" ht="13" x14ac:dyDescent="0.15">
      <c r="A165" s="10"/>
      <c r="B165" s="13"/>
      <c r="C165" s="13"/>
    </row>
    <row r="166" spans="1:3" ht="13" x14ac:dyDescent="0.15">
      <c r="A166" s="10"/>
      <c r="B166" s="13"/>
      <c r="C166" s="13"/>
    </row>
    <row r="167" spans="1:3" ht="13" x14ac:dyDescent="0.15">
      <c r="A167" s="10"/>
      <c r="B167" s="13"/>
      <c r="C167" s="13"/>
    </row>
    <row r="168" spans="1:3" ht="13" x14ac:dyDescent="0.15">
      <c r="A168" s="10"/>
      <c r="B168" s="13"/>
      <c r="C168" s="13"/>
    </row>
    <row r="169" spans="1:3" ht="13" x14ac:dyDescent="0.15">
      <c r="A169" s="10"/>
      <c r="B169" s="13"/>
      <c r="C169" s="13"/>
    </row>
    <row r="170" spans="1:3" ht="13" x14ac:dyDescent="0.15">
      <c r="A170" s="10"/>
      <c r="B170" s="13"/>
      <c r="C170" s="13"/>
    </row>
    <row r="171" spans="1:3" ht="13" x14ac:dyDescent="0.15">
      <c r="A171" s="10"/>
      <c r="B171" s="13"/>
      <c r="C171" s="13"/>
    </row>
    <row r="172" spans="1:3" ht="13" x14ac:dyDescent="0.15">
      <c r="A172" s="10"/>
      <c r="B172" s="13"/>
      <c r="C172" s="13"/>
    </row>
    <row r="173" spans="1:3" ht="13" x14ac:dyDescent="0.15">
      <c r="A173" s="10"/>
      <c r="B173" s="13"/>
      <c r="C173" s="13"/>
    </row>
    <row r="174" spans="1:3" ht="13" x14ac:dyDescent="0.15">
      <c r="A174" s="10"/>
      <c r="B174" s="13"/>
      <c r="C174" s="13"/>
    </row>
    <row r="175" spans="1:3" ht="13" x14ac:dyDescent="0.15">
      <c r="A175" s="10"/>
      <c r="B175" s="13"/>
      <c r="C175" s="13"/>
    </row>
    <row r="176" spans="1:3" ht="13" x14ac:dyDescent="0.15">
      <c r="A176" s="10"/>
      <c r="B176" s="13"/>
      <c r="C176" s="13"/>
    </row>
    <row r="177" spans="1:3" ht="13" x14ac:dyDescent="0.15">
      <c r="A177" s="10"/>
      <c r="B177" s="13"/>
      <c r="C177" s="13"/>
    </row>
    <row r="178" spans="1:3" ht="13" x14ac:dyDescent="0.15">
      <c r="A178" s="10"/>
      <c r="B178" s="13"/>
      <c r="C178" s="13"/>
    </row>
    <row r="179" spans="1:3" ht="13" x14ac:dyDescent="0.15">
      <c r="A179" s="10"/>
      <c r="B179" s="13"/>
      <c r="C179" s="13"/>
    </row>
    <row r="180" spans="1:3" ht="13" x14ac:dyDescent="0.15">
      <c r="A180" s="10"/>
      <c r="B180" s="13"/>
      <c r="C180" s="13"/>
    </row>
    <row r="181" spans="1:3" ht="13" x14ac:dyDescent="0.15">
      <c r="A181" s="10"/>
      <c r="B181" s="13"/>
      <c r="C181" s="13"/>
    </row>
    <row r="182" spans="1:3" ht="13" x14ac:dyDescent="0.15">
      <c r="A182" s="10"/>
      <c r="B182" s="13"/>
      <c r="C182" s="13"/>
    </row>
    <row r="183" spans="1:3" ht="13" x14ac:dyDescent="0.15">
      <c r="A183" s="10"/>
      <c r="B183" s="13"/>
      <c r="C183" s="13"/>
    </row>
    <row r="184" spans="1:3" ht="13" x14ac:dyDescent="0.15">
      <c r="A184" s="10"/>
      <c r="B184" s="13"/>
      <c r="C184" s="13"/>
    </row>
    <row r="185" spans="1:3" ht="13" x14ac:dyDescent="0.15">
      <c r="A185" s="10"/>
      <c r="B185" s="13"/>
      <c r="C185" s="13"/>
    </row>
    <row r="186" spans="1:3" ht="13" x14ac:dyDescent="0.15">
      <c r="A186" s="10"/>
      <c r="B186" s="13"/>
      <c r="C186" s="13"/>
    </row>
    <row r="187" spans="1:3" ht="13" x14ac:dyDescent="0.15">
      <c r="A187" s="10"/>
      <c r="B187" s="13"/>
      <c r="C187" s="13"/>
    </row>
    <row r="188" spans="1:3" ht="13" x14ac:dyDescent="0.15">
      <c r="A188" s="10"/>
      <c r="B188" s="13"/>
      <c r="C188" s="13"/>
    </row>
    <row r="189" spans="1:3" ht="13" x14ac:dyDescent="0.15">
      <c r="A189" s="10"/>
      <c r="B189" s="13"/>
      <c r="C189" s="13"/>
    </row>
    <row r="190" spans="1:3" ht="13" x14ac:dyDescent="0.15">
      <c r="A190" s="10"/>
      <c r="B190" s="13"/>
      <c r="C190" s="13"/>
    </row>
    <row r="191" spans="1:3" ht="13" x14ac:dyDescent="0.15">
      <c r="A191" s="10"/>
      <c r="B191" s="13"/>
      <c r="C191" s="13"/>
    </row>
    <row r="192" spans="1:3" ht="13" x14ac:dyDescent="0.15">
      <c r="A192" s="10"/>
      <c r="B192" s="13"/>
      <c r="C192" s="13"/>
    </row>
    <row r="193" spans="1:3" ht="13" x14ac:dyDescent="0.15">
      <c r="A193" s="10"/>
      <c r="B193" s="13"/>
      <c r="C193" s="13"/>
    </row>
    <row r="194" spans="1:3" ht="13" x14ac:dyDescent="0.15">
      <c r="A194" s="10"/>
      <c r="B194" s="13"/>
      <c r="C194" s="13"/>
    </row>
    <row r="195" spans="1:3" ht="13" x14ac:dyDescent="0.15">
      <c r="A195" s="10"/>
      <c r="B195" s="13"/>
      <c r="C195" s="13"/>
    </row>
    <row r="196" spans="1:3" ht="13" x14ac:dyDescent="0.15">
      <c r="A196" s="10"/>
      <c r="B196" s="13"/>
      <c r="C196" s="13"/>
    </row>
    <row r="197" spans="1:3" ht="13" x14ac:dyDescent="0.15">
      <c r="A197" s="10"/>
      <c r="B197" s="13"/>
      <c r="C197" s="13"/>
    </row>
    <row r="198" spans="1:3" ht="13" x14ac:dyDescent="0.15">
      <c r="A198" s="10"/>
      <c r="B198" s="13"/>
      <c r="C198" s="13"/>
    </row>
    <row r="199" spans="1:3" ht="13" x14ac:dyDescent="0.15">
      <c r="A199" s="10"/>
      <c r="B199" s="13"/>
      <c r="C199" s="13"/>
    </row>
    <row r="200" spans="1:3" ht="13" x14ac:dyDescent="0.15">
      <c r="A200" s="10"/>
      <c r="B200" s="13"/>
      <c r="C200" s="13"/>
    </row>
    <row r="201" spans="1:3" ht="13" x14ac:dyDescent="0.15">
      <c r="A201" s="10"/>
      <c r="B201" s="13"/>
      <c r="C201" s="13"/>
    </row>
    <row r="202" spans="1:3" ht="13" x14ac:dyDescent="0.15">
      <c r="A202" s="10"/>
      <c r="B202" s="13"/>
      <c r="C202" s="13"/>
    </row>
    <row r="203" spans="1:3" ht="13" x14ac:dyDescent="0.15">
      <c r="A203" s="10"/>
      <c r="B203" s="13"/>
      <c r="C203" s="13"/>
    </row>
    <row r="204" spans="1:3" ht="13" x14ac:dyDescent="0.15">
      <c r="A204" s="10"/>
      <c r="B204" s="13"/>
      <c r="C204" s="13"/>
    </row>
    <row r="205" spans="1:3" ht="13" x14ac:dyDescent="0.15">
      <c r="A205" s="10"/>
      <c r="B205" s="13"/>
      <c r="C205" s="13"/>
    </row>
    <row r="206" spans="1:3" ht="13" x14ac:dyDescent="0.15">
      <c r="A206" s="10"/>
      <c r="B206" s="13"/>
      <c r="C206" s="13"/>
    </row>
    <row r="207" spans="1:3" ht="13" x14ac:dyDescent="0.15">
      <c r="A207" s="10"/>
      <c r="B207" s="13"/>
      <c r="C207" s="13"/>
    </row>
    <row r="208" spans="1:3" ht="13" x14ac:dyDescent="0.15">
      <c r="A208" s="10"/>
      <c r="B208" s="13"/>
      <c r="C208" s="13"/>
    </row>
    <row r="209" spans="1:3" ht="13" x14ac:dyDescent="0.15">
      <c r="A209" s="10"/>
      <c r="B209" s="13"/>
      <c r="C209" s="13"/>
    </row>
    <row r="210" spans="1:3" ht="13" x14ac:dyDescent="0.15">
      <c r="A210" s="10"/>
      <c r="B210" s="13"/>
      <c r="C210" s="13"/>
    </row>
    <row r="211" spans="1:3" ht="13" x14ac:dyDescent="0.15">
      <c r="A211" s="10"/>
      <c r="B211" s="13"/>
      <c r="C211" s="13"/>
    </row>
    <row r="212" spans="1:3" ht="13" x14ac:dyDescent="0.15">
      <c r="A212" s="10"/>
      <c r="B212" s="13"/>
      <c r="C212" s="13"/>
    </row>
    <row r="213" spans="1:3" ht="13" x14ac:dyDescent="0.15">
      <c r="A213" s="10"/>
      <c r="B213" s="13"/>
      <c r="C213" s="13"/>
    </row>
    <row r="214" spans="1:3" ht="13" x14ac:dyDescent="0.15">
      <c r="A214" s="10"/>
      <c r="B214" s="13"/>
      <c r="C214" s="13"/>
    </row>
    <row r="215" spans="1:3" ht="13" x14ac:dyDescent="0.15">
      <c r="A215" s="10"/>
      <c r="B215" s="13"/>
      <c r="C215" s="13"/>
    </row>
    <row r="216" spans="1:3" ht="13" x14ac:dyDescent="0.15">
      <c r="A216" s="10"/>
      <c r="B216" s="13"/>
      <c r="C216" s="13"/>
    </row>
    <row r="217" spans="1:3" ht="13" x14ac:dyDescent="0.15">
      <c r="A217" s="10"/>
      <c r="B217" s="13"/>
      <c r="C217" s="13"/>
    </row>
    <row r="218" spans="1:3" ht="13" x14ac:dyDescent="0.15">
      <c r="A218" s="10"/>
      <c r="B218" s="13"/>
      <c r="C218" s="13"/>
    </row>
    <row r="219" spans="1:3" ht="13" x14ac:dyDescent="0.15">
      <c r="A219" s="10"/>
      <c r="B219" s="13"/>
      <c r="C219" s="13"/>
    </row>
    <row r="220" spans="1:3" ht="13" x14ac:dyDescent="0.15">
      <c r="A220" s="10"/>
      <c r="B220" s="13"/>
      <c r="C220" s="13"/>
    </row>
    <row r="221" spans="1:3" ht="13" x14ac:dyDescent="0.15">
      <c r="A221" s="10"/>
      <c r="B221" s="13"/>
      <c r="C221" s="13"/>
    </row>
    <row r="222" spans="1:3" ht="13" x14ac:dyDescent="0.15">
      <c r="A222" s="10"/>
      <c r="B222" s="13"/>
      <c r="C222" s="13"/>
    </row>
    <row r="223" spans="1:3" ht="13" x14ac:dyDescent="0.15">
      <c r="A223" s="10"/>
      <c r="B223" s="13"/>
      <c r="C223" s="13"/>
    </row>
    <row r="224" spans="1:3" ht="13" x14ac:dyDescent="0.15">
      <c r="A224" s="10"/>
      <c r="B224" s="13"/>
      <c r="C224" s="13"/>
    </row>
    <row r="225" spans="1:3" ht="13" x14ac:dyDescent="0.15">
      <c r="A225" s="10"/>
      <c r="B225" s="13"/>
      <c r="C225" s="13"/>
    </row>
    <row r="226" spans="1:3" ht="13" x14ac:dyDescent="0.15">
      <c r="A226" s="10"/>
      <c r="B226" s="13"/>
      <c r="C226" s="13"/>
    </row>
    <row r="227" spans="1:3" ht="13" x14ac:dyDescent="0.15">
      <c r="A227" s="10"/>
      <c r="B227" s="13"/>
      <c r="C227" s="13"/>
    </row>
    <row r="228" spans="1:3" ht="13" x14ac:dyDescent="0.15">
      <c r="A228" s="10"/>
      <c r="B228" s="13"/>
      <c r="C228" s="13"/>
    </row>
    <row r="229" spans="1:3" ht="13" x14ac:dyDescent="0.15">
      <c r="A229" s="10"/>
      <c r="B229" s="13"/>
      <c r="C229" s="13"/>
    </row>
    <row r="230" spans="1:3" ht="13" x14ac:dyDescent="0.15">
      <c r="A230" s="10"/>
      <c r="B230" s="13"/>
      <c r="C230" s="13"/>
    </row>
    <row r="231" spans="1:3" ht="13" x14ac:dyDescent="0.15">
      <c r="A231" s="10"/>
      <c r="B231" s="13"/>
      <c r="C231" s="13"/>
    </row>
    <row r="232" spans="1:3" ht="13" x14ac:dyDescent="0.15">
      <c r="A232" s="10"/>
      <c r="B232" s="13"/>
      <c r="C232" s="13"/>
    </row>
    <row r="233" spans="1:3" ht="13" x14ac:dyDescent="0.15">
      <c r="A233" s="10"/>
      <c r="B233" s="13"/>
      <c r="C233" s="13"/>
    </row>
    <row r="234" spans="1:3" ht="13" x14ac:dyDescent="0.15">
      <c r="A234" s="10"/>
      <c r="B234" s="13"/>
      <c r="C234" s="13"/>
    </row>
    <row r="235" spans="1:3" ht="13" x14ac:dyDescent="0.15">
      <c r="A235" s="10"/>
      <c r="B235" s="13"/>
      <c r="C235" s="13"/>
    </row>
    <row r="236" spans="1:3" ht="13" x14ac:dyDescent="0.15">
      <c r="A236" s="10"/>
      <c r="B236" s="13"/>
      <c r="C236" s="13"/>
    </row>
    <row r="237" spans="1:3" ht="13" x14ac:dyDescent="0.15">
      <c r="A237" s="10"/>
      <c r="B237" s="13"/>
      <c r="C237" s="13"/>
    </row>
    <row r="238" spans="1:3" ht="13" x14ac:dyDescent="0.15">
      <c r="A238" s="10"/>
      <c r="B238" s="13"/>
      <c r="C238" s="13"/>
    </row>
    <row r="239" spans="1:3" ht="13" x14ac:dyDescent="0.15">
      <c r="A239" s="10"/>
      <c r="B239" s="13"/>
      <c r="C239" s="13"/>
    </row>
    <row r="240" spans="1:3" ht="13" x14ac:dyDescent="0.15">
      <c r="A240" s="10"/>
      <c r="B240" s="13"/>
      <c r="C240" s="13"/>
    </row>
    <row r="241" spans="1:3" ht="13" x14ac:dyDescent="0.15">
      <c r="A241" s="10"/>
      <c r="B241" s="13"/>
      <c r="C241" s="13"/>
    </row>
    <row r="242" spans="1:3" ht="13" x14ac:dyDescent="0.15">
      <c r="A242" s="10"/>
      <c r="B242" s="13"/>
      <c r="C242" s="13"/>
    </row>
    <row r="243" spans="1:3" ht="13" x14ac:dyDescent="0.15">
      <c r="A243" s="10"/>
      <c r="B243" s="13"/>
      <c r="C243" s="13"/>
    </row>
    <row r="244" spans="1:3" ht="13" x14ac:dyDescent="0.15">
      <c r="A244" s="10"/>
      <c r="B244" s="13"/>
      <c r="C244" s="13"/>
    </row>
    <row r="245" spans="1:3" ht="13" x14ac:dyDescent="0.15">
      <c r="A245" s="10"/>
      <c r="B245" s="13"/>
      <c r="C245" s="13"/>
    </row>
    <row r="246" spans="1:3" ht="13" x14ac:dyDescent="0.15">
      <c r="A246" s="10"/>
      <c r="B246" s="13"/>
      <c r="C246" s="13"/>
    </row>
    <row r="247" spans="1:3" ht="13" x14ac:dyDescent="0.15">
      <c r="A247" s="10"/>
      <c r="B247" s="13"/>
      <c r="C247" s="13"/>
    </row>
    <row r="248" spans="1:3" ht="13" x14ac:dyDescent="0.15">
      <c r="A248" s="10"/>
      <c r="B248" s="13"/>
      <c r="C248" s="13"/>
    </row>
    <row r="249" spans="1:3" ht="13" x14ac:dyDescent="0.15">
      <c r="A249" s="10"/>
      <c r="B249" s="13"/>
      <c r="C249" s="13"/>
    </row>
    <row r="250" spans="1:3" ht="13" x14ac:dyDescent="0.15">
      <c r="A250" s="10"/>
      <c r="B250" s="13"/>
      <c r="C250" s="13"/>
    </row>
    <row r="251" spans="1:3" ht="13" x14ac:dyDescent="0.15">
      <c r="A251" s="10"/>
      <c r="B251" s="13"/>
      <c r="C251" s="13"/>
    </row>
    <row r="252" spans="1:3" ht="13" x14ac:dyDescent="0.15">
      <c r="A252" s="10"/>
      <c r="B252" s="13"/>
      <c r="C252" s="13"/>
    </row>
    <row r="253" spans="1:3" ht="13" x14ac:dyDescent="0.15">
      <c r="A253" s="10"/>
      <c r="B253" s="13"/>
      <c r="C253" s="13"/>
    </row>
    <row r="254" spans="1:3" ht="13" x14ac:dyDescent="0.15">
      <c r="A254" s="10"/>
      <c r="B254" s="13"/>
      <c r="C254" s="13"/>
    </row>
    <row r="255" spans="1:3" ht="13" x14ac:dyDescent="0.15">
      <c r="A255" s="10"/>
      <c r="B255" s="13"/>
      <c r="C255" s="13"/>
    </row>
    <row r="256" spans="1:3" ht="13" x14ac:dyDescent="0.15">
      <c r="A256" s="10"/>
      <c r="B256" s="13"/>
      <c r="C256" s="13"/>
    </row>
    <row r="257" spans="1:3" ht="13" x14ac:dyDescent="0.15">
      <c r="A257" s="10"/>
      <c r="B257" s="13"/>
      <c r="C257" s="13"/>
    </row>
    <row r="258" spans="1:3" ht="13" x14ac:dyDescent="0.15">
      <c r="A258" s="10"/>
      <c r="B258" s="13"/>
      <c r="C258" s="13"/>
    </row>
    <row r="259" spans="1:3" ht="13" x14ac:dyDescent="0.15">
      <c r="A259" s="10"/>
      <c r="B259" s="13"/>
      <c r="C259" s="13"/>
    </row>
    <row r="260" spans="1:3" ht="13" x14ac:dyDescent="0.15">
      <c r="A260" s="10"/>
      <c r="B260" s="13"/>
      <c r="C260" s="13"/>
    </row>
    <row r="261" spans="1:3" ht="13" x14ac:dyDescent="0.15">
      <c r="A261" s="10"/>
      <c r="B261" s="13"/>
      <c r="C261" s="13"/>
    </row>
    <row r="262" spans="1:3" ht="13" x14ac:dyDescent="0.15">
      <c r="A262" s="10"/>
      <c r="B262" s="13"/>
      <c r="C262" s="13"/>
    </row>
    <row r="263" spans="1:3" ht="13" x14ac:dyDescent="0.15">
      <c r="A263" s="10"/>
      <c r="B263" s="13"/>
      <c r="C263" s="13"/>
    </row>
    <row r="264" spans="1:3" ht="13" x14ac:dyDescent="0.15">
      <c r="A264" s="10"/>
      <c r="B264" s="13"/>
      <c r="C264" s="13"/>
    </row>
    <row r="265" spans="1:3" ht="13" x14ac:dyDescent="0.15">
      <c r="A265" s="10"/>
      <c r="B265" s="13"/>
      <c r="C265" s="13"/>
    </row>
    <row r="266" spans="1:3" ht="13" x14ac:dyDescent="0.15">
      <c r="A266" s="10"/>
      <c r="B266" s="13"/>
      <c r="C266" s="13"/>
    </row>
    <row r="267" spans="1:3" ht="13" x14ac:dyDescent="0.15">
      <c r="A267" s="10"/>
      <c r="B267" s="13"/>
      <c r="C267" s="13"/>
    </row>
    <row r="268" spans="1:3" ht="13" x14ac:dyDescent="0.15">
      <c r="A268" s="10"/>
      <c r="B268" s="13"/>
      <c r="C268" s="13"/>
    </row>
    <row r="269" spans="1:3" ht="13" x14ac:dyDescent="0.15">
      <c r="A269" s="10"/>
      <c r="B269" s="13"/>
      <c r="C269" s="13"/>
    </row>
    <row r="270" spans="1:3" ht="13" x14ac:dyDescent="0.15">
      <c r="A270" s="10"/>
      <c r="B270" s="13"/>
      <c r="C270" s="13"/>
    </row>
    <row r="271" spans="1:3" ht="13" x14ac:dyDescent="0.15">
      <c r="A271" s="10"/>
      <c r="B271" s="13"/>
      <c r="C271" s="13"/>
    </row>
    <row r="272" spans="1:3" ht="13" x14ac:dyDescent="0.15">
      <c r="A272" s="10"/>
      <c r="B272" s="13"/>
      <c r="C272" s="13"/>
    </row>
    <row r="273" spans="1:3" ht="13" x14ac:dyDescent="0.15">
      <c r="A273" s="10"/>
      <c r="B273" s="13"/>
      <c r="C273" s="13"/>
    </row>
    <row r="274" spans="1:3" ht="13" x14ac:dyDescent="0.15">
      <c r="A274" s="10"/>
      <c r="B274" s="13"/>
      <c r="C274" s="13"/>
    </row>
    <row r="275" spans="1:3" ht="13" x14ac:dyDescent="0.15">
      <c r="A275" s="10"/>
      <c r="B275" s="13"/>
      <c r="C275" s="13"/>
    </row>
    <row r="276" spans="1:3" ht="13" x14ac:dyDescent="0.15">
      <c r="A276" s="10"/>
      <c r="B276" s="13"/>
      <c r="C276" s="13"/>
    </row>
    <row r="277" spans="1:3" ht="13" x14ac:dyDescent="0.15">
      <c r="A277" s="10"/>
      <c r="B277" s="13"/>
      <c r="C277" s="13"/>
    </row>
    <row r="278" spans="1:3" ht="13" x14ac:dyDescent="0.15">
      <c r="A278" s="10"/>
      <c r="B278" s="13"/>
      <c r="C278" s="13"/>
    </row>
    <row r="279" spans="1:3" ht="13" x14ac:dyDescent="0.15">
      <c r="A279" s="10"/>
      <c r="B279" s="13"/>
      <c r="C279" s="13"/>
    </row>
    <row r="280" spans="1:3" ht="13" x14ac:dyDescent="0.15">
      <c r="A280" s="10"/>
      <c r="B280" s="13"/>
      <c r="C280" s="13"/>
    </row>
    <row r="281" spans="1:3" ht="13" x14ac:dyDescent="0.15">
      <c r="A281" s="10"/>
      <c r="B281" s="13"/>
      <c r="C281" s="13"/>
    </row>
    <row r="282" spans="1:3" ht="13" x14ac:dyDescent="0.15">
      <c r="A282" s="10"/>
      <c r="B282" s="13"/>
      <c r="C282" s="13"/>
    </row>
    <row r="283" spans="1:3" ht="13" x14ac:dyDescent="0.15">
      <c r="A283" s="10"/>
      <c r="B283" s="13"/>
      <c r="C283" s="13"/>
    </row>
    <row r="284" spans="1:3" ht="13" x14ac:dyDescent="0.15">
      <c r="A284" s="10"/>
      <c r="B284" s="13"/>
      <c r="C284" s="13"/>
    </row>
    <row r="285" spans="1:3" ht="13" x14ac:dyDescent="0.15">
      <c r="A285" s="10"/>
      <c r="B285" s="13"/>
      <c r="C285" s="13"/>
    </row>
    <row r="286" spans="1:3" ht="13" x14ac:dyDescent="0.15">
      <c r="A286" s="10"/>
      <c r="B286" s="13"/>
      <c r="C286" s="13"/>
    </row>
    <row r="287" spans="1:3" ht="13" x14ac:dyDescent="0.15">
      <c r="A287" s="10"/>
      <c r="B287" s="13"/>
      <c r="C287" s="13"/>
    </row>
    <row r="288" spans="1:3" ht="13" x14ac:dyDescent="0.15">
      <c r="A288" s="10"/>
      <c r="B288" s="13"/>
      <c r="C288" s="13"/>
    </row>
    <row r="289" spans="1:3" ht="13" x14ac:dyDescent="0.15">
      <c r="A289" s="10"/>
      <c r="B289" s="13"/>
      <c r="C289" s="13"/>
    </row>
    <row r="290" spans="1:3" ht="13" x14ac:dyDescent="0.15">
      <c r="A290" s="10"/>
      <c r="B290" s="13"/>
      <c r="C290" s="13"/>
    </row>
    <row r="291" spans="1:3" ht="13" x14ac:dyDescent="0.15">
      <c r="A291" s="10"/>
      <c r="B291" s="13"/>
      <c r="C291" s="13"/>
    </row>
    <row r="292" spans="1:3" ht="13" x14ac:dyDescent="0.15">
      <c r="A292" s="10"/>
      <c r="B292" s="13"/>
      <c r="C292" s="13"/>
    </row>
    <row r="293" spans="1:3" ht="13" x14ac:dyDescent="0.15">
      <c r="A293" s="10"/>
      <c r="B293" s="13"/>
      <c r="C293" s="13"/>
    </row>
    <row r="294" spans="1:3" ht="13" x14ac:dyDescent="0.15">
      <c r="A294" s="10"/>
      <c r="B294" s="13"/>
      <c r="C294" s="13"/>
    </row>
    <row r="295" spans="1:3" ht="13" x14ac:dyDescent="0.15">
      <c r="A295" s="10"/>
      <c r="B295" s="13"/>
      <c r="C295" s="13"/>
    </row>
    <row r="296" spans="1:3" ht="13" x14ac:dyDescent="0.15">
      <c r="A296" s="10"/>
      <c r="B296" s="13"/>
      <c r="C296" s="13"/>
    </row>
    <row r="297" spans="1:3" ht="13" x14ac:dyDescent="0.15">
      <c r="A297" s="10"/>
      <c r="B297" s="13"/>
      <c r="C297" s="13"/>
    </row>
    <row r="298" spans="1:3" ht="13" x14ac:dyDescent="0.15">
      <c r="A298" s="10"/>
      <c r="B298" s="13"/>
      <c r="C298" s="13"/>
    </row>
    <row r="299" spans="1:3" ht="13" x14ac:dyDescent="0.15">
      <c r="A299" s="10"/>
      <c r="B299" s="13"/>
      <c r="C299" s="13"/>
    </row>
    <row r="300" spans="1:3" ht="13" x14ac:dyDescent="0.15">
      <c r="A300" s="10"/>
      <c r="B300" s="13"/>
      <c r="C300" s="13"/>
    </row>
    <row r="301" spans="1:3" ht="13" x14ac:dyDescent="0.15">
      <c r="A301" s="10"/>
      <c r="B301" s="13"/>
      <c r="C301" s="13"/>
    </row>
    <row r="302" spans="1:3" ht="13" x14ac:dyDescent="0.15">
      <c r="A302" s="10"/>
      <c r="B302" s="13"/>
      <c r="C302" s="13"/>
    </row>
    <row r="303" spans="1:3" ht="13" x14ac:dyDescent="0.15">
      <c r="A303" s="10"/>
      <c r="B303" s="13"/>
      <c r="C303" s="13"/>
    </row>
    <row r="304" spans="1:3" ht="13" x14ac:dyDescent="0.15">
      <c r="A304" s="10"/>
      <c r="B304" s="13"/>
      <c r="C304" s="13"/>
    </row>
    <row r="305" spans="1:3" ht="13" x14ac:dyDescent="0.15">
      <c r="A305" s="10"/>
      <c r="B305" s="13"/>
      <c r="C305" s="13"/>
    </row>
    <row r="306" spans="1:3" ht="13" x14ac:dyDescent="0.15">
      <c r="A306" s="10"/>
      <c r="B306" s="13"/>
      <c r="C306" s="13"/>
    </row>
    <row r="307" spans="1:3" ht="13" x14ac:dyDescent="0.15">
      <c r="A307" s="10"/>
      <c r="B307" s="13"/>
      <c r="C307" s="13"/>
    </row>
    <row r="308" spans="1:3" ht="13" x14ac:dyDescent="0.15">
      <c r="A308" s="10"/>
      <c r="B308" s="13"/>
      <c r="C308" s="13"/>
    </row>
    <row r="309" spans="1:3" ht="13" x14ac:dyDescent="0.15">
      <c r="A309" s="10"/>
      <c r="B309" s="13"/>
      <c r="C309" s="13"/>
    </row>
    <row r="310" spans="1:3" ht="13" x14ac:dyDescent="0.15">
      <c r="A310" s="10"/>
      <c r="B310" s="13"/>
      <c r="C310" s="13"/>
    </row>
    <row r="311" spans="1:3" ht="13" x14ac:dyDescent="0.15">
      <c r="A311" s="10"/>
      <c r="B311" s="13"/>
      <c r="C311" s="13"/>
    </row>
    <row r="312" spans="1:3" ht="13" x14ac:dyDescent="0.15">
      <c r="A312" s="10"/>
      <c r="B312" s="13"/>
      <c r="C312" s="13"/>
    </row>
    <row r="313" spans="1:3" ht="13" x14ac:dyDescent="0.15">
      <c r="A313" s="10"/>
      <c r="B313" s="13"/>
      <c r="C313" s="13"/>
    </row>
    <row r="314" spans="1:3" ht="13" x14ac:dyDescent="0.15">
      <c r="A314" s="10"/>
      <c r="B314" s="13"/>
      <c r="C314" s="13"/>
    </row>
    <row r="315" spans="1:3" ht="13" x14ac:dyDescent="0.15">
      <c r="A315" s="10"/>
      <c r="B315" s="13"/>
      <c r="C315" s="13"/>
    </row>
    <row r="316" spans="1:3" ht="13" x14ac:dyDescent="0.15">
      <c r="A316" s="10"/>
      <c r="B316" s="13"/>
      <c r="C316" s="13"/>
    </row>
    <row r="317" spans="1:3" ht="13" x14ac:dyDescent="0.15">
      <c r="A317" s="10"/>
      <c r="B317" s="13"/>
      <c r="C317" s="13"/>
    </row>
    <row r="318" spans="1:3" ht="13" x14ac:dyDescent="0.15">
      <c r="A318" s="10"/>
      <c r="B318" s="13"/>
      <c r="C318" s="13"/>
    </row>
    <row r="319" spans="1:3" ht="13" x14ac:dyDescent="0.15">
      <c r="A319" s="10"/>
      <c r="B319" s="13"/>
      <c r="C319" s="13"/>
    </row>
    <row r="320" spans="1:3" ht="13" x14ac:dyDescent="0.15">
      <c r="A320" s="10"/>
      <c r="B320" s="13"/>
      <c r="C320" s="13"/>
    </row>
    <row r="321" spans="1:3" ht="13" x14ac:dyDescent="0.15">
      <c r="A321" s="10"/>
      <c r="B321" s="13"/>
      <c r="C321" s="13"/>
    </row>
    <row r="322" spans="1:3" ht="13" x14ac:dyDescent="0.15">
      <c r="A322" s="10"/>
      <c r="B322" s="13"/>
      <c r="C322" s="13"/>
    </row>
    <row r="323" spans="1:3" ht="13" x14ac:dyDescent="0.15">
      <c r="A323" s="10"/>
      <c r="B323" s="13"/>
      <c r="C323" s="13"/>
    </row>
    <row r="324" spans="1:3" ht="13" x14ac:dyDescent="0.15">
      <c r="A324" s="10"/>
      <c r="B324" s="13"/>
      <c r="C324" s="13"/>
    </row>
    <row r="325" spans="1:3" ht="13" x14ac:dyDescent="0.15">
      <c r="A325" s="10"/>
      <c r="B325" s="13"/>
      <c r="C325" s="13"/>
    </row>
    <row r="326" spans="1:3" ht="13" x14ac:dyDescent="0.15">
      <c r="A326" s="10"/>
      <c r="B326" s="13"/>
      <c r="C326" s="13"/>
    </row>
    <row r="327" spans="1:3" ht="13" x14ac:dyDescent="0.15">
      <c r="A327" s="10"/>
      <c r="B327" s="13"/>
      <c r="C327" s="13"/>
    </row>
    <row r="328" spans="1:3" ht="13" x14ac:dyDescent="0.15">
      <c r="A328" s="10"/>
      <c r="B328" s="13"/>
      <c r="C328" s="13"/>
    </row>
    <row r="329" spans="1:3" ht="13" x14ac:dyDescent="0.15">
      <c r="A329" s="10"/>
      <c r="B329" s="13"/>
      <c r="C329" s="13"/>
    </row>
    <row r="330" spans="1:3" ht="13" x14ac:dyDescent="0.15">
      <c r="A330" s="10"/>
      <c r="B330" s="13"/>
      <c r="C330" s="13"/>
    </row>
    <row r="331" spans="1:3" ht="13" x14ac:dyDescent="0.15">
      <c r="A331" s="10"/>
      <c r="B331" s="13"/>
      <c r="C331" s="13"/>
    </row>
    <row r="332" spans="1:3" ht="13" x14ac:dyDescent="0.15">
      <c r="A332" s="10"/>
      <c r="B332" s="13"/>
      <c r="C332" s="13"/>
    </row>
    <row r="333" spans="1:3" ht="13" x14ac:dyDescent="0.15">
      <c r="A333" s="10"/>
      <c r="B333" s="13"/>
      <c r="C333" s="13"/>
    </row>
    <row r="334" spans="1:3" ht="13" x14ac:dyDescent="0.15">
      <c r="A334" s="10"/>
      <c r="B334" s="13"/>
      <c r="C334" s="13"/>
    </row>
    <row r="335" spans="1:3" ht="13" x14ac:dyDescent="0.15">
      <c r="A335" s="10"/>
      <c r="B335" s="13"/>
      <c r="C335" s="13"/>
    </row>
    <row r="336" spans="1:3" ht="13" x14ac:dyDescent="0.15">
      <c r="A336" s="10"/>
      <c r="B336" s="13"/>
      <c r="C336" s="13"/>
    </row>
    <row r="337" spans="1:3" ht="13" x14ac:dyDescent="0.15">
      <c r="A337" s="10"/>
      <c r="B337" s="13"/>
      <c r="C337" s="13"/>
    </row>
    <row r="338" spans="1:3" ht="13" x14ac:dyDescent="0.15">
      <c r="A338" s="10"/>
      <c r="B338" s="13"/>
      <c r="C338" s="13"/>
    </row>
    <row r="339" spans="1:3" ht="13" x14ac:dyDescent="0.15">
      <c r="A339" s="10"/>
      <c r="B339" s="13"/>
      <c r="C339" s="13"/>
    </row>
    <row r="340" spans="1:3" ht="13" x14ac:dyDescent="0.15">
      <c r="A340" s="10"/>
      <c r="B340" s="13"/>
      <c r="C340" s="13"/>
    </row>
    <row r="341" spans="1:3" ht="13" x14ac:dyDescent="0.15">
      <c r="A341" s="10"/>
      <c r="B341" s="13"/>
      <c r="C341" s="13"/>
    </row>
    <row r="342" spans="1:3" ht="13" x14ac:dyDescent="0.15">
      <c r="A342" s="10"/>
      <c r="B342" s="13"/>
      <c r="C342" s="13"/>
    </row>
    <row r="343" spans="1:3" ht="13" x14ac:dyDescent="0.15">
      <c r="A343" s="10"/>
      <c r="B343" s="13"/>
      <c r="C343" s="13"/>
    </row>
    <row r="344" spans="1:3" ht="13" x14ac:dyDescent="0.15">
      <c r="A344" s="10"/>
      <c r="B344" s="13"/>
      <c r="C344" s="13"/>
    </row>
    <row r="345" spans="1:3" ht="13" x14ac:dyDescent="0.15">
      <c r="A345" s="10"/>
      <c r="B345" s="13"/>
      <c r="C345" s="13"/>
    </row>
    <row r="346" spans="1:3" ht="13" x14ac:dyDescent="0.15">
      <c r="A346" s="10"/>
      <c r="B346" s="13"/>
      <c r="C346" s="13"/>
    </row>
    <row r="347" spans="1:3" ht="13" x14ac:dyDescent="0.15">
      <c r="A347" s="10"/>
      <c r="B347" s="13"/>
      <c r="C347" s="13"/>
    </row>
    <row r="348" spans="1:3" ht="13" x14ac:dyDescent="0.15">
      <c r="A348" s="10"/>
      <c r="B348" s="13"/>
      <c r="C348" s="13"/>
    </row>
    <row r="349" spans="1:3" ht="13" x14ac:dyDescent="0.15">
      <c r="A349" s="10"/>
      <c r="B349" s="13"/>
      <c r="C349" s="13"/>
    </row>
    <row r="350" spans="1:3" ht="13" x14ac:dyDescent="0.15">
      <c r="A350" s="10"/>
      <c r="B350" s="13"/>
      <c r="C350" s="13"/>
    </row>
    <row r="351" spans="1:3" ht="13" x14ac:dyDescent="0.15">
      <c r="A351" s="10"/>
      <c r="B351" s="13"/>
      <c r="C351" s="13"/>
    </row>
    <row r="352" spans="1:3" ht="13" x14ac:dyDescent="0.15">
      <c r="A352" s="10"/>
      <c r="B352" s="13"/>
      <c r="C352" s="13"/>
    </row>
    <row r="353" spans="1:3" ht="13" x14ac:dyDescent="0.15">
      <c r="A353" s="10"/>
      <c r="B353" s="13"/>
      <c r="C353" s="13"/>
    </row>
    <row r="354" spans="1:3" ht="13" x14ac:dyDescent="0.15">
      <c r="A354" s="10"/>
      <c r="B354" s="13"/>
      <c r="C354" s="13"/>
    </row>
    <row r="355" spans="1:3" ht="13" x14ac:dyDescent="0.15">
      <c r="A355" s="10"/>
      <c r="B355" s="13"/>
      <c r="C355" s="13"/>
    </row>
    <row r="356" spans="1:3" ht="13" x14ac:dyDescent="0.15">
      <c r="A356" s="10"/>
      <c r="B356" s="13"/>
      <c r="C356" s="13"/>
    </row>
    <row r="357" spans="1:3" ht="13" x14ac:dyDescent="0.15">
      <c r="A357" s="10"/>
      <c r="B357" s="13"/>
      <c r="C357" s="13"/>
    </row>
    <row r="358" spans="1:3" ht="13" x14ac:dyDescent="0.15">
      <c r="A358" s="10"/>
      <c r="B358" s="13"/>
      <c r="C358" s="13"/>
    </row>
    <row r="359" spans="1:3" ht="13" x14ac:dyDescent="0.15">
      <c r="A359" s="10"/>
      <c r="B359" s="13"/>
      <c r="C359" s="13"/>
    </row>
    <row r="360" spans="1:3" ht="13" x14ac:dyDescent="0.15">
      <c r="A360" s="10"/>
      <c r="B360" s="13"/>
      <c r="C360" s="13"/>
    </row>
    <row r="361" spans="1:3" ht="13" x14ac:dyDescent="0.15">
      <c r="A361" s="10"/>
      <c r="B361" s="13"/>
      <c r="C361" s="13"/>
    </row>
    <row r="362" spans="1:3" ht="13" x14ac:dyDescent="0.15">
      <c r="A362" s="10"/>
      <c r="B362" s="13"/>
      <c r="C362" s="13"/>
    </row>
    <row r="363" spans="1:3" ht="13" x14ac:dyDescent="0.15">
      <c r="A363" s="10"/>
      <c r="B363" s="13"/>
      <c r="C363" s="13"/>
    </row>
    <row r="364" spans="1:3" ht="13" x14ac:dyDescent="0.15">
      <c r="A364" s="10"/>
      <c r="B364" s="13"/>
      <c r="C364" s="13"/>
    </row>
    <row r="365" spans="1:3" ht="13" x14ac:dyDescent="0.15">
      <c r="A365" s="10"/>
      <c r="B365" s="13"/>
      <c r="C365" s="13"/>
    </row>
    <row r="366" spans="1:3" ht="13" x14ac:dyDescent="0.15">
      <c r="A366" s="10"/>
      <c r="B366" s="13"/>
      <c r="C366" s="13"/>
    </row>
    <row r="367" spans="1:3" ht="13" x14ac:dyDescent="0.15">
      <c r="A367" s="10"/>
      <c r="B367" s="13"/>
      <c r="C367" s="13"/>
    </row>
    <row r="368" spans="1:3" ht="13" x14ac:dyDescent="0.15">
      <c r="A368" s="10"/>
      <c r="B368" s="13"/>
      <c r="C368" s="13"/>
    </row>
    <row r="369" spans="1:3" ht="13" x14ac:dyDescent="0.15">
      <c r="A369" s="10"/>
      <c r="B369" s="13"/>
      <c r="C369" s="13"/>
    </row>
    <row r="370" spans="1:3" ht="13" x14ac:dyDescent="0.15">
      <c r="A370" s="10"/>
      <c r="B370" s="13"/>
      <c r="C370" s="13"/>
    </row>
    <row r="371" spans="1:3" ht="13" x14ac:dyDescent="0.15">
      <c r="A371" s="10"/>
      <c r="B371" s="13"/>
      <c r="C371" s="13"/>
    </row>
    <row r="372" spans="1:3" ht="13" x14ac:dyDescent="0.15">
      <c r="A372" s="10"/>
      <c r="B372" s="13"/>
      <c r="C372" s="13"/>
    </row>
    <row r="373" spans="1:3" ht="13" x14ac:dyDescent="0.15">
      <c r="A373" s="10"/>
      <c r="B373" s="13"/>
      <c r="C373" s="13"/>
    </row>
    <row r="374" spans="1:3" ht="13" x14ac:dyDescent="0.15">
      <c r="A374" s="10"/>
      <c r="B374" s="13"/>
      <c r="C374" s="13"/>
    </row>
    <row r="375" spans="1:3" ht="13" x14ac:dyDescent="0.15">
      <c r="A375" s="10"/>
      <c r="B375" s="13"/>
      <c r="C375" s="13"/>
    </row>
    <row r="376" spans="1:3" ht="13" x14ac:dyDescent="0.15">
      <c r="A376" s="10"/>
      <c r="B376" s="13"/>
      <c r="C376" s="13"/>
    </row>
    <row r="377" spans="1:3" ht="13" x14ac:dyDescent="0.15">
      <c r="A377" s="10"/>
      <c r="B377" s="13"/>
      <c r="C377" s="13"/>
    </row>
    <row r="378" spans="1:3" ht="13" x14ac:dyDescent="0.15">
      <c r="A378" s="10"/>
      <c r="B378" s="13"/>
      <c r="C378" s="13"/>
    </row>
    <row r="379" spans="1:3" ht="13" x14ac:dyDescent="0.15">
      <c r="A379" s="10"/>
      <c r="B379" s="13"/>
      <c r="C379" s="13"/>
    </row>
    <row r="380" spans="1:3" ht="13" x14ac:dyDescent="0.15">
      <c r="A380" s="10"/>
      <c r="B380" s="13"/>
      <c r="C380" s="13"/>
    </row>
    <row r="381" spans="1:3" ht="13" x14ac:dyDescent="0.15">
      <c r="A381" s="10"/>
      <c r="B381" s="13"/>
      <c r="C381" s="13"/>
    </row>
    <row r="382" spans="1:3" ht="13" x14ac:dyDescent="0.15">
      <c r="A382" s="10"/>
      <c r="B382" s="13"/>
      <c r="C382" s="13"/>
    </row>
    <row r="383" spans="1:3" ht="13" x14ac:dyDescent="0.15">
      <c r="A383" s="10"/>
      <c r="B383" s="13"/>
      <c r="C383" s="13"/>
    </row>
    <row r="384" spans="1:3" ht="13" x14ac:dyDescent="0.15">
      <c r="A384" s="10"/>
      <c r="B384" s="13"/>
      <c r="C384" s="13"/>
    </row>
    <row r="385" spans="1:3" ht="13" x14ac:dyDescent="0.15">
      <c r="A385" s="10"/>
      <c r="B385" s="13"/>
      <c r="C385" s="13"/>
    </row>
    <row r="386" spans="1:3" ht="13" x14ac:dyDescent="0.15">
      <c r="A386" s="10"/>
      <c r="B386" s="13"/>
      <c r="C386" s="13"/>
    </row>
    <row r="387" spans="1:3" ht="13" x14ac:dyDescent="0.15">
      <c r="A387" s="10"/>
      <c r="B387" s="13"/>
      <c r="C387" s="13"/>
    </row>
    <row r="388" spans="1:3" ht="13" x14ac:dyDescent="0.15">
      <c r="A388" s="10"/>
      <c r="B388" s="13"/>
      <c r="C388" s="13"/>
    </row>
    <row r="389" spans="1:3" ht="13" x14ac:dyDescent="0.15">
      <c r="A389" s="10"/>
      <c r="B389" s="13"/>
      <c r="C389" s="13"/>
    </row>
    <row r="390" spans="1:3" ht="13" x14ac:dyDescent="0.15">
      <c r="A390" s="10"/>
      <c r="B390" s="13"/>
      <c r="C390" s="13"/>
    </row>
    <row r="391" spans="1:3" ht="13" x14ac:dyDescent="0.15">
      <c r="A391" s="10"/>
      <c r="B391" s="13"/>
      <c r="C391" s="13"/>
    </row>
    <row r="392" spans="1:3" ht="13" x14ac:dyDescent="0.15">
      <c r="A392" s="10"/>
      <c r="B392" s="13"/>
      <c r="C392" s="13"/>
    </row>
    <row r="393" spans="1:3" ht="13" x14ac:dyDescent="0.15">
      <c r="A393" s="10"/>
      <c r="B393" s="13"/>
      <c r="C393" s="13"/>
    </row>
    <row r="394" spans="1:3" ht="13" x14ac:dyDescent="0.15">
      <c r="A394" s="10"/>
      <c r="B394" s="13"/>
      <c r="C394" s="13"/>
    </row>
    <row r="395" spans="1:3" ht="13" x14ac:dyDescent="0.15">
      <c r="A395" s="10"/>
      <c r="B395" s="13"/>
      <c r="C395" s="13"/>
    </row>
    <row r="396" spans="1:3" ht="13" x14ac:dyDescent="0.15">
      <c r="A396" s="10"/>
      <c r="B396" s="13"/>
      <c r="C396" s="13"/>
    </row>
    <row r="397" spans="1:3" ht="13" x14ac:dyDescent="0.15">
      <c r="A397" s="10"/>
      <c r="B397" s="13"/>
      <c r="C397" s="13"/>
    </row>
    <row r="398" spans="1:3" ht="13" x14ac:dyDescent="0.15">
      <c r="A398" s="10"/>
      <c r="B398" s="13"/>
      <c r="C398" s="13"/>
    </row>
    <row r="399" spans="1:3" ht="13" x14ac:dyDescent="0.15">
      <c r="A399" s="10"/>
      <c r="B399" s="13"/>
      <c r="C399" s="13"/>
    </row>
    <row r="400" spans="1:3" ht="13" x14ac:dyDescent="0.15">
      <c r="A400" s="10"/>
      <c r="B400" s="13"/>
      <c r="C400" s="13"/>
    </row>
    <row r="401" spans="1:3" ht="13" x14ac:dyDescent="0.15">
      <c r="A401" s="10"/>
      <c r="B401" s="13"/>
      <c r="C401" s="13"/>
    </row>
    <row r="402" spans="1:3" ht="13" x14ac:dyDescent="0.15">
      <c r="A402" s="10"/>
      <c r="B402" s="13"/>
      <c r="C402" s="13"/>
    </row>
    <row r="403" spans="1:3" ht="13" x14ac:dyDescent="0.15">
      <c r="A403" s="10"/>
      <c r="B403" s="13"/>
      <c r="C403" s="13"/>
    </row>
    <row r="404" spans="1:3" ht="13" x14ac:dyDescent="0.15">
      <c r="A404" s="10"/>
      <c r="B404" s="13"/>
      <c r="C404" s="13"/>
    </row>
    <row r="405" spans="1:3" ht="13" x14ac:dyDescent="0.15">
      <c r="A405" s="10"/>
      <c r="B405" s="13"/>
      <c r="C405" s="13"/>
    </row>
    <row r="406" spans="1:3" ht="13" x14ac:dyDescent="0.15">
      <c r="A406" s="10"/>
      <c r="B406" s="13"/>
      <c r="C406" s="13"/>
    </row>
    <row r="407" spans="1:3" ht="13" x14ac:dyDescent="0.15">
      <c r="A407" s="10"/>
      <c r="B407" s="13"/>
      <c r="C407" s="13"/>
    </row>
    <row r="408" spans="1:3" ht="13" x14ac:dyDescent="0.15">
      <c r="A408" s="10"/>
      <c r="B408" s="13"/>
      <c r="C408" s="13"/>
    </row>
    <row r="409" spans="1:3" ht="13" x14ac:dyDescent="0.15">
      <c r="A409" s="10"/>
      <c r="B409" s="13"/>
      <c r="C409" s="13"/>
    </row>
    <row r="410" spans="1:3" ht="13" x14ac:dyDescent="0.15">
      <c r="A410" s="10"/>
      <c r="B410" s="13"/>
      <c r="C410" s="13"/>
    </row>
    <row r="411" spans="1:3" ht="13" x14ac:dyDescent="0.15">
      <c r="A411" s="10"/>
      <c r="B411" s="13"/>
      <c r="C411" s="13"/>
    </row>
    <row r="412" spans="1:3" ht="13" x14ac:dyDescent="0.15">
      <c r="A412" s="10"/>
      <c r="B412" s="13"/>
      <c r="C412" s="13"/>
    </row>
    <row r="413" spans="1:3" ht="13" x14ac:dyDescent="0.15">
      <c r="A413" s="10"/>
      <c r="B413" s="13"/>
      <c r="C413" s="13"/>
    </row>
    <row r="414" spans="1:3" ht="13" x14ac:dyDescent="0.15">
      <c r="A414" s="10"/>
      <c r="B414" s="13"/>
      <c r="C414" s="13"/>
    </row>
    <row r="415" spans="1:3" ht="13" x14ac:dyDescent="0.15">
      <c r="A415" s="10"/>
      <c r="B415" s="13"/>
      <c r="C415" s="13"/>
    </row>
    <row r="416" spans="1:3" ht="13" x14ac:dyDescent="0.15">
      <c r="A416" s="10"/>
      <c r="B416" s="13"/>
      <c r="C416" s="13"/>
    </row>
    <row r="417" spans="1:3" ht="13" x14ac:dyDescent="0.15">
      <c r="A417" s="10"/>
      <c r="B417" s="13"/>
      <c r="C417" s="13"/>
    </row>
    <row r="418" spans="1:3" ht="13" x14ac:dyDescent="0.15">
      <c r="A418" s="10"/>
      <c r="B418" s="13"/>
      <c r="C418" s="13"/>
    </row>
    <row r="419" spans="1:3" ht="13" x14ac:dyDescent="0.15">
      <c r="A419" s="10"/>
      <c r="B419" s="13"/>
      <c r="C419" s="13"/>
    </row>
    <row r="420" spans="1:3" ht="13" x14ac:dyDescent="0.15">
      <c r="A420" s="10"/>
      <c r="B420" s="13"/>
      <c r="C420" s="13"/>
    </row>
    <row r="421" spans="1:3" ht="13" x14ac:dyDescent="0.15">
      <c r="A421" s="10"/>
      <c r="B421" s="13"/>
      <c r="C421" s="13"/>
    </row>
    <row r="422" spans="1:3" ht="13" x14ac:dyDescent="0.15">
      <c r="A422" s="10"/>
      <c r="B422" s="13"/>
      <c r="C422" s="13"/>
    </row>
    <row r="423" spans="1:3" ht="13" x14ac:dyDescent="0.15">
      <c r="A423" s="10"/>
      <c r="B423" s="13"/>
      <c r="C423" s="13"/>
    </row>
    <row r="424" spans="1:3" ht="13" x14ac:dyDescent="0.15">
      <c r="A424" s="10"/>
      <c r="B424" s="13"/>
      <c r="C424" s="13"/>
    </row>
    <row r="425" spans="1:3" ht="13" x14ac:dyDescent="0.15">
      <c r="A425" s="10"/>
      <c r="B425" s="13"/>
      <c r="C425" s="13"/>
    </row>
    <row r="426" spans="1:3" ht="13" x14ac:dyDescent="0.15">
      <c r="A426" s="10"/>
      <c r="B426" s="13"/>
      <c r="C426" s="13"/>
    </row>
    <row r="427" spans="1:3" ht="13" x14ac:dyDescent="0.15">
      <c r="A427" s="10"/>
      <c r="B427" s="13"/>
      <c r="C427" s="13"/>
    </row>
    <row r="428" spans="1:3" ht="13" x14ac:dyDescent="0.15">
      <c r="A428" s="10"/>
      <c r="B428" s="13"/>
      <c r="C428" s="13"/>
    </row>
    <row r="429" spans="1:3" ht="13" x14ac:dyDescent="0.15">
      <c r="A429" s="10"/>
      <c r="B429" s="13"/>
      <c r="C429" s="13"/>
    </row>
    <row r="430" spans="1:3" ht="13" x14ac:dyDescent="0.15">
      <c r="A430" s="10"/>
      <c r="B430" s="13"/>
      <c r="C430" s="13"/>
    </row>
    <row r="431" spans="1:3" ht="13" x14ac:dyDescent="0.15">
      <c r="A431" s="10"/>
      <c r="B431" s="13"/>
      <c r="C431" s="13"/>
    </row>
    <row r="432" spans="1:3" ht="13" x14ac:dyDescent="0.15">
      <c r="A432" s="10"/>
      <c r="B432" s="13"/>
      <c r="C432" s="13"/>
    </row>
    <row r="433" spans="1:3" ht="13" x14ac:dyDescent="0.15">
      <c r="A433" s="10"/>
      <c r="B433" s="13"/>
      <c r="C433" s="13"/>
    </row>
    <row r="434" spans="1:3" ht="13" x14ac:dyDescent="0.15">
      <c r="A434" s="10"/>
      <c r="B434" s="13"/>
      <c r="C434" s="13"/>
    </row>
    <row r="435" spans="1:3" ht="13" x14ac:dyDescent="0.15">
      <c r="A435" s="10"/>
      <c r="B435" s="13"/>
      <c r="C435" s="13"/>
    </row>
    <row r="436" spans="1:3" ht="13" x14ac:dyDescent="0.15">
      <c r="A436" s="10"/>
      <c r="B436" s="13"/>
      <c r="C436" s="13"/>
    </row>
    <row r="437" spans="1:3" ht="13" x14ac:dyDescent="0.15">
      <c r="A437" s="10"/>
      <c r="B437" s="13"/>
      <c r="C437" s="13"/>
    </row>
    <row r="438" spans="1:3" ht="13" x14ac:dyDescent="0.15">
      <c r="A438" s="10"/>
      <c r="B438" s="13"/>
      <c r="C438" s="13"/>
    </row>
    <row r="439" spans="1:3" ht="13" x14ac:dyDescent="0.15">
      <c r="A439" s="10"/>
      <c r="B439" s="13"/>
      <c r="C439" s="13"/>
    </row>
    <row r="440" spans="1:3" ht="13" x14ac:dyDescent="0.15">
      <c r="A440" s="10"/>
      <c r="B440" s="13"/>
      <c r="C440" s="13"/>
    </row>
    <row r="441" spans="1:3" ht="13" x14ac:dyDescent="0.15">
      <c r="A441" s="10"/>
      <c r="B441" s="13"/>
      <c r="C441" s="13"/>
    </row>
    <row r="442" spans="1:3" ht="13" x14ac:dyDescent="0.15">
      <c r="A442" s="10"/>
      <c r="B442" s="13"/>
      <c r="C442" s="13"/>
    </row>
    <row r="443" spans="1:3" ht="13" x14ac:dyDescent="0.15">
      <c r="A443" s="10"/>
      <c r="B443" s="13"/>
      <c r="C443" s="13"/>
    </row>
    <row r="444" spans="1:3" ht="13" x14ac:dyDescent="0.15">
      <c r="A444" s="10"/>
      <c r="B444" s="13"/>
      <c r="C444" s="13"/>
    </row>
    <row r="445" spans="1:3" ht="13" x14ac:dyDescent="0.15">
      <c r="A445" s="10"/>
      <c r="B445" s="13"/>
      <c r="C445" s="13"/>
    </row>
    <row r="446" spans="1:3" ht="13" x14ac:dyDescent="0.15">
      <c r="A446" s="10"/>
      <c r="B446" s="13"/>
      <c r="C446" s="13"/>
    </row>
    <row r="447" spans="1:3" ht="13" x14ac:dyDescent="0.15">
      <c r="A447" s="10"/>
      <c r="B447" s="13"/>
      <c r="C447" s="13"/>
    </row>
    <row r="448" spans="1:3" ht="13" x14ac:dyDescent="0.15">
      <c r="A448" s="10"/>
      <c r="B448" s="13"/>
      <c r="C448" s="13"/>
    </row>
    <row r="449" spans="1:3" ht="13" x14ac:dyDescent="0.15">
      <c r="A449" s="10"/>
      <c r="B449" s="13"/>
      <c r="C449" s="13"/>
    </row>
    <row r="450" spans="1:3" ht="13" x14ac:dyDescent="0.15">
      <c r="A450" s="10"/>
      <c r="B450" s="13"/>
      <c r="C450" s="13"/>
    </row>
    <row r="451" spans="1:3" ht="13" x14ac:dyDescent="0.15">
      <c r="A451" s="10"/>
      <c r="B451" s="13"/>
      <c r="C451" s="13"/>
    </row>
    <row r="452" spans="1:3" ht="13" x14ac:dyDescent="0.15">
      <c r="A452" s="10"/>
      <c r="B452" s="13"/>
      <c r="C452" s="13"/>
    </row>
    <row r="453" spans="1:3" ht="13" x14ac:dyDescent="0.15">
      <c r="A453" s="10"/>
      <c r="B453" s="13"/>
      <c r="C453" s="13"/>
    </row>
    <row r="454" spans="1:3" ht="13" x14ac:dyDescent="0.15">
      <c r="A454" s="10"/>
      <c r="B454" s="13"/>
      <c r="C454" s="13"/>
    </row>
    <row r="455" spans="1:3" ht="13" x14ac:dyDescent="0.15">
      <c r="A455" s="10"/>
      <c r="B455" s="13"/>
      <c r="C455" s="13"/>
    </row>
    <row r="456" spans="1:3" ht="13" x14ac:dyDescent="0.15">
      <c r="A456" s="10"/>
      <c r="B456" s="13"/>
      <c r="C456" s="13"/>
    </row>
    <row r="457" spans="1:3" ht="13" x14ac:dyDescent="0.15">
      <c r="A457" s="10"/>
      <c r="B457" s="13"/>
      <c r="C457" s="13"/>
    </row>
    <row r="458" spans="1:3" ht="13" x14ac:dyDescent="0.15">
      <c r="A458" s="10"/>
      <c r="B458" s="13"/>
      <c r="C458" s="13"/>
    </row>
    <row r="459" spans="1:3" ht="13" x14ac:dyDescent="0.15">
      <c r="A459" s="10"/>
      <c r="B459" s="13"/>
      <c r="C459" s="13"/>
    </row>
    <row r="460" spans="1:3" ht="13" x14ac:dyDescent="0.15">
      <c r="A460" s="10"/>
      <c r="B460" s="13"/>
      <c r="C460" s="13"/>
    </row>
    <row r="461" spans="1:3" ht="13" x14ac:dyDescent="0.15">
      <c r="A461" s="10"/>
      <c r="B461" s="13"/>
      <c r="C461" s="13"/>
    </row>
    <row r="462" spans="1:3" ht="13" x14ac:dyDescent="0.15">
      <c r="A462" s="10"/>
      <c r="B462" s="13"/>
      <c r="C462" s="13"/>
    </row>
    <row r="463" spans="1:3" ht="13" x14ac:dyDescent="0.15">
      <c r="A463" s="10"/>
      <c r="B463" s="13"/>
      <c r="C463" s="13"/>
    </row>
    <row r="464" spans="1:3" ht="13" x14ac:dyDescent="0.15">
      <c r="A464" s="10"/>
      <c r="B464" s="13"/>
      <c r="C464" s="13"/>
    </row>
    <row r="465" spans="1:3" ht="13" x14ac:dyDescent="0.15">
      <c r="A465" s="10"/>
      <c r="B465" s="13"/>
      <c r="C465" s="13"/>
    </row>
    <row r="466" spans="1:3" ht="13" x14ac:dyDescent="0.15">
      <c r="A466" s="10"/>
      <c r="B466" s="13"/>
      <c r="C466" s="13"/>
    </row>
    <row r="467" spans="1:3" ht="13" x14ac:dyDescent="0.15">
      <c r="A467" s="10"/>
      <c r="B467" s="13"/>
      <c r="C467" s="13"/>
    </row>
    <row r="468" spans="1:3" ht="13" x14ac:dyDescent="0.15">
      <c r="A468" s="10"/>
      <c r="B468" s="13"/>
      <c r="C468" s="13"/>
    </row>
    <row r="469" spans="1:3" ht="13" x14ac:dyDescent="0.15">
      <c r="A469" s="10"/>
      <c r="B469" s="13"/>
      <c r="C469" s="13"/>
    </row>
    <row r="470" spans="1:3" ht="13" x14ac:dyDescent="0.15">
      <c r="A470" s="10"/>
      <c r="B470" s="13"/>
      <c r="C470" s="13"/>
    </row>
    <row r="471" spans="1:3" ht="13" x14ac:dyDescent="0.15">
      <c r="A471" s="10"/>
      <c r="B471" s="13"/>
      <c r="C471" s="13"/>
    </row>
    <row r="472" spans="1:3" ht="13" x14ac:dyDescent="0.15">
      <c r="A472" s="10"/>
      <c r="B472" s="13"/>
      <c r="C472" s="13"/>
    </row>
    <row r="473" spans="1:3" ht="13" x14ac:dyDescent="0.15">
      <c r="A473" s="10"/>
      <c r="B473" s="13"/>
      <c r="C473" s="13"/>
    </row>
    <row r="474" spans="1:3" ht="13" x14ac:dyDescent="0.15">
      <c r="A474" s="10"/>
      <c r="B474" s="13"/>
      <c r="C474" s="13"/>
    </row>
    <row r="475" spans="1:3" ht="13" x14ac:dyDescent="0.15">
      <c r="A475" s="10"/>
      <c r="B475" s="13"/>
      <c r="C475" s="13"/>
    </row>
    <row r="476" spans="1:3" ht="13" x14ac:dyDescent="0.15">
      <c r="A476" s="10"/>
      <c r="B476" s="13"/>
      <c r="C476" s="13"/>
    </row>
    <row r="477" spans="1:3" ht="13" x14ac:dyDescent="0.15">
      <c r="A477" s="10"/>
      <c r="B477" s="13"/>
      <c r="C477" s="13"/>
    </row>
    <row r="478" spans="1:3" ht="13" x14ac:dyDescent="0.15">
      <c r="A478" s="10"/>
      <c r="B478" s="13"/>
      <c r="C478" s="13"/>
    </row>
    <row r="479" spans="1:3" ht="13" x14ac:dyDescent="0.15">
      <c r="A479" s="10"/>
      <c r="B479" s="13"/>
      <c r="C479" s="13"/>
    </row>
    <row r="480" spans="1:3" ht="13" x14ac:dyDescent="0.15">
      <c r="A480" s="10"/>
      <c r="B480" s="13"/>
      <c r="C480" s="13"/>
    </row>
    <row r="481" spans="1:3" ht="13" x14ac:dyDescent="0.15">
      <c r="A481" s="10"/>
      <c r="B481" s="13"/>
      <c r="C481" s="13"/>
    </row>
    <row r="482" spans="1:3" ht="13" x14ac:dyDescent="0.15">
      <c r="A482" s="10"/>
      <c r="B482" s="13"/>
      <c r="C482" s="13"/>
    </row>
    <row r="483" spans="1:3" ht="13" x14ac:dyDescent="0.15">
      <c r="A483" s="10"/>
      <c r="B483" s="13"/>
      <c r="C483" s="13"/>
    </row>
    <row r="484" spans="1:3" ht="13" x14ac:dyDescent="0.15">
      <c r="A484" s="10"/>
      <c r="B484" s="13"/>
      <c r="C484" s="13"/>
    </row>
    <row r="485" spans="1:3" ht="13" x14ac:dyDescent="0.15">
      <c r="A485" s="10"/>
      <c r="B485" s="13"/>
      <c r="C485" s="13"/>
    </row>
    <row r="486" spans="1:3" ht="13" x14ac:dyDescent="0.15">
      <c r="A486" s="10"/>
      <c r="B486" s="13"/>
      <c r="C486" s="13"/>
    </row>
    <row r="487" spans="1:3" ht="13" x14ac:dyDescent="0.15">
      <c r="A487" s="10"/>
      <c r="B487" s="13"/>
      <c r="C487" s="13"/>
    </row>
    <row r="488" spans="1:3" ht="13" x14ac:dyDescent="0.15">
      <c r="A488" s="10"/>
      <c r="B488" s="13"/>
      <c r="C488" s="13"/>
    </row>
    <row r="489" spans="1:3" ht="13" x14ac:dyDescent="0.15">
      <c r="A489" s="10"/>
      <c r="B489" s="13"/>
      <c r="C489" s="13"/>
    </row>
    <row r="490" spans="1:3" ht="13" x14ac:dyDescent="0.15">
      <c r="A490" s="10"/>
      <c r="B490" s="13"/>
      <c r="C490" s="13"/>
    </row>
    <row r="491" spans="1:3" ht="13" x14ac:dyDescent="0.15">
      <c r="A491" s="10"/>
      <c r="B491" s="13"/>
      <c r="C491" s="13"/>
    </row>
    <row r="492" spans="1:3" ht="13" x14ac:dyDescent="0.15">
      <c r="A492" s="10"/>
      <c r="B492" s="13"/>
      <c r="C492" s="13"/>
    </row>
    <row r="493" spans="1:3" ht="13" x14ac:dyDescent="0.15">
      <c r="A493" s="10"/>
      <c r="B493" s="13"/>
      <c r="C493" s="13"/>
    </row>
    <row r="494" spans="1:3" ht="13" x14ac:dyDescent="0.15">
      <c r="A494" s="10"/>
      <c r="B494" s="13"/>
      <c r="C494" s="13"/>
    </row>
    <row r="495" spans="1:3" ht="13" x14ac:dyDescent="0.15">
      <c r="A495" s="10"/>
      <c r="B495" s="13"/>
      <c r="C495" s="13"/>
    </row>
    <row r="496" spans="1:3" ht="13" x14ac:dyDescent="0.15">
      <c r="A496" s="10"/>
      <c r="B496" s="13"/>
      <c r="C496" s="13"/>
    </row>
    <row r="497" spans="1:3" ht="13" x14ac:dyDescent="0.15">
      <c r="A497" s="10"/>
      <c r="B497" s="13"/>
      <c r="C497" s="13"/>
    </row>
    <row r="498" spans="1:3" ht="13" x14ac:dyDescent="0.15">
      <c r="A498" s="10"/>
      <c r="B498" s="13"/>
      <c r="C498" s="13"/>
    </row>
    <row r="499" spans="1:3" ht="13" x14ac:dyDescent="0.15">
      <c r="A499" s="10"/>
      <c r="B499" s="13"/>
      <c r="C499" s="13"/>
    </row>
    <row r="500" spans="1:3" ht="13" x14ac:dyDescent="0.15">
      <c r="A500" s="10"/>
      <c r="B500" s="13"/>
      <c r="C500" s="13"/>
    </row>
    <row r="501" spans="1:3" ht="13" x14ac:dyDescent="0.15">
      <c r="A501" s="10"/>
      <c r="B501" s="13"/>
      <c r="C501" s="13"/>
    </row>
    <row r="502" spans="1:3" ht="13" x14ac:dyDescent="0.15">
      <c r="A502" s="10"/>
      <c r="B502" s="13"/>
      <c r="C502" s="13"/>
    </row>
    <row r="503" spans="1:3" ht="13" x14ac:dyDescent="0.15">
      <c r="A503" s="10"/>
      <c r="B503" s="13"/>
      <c r="C503" s="13"/>
    </row>
    <row r="504" spans="1:3" ht="13" x14ac:dyDescent="0.15">
      <c r="A504" s="10"/>
      <c r="B504" s="13"/>
      <c r="C504" s="13"/>
    </row>
    <row r="505" spans="1:3" ht="13" x14ac:dyDescent="0.15">
      <c r="A505" s="10"/>
      <c r="B505" s="13"/>
      <c r="C505" s="13"/>
    </row>
    <row r="506" spans="1:3" ht="13" x14ac:dyDescent="0.15">
      <c r="A506" s="10"/>
      <c r="B506" s="13"/>
      <c r="C506" s="13"/>
    </row>
    <row r="507" spans="1:3" ht="13" x14ac:dyDescent="0.15">
      <c r="A507" s="10"/>
      <c r="B507" s="13"/>
      <c r="C507" s="13"/>
    </row>
    <row r="508" spans="1:3" ht="13" x14ac:dyDescent="0.15">
      <c r="A508" s="10"/>
      <c r="B508" s="13"/>
      <c r="C508" s="13"/>
    </row>
    <row r="509" spans="1:3" ht="13" x14ac:dyDescent="0.15">
      <c r="A509" s="10"/>
      <c r="B509" s="13"/>
      <c r="C509" s="13"/>
    </row>
    <row r="510" spans="1:3" ht="13" x14ac:dyDescent="0.15">
      <c r="A510" s="10"/>
      <c r="B510" s="13"/>
      <c r="C510" s="13"/>
    </row>
    <row r="511" spans="1:3" ht="13" x14ac:dyDescent="0.15">
      <c r="A511" s="10"/>
      <c r="B511" s="13"/>
      <c r="C511" s="13"/>
    </row>
    <row r="512" spans="1:3" ht="13" x14ac:dyDescent="0.15">
      <c r="A512" s="10"/>
      <c r="B512" s="13"/>
      <c r="C512" s="13"/>
    </row>
    <row r="513" spans="1:3" ht="13" x14ac:dyDescent="0.15">
      <c r="A513" s="10"/>
      <c r="B513" s="13"/>
      <c r="C513" s="13"/>
    </row>
    <row r="514" spans="1:3" ht="13" x14ac:dyDescent="0.15">
      <c r="A514" s="10"/>
      <c r="B514" s="13"/>
      <c r="C514" s="13"/>
    </row>
    <row r="515" spans="1:3" ht="13" x14ac:dyDescent="0.15">
      <c r="A515" s="10"/>
      <c r="B515" s="13"/>
      <c r="C515" s="13"/>
    </row>
    <row r="516" spans="1:3" ht="13" x14ac:dyDescent="0.15">
      <c r="A516" s="10"/>
      <c r="B516" s="13"/>
      <c r="C516" s="13"/>
    </row>
    <row r="517" spans="1:3" ht="13" x14ac:dyDescent="0.15">
      <c r="A517" s="10"/>
      <c r="B517" s="13"/>
      <c r="C517" s="13"/>
    </row>
    <row r="518" spans="1:3" ht="13" x14ac:dyDescent="0.15">
      <c r="A518" s="10"/>
      <c r="B518" s="13"/>
      <c r="C518" s="13"/>
    </row>
    <row r="519" spans="1:3" ht="13" x14ac:dyDescent="0.15">
      <c r="A519" s="10"/>
      <c r="B519" s="13"/>
      <c r="C519" s="13"/>
    </row>
    <row r="520" spans="1:3" ht="13" x14ac:dyDescent="0.15">
      <c r="A520" s="10"/>
      <c r="B520" s="13"/>
      <c r="C520" s="13"/>
    </row>
    <row r="521" spans="1:3" ht="13" x14ac:dyDescent="0.15">
      <c r="A521" s="10"/>
      <c r="B521" s="13"/>
      <c r="C521" s="13"/>
    </row>
    <row r="522" spans="1:3" ht="13" x14ac:dyDescent="0.15">
      <c r="A522" s="10"/>
      <c r="B522" s="13"/>
      <c r="C522" s="13"/>
    </row>
    <row r="523" spans="1:3" ht="13" x14ac:dyDescent="0.15">
      <c r="A523" s="10"/>
      <c r="B523" s="13"/>
      <c r="C523" s="13"/>
    </row>
    <row r="524" spans="1:3" ht="13" x14ac:dyDescent="0.15">
      <c r="A524" s="10"/>
      <c r="B524" s="13"/>
      <c r="C524" s="13"/>
    </row>
    <row r="525" spans="1:3" ht="13" x14ac:dyDescent="0.15">
      <c r="A525" s="10"/>
      <c r="B525" s="13"/>
      <c r="C525" s="13"/>
    </row>
    <row r="526" spans="1:3" ht="13" x14ac:dyDescent="0.15">
      <c r="A526" s="10"/>
      <c r="B526" s="13"/>
      <c r="C526" s="13"/>
    </row>
    <row r="527" spans="1:3" ht="13" x14ac:dyDescent="0.15">
      <c r="A527" s="10"/>
      <c r="B527" s="13"/>
      <c r="C527" s="13"/>
    </row>
    <row r="528" spans="1:3" ht="13" x14ac:dyDescent="0.15">
      <c r="A528" s="10"/>
      <c r="B528" s="13"/>
      <c r="C528" s="13"/>
    </row>
    <row r="529" spans="1:3" ht="13" x14ac:dyDescent="0.15">
      <c r="A529" s="10"/>
      <c r="B529" s="13"/>
      <c r="C529" s="13"/>
    </row>
    <row r="530" spans="1:3" ht="13" x14ac:dyDescent="0.15">
      <c r="A530" s="10"/>
      <c r="B530" s="13"/>
      <c r="C530" s="13"/>
    </row>
    <row r="531" spans="1:3" ht="13" x14ac:dyDescent="0.15">
      <c r="A531" s="10"/>
      <c r="B531" s="13"/>
      <c r="C531" s="13"/>
    </row>
    <row r="532" spans="1:3" ht="13" x14ac:dyDescent="0.15">
      <c r="A532" s="10"/>
      <c r="B532" s="13"/>
      <c r="C532" s="13"/>
    </row>
    <row r="533" spans="1:3" ht="13" x14ac:dyDescent="0.15">
      <c r="A533" s="10"/>
      <c r="B533" s="13"/>
      <c r="C533" s="13"/>
    </row>
    <row r="534" spans="1:3" ht="13" x14ac:dyDescent="0.15">
      <c r="A534" s="10"/>
      <c r="B534" s="13"/>
      <c r="C534" s="13"/>
    </row>
    <row r="535" spans="1:3" ht="13" x14ac:dyDescent="0.15">
      <c r="A535" s="10"/>
      <c r="B535" s="13"/>
      <c r="C535" s="13"/>
    </row>
    <row r="536" spans="1:3" ht="13" x14ac:dyDescent="0.15">
      <c r="A536" s="10"/>
      <c r="B536" s="13"/>
      <c r="C536" s="13"/>
    </row>
    <row r="537" spans="1:3" ht="13" x14ac:dyDescent="0.15">
      <c r="A537" s="10"/>
      <c r="B537" s="13"/>
      <c r="C537" s="13"/>
    </row>
    <row r="538" spans="1:3" ht="13" x14ac:dyDescent="0.15">
      <c r="A538" s="10"/>
      <c r="B538" s="13"/>
      <c r="C538" s="13"/>
    </row>
    <row r="539" spans="1:3" ht="13" x14ac:dyDescent="0.15">
      <c r="A539" s="10"/>
      <c r="B539" s="13"/>
      <c r="C539" s="13"/>
    </row>
    <row r="540" spans="1:3" ht="13" x14ac:dyDescent="0.15">
      <c r="A540" s="10"/>
      <c r="B540" s="13"/>
      <c r="C540" s="13"/>
    </row>
    <row r="541" spans="1:3" ht="13" x14ac:dyDescent="0.15">
      <c r="A541" s="10"/>
      <c r="B541" s="13"/>
      <c r="C541" s="13"/>
    </row>
    <row r="542" spans="1:3" ht="13" x14ac:dyDescent="0.15">
      <c r="A542" s="10"/>
      <c r="B542" s="13"/>
      <c r="C542" s="13"/>
    </row>
    <row r="543" spans="1:3" ht="13" x14ac:dyDescent="0.15">
      <c r="A543" s="10"/>
      <c r="B543" s="13"/>
      <c r="C543" s="13"/>
    </row>
    <row r="544" spans="1:3" ht="13" x14ac:dyDescent="0.15">
      <c r="A544" s="10"/>
      <c r="B544" s="13"/>
      <c r="C544" s="13"/>
    </row>
    <row r="545" spans="1:3" ht="13" x14ac:dyDescent="0.15">
      <c r="A545" s="10"/>
      <c r="B545" s="13"/>
      <c r="C545" s="13"/>
    </row>
    <row r="546" spans="1:3" ht="13" x14ac:dyDescent="0.15">
      <c r="A546" s="10"/>
      <c r="B546" s="13"/>
      <c r="C546" s="13"/>
    </row>
    <row r="547" spans="1:3" ht="13" x14ac:dyDescent="0.15">
      <c r="A547" s="10"/>
      <c r="B547" s="13"/>
      <c r="C547" s="13"/>
    </row>
    <row r="548" spans="1:3" ht="13" x14ac:dyDescent="0.15">
      <c r="A548" s="10"/>
      <c r="B548" s="13"/>
      <c r="C548" s="13"/>
    </row>
    <row r="549" spans="1:3" ht="13" x14ac:dyDescent="0.15">
      <c r="A549" s="10"/>
      <c r="B549" s="13"/>
      <c r="C549" s="13"/>
    </row>
    <row r="550" spans="1:3" ht="13" x14ac:dyDescent="0.15">
      <c r="A550" s="10"/>
      <c r="B550" s="13"/>
      <c r="C550" s="13"/>
    </row>
    <row r="551" spans="1:3" ht="13" x14ac:dyDescent="0.15">
      <c r="A551" s="10"/>
      <c r="B551" s="13"/>
      <c r="C551" s="13"/>
    </row>
    <row r="552" spans="1:3" ht="13" x14ac:dyDescent="0.15">
      <c r="A552" s="10"/>
      <c r="B552" s="13"/>
      <c r="C552" s="13"/>
    </row>
    <row r="553" spans="1:3" ht="13" x14ac:dyDescent="0.15">
      <c r="A553" s="10"/>
      <c r="B553" s="13"/>
      <c r="C553" s="13"/>
    </row>
    <row r="554" spans="1:3" ht="13" x14ac:dyDescent="0.15">
      <c r="A554" s="10"/>
      <c r="B554" s="13"/>
      <c r="C554" s="13"/>
    </row>
    <row r="555" spans="1:3" ht="13" x14ac:dyDescent="0.15">
      <c r="A555" s="10"/>
      <c r="B555" s="13"/>
      <c r="C555" s="13"/>
    </row>
    <row r="556" spans="1:3" ht="13" x14ac:dyDescent="0.15">
      <c r="A556" s="10"/>
      <c r="B556" s="13"/>
      <c r="C556" s="13"/>
    </row>
    <row r="557" spans="1:3" ht="13" x14ac:dyDescent="0.15">
      <c r="A557" s="10"/>
      <c r="B557" s="13"/>
      <c r="C557" s="13"/>
    </row>
    <row r="558" spans="1:3" ht="13" x14ac:dyDescent="0.15">
      <c r="A558" s="10"/>
      <c r="B558" s="13"/>
      <c r="C558" s="13"/>
    </row>
    <row r="559" spans="1:3" ht="13" x14ac:dyDescent="0.15">
      <c r="A559" s="10"/>
      <c r="B559" s="13"/>
      <c r="C559" s="13"/>
    </row>
    <row r="560" spans="1:3" ht="13" x14ac:dyDescent="0.15">
      <c r="A560" s="10"/>
      <c r="B560" s="13"/>
      <c r="C560" s="13"/>
    </row>
    <row r="561" spans="1:3" ht="13" x14ac:dyDescent="0.15">
      <c r="A561" s="10"/>
      <c r="B561" s="13"/>
      <c r="C561" s="13"/>
    </row>
    <row r="562" spans="1:3" ht="13" x14ac:dyDescent="0.15">
      <c r="A562" s="10"/>
      <c r="B562" s="13"/>
      <c r="C562" s="13"/>
    </row>
    <row r="563" spans="1:3" ht="13" x14ac:dyDescent="0.15">
      <c r="A563" s="10"/>
      <c r="B563" s="13"/>
      <c r="C563" s="13"/>
    </row>
    <row r="564" spans="1:3" ht="13" x14ac:dyDescent="0.15">
      <c r="A564" s="10"/>
      <c r="B564" s="13"/>
      <c r="C564" s="13"/>
    </row>
    <row r="565" spans="1:3" ht="13" x14ac:dyDescent="0.15">
      <c r="A565" s="10"/>
      <c r="B565" s="13"/>
      <c r="C565" s="13"/>
    </row>
    <row r="566" spans="1:3" ht="13" x14ac:dyDescent="0.15">
      <c r="A566" s="10"/>
      <c r="B566" s="13"/>
      <c r="C566" s="13"/>
    </row>
    <row r="567" spans="1:3" ht="13" x14ac:dyDescent="0.15">
      <c r="A567" s="10"/>
      <c r="B567" s="13"/>
      <c r="C567" s="13"/>
    </row>
    <row r="568" spans="1:3" ht="13" x14ac:dyDescent="0.15">
      <c r="A568" s="10"/>
      <c r="B568" s="13"/>
      <c r="C568" s="13"/>
    </row>
    <row r="569" spans="1:3" ht="13" x14ac:dyDescent="0.15">
      <c r="A569" s="10"/>
      <c r="B569" s="13"/>
      <c r="C569" s="13"/>
    </row>
    <row r="570" spans="1:3" ht="13" x14ac:dyDescent="0.15">
      <c r="A570" s="10"/>
      <c r="B570" s="13"/>
      <c r="C570" s="13"/>
    </row>
    <row r="571" spans="1:3" ht="13" x14ac:dyDescent="0.15">
      <c r="A571" s="10"/>
      <c r="B571" s="13"/>
      <c r="C571" s="13"/>
    </row>
    <row r="572" spans="1:3" ht="13" x14ac:dyDescent="0.15">
      <c r="A572" s="10"/>
      <c r="B572" s="13"/>
      <c r="C572" s="13"/>
    </row>
    <row r="573" spans="1:3" ht="13" x14ac:dyDescent="0.15">
      <c r="A573" s="10"/>
      <c r="B573" s="13"/>
      <c r="C573" s="13"/>
    </row>
    <row r="574" spans="1:3" ht="13" x14ac:dyDescent="0.15">
      <c r="A574" s="10"/>
      <c r="B574" s="13"/>
      <c r="C574" s="13"/>
    </row>
    <row r="575" spans="1:3" ht="13" x14ac:dyDescent="0.15">
      <c r="A575" s="10"/>
      <c r="B575" s="13"/>
      <c r="C575" s="13"/>
    </row>
    <row r="576" spans="1:3" ht="13" x14ac:dyDescent="0.15">
      <c r="A576" s="10"/>
      <c r="B576" s="13"/>
      <c r="C576" s="13"/>
    </row>
    <row r="577" spans="1:3" ht="13" x14ac:dyDescent="0.15">
      <c r="A577" s="10"/>
      <c r="B577" s="13"/>
      <c r="C577" s="13"/>
    </row>
    <row r="578" spans="1:3" ht="13" x14ac:dyDescent="0.15">
      <c r="A578" s="10"/>
      <c r="B578" s="13"/>
      <c r="C578" s="13"/>
    </row>
    <row r="579" spans="1:3" ht="13" x14ac:dyDescent="0.15">
      <c r="A579" s="10"/>
      <c r="B579" s="13"/>
      <c r="C579" s="13"/>
    </row>
    <row r="580" spans="1:3" ht="13" x14ac:dyDescent="0.15">
      <c r="A580" s="10"/>
      <c r="B580" s="13"/>
      <c r="C580" s="13"/>
    </row>
    <row r="581" spans="1:3" ht="13" x14ac:dyDescent="0.15">
      <c r="A581" s="10"/>
      <c r="B581" s="13"/>
      <c r="C581" s="13"/>
    </row>
    <row r="582" spans="1:3" ht="13" x14ac:dyDescent="0.15">
      <c r="A582" s="10"/>
      <c r="B582" s="13"/>
      <c r="C582" s="13"/>
    </row>
    <row r="583" spans="1:3" ht="13" x14ac:dyDescent="0.15">
      <c r="A583" s="10"/>
      <c r="B583" s="13"/>
      <c r="C583" s="13"/>
    </row>
    <row r="584" spans="1:3" ht="13" x14ac:dyDescent="0.15">
      <c r="A584" s="10"/>
      <c r="B584" s="13"/>
      <c r="C584" s="13"/>
    </row>
    <row r="585" spans="1:3" ht="13" x14ac:dyDescent="0.15">
      <c r="A585" s="10"/>
      <c r="B585" s="13"/>
      <c r="C585" s="13"/>
    </row>
    <row r="586" spans="1:3" ht="13" x14ac:dyDescent="0.15">
      <c r="A586" s="10"/>
      <c r="B586" s="13"/>
      <c r="C586" s="13"/>
    </row>
    <row r="587" spans="1:3" ht="13" x14ac:dyDescent="0.15">
      <c r="A587" s="10"/>
      <c r="B587" s="13"/>
      <c r="C587" s="13"/>
    </row>
    <row r="588" spans="1:3" ht="13" x14ac:dyDescent="0.15">
      <c r="A588" s="10"/>
      <c r="B588" s="13"/>
      <c r="C588" s="13"/>
    </row>
    <row r="589" spans="1:3" ht="13" x14ac:dyDescent="0.15">
      <c r="A589" s="10"/>
      <c r="B589" s="13"/>
      <c r="C589" s="13"/>
    </row>
    <row r="590" spans="1:3" ht="13" x14ac:dyDescent="0.15">
      <c r="A590" s="10"/>
      <c r="B590" s="13"/>
      <c r="C590" s="13"/>
    </row>
    <row r="591" spans="1:3" ht="13" x14ac:dyDescent="0.15">
      <c r="A591" s="10"/>
      <c r="B591" s="13"/>
      <c r="C591" s="13"/>
    </row>
    <row r="592" spans="1:3" ht="13" x14ac:dyDescent="0.15">
      <c r="A592" s="10"/>
      <c r="B592" s="13"/>
      <c r="C592" s="13"/>
    </row>
    <row r="593" spans="1:3" ht="13" x14ac:dyDescent="0.15">
      <c r="A593" s="10"/>
      <c r="B593" s="13"/>
      <c r="C593" s="13"/>
    </row>
    <row r="594" spans="1:3" ht="13" x14ac:dyDescent="0.15">
      <c r="A594" s="10"/>
      <c r="B594" s="13"/>
      <c r="C594" s="13"/>
    </row>
    <row r="595" spans="1:3" ht="13" x14ac:dyDescent="0.15">
      <c r="A595" s="10"/>
      <c r="B595" s="13"/>
      <c r="C595" s="13"/>
    </row>
    <row r="596" spans="1:3" ht="13" x14ac:dyDescent="0.15">
      <c r="A596" s="10"/>
      <c r="B596" s="13"/>
      <c r="C596" s="13"/>
    </row>
    <row r="597" spans="1:3" ht="13" x14ac:dyDescent="0.15">
      <c r="A597" s="10"/>
      <c r="B597" s="13"/>
      <c r="C597" s="13"/>
    </row>
    <row r="598" spans="1:3" ht="13" x14ac:dyDescent="0.15">
      <c r="A598" s="10"/>
      <c r="B598" s="13"/>
      <c r="C598" s="13"/>
    </row>
    <row r="599" spans="1:3" ht="13" x14ac:dyDescent="0.15">
      <c r="A599" s="10"/>
      <c r="B599" s="13"/>
      <c r="C599" s="13"/>
    </row>
    <row r="600" spans="1:3" ht="13" x14ac:dyDescent="0.15">
      <c r="A600" s="10"/>
      <c r="B600" s="13"/>
      <c r="C600" s="13"/>
    </row>
    <row r="601" spans="1:3" ht="13" x14ac:dyDescent="0.15">
      <c r="A601" s="10"/>
      <c r="B601" s="13"/>
      <c r="C601" s="13"/>
    </row>
    <row r="602" spans="1:3" ht="13" x14ac:dyDescent="0.15">
      <c r="A602" s="10"/>
      <c r="B602" s="13"/>
      <c r="C602" s="13"/>
    </row>
    <row r="603" spans="1:3" ht="13" x14ac:dyDescent="0.15">
      <c r="A603" s="10"/>
      <c r="B603" s="13"/>
      <c r="C603" s="13"/>
    </row>
    <row r="604" spans="1:3" ht="13" x14ac:dyDescent="0.15">
      <c r="A604" s="10"/>
      <c r="B604" s="13"/>
      <c r="C604" s="13"/>
    </row>
    <row r="605" spans="1:3" ht="13" x14ac:dyDescent="0.15">
      <c r="A605" s="10"/>
      <c r="B605" s="13"/>
      <c r="C605" s="13"/>
    </row>
    <row r="606" spans="1:3" ht="13" x14ac:dyDescent="0.15">
      <c r="A606" s="10"/>
      <c r="B606" s="13"/>
      <c r="C606" s="13"/>
    </row>
    <row r="607" spans="1:3" ht="13" x14ac:dyDescent="0.15">
      <c r="A607" s="10"/>
      <c r="B607" s="13"/>
      <c r="C607" s="13"/>
    </row>
    <row r="608" spans="1:3" ht="13" x14ac:dyDescent="0.15">
      <c r="A608" s="10"/>
      <c r="B608" s="13"/>
      <c r="C608" s="13"/>
    </row>
    <row r="609" spans="1:3" ht="13" x14ac:dyDescent="0.15">
      <c r="A609" s="10"/>
      <c r="B609" s="13"/>
      <c r="C609" s="13"/>
    </row>
    <row r="610" spans="1:3" ht="13" x14ac:dyDescent="0.15">
      <c r="A610" s="10"/>
      <c r="B610" s="13"/>
      <c r="C610" s="13"/>
    </row>
    <row r="611" spans="1:3" ht="13" x14ac:dyDescent="0.15">
      <c r="A611" s="10"/>
      <c r="B611" s="13"/>
      <c r="C611" s="13"/>
    </row>
    <row r="612" spans="1:3" ht="13" x14ac:dyDescent="0.15">
      <c r="A612" s="10"/>
      <c r="B612" s="13"/>
      <c r="C612" s="13"/>
    </row>
    <row r="613" spans="1:3" ht="13" x14ac:dyDescent="0.15">
      <c r="A613" s="10"/>
      <c r="B613" s="13"/>
      <c r="C613" s="13"/>
    </row>
    <row r="614" spans="1:3" ht="13" x14ac:dyDescent="0.15">
      <c r="A614" s="10"/>
      <c r="B614" s="13"/>
      <c r="C614" s="13"/>
    </row>
    <row r="615" spans="1:3" ht="13" x14ac:dyDescent="0.15">
      <c r="A615" s="10"/>
      <c r="B615" s="13"/>
      <c r="C615" s="13"/>
    </row>
    <row r="616" spans="1:3" ht="13" x14ac:dyDescent="0.15">
      <c r="A616" s="10"/>
      <c r="B616" s="13"/>
      <c r="C616" s="13"/>
    </row>
    <row r="617" spans="1:3" ht="13" x14ac:dyDescent="0.15">
      <c r="A617" s="10"/>
      <c r="B617" s="13"/>
      <c r="C617" s="13"/>
    </row>
    <row r="618" spans="1:3" ht="13" x14ac:dyDescent="0.15">
      <c r="A618" s="10"/>
      <c r="B618" s="13"/>
      <c r="C618" s="13"/>
    </row>
    <row r="619" spans="1:3" ht="13" x14ac:dyDescent="0.15">
      <c r="A619" s="10"/>
      <c r="B619" s="13"/>
      <c r="C619" s="13"/>
    </row>
    <row r="620" spans="1:3" ht="13" x14ac:dyDescent="0.15">
      <c r="A620" s="10"/>
      <c r="B620" s="13"/>
      <c r="C620" s="13"/>
    </row>
    <row r="621" spans="1:3" ht="13" x14ac:dyDescent="0.15">
      <c r="A621" s="10"/>
      <c r="B621" s="13"/>
      <c r="C621" s="13"/>
    </row>
    <row r="622" spans="1:3" ht="13" x14ac:dyDescent="0.15">
      <c r="A622" s="10"/>
      <c r="B622" s="13"/>
      <c r="C622" s="13"/>
    </row>
    <row r="623" spans="1:3" ht="13" x14ac:dyDescent="0.15">
      <c r="A623" s="10"/>
      <c r="B623" s="13"/>
      <c r="C623" s="13"/>
    </row>
    <row r="624" spans="1:3" ht="13" x14ac:dyDescent="0.15">
      <c r="A624" s="10"/>
      <c r="B624" s="13"/>
      <c r="C624" s="13"/>
    </row>
    <row r="625" spans="1:3" ht="13" x14ac:dyDescent="0.15">
      <c r="A625" s="10"/>
      <c r="B625" s="13"/>
      <c r="C625" s="13"/>
    </row>
    <row r="626" spans="1:3" ht="13" x14ac:dyDescent="0.15">
      <c r="A626" s="10"/>
      <c r="B626" s="13"/>
      <c r="C626" s="13"/>
    </row>
    <row r="627" spans="1:3" ht="13" x14ac:dyDescent="0.15">
      <c r="A627" s="10"/>
      <c r="B627" s="13"/>
      <c r="C627" s="13"/>
    </row>
    <row r="628" spans="1:3" ht="13" x14ac:dyDescent="0.15">
      <c r="A628" s="10"/>
      <c r="B628" s="13"/>
      <c r="C628" s="13"/>
    </row>
    <row r="629" spans="1:3" ht="13" x14ac:dyDescent="0.15">
      <c r="A629" s="10"/>
      <c r="B629" s="13"/>
      <c r="C629" s="13"/>
    </row>
    <row r="630" spans="1:3" ht="13" x14ac:dyDescent="0.15">
      <c r="A630" s="10"/>
      <c r="B630" s="13"/>
      <c r="C630" s="13"/>
    </row>
    <row r="631" spans="1:3" ht="13" x14ac:dyDescent="0.15">
      <c r="A631" s="10"/>
      <c r="B631" s="13"/>
      <c r="C631" s="13"/>
    </row>
    <row r="632" spans="1:3" ht="13" x14ac:dyDescent="0.15">
      <c r="A632" s="10"/>
      <c r="B632" s="13"/>
      <c r="C632" s="13"/>
    </row>
    <row r="633" spans="1:3" ht="13" x14ac:dyDescent="0.15">
      <c r="A633" s="10"/>
      <c r="B633" s="13"/>
      <c r="C633" s="13"/>
    </row>
    <row r="634" spans="1:3" ht="13" x14ac:dyDescent="0.15">
      <c r="A634" s="10"/>
      <c r="B634" s="13"/>
      <c r="C634" s="13"/>
    </row>
    <row r="635" spans="1:3" ht="13" x14ac:dyDescent="0.15">
      <c r="A635" s="10"/>
      <c r="B635" s="13"/>
      <c r="C635" s="13"/>
    </row>
    <row r="636" spans="1:3" ht="13" x14ac:dyDescent="0.15">
      <c r="A636" s="10"/>
      <c r="B636" s="13"/>
      <c r="C636" s="13"/>
    </row>
    <row r="637" spans="1:3" ht="13" x14ac:dyDescent="0.15">
      <c r="A637" s="10"/>
      <c r="B637" s="13"/>
      <c r="C637" s="13"/>
    </row>
    <row r="638" spans="1:3" ht="13" x14ac:dyDescent="0.15">
      <c r="A638" s="10"/>
      <c r="B638" s="13"/>
      <c r="C638" s="13"/>
    </row>
    <row r="639" spans="1:3" ht="13" x14ac:dyDescent="0.15">
      <c r="A639" s="10"/>
      <c r="B639" s="13"/>
      <c r="C639" s="13"/>
    </row>
    <row r="640" spans="1:3" ht="13" x14ac:dyDescent="0.15">
      <c r="A640" s="10"/>
      <c r="B640" s="13"/>
      <c r="C640" s="13"/>
    </row>
    <row r="641" spans="1:3" ht="13" x14ac:dyDescent="0.15">
      <c r="A641" s="10"/>
      <c r="B641" s="13"/>
      <c r="C641" s="13"/>
    </row>
    <row r="642" spans="1:3" ht="13" x14ac:dyDescent="0.15">
      <c r="A642" s="10"/>
      <c r="B642" s="13"/>
      <c r="C642" s="13"/>
    </row>
    <row r="643" spans="1:3" ht="13" x14ac:dyDescent="0.15">
      <c r="A643" s="10"/>
      <c r="B643" s="13"/>
      <c r="C643" s="13"/>
    </row>
    <row r="644" spans="1:3" ht="13" x14ac:dyDescent="0.15">
      <c r="A644" s="10"/>
      <c r="B644" s="13"/>
      <c r="C644" s="13"/>
    </row>
    <row r="645" spans="1:3" ht="13" x14ac:dyDescent="0.15">
      <c r="A645" s="10"/>
      <c r="B645" s="13"/>
      <c r="C645" s="13"/>
    </row>
    <row r="646" spans="1:3" ht="13" x14ac:dyDescent="0.15">
      <c r="A646" s="10"/>
      <c r="B646" s="13"/>
      <c r="C646" s="13"/>
    </row>
    <row r="647" spans="1:3" ht="13" x14ac:dyDescent="0.15">
      <c r="A647" s="10"/>
      <c r="B647" s="13"/>
      <c r="C647" s="13"/>
    </row>
    <row r="648" spans="1:3" ht="13" x14ac:dyDescent="0.15">
      <c r="A648" s="10"/>
      <c r="B648" s="13"/>
      <c r="C648" s="13"/>
    </row>
    <row r="649" spans="1:3" ht="13" x14ac:dyDescent="0.15">
      <c r="A649" s="10"/>
      <c r="B649" s="13"/>
      <c r="C649" s="13"/>
    </row>
    <row r="650" spans="1:3" ht="13" x14ac:dyDescent="0.15">
      <c r="A650" s="10"/>
      <c r="B650" s="13"/>
      <c r="C650" s="13"/>
    </row>
    <row r="651" spans="1:3" ht="13" x14ac:dyDescent="0.15">
      <c r="A651" s="10"/>
      <c r="B651" s="13"/>
      <c r="C651" s="13"/>
    </row>
    <row r="652" spans="1:3" ht="13" x14ac:dyDescent="0.15">
      <c r="A652" s="10"/>
      <c r="B652" s="13"/>
      <c r="C652" s="13"/>
    </row>
    <row r="653" spans="1:3" ht="13" x14ac:dyDescent="0.15">
      <c r="A653" s="10"/>
      <c r="B653" s="13"/>
      <c r="C653" s="13"/>
    </row>
    <row r="654" spans="1:3" ht="13" x14ac:dyDescent="0.15">
      <c r="A654" s="10"/>
      <c r="B654" s="13"/>
      <c r="C654" s="13"/>
    </row>
    <row r="655" spans="1:3" ht="13" x14ac:dyDescent="0.15">
      <c r="A655" s="10"/>
      <c r="B655" s="13"/>
      <c r="C655" s="13"/>
    </row>
    <row r="656" spans="1:3" ht="13" x14ac:dyDescent="0.15">
      <c r="A656" s="10"/>
      <c r="B656" s="13"/>
      <c r="C656" s="13"/>
    </row>
    <row r="657" spans="1:3" ht="13" x14ac:dyDescent="0.15">
      <c r="A657" s="10"/>
      <c r="B657" s="13"/>
      <c r="C657" s="13"/>
    </row>
    <row r="658" spans="1:3" ht="13" x14ac:dyDescent="0.15">
      <c r="A658" s="10"/>
      <c r="B658" s="13"/>
      <c r="C658" s="13"/>
    </row>
    <row r="659" spans="1:3" ht="13" x14ac:dyDescent="0.15">
      <c r="A659" s="10"/>
      <c r="B659" s="13"/>
      <c r="C659" s="13"/>
    </row>
    <row r="660" spans="1:3" ht="13" x14ac:dyDescent="0.15">
      <c r="A660" s="10"/>
      <c r="B660" s="13"/>
      <c r="C660" s="13"/>
    </row>
    <row r="661" spans="1:3" ht="13" x14ac:dyDescent="0.15">
      <c r="A661" s="10"/>
      <c r="B661" s="13"/>
      <c r="C661" s="13"/>
    </row>
    <row r="662" spans="1:3" ht="13" x14ac:dyDescent="0.15">
      <c r="A662" s="10"/>
      <c r="B662" s="13"/>
      <c r="C662" s="13"/>
    </row>
    <row r="663" spans="1:3" ht="13" x14ac:dyDescent="0.15">
      <c r="A663" s="10"/>
      <c r="B663" s="13"/>
      <c r="C663" s="13"/>
    </row>
    <row r="664" spans="1:3" ht="13" x14ac:dyDescent="0.15">
      <c r="A664" s="10"/>
      <c r="B664" s="13"/>
      <c r="C664" s="13"/>
    </row>
    <row r="665" spans="1:3" ht="13" x14ac:dyDescent="0.15">
      <c r="A665" s="10"/>
      <c r="B665" s="13"/>
      <c r="C665" s="13"/>
    </row>
    <row r="666" spans="1:3" ht="13" x14ac:dyDescent="0.15">
      <c r="A666" s="10"/>
      <c r="B666" s="13"/>
      <c r="C666" s="13"/>
    </row>
    <row r="667" spans="1:3" ht="13" x14ac:dyDescent="0.15">
      <c r="A667" s="10"/>
      <c r="B667" s="13"/>
      <c r="C667" s="13"/>
    </row>
    <row r="668" spans="1:3" ht="13" x14ac:dyDescent="0.15">
      <c r="A668" s="10"/>
      <c r="B668" s="13"/>
      <c r="C668" s="13"/>
    </row>
    <row r="669" spans="1:3" ht="13" x14ac:dyDescent="0.15">
      <c r="A669" s="10"/>
      <c r="B669" s="13"/>
      <c r="C669" s="13"/>
    </row>
    <row r="670" spans="1:3" ht="13" x14ac:dyDescent="0.15">
      <c r="A670" s="10"/>
      <c r="B670" s="13"/>
      <c r="C670" s="13"/>
    </row>
    <row r="671" spans="1:3" ht="13" x14ac:dyDescent="0.15">
      <c r="A671" s="10"/>
      <c r="B671" s="13"/>
      <c r="C671" s="13"/>
    </row>
    <row r="672" spans="1:3" ht="13" x14ac:dyDescent="0.15">
      <c r="A672" s="10"/>
      <c r="B672" s="13"/>
      <c r="C672" s="13"/>
    </row>
    <row r="673" spans="1:3" ht="13" x14ac:dyDescent="0.15">
      <c r="A673" s="10"/>
      <c r="B673" s="13"/>
      <c r="C673" s="13"/>
    </row>
    <row r="674" spans="1:3" ht="13" x14ac:dyDescent="0.15">
      <c r="A674" s="10"/>
      <c r="B674" s="13"/>
      <c r="C674" s="13"/>
    </row>
    <row r="675" spans="1:3" ht="13" x14ac:dyDescent="0.15">
      <c r="A675" s="10"/>
      <c r="B675" s="13"/>
      <c r="C675" s="13"/>
    </row>
    <row r="676" spans="1:3" ht="13" x14ac:dyDescent="0.15">
      <c r="A676" s="10"/>
      <c r="B676" s="13"/>
      <c r="C676" s="13"/>
    </row>
    <row r="677" spans="1:3" ht="13" x14ac:dyDescent="0.15">
      <c r="A677" s="10"/>
      <c r="B677" s="13"/>
      <c r="C677" s="13"/>
    </row>
    <row r="678" spans="1:3" ht="13" x14ac:dyDescent="0.15">
      <c r="A678" s="10"/>
      <c r="B678" s="13"/>
      <c r="C678" s="13"/>
    </row>
    <row r="679" spans="1:3" ht="13" x14ac:dyDescent="0.15">
      <c r="A679" s="10"/>
      <c r="B679" s="13"/>
      <c r="C679" s="13"/>
    </row>
    <row r="680" spans="1:3" ht="13" x14ac:dyDescent="0.15">
      <c r="A680" s="10"/>
      <c r="B680" s="13"/>
      <c r="C680" s="13"/>
    </row>
    <row r="681" spans="1:3" ht="13" x14ac:dyDescent="0.15">
      <c r="A681" s="10"/>
      <c r="B681" s="13"/>
      <c r="C681" s="13"/>
    </row>
    <row r="682" spans="1:3" ht="13" x14ac:dyDescent="0.15">
      <c r="A682" s="10"/>
      <c r="B682" s="13"/>
      <c r="C682" s="13"/>
    </row>
    <row r="683" spans="1:3" ht="13" x14ac:dyDescent="0.15">
      <c r="A683" s="10"/>
      <c r="B683" s="13"/>
      <c r="C683" s="13"/>
    </row>
    <row r="684" spans="1:3" ht="13" x14ac:dyDescent="0.15">
      <c r="A684" s="10"/>
      <c r="B684" s="13"/>
      <c r="C684" s="13"/>
    </row>
    <row r="685" spans="1:3" ht="13" x14ac:dyDescent="0.15">
      <c r="A685" s="10"/>
      <c r="B685" s="13"/>
      <c r="C685" s="13"/>
    </row>
    <row r="686" spans="1:3" ht="13" x14ac:dyDescent="0.15">
      <c r="A686" s="10"/>
      <c r="B686" s="13"/>
      <c r="C686" s="13"/>
    </row>
    <row r="687" spans="1:3" ht="13" x14ac:dyDescent="0.15">
      <c r="A687" s="10"/>
      <c r="B687" s="13"/>
      <c r="C687" s="13"/>
    </row>
    <row r="688" spans="1:3" ht="13" x14ac:dyDescent="0.15">
      <c r="A688" s="10"/>
      <c r="B688" s="13"/>
      <c r="C688" s="13"/>
    </row>
    <row r="689" spans="1:3" ht="13" x14ac:dyDescent="0.15">
      <c r="A689" s="10"/>
      <c r="B689" s="13"/>
      <c r="C689" s="13"/>
    </row>
    <row r="690" spans="1:3" ht="13" x14ac:dyDescent="0.15">
      <c r="A690" s="10"/>
      <c r="B690" s="13"/>
      <c r="C690" s="13"/>
    </row>
    <row r="691" spans="1:3" ht="13" x14ac:dyDescent="0.15">
      <c r="A691" s="10"/>
      <c r="B691" s="13"/>
      <c r="C691" s="13"/>
    </row>
    <row r="692" spans="1:3" ht="13" x14ac:dyDescent="0.15">
      <c r="A692" s="10"/>
      <c r="B692" s="13"/>
      <c r="C692" s="13"/>
    </row>
    <row r="693" spans="1:3" ht="13" x14ac:dyDescent="0.15">
      <c r="A693" s="10"/>
      <c r="B693" s="13"/>
      <c r="C693" s="13"/>
    </row>
    <row r="694" spans="1:3" ht="13" x14ac:dyDescent="0.15">
      <c r="A694" s="10"/>
      <c r="B694" s="13"/>
      <c r="C694" s="13"/>
    </row>
    <row r="695" spans="1:3" ht="13" x14ac:dyDescent="0.15">
      <c r="A695" s="10"/>
      <c r="B695" s="13"/>
      <c r="C695" s="13"/>
    </row>
    <row r="696" spans="1:3" ht="13" x14ac:dyDescent="0.15">
      <c r="A696" s="10"/>
      <c r="B696" s="13"/>
      <c r="C696" s="13"/>
    </row>
    <row r="697" spans="1:3" ht="13" x14ac:dyDescent="0.15">
      <c r="A697" s="10"/>
      <c r="B697" s="13"/>
      <c r="C697" s="13"/>
    </row>
    <row r="698" spans="1:3" ht="13" x14ac:dyDescent="0.15">
      <c r="A698" s="10"/>
      <c r="B698" s="13"/>
      <c r="C698" s="13"/>
    </row>
    <row r="699" spans="1:3" ht="13" x14ac:dyDescent="0.15">
      <c r="A699" s="10"/>
      <c r="B699" s="13"/>
      <c r="C699" s="13"/>
    </row>
    <row r="700" spans="1:3" ht="13" x14ac:dyDescent="0.15">
      <c r="A700" s="10"/>
      <c r="B700" s="13"/>
      <c r="C700" s="13"/>
    </row>
    <row r="701" spans="1:3" ht="13" x14ac:dyDescent="0.15">
      <c r="A701" s="10"/>
      <c r="B701" s="13"/>
      <c r="C701" s="13"/>
    </row>
    <row r="702" spans="1:3" ht="13" x14ac:dyDescent="0.15">
      <c r="A702" s="10"/>
      <c r="B702" s="13"/>
      <c r="C702" s="13"/>
    </row>
    <row r="703" spans="1:3" ht="13" x14ac:dyDescent="0.15">
      <c r="A703" s="10"/>
      <c r="B703" s="13"/>
      <c r="C703" s="13"/>
    </row>
    <row r="704" spans="1:3" ht="13" x14ac:dyDescent="0.15">
      <c r="A704" s="10"/>
      <c r="B704" s="13"/>
      <c r="C704" s="13"/>
    </row>
    <row r="705" spans="1:3" ht="13" x14ac:dyDescent="0.15">
      <c r="A705" s="10"/>
      <c r="B705" s="13"/>
      <c r="C705" s="13"/>
    </row>
    <row r="706" spans="1:3" ht="13" x14ac:dyDescent="0.15">
      <c r="A706" s="10"/>
      <c r="B706" s="13"/>
      <c r="C706" s="13"/>
    </row>
    <row r="707" spans="1:3" ht="13" x14ac:dyDescent="0.15">
      <c r="A707" s="10"/>
      <c r="B707" s="13"/>
      <c r="C707" s="13"/>
    </row>
    <row r="708" spans="1:3" ht="13" x14ac:dyDescent="0.15">
      <c r="A708" s="10"/>
      <c r="B708" s="13"/>
      <c r="C708" s="13"/>
    </row>
    <row r="709" spans="1:3" ht="13" x14ac:dyDescent="0.15">
      <c r="A709" s="10"/>
      <c r="B709" s="13"/>
      <c r="C709" s="13"/>
    </row>
    <row r="710" spans="1:3" ht="13" x14ac:dyDescent="0.15">
      <c r="A710" s="10"/>
      <c r="B710" s="13"/>
      <c r="C710" s="13"/>
    </row>
    <row r="711" spans="1:3" ht="13" x14ac:dyDescent="0.15">
      <c r="A711" s="10"/>
      <c r="B711" s="13"/>
      <c r="C711" s="13"/>
    </row>
    <row r="712" spans="1:3" ht="13" x14ac:dyDescent="0.15">
      <c r="A712" s="10"/>
      <c r="B712" s="13"/>
      <c r="C712" s="13"/>
    </row>
    <row r="713" spans="1:3" ht="13" x14ac:dyDescent="0.15">
      <c r="A713" s="10"/>
      <c r="B713" s="13"/>
      <c r="C713" s="13"/>
    </row>
    <row r="714" spans="1:3" ht="13" x14ac:dyDescent="0.15">
      <c r="A714" s="10"/>
      <c r="B714" s="13"/>
      <c r="C714" s="13"/>
    </row>
    <row r="715" spans="1:3" ht="13" x14ac:dyDescent="0.15">
      <c r="A715" s="10"/>
      <c r="B715" s="13"/>
      <c r="C715" s="13"/>
    </row>
    <row r="716" spans="1:3" ht="13" x14ac:dyDescent="0.15">
      <c r="A716" s="10"/>
      <c r="B716" s="13"/>
      <c r="C716" s="13"/>
    </row>
    <row r="717" spans="1:3" ht="13" x14ac:dyDescent="0.15">
      <c r="A717" s="10"/>
      <c r="B717" s="13"/>
      <c r="C717" s="13"/>
    </row>
    <row r="718" spans="1:3" ht="13" x14ac:dyDescent="0.15">
      <c r="A718" s="10"/>
      <c r="B718" s="13"/>
      <c r="C718" s="13"/>
    </row>
    <row r="719" spans="1:3" ht="13" x14ac:dyDescent="0.15">
      <c r="A719" s="10"/>
      <c r="B719" s="13"/>
      <c r="C719" s="13"/>
    </row>
    <row r="720" spans="1:3" ht="13" x14ac:dyDescent="0.15">
      <c r="A720" s="10"/>
      <c r="B720" s="13"/>
      <c r="C720" s="13"/>
    </row>
    <row r="721" spans="1:3" ht="13" x14ac:dyDescent="0.15">
      <c r="A721" s="10"/>
      <c r="B721" s="13"/>
      <c r="C721" s="13"/>
    </row>
    <row r="722" spans="1:3" ht="13" x14ac:dyDescent="0.15">
      <c r="A722" s="10"/>
      <c r="B722" s="13"/>
      <c r="C722" s="13"/>
    </row>
    <row r="723" spans="1:3" ht="13" x14ac:dyDescent="0.15">
      <c r="A723" s="10"/>
      <c r="B723" s="13"/>
      <c r="C723" s="13"/>
    </row>
    <row r="724" spans="1:3" ht="13" x14ac:dyDescent="0.15">
      <c r="A724" s="10"/>
      <c r="B724" s="13"/>
      <c r="C724" s="13"/>
    </row>
    <row r="725" spans="1:3" ht="13" x14ac:dyDescent="0.15">
      <c r="A725" s="10"/>
      <c r="B725" s="13"/>
      <c r="C725" s="13"/>
    </row>
    <row r="726" spans="1:3" ht="13" x14ac:dyDescent="0.15">
      <c r="A726" s="10"/>
      <c r="B726" s="13"/>
      <c r="C726" s="13"/>
    </row>
    <row r="727" spans="1:3" ht="13" x14ac:dyDescent="0.15">
      <c r="A727" s="10"/>
      <c r="B727" s="13"/>
      <c r="C727" s="13"/>
    </row>
    <row r="728" spans="1:3" ht="13" x14ac:dyDescent="0.15">
      <c r="A728" s="10"/>
      <c r="B728" s="13"/>
      <c r="C728" s="13"/>
    </row>
    <row r="729" spans="1:3" ht="13" x14ac:dyDescent="0.15">
      <c r="A729" s="10"/>
      <c r="B729" s="13"/>
      <c r="C729" s="13"/>
    </row>
    <row r="730" spans="1:3" ht="13" x14ac:dyDescent="0.15">
      <c r="A730" s="10"/>
      <c r="B730" s="13"/>
      <c r="C730" s="13"/>
    </row>
    <row r="731" spans="1:3" ht="13" x14ac:dyDescent="0.15">
      <c r="A731" s="10"/>
      <c r="B731" s="13"/>
      <c r="C731" s="13"/>
    </row>
    <row r="732" spans="1:3" ht="13" x14ac:dyDescent="0.15">
      <c r="A732" s="10"/>
      <c r="B732" s="13"/>
      <c r="C732" s="13"/>
    </row>
    <row r="733" spans="1:3" ht="13" x14ac:dyDescent="0.15">
      <c r="A733" s="10"/>
      <c r="B733" s="13"/>
      <c r="C733" s="13"/>
    </row>
    <row r="734" spans="1:3" ht="13" x14ac:dyDescent="0.15">
      <c r="A734" s="10"/>
      <c r="B734" s="13"/>
      <c r="C734" s="13"/>
    </row>
    <row r="735" spans="1:3" ht="13" x14ac:dyDescent="0.15">
      <c r="A735" s="10"/>
      <c r="B735" s="13"/>
      <c r="C735" s="13"/>
    </row>
    <row r="736" spans="1:3" ht="13" x14ac:dyDescent="0.15">
      <c r="A736" s="10"/>
      <c r="B736" s="13"/>
      <c r="C736" s="13"/>
    </row>
    <row r="737" spans="1:3" ht="13" x14ac:dyDescent="0.15">
      <c r="A737" s="10"/>
      <c r="B737" s="13"/>
      <c r="C737" s="13"/>
    </row>
    <row r="738" spans="1:3" ht="13" x14ac:dyDescent="0.15">
      <c r="A738" s="10"/>
      <c r="B738" s="13"/>
      <c r="C738" s="13"/>
    </row>
    <row r="739" spans="1:3" ht="13" x14ac:dyDescent="0.15">
      <c r="A739" s="10"/>
      <c r="B739" s="13"/>
      <c r="C739" s="13"/>
    </row>
    <row r="740" spans="1:3" ht="13" x14ac:dyDescent="0.15">
      <c r="A740" s="10"/>
      <c r="B740" s="13"/>
      <c r="C740" s="13"/>
    </row>
    <row r="741" spans="1:3" ht="13" x14ac:dyDescent="0.15">
      <c r="A741" s="10"/>
      <c r="B741" s="13"/>
      <c r="C741" s="13"/>
    </row>
    <row r="742" spans="1:3" ht="13" x14ac:dyDescent="0.15">
      <c r="A742" s="10"/>
      <c r="B742" s="13"/>
      <c r="C742" s="13"/>
    </row>
    <row r="743" spans="1:3" ht="13" x14ac:dyDescent="0.15">
      <c r="A743" s="10"/>
      <c r="B743" s="13"/>
      <c r="C743" s="13"/>
    </row>
    <row r="744" spans="1:3" ht="13" x14ac:dyDescent="0.15">
      <c r="A744" s="10"/>
      <c r="B744" s="13"/>
      <c r="C744" s="13"/>
    </row>
    <row r="745" spans="1:3" ht="13" x14ac:dyDescent="0.15">
      <c r="A745" s="10"/>
      <c r="B745" s="13"/>
      <c r="C745" s="13"/>
    </row>
    <row r="746" spans="1:3" ht="13" x14ac:dyDescent="0.15">
      <c r="A746" s="10"/>
      <c r="B746" s="13"/>
      <c r="C746" s="13"/>
    </row>
    <row r="747" spans="1:3" ht="13" x14ac:dyDescent="0.15">
      <c r="A747" s="10"/>
      <c r="B747" s="13"/>
      <c r="C747" s="13"/>
    </row>
    <row r="748" spans="1:3" ht="13" x14ac:dyDescent="0.15">
      <c r="A748" s="10"/>
      <c r="B748" s="13"/>
      <c r="C748" s="13"/>
    </row>
    <row r="749" spans="1:3" ht="13" x14ac:dyDescent="0.15">
      <c r="A749" s="10"/>
      <c r="B749" s="13"/>
      <c r="C749" s="13"/>
    </row>
    <row r="750" spans="1:3" ht="13" x14ac:dyDescent="0.15">
      <c r="A750" s="10"/>
      <c r="B750" s="13"/>
      <c r="C750" s="13"/>
    </row>
    <row r="751" spans="1:3" ht="13" x14ac:dyDescent="0.15">
      <c r="A751" s="10"/>
      <c r="B751" s="13"/>
      <c r="C751" s="13"/>
    </row>
    <row r="752" spans="1:3" ht="13" x14ac:dyDescent="0.15">
      <c r="A752" s="10"/>
      <c r="B752" s="13"/>
      <c r="C752" s="13"/>
    </row>
    <row r="753" spans="1:3" ht="13" x14ac:dyDescent="0.15">
      <c r="A753" s="10"/>
      <c r="B753" s="13"/>
      <c r="C753" s="13"/>
    </row>
    <row r="754" spans="1:3" ht="13" x14ac:dyDescent="0.15">
      <c r="A754" s="10"/>
      <c r="B754" s="13"/>
      <c r="C754" s="13"/>
    </row>
    <row r="755" spans="1:3" ht="13" x14ac:dyDescent="0.15">
      <c r="A755" s="10"/>
      <c r="B755" s="13"/>
      <c r="C755" s="13"/>
    </row>
    <row r="756" spans="1:3" ht="13" x14ac:dyDescent="0.15">
      <c r="A756" s="10"/>
      <c r="B756" s="13"/>
      <c r="C756" s="13"/>
    </row>
    <row r="757" spans="1:3" ht="13" x14ac:dyDescent="0.15">
      <c r="A757" s="10"/>
      <c r="B757" s="13"/>
      <c r="C757" s="13"/>
    </row>
    <row r="758" spans="1:3" ht="13" x14ac:dyDescent="0.15">
      <c r="A758" s="10"/>
      <c r="B758" s="13"/>
      <c r="C758" s="13"/>
    </row>
    <row r="759" spans="1:3" ht="13" x14ac:dyDescent="0.15">
      <c r="A759" s="10"/>
      <c r="B759" s="13"/>
      <c r="C759" s="13"/>
    </row>
    <row r="760" spans="1:3" ht="13" x14ac:dyDescent="0.15">
      <c r="A760" s="10"/>
      <c r="B760" s="13"/>
      <c r="C760" s="13"/>
    </row>
    <row r="761" spans="1:3" ht="13" x14ac:dyDescent="0.15">
      <c r="A761" s="10"/>
      <c r="B761" s="13"/>
      <c r="C761" s="13"/>
    </row>
    <row r="762" spans="1:3" ht="13" x14ac:dyDescent="0.15">
      <c r="A762" s="10"/>
      <c r="B762" s="13"/>
      <c r="C762" s="13"/>
    </row>
    <row r="763" spans="1:3" ht="13" x14ac:dyDescent="0.15">
      <c r="A763" s="10"/>
      <c r="B763" s="13"/>
      <c r="C763" s="13"/>
    </row>
    <row r="764" spans="1:3" ht="13" x14ac:dyDescent="0.15">
      <c r="A764" s="10"/>
      <c r="B764" s="13"/>
      <c r="C764" s="13"/>
    </row>
    <row r="765" spans="1:3" ht="13" x14ac:dyDescent="0.15">
      <c r="A765" s="10"/>
      <c r="B765" s="13"/>
      <c r="C765" s="13"/>
    </row>
    <row r="766" spans="1:3" ht="13" x14ac:dyDescent="0.15">
      <c r="A766" s="10"/>
      <c r="B766" s="13"/>
      <c r="C766" s="13"/>
    </row>
    <row r="767" spans="1:3" ht="13" x14ac:dyDescent="0.15">
      <c r="A767" s="10"/>
      <c r="B767" s="13"/>
      <c r="C767" s="13"/>
    </row>
    <row r="768" spans="1:3" ht="13" x14ac:dyDescent="0.15">
      <c r="A768" s="10"/>
      <c r="B768" s="13"/>
      <c r="C768" s="13"/>
    </row>
    <row r="769" spans="1:3" ht="13" x14ac:dyDescent="0.15">
      <c r="A769" s="10"/>
      <c r="B769" s="13"/>
      <c r="C769" s="13"/>
    </row>
    <row r="770" spans="1:3" ht="13" x14ac:dyDescent="0.15">
      <c r="A770" s="10"/>
      <c r="B770" s="13"/>
      <c r="C770" s="13"/>
    </row>
    <row r="771" spans="1:3" ht="13" x14ac:dyDescent="0.15">
      <c r="A771" s="10"/>
      <c r="B771" s="13"/>
      <c r="C771" s="13"/>
    </row>
    <row r="772" spans="1:3" ht="13" x14ac:dyDescent="0.15">
      <c r="A772" s="10"/>
      <c r="B772" s="13"/>
      <c r="C772" s="13"/>
    </row>
    <row r="773" spans="1:3" ht="13" x14ac:dyDescent="0.15">
      <c r="A773" s="10"/>
      <c r="B773" s="13"/>
      <c r="C773" s="13"/>
    </row>
    <row r="774" spans="1:3" ht="13" x14ac:dyDescent="0.15">
      <c r="A774" s="10"/>
      <c r="B774" s="13"/>
      <c r="C774" s="13"/>
    </row>
    <row r="775" spans="1:3" ht="13" x14ac:dyDescent="0.15">
      <c r="A775" s="10"/>
      <c r="B775" s="13"/>
      <c r="C775" s="13"/>
    </row>
    <row r="776" spans="1:3" ht="13" x14ac:dyDescent="0.15">
      <c r="A776" s="10"/>
      <c r="B776" s="13"/>
      <c r="C776" s="13"/>
    </row>
    <row r="777" spans="1:3" ht="13" x14ac:dyDescent="0.15">
      <c r="A777" s="10"/>
      <c r="B777" s="13"/>
      <c r="C777" s="13"/>
    </row>
    <row r="778" spans="1:3" ht="13" x14ac:dyDescent="0.15">
      <c r="A778" s="10"/>
      <c r="B778" s="13"/>
      <c r="C778" s="13"/>
    </row>
    <row r="779" spans="1:3" ht="13" x14ac:dyDescent="0.15">
      <c r="A779" s="10"/>
      <c r="B779" s="13"/>
      <c r="C779" s="13"/>
    </row>
    <row r="780" spans="1:3" ht="13" x14ac:dyDescent="0.15">
      <c r="A780" s="10"/>
      <c r="B780" s="13"/>
      <c r="C780" s="13"/>
    </row>
    <row r="781" spans="1:3" ht="13" x14ac:dyDescent="0.15">
      <c r="A781" s="10"/>
      <c r="B781" s="13"/>
      <c r="C781" s="13"/>
    </row>
    <row r="782" spans="1:3" ht="13" x14ac:dyDescent="0.15">
      <c r="A782" s="10"/>
      <c r="B782" s="13"/>
      <c r="C782" s="13"/>
    </row>
    <row r="783" spans="1:3" ht="13" x14ac:dyDescent="0.15">
      <c r="A783" s="10"/>
      <c r="B783" s="13"/>
      <c r="C783" s="13"/>
    </row>
    <row r="784" spans="1:3" ht="13" x14ac:dyDescent="0.15">
      <c r="A784" s="10"/>
      <c r="B784" s="13"/>
      <c r="C784" s="13"/>
    </row>
    <row r="785" spans="1:3" ht="13" x14ac:dyDescent="0.15">
      <c r="A785" s="10"/>
      <c r="B785" s="13"/>
      <c r="C785" s="13"/>
    </row>
    <row r="786" spans="1:3" ht="13" x14ac:dyDescent="0.15">
      <c r="A786" s="10"/>
      <c r="B786" s="13"/>
      <c r="C786" s="13"/>
    </row>
    <row r="787" spans="1:3" ht="13" x14ac:dyDescent="0.15">
      <c r="A787" s="10"/>
      <c r="B787" s="13"/>
      <c r="C787" s="13"/>
    </row>
    <row r="788" spans="1:3" ht="13" x14ac:dyDescent="0.15">
      <c r="A788" s="10"/>
      <c r="B788" s="13"/>
      <c r="C788" s="13"/>
    </row>
    <row r="789" spans="1:3" ht="13" x14ac:dyDescent="0.15">
      <c r="A789" s="10"/>
      <c r="B789" s="13"/>
      <c r="C789" s="13"/>
    </row>
    <row r="790" spans="1:3" ht="13" x14ac:dyDescent="0.15">
      <c r="A790" s="10"/>
      <c r="B790" s="13"/>
      <c r="C790" s="13"/>
    </row>
    <row r="791" spans="1:3" ht="13" x14ac:dyDescent="0.15">
      <c r="A791" s="10"/>
      <c r="B791" s="13"/>
      <c r="C791" s="13"/>
    </row>
    <row r="792" spans="1:3" ht="13" x14ac:dyDescent="0.15">
      <c r="A792" s="10"/>
      <c r="B792" s="13"/>
      <c r="C792" s="13"/>
    </row>
    <row r="793" spans="1:3" ht="13" x14ac:dyDescent="0.15">
      <c r="A793" s="10"/>
      <c r="B793" s="13"/>
      <c r="C793" s="13"/>
    </row>
    <row r="794" spans="1:3" ht="13" x14ac:dyDescent="0.15">
      <c r="A794" s="10"/>
      <c r="B794" s="13"/>
      <c r="C794" s="13"/>
    </row>
    <row r="795" spans="1:3" ht="13" x14ac:dyDescent="0.15">
      <c r="A795" s="10"/>
      <c r="B795" s="13"/>
      <c r="C795" s="13"/>
    </row>
    <row r="796" spans="1:3" ht="13" x14ac:dyDescent="0.15">
      <c r="A796" s="10"/>
      <c r="B796" s="13"/>
      <c r="C796" s="13"/>
    </row>
    <row r="797" spans="1:3" ht="13" x14ac:dyDescent="0.15">
      <c r="A797" s="10"/>
      <c r="B797" s="13"/>
      <c r="C797" s="13"/>
    </row>
    <row r="798" spans="1:3" ht="13" x14ac:dyDescent="0.15">
      <c r="A798" s="10"/>
      <c r="B798" s="13"/>
      <c r="C798" s="13"/>
    </row>
    <row r="799" spans="1:3" ht="13" x14ac:dyDescent="0.15">
      <c r="A799" s="10"/>
      <c r="B799" s="13"/>
      <c r="C799" s="13"/>
    </row>
    <row r="800" spans="1:3" ht="13" x14ac:dyDescent="0.15">
      <c r="A800" s="10"/>
      <c r="B800" s="13"/>
      <c r="C800" s="13"/>
    </row>
    <row r="801" spans="1:3" ht="13" x14ac:dyDescent="0.15">
      <c r="A801" s="10"/>
      <c r="B801" s="13"/>
      <c r="C801" s="13"/>
    </row>
    <row r="802" spans="1:3" ht="13" x14ac:dyDescent="0.15">
      <c r="A802" s="10"/>
      <c r="B802" s="13"/>
      <c r="C802" s="13"/>
    </row>
    <row r="803" spans="1:3" ht="13" x14ac:dyDescent="0.15">
      <c r="A803" s="10"/>
      <c r="B803" s="13"/>
      <c r="C803" s="13"/>
    </row>
    <row r="804" spans="1:3" ht="13" x14ac:dyDescent="0.15">
      <c r="A804" s="10"/>
      <c r="B804" s="13"/>
      <c r="C804" s="13"/>
    </row>
    <row r="805" spans="1:3" ht="13" x14ac:dyDescent="0.15">
      <c r="A805" s="10"/>
      <c r="B805" s="13"/>
      <c r="C805" s="13"/>
    </row>
    <row r="806" spans="1:3" ht="13" x14ac:dyDescent="0.15">
      <c r="A806" s="10"/>
      <c r="B806" s="13"/>
      <c r="C806" s="13"/>
    </row>
    <row r="807" spans="1:3" ht="13" x14ac:dyDescent="0.15">
      <c r="A807" s="10"/>
      <c r="B807" s="13"/>
      <c r="C807" s="13"/>
    </row>
    <row r="808" spans="1:3" ht="13" x14ac:dyDescent="0.15">
      <c r="A808" s="10"/>
      <c r="B808" s="13"/>
      <c r="C808" s="13"/>
    </row>
    <row r="809" spans="1:3" ht="13" x14ac:dyDescent="0.15">
      <c r="A809" s="10"/>
      <c r="B809" s="13"/>
      <c r="C809" s="13"/>
    </row>
    <row r="810" spans="1:3" ht="13" x14ac:dyDescent="0.15">
      <c r="A810" s="10"/>
      <c r="B810" s="13"/>
      <c r="C810" s="13"/>
    </row>
    <row r="811" spans="1:3" ht="13" x14ac:dyDescent="0.15">
      <c r="A811" s="10"/>
      <c r="B811" s="13"/>
      <c r="C811" s="13"/>
    </row>
    <row r="812" spans="1:3" ht="13" x14ac:dyDescent="0.15">
      <c r="A812" s="10"/>
      <c r="B812" s="13"/>
      <c r="C812" s="13"/>
    </row>
    <row r="813" spans="1:3" ht="13" x14ac:dyDescent="0.15">
      <c r="A813" s="10"/>
      <c r="B813" s="13"/>
      <c r="C813" s="13"/>
    </row>
    <row r="814" spans="1:3" ht="13" x14ac:dyDescent="0.15">
      <c r="A814" s="10"/>
      <c r="B814" s="13"/>
      <c r="C814" s="13"/>
    </row>
    <row r="815" spans="1:3" ht="13" x14ac:dyDescent="0.15">
      <c r="A815" s="10"/>
      <c r="B815" s="13"/>
      <c r="C815" s="13"/>
    </row>
    <row r="816" spans="1:3" ht="13" x14ac:dyDescent="0.15">
      <c r="A816" s="10"/>
      <c r="B816" s="13"/>
      <c r="C816" s="13"/>
    </row>
    <row r="817" spans="1:3" ht="13" x14ac:dyDescent="0.15">
      <c r="A817" s="10"/>
      <c r="B817" s="13"/>
      <c r="C817" s="13"/>
    </row>
    <row r="818" spans="1:3" ht="13" x14ac:dyDescent="0.15">
      <c r="A818" s="10"/>
      <c r="B818" s="13"/>
      <c r="C818" s="13"/>
    </row>
    <row r="819" spans="1:3" ht="13" x14ac:dyDescent="0.15">
      <c r="A819" s="10"/>
      <c r="B819" s="13"/>
      <c r="C819" s="13"/>
    </row>
    <row r="820" spans="1:3" ht="13" x14ac:dyDescent="0.15">
      <c r="A820" s="10"/>
      <c r="B820" s="13"/>
      <c r="C820" s="13"/>
    </row>
    <row r="821" spans="1:3" ht="13" x14ac:dyDescent="0.15">
      <c r="A821" s="10"/>
      <c r="B821" s="13"/>
      <c r="C821" s="13"/>
    </row>
    <row r="822" spans="1:3" ht="13" x14ac:dyDescent="0.15">
      <c r="A822" s="10"/>
      <c r="B822" s="13"/>
      <c r="C822" s="13"/>
    </row>
    <row r="823" spans="1:3" ht="13" x14ac:dyDescent="0.15">
      <c r="A823" s="10"/>
      <c r="B823" s="13"/>
      <c r="C823" s="13"/>
    </row>
    <row r="824" spans="1:3" ht="13" x14ac:dyDescent="0.15">
      <c r="A824" s="10"/>
      <c r="B824" s="13"/>
      <c r="C824" s="13"/>
    </row>
    <row r="825" spans="1:3" ht="13" x14ac:dyDescent="0.15">
      <c r="A825" s="10"/>
      <c r="B825" s="13"/>
      <c r="C825" s="13"/>
    </row>
    <row r="826" spans="1:3" ht="13" x14ac:dyDescent="0.15">
      <c r="A826" s="10"/>
      <c r="B826" s="13"/>
      <c r="C826" s="13"/>
    </row>
    <row r="827" spans="1:3" ht="13" x14ac:dyDescent="0.15">
      <c r="A827" s="10"/>
      <c r="B827" s="13"/>
      <c r="C827" s="13"/>
    </row>
    <row r="828" spans="1:3" ht="13" x14ac:dyDescent="0.15">
      <c r="A828" s="10"/>
      <c r="B828" s="13"/>
      <c r="C828" s="13"/>
    </row>
    <row r="829" spans="1:3" ht="13" x14ac:dyDescent="0.15">
      <c r="A829" s="10"/>
      <c r="B829" s="13"/>
      <c r="C829" s="13"/>
    </row>
    <row r="830" spans="1:3" ht="13" x14ac:dyDescent="0.15">
      <c r="A830" s="10"/>
      <c r="B830" s="13"/>
      <c r="C830" s="13"/>
    </row>
    <row r="831" spans="1:3" ht="13" x14ac:dyDescent="0.15">
      <c r="A831" s="10"/>
      <c r="B831" s="13"/>
      <c r="C831" s="13"/>
    </row>
    <row r="832" spans="1:3" ht="13" x14ac:dyDescent="0.15">
      <c r="A832" s="10"/>
      <c r="B832" s="13"/>
      <c r="C832" s="13"/>
    </row>
    <row r="833" spans="1:3" ht="13" x14ac:dyDescent="0.15">
      <c r="A833" s="10"/>
      <c r="B833" s="13"/>
      <c r="C833" s="13"/>
    </row>
    <row r="834" spans="1:3" ht="13" x14ac:dyDescent="0.15">
      <c r="A834" s="10"/>
      <c r="B834" s="13"/>
      <c r="C834" s="13"/>
    </row>
    <row r="835" spans="1:3" ht="13" x14ac:dyDescent="0.15">
      <c r="A835" s="10"/>
      <c r="B835" s="13"/>
      <c r="C835" s="13"/>
    </row>
    <row r="836" spans="1:3" ht="13" x14ac:dyDescent="0.15">
      <c r="A836" s="10"/>
      <c r="B836" s="13"/>
      <c r="C836" s="13"/>
    </row>
    <row r="837" spans="1:3" ht="13" x14ac:dyDescent="0.15">
      <c r="A837" s="10"/>
      <c r="B837" s="13"/>
      <c r="C837" s="13"/>
    </row>
    <row r="838" spans="1:3" ht="13" x14ac:dyDescent="0.15">
      <c r="A838" s="10"/>
      <c r="B838" s="13"/>
      <c r="C838" s="13"/>
    </row>
    <row r="839" spans="1:3" ht="13" x14ac:dyDescent="0.15">
      <c r="A839" s="10"/>
      <c r="B839" s="13"/>
      <c r="C839" s="13"/>
    </row>
    <row r="840" spans="1:3" ht="13" x14ac:dyDescent="0.15">
      <c r="A840" s="10"/>
      <c r="B840" s="13"/>
      <c r="C840" s="13"/>
    </row>
    <row r="841" spans="1:3" ht="13" x14ac:dyDescent="0.15">
      <c r="A841" s="10"/>
      <c r="B841" s="13"/>
      <c r="C841" s="13"/>
    </row>
    <row r="842" spans="1:3" ht="13" x14ac:dyDescent="0.15">
      <c r="A842" s="10"/>
      <c r="B842" s="13"/>
      <c r="C842" s="13"/>
    </row>
    <row r="843" spans="1:3" ht="13" x14ac:dyDescent="0.15">
      <c r="A843" s="10"/>
      <c r="B843" s="13"/>
      <c r="C843" s="13"/>
    </row>
    <row r="844" spans="1:3" ht="13" x14ac:dyDescent="0.15">
      <c r="A844" s="10"/>
      <c r="B844" s="13"/>
      <c r="C844" s="13"/>
    </row>
    <row r="845" spans="1:3" ht="13" x14ac:dyDescent="0.15">
      <c r="A845" s="10"/>
      <c r="B845" s="13"/>
      <c r="C845" s="13"/>
    </row>
    <row r="846" spans="1:3" ht="13" x14ac:dyDescent="0.15">
      <c r="A846" s="10"/>
      <c r="B846" s="13"/>
      <c r="C846" s="13"/>
    </row>
    <row r="847" spans="1:3" ht="13" x14ac:dyDescent="0.15">
      <c r="A847" s="10"/>
      <c r="B847" s="13"/>
      <c r="C847" s="13"/>
    </row>
    <row r="848" spans="1:3" ht="13" x14ac:dyDescent="0.15">
      <c r="A848" s="10"/>
      <c r="B848" s="13"/>
      <c r="C848" s="13"/>
    </row>
    <row r="849" spans="1:3" ht="13" x14ac:dyDescent="0.15">
      <c r="A849" s="10"/>
      <c r="B849" s="13"/>
      <c r="C849" s="13"/>
    </row>
    <row r="850" spans="1:3" ht="13" x14ac:dyDescent="0.15">
      <c r="A850" s="10"/>
      <c r="B850" s="13"/>
      <c r="C850" s="13"/>
    </row>
    <row r="851" spans="1:3" ht="13" x14ac:dyDescent="0.15">
      <c r="A851" s="10"/>
      <c r="B851" s="13"/>
      <c r="C851" s="13"/>
    </row>
    <row r="852" spans="1:3" ht="13" x14ac:dyDescent="0.15">
      <c r="A852" s="10"/>
      <c r="B852" s="13"/>
      <c r="C852" s="13"/>
    </row>
    <row r="853" spans="1:3" ht="13" x14ac:dyDescent="0.15">
      <c r="A853" s="10"/>
      <c r="B853" s="13"/>
      <c r="C853" s="13"/>
    </row>
    <row r="854" spans="1:3" ht="13" x14ac:dyDescent="0.15">
      <c r="A854" s="10"/>
      <c r="B854" s="13"/>
      <c r="C854" s="13"/>
    </row>
    <row r="855" spans="1:3" ht="13" x14ac:dyDescent="0.15">
      <c r="A855" s="10"/>
      <c r="B855" s="13"/>
      <c r="C855" s="13"/>
    </row>
    <row r="856" spans="1:3" ht="13" x14ac:dyDescent="0.15">
      <c r="A856" s="10"/>
      <c r="B856" s="13"/>
      <c r="C856" s="13"/>
    </row>
    <row r="857" spans="1:3" ht="13" x14ac:dyDescent="0.15">
      <c r="A857" s="10"/>
      <c r="B857" s="13"/>
      <c r="C857" s="13"/>
    </row>
    <row r="858" spans="1:3" ht="13" x14ac:dyDescent="0.15">
      <c r="A858" s="10"/>
      <c r="B858" s="13"/>
      <c r="C858" s="13"/>
    </row>
    <row r="859" spans="1:3" ht="13" x14ac:dyDescent="0.15">
      <c r="A859" s="10"/>
      <c r="B859" s="13"/>
      <c r="C859" s="13"/>
    </row>
    <row r="860" spans="1:3" ht="13" x14ac:dyDescent="0.15">
      <c r="A860" s="10"/>
      <c r="B860" s="13"/>
      <c r="C860" s="13"/>
    </row>
    <row r="861" spans="1:3" ht="13" x14ac:dyDescent="0.15">
      <c r="A861" s="10"/>
      <c r="B861" s="13"/>
      <c r="C861" s="13"/>
    </row>
    <row r="862" spans="1:3" ht="13" x14ac:dyDescent="0.15">
      <c r="A862" s="10"/>
      <c r="B862" s="13"/>
      <c r="C862" s="13"/>
    </row>
    <row r="863" spans="1:3" ht="13" x14ac:dyDescent="0.15">
      <c r="A863" s="10"/>
      <c r="B863" s="13"/>
      <c r="C863" s="13"/>
    </row>
    <row r="864" spans="1:3" ht="13" x14ac:dyDescent="0.15">
      <c r="A864" s="10"/>
      <c r="B864" s="13"/>
      <c r="C864" s="13"/>
    </row>
    <row r="865" spans="1:3" ht="13" x14ac:dyDescent="0.15">
      <c r="A865" s="10"/>
      <c r="B865" s="13"/>
      <c r="C865" s="13"/>
    </row>
    <row r="866" spans="1:3" ht="13" x14ac:dyDescent="0.15">
      <c r="A866" s="10"/>
      <c r="B866" s="13"/>
      <c r="C866" s="13"/>
    </row>
    <row r="867" spans="1:3" ht="13" x14ac:dyDescent="0.15">
      <c r="A867" s="10"/>
      <c r="B867" s="13"/>
      <c r="C867" s="13"/>
    </row>
    <row r="868" spans="1:3" ht="13" x14ac:dyDescent="0.15">
      <c r="A868" s="10"/>
      <c r="B868" s="13"/>
      <c r="C868" s="13"/>
    </row>
    <row r="869" spans="1:3" ht="13" x14ac:dyDescent="0.15">
      <c r="A869" s="10"/>
      <c r="B869" s="13"/>
      <c r="C869" s="13"/>
    </row>
    <row r="870" spans="1:3" ht="13" x14ac:dyDescent="0.15">
      <c r="A870" s="10"/>
      <c r="B870" s="13"/>
      <c r="C870" s="13"/>
    </row>
    <row r="871" spans="1:3" ht="13" x14ac:dyDescent="0.15">
      <c r="A871" s="10"/>
      <c r="B871" s="13"/>
      <c r="C871" s="13"/>
    </row>
    <row r="872" spans="1:3" ht="13" x14ac:dyDescent="0.15">
      <c r="A872" s="10"/>
      <c r="B872" s="13"/>
      <c r="C872" s="13"/>
    </row>
    <row r="873" spans="1:3" ht="13" x14ac:dyDescent="0.15">
      <c r="A873" s="10"/>
      <c r="B873" s="13"/>
      <c r="C873" s="13"/>
    </row>
    <row r="874" spans="1:3" ht="13" x14ac:dyDescent="0.15">
      <c r="A874" s="10"/>
      <c r="B874" s="13"/>
      <c r="C874" s="13"/>
    </row>
    <row r="875" spans="1:3" ht="13" x14ac:dyDescent="0.15">
      <c r="A875" s="10"/>
      <c r="B875" s="13"/>
      <c r="C875" s="13"/>
    </row>
    <row r="876" spans="1:3" ht="13" x14ac:dyDescent="0.15">
      <c r="A876" s="10"/>
      <c r="B876" s="13"/>
      <c r="C876" s="13"/>
    </row>
    <row r="877" spans="1:3" ht="13" x14ac:dyDescent="0.15">
      <c r="A877" s="10"/>
      <c r="B877" s="13"/>
      <c r="C877" s="13"/>
    </row>
    <row r="878" spans="1:3" ht="13" x14ac:dyDescent="0.15">
      <c r="A878" s="10"/>
      <c r="B878" s="13"/>
      <c r="C878" s="13"/>
    </row>
    <row r="879" spans="1:3" ht="13" x14ac:dyDescent="0.15">
      <c r="A879" s="10"/>
      <c r="B879" s="13"/>
      <c r="C879" s="13"/>
    </row>
    <row r="880" spans="1:3" ht="13" x14ac:dyDescent="0.15">
      <c r="A880" s="10"/>
      <c r="B880" s="13"/>
      <c r="C880" s="13"/>
    </row>
    <row r="881" spans="1:3" ht="13" x14ac:dyDescent="0.15">
      <c r="A881" s="10"/>
      <c r="B881" s="13"/>
      <c r="C881" s="13"/>
    </row>
    <row r="882" spans="1:3" ht="13" x14ac:dyDescent="0.15">
      <c r="A882" s="10"/>
      <c r="B882" s="13"/>
      <c r="C882" s="13"/>
    </row>
    <row r="883" spans="1:3" ht="13" x14ac:dyDescent="0.15">
      <c r="A883" s="10"/>
      <c r="B883" s="13"/>
      <c r="C883" s="13"/>
    </row>
    <row r="884" spans="1:3" ht="13" x14ac:dyDescent="0.15">
      <c r="A884" s="10"/>
      <c r="B884" s="13"/>
      <c r="C884" s="13"/>
    </row>
    <row r="885" spans="1:3" ht="13" x14ac:dyDescent="0.15">
      <c r="A885" s="10"/>
      <c r="B885" s="13"/>
      <c r="C885" s="13"/>
    </row>
    <row r="886" spans="1:3" ht="13" x14ac:dyDescent="0.15">
      <c r="A886" s="10"/>
      <c r="B886" s="13"/>
      <c r="C886" s="13"/>
    </row>
    <row r="887" spans="1:3" ht="13" x14ac:dyDescent="0.15">
      <c r="A887" s="10"/>
      <c r="B887" s="13"/>
      <c r="C887" s="13"/>
    </row>
    <row r="888" spans="1:3" ht="13" x14ac:dyDescent="0.15">
      <c r="A888" s="10"/>
      <c r="B888" s="13"/>
      <c r="C888" s="13"/>
    </row>
    <row r="889" spans="1:3" ht="13" x14ac:dyDescent="0.15">
      <c r="A889" s="10"/>
      <c r="B889" s="13"/>
      <c r="C889" s="13"/>
    </row>
    <row r="890" spans="1:3" ht="13" x14ac:dyDescent="0.15">
      <c r="A890" s="10"/>
      <c r="B890" s="13"/>
      <c r="C890" s="13"/>
    </row>
    <row r="891" spans="1:3" ht="13" x14ac:dyDescent="0.15">
      <c r="A891" s="10"/>
      <c r="B891" s="13"/>
      <c r="C891" s="13"/>
    </row>
    <row r="892" spans="1:3" ht="13" x14ac:dyDescent="0.15">
      <c r="A892" s="10"/>
      <c r="B892" s="13"/>
      <c r="C892" s="13"/>
    </row>
    <row r="893" spans="1:3" ht="13" x14ac:dyDescent="0.15">
      <c r="A893" s="10"/>
      <c r="B893" s="13"/>
      <c r="C893" s="13"/>
    </row>
    <row r="894" spans="1:3" ht="13" x14ac:dyDescent="0.15">
      <c r="A894" s="10"/>
      <c r="B894" s="13"/>
      <c r="C894" s="13"/>
    </row>
    <row r="895" spans="1:3" ht="13" x14ac:dyDescent="0.15">
      <c r="A895" s="10"/>
      <c r="B895" s="13"/>
      <c r="C895" s="13"/>
    </row>
    <row r="896" spans="1:3" ht="13" x14ac:dyDescent="0.15">
      <c r="A896" s="10"/>
      <c r="B896" s="13"/>
      <c r="C896" s="13"/>
    </row>
    <row r="897" spans="1:3" ht="13" x14ac:dyDescent="0.15">
      <c r="A897" s="10"/>
      <c r="B897" s="13"/>
      <c r="C897" s="13"/>
    </row>
    <row r="898" spans="1:3" ht="13" x14ac:dyDescent="0.15">
      <c r="A898" s="10"/>
      <c r="B898" s="13"/>
      <c r="C898" s="13"/>
    </row>
    <row r="899" spans="1:3" ht="13" x14ac:dyDescent="0.15">
      <c r="A899" s="10"/>
      <c r="B899" s="13"/>
      <c r="C899" s="13"/>
    </row>
    <row r="900" spans="1:3" ht="13" x14ac:dyDescent="0.15">
      <c r="A900" s="10"/>
      <c r="B900" s="13"/>
      <c r="C900" s="13"/>
    </row>
    <row r="901" spans="1:3" ht="13" x14ac:dyDescent="0.15">
      <c r="A901" s="10"/>
      <c r="B901" s="13"/>
      <c r="C901" s="13"/>
    </row>
    <row r="902" spans="1:3" ht="13" x14ac:dyDescent="0.15">
      <c r="A902" s="10"/>
      <c r="B902" s="13"/>
      <c r="C902" s="13"/>
    </row>
    <row r="903" spans="1:3" ht="13" x14ac:dyDescent="0.15">
      <c r="A903" s="10"/>
      <c r="B903" s="13"/>
      <c r="C903" s="13"/>
    </row>
    <row r="904" spans="1:3" ht="13" x14ac:dyDescent="0.15">
      <c r="A904" s="10"/>
      <c r="B904" s="13"/>
      <c r="C904" s="13"/>
    </row>
    <row r="905" spans="1:3" ht="13" x14ac:dyDescent="0.15">
      <c r="A905" s="10"/>
      <c r="B905" s="13"/>
      <c r="C905" s="13"/>
    </row>
    <row r="906" spans="1:3" ht="13" x14ac:dyDescent="0.15">
      <c r="A906" s="10"/>
      <c r="B906" s="13"/>
      <c r="C906" s="13"/>
    </row>
    <row r="907" spans="1:3" ht="13" x14ac:dyDescent="0.15">
      <c r="A907" s="10"/>
      <c r="B907" s="13"/>
      <c r="C907" s="13"/>
    </row>
    <row r="908" spans="1:3" ht="13" x14ac:dyDescent="0.15">
      <c r="A908" s="10"/>
      <c r="B908" s="13"/>
      <c r="C908" s="13"/>
    </row>
    <row r="909" spans="1:3" ht="13" x14ac:dyDescent="0.15">
      <c r="A909" s="10"/>
      <c r="B909" s="13"/>
      <c r="C909" s="13"/>
    </row>
    <row r="910" spans="1:3" ht="13" x14ac:dyDescent="0.15">
      <c r="A910" s="10"/>
      <c r="B910" s="13"/>
      <c r="C910" s="13"/>
    </row>
    <row r="911" spans="1:3" ht="13" x14ac:dyDescent="0.15">
      <c r="A911" s="10"/>
      <c r="B911" s="13"/>
      <c r="C911" s="13"/>
    </row>
    <row r="912" spans="1:3" ht="13" x14ac:dyDescent="0.15">
      <c r="A912" s="10"/>
      <c r="B912" s="13"/>
      <c r="C912" s="13"/>
    </row>
    <row r="913" spans="1:3" ht="13" x14ac:dyDescent="0.15">
      <c r="A913" s="10"/>
      <c r="B913" s="13"/>
      <c r="C913" s="13"/>
    </row>
    <row r="914" spans="1:3" ht="13" x14ac:dyDescent="0.15">
      <c r="A914" s="10"/>
      <c r="B914" s="13"/>
      <c r="C914" s="13"/>
    </row>
    <row r="915" spans="1:3" ht="13" x14ac:dyDescent="0.15">
      <c r="A915" s="10"/>
      <c r="B915" s="13"/>
      <c r="C915" s="13"/>
    </row>
    <row r="916" spans="1:3" ht="13" x14ac:dyDescent="0.15">
      <c r="A916" s="10"/>
      <c r="B916" s="13"/>
      <c r="C916" s="13"/>
    </row>
    <row r="917" spans="1:3" ht="13" x14ac:dyDescent="0.15">
      <c r="A917" s="10"/>
      <c r="B917" s="13"/>
      <c r="C917" s="13"/>
    </row>
    <row r="918" spans="1:3" ht="13" x14ac:dyDescent="0.15">
      <c r="A918" s="10"/>
      <c r="B918" s="13"/>
      <c r="C918" s="13"/>
    </row>
    <row r="919" spans="1:3" ht="13" x14ac:dyDescent="0.15">
      <c r="A919" s="10"/>
      <c r="B919" s="13"/>
      <c r="C919" s="13"/>
    </row>
    <row r="920" spans="1:3" ht="13" x14ac:dyDescent="0.15">
      <c r="A920" s="10"/>
      <c r="B920" s="13"/>
      <c r="C920" s="13"/>
    </row>
    <row r="921" spans="1:3" ht="13" x14ac:dyDescent="0.15">
      <c r="A921" s="10"/>
      <c r="B921" s="13"/>
      <c r="C921" s="13"/>
    </row>
    <row r="922" spans="1:3" ht="13" x14ac:dyDescent="0.15">
      <c r="A922" s="10"/>
      <c r="B922" s="13"/>
      <c r="C922" s="13"/>
    </row>
    <row r="923" spans="1:3" ht="13" x14ac:dyDescent="0.15">
      <c r="A923" s="10"/>
      <c r="B923" s="13"/>
      <c r="C923" s="13"/>
    </row>
    <row r="924" spans="1:3" ht="13" x14ac:dyDescent="0.15">
      <c r="A924" s="10"/>
      <c r="B924" s="13"/>
      <c r="C924" s="13"/>
    </row>
    <row r="925" spans="1:3" ht="13" x14ac:dyDescent="0.15">
      <c r="A925" s="10"/>
      <c r="B925" s="13"/>
      <c r="C925" s="13"/>
    </row>
    <row r="926" spans="1:3" ht="13" x14ac:dyDescent="0.15">
      <c r="A926" s="10"/>
      <c r="B926" s="13"/>
      <c r="C926" s="13"/>
    </row>
    <row r="927" spans="1:3" ht="13" x14ac:dyDescent="0.15">
      <c r="A927" s="10"/>
      <c r="B927" s="13"/>
      <c r="C927" s="13"/>
    </row>
    <row r="928" spans="1:3" ht="13" x14ac:dyDescent="0.15">
      <c r="A928" s="10"/>
      <c r="B928" s="13"/>
      <c r="C928" s="13"/>
    </row>
    <row r="929" spans="1:3" ht="13" x14ac:dyDescent="0.15">
      <c r="A929" s="10"/>
      <c r="B929" s="13"/>
      <c r="C929" s="13"/>
    </row>
    <row r="930" spans="1:3" ht="13" x14ac:dyDescent="0.15">
      <c r="A930" s="10"/>
      <c r="B930" s="13"/>
      <c r="C930" s="13"/>
    </row>
    <row r="931" spans="1:3" ht="13" x14ac:dyDescent="0.15">
      <c r="A931" s="10"/>
      <c r="B931" s="13"/>
      <c r="C931" s="13"/>
    </row>
    <row r="932" spans="1:3" ht="13" x14ac:dyDescent="0.15">
      <c r="A932" s="10"/>
      <c r="B932" s="13"/>
      <c r="C932" s="13"/>
    </row>
    <row r="933" spans="1:3" ht="13" x14ac:dyDescent="0.15">
      <c r="A933" s="10"/>
      <c r="B933" s="13"/>
      <c r="C933" s="13"/>
    </row>
    <row r="934" spans="1:3" ht="13" x14ac:dyDescent="0.15">
      <c r="A934" s="10"/>
      <c r="B934" s="13"/>
      <c r="C934" s="13"/>
    </row>
    <row r="935" spans="1:3" ht="13" x14ac:dyDescent="0.15">
      <c r="A935" s="10"/>
      <c r="B935" s="13"/>
      <c r="C935" s="13"/>
    </row>
    <row r="936" spans="1:3" ht="13" x14ac:dyDescent="0.15">
      <c r="A936" s="10"/>
      <c r="B936" s="13"/>
      <c r="C936" s="13"/>
    </row>
    <row r="937" spans="1:3" ht="13" x14ac:dyDescent="0.15">
      <c r="A937" s="10"/>
      <c r="B937" s="13"/>
      <c r="C937" s="13"/>
    </row>
    <row r="938" spans="1:3" ht="13" x14ac:dyDescent="0.15">
      <c r="A938" s="10"/>
      <c r="B938" s="13"/>
      <c r="C938" s="13"/>
    </row>
    <row r="939" spans="1:3" ht="13" x14ac:dyDescent="0.15">
      <c r="A939" s="10"/>
      <c r="B939" s="13"/>
      <c r="C939" s="13"/>
    </row>
    <row r="940" spans="1:3" ht="13" x14ac:dyDescent="0.15">
      <c r="A940" s="10"/>
      <c r="B940" s="13"/>
      <c r="C940" s="13"/>
    </row>
    <row r="941" spans="1:3" ht="13" x14ac:dyDescent="0.15">
      <c r="A941" s="10"/>
      <c r="B941" s="13"/>
      <c r="C941" s="13"/>
    </row>
    <row r="942" spans="1:3" ht="13" x14ac:dyDescent="0.15">
      <c r="A942" s="10"/>
      <c r="B942" s="13"/>
      <c r="C942" s="13"/>
    </row>
    <row r="943" spans="1:3" ht="13" x14ac:dyDescent="0.15">
      <c r="A943" s="10"/>
      <c r="B943" s="13"/>
      <c r="C943" s="13"/>
    </row>
    <row r="944" spans="1:3" ht="13" x14ac:dyDescent="0.15">
      <c r="A944" s="10"/>
      <c r="B944" s="13"/>
      <c r="C944" s="13"/>
    </row>
    <row r="945" spans="1:3" ht="13" x14ac:dyDescent="0.15">
      <c r="A945" s="10"/>
      <c r="B945" s="13"/>
      <c r="C945" s="13"/>
    </row>
    <row r="946" spans="1:3" ht="13" x14ac:dyDescent="0.15">
      <c r="A946" s="10"/>
      <c r="B946" s="13"/>
      <c r="C946" s="13"/>
    </row>
    <row r="947" spans="1:3" ht="13" x14ac:dyDescent="0.15">
      <c r="A947" s="10"/>
      <c r="B947" s="13"/>
      <c r="C947" s="13"/>
    </row>
    <row r="948" spans="1:3" ht="13" x14ac:dyDescent="0.15">
      <c r="A948" s="10"/>
      <c r="B948" s="13"/>
      <c r="C948" s="13"/>
    </row>
    <row r="949" spans="1:3" ht="13" x14ac:dyDescent="0.15">
      <c r="A949" s="10"/>
      <c r="B949" s="13"/>
      <c r="C949" s="13"/>
    </row>
    <row r="950" spans="1:3" ht="13" x14ac:dyDescent="0.15">
      <c r="A950" s="10"/>
      <c r="B950" s="13"/>
      <c r="C950" s="13"/>
    </row>
    <row r="951" spans="1:3" ht="13" x14ac:dyDescent="0.15">
      <c r="A951" s="10"/>
      <c r="B951" s="13"/>
      <c r="C951" s="13"/>
    </row>
    <row r="952" spans="1:3" ht="13" x14ac:dyDescent="0.15">
      <c r="A952" s="10"/>
      <c r="B952" s="13"/>
      <c r="C952" s="13"/>
    </row>
    <row r="953" spans="1:3" ht="13" x14ac:dyDescent="0.15">
      <c r="A953" s="10"/>
      <c r="B953" s="13"/>
      <c r="C953" s="13"/>
    </row>
    <row r="954" spans="1:3" ht="13" x14ac:dyDescent="0.15">
      <c r="A954" s="10"/>
      <c r="B954" s="13"/>
      <c r="C954" s="13"/>
    </row>
    <row r="955" spans="1:3" ht="13" x14ac:dyDescent="0.15">
      <c r="A955" s="10"/>
      <c r="B955" s="13"/>
      <c r="C955" s="13"/>
    </row>
    <row r="956" spans="1:3" ht="13" x14ac:dyDescent="0.15">
      <c r="A956" s="10"/>
      <c r="B956" s="13"/>
      <c r="C956" s="13"/>
    </row>
    <row r="957" spans="1:3" ht="13" x14ac:dyDescent="0.15">
      <c r="A957" s="10"/>
      <c r="B957" s="13"/>
      <c r="C957" s="13"/>
    </row>
    <row r="958" spans="1:3" ht="13" x14ac:dyDescent="0.15">
      <c r="A958" s="10"/>
      <c r="B958" s="13"/>
      <c r="C958" s="13"/>
    </row>
    <row r="959" spans="1:3" ht="13" x14ac:dyDescent="0.15">
      <c r="A959" s="10"/>
      <c r="B959" s="13"/>
      <c r="C959" s="13"/>
    </row>
    <row r="960" spans="1:3" ht="13" x14ac:dyDescent="0.15">
      <c r="A960" s="10"/>
      <c r="B960" s="13"/>
      <c r="C960" s="13"/>
    </row>
    <row r="961" spans="1:3" ht="13" x14ac:dyDescent="0.15">
      <c r="A961" s="10"/>
      <c r="B961" s="13"/>
      <c r="C961" s="13"/>
    </row>
    <row r="962" spans="1:3" ht="13" x14ac:dyDescent="0.15">
      <c r="A962" s="10"/>
      <c r="B962" s="13"/>
      <c r="C962" s="13"/>
    </row>
    <row r="963" spans="1:3" ht="13" x14ac:dyDescent="0.15">
      <c r="A963" s="10"/>
      <c r="B963" s="13"/>
      <c r="C963" s="13"/>
    </row>
    <row r="964" spans="1:3" ht="13" x14ac:dyDescent="0.15">
      <c r="A964" s="10"/>
      <c r="B964" s="13"/>
      <c r="C964" s="13"/>
    </row>
    <row r="965" spans="1:3" ht="13" x14ac:dyDescent="0.15">
      <c r="A965" s="10"/>
      <c r="B965" s="13"/>
      <c r="C965" s="13"/>
    </row>
    <row r="966" spans="1:3" ht="13" x14ac:dyDescent="0.15">
      <c r="A966" s="10"/>
      <c r="B966" s="13"/>
      <c r="C966" s="13"/>
    </row>
    <row r="967" spans="1:3" ht="13" x14ac:dyDescent="0.15">
      <c r="A967" s="10"/>
      <c r="B967" s="13"/>
      <c r="C967" s="13"/>
    </row>
    <row r="968" spans="1:3" ht="13" x14ac:dyDescent="0.15">
      <c r="A968" s="10"/>
      <c r="B968" s="13"/>
      <c r="C968" s="13"/>
    </row>
    <row r="969" spans="1:3" ht="13" x14ac:dyDescent="0.15">
      <c r="A969" s="10"/>
      <c r="B969" s="13"/>
      <c r="C969" s="13"/>
    </row>
    <row r="970" spans="1:3" ht="13" x14ac:dyDescent="0.15">
      <c r="A970" s="10"/>
      <c r="B970" s="13"/>
      <c r="C970" s="13"/>
    </row>
    <row r="971" spans="1:3" ht="13" x14ac:dyDescent="0.15">
      <c r="A971" s="10"/>
      <c r="B971" s="13"/>
      <c r="C971" s="13"/>
    </row>
    <row r="972" spans="1:3" ht="13" x14ac:dyDescent="0.15">
      <c r="A972" s="10"/>
      <c r="B972" s="13"/>
      <c r="C972" s="13"/>
    </row>
    <row r="973" spans="1:3" ht="13" x14ac:dyDescent="0.15">
      <c r="A973" s="10"/>
      <c r="B973" s="13"/>
      <c r="C973" s="13"/>
    </row>
    <row r="974" spans="1:3" ht="13" x14ac:dyDescent="0.15">
      <c r="A974" s="10"/>
      <c r="B974" s="13"/>
      <c r="C974" s="13"/>
    </row>
    <row r="975" spans="1:3" ht="13" x14ac:dyDescent="0.15">
      <c r="A975" s="10"/>
      <c r="B975" s="13"/>
      <c r="C975" s="13"/>
    </row>
    <row r="976" spans="1:3" ht="13" x14ac:dyDescent="0.15">
      <c r="A976" s="10"/>
      <c r="B976" s="13"/>
      <c r="C976" s="13"/>
    </row>
    <row r="977" spans="1:3" ht="13" x14ac:dyDescent="0.15">
      <c r="A977" s="10"/>
      <c r="B977" s="13"/>
      <c r="C977" s="13"/>
    </row>
    <row r="978" spans="1:3" ht="13" x14ac:dyDescent="0.15">
      <c r="A978" s="10"/>
      <c r="B978" s="13"/>
      <c r="C978" s="13"/>
    </row>
    <row r="979" spans="1:3" ht="13" x14ac:dyDescent="0.15">
      <c r="A979" s="10"/>
      <c r="B979" s="13"/>
      <c r="C979" s="13"/>
    </row>
    <row r="980" spans="1:3" ht="13" x14ac:dyDescent="0.15">
      <c r="A980" s="10"/>
      <c r="B980" s="13"/>
      <c r="C980" s="13"/>
    </row>
    <row r="981" spans="1:3" ht="13" x14ac:dyDescent="0.15">
      <c r="A981" s="10"/>
      <c r="B981" s="13"/>
      <c r="C981" s="13"/>
    </row>
    <row r="982" spans="1:3" ht="13" x14ac:dyDescent="0.15">
      <c r="A982" s="10"/>
      <c r="B982" s="13"/>
      <c r="C982" s="13"/>
    </row>
    <row r="983" spans="1:3" ht="13" x14ac:dyDescent="0.15">
      <c r="A983" s="10"/>
      <c r="B983" s="13"/>
      <c r="C983" s="13"/>
    </row>
    <row r="984" spans="1:3" ht="13" x14ac:dyDescent="0.15">
      <c r="A984" s="10"/>
      <c r="B984" s="13"/>
      <c r="C984" s="13"/>
    </row>
    <row r="985" spans="1:3" ht="13" x14ac:dyDescent="0.15">
      <c r="A985" s="10"/>
      <c r="B985" s="13"/>
      <c r="C985" s="13"/>
    </row>
    <row r="986" spans="1:3" ht="13" x14ac:dyDescent="0.15">
      <c r="A986" s="10"/>
      <c r="B986" s="13"/>
      <c r="C986" s="13"/>
    </row>
    <row r="987" spans="1:3" ht="13" x14ac:dyDescent="0.15">
      <c r="A987" s="10"/>
      <c r="B987" s="13"/>
      <c r="C987" s="13"/>
    </row>
    <row r="988" spans="1:3" ht="13" x14ac:dyDescent="0.15">
      <c r="A988" s="10"/>
      <c r="B988" s="13"/>
      <c r="C988" s="13"/>
    </row>
    <row r="989" spans="1:3" ht="13" x14ac:dyDescent="0.15">
      <c r="A989" s="10"/>
      <c r="B989" s="13"/>
      <c r="C989" s="13"/>
    </row>
    <row r="990" spans="1:3" ht="13" x14ac:dyDescent="0.15">
      <c r="A990" s="10"/>
      <c r="B990" s="13"/>
      <c r="C990" s="13"/>
    </row>
    <row r="991" spans="1:3" ht="13" x14ac:dyDescent="0.15">
      <c r="A991" s="10"/>
      <c r="B991" s="13"/>
      <c r="C991" s="13"/>
    </row>
    <row r="992" spans="1:3" ht="13" x14ac:dyDescent="0.15">
      <c r="A992" s="10"/>
      <c r="B992" s="13"/>
      <c r="C992" s="13"/>
    </row>
    <row r="993" spans="1:3" ht="13" x14ac:dyDescent="0.15">
      <c r="A993" s="10"/>
      <c r="B993" s="13"/>
      <c r="C993" s="13"/>
    </row>
    <row r="994" spans="1:3" ht="13" x14ac:dyDescent="0.15">
      <c r="A994" s="10"/>
      <c r="B994" s="13"/>
      <c r="C994" s="13"/>
    </row>
    <row r="995" spans="1:3" ht="13" x14ac:dyDescent="0.15">
      <c r="A995" s="10"/>
      <c r="B995" s="13"/>
      <c r="C995" s="13"/>
    </row>
    <row r="996" spans="1:3" ht="13" x14ac:dyDescent="0.15">
      <c r="A996" s="10"/>
      <c r="B996" s="13"/>
      <c r="C996" s="13"/>
    </row>
    <row r="997" spans="1:3" ht="13" x14ac:dyDescent="0.15">
      <c r="A997" s="10"/>
      <c r="B997" s="13"/>
      <c r="C997" s="13"/>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outlinePr summaryBelow="0" summaryRight="0"/>
  </sheetPr>
  <dimension ref="A1:D997"/>
  <sheetViews>
    <sheetView workbookViewId="0"/>
  </sheetViews>
  <sheetFormatPr baseColWidth="10" defaultColWidth="12.6640625" defaultRowHeight="15.75" customHeight="1" x14ac:dyDescent="0.15"/>
  <cols>
    <col min="1" max="1" width="71.5" customWidth="1"/>
    <col min="2" max="4" width="37.6640625" customWidth="1"/>
  </cols>
  <sheetData>
    <row r="1" spans="1:4" ht="15.75" customHeight="1" x14ac:dyDescent="0.15">
      <c r="A1" s="1"/>
      <c r="B1" s="12" t="str">
        <f ca="1">IFERROR(__xludf.DUMMYFUNCTION("IMPORTRANGE(""https://docs.google.com/spreadsheets/d/19FYWDv6QyCNB_zbElAOE5cOI1IJ2jraXGOFWNs-qsQM"",""A25!B1:B22"")"),"Braden Brennan")</f>
        <v>Braden Brennan</v>
      </c>
      <c r="C1" s="10" t="str">
        <f ca="1">IFERROR(__xludf.DUMMYFUNCTION("IMPORTRANGE(""https://docs.google.com/spreadsheets/u/0/d/1QLAeYl5D81_Myo-agZdCgYFm7rliPzxg4xkt-QHL9OA"", ""A25!B1:B22"")"),"Rin godfrey")</f>
        <v>Rin godfrey</v>
      </c>
      <c r="D1" s="2" t="s">
        <v>1</v>
      </c>
    </row>
    <row r="2" spans="1:4" ht="15.75" customHeight="1" x14ac:dyDescent="0.15">
      <c r="A2" s="3" t="s">
        <v>2</v>
      </c>
      <c r="B2" s="15" t="str">
        <f ca="1">IFERROR(__xludf.DUMMYFUNCTION("""COMPUTED_VALUE"""),"16585 - 17202")</f>
        <v>16585 - 17202</v>
      </c>
      <c r="C2" s="15" t="str">
        <f ca="1">IFERROR(__xludf.DUMMYFUNCTION("""COMPUTED_VALUE"""),"Start: 16585
Stop: 17202 FOR")</f>
        <v>Start: 16585
Stop: 17202 FOR</v>
      </c>
      <c r="D2" s="4"/>
    </row>
    <row r="3" spans="1:4" ht="15.75" customHeight="1" x14ac:dyDescent="0.15">
      <c r="A3" s="5" t="s">
        <v>3</v>
      </c>
      <c r="B3" s="17" t="str">
        <f ca="1">IFERROR(__xludf.DUMMYFUNCTION("""COMPUTED_VALUE"""),"DNAM gene 24 Pham gene 25")</f>
        <v>DNAM gene 24 Pham gene 25</v>
      </c>
      <c r="C3" s="17" t="str">
        <f ca="1">IFERROR(__xludf.DUMMYFUNCTION("""COMPUTED_VALUE"""),"DNA Master 24
phamerator 25")</f>
        <v>DNA Master 24
phamerator 25</v>
      </c>
      <c r="D3" s="6"/>
    </row>
    <row r="4" spans="1:4" ht="15.75" customHeight="1" x14ac:dyDescent="0.15">
      <c r="A4" s="5" t="s">
        <v>4</v>
      </c>
      <c r="B4" s="17" t="str">
        <f ca="1">IFERROR(__xludf.DUMMYFUNCTION("""COMPUTED_VALUE"""),"pham 6907 3/14/2025")</f>
        <v>pham 6907 3/14/2025</v>
      </c>
      <c r="C4" s="17" t="str">
        <f ca="1">IFERROR(__xludf.DUMMYFUNCTION("""COMPUTED_VALUE"""),"6907 3/5/25")</f>
        <v>6907 3/5/25</v>
      </c>
      <c r="D4" s="6"/>
    </row>
    <row r="5" spans="1:4" ht="15.75" customHeight="1" x14ac:dyDescent="0.15">
      <c r="A5" s="5" t="s">
        <v>5</v>
      </c>
      <c r="B5" s="17"/>
      <c r="C5" s="17" t="str">
        <f ca="1">IFERROR(__xludf.DUMMYFUNCTION("""COMPUTED_VALUE"""),"Kovu 25 Edmundo 22")</f>
        <v>Kovu 25 Edmundo 22</v>
      </c>
      <c r="D5" s="6"/>
    </row>
    <row r="6" spans="1:4" ht="15.75" customHeight="1" x14ac:dyDescent="0.15">
      <c r="A6" s="5" t="s">
        <v>6</v>
      </c>
      <c r="B6" s="17" t="str">
        <f ca="1">IFERROR(__xludf.DUMMYFUNCTION("""COMPUTED_VALUE"""),"Glimmer call bp 16585 has strength 19.03")</f>
        <v>Glimmer call bp 16585 has strength 19.03</v>
      </c>
      <c r="C6" s="17" t="str">
        <f ca="1">IFERROR(__xludf.DUMMYFUNCTION("""COMPUTED_VALUE"""),"Both call strenghth 19.03")</f>
        <v>Both call strenghth 19.03</v>
      </c>
      <c r="D6" s="6"/>
    </row>
    <row r="7" spans="1:4" ht="15.75" customHeight="1" x14ac:dyDescent="0.15">
      <c r="A7" s="5" t="s">
        <v>7</v>
      </c>
      <c r="B7" s="17" t="str">
        <f ca="1">IFERROR(__xludf.DUMMYFUNCTION("""COMPUTED_VALUE"""),"Good coding potential ")</f>
        <v xml:space="preserve">Good coding potential </v>
      </c>
      <c r="C7" s="17" t="str">
        <f ca="1">IFERROR(__xludf.DUMMYFUNCTION("""COMPUTED_VALUE"""),"Yes it has coding potensal and all is included.")</f>
        <v>Yes it has coding potensal and all is included.</v>
      </c>
      <c r="D7" s="6"/>
    </row>
    <row r="8" spans="1:4" ht="15.75" customHeight="1" x14ac:dyDescent="0.15">
      <c r="A8" s="5" t="s">
        <v>8</v>
      </c>
      <c r="B8" s="17" t="str">
        <f ca="1">IFERROR(__xludf.DUMMYFUNCTION("""COMPUTED_VALUE"""),"Longest possible ORF")</f>
        <v>Longest possible ORF</v>
      </c>
      <c r="C8" s="17" t="str">
        <f ca="1">IFERROR(__xludf.DUMMYFUNCTION("""COMPUTED_VALUE"""),"Yes it is the longest possable. It almost overlaps onto of 23 in DNA master.")</f>
        <v>Yes it is the longest possable. It almost overlaps onto of 23 in DNA master.</v>
      </c>
      <c r="D8" s="6"/>
    </row>
    <row r="9" spans="1:4" ht="15.75" customHeight="1" x14ac:dyDescent="0.15">
      <c r="A9" s="5" t="s">
        <v>9</v>
      </c>
      <c r="B9" s="17" t="str">
        <f ca="1">IFERROR(__xludf.DUMMYFUNCTION("""COMPUTED_VALUE"""),"Three nucleotide overlap")</f>
        <v>Three nucleotide overlap</v>
      </c>
      <c r="C9" s="17" t="str">
        <f ca="1">IFERROR(__xludf.DUMMYFUNCTION("""COMPUTED_VALUE"""),"It has an overlap of 3 nuclitaides with gene 23 on DNA master.")</f>
        <v>It has an overlap of 3 nuclitaides with gene 23 on DNA master.</v>
      </c>
      <c r="D9" s="6"/>
    </row>
    <row r="10" spans="1:4" ht="15.75" customHeight="1" x14ac:dyDescent="0.15">
      <c r="A10" s="5" t="s">
        <v>10</v>
      </c>
      <c r="B10" s="17" t="str">
        <f ca="1">IFERROR(__xludf.DUMMYFUNCTION("""COMPUTED_VALUE"""),"SD:-2.831 Z: 2.455 FINAL: -3.789")</f>
        <v>SD:-2.831 Z: 2.455 FINAL: -3.789</v>
      </c>
      <c r="C10" s="17" t="str">
        <f ca="1">IFERROR(__xludf.DUMMYFUNCTION("""COMPUTED_VALUE"""),"The z-score is 2.420 and Final score is -3.598. This is the best score.")</f>
        <v>The z-score is 2.420 and Final score is -3.598. This is the best score.</v>
      </c>
      <c r="D10" s="6"/>
    </row>
    <row r="11" spans="1:4" ht="15.75" customHeight="1" x14ac:dyDescent="0.15">
      <c r="A11" s="5" t="s">
        <v>11</v>
      </c>
      <c r="B11" s="17" t="str">
        <f ca="1">IFERROR(__xludf.DUMMYFUNCTION("""COMPUTED_VALUE"""),"Ribonuclease Kovu, 81.45% identity, 0.0E0) RNase Shrooms, 50.24% identity, 1.6E-42")</f>
        <v>Ribonuclease Kovu, 81.45% identity, 0.0E0) RNase Shrooms, 50.24% identity, 1.6E-42</v>
      </c>
      <c r="C11" s="17" t="str">
        <f ca="1">IFERROR(__xludf.DUMMYFUNCTION("""COMPUTED_VALUE"""),"Kovu 25
81.46% identity, 0.0e, Q 1-205, T 1-205")</f>
        <v>Kovu 25
81.46% identity, 0.0e, Q 1-205, T 1-205</v>
      </c>
      <c r="D11" s="6"/>
    </row>
    <row r="12" spans="1:4" ht="15.75" customHeight="1" x14ac:dyDescent="0.15">
      <c r="A12" s="5" t="s">
        <v>12</v>
      </c>
      <c r="B12" s="17" t="str">
        <f ca="1">IFERROR(__xludf.DUMMYFUNCTION("""COMPUTED_VALUE"""),"• Found in 9 of 9 ( 100.0% ) called 100%")</f>
        <v>• Found in 9 of 9 ( 100.0% ) called 100%</v>
      </c>
      <c r="C12" s="17" t="str">
        <f ca="1">IFERROR(__xludf.DUMMYFUNCTION("""COMPUTED_VALUE"""),"It shares starts with both Edmundo_22 (AL),
Kovu_25. Called 100% of the time.")</f>
        <v>It shares starts with both Edmundo_22 (AL),
Kovu_25. Called 100% of the time.</v>
      </c>
      <c r="D12" s="6"/>
    </row>
    <row r="13" spans="1:4" ht="15.75" customHeight="1" x14ac:dyDescent="0.15">
      <c r="A13" s="5" t="s">
        <v>13</v>
      </c>
      <c r="B13" s="17" t="str">
        <f ca="1">IFERROR(__xludf.DUMMYFUNCTION("""COMPUTED_VALUE"""),"No - fits with family and gene would have an unneeded overlap")</f>
        <v>No - fits with family and gene would have an unneeded overlap</v>
      </c>
      <c r="C13" s="17" t="str">
        <f ca="1">IFERROR(__xludf.DUMMYFUNCTION("""COMPUTED_VALUE"""),"NO change there is nothing to change to and no reason.")</f>
        <v>NO change there is nothing to change to and no reason.</v>
      </c>
      <c r="D13" s="6"/>
    </row>
    <row r="14" spans="1:4" ht="15.75" customHeight="1" x14ac:dyDescent="0.15">
      <c r="A14" s="5" t="s">
        <v>14</v>
      </c>
      <c r="B14" s="17" t="str">
        <f ca="1">IFERROR(__xludf.DUMMYFUNCTION("""COMPUTED_VALUE"""),"Kovu_25 (ribonuclease) Laroye_23 (RNase)")</f>
        <v>Kovu_25 (ribonuclease) Laroye_23 (RNase)</v>
      </c>
      <c r="C14" s="17" t="str">
        <f ca="1">IFERROR(__xludf.DUMMYFUNCTION("""COMPUTED_VALUE"""),"Kovu_25, Shrooms_22")</f>
        <v>Kovu_25, Shrooms_22</v>
      </c>
      <c r="D14" s="6"/>
    </row>
    <row r="15" spans="1:4" ht="15.75" customHeight="1" x14ac:dyDescent="0.15">
      <c r="A15" s="5" t="s">
        <v>15</v>
      </c>
      <c r="B15" s="17" t="str">
        <f ca="1">IFERROR(__xludf.DUMMYFUNCTION("""COMPUTED_VALUE"""),"Ribonuclease and RNase")</f>
        <v>Ribonuclease and RNase</v>
      </c>
      <c r="C15" s="17" t="str">
        <f ca="1">IFERROR(__xludf.DUMMYFUNCTION("""COMPUTED_VALUE"""),"Kovu_25 ribonuclease
Shrooms_22 RNase")</f>
        <v>Kovu_25 ribonuclease
Shrooms_22 RNase</v>
      </c>
      <c r="D15" s="6"/>
    </row>
    <row r="16" spans="1:4" ht="15.75" customHeight="1" x14ac:dyDescent="0.15">
      <c r="A16" s="5" t="s">
        <v>16</v>
      </c>
      <c r="B16" s="17" t="str">
        <f ca="1">IFERROR(__xludf.DUMMYFUNCTION("""COMPUTED_VALUE"""),"aligns well with all genes around it other than possible gene 24")</f>
        <v>aligns well with all genes around it other than possible gene 24</v>
      </c>
      <c r="C16" s="17" t="str">
        <f ca="1">IFERROR(__xludf.DUMMYFUNCTION("""COMPUTED_VALUE"""),"Yes this function matches pretty well and are adjacent with 25 of Kovu.")</f>
        <v>Yes this function matches pretty well and are adjacent with 25 of Kovu.</v>
      </c>
      <c r="D16" s="6"/>
    </row>
    <row r="17" spans="1:4" ht="15.75" customHeight="1" x14ac:dyDescent="0.15">
      <c r="A17" s="5" t="s">
        <v>17</v>
      </c>
      <c r="B17" s="17" t="str">
        <f ca="1">IFERROR(__xludf.DUMMYFUNCTION("""COMPUTED_VALUE"""),"Rnh (Ribonuclease H); RNase H, 98.98% probability, alignment of Q:62.93%,   alignment of T: 88.36% ")</f>
        <v xml:space="preserve">Rnh (Ribonuclease H); RNase H, 98.98% probability, alignment of Q:62.93%,   alignment of T: 88.36% </v>
      </c>
      <c r="C17" s="17" t="str">
        <f ca="1">IFERROR(__xludf.DUMMYFUNCTION("""COMPUTED_VALUE"""),"3H08_B Rnh (Ribonuclease H); RNase H, Endonuclease, Hydrolase, Magnesium, Metal-binding, Nuclease; 1.6A {Chlorobaculum tepidum} SCOP: c.55.3.0 
Probability: 98.87% 
63% Query, 88% Target
Yes the function domain is part pf alignment.")</f>
        <v>3H08_B Rnh (Ribonuclease H); RNase H, Endonuclease, Hydrolase, Magnesium, Metal-binding, Nuclease; 1.6A {Chlorobaculum tepidum} SCOP: c.55.3.0 
Probability: 98.87% 
63% Query, 88% Target
Yes the function domain is part pf alignment.</v>
      </c>
      <c r="D17" s="6"/>
    </row>
    <row r="18" spans="1:4" ht="15.75" customHeight="1" x14ac:dyDescent="0.15">
      <c r="A18" s="5" t="s">
        <v>18</v>
      </c>
      <c r="B18" s="17" t="str">
        <f ca="1">IFERROR(__xludf.DUMMYFUNCTION("""COMPUTED_VALUE"""),"Eukaryotic RNase H")</f>
        <v>Eukaryotic RNase H</v>
      </c>
      <c r="C18" s="17" t="str">
        <f ca="1">IFERROR(__xludf.DUMMYFUNCTION("""COMPUTED_VALUE"""),"RNase_HI_eukaryote_like")</f>
        <v>RNase_HI_eukaryote_like</v>
      </c>
      <c r="D18" s="6"/>
    </row>
    <row r="19" spans="1:4" ht="15.75" customHeight="1" x14ac:dyDescent="0.15">
      <c r="A19" s="5" t="s">
        <v>19</v>
      </c>
      <c r="B19" s="17" t="str">
        <f ca="1">IFERROR(__xludf.DUMMYFUNCTION("""COMPUTED_VALUE"""),"inside probability of 1")</f>
        <v>inside probability of 1</v>
      </c>
      <c r="C19" s="17" t="str">
        <f ca="1">IFERROR(__xludf.DUMMYFUNCTION("""COMPUTED_VALUE"""),"None")</f>
        <v>None</v>
      </c>
      <c r="D19" s="6"/>
    </row>
    <row r="20" spans="1:4" ht="15.75" customHeight="1" x14ac:dyDescent="0.15">
      <c r="A20" s="5" t="s">
        <v>20</v>
      </c>
      <c r="B20" s="17" t="str">
        <f ca="1">IFERROR(__xludf.DUMMYFUNCTION("""COMPUTED_VALUE"""),"Most signs point to it being a ribonuclease protein ")</f>
        <v xml:space="preserve">Most signs point to it being a ribonuclease protein </v>
      </c>
      <c r="C20" s="17" t="str">
        <f ca="1">IFERROR(__xludf.DUMMYFUNCTION("""COMPUTED_VALUE"""),"ribonuclease is the fuction. It maches with the Kovu_25 fuction pretty well and looks very similer. Overall all evidence point to this function.")</f>
        <v>ribonuclease is the fuction. It maches with the Kovu_25 fuction pretty well and looks very similer. Overall all evidence point to this function.</v>
      </c>
      <c r="D20" s="6"/>
    </row>
    <row r="21" spans="1:4" x14ac:dyDescent="0.2">
      <c r="A21" s="7"/>
      <c r="B21" s="19"/>
      <c r="C21" s="19"/>
      <c r="D21" s="8"/>
    </row>
    <row r="22" spans="1:4" ht="15.75" customHeight="1" x14ac:dyDescent="0.15">
      <c r="A22" s="9" t="s">
        <v>21</v>
      </c>
      <c r="B22" s="19"/>
      <c r="C22" s="19"/>
      <c r="D22" s="8"/>
    </row>
    <row r="23" spans="1:4" ht="15.75" customHeight="1" x14ac:dyDescent="0.15">
      <c r="A23" s="10"/>
      <c r="B23" s="13"/>
      <c r="C23" s="13"/>
    </row>
    <row r="24" spans="1:4" ht="15.75" customHeight="1" x14ac:dyDescent="0.15">
      <c r="A24" s="10"/>
      <c r="B24" s="13"/>
      <c r="C24" s="13"/>
    </row>
    <row r="25" spans="1:4" ht="15.75" customHeight="1" x14ac:dyDescent="0.15">
      <c r="A25" s="10"/>
      <c r="B25" s="13"/>
      <c r="C25" s="13"/>
    </row>
    <row r="26" spans="1:4" ht="15.75" customHeight="1" x14ac:dyDescent="0.15">
      <c r="A26" s="10"/>
      <c r="B26" s="13"/>
      <c r="C26" s="13"/>
    </row>
    <row r="27" spans="1:4" ht="15.75" customHeight="1" x14ac:dyDescent="0.15">
      <c r="A27" s="10"/>
      <c r="B27" s="13"/>
      <c r="C27" s="13"/>
    </row>
    <row r="28" spans="1:4" ht="15.75" customHeight="1" x14ac:dyDescent="0.15">
      <c r="A28" s="10"/>
      <c r="B28" s="13"/>
      <c r="C28" s="13"/>
    </row>
    <row r="29" spans="1:4" ht="15.75" customHeight="1" x14ac:dyDescent="0.15">
      <c r="A29" s="10"/>
      <c r="B29" s="13"/>
      <c r="C29" s="13"/>
    </row>
    <row r="30" spans="1:4" ht="15.75" customHeight="1" x14ac:dyDescent="0.15">
      <c r="A30" s="10"/>
      <c r="B30" s="13"/>
      <c r="C30" s="13"/>
    </row>
    <row r="31" spans="1:4" ht="15.75" customHeight="1" x14ac:dyDescent="0.15">
      <c r="A31" s="10"/>
      <c r="B31" s="13"/>
      <c r="C31" s="13"/>
    </row>
    <row r="32" spans="1:4" ht="15.75" customHeight="1" x14ac:dyDescent="0.15">
      <c r="A32" s="10"/>
      <c r="B32" s="13"/>
      <c r="C32" s="13"/>
    </row>
    <row r="33" spans="1:3" ht="15.75" customHeight="1" x14ac:dyDescent="0.15">
      <c r="A33" s="10"/>
      <c r="B33" s="13"/>
      <c r="C33" s="13"/>
    </row>
    <row r="34" spans="1:3" ht="15.75" customHeight="1" x14ac:dyDescent="0.15">
      <c r="A34" s="10"/>
      <c r="B34" s="13"/>
      <c r="C34" s="13"/>
    </row>
    <row r="35" spans="1:3" ht="15.75" customHeight="1" x14ac:dyDescent="0.15">
      <c r="A35" s="10"/>
      <c r="B35" s="13"/>
      <c r="C35" s="13"/>
    </row>
    <row r="36" spans="1:3" ht="15.75" customHeight="1" x14ac:dyDescent="0.15">
      <c r="A36" s="10"/>
      <c r="B36" s="13"/>
      <c r="C36" s="13"/>
    </row>
    <row r="37" spans="1:3" ht="15.75" customHeight="1" x14ac:dyDescent="0.15">
      <c r="A37" s="10"/>
      <c r="B37" s="13"/>
      <c r="C37" s="13"/>
    </row>
    <row r="38" spans="1:3" ht="15.75" customHeight="1" x14ac:dyDescent="0.15">
      <c r="A38" s="10"/>
      <c r="B38" s="13"/>
      <c r="C38" s="13"/>
    </row>
    <row r="39" spans="1:3" ht="13" x14ac:dyDescent="0.15">
      <c r="A39" s="10"/>
      <c r="B39" s="13"/>
      <c r="C39" s="13"/>
    </row>
    <row r="40" spans="1:3" ht="13" x14ac:dyDescent="0.15">
      <c r="A40" s="10"/>
      <c r="B40" s="13"/>
      <c r="C40" s="13"/>
    </row>
    <row r="41" spans="1:3" ht="13" x14ac:dyDescent="0.15">
      <c r="A41" s="10"/>
      <c r="B41" s="13"/>
      <c r="C41" s="13"/>
    </row>
    <row r="42" spans="1:3" ht="13" x14ac:dyDescent="0.15">
      <c r="A42" s="10"/>
      <c r="B42" s="13"/>
      <c r="C42" s="13"/>
    </row>
    <row r="43" spans="1:3" ht="13" x14ac:dyDescent="0.15">
      <c r="A43" s="10"/>
      <c r="B43" s="13"/>
      <c r="C43" s="13"/>
    </row>
    <row r="44" spans="1:3" ht="13" x14ac:dyDescent="0.15">
      <c r="A44" s="10"/>
      <c r="B44" s="13"/>
      <c r="C44" s="13"/>
    </row>
    <row r="45" spans="1:3" ht="13" x14ac:dyDescent="0.15">
      <c r="A45" s="10"/>
      <c r="B45" s="13"/>
      <c r="C45" s="13"/>
    </row>
    <row r="46" spans="1:3" ht="13" x14ac:dyDescent="0.15">
      <c r="A46" s="10"/>
      <c r="B46" s="13"/>
      <c r="C46" s="13"/>
    </row>
    <row r="47" spans="1:3" ht="13" x14ac:dyDescent="0.15">
      <c r="A47" s="10"/>
      <c r="B47" s="13"/>
      <c r="C47" s="13"/>
    </row>
    <row r="48" spans="1:3" ht="13" x14ac:dyDescent="0.15">
      <c r="A48" s="10"/>
      <c r="B48" s="13"/>
      <c r="C48" s="13"/>
    </row>
    <row r="49" spans="1:3" ht="13" x14ac:dyDescent="0.15">
      <c r="A49" s="10"/>
      <c r="B49" s="13"/>
      <c r="C49" s="13"/>
    </row>
    <row r="50" spans="1:3" ht="13" x14ac:dyDescent="0.15">
      <c r="A50" s="10"/>
      <c r="B50" s="13"/>
      <c r="C50" s="13"/>
    </row>
    <row r="51" spans="1:3" ht="13" x14ac:dyDescent="0.15">
      <c r="A51" s="10"/>
      <c r="B51" s="13"/>
      <c r="C51" s="13"/>
    </row>
    <row r="52" spans="1:3" ht="13" x14ac:dyDescent="0.15">
      <c r="A52" s="10"/>
      <c r="B52" s="13"/>
      <c r="C52" s="13"/>
    </row>
    <row r="53" spans="1:3" ht="13" x14ac:dyDescent="0.15">
      <c r="A53" s="10"/>
      <c r="B53" s="13"/>
      <c r="C53" s="13"/>
    </row>
    <row r="54" spans="1:3" ht="13" x14ac:dyDescent="0.15">
      <c r="A54" s="10"/>
      <c r="B54" s="13"/>
      <c r="C54" s="13"/>
    </row>
    <row r="55" spans="1:3" ht="13" x14ac:dyDescent="0.15">
      <c r="A55" s="10"/>
      <c r="B55" s="13"/>
      <c r="C55" s="13"/>
    </row>
    <row r="56" spans="1:3" ht="13" x14ac:dyDescent="0.15">
      <c r="A56" s="10"/>
      <c r="B56" s="13"/>
      <c r="C56" s="13"/>
    </row>
    <row r="57" spans="1:3" ht="13" x14ac:dyDescent="0.15">
      <c r="A57" s="10"/>
      <c r="B57" s="13"/>
      <c r="C57" s="13"/>
    </row>
    <row r="58" spans="1:3" ht="13" x14ac:dyDescent="0.15">
      <c r="A58" s="10"/>
      <c r="B58" s="13"/>
      <c r="C58" s="13"/>
    </row>
    <row r="59" spans="1:3" ht="13" x14ac:dyDescent="0.15">
      <c r="A59" s="10"/>
      <c r="B59" s="13"/>
      <c r="C59" s="13"/>
    </row>
    <row r="60" spans="1:3" ht="13" x14ac:dyDescent="0.15">
      <c r="A60" s="10"/>
      <c r="B60" s="13"/>
      <c r="C60" s="13"/>
    </row>
    <row r="61" spans="1:3" ht="13" x14ac:dyDescent="0.15">
      <c r="A61" s="10"/>
      <c r="B61" s="13"/>
      <c r="C61" s="13"/>
    </row>
    <row r="62" spans="1:3" ht="13" x14ac:dyDescent="0.15">
      <c r="A62" s="10"/>
      <c r="B62" s="13"/>
      <c r="C62" s="13"/>
    </row>
    <row r="63" spans="1:3" ht="13" x14ac:dyDescent="0.15">
      <c r="A63" s="10"/>
      <c r="B63" s="13"/>
      <c r="C63" s="13"/>
    </row>
    <row r="64" spans="1:3" ht="13" x14ac:dyDescent="0.15">
      <c r="A64" s="10"/>
      <c r="B64" s="13"/>
      <c r="C64" s="13"/>
    </row>
    <row r="65" spans="1:3" ht="13" x14ac:dyDescent="0.15">
      <c r="A65" s="10"/>
      <c r="B65" s="13"/>
      <c r="C65" s="13"/>
    </row>
    <row r="66" spans="1:3" ht="13" x14ac:dyDescent="0.15">
      <c r="A66" s="10"/>
      <c r="B66" s="13"/>
      <c r="C66" s="13"/>
    </row>
    <row r="67" spans="1:3" ht="13" x14ac:dyDescent="0.15">
      <c r="A67" s="10"/>
      <c r="B67" s="13"/>
      <c r="C67" s="13"/>
    </row>
    <row r="68" spans="1:3" ht="13" x14ac:dyDescent="0.15">
      <c r="A68" s="10"/>
      <c r="B68" s="13"/>
      <c r="C68" s="13"/>
    </row>
    <row r="69" spans="1:3" ht="13" x14ac:dyDescent="0.15">
      <c r="A69" s="10"/>
      <c r="B69" s="13"/>
      <c r="C69" s="13"/>
    </row>
    <row r="70" spans="1:3" ht="13" x14ac:dyDescent="0.15">
      <c r="A70" s="10"/>
      <c r="B70" s="13"/>
      <c r="C70" s="13"/>
    </row>
    <row r="71" spans="1:3" ht="13" x14ac:dyDescent="0.15">
      <c r="A71" s="10"/>
      <c r="B71" s="13"/>
      <c r="C71" s="13"/>
    </row>
    <row r="72" spans="1:3" ht="13" x14ac:dyDescent="0.15">
      <c r="A72" s="10"/>
      <c r="B72" s="13"/>
      <c r="C72" s="13"/>
    </row>
    <row r="73" spans="1:3" ht="13" x14ac:dyDescent="0.15">
      <c r="A73" s="10"/>
      <c r="B73" s="13"/>
      <c r="C73" s="13"/>
    </row>
    <row r="74" spans="1:3" ht="13" x14ac:dyDescent="0.15">
      <c r="A74" s="10"/>
      <c r="B74" s="13"/>
      <c r="C74" s="13"/>
    </row>
    <row r="75" spans="1:3" ht="13" x14ac:dyDescent="0.15">
      <c r="A75" s="10"/>
      <c r="B75" s="13"/>
      <c r="C75" s="13"/>
    </row>
    <row r="76" spans="1:3" ht="13" x14ac:dyDescent="0.15">
      <c r="A76" s="10"/>
      <c r="B76" s="13"/>
      <c r="C76" s="13"/>
    </row>
    <row r="77" spans="1:3" ht="13" x14ac:dyDescent="0.15">
      <c r="A77" s="10"/>
      <c r="B77" s="13"/>
      <c r="C77" s="13"/>
    </row>
    <row r="78" spans="1:3" ht="13" x14ac:dyDescent="0.15">
      <c r="A78" s="10"/>
      <c r="B78" s="13"/>
      <c r="C78" s="13"/>
    </row>
    <row r="79" spans="1:3" ht="13" x14ac:dyDescent="0.15">
      <c r="A79" s="10"/>
      <c r="B79" s="13"/>
      <c r="C79" s="13"/>
    </row>
    <row r="80" spans="1:3" ht="13" x14ac:dyDescent="0.15">
      <c r="A80" s="10"/>
      <c r="B80" s="13"/>
      <c r="C80" s="13"/>
    </row>
    <row r="81" spans="1:3" ht="13" x14ac:dyDescent="0.15">
      <c r="A81" s="10"/>
      <c r="B81" s="13"/>
      <c r="C81" s="13"/>
    </row>
    <row r="82" spans="1:3" ht="13" x14ac:dyDescent="0.15">
      <c r="A82" s="10"/>
      <c r="B82" s="13"/>
      <c r="C82" s="13"/>
    </row>
    <row r="83" spans="1:3" ht="13" x14ac:dyDescent="0.15">
      <c r="A83" s="10"/>
      <c r="B83" s="13"/>
      <c r="C83" s="13"/>
    </row>
    <row r="84" spans="1:3" ht="13" x14ac:dyDescent="0.15">
      <c r="A84" s="10"/>
      <c r="B84" s="13"/>
      <c r="C84" s="13"/>
    </row>
    <row r="85" spans="1:3" ht="13" x14ac:dyDescent="0.15">
      <c r="A85" s="10"/>
      <c r="B85" s="13"/>
      <c r="C85" s="13"/>
    </row>
    <row r="86" spans="1:3" ht="13" x14ac:dyDescent="0.15">
      <c r="A86" s="10"/>
      <c r="B86" s="13"/>
      <c r="C86" s="13"/>
    </row>
    <row r="87" spans="1:3" ht="13" x14ac:dyDescent="0.15">
      <c r="A87" s="10"/>
      <c r="B87" s="13"/>
      <c r="C87" s="13"/>
    </row>
    <row r="88" spans="1:3" ht="13" x14ac:dyDescent="0.15">
      <c r="A88" s="10"/>
      <c r="B88" s="13"/>
      <c r="C88" s="13"/>
    </row>
    <row r="89" spans="1:3" ht="13" x14ac:dyDescent="0.15">
      <c r="A89" s="10"/>
      <c r="B89" s="13"/>
      <c r="C89" s="13"/>
    </row>
    <row r="90" spans="1:3" ht="13" x14ac:dyDescent="0.15">
      <c r="A90" s="10"/>
      <c r="B90" s="13"/>
      <c r="C90" s="13"/>
    </row>
    <row r="91" spans="1:3" ht="13" x14ac:dyDescent="0.15">
      <c r="A91" s="10"/>
      <c r="B91" s="13"/>
      <c r="C91" s="13"/>
    </row>
    <row r="92" spans="1:3" ht="13" x14ac:dyDescent="0.15">
      <c r="A92" s="10"/>
      <c r="B92" s="13"/>
      <c r="C92" s="13"/>
    </row>
    <row r="93" spans="1:3" ht="13" x14ac:dyDescent="0.15">
      <c r="A93" s="10"/>
      <c r="B93" s="13"/>
      <c r="C93" s="13"/>
    </row>
    <row r="94" spans="1:3" ht="13" x14ac:dyDescent="0.15">
      <c r="A94" s="10"/>
      <c r="B94" s="13"/>
      <c r="C94" s="13"/>
    </row>
    <row r="95" spans="1:3" ht="13" x14ac:dyDescent="0.15">
      <c r="A95" s="10"/>
      <c r="B95" s="13"/>
      <c r="C95" s="13"/>
    </row>
    <row r="96" spans="1:3" ht="13" x14ac:dyDescent="0.15">
      <c r="A96" s="10"/>
      <c r="B96" s="13"/>
      <c r="C96" s="13"/>
    </row>
    <row r="97" spans="1:3" ht="13" x14ac:dyDescent="0.15">
      <c r="A97" s="10"/>
      <c r="B97" s="13"/>
      <c r="C97" s="13"/>
    </row>
    <row r="98" spans="1:3" ht="13" x14ac:dyDescent="0.15">
      <c r="A98" s="10"/>
      <c r="B98" s="13"/>
      <c r="C98" s="13"/>
    </row>
    <row r="99" spans="1:3" ht="13" x14ac:dyDescent="0.15">
      <c r="A99" s="10"/>
      <c r="B99" s="13"/>
      <c r="C99" s="13"/>
    </row>
    <row r="100" spans="1:3" ht="13" x14ac:dyDescent="0.15">
      <c r="A100" s="10"/>
      <c r="B100" s="13"/>
      <c r="C100" s="13"/>
    </row>
    <row r="101" spans="1:3" ht="13" x14ac:dyDescent="0.15">
      <c r="A101" s="10"/>
      <c r="B101" s="13"/>
      <c r="C101" s="13"/>
    </row>
    <row r="102" spans="1:3" ht="13" x14ac:dyDescent="0.15">
      <c r="A102" s="10"/>
      <c r="B102" s="13"/>
      <c r="C102" s="13"/>
    </row>
    <row r="103" spans="1:3" ht="13" x14ac:dyDescent="0.15">
      <c r="A103" s="10"/>
      <c r="B103" s="13"/>
      <c r="C103" s="13"/>
    </row>
    <row r="104" spans="1:3" ht="13" x14ac:dyDescent="0.15">
      <c r="A104" s="10"/>
      <c r="B104" s="13"/>
      <c r="C104" s="13"/>
    </row>
    <row r="105" spans="1:3" ht="13" x14ac:dyDescent="0.15">
      <c r="A105" s="10"/>
      <c r="B105" s="13"/>
      <c r="C105" s="13"/>
    </row>
    <row r="106" spans="1:3" ht="13" x14ac:dyDescent="0.15">
      <c r="A106" s="10"/>
      <c r="B106" s="13"/>
      <c r="C106" s="13"/>
    </row>
    <row r="107" spans="1:3" ht="13" x14ac:dyDescent="0.15">
      <c r="A107" s="10"/>
      <c r="B107" s="13"/>
      <c r="C107" s="13"/>
    </row>
    <row r="108" spans="1:3" ht="13" x14ac:dyDescent="0.15">
      <c r="A108" s="10"/>
      <c r="B108" s="13"/>
      <c r="C108" s="13"/>
    </row>
    <row r="109" spans="1:3" ht="13" x14ac:dyDescent="0.15">
      <c r="A109" s="10"/>
      <c r="B109" s="13"/>
      <c r="C109" s="13"/>
    </row>
    <row r="110" spans="1:3" ht="13" x14ac:dyDescent="0.15">
      <c r="A110" s="10"/>
      <c r="B110" s="13"/>
      <c r="C110" s="13"/>
    </row>
    <row r="111" spans="1:3" ht="13" x14ac:dyDescent="0.15">
      <c r="A111" s="10"/>
      <c r="B111" s="13"/>
      <c r="C111" s="13"/>
    </row>
    <row r="112" spans="1:3" ht="13" x14ac:dyDescent="0.15">
      <c r="A112" s="10"/>
      <c r="B112" s="13"/>
      <c r="C112" s="13"/>
    </row>
    <row r="113" spans="1:3" ht="13" x14ac:dyDescent="0.15">
      <c r="A113" s="10"/>
      <c r="B113" s="13"/>
      <c r="C113" s="13"/>
    </row>
    <row r="114" spans="1:3" ht="13" x14ac:dyDescent="0.15">
      <c r="A114" s="10"/>
      <c r="B114" s="13"/>
      <c r="C114" s="13"/>
    </row>
    <row r="115" spans="1:3" ht="13" x14ac:dyDescent="0.15">
      <c r="A115" s="10"/>
      <c r="B115" s="13"/>
      <c r="C115" s="13"/>
    </row>
    <row r="116" spans="1:3" ht="13" x14ac:dyDescent="0.15">
      <c r="A116" s="10"/>
      <c r="B116" s="13"/>
      <c r="C116" s="13"/>
    </row>
    <row r="117" spans="1:3" ht="13" x14ac:dyDescent="0.15">
      <c r="A117" s="10"/>
      <c r="B117" s="13"/>
      <c r="C117" s="13"/>
    </row>
    <row r="118" spans="1:3" ht="13" x14ac:dyDescent="0.15">
      <c r="A118" s="10"/>
      <c r="B118" s="13"/>
      <c r="C118" s="13"/>
    </row>
    <row r="119" spans="1:3" ht="13" x14ac:dyDescent="0.15">
      <c r="A119" s="10"/>
      <c r="B119" s="13"/>
      <c r="C119" s="13"/>
    </row>
    <row r="120" spans="1:3" ht="13" x14ac:dyDescent="0.15">
      <c r="A120" s="10"/>
      <c r="B120" s="13"/>
      <c r="C120" s="13"/>
    </row>
    <row r="121" spans="1:3" ht="13" x14ac:dyDescent="0.15">
      <c r="A121" s="10"/>
      <c r="B121" s="13"/>
      <c r="C121" s="13"/>
    </row>
    <row r="122" spans="1:3" ht="13" x14ac:dyDescent="0.15">
      <c r="A122" s="10"/>
      <c r="B122" s="13"/>
      <c r="C122" s="13"/>
    </row>
    <row r="123" spans="1:3" ht="13" x14ac:dyDescent="0.15">
      <c r="A123" s="10"/>
      <c r="B123" s="13"/>
      <c r="C123" s="13"/>
    </row>
    <row r="124" spans="1:3" ht="13" x14ac:dyDescent="0.15">
      <c r="A124" s="10"/>
      <c r="B124" s="13"/>
      <c r="C124" s="13"/>
    </row>
    <row r="125" spans="1:3" ht="13" x14ac:dyDescent="0.15">
      <c r="A125" s="10"/>
      <c r="B125" s="13"/>
      <c r="C125" s="13"/>
    </row>
    <row r="126" spans="1:3" ht="13" x14ac:dyDescent="0.15">
      <c r="A126" s="10"/>
      <c r="B126" s="13"/>
      <c r="C126" s="13"/>
    </row>
    <row r="127" spans="1:3" ht="13" x14ac:dyDescent="0.15">
      <c r="A127" s="10"/>
      <c r="B127" s="13"/>
      <c r="C127" s="13"/>
    </row>
    <row r="128" spans="1:3" ht="13" x14ac:dyDescent="0.15">
      <c r="A128" s="10"/>
      <c r="B128" s="13"/>
      <c r="C128" s="13"/>
    </row>
    <row r="129" spans="1:3" ht="13" x14ac:dyDescent="0.15">
      <c r="A129" s="10"/>
      <c r="B129" s="13"/>
      <c r="C129" s="13"/>
    </row>
    <row r="130" spans="1:3" ht="13" x14ac:dyDescent="0.15">
      <c r="A130" s="10"/>
      <c r="B130" s="13"/>
      <c r="C130" s="13"/>
    </row>
    <row r="131" spans="1:3" ht="13" x14ac:dyDescent="0.15">
      <c r="A131" s="10"/>
      <c r="B131" s="13"/>
      <c r="C131" s="13"/>
    </row>
    <row r="132" spans="1:3" ht="13" x14ac:dyDescent="0.15">
      <c r="A132" s="10"/>
      <c r="B132" s="13"/>
      <c r="C132" s="13"/>
    </row>
    <row r="133" spans="1:3" ht="13" x14ac:dyDescent="0.15">
      <c r="A133" s="10"/>
      <c r="B133" s="13"/>
      <c r="C133" s="13"/>
    </row>
    <row r="134" spans="1:3" ht="13" x14ac:dyDescent="0.15">
      <c r="A134" s="10"/>
      <c r="B134" s="13"/>
      <c r="C134" s="13"/>
    </row>
    <row r="135" spans="1:3" ht="13" x14ac:dyDescent="0.15">
      <c r="A135" s="10"/>
      <c r="B135" s="13"/>
      <c r="C135" s="13"/>
    </row>
    <row r="136" spans="1:3" ht="13" x14ac:dyDescent="0.15">
      <c r="A136" s="10"/>
      <c r="B136" s="13"/>
      <c r="C136" s="13"/>
    </row>
    <row r="137" spans="1:3" ht="13" x14ac:dyDescent="0.15">
      <c r="A137" s="10"/>
      <c r="B137" s="13"/>
      <c r="C137" s="13"/>
    </row>
    <row r="138" spans="1:3" ht="13" x14ac:dyDescent="0.15">
      <c r="A138" s="10"/>
      <c r="B138" s="13"/>
      <c r="C138" s="13"/>
    </row>
    <row r="139" spans="1:3" ht="13" x14ac:dyDescent="0.15">
      <c r="A139" s="10"/>
      <c r="B139" s="13"/>
      <c r="C139" s="13"/>
    </row>
    <row r="140" spans="1:3" ht="13" x14ac:dyDescent="0.15">
      <c r="A140" s="10"/>
      <c r="B140" s="13"/>
      <c r="C140" s="13"/>
    </row>
    <row r="141" spans="1:3" ht="13" x14ac:dyDescent="0.15">
      <c r="A141" s="10"/>
      <c r="B141" s="13"/>
      <c r="C141" s="13"/>
    </row>
    <row r="142" spans="1:3" ht="13" x14ac:dyDescent="0.15">
      <c r="A142" s="10"/>
      <c r="B142" s="13"/>
      <c r="C142" s="13"/>
    </row>
    <row r="143" spans="1:3" ht="13" x14ac:dyDescent="0.15">
      <c r="A143" s="10"/>
      <c r="B143" s="13"/>
      <c r="C143" s="13"/>
    </row>
    <row r="144" spans="1:3" ht="13" x14ac:dyDescent="0.15">
      <c r="A144" s="10"/>
      <c r="B144" s="13"/>
      <c r="C144" s="13"/>
    </row>
    <row r="145" spans="1:3" ht="13" x14ac:dyDescent="0.15">
      <c r="A145" s="10"/>
      <c r="B145" s="13"/>
      <c r="C145" s="13"/>
    </row>
    <row r="146" spans="1:3" ht="13" x14ac:dyDescent="0.15">
      <c r="A146" s="10"/>
      <c r="B146" s="13"/>
      <c r="C146" s="13"/>
    </row>
    <row r="147" spans="1:3" ht="13" x14ac:dyDescent="0.15">
      <c r="A147" s="10"/>
      <c r="B147" s="13"/>
      <c r="C147" s="13"/>
    </row>
    <row r="148" spans="1:3" ht="13" x14ac:dyDescent="0.15">
      <c r="A148" s="10"/>
      <c r="B148" s="13"/>
      <c r="C148" s="13"/>
    </row>
    <row r="149" spans="1:3" ht="13" x14ac:dyDescent="0.15">
      <c r="A149" s="10"/>
      <c r="B149" s="13"/>
      <c r="C149" s="13"/>
    </row>
    <row r="150" spans="1:3" ht="13" x14ac:dyDescent="0.15">
      <c r="A150" s="10"/>
      <c r="B150" s="13"/>
      <c r="C150" s="13"/>
    </row>
    <row r="151" spans="1:3" ht="13" x14ac:dyDescent="0.15">
      <c r="A151" s="10"/>
      <c r="B151" s="13"/>
      <c r="C151" s="13"/>
    </row>
    <row r="152" spans="1:3" ht="13" x14ac:dyDescent="0.15">
      <c r="A152" s="10"/>
      <c r="B152" s="13"/>
      <c r="C152" s="13"/>
    </row>
    <row r="153" spans="1:3" ht="13" x14ac:dyDescent="0.15">
      <c r="A153" s="10"/>
      <c r="B153" s="13"/>
      <c r="C153" s="13"/>
    </row>
    <row r="154" spans="1:3" ht="13" x14ac:dyDescent="0.15">
      <c r="A154" s="10"/>
      <c r="B154" s="13"/>
      <c r="C154" s="13"/>
    </row>
    <row r="155" spans="1:3" ht="13" x14ac:dyDescent="0.15">
      <c r="A155" s="10"/>
      <c r="B155" s="13"/>
      <c r="C155" s="13"/>
    </row>
    <row r="156" spans="1:3" ht="13" x14ac:dyDescent="0.15">
      <c r="A156" s="10"/>
      <c r="B156" s="13"/>
      <c r="C156" s="13"/>
    </row>
    <row r="157" spans="1:3" ht="13" x14ac:dyDescent="0.15">
      <c r="A157" s="10"/>
      <c r="B157" s="13"/>
      <c r="C157" s="13"/>
    </row>
    <row r="158" spans="1:3" ht="13" x14ac:dyDescent="0.15">
      <c r="A158" s="10"/>
      <c r="B158" s="13"/>
      <c r="C158" s="13"/>
    </row>
    <row r="159" spans="1:3" ht="13" x14ac:dyDescent="0.15">
      <c r="A159" s="10"/>
      <c r="B159" s="13"/>
      <c r="C159" s="13"/>
    </row>
    <row r="160" spans="1:3" ht="13" x14ac:dyDescent="0.15">
      <c r="A160" s="10"/>
      <c r="B160" s="13"/>
      <c r="C160" s="13"/>
    </row>
    <row r="161" spans="1:3" ht="13" x14ac:dyDescent="0.15">
      <c r="A161" s="10"/>
      <c r="B161" s="13"/>
      <c r="C161" s="13"/>
    </row>
    <row r="162" spans="1:3" ht="13" x14ac:dyDescent="0.15">
      <c r="A162" s="10"/>
      <c r="B162" s="13"/>
      <c r="C162" s="13"/>
    </row>
    <row r="163" spans="1:3" ht="13" x14ac:dyDescent="0.15">
      <c r="A163" s="10"/>
      <c r="B163" s="13"/>
      <c r="C163" s="13"/>
    </row>
    <row r="164" spans="1:3" ht="13" x14ac:dyDescent="0.15">
      <c r="A164" s="10"/>
      <c r="B164" s="13"/>
      <c r="C164" s="13"/>
    </row>
    <row r="165" spans="1:3" ht="13" x14ac:dyDescent="0.15">
      <c r="A165" s="10"/>
      <c r="B165" s="13"/>
      <c r="C165" s="13"/>
    </row>
    <row r="166" spans="1:3" ht="13" x14ac:dyDescent="0.15">
      <c r="A166" s="10"/>
      <c r="B166" s="13"/>
      <c r="C166" s="13"/>
    </row>
    <row r="167" spans="1:3" ht="13" x14ac:dyDescent="0.15">
      <c r="A167" s="10"/>
      <c r="B167" s="13"/>
      <c r="C167" s="13"/>
    </row>
    <row r="168" spans="1:3" ht="13" x14ac:dyDescent="0.15">
      <c r="A168" s="10"/>
      <c r="B168" s="13"/>
      <c r="C168" s="13"/>
    </row>
    <row r="169" spans="1:3" ht="13" x14ac:dyDescent="0.15">
      <c r="A169" s="10"/>
      <c r="B169" s="13"/>
      <c r="C169" s="13"/>
    </row>
    <row r="170" spans="1:3" ht="13" x14ac:dyDescent="0.15">
      <c r="A170" s="10"/>
      <c r="B170" s="13"/>
      <c r="C170" s="13"/>
    </row>
    <row r="171" spans="1:3" ht="13" x14ac:dyDescent="0.15">
      <c r="A171" s="10"/>
      <c r="B171" s="13"/>
      <c r="C171" s="13"/>
    </row>
    <row r="172" spans="1:3" ht="13" x14ac:dyDescent="0.15">
      <c r="A172" s="10"/>
      <c r="B172" s="13"/>
      <c r="C172" s="13"/>
    </row>
    <row r="173" spans="1:3" ht="13" x14ac:dyDescent="0.15">
      <c r="A173" s="10"/>
      <c r="B173" s="13"/>
      <c r="C173" s="13"/>
    </row>
    <row r="174" spans="1:3" ht="13" x14ac:dyDescent="0.15">
      <c r="A174" s="10"/>
      <c r="B174" s="13"/>
      <c r="C174" s="13"/>
    </row>
    <row r="175" spans="1:3" ht="13" x14ac:dyDescent="0.15">
      <c r="A175" s="10"/>
      <c r="B175" s="13"/>
      <c r="C175" s="13"/>
    </row>
    <row r="176" spans="1:3" ht="13" x14ac:dyDescent="0.15">
      <c r="A176" s="10"/>
      <c r="B176" s="13"/>
      <c r="C176" s="13"/>
    </row>
    <row r="177" spans="1:3" ht="13" x14ac:dyDescent="0.15">
      <c r="A177" s="10"/>
      <c r="B177" s="13"/>
      <c r="C177" s="13"/>
    </row>
    <row r="178" spans="1:3" ht="13" x14ac:dyDescent="0.15">
      <c r="A178" s="10"/>
      <c r="B178" s="13"/>
      <c r="C178" s="13"/>
    </row>
    <row r="179" spans="1:3" ht="13" x14ac:dyDescent="0.15">
      <c r="A179" s="10"/>
      <c r="B179" s="13"/>
      <c r="C179" s="13"/>
    </row>
    <row r="180" spans="1:3" ht="13" x14ac:dyDescent="0.15">
      <c r="A180" s="10"/>
      <c r="B180" s="13"/>
      <c r="C180" s="13"/>
    </row>
    <row r="181" spans="1:3" ht="13" x14ac:dyDescent="0.15">
      <c r="A181" s="10"/>
      <c r="B181" s="13"/>
      <c r="C181" s="13"/>
    </row>
    <row r="182" spans="1:3" ht="13" x14ac:dyDescent="0.15">
      <c r="A182" s="10"/>
      <c r="B182" s="13"/>
      <c r="C182" s="13"/>
    </row>
    <row r="183" spans="1:3" ht="13" x14ac:dyDescent="0.15">
      <c r="A183" s="10"/>
      <c r="B183" s="13"/>
      <c r="C183" s="13"/>
    </row>
    <row r="184" spans="1:3" ht="13" x14ac:dyDescent="0.15">
      <c r="A184" s="10"/>
      <c r="B184" s="13"/>
      <c r="C184" s="13"/>
    </row>
    <row r="185" spans="1:3" ht="13" x14ac:dyDescent="0.15">
      <c r="A185" s="10"/>
      <c r="B185" s="13"/>
      <c r="C185" s="13"/>
    </row>
    <row r="186" spans="1:3" ht="13" x14ac:dyDescent="0.15">
      <c r="A186" s="10"/>
      <c r="B186" s="13"/>
      <c r="C186" s="13"/>
    </row>
    <row r="187" spans="1:3" ht="13" x14ac:dyDescent="0.15">
      <c r="A187" s="10"/>
      <c r="B187" s="13"/>
      <c r="C187" s="13"/>
    </row>
    <row r="188" spans="1:3" ht="13" x14ac:dyDescent="0.15">
      <c r="A188" s="10"/>
      <c r="B188" s="13"/>
      <c r="C188" s="13"/>
    </row>
    <row r="189" spans="1:3" ht="13" x14ac:dyDescent="0.15">
      <c r="A189" s="10"/>
      <c r="B189" s="13"/>
      <c r="C189" s="13"/>
    </row>
    <row r="190" spans="1:3" ht="13" x14ac:dyDescent="0.15">
      <c r="A190" s="10"/>
      <c r="B190" s="13"/>
      <c r="C190" s="13"/>
    </row>
    <row r="191" spans="1:3" ht="13" x14ac:dyDescent="0.15">
      <c r="A191" s="10"/>
      <c r="B191" s="13"/>
      <c r="C191" s="13"/>
    </row>
    <row r="192" spans="1:3" ht="13" x14ac:dyDescent="0.15">
      <c r="A192" s="10"/>
      <c r="B192" s="13"/>
      <c r="C192" s="13"/>
    </row>
    <row r="193" spans="1:3" ht="13" x14ac:dyDescent="0.15">
      <c r="A193" s="10"/>
      <c r="B193" s="13"/>
      <c r="C193" s="13"/>
    </row>
    <row r="194" spans="1:3" ht="13" x14ac:dyDescent="0.15">
      <c r="A194" s="10"/>
      <c r="B194" s="13"/>
      <c r="C194" s="13"/>
    </row>
    <row r="195" spans="1:3" ht="13" x14ac:dyDescent="0.15">
      <c r="A195" s="10"/>
      <c r="B195" s="13"/>
      <c r="C195" s="13"/>
    </row>
    <row r="196" spans="1:3" ht="13" x14ac:dyDescent="0.15">
      <c r="A196" s="10"/>
      <c r="B196" s="13"/>
      <c r="C196" s="13"/>
    </row>
    <row r="197" spans="1:3" ht="13" x14ac:dyDescent="0.15">
      <c r="A197" s="10"/>
      <c r="B197" s="13"/>
      <c r="C197" s="13"/>
    </row>
    <row r="198" spans="1:3" ht="13" x14ac:dyDescent="0.15">
      <c r="A198" s="10"/>
      <c r="B198" s="13"/>
      <c r="C198" s="13"/>
    </row>
    <row r="199" spans="1:3" ht="13" x14ac:dyDescent="0.15">
      <c r="A199" s="10"/>
      <c r="B199" s="13"/>
      <c r="C199" s="13"/>
    </row>
    <row r="200" spans="1:3" ht="13" x14ac:dyDescent="0.15">
      <c r="A200" s="10"/>
      <c r="B200" s="13"/>
      <c r="C200" s="13"/>
    </row>
    <row r="201" spans="1:3" ht="13" x14ac:dyDescent="0.15">
      <c r="A201" s="10"/>
      <c r="B201" s="13"/>
      <c r="C201" s="13"/>
    </row>
    <row r="202" spans="1:3" ht="13" x14ac:dyDescent="0.15">
      <c r="A202" s="10"/>
      <c r="B202" s="13"/>
      <c r="C202" s="13"/>
    </row>
    <row r="203" spans="1:3" ht="13" x14ac:dyDescent="0.15">
      <c r="A203" s="10"/>
      <c r="B203" s="13"/>
      <c r="C203" s="13"/>
    </row>
    <row r="204" spans="1:3" ht="13" x14ac:dyDescent="0.15">
      <c r="A204" s="10"/>
      <c r="B204" s="13"/>
      <c r="C204" s="13"/>
    </row>
    <row r="205" spans="1:3" ht="13" x14ac:dyDescent="0.15">
      <c r="A205" s="10"/>
      <c r="B205" s="13"/>
      <c r="C205" s="13"/>
    </row>
    <row r="206" spans="1:3" ht="13" x14ac:dyDescent="0.15">
      <c r="A206" s="10"/>
      <c r="B206" s="13"/>
      <c r="C206" s="13"/>
    </row>
    <row r="207" spans="1:3" ht="13" x14ac:dyDescent="0.15">
      <c r="A207" s="10"/>
      <c r="B207" s="13"/>
      <c r="C207" s="13"/>
    </row>
    <row r="208" spans="1:3" ht="13" x14ac:dyDescent="0.15">
      <c r="A208" s="10"/>
      <c r="B208" s="13"/>
      <c r="C208" s="13"/>
    </row>
    <row r="209" spans="1:3" ht="13" x14ac:dyDescent="0.15">
      <c r="A209" s="10"/>
      <c r="B209" s="13"/>
      <c r="C209" s="13"/>
    </row>
    <row r="210" spans="1:3" ht="13" x14ac:dyDescent="0.15">
      <c r="A210" s="10"/>
      <c r="B210" s="13"/>
      <c r="C210" s="13"/>
    </row>
    <row r="211" spans="1:3" ht="13" x14ac:dyDescent="0.15">
      <c r="A211" s="10"/>
      <c r="B211" s="13"/>
      <c r="C211" s="13"/>
    </row>
    <row r="212" spans="1:3" ht="13" x14ac:dyDescent="0.15">
      <c r="A212" s="10"/>
      <c r="B212" s="13"/>
      <c r="C212" s="13"/>
    </row>
    <row r="213" spans="1:3" ht="13" x14ac:dyDescent="0.15">
      <c r="A213" s="10"/>
      <c r="B213" s="13"/>
      <c r="C213" s="13"/>
    </row>
    <row r="214" spans="1:3" ht="13" x14ac:dyDescent="0.15">
      <c r="A214" s="10"/>
      <c r="B214" s="13"/>
      <c r="C214" s="13"/>
    </row>
    <row r="215" spans="1:3" ht="13" x14ac:dyDescent="0.15">
      <c r="A215" s="10"/>
      <c r="B215" s="13"/>
      <c r="C215" s="13"/>
    </row>
    <row r="216" spans="1:3" ht="13" x14ac:dyDescent="0.15">
      <c r="A216" s="10"/>
      <c r="B216" s="13"/>
      <c r="C216" s="13"/>
    </row>
    <row r="217" spans="1:3" ht="13" x14ac:dyDescent="0.15">
      <c r="A217" s="10"/>
      <c r="B217" s="13"/>
      <c r="C217" s="13"/>
    </row>
    <row r="218" spans="1:3" ht="13" x14ac:dyDescent="0.15">
      <c r="A218" s="10"/>
      <c r="B218" s="13"/>
      <c r="C218" s="13"/>
    </row>
    <row r="219" spans="1:3" ht="13" x14ac:dyDescent="0.15">
      <c r="A219" s="10"/>
      <c r="B219" s="13"/>
      <c r="C219" s="13"/>
    </row>
    <row r="220" spans="1:3" ht="13" x14ac:dyDescent="0.15">
      <c r="A220" s="10"/>
      <c r="B220" s="13"/>
      <c r="C220" s="13"/>
    </row>
    <row r="221" spans="1:3" ht="13" x14ac:dyDescent="0.15">
      <c r="A221" s="10"/>
      <c r="B221" s="13"/>
      <c r="C221" s="13"/>
    </row>
    <row r="222" spans="1:3" ht="13" x14ac:dyDescent="0.15">
      <c r="A222" s="10"/>
      <c r="B222" s="13"/>
      <c r="C222" s="13"/>
    </row>
    <row r="223" spans="1:3" ht="13" x14ac:dyDescent="0.15">
      <c r="A223" s="10"/>
      <c r="B223" s="13"/>
      <c r="C223" s="13"/>
    </row>
    <row r="224" spans="1:3" ht="13" x14ac:dyDescent="0.15">
      <c r="A224" s="10"/>
      <c r="B224" s="13"/>
      <c r="C224" s="13"/>
    </row>
    <row r="225" spans="1:3" ht="13" x14ac:dyDescent="0.15">
      <c r="A225" s="10"/>
      <c r="B225" s="13"/>
      <c r="C225" s="13"/>
    </row>
    <row r="226" spans="1:3" ht="13" x14ac:dyDescent="0.15">
      <c r="A226" s="10"/>
      <c r="B226" s="13"/>
      <c r="C226" s="13"/>
    </row>
    <row r="227" spans="1:3" ht="13" x14ac:dyDescent="0.15">
      <c r="A227" s="10"/>
      <c r="B227" s="13"/>
      <c r="C227" s="13"/>
    </row>
    <row r="228" spans="1:3" ht="13" x14ac:dyDescent="0.15">
      <c r="A228" s="10"/>
      <c r="B228" s="13"/>
      <c r="C228" s="13"/>
    </row>
    <row r="229" spans="1:3" ht="13" x14ac:dyDescent="0.15">
      <c r="A229" s="10"/>
      <c r="B229" s="13"/>
      <c r="C229" s="13"/>
    </row>
    <row r="230" spans="1:3" ht="13" x14ac:dyDescent="0.15">
      <c r="A230" s="10"/>
      <c r="B230" s="13"/>
      <c r="C230" s="13"/>
    </row>
    <row r="231" spans="1:3" ht="13" x14ac:dyDescent="0.15">
      <c r="A231" s="10"/>
      <c r="B231" s="13"/>
      <c r="C231" s="13"/>
    </row>
    <row r="232" spans="1:3" ht="13" x14ac:dyDescent="0.15">
      <c r="A232" s="10"/>
      <c r="B232" s="13"/>
      <c r="C232" s="13"/>
    </row>
    <row r="233" spans="1:3" ht="13" x14ac:dyDescent="0.15">
      <c r="A233" s="10"/>
      <c r="B233" s="13"/>
      <c r="C233" s="13"/>
    </row>
    <row r="234" spans="1:3" ht="13" x14ac:dyDescent="0.15">
      <c r="A234" s="10"/>
      <c r="B234" s="13"/>
      <c r="C234" s="13"/>
    </row>
    <row r="235" spans="1:3" ht="13" x14ac:dyDescent="0.15">
      <c r="A235" s="10"/>
      <c r="B235" s="13"/>
      <c r="C235" s="13"/>
    </row>
    <row r="236" spans="1:3" ht="13" x14ac:dyDescent="0.15">
      <c r="A236" s="10"/>
      <c r="B236" s="13"/>
      <c r="C236" s="13"/>
    </row>
    <row r="237" spans="1:3" ht="13" x14ac:dyDescent="0.15">
      <c r="A237" s="10"/>
      <c r="B237" s="13"/>
      <c r="C237" s="13"/>
    </row>
    <row r="238" spans="1:3" ht="13" x14ac:dyDescent="0.15">
      <c r="A238" s="10"/>
      <c r="B238" s="13"/>
      <c r="C238" s="13"/>
    </row>
    <row r="239" spans="1:3" ht="13" x14ac:dyDescent="0.15">
      <c r="A239" s="10"/>
      <c r="B239" s="13"/>
      <c r="C239" s="13"/>
    </row>
    <row r="240" spans="1:3" ht="13" x14ac:dyDescent="0.15">
      <c r="A240" s="10"/>
      <c r="B240" s="13"/>
      <c r="C240" s="13"/>
    </row>
    <row r="241" spans="1:3" ht="13" x14ac:dyDescent="0.15">
      <c r="A241" s="10"/>
      <c r="B241" s="13"/>
      <c r="C241" s="13"/>
    </row>
    <row r="242" spans="1:3" ht="13" x14ac:dyDescent="0.15">
      <c r="A242" s="10"/>
      <c r="B242" s="13"/>
      <c r="C242" s="13"/>
    </row>
    <row r="243" spans="1:3" ht="13" x14ac:dyDescent="0.15">
      <c r="A243" s="10"/>
      <c r="B243" s="13"/>
      <c r="C243" s="13"/>
    </row>
    <row r="244" spans="1:3" ht="13" x14ac:dyDescent="0.15">
      <c r="A244" s="10"/>
      <c r="B244" s="13"/>
      <c r="C244" s="13"/>
    </row>
    <row r="245" spans="1:3" ht="13" x14ac:dyDescent="0.15">
      <c r="A245" s="10"/>
      <c r="B245" s="13"/>
      <c r="C245" s="13"/>
    </row>
    <row r="246" spans="1:3" ht="13" x14ac:dyDescent="0.15">
      <c r="A246" s="10"/>
      <c r="B246" s="13"/>
      <c r="C246" s="13"/>
    </row>
    <row r="247" spans="1:3" ht="13" x14ac:dyDescent="0.15">
      <c r="A247" s="10"/>
      <c r="B247" s="13"/>
      <c r="C247" s="13"/>
    </row>
    <row r="248" spans="1:3" ht="13" x14ac:dyDescent="0.15">
      <c r="A248" s="10"/>
      <c r="B248" s="13"/>
      <c r="C248" s="13"/>
    </row>
    <row r="249" spans="1:3" ht="13" x14ac:dyDescent="0.15">
      <c r="A249" s="10"/>
      <c r="B249" s="13"/>
      <c r="C249" s="13"/>
    </row>
    <row r="250" spans="1:3" ht="13" x14ac:dyDescent="0.15">
      <c r="A250" s="10"/>
      <c r="B250" s="13"/>
      <c r="C250" s="13"/>
    </row>
    <row r="251" spans="1:3" ht="13" x14ac:dyDescent="0.15">
      <c r="A251" s="10"/>
      <c r="B251" s="13"/>
      <c r="C251" s="13"/>
    </row>
    <row r="252" spans="1:3" ht="13" x14ac:dyDescent="0.15">
      <c r="A252" s="10"/>
      <c r="B252" s="13"/>
      <c r="C252" s="13"/>
    </row>
    <row r="253" spans="1:3" ht="13" x14ac:dyDescent="0.15">
      <c r="A253" s="10"/>
      <c r="B253" s="13"/>
      <c r="C253" s="13"/>
    </row>
    <row r="254" spans="1:3" ht="13" x14ac:dyDescent="0.15">
      <c r="A254" s="10"/>
      <c r="B254" s="13"/>
      <c r="C254" s="13"/>
    </row>
    <row r="255" spans="1:3" ht="13" x14ac:dyDescent="0.15">
      <c r="A255" s="10"/>
      <c r="B255" s="13"/>
      <c r="C255" s="13"/>
    </row>
    <row r="256" spans="1:3" ht="13" x14ac:dyDescent="0.15">
      <c r="A256" s="10"/>
      <c r="B256" s="13"/>
      <c r="C256" s="13"/>
    </row>
    <row r="257" spans="1:3" ht="13" x14ac:dyDescent="0.15">
      <c r="A257" s="10"/>
      <c r="B257" s="13"/>
      <c r="C257" s="13"/>
    </row>
    <row r="258" spans="1:3" ht="13" x14ac:dyDescent="0.15">
      <c r="A258" s="10"/>
      <c r="B258" s="13"/>
      <c r="C258" s="13"/>
    </row>
    <row r="259" spans="1:3" ht="13" x14ac:dyDescent="0.15">
      <c r="A259" s="10"/>
      <c r="B259" s="13"/>
      <c r="C259" s="13"/>
    </row>
    <row r="260" spans="1:3" ht="13" x14ac:dyDescent="0.15">
      <c r="A260" s="10"/>
      <c r="B260" s="13"/>
      <c r="C260" s="13"/>
    </row>
    <row r="261" spans="1:3" ht="13" x14ac:dyDescent="0.15">
      <c r="A261" s="10"/>
      <c r="B261" s="13"/>
      <c r="C261" s="13"/>
    </row>
    <row r="262" spans="1:3" ht="13" x14ac:dyDescent="0.15">
      <c r="A262" s="10"/>
      <c r="B262" s="13"/>
      <c r="C262" s="13"/>
    </row>
    <row r="263" spans="1:3" ht="13" x14ac:dyDescent="0.15">
      <c r="A263" s="10"/>
      <c r="B263" s="13"/>
      <c r="C263" s="13"/>
    </row>
    <row r="264" spans="1:3" ht="13" x14ac:dyDescent="0.15">
      <c r="A264" s="10"/>
      <c r="B264" s="13"/>
      <c r="C264" s="13"/>
    </row>
    <row r="265" spans="1:3" ht="13" x14ac:dyDescent="0.15">
      <c r="A265" s="10"/>
      <c r="B265" s="13"/>
      <c r="C265" s="13"/>
    </row>
    <row r="266" spans="1:3" ht="13" x14ac:dyDescent="0.15">
      <c r="A266" s="10"/>
      <c r="B266" s="13"/>
      <c r="C266" s="13"/>
    </row>
    <row r="267" spans="1:3" ht="13" x14ac:dyDescent="0.15">
      <c r="A267" s="10"/>
      <c r="B267" s="13"/>
      <c r="C267" s="13"/>
    </row>
    <row r="268" spans="1:3" ht="13" x14ac:dyDescent="0.15">
      <c r="A268" s="10"/>
      <c r="B268" s="13"/>
      <c r="C268" s="13"/>
    </row>
    <row r="269" spans="1:3" ht="13" x14ac:dyDescent="0.15">
      <c r="A269" s="10"/>
      <c r="B269" s="13"/>
      <c r="C269" s="13"/>
    </row>
    <row r="270" spans="1:3" ht="13" x14ac:dyDescent="0.15">
      <c r="A270" s="10"/>
      <c r="B270" s="13"/>
      <c r="C270" s="13"/>
    </row>
    <row r="271" spans="1:3" ht="13" x14ac:dyDescent="0.15">
      <c r="A271" s="10"/>
      <c r="B271" s="13"/>
      <c r="C271" s="13"/>
    </row>
    <row r="272" spans="1:3" ht="13" x14ac:dyDescent="0.15">
      <c r="A272" s="10"/>
      <c r="B272" s="13"/>
      <c r="C272" s="13"/>
    </row>
    <row r="273" spans="1:3" ht="13" x14ac:dyDescent="0.15">
      <c r="A273" s="10"/>
      <c r="B273" s="13"/>
      <c r="C273" s="13"/>
    </row>
    <row r="274" spans="1:3" ht="13" x14ac:dyDescent="0.15">
      <c r="A274" s="10"/>
      <c r="B274" s="13"/>
      <c r="C274" s="13"/>
    </row>
    <row r="275" spans="1:3" ht="13" x14ac:dyDescent="0.15">
      <c r="A275" s="10"/>
      <c r="B275" s="13"/>
      <c r="C275" s="13"/>
    </row>
    <row r="276" spans="1:3" ht="13" x14ac:dyDescent="0.15">
      <c r="A276" s="10"/>
      <c r="B276" s="13"/>
      <c r="C276" s="13"/>
    </row>
    <row r="277" spans="1:3" ht="13" x14ac:dyDescent="0.15">
      <c r="A277" s="10"/>
      <c r="B277" s="13"/>
      <c r="C277" s="13"/>
    </row>
    <row r="278" spans="1:3" ht="13" x14ac:dyDescent="0.15">
      <c r="A278" s="10"/>
      <c r="B278" s="13"/>
      <c r="C278" s="13"/>
    </row>
    <row r="279" spans="1:3" ht="13" x14ac:dyDescent="0.15">
      <c r="A279" s="10"/>
      <c r="B279" s="13"/>
      <c r="C279" s="13"/>
    </row>
    <row r="280" spans="1:3" ht="13" x14ac:dyDescent="0.15">
      <c r="A280" s="10"/>
      <c r="B280" s="13"/>
      <c r="C280" s="13"/>
    </row>
    <row r="281" spans="1:3" ht="13" x14ac:dyDescent="0.15">
      <c r="A281" s="10"/>
      <c r="B281" s="13"/>
      <c r="C281" s="13"/>
    </row>
    <row r="282" spans="1:3" ht="13" x14ac:dyDescent="0.15">
      <c r="A282" s="10"/>
      <c r="B282" s="13"/>
      <c r="C282" s="13"/>
    </row>
    <row r="283" spans="1:3" ht="13" x14ac:dyDescent="0.15">
      <c r="A283" s="10"/>
      <c r="B283" s="13"/>
      <c r="C283" s="13"/>
    </row>
    <row r="284" spans="1:3" ht="13" x14ac:dyDescent="0.15">
      <c r="A284" s="10"/>
      <c r="B284" s="13"/>
      <c r="C284" s="13"/>
    </row>
    <row r="285" spans="1:3" ht="13" x14ac:dyDescent="0.15">
      <c r="A285" s="10"/>
      <c r="B285" s="13"/>
      <c r="C285" s="13"/>
    </row>
    <row r="286" spans="1:3" ht="13" x14ac:dyDescent="0.15">
      <c r="A286" s="10"/>
      <c r="B286" s="13"/>
      <c r="C286" s="13"/>
    </row>
    <row r="287" spans="1:3" ht="13" x14ac:dyDescent="0.15">
      <c r="A287" s="10"/>
      <c r="B287" s="13"/>
      <c r="C287" s="13"/>
    </row>
    <row r="288" spans="1:3" ht="13" x14ac:dyDescent="0.15">
      <c r="A288" s="10"/>
      <c r="B288" s="13"/>
      <c r="C288" s="13"/>
    </row>
    <row r="289" spans="1:3" ht="13" x14ac:dyDescent="0.15">
      <c r="A289" s="10"/>
      <c r="B289" s="13"/>
      <c r="C289" s="13"/>
    </row>
    <row r="290" spans="1:3" ht="13" x14ac:dyDescent="0.15">
      <c r="A290" s="10"/>
      <c r="B290" s="13"/>
      <c r="C290" s="13"/>
    </row>
    <row r="291" spans="1:3" ht="13" x14ac:dyDescent="0.15">
      <c r="A291" s="10"/>
      <c r="B291" s="13"/>
      <c r="C291" s="13"/>
    </row>
    <row r="292" spans="1:3" ht="13" x14ac:dyDescent="0.15">
      <c r="A292" s="10"/>
      <c r="B292" s="13"/>
      <c r="C292" s="13"/>
    </row>
    <row r="293" spans="1:3" ht="13" x14ac:dyDescent="0.15">
      <c r="A293" s="10"/>
      <c r="B293" s="13"/>
      <c r="C293" s="13"/>
    </row>
    <row r="294" spans="1:3" ht="13" x14ac:dyDescent="0.15">
      <c r="A294" s="10"/>
      <c r="B294" s="13"/>
      <c r="C294" s="13"/>
    </row>
    <row r="295" spans="1:3" ht="13" x14ac:dyDescent="0.15">
      <c r="A295" s="10"/>
      <c r="B295" s="13"/>
      <c r="C295" s="13"/>
    </row>
    <row r="296" spans="1:3" ht="13" x14ac:dyDescent="0.15">
      <c r="A296" s="10"/>
      <c r="B296" s="13"/>
      <c r="C296" s="13"/>
    </row>
    <row r="297" spans="1:3" ht="13" x14ac:dyDescent="0.15">
      <c r="A297" s="10"/>
      <c r="B297" s="13"/>
      <c r="C297" s="13"/>
    </row>
    <row r="298" spans="1:3" ht="13" x14ac:dyDescent="0.15">
      <c r="A298" s="10"/>
      <c r="B298" s="13"/>
      <c r="C298" s="13"/>
    </row>
    <row r="299" spans="1:3" ht="13" x14ac:dyDescent="0.15">
      <c r="A299" s="10"/>
      <c r="B299" s="13"/>
      <c r="C299" s="13"/>
    </row>
    <row r="300" spans="1:3" ht="13" x14ac:dyDescent="0.15">
      <c r="A300" s="10"/>
      <c r="B300" s="13"/>
      <c r="C300" s="13"/>
    </row>
    <row r="301" spans="1:3" ht="13" x14ac:dyDescent="0.15">
      <c r="A301" s="10"/>
      <c r="B301" s="13"/>
      <c r="C301" s="13"/>
    </row>
    <row r="302" spans="1:3" ht="13" x14ac:dyDescent="0.15">
      <c r="A302" s="10"/>
      <c r="B302" s="13"/>
      <c r="C302" s="13"/>
    </row>
    <row r="303" spans="1:3" ht="13" x14ac:dyDescent="0.15">
      <c r="A303" s="10"/>
      <c r="B303" s="13"/>
      <c r="C303" s="13"/>
    </row>
    <row r="304" spans="1:3" ht="13" x14ac:dyDescent="0.15">
      <c r="A304" s="10"/>
      <c r="B304" s="13"/>
      <c r="C304" s="13"/>
    </row>
    <row r="305" spans="1:3" ht="13" x14ac:dyDescent="0.15">
      <c r="A305" s="10"/>
      <c r="B305" s="13"/>
      <c r="C305" s="13"/>
    </row>
    <row r="306" spans="1:3" ht="13" x14ac:dyDescent="0.15">
      <c r="A306" s="10"/>
      <c r="B306" s="13"/>
      <c r="C306" s="13"/>
    </row>
    <row r="307" spans="1:3" ht="13" x14ac:dyDescent="0.15">
      <c r="A307" s="10"/>
      <c r="B307" s="13"/>
      <c r="C307" s="13"/>
    </row>
    <row r="308" spans="1:3" ht="13" x14ac:dyDescent="0.15">
      <c r="A308" s="10"/>
      <c r="B308" s="13"/>
      <c r="C308" s="13"/>
    </row>
    <row r="309" spans="1:3" ht="13" x14ac:dyDescent="0.15">
      <c r="A309" s="10"/>
      <c r="B309" s="13"/>
      <c r="C309" s="13"/>
    </row>
    <row r="310" spans="1:3" ht="13" x14ac:dyDescent="0.15">
      <c r="A310" s="10"/>
      <c r="B310" s="13"/>
      <c r="C310" s="13"/>
    </row>
    <row r="311" spans="1:3" ht="13" x14ac:dyDescent="0.15">
      <c r="A311" s="10"/>
      <c r="B311" s="13"/>
      <c r="C311" s="13"/>
    </row>
    <row r="312" spans="1:3" ht="13" x14ac:dyDescent="0.15">
      <c r="A312" s="10"/>
      <c r="B312" s="13"/>
      <c r="C312" s="13"/>
    </row>
    <row r="313" spans="1:3" ht="13" x14ac:dyDescent="0.15">
      <c r="A313" s="10"/>
      <c r="B313" s="13"/>
      <c r="C313" s="13"/>
    </row>
    <row r="314" spans="1:3" ht="13" x14ac:dyDescent="0.15">
      <c r="A314" s="10"/>
      <c r="B314" s="13"/>
      <c r="C314" s="13"/>
    </row>
    <row r="315" spans="1:3" ht="13" x14ac:dyDescent="0.15">
      <c r="A315" s="10"/>
      <c r="B315" s="13"/>
      <c r="C315" s="13"/>
    </row>
    <row r="316" spans="1:3" ht="13" x14ac:dyDescent="0.15">
      <c r="A316" s="10"/>
      <c r="B316" s="13"/>
      <c r="C316" s="13"/>
    </row>
    <row r="317" spans="1:3" ht="13" x14ac:dyDescent="0.15">
      <c r="A317" s="10"/>
      <c r="B317" s="13"/>
      <c r="C317" s="13"/>
    </row>
    <row r="318" spans="1:3" ht="13" x14ac:dyDescent="0.15">
      <c r="A318" s="10"/>
      <c r="B318" s="13"/>
      <c r="C318" s="13"/>
    </row>
    <row r="319" spans="1:3" ht="13" x14ac:dyDescent="0.15">
      <c r="A319" s="10"/>
      <c r="B319" s="13"/>
      <c r="C319" s="13"/>
    </row>
    <row r="320" spans="1:3" ht="13" x14ac:dyDescent="0.15">
      <c r="A320" s="10"/>
      <c r="B320" s="13"/>
      <c r="C320" s="13"/>
    </row>
    <row r="321" spans="1:3" ht="13" x14ac:dyDescent="0.15">
      <c r="A321" s="10"/>
      <c r="B321" s="13"/>
      <c r="C321" s="13"/>
    </row>
    <row r="322" spans="1:3" ht="13" x14ac:dyDescent="0.15">
      <c r="A322" s="10"/>
      <c r="B322" s="13"/>
      <c r="C322" s="13"/>
    </row>
    <row r="323" spans="1:3" ht="13" x14ac:dyDescent="0.15">
      <c r="A323" s="10"/>
      <c r="B323" s="13"/>
      <c r="C323" s="13"/>
    </row>
    <row r="324" spans="1:3" ht="13" x14ac:dyDescent="0.15">
      <c r="A324" s="10"/>
      <c r="B324" s="13"/>
      <c r="C324" s="13"/>
    </row>
    <row r="325" spans="1:3" ht="13" x14ac:dyDescent="0.15">
      <c r="A325" s="10"/>
      <c r="B325" s="13"/>
      <c r="C325" s="13"/>
    </row>
    <row r="326" spans="1:3" ht="13" x14ac:dyDescent="0.15">
      <c r="A326" s="10"/>
      <c r="B326" s="13"/>
      <c r="C326" s="13"/>
    </row>
    <row r="327" spans="1:3" ht="13" x14ac:dyDescent="0.15">
      <c r="A327" s="10"/>
      <c r="B327" s="13"/>
      <c r="C327" s="13"/>
    </row>
    <row r="328" spans="1:3" ht="13" x14ac:dyDescent="0.15">
      <c r="A328" s="10"/>
      <c r="B328" s="13"/>
      <c r="C328" s="13"/>
    </row>
    <row r="329" spans="1:3" ht="13" x14ac:dyDescent="0.15">
      <c r="A329" s="10"/>
      <c r="B329" s="13"/>
      <c r="C329" s="13"/>
    </row>
    <row r="330" spans="1:3" ht="13" x14ac:dyDescent="0.15">
      <c r="A330" s="10"/>
      <c r="B330" s="13"/>
      <c r="C330" s="13"/>
    </row>
    <row r="331" spans="1:3" ht="13" x14ac:dyDescent="0.15">
      <c r="A331" s="10"/>
      <c r="B331" s="13"/>
      <c r="C331" s="13"/>
    </row>
    <row r="332" spans="1:3" ht="13" x14ac:dyDescent="0.15">
      <c r="A332" s="10"/>
      <c r="B332" s="13"/>
      <c r="C332" s="13"/>
    </row>
    <row r="333" spans="1:3" ht="13" x14ac:dyDescent="0.15">
      <c r="A333" s="10"/>
      <c r="B333" s="13"/>
      <c r="C333" s="13"/>
    </row>
    <row r="334" spans="1:3" ht="13" x14ac:dyDescent="0.15">
      <c r="A334" s="10"/>
      <c r="B334" s="13"/>
      <c r="C334" s="13"/>
    </row>
    <row r="335" spans="1:3" ht="13" x14ac:dyDescent="0.15">
      <c r="A335" s="10"/>
      <c r="B335" s="13"/>
      <c r="C335" s="13"/>
    </row>
    <row r="336" spans="1:3" ht="13" x14ac:dyDescent="0.15">
      <c r="A336" s="10"/>
      <c r="B336" s="13"/>
      <c r="C336" s="13"/>
    </row>
    <row r="337" spans="1:3" ht="13" x14ac:dyDescent="0.15">
      <c r="A337" s="10"/>
      <c r="B337" s="13"/>
      <c r="C337" s="13"/>
    </row>
    <row r="338" spans="1:3" ht="13" x14ac:dyDescent="0.15">
      <c r="A338" s="10"/>
      <c r="B338" s="13"/>
      <c r="C338" s="13"/>
    </row>
    <row r="339" spans="1:3" ht="13" x14ac:dyDescent="0.15">
      <c r="A339" s="10"/>
      <c r="B339" s="13"/>
      <c r="C339" s="13"/>
    </row>
    <row r="340" spans="1:3" ht="13" x14ac:dyDescent="0.15">
      <c r="A340" s="10"/>
      <c r="B340" s="13"/>
      <c r="C340" s="13"/>
    </row>
    <row r="341" spans="1:3" ht="13" x14ac:dyDescent="0.15">
      <c r="A341" s="10"/>
      <c r="B341" s="13"/>
      <c r="C341" s="13"/>
    </row>
    <row r="342" spans="1:3" ht="13" x14ac:dyDescent="0.15">
      <c r="A342" s="10"/>
      <c r="B342" s="13"/>
      <c r="C342" s="13"/>
    </row>
    <row r="343" spans="1:3" ht="13" x14ac:dyDescent="0.15">
      <c r="A343" s="10"/>
      <c r="B343" s="13"/>
      <c r="C343" s="13"/>
    </row>
    <row r="344" spans="1:3" ht="13" x14ac:dyDescent="0.15">
      <c r="A344" s="10"/>
      <c r="B344" s="13"/>
      <c r="C344" s="13"/>
    </row>
    <row r="345" spans="1:3" ht="13" x14ac:dyDescent="0.15">
      <c r="A345" s="10"/>
      <c r="B345" s="13"/>
      <c r="C345" s="13"/>
    </row>
    <row r="346" spans="1:3" ht="13" x14ac:dyDescent="0.15">
      <c r="A346" s="10"/>
      <c r="B346" s="13"/>
      <c r="C346" s="13"/>
    </row>
    <row r="347" spans="1:3" ht="13" x14ac:dyDescent="0.15">
      <c r="A347" s="10"/>
      <c r="B347" s="13"/>
      <c r="C347" s="13"/>
    </row>
    <row r="348" spans="1:3" ht="13" x14ac:dyDescent="0.15">
      <c r="A348" s="10"/>
      <c r="B348" s="13"/>
      <c r="C348" s="13"/>
    </row>
    <row r="349" spans="1:3" ht="13" x14ac:dyDescent="0.15">
      <c r="A349" s="10"/>
      <c r="B349" s="13"/>
      <c r="C349" s="13"/>
    </row>
    <row r="350" spans="1:3" ht="13" x14ac:dyDescent="0.15">
      <c r="A350" s="10"/>
      <c r="B350" s="13"/>
      <c r="C350" s="13"/>
    </row>
    <row r="351" spans="1:3" ht="13" x14ac:dyDescent="0.15">
      <c r="A351" s="10"/>
      <c r="B351" s="13"/>
      <c r="C351" s="13"/>
    </row>
    <row r="352" spans="1:3" ht="13" x14ac:dyDescent="0.15">
      <c r="A352" s="10"/>
      <c r="B352" s="13"/>
      <c r="C352" s="13"/>
    </row>
    <row r="353" spans="1:3" ht="13" x14ac:dyDescent="0.15">
      <c r="A353" s="10"/>
      <c r="B353" s="13"/>
      <c r="C353" s="13"/>
    </row>
    <row r="354" spans="1:3" ht="13" x14ac:dyDescent="0.15">
      <c r="A354" s="10"/>
      <c r="B354" s="13"/>
      <c r="C354" s="13"/>
    </row>
    <row r="355" spans="1:3" ht="13" x14ac:dyDescent="0.15">
      <c r="A355" s="10"/>
      <c r="B355" s="13"/>
      <c r="C355" s="13"/>
    </row>
    <row r="356" spans="1:3" ht="13" x14ac:dyDescent="0.15">
      <c r="A356" s="10"/>
      <c r="B356" s="13"/>
      <c r="C356" s="13"/>
    </row>
    <row r="357" spans="1:3" ht="13" x14ac:dyDescent="0.15">
      <c r="A357" s="10"/>
      <c r="B357" s="13"/>
      <c r="C357" s="13"/>
    </row>
    <row r="358" spans="1:3" ht="13" x14ac:dyDescent="0.15">
      <c r="A358" s="10"/>
      <c r="B358" s="13"/>
      <c r="C358" s="13"/>
    </row>
    <row r="359" spans="1:3" ht="13" x14ac:dyDescent="0.15">
      <c r="A359" s="10"/>
      <c r="B359" s="13"/>
      <c r="C359" s="13"/>
    </row>
    <row r="360" spans="1:3" ht="13" x14ac:dyDescent="0.15">
      <c r="A360" s="10"/>
      <c r="B360" s="13"/>
      <c r="C360" s="13"/>
    </row>
    <row r="361" spans="1:3" ht="13" x14ac:dyDescent="0.15">
      <c r="A361" s="10"/>
      <c r="B361" s="13"/>
      <c r="C361" s="13"/>
    </row>
    <row r="362" spans="1:3" ht="13" x14ac:dyDescent="0.15">
      <c r="A362" s="10"/>
      <c r="B362" s="13"/>
      <c r="C362" s="13"/>
    </row>
    <row r="363" spans="1:3" ht="13" x14ac:dyDescent="0.15">
      <c r="A363" s="10"/>
      <c r="B363" s="13"/>
      <c r="C363" s="13"/>
    </row>
    <row r="364" spans="1:3" ht="13" x14ac:dyDescent="0.15">
      <c r="A364" s="10"/>
      <c r="B364" s="13"/>
      <c r="C364" s="13"/>
    </row>
    <row r="365" spans="1:3" ht="13" x14ac:dyDescent="0.15">
      <c r="A365" s="10"/>
      <c r="B365" s="13"/>
      <c r="C365" s="13"/>
    </row>
    <row r="366" spans="1:3" ht="13" x14ac:dyDescent="0.15">
      <c r="A366" s="10"/>
      <c r="B366" s="13"/>
      <c r="C366" s="13"/>
    </row>
    <row r="367" spans="1:3" ht="13" x14ac:dyDescent="0.15">
      <c r="A367" s="10"/>
      <c r="B367" s="13"/>
      <c r="C367" s="13"/>
    </row>
    <row r="368" spans="1:3" ht="13" x14ac:dyDescent="0.15">
      <c r="A368" s="10"/>
      <c r="B368" s="13"/>
      <c r="C368" s="13"/>
    </row>
    <row r="369" spans="1:3" ht="13" x14ac:dyDescent="0.15">
      <c r="A369" s="10"/>
      <c r="B369" s="13"/>
      <c r="C369" s="13"/>
    </row>
    <row r="370" spans="1:3" ht="13" x14ac:dyDescent="0.15">
      <c r="A370" s="10"/>
      <c r="B370" s="13"/>
      <c r="C370" s="13"/>
    </row>
    <row r="371" spans="1:3" ht="13" x14ac:dyDescent="0.15">
      <c r="A371" s="10"/>
      <c r="B371" s="13"/>
      <c r="C371" s="13"/>
    </row>
    <row r="372" spans="1:3" ht="13" x14ac:dyDescent="0.15">
      <c r="A372" s="10"/>
      <c r="B372" s="13"/>
      <c r="C372" s="13"/>
    </row>
    <row r="373" spans="1:3" ht="13" x14ac:dyDescent="0.15">
      <c r="A373" s="10"/>
      <c r="B373" s="13"/>
      <c r="C373" s="13"/>
    </row>
    <row r="374" spans="1:3" ht="13" x14ac:dyDescent="0.15">
      <c r="A374" s="10"/>
      <c r="B374" s="13"/>
      <c r="C374" s="13"/>
    </row>
    <row r="375" spans="1:3" ht="13" x14ac:dyDescent="0.15">
      <c r="A375" s="10"/>
      <c r="B375" s="13"/>
      <c r="C375" s="13"/>
    </row>
    <row r="376" spans="1:3" ht="13" x14ac:dyDescent="0.15">
      <c r="A376" s="10"/>
      <c r="B376" s="13"/>
      <c r="C376" s="13"/>
    </row>
    <row r="377" spans="1:3" ht="13" x14ac:dyDescent="0.15">
      <c r="A377" s="10"/>
      <c r="B377" s="13"/>
      <c r="C377" s="13"/>
    </row>
    <row r="378" spans="1:3" ht="13" x14ac:dyDescent="0.15">
      <c r="A378" s="10"/>
      <c r="B378" s="13"/>
      <c r="C378" s="13"/>
    </row>
    <row r="379" spans="1:3" ht="13" x14ac:dyDescent="0.15">
      <c r="A379" s="10"/>
      <c r="B379" s="13"/>
      <c r="C379" s="13"/>
    </row>
    <row r="380" spans="1:3" ht="13" x14ac:dyDescent="0.15">
      <c r="A380" s="10"/>
      <c r="B380" s="13"/>
      <c r="C380" s="13"/>
    </row>
    <row r="381" spans="1:3" ht="13" x14ac:dyDescent="0.15">
      <c r="A381" s="10"/>
      <c r="B381" s="13"/>
      <c r="C381" s="13"/>
    </row>
    <row r="382" spans="1:3" ht="13" x14ac:dyDescent="0.15">
      <c r="A382" s="10"/>
      <c r="B382" s="13"/>
      <c r="C382" s="13"/>
    </row>
    <row r="383" spans="1:3" ht="13" x14ac:dyDescent="0.15">
      <c r="A383" s="10"/>
      <c r="B383" s="13"/>
      <c r="C383" s="13"/>
    </row>
    <row r="384" spans="1:3" ht="13" x14ac:dyDescent="0.15">
      <c r="A384" s="10"/>
      <c r="B384" s="13"/>
      <c r="C384" s="13"/>
    </row>
    <row r="385" spans="1:3" ht="13" x14ac:dyDescent="0.15">
      <c r="A385" s="10"/>
      <c r="B385" s="13"/>
      <c r="C385" s="13"/>
    </row>
    <row r="386" spans="1:3" ht="13" x14ac:dyDescent="0.15">
      <c r="A386" s="10"/>
      <c r="B386" s="13"/>
      <c r="C386" s="13"/>
    </row>
    <row r="387" spans="1:3" ht="13" x14ac:dyDescent="0.15">
      <c r="A387" s="10"/>
      <c r="B387" s="13"/>
      <c r="C387" s="13"/>
    </row>
    <row r="388" spans="1:3" ht="13" x14ac:dyDescent="0.15">
      <c r="A388" s="10"/>
      <c r="B388" s="13"/>
      <c r="C388" s="13"/>
    </row>
    <row r="389" spans="1:3" ht="13" x14ac:dyDescent="0.15">
      <c r="A389" s="10"/>
      <c r="B389" s="13"/>
      <c r="C389" s="13"/>
    </row>
    <row r="390" spans="1:3" ht="13" x14ac:dyDescent="0.15">
      <c r="A390" s="10"/>
      <c r="B390" s="13"/>
      <c r="C390" s="13"/>
    </row>
    <row r="391" spans="1:3" ht="13" x14ac:dyDescent="0.15">
      <c r="A391" s="10"/>
      <c r="B391" s="13"/>
      <c r="C391" s="13"/>
    </row>
    <row r="392" spans="1:3" ht="13" x14ac:dyDescent="0.15">
      <c r="A392" s="10"/>
      <c r="B392" s="13"/>
      <c r="C392" s="13"/>
    </row>
    <row r="393" spans="1:3" ht="13" x14ac:dyDescent="0.15">
      <c r="A393" s="10"/>
      <c r="B393" s="13"/>
      <c r="C393" s="13"/>
    </row>
    <row r="394" spans="1:3" ht="13" x14ac:dyDescent="0.15">
      <c r="A394" s="10"/>
      <c r="B394" s="13"/>
      <c r="C394" s="13"/>
    </row>
    <row r="395" spans="1:3" ht="13" x14ac:dyDescent="0.15">
      <c r="A395" s="10"/>
      <c r="B395" s="13"/>
      <c r="C395" s="13"/>
    </row>
    <row r="396" spans="1:3" ht="13" x14ac:dyDescent="0.15">
      <c r="A396" s="10"/>
      <c r="B396" s="13"/>
      <c r="C396" s="13"/>
    </row>
    <row r="397" spans="1:3" ht="13" x14ac:dyDescent="0.15">
      <c r="A397" s="10"/>
      <c r="B397" s="13"/>
      <c r="C397" s="13"/>
    </row>
    <row r="398" spans="1:3" ht="13" x14ac:dyDescent="0.15">
      <c r="A398" s="10"/>
      <c r="B398" s="13"/>
      <c r="C398" s="13"/>
    </row>
    <row r="399" spans="1:3" ht="13" x14ac:dyDescent="0.15">
      <c r="A399" s="10"/>
      <c r="B399" s="13"/>
      <c r="C399" s="13"/>
    </row>
    <row r="400" spans="1:3" ht="13" x14ac:dyDescent="0.15">
      <c r="A400" s="10"/>
      <c r="B400" s="13"/>
      <c r="C400" s="13"/>
    </row>
    <row r="401" spans="1:3" ht="13" x14ac:dyDescent="0.15">
      <c r="A401" s="10"/>
      <c r="B401" s="13"/>
      <c r="C401" s="13"/>
    </row>
    <row r="402" spans="1:3" ht="13" x14ac:dyDescent="0.15">
      <c r="A402" s="10"/>
      <c r="B402" s="13"/>
      <c r="C402" s="13"/>
    </row>
    <row r="403" spans="1:3" ht="13" x14ac:dyDescent="0.15">
      <c r="A403" s="10"/>
      <c r="B403" s="13"/>
      <c r="C403" s="13"/>
    </row>
    <row r="404" spans="1:3" ht="13" x14ac:dyDescent="0.15">
      <c r="A404" s="10"/>
      <c r="B404" s="13"/>
      <c r="C404" s="13"/>
    </row>
    <row r="405" spans="1:3" ht="13" x14ac:dyDescent="0.15">
      <c r="A405" s="10"/>
      <c r="B405" s="13"/>
      <c r="C405" s="13"/>
    </row>
    <row r="406" spans="1:3" ht="13" x14ac:dyDescent="0.15">
      <c r="A406" s="10"/>
      <c r="B406" s="13"/>
      <c r="C406" s="13"/>
    </row>
    <row r="407" spans="1:3" ht="13" x14ac:dyDescent="0.15">
      <c r="A407" s="10"/>
      <c r="B407" s="13"/>
      <c r="C407" s="13"/>
    </row>
    <row r="408" spans="1:3" ht="13" x14ac:dyDescent="0.15">
      <c r="A408" s="10"/>
      <c r="B408" s="13"/>
      <c r="C408" s="13"/>
    </row>
    <row r="409" spans="1:3" ht="13" x14ac:dyDescent="0.15">
      <c r="A409" s="10"/>
      <c r="B409" s="13"/>
      <c r="C409" s="13"/>
    </row>
    <row r="410" spans="1:3" ht="13" x14ac:dyDescent="0.15">
      <c r="A410" s="10"/>
      <c r="B410" s="13"/>
      <c r="C410" s="13"/>
    </row>
    <row r="411" spans="1:3" ht="13" x14ac:dyDescent="0.15">
      <c r="A411" s="10"/>
      <c r="B411" s="13"/>
      <c r="C411" s="13"/>
    </row>
    <row r="412" spans="1:3" ht="13" x14ac:dyDescent="0.15">
      <c r="A412" s="10"/>
      <c r="B412" s="13"/>
      <c r="C412" s="13"/>
    </row>
    <row r="413" spans="1:3" ht="13" x14ac:dyDescent="0.15">
      <c r="A413" s="10"/>
      <c r="B413" s="13"/>
      <c r="C413" s="13"/>
    </row>
    <row r="414" spans="1:3" ht="13" x14ac:dyDescent="0.15">
      <c r="A414" s="10"/>
      <c r="B414" s="13"/>
      <c r="C414" s="13"/>
    </row>
    <row r="415" spans="1:3" ht="13" x14ac:dyDescent="0.15">
      <c r="A415" s="10"/>
      <c r="B415" s="13"/>
      <c r="C415" s="13"/>
    </row>
    <row r="416" spans="1:3" ht="13" x14ac:dyDescent="0.15">
      <c r="A416" s="10"/>
      <c r="B416" s="13"/>
      <c r="C416" s="13"/>
    </row>
    <row r="417" spans="1:3" ht="13" x14ac:dyDescent="0.15">
      <c r="A417" s="10"/>
      <c r="B417" s="13"/>
      <c r="C417" s="13"/>
    </row>
    <row r="418" spans="1:3" ht="13" x14ac:dyDescent="0.15">
      <c r="A418" s="10"/>
      <c r="B418" s="13"/>
      <c r="C418" s="13"/>
    </row>
    <row r="419" spans="1:3" ht="13" x14ac:dyDescent="0.15">
      <c r="A419" s="10"/>
      <c r="B419" s="13"/>
      <c r="C419" s="13"/>
    </row>
    <row r="420" spans="1:3" ht="13" x14ac:dyDescent="0.15">
      <c r="A420" s="10"/>
      <c r="B420" s="13"/>
      <c r="C420" s="13"/>
    </row>
    <row r="421" spans="1:3" ht="13" x14ac:dyDescent="0.15">
      <c r="A421" s="10"/>
      <c r="B421" s="13"/>
      <c r="C421" s="13"/>
    </row>
    <row r="422" spans="1:3" ht="13" x14ac:dyDescent="0.15">
      <c r="A422" s="10"/>
      <c r="B422" s="13"/>
      <c r="C422" s="13"/>
    </row>
    <row r="423" spans="1:3" ht="13" x14ac:dyDescent="0.15">
      <c r="A423" s="10"/>
      <c r="B423" s="13"/>
      <c r="C423" s="13"/>
    </row>
    <row r="424" spans="1:3" ht="13" x14ac:dyDescent="0.15">
      <c r="A424" s="10"/>
      <c r="B424" s="13"/>
      <c r="C424" s="13"/>
    </row>
    <row r="425" spans="1:3" ht="13" x14ac:dyDescent="0.15">
      <c r="A425" s="10"/>
      <c r="B425" s="13"/>
      <c r="C425" s="13"/>
    </row>
    <row r="426" spans="1:3" ht="13" x14ac:dyDescent="0.15">
      <c r="A426" s="10"/>
      <c r="B426" s="13"/>
      <c r="C426" s="13"/>
    </row>
    <row r="427" spans="1:3" ht="13" x14ac:dyDescent="0.15">
      <c r="A427" s="10"/>
      <c r="B427" s="13"/>
      <c r="C427" s="13"/>
    </row>
    <row r="428" spans="1:3" ht="13" x14ac:dyDescent="0.15">
      <c r="A428" s="10"/>
      <c r="B428" s="13"/>
      <c r="C428" s="13"/>
    </row>
    <row r="429" spans="1:3" ht="13" x14ac:dyDescent="0.15">
      <c r="A429" s="10"/>
      <c r="B429" s="13"/>
      <c r="C429" s="13"/>
    </row>
    <row r="430" spans="1:3" ht="13" x14ac:dyDescent="0.15">
      <c r="A430" s="10"/>
      <c r="B430" s="13"/>
      <c r="C430" s="13"/>
    </row>
    <row r="431" spans="1:3" ht="13" x14ac:dyDescent="0.15">
      <c r="A431" s="10"/>
      <c r="B431" s="13"/>
      <c r="C431" s="13"/>
    </row>
    <row r="432" spans="1:3" ht="13" x14ac:dyDescent="0.15">
      <c r="A432" s="10"/>
      <c r="B432" s="13"/>
      <c r="C432" s="13"/>
    </row>
    <row r="433" spans="1:3" ht="13" x14ac:dyDescent="0.15">
      <c r="A433" s="10"/>
      <c r="B433" s="13"/>
      <c r="C433" s="13"/>
    </row>
    <row r="434" spans="1:3" ht="13" x14ac:dyDescent="0.15">
      <c r="A434" s="10"/>
      <c r="B434" s="13"/>
      <c r="C434" s="13"/>
    </row>
    <row r="435" spans="1:3" ht="13" x14ac:dyDescent="0.15">
      <c r="A435" s="10"/>
      <c r="B435" s="13"/>
      <c r="C435" s="13"/>
    </row>
    <row r="436" spans="1:3" ht="13" x14ac:dyDescent="0.15">
      <c r="A436" s="10"/>
      <c r="B436" s="13"/>
      <c r="C436" s="13"/>
    </row>
    <row r="437" spans="1:3" ht="13" x14ac:dyDescent="0.15">
      <c r="A437" s="10"/>
      <c r="B437" s="13"/>
      <c r="C437" s="13"/>
    </row>
    <row r="438" spans="1:3" ht="13" x14ac:dyDescent="0.15">
      <c r="A438" s="10"/>
      <c r="B438" s="13"/>
      <c r="C438" s="13"/>
    </row>
    <row r="439" spans="1:3" ht="13" x14ac:dyDescent="0.15">
      <c r="A439" s="10"/>
      <c r="B439" s="13"/>
      <c r="C439" s="13"/>
    </row>
    <row r="440" spans="1:3" ht="13" x14ac:dyDescent="0.15">
      <c r="A440" s="10"/>
      <c r="B440" s="13"/>
      <c r="C440" s="13"/>
    </row>
    <row r="441" spans="1:3" ht="13" x14ac:dyDescent="0.15">
      <c r="A441" s="10"/>
      <c r="B441" s="13"/>
      <c r="C441" s="13"/>
    </row>
    <row r="442" spans="1:3" ht="13" x14ac:dyDescent="0.15">
      <c r="A442" s="10"/>
      <c r="B442" s="13"/>
      <c r="C442" s="13"/>
    </row>
    <row r="443" spans="1:3" ht="13" x14ac:dyDescent="0.15">
      <c r="A443" s="10"/>
      <c r="B443" s="13"/>
      <c r="C443" s="13"/>
    </row>
    <row r="444" spans="1:3" ht="13" x14ac:dyDescent="0.15">
      <c r="A444" s="10"/>
      <c r="B444" s="13"/>
      <c r="C444" s="13"/>
    </row>
    <row r="445" spans="1:3" ht="13" x14ac:dyDescent="0.15">
      <c r="A445" s="10"/>
      <c r="B445" s="13"/>
      <c r="C445" s="13"/>
    </row>
    <row r="446" spans="1:3" ht="13" x14ac:dyDescent="0.15">
      <c r="A446" s="10"/>
      <c r="B446" s="13"/>
      <c r="C446" s="13"/>
    </row>
    <row r="447" spans="1:3" ht="13" x14ac:dyDescent="0.15">
      <c r="A447" s="10"/>
      <c r="B447" s="13"/>
      <c r="C447" s="13"/>
    </row>
    <row r="448" spans="1:3" ht="13" x14ac:dyDescent="0.15">
      <c r="A448" s="10"/>
      <c r="B448" s="13"/>
      <c r="C448" s="13"/>
    </row>
    <row r="449" spans="1:3" ht="13" x14ac:dyDescent="0.15">
      <c r="A449" s="10"/>
      <c r="B449" s="13"/>
      <c r="C449" s="13"/>
    </row>
    <row r="450" spans="1:3" ht="13" x14ac:dyDescent="0.15">
      <c r="A450" s="10"/>
      <c r="B450" s="13"/>
      <c r="C450" s="13"/>
    </row>
    <row r="451" spans="1:3" ht="13" x14ac:dyDescent="0.15">
      <c r="A451" s="10"/>
      <c r="B451" s="13"/>
      <c r="C451" s="13"/>
    </row>
    <row r="452" spans="1:3" ht="13" x14ac:dyDescent="0.15">
      <c r="A452" s="10"/>
      <c r="B452" s="13"/>
      <c r="C452" s="13"/>
    </row>
    <row r="453" spans="1:3" ht="13" x14ac:dyDescent="0.15">
      <c r="A453" s="10"/>
      <c r="B453" s="13"/>
      <c r="C453" s="13"/>
    </row>
    <row r="454" spans="1:3" ht="13" x14ac:dyDescent="0.15">
      <c r="A454" s="10"/>
      <c r="B454" s="13"/>
      <c r="C454" s="13"/>
    </row>
    <row r="455" spans="1:3" ht="13" x14ac:dyDescent="0.15">
      <c r="A455" s="10"/>
      <c r="B455" s="13"/>
      <c r="C455" s="13"/>
    </row>
    <row r="456" spans="1:3" ht="13" x14ac:dyDescent="0.15">
      <c r="A456" s="10"/>
      <c r="B456" s="13"/>
      <c r="C456" s="13"/>
    </row>
    <row r="457" spans="1:3" ht="13" x14ac:dyDescent="0.15">
      <c r="A457" s="10"/>
      <c r="B457" s="13"/>
      <c r="C457" s="13"/>
    </row>
    <row r="458" spans="1:3" ht="13" x14ac:dyDescent="0.15">
      <c r="A458" s="10"/>
      <c r="B458" s="13"/>
      <c r="C458" s="13"/>
    </row>
    <row r="459" spans="1:3" ht="13" x14ac:dyDescent="0.15">
      <c r="A459" s="10"/>
      <c r="B459" s="13"/>
      <c r="C459" s="13"/>
    </row>
    <row r="460" spans="1:3" ht="13" x14ac:dyDescent="0.15">
      <c r="A460" s="10"/>
      <c r="B460" s="13"/>
      <c r="C460" s="13"/>
    </row>
    <row r="461" spans="1:3" ht="13" x14ac:dyDescent="0.15">
      <c r="A461" s="10"/>
      <c r="B461" s="13"/>
      <c r="C461" s="13"/>
    </row>
    <row r="462" spans="1:3" ht="13" x14ac:dyDescent="0.15">
      <c r="A462" s="10"/>
      <c r="B462" s="13"/>
      <c r="C462" s="13"/>
    </row>
    <row r="463" spans="1:3" ht="13" x14ac:dyDescent="0.15">
      <c r="A463" s="10"/>
      <c r="B463" s="13"/>
      <c r="C463" s="13"/>
    </row>
    <row r="464" spans="1:3" ht="13" x14ac:dyDescent="0.15">
      <c r="A464" s="10"/>
      <c r="B464" s="13"/>
      <c r="C464" s="13"/>
    </row>
    <row r="465" spans="1:3" ht="13" x14ac:dyDescent="0.15">
      <c r="A465" s="10"/>
      <c r="B465" s="13"/>
      <c r="C465" s="13"/>
    </row>
    <row r="466" spans="1:3" ht="13" x14ac:dyDescent="0.15">
      <c r="A466" s="10"/>
      <c r="B466" s="13"/>
      <c r="C466" s="13"/>
    </row>
    <row r="467" spans="1:3" ht="13" x14ac:dyDescent="0.15">
      <c r="A467" s="10"/>
      <c r="B467" s="13"/>
      <c r="C467" s="13"/>
    </row>
    <row r="468" spans="1:3" ht="13" x14ac:dyDescent="0.15">
      <c r="A468" s="10"/>
      <c r="B468" s="13"/>
      <c r="C468" s="13"/>
    </row>
    <row r="469" spans="1:3" ht="13" x14ac:dyDescent="0.15">
      <c r="A469" s="10"/>
      <c r="B469" s="13"/>
      <c r="C469" s="13"/>
    </row>
    <row r="470" spans="1:3" ht="13" x14ac:dyDescent="0.15">
      <c r="A470" s="10"/>
      <c r="B470" s="13"/>
      <c r="C470" s="13"/>
    </row>
    <row r="471" spans="1:3" ht="13" x14ac:dyDescent="0.15">
      <c r="A471" s="10"/>
      <c r="B471" s="13"/>
      <c r="C471" s="13"/>
    </row>
    <row r="472" spans="1:3" ht="13" x14ac:dyDescent="0.15">
      <c r="A472" s="10"/>
      <c r="B472" s="13"/>
      <c r="C472" s="13"/>
    </row>
    <row r="473" spans="1:3" ht="13" x14ac:dyDescent="0.15">
      <c r="A473" s="10"/>
      <c r="B473" s="13"/>
      <c r="C473" s="13"/>
    </row>
    <row r="474" spans="1:3" ht="13" x14ac:dyDescent="0.15">
      <c r="A474" s="10"/>
      <c r="B474" s="13"/>
      <c r="C474" s="13"/>
    </row>
    <row r="475" spans="1:3" ht="13" x14ac:dyDescent="0.15">
      <c r="A475" s="10"/>
      <c r="B475" s="13"/>
      <c r="C475" s="13"/>
    </row>
    <row r="476" spans="1:3" ht="13" x14ac:dyDescent="0.15">
      <c r="A476" s="10"/>
      <c r="B476" s="13"/>
      <c r="C476" s="13"/>
    </row>
    <row r="477" spans="1:3" ht="13" x14ac:dyDescent="0.15">
      <c r="A477" s="10"/>
      <c r="B477" s="13"/>
      <c r="C477" s="13"/>
    </row>
    <row r="478" spans="1:3" ht="13" x14ac:dyDescent="0.15">
      <c r="A478" s="10"/>
      <c r="B478" s="13"/>
      <c r="C478" s="13"/>
    </row>
    <row r="479" spans="1:3" ht="13" x14ac:dyDescent="0.15">
      <c r="A479" s="10"/>
      <c r="B479" s="13"/>
      <c r="C479" s="13"/>
    </row>
    <row r="480" spans="1:3" ht="13" x14ac:dyDescent="0.15">
      <c r="A480" s="10"/>
      <c r="B480" s="13"/>
      <c r="C480" s="13"/>
    </row>
    <row r="481" spans="1:3" ht="13" x14ac:dyDescent="0.15">
      <c r="A481" s="10"/>
      <c r="B481" s="13"/>
      <c r="C481" s="13"/>
    </row>
    <row r="482" spans="1:3" ht="13" x14ac:dyDescent="0.15">
      <c r="A482" s="10"/>
      <c r="B482" s="13"/>
      <c r="C482" s="13"/>
    </row>
    <row r="483" spans="1:3" ht="13" x14ac:dyDescent="0.15">
      <c r="A483" s="10"/>
      <c r="B483" s="13"/>
      <c r="C483" s="13"/>
    </row>
    <row r="484" spans="1:3" ht="13" x14ac:dyDescent="0.15">
      <c r="A484" s="10"/>
      <c r="B484" s="13"/>
      <c r="C484" s="13"/>
    </row>
    <row r="485" spans="1:3" ht="13" x14ac:dyDescent="0.15">
      <c r="A485" s="10"/>
      <c r="B485" s="13"/>
      <c r="C485" s="13"/>
    </row>
    <row r="486" spans="1:3" ht="13" x14ac:dyDescent="0.15">
      <c r="A486" s="10"/>
      <c r="B486" s="13"/>
      <c r="C486" s="13"/>
    </row>
    <row r="487" spans="1:3" ht="13" x14ac:dyDescent="0.15">
      <c r="A487" s="10"/>
      <c r="B487" s="13"/>
      <c r="C487" s="13"/>
    </row>
    <row r="488" spans="1:3" ht="13" x14ac:dyDescent="0.15">
      <c r="A488" s="10"/>
      <c r="B488" s="13"/>
      <c r="C488" s="13"/>
    </row>
    <row r="489" spans="1:3" ht="13" x14ac:dyDescent="0.15">
      <c r="A489" s="10"/>
      <c r="B489" s="13"/>
      <c r="C489" s="13"/>
    </row>
    <row r="490" spans="1:3" ht="13" x14ac:dyDescent="0.15">
      <c r="A490" s="10"/>
      <c r="B490" s="13"/>
      <c r="C490" s="13"/>
    </row>
    <row r="491" spans="1:3" ht="13" x14ac:dyDescent="0.15">
      <c r="A491" s="10"/>
      <c r="B491" s="13"/>
      <c r="C491" s="13"/>
    </row>
    <row r="492" spans="1:3" ht="13" x14ac:dyDescent="0.15">
      <c r="A492" s="10"/>
      <c r="B492" s="13"/>
      <c r="C492" s="13"/>
    </row>
    <row r="493" spans="1:3" ht="13" x14ac:dyDescent="0.15">
      <c r="A493" s="10"/>
      <c r="B493" s="13"/>
      <c r="C493" s="13"/>
    </row>
    <row r="494" spans="1:3" ht="13" x14ac:dyDescent="0.15">
      <c r="A494" s="10"/>
      <c r="B494" s="13"/>
      <c r="C494" s="13"/>
    </row>
    <row r="495" spans="1:3" ht="13" x14ac:dyDescent="0.15">
      <c r="A495" s="10"/>
      <c r="B495" s="13"/>
      <c r="C495" s="13"/>
    </row>
    <row r="496" spans="1:3" ht="13" x14ac:dyDescent="0.15">
      <c r="A496" s="10"/>
      <c r="B496" s="13"/>
      <c r="C496" s="13"/>
    </row>
    <row r="497" spans="1:3" ht="13" x14ac:dyDescent="0.15">
      <c r="A497" s="10"/>
      <c r="B497" s="13"/>
      <c r="C497" s="13"/>
    </row>
    <row r="498" spans="1:3" ht="13" x14ac:dyDescent="0.15">
      <c r="A498" s="10"/>
      <c r="B498" s="13"/>
      <c r="C498" s="13"/>
    </row>
    <row r="499" spans="1:3" ht="13" x14ac:dyDescent="0.15">
      <c r="A499" s="10"/>
      <c r="B499" s="13"/>
      <c r="C499" s="13"/>
    </row>
    <row r="500" spans="1:3" ht="13" x14ac:dyDescent="0.15">
      <c r="A500" s="10"/>
      <c r="B500" s="13"/>
      <c r="C500" s="13"/>
    </row>
    <row r="501" spans="1:3" ht="13" x14ac:dyDescent="0.15">
      <c r="A501" s="10"/>
      <c r="B501" s="13"/>
      <c r="C501" s="13"/>
    </row>
    <row r="502" spans="1:3" ht="13" x14ac:dyDescent="0.15">
      <c r="A502" s="10"/>
      <c r="B502" s="13"/>
      <c r="C502" s="13"/>
    </row>
    <row r="503" spans="1:3" ht="13" x14ac:dyDescent="0.15">
      <c r="A503" s="10"/>
      <c r="B503" s="13"/>
      <c r="C503" s="13"/>
    </row>
    <row r="504" spans="1:3" ht="13" x14ac:dyDescent="0.15">
      <c r="A504" s="10"/>
      <c r="B504" s="13"/>
      <c r="C504" s="13"/>
    </row>
    <row r="505" spans="1:3" ht="13" x14ac:dyDescent="0.15">
      <c r="A505" s="10"/>
      <c r="B505" s="13"/>
      <c r="C505" s="13"/>
    </row>
    <row r="506" spans="1:3" ht="13" x14ac:dyDescent="0.15">
      <c r="A506" s="10"/>
      <c r="B506" s="13"/>
      <c r="C506" s="13"/>
    </row>
    <row r="507" spans="1:3" ht="13" x14ac:dyDescent="0.15">
      <c r="A507" s="10"/>
      <c r="B507" s="13"/>
      <c r="C507" s="13"/>
    </row>
    <row r="508" spans="1:3" ht="13" x14ac:dyDescent="0.15">
      <c r="A508" s="10"/>
      <c r="B508" s="13"/>
      <c r="C508" s="13"/>
    </row>
    <row r="509" spans="1:3" ht="13" x14ac:dyDescent="0.15">
      <c r="A509" s="10"/>
      <c r="B509" s="13"/>
      <c r="C509" s="13"/>
    </row>
    <row r="510" spans="1:3" ht="13" x14ac:dyDescent="0.15">
      <c r="A510" s="10"/>
      <c r="B510" s="13"/>
      <c r="C510" s="13"/>
    </row>
    <row r="511" spans="1:3" ht="13" x14ac:dyDescent="0.15">
      <c r="A511" s="10"/>
      <c r="B511" s="13"/>
      <c r="C511" s="13"/>
    </row>
    <row r="512" spans="1:3" ht="13" x14ac:dyDescent="0.15">
      <c r="A512" s="10"/>
      <c r="B512" s="13"/>
      <c r="C512" s="13"/>
    </row>
    <row r="513" spans="1:3" ht="13" x14ac:dyDescent="0.15">
      <c r="A513" s="10"/>
      <c r="B513" s="13"/>
      <c r="C513" s="13"/>
    </row>
    <row r="514" spans="1:3" ht="13" x14ac:dyDescent="0.15">
      <c r="A514" s="10"/>
      <c r="B514" s="13"/>
      <c r="C514" s="13"/>
    </row>
    <row r="515" spans="1:3" ht="13" x14ac:dyDescent="0.15">
      <c r="A515" s="10"/>
      <c r="B515" s="13"/>
      <c r="C515" s="13"/>
    </row>
    <row r="516" spans="1:3" ht="13" x14ac:dyDescent="0.15">
      <c r="A516" s="10"/>
      <c r="B516" s="13"/>
      <c r="C516" s="13"/>
    </row>
    <row r="517" spans="1:3" ht="13" x14ac:dyDescent="0.15">
      <c r="A517" s="10"/>
      <c r="B517" s="13"/>
      <c r="C517" s="13"/>
    </row>
    <row r="518" spans="1:3" ht="13" x14ac:dyDescent="0.15">
      <c r="A518" s="10"/>
      <c r="B518" s="13"/>
      <c r="C518" s="13"/>
    </row>
    <row r="519" spans="1:3" ht="13" x14ac:dyDescent="0.15">
      <c r="A519" s="10"/>
      <c r="B519" s="13"/>
      <c r="C519" s="13"/>
    </row>
    <row r="520" spans="1:3" ht="13" x14ac:dyDescent="0.15">
      <c r="A520" s="10"/>
      <c r="B520" s="13"/>
      <c r="C520" s="13"/>
    </row>
    <row r="521" spans="1:3" ht="13" x14ac:dyDescent="0.15">
      <c r="A521" s="10"/>
      <c r="B521" s="13"/>
      <c r="C521" s="13"/>
    </row>
    <row r="522" spans="1:3" ht="13" x14ac:dyDescent="0.15">
      <c r="A522" s="10"/>
      <c r="B522" s="13"/>
      <c r="C522" s="13"/>
    </row>
    <row r="523" spans="1:3" ht="13" x14ac:dyDescent="0.15">
      <c r="A523" s="10"/>
      <c r="B523" s="13"/>
      <c r="C523" s="13"/>
    </row>
    <row r="524" spans="1:3" ht="13" x14ac:dyDescent="0.15">
      <c r="A524" s="10"/>
      <c r="B524" s="13"/>
      <c r="C524" s="13"/>
    </row>
    <row r="525" spans="1:3" ht="13" x14ac:dyDescent="0.15">
      <c r="A525" s="10"/>
      <c r="B525" s="13"/>
      <c r="C525" s="13"/>
    </row>
    <row r="526" spans="1:3" ht="13" x14ac:dyDescent="0.15">
      <c r="A526" s="10"/>
      <c r="B526" s="13"/>
      <c r="C526" s="13"/>
    </row>
    <row r="527" spans="1:3" ht="13" x14ac:dyDescent="0.15">
      <c r="A527" s="10"/>
      <c r="B527" s="13"/>
      <c r="C527" s="13"/>
    </row>
    <row r="528" spans="1:3" ht="13" x14ac:dyDescent="0.15">
      <c r="A528" s="10"/>
      <c r="B528" s="13"/>
      <c r="C528" s="13"/>
    </row>
    <row r="529" spans="1:3" ht="13" x14ac:dyDescent="0.15">
      <c r="A529" s="10"/>
      <c r="B529" s="13"/>
      <c r="C529" s="13"/>
    </row>
    <row r="530" spans="1:3" ht="13" x14ac:dyDescent="0.15">
      <c r="A530" s="10"/>
      <c r="B530" s="13"/>
      <c r="C530" s="13"/>
    </row>
    <row r="531" spans="1:3" ht="13" x14ac:dyDescent="0.15">
      <c r="A531" s="10"/>
      <c r="B531" s="13"/>
      <c r="C531" s="13"/>
    </row>
    <row r="532" spans="1:3" ht="13" x14ac:dyDescent="0.15">
      <c r="A532" s="10"/>
      <c r="B532" s="13"/>
      <c r="C532" s="13"/>
    </row>
    <row r="533" spans="1:3" ht="13" x14ac:dyDescent="0.15">
      <c r="A533" s="10"/>
      <c r="B533" s="13"/>
      <c r="C533" s="13"/>
    </row>
    <row r="534" spans="1:3" ht="13" x14ac:dyDescent="0.15">
      <c r="A534" s="10"/>
      <c r="B534" s="13"/>
      <c r="C534" s="13"/>
    </row>
    <row r="535" spans="1:3" ht="13" x14ac:dyDescent="0.15">
      <c r="A535" s="10"/>
      <c r="B535" s="13"/>
      <c r="C535" s="13"/>
    </row>
    <row r="536" spans="1:3" ht="13" x14ac:dyDescent="0.15">
      <c r="A536" s="10"/>
      <c r="B536" s="13"/>
      <c r="C536" s="13"/>
    </row>
    <row r="537" spans="1:3" ht="13" x14ac:dyDescent="0.15">
      <c r="A537" s="10"/>
      <c r="B537" s="13"/>
      <c r="C537" s="13"/>
    </row>
    <row r="538" spans="1:3" ht="13" x14ac:dyDescent="0.15">
      <c r="A538" s="10"/>
      <c r="B538" s="13"/>
      <c r="C538" s="13"/>
    </row>
    <row r="539" spans="1:3" ht="13" x14ac:dyDescent="0.15">
      <c r="A539" s="10"/>
      <c r="B539" s="13"/>
      <c r="C539" s="13"/>
    </row>
    <row r="540" spans="1:3" ht="13" x14ac:dyDescent="0.15">
      <c r="A540" s="10"/>
      <c r="B540" s="13"/>
      <c r="C540" s="13"/>
    </row>
    <row r="541" spans="1:3" ht="13" x14ac:dyDescent="0.15">
      <c r="A541" s="10"/>
      <c r="B541" s="13"/>
      <c r="C541" s="13"/>
    </row>
    <row r="542" spans="1:3" ht="13" x14ac:dyDescent="0.15">
      <c r="A542" s="10"/>
      <c r="B542" s="13"/>
      <c r="C542" s="13"/>
    </row>
    <row r="543" spans="1:3" ht="13" x14ac:dyDescent="0.15">
      <c r="A543" s="10"/>
      <c r="B543" s="13"/>
      <c r="C543" s="13"/>
    </row>
    <row r="544" spans="1:3" ht="13" x14ac:dyDescent="0.15">
      <c r="A544" s="10"/>
      <c r="B544" s="13"/>
      <c r="C544" s="13"/>
    </row>
    <row r="545" spans="1:3" ht="13" x14ac:dyDescent="0.15">
      <c r="A545" s="10"/>
      <c r="B545" s="13"/>
      <c r="C545" s="13"/>
    </row>
    <row r="546" spans="1:3" ht="13" x14ac:dyDescent="0.15">
      <c r="A546" s="10"/>
      <c r="B546" s="13"/>
      <c r="C546" s="13"/>
    </row>
    <row r="547" spans="1:3" ht="13" x14ac:dyDescent="0.15">
      <c r="A547" s="10"/>
      <c r="B547" s="13"/>
      <c r="C547" s="13"/>
    </row>
    <row r="548" spans="1:3" ht="13" x14ac:dyDescent="0.15">
      <c r="A548" s="10"/>
      <c r="B548" s="13"/>
      <c r="C548" s="13"/>
    </row>
    <row r="549" spans="1:3" ht="13" x14ac:dyDescent="0.15">
      <c r="A549" s="10"/>
      <c r="B549" s="13"/>
      <c r="C549" s="13"/>
    </row>
    <row r="550" spans="1:3" ht="13" x14ac:dyDescent="0.15">
      <c r="A550" s="10"/>
      <c r="B550" s="13"/>
      <c r="C550" s="13"/>
    </row>
    <row r="551" spans="1:3" ht="13" x14ac:dyDescent="0.15">
      <c r="A551" s="10"/>
      <c r="B551" s="13"/>
      <c r="C551" s="13"/>
    </row>
    <row r="552" spans="1:3" ht="13" x14ac:dyDescent="0.15">
      <c r="A552" s="10"/>
      <c r="B552" s="13"/>
      <c r="C552" s="13"/>
    </row>
    <row r="553" spans="1:3" ht="13" x14ac:dyDescent="0.15">
      <c r="A553" s="10"/>
      <c r="B553" s="13"/>
      <c r="C553" s="13"/>
    </row>
    <row r="554" spans="1:3" ht="13" x14ac:dyDescent="0.15">
      <c r="A554" s="10"/>
      <c r="B554" s="13"/>
      <c r="C554" s="13"/>
    </row>
    <row r="555" spans="1:3" ht="13" x14ac:dyDescent="0.15">
      <c r="A555" s="10"/>
      <c r="B555" s="13"/>
      <c r="C555" s="13"/>
    </row>
    <row r="556" spans="1:3" ht="13" x14ac:dyDescent="0.15">
      <c r="A556" s="10"/>
      <c r="B556" s="13"/>
      <c r="C556" s="13"/>
    </row>
    <row r="557" spans="1:3" ht="13" x14ac:dyDescent="0.15">
      <c r="A557" s="10"/>
      <c r="B557" s="13"/>
      <c r="C557" s="13"/>
    </row>
    <row r="558" spans="1:3" ht="13" x14ac:dyDescent="0.15">
      <c r="A558" s="10"/>
      <c r="B558" s="13"/>
      <c r="C558" s="13"/>
    </row>
    <row r="559" spans="1:3" ht="13" x14ac:dyDescent="0.15">
      <c r="A559" s="10"/>
      <c r="B559" s="13"/>
      <c r="C559" s="13"/>
    </row>
    <row r="560" spans="1:3" ht="13" x14ac:dyDescent="0.15">
      <c r="A560" s="10"/>
      <c r="B560" s="13"/>
      <c r="C560" s="13"/>
    </row>
    <row r="561" spans="1:3" ht="13" x14ac:dyDescent="0.15">
      <c r="A561" s="10"/>
      <c r="B561" s="13"/>
      <c r="C561" s="13"/>
    </row>
    <row r="562" spans="1:3" ht="13" x14ac:dyDescent="0.15">
      <c r="A562" s="10"/>
      <c r="B562" s="13"/>
      <c r="C562" s="13"/>
    </row>
    <row r="563" spans="1:3" ht="13" x14ac:dyDescent="0.15">
      <c r="A563" s="10"/>
      <c r="B563" s="13"/>
      <c r="C563" s="13"/>
    </row>
    <row r="564" spans="1:3" ht="13" x14ac:dyDescent="0.15">
      <c r="A564" s="10"/>
      <c r="B564" s="13"/>
      <c r="C564" s="13"/>
    </row>
    <row r="565" spans="1:3" ht="13" x14ac:dyDescent="0.15">
      <c r="A565" s="10"/>
      <c r="B565" s="13"/>
      <c r="C565" s="13"/>
    </row>
    <row r="566" spans="1:3" ht="13" x14ac:dyDescent="0.15">
      <c r="A566" s="10"/>
      <c r="B566" s="13"/>
      <c r="C566" s="13"/>
    </row>
    <row r="567" spans="1:3" ht="13" x14ac:dyDescent="0.15">
      <c r="A567" s="10"/>
      <c r="B567" s="13"/>
      <c r="C567" s="13"/>
    </row>
    <row r="568" spans="1:3" ht="13" x14ac:dyDescent="0.15">
      <c r="A568" s="10"/>
      <c r="B568" s="13"/>
      <c r="C568" s="13"/>
    </row>
    <row r="569" spans="1:3" ht="13" x14ac:dyDescent="0.15">
      <c r="A569" s="10"/>
      <c r="B569" s="13"/>
      <c r="C569" s="13"/>
    </row>
    <row r="570" spans="1:3" ht="13" x14ac:dyDescent="0.15">
      <c r="A570" s="10"/>
      <c r="B570" s="13"/>
      <c r="C570" s="13"/>
    </row>
    <row r="571" spans="1:3" ht="13" x14ac:dyDescent="0.15">
      <c r="A571" s="10"/>
      <c r="B571" s="13"/>
      <c r="C571" s="13"/>
    </row>
    <row r="572" spans="1:3" ht="13" x14ac:dyDescent="0.15">
      <c r="A572" s="10"/>
      <c r="B572" s="13"/>
      <c r="C572" s="13"/>
    </row>
    <row r="573" spans="1:3" ht="13" x14ac:dyDescent="0.15">
      <c r="A573" s="10"/>
      <c r="B573" s="13"/>
      <c r="C573" s="13"/>
    </row>
    <row r="574" spans="1:3" ht="13" x14ac:dyDescent="0.15">
      <c r="A574" s="10"/>
      <c r="B574" s="13"/>
      <c r="C574" s="13"/>
    </row>
    <row r="575" spans="1:3" ht="13" x14ac:dyDescent="0.15">
      <c r="A575" s="10"/>
      <c r="B575" s="13"/>
      <c r="C575" s="13"/>
    </row>
    <row r="576" spans="1:3" ht="13" x14ac:dyDescent="0.15">
      <c r="A576" s="10"/>
      <c r="B576" s="13"/>
      <c r="C576" s="13"/>
    </row>
    <row r="577" spans="1:3" ht="13" x14ac:dyDescent="0.15">
      <c r="A577" s="10"/>
      <c r="B577" s="13"/>
      <c r="C577" s="13"/>
    </row>
    <row r="578" spans="1:3" ht="13" x14ac:dyDescent="0.15">
      <c r="A578" s="10"/>
      <c r="B578" s="13"/>
      <c r="C578" s="13"/>
    </row>
    <row r="579" spans="1:3" ht="13" x14ac:dyDescent="0.15">
      <c r="A579" s="10"/>
      <c r="B579" s="13"/>
      <c r="C579" s="13"/>
    </row>
    <row r="580" spans="1:3" ht="13" x14ac:dyDescent="0.15">
      <c r="A580" s="10"/>
      <c r="B580" s="13"/>
      <c r="C580" s="13"/>
    </row>
    <row r="581" spans="1:3" ht="13" x14ac:dyDescent="0.15">
      <c r="A581" s="10"/>
      <c r="B581" s="13"/>
      <c r="C581" s="13"/>
    </row>
    <row r="582" spans="1:3" ht="13" x14ac:dyDescent="0.15">
      <c r="A582" s="10"/>
      <c r="B582" s="13"/>
      <c r="C582" s="13"/>
    </row>
    <row r="583" spans="1:3" ht="13" x14ac:dyDescent="0.15">
      <c r="A583" s="10"/>
      <c r="B583" s="13"/>
      <c r="C583" s="13"/>
    </row>
    <row r="584" spans="1:3" ht="13" x14ac:dyDescent="0.15">
      <c r="A584" s="10"/>
      <c r="B584" s="13"/>
      <c r="C584" s="13"/>
    </row>
    <row r="585" spans="1:3" ht="13" x14ac:dyDescent="0.15">
      <c r="A585" s="10"/>
      <c r="B585" s="13"/>
      <c r="C585" s="13"/>
    </row>
    <row r="586" spans="1:3" ht="13" x14ac:dyDescent="0.15">
      <c r="A586" s="10"/>
      <c r="B586" s="13"/>
      <c r="C586" s="13"/>
    </row>
    <row r="587" spans="1:3" ht="13" x14ac:dyDescent="0.15">
      <c r="A587" s="10"/>
      <c r="B587" s="13"/>
      <c r="C587" s="13"/>
    </row>
    <row r="588" spans="1:3" ht="13" x14ac:dyDescent="0.15">
      <c r="A588" s="10"/>
      <c r="B588" s="13"/>
      <c r="C588" s="13"/>
    </row>
    <row r="589" spans="1:3" ht="13" x14ac:dyDescent="0.15">
      <c r="A589" s="10"/>
      <c r="B589" s="13"/>
      <c r="C589" s="13"/>
    </row>
    <row r="590" spans="1:3" ht="13" x14ac:dyDescent="0.15">
      <c r="A590" s="10"/>
      <c r="B590" s="13"/>
      <c r="C590" s="13"/>
    </row>
    <row r="591" spans="1:3" ht="13" x14ac:dyDescent="0.15">
      <c r="A591" s="10"/>
      <c r="B591" s="13"/>
      <c r="C591" s="13"/>
    </row>
    <row r="592" spans="1:3" ht="13" x14ac:dyDescent="0.15">
      <c r="A592" s="10"/>
      <c r="B592" s="13"/>
      <c r="C592" s="13"/>
    </row>
    <row r="593" spans="1:3" ht="13" x14ac:dyDescent="0.15">
      <c r="A593" s="10"/>
      <c r="B593" s="13"/>
      <c r="C593" s="13"/>
    </row>
    <row r="594" spans="1:3" ht="13" x14ac:dyDescent="0.15">
      <c r="A594" s="10"/>
      <c r="B594" s="13"/>
      <c r="C594" s="13"/>
    </row>
    <row r="595" spans="1:3" ht="13" x14ac:dyDescent="0.15">
      <c r="A595" s="10"/>
      <c r="B595" s="13"/>
      <c r="C595" s="13"/>
    </row>
    <row r="596" spans="1:3" ht="13" x14ac:dyDescent="0.15">
      <c r="A596" s="10"/>
      <c r="B596" s="13"/>
      <c r="C596" s="13"/>
    </row>
    <row r="597" spans="1:3" ht="13" x14ac:dyDescent="0.15">
      <c r="A597" s="10"/>
      <c r="B597" s="13"/>
      <c r="C597" s="13"/>
    </row>
    <row r="598" spans="1:3" ht="13" x14ac:dyDescent="0.15">
      <c r="A598" s="10"/>
      <c r="B598" s="13"/>
      <c r="C598" s="13"/>
    </row>
    <row r="599" spans="1:3" ht="13" x14ac:dyDescent="0.15">
      <c r="A599" s="10"/>
      <c r="B599" s="13"/>
      <c r="C599" s="13"/>
    </row>
    <row r="600" spans="1:3" ht="13" x14ac:dyDescent="0.15">
      <c r="A600" s="10"/>
      <c r="B600" s="13"/>
      <c r="C600" s="13"/>
    </row>
    <row r="601" spans="1:3" ht="13" x14ac:dyDescent="0.15">
      <c r="A601" s="10"/>
      <c r="B601" s="13"/>
      <c r="C601" s="13"/>
    </row>
    <row r="602" spans="1:3" ht="13" x14ac:dyDescent="0.15">
      <c r="A602" s="10"/>
      <c r="B602" s="13"/>
      <c r="C602" s="13"/>
    </row>
    <row r="603" spans="1:3" ht="13" x14ac:dyDescent="0.15">
      <c r="A603" s="10"/>
      <c r="B603" s="13"/>
      <c r="C603" s="13"/>
    </row>
    <row r="604" spans="1:3" ht="13" x14ac:dyDescent="0.15">
      <c r="A604" s="10"/>
      <c r="B604" s="13"/>
      <c r="C604" s="13"/>
    </row>
    <row r="605" spans="1:3" ht="13" x14ac:dyDescent="0.15">
      <c r="A605" s="10"/>
      <c r="B605" s="13"/>
      <c r="C605" s="13"/>
    </row>
    <row r="606" spans="1:3" ht="13" x14ac:dyDescent="0.15">
      <c r="A606" s="10"/>
      <c r="B606" s="13"/>
      <c r="C606" s="13"/>
    </row>
    <row r="607" spans="1:3" ht="13" x14ac:dyDescent="0.15">
      <c r="A607" s="10"/>
      <c r="B607" s="13"/>
      <c r="C607" s="13"/>
    </row>
    <row r="608" spans="1:3" ht="13" x14ac:dyDescent="0.15">
      <c r="A608" s="10"/>
      <c r="B608" s="13"/>
      <c r="C608" s="13"/>
    </row>
    <row r="609" spans="1:3" ht="13" x14ac:dyDescent="0.15">
      <c r="A609" s="10"/>
      <c r="B609" s="13"/>
      <c r="C609" s="13"/>
    </row>
    <row r="610" spans="1:3" ht="13" x14ac:dyDescent="0.15">
      <c r="A610" s="10"/>
      <c r="B610" s="13"/>
      <c r="C610" s="13"/>
    </row>
    <row r="611" spans="1:3" ht="13" x14ac:dyDescent="0.15">
      <c r="A611" s="10"/>
      <c r="B611" s="13"/>
      <c r="C611" s="13"/>
    </row>
    <row r="612" spans="1:3" ht="13" x14ac:dyDescent="0.15">
      <c r="A612" s="10"/>
      <c r="B612" s="13"/>
      <c r="C612" s="13"/>
    </row>
    <row r="613" spans="1:3" ht="13" x14ac:dyDescent="0.15">
      <c r="A613" s="10"/>
      <c r="B613" s="13"/>
      <c r="C613" s="13"/>
    </row>
    <row r="614" spans="1:3" ht="13" x14ac:dyDescent="0.15">
      <c r="A614" s="10"/>
      <c r="B614" s="13"/>
      <c r="C614" s="13"/>
    </row>
    <row r="615" spans="1:3" ht="13" x14ac:dyDescent="0.15">
      <c r="A615" s="10"/>
      <c r="B615" s="13"/>
      <c r="C615" s="13"/>
    </row>
    <row r="616" spans="1:3" ht="13" x14ac:dyDescent="0.15">
      <c r="A616" s="10"/>
      <c r="B616" s="13"/>
      <c r="C616" s="13"/>
    </row>
    <row r="617" spans="1:3" ht="13" x14ac:dyDescent="0.15">
      <c r="A617" s="10"/>
      <c r="B617" s="13"/>
      <c r="C617" s="13"/>
    </row>
    <row r="618" spans="1:3" ht="13" x14ac:dyDescent="0.15">
      <c r="A618" s="10"/>
      <c r="B618" s="13"/>
      <c r="C618" s="13"/>
    </row>
    <row r="619" spans="1:3" ht="13" x14ac:dyDescent="0.15">
      <c r="A619" s="10"/>
      <c r="B619" s="13"/>
      <c r="C619" s="13"/>
    </row>
    <row r="620" spans="1:3" ht="13" x14ac:dyDescent="0.15">
      <c r="A620" s="10"/>
      <c r="B620" s="13"/>
      <c r="C620" s="13"/>
    </row>
    <row r="621" spans="1:3" ht="13" x14ac:dyDescent="0.15">
      <c r="A621" s="10"/>
      <c r="B621" s="13"/>
      <c r="C621" s="13"/>
    </row>
    <row r="622" spans="1:3" ht="13" x14ac:dyDescent="0.15">
      <c r="A622" s="10"/>
      <c r="B622" s="13"/>
      <c r="C622" s="13"/>
    </row>
    <row r="623" spans="1:3" ht="13" x14ac:dyDescent="0.15">
      <c r="A623" s="10"/>
      <c r="B623" s="13"/>
      <c r="C623" s="13"/>
    </row>
    <row r="624" spans="1:3" ht="13" x14ac:dyDescent="0.15">
      <c r="A624" s="10"/>
      <c r="B624" s="13"/>
      <c r="C624" s="13"/>
    </row>
    <row r="625" spans="1:3" ht="13" x14ac:dyDescent="0.15">
      <c r="A625" s="10"/>
      <c r="B625" s="13"/>
      <c r="C625" s="13"/>
    </row>
    <row r="626" spans="1:3" ht="13" x14ac:dyDescent="0.15">
      <c r="A626" s="10"/>
      <c r="B626" s="13"/>
      <c r="C626" s="13"/>
    </row>
    <row r="627" spans="1:3" ht="13" x14ac:dyDescent="0.15">
      <c r="A627" s="10"/>
      <c r="B627" s="13"/>
      <c r="C627" s="13"/>
    </row>
    <row r="628" spans="1:3" ht="13" x14ac:dyDescent="0.15">
      <c r="A628" s="10"/>
      <c r="B628" s="13"/>
      <c r="C628" s="13"/>
    </row>
    <row r="629" spans="1:3" ht="13" x14ac:dyDescent="0.15">
      <c r="A629" s="10"/>
      <c r="B629" s="13"/>
      <c r="C629" s="13"/>
    </row>
    <row r="630" spans="1:3" ht="13" x14ac:dyDescent="0.15">
      <c r="A630" s="10"/>
      <c r="B630" s="13"/>
      <c r="C630" s="13"/>
    </row>
    <row r="631" spans="1:3" ht="13" x14ac:dyDescent="0.15">
      <c r="A631" s="10"/>
      <c r="B631" s="13"/>
      <c r="C631" s="13"/>
    </row>
    <row r="632" spans="1:3" ht="13" x14ac:dyDescent="0.15">
      <c r="A632" s="10"/>
      <c r="B632" s="13"/>
      <c r="C632" s="13"/>
    </row>
    <row r="633" spans="1:3" ht="13" x14ac:dyDescent="0.15">
      <c r="A633" s="10"/>
      <c r="B633" s="13"/>
      <c r="C633" s="13"/>
    </row>
    <row r="634" spans="1:3" ht="13" x14ac:dyDescent="0.15">
      <c r="A634" s="10"/>
      <c r="B634" s="13"/>
      <c r="C634" s="13"/>
    </row>
    <row r="635" spans="1:3" ht="13" x14ac:dyDescent="0.15">
      <c r="A635" s="10"/>
      <c r="B635" s="13"/>
      <c r="C635" s="13"/>
    </row>
    <row r="636" spans="1:3" ht="13" x14ac:dyDescent="0.15">
      <c r="A636" s="10"/>
      <c r="B636" s="13"/>
      <c r="C636" s="13"/>
    </row>
    <row r="637" spans="1:3" ht="13" x14ac:dyDescent="0.15">
      <c r="A637" s="10"/>
      <c r="B637" s="13"/>
      <c r="C637" s="13"/>
    </row>
    <row r="638" spans="1:3" ht="13" x14ac:dyDescent="0.15">
      <c r="A638" s="10"/>
      <c r="B638" s="13"/>
      <c r="C638" s="13"/>
    </row>
    <row r="639" spans="1:3" ht="13" x14ac:dyDescent="0.15">
      <c r="A639" s="10"/>
      <c r="B639" s="13"/>
      <c r="C639" s="13"/>
    </row>
    <row r="640" spans="1:3" ht="13" x14ac:dyDescent="0.15">
      <c r="A640" s="10"/>
      <c r="B640" s="13"/>
      <c r="C640" s="13"/>
    </row>
    <row r="641" spans="1:3" ht="13" x14ac:dyDescent="0.15">
      <c r="A641" s="10"/>
      <c r="B641" s="13"/>
      <c r="C641" s="13"/>
    </row>
    <row r="642" spans="1:3" ht="13" x14ac:dyDescent="0.15">
      <c r="A642" s="10"/>
      <c r="B642" s="13"/>
      <c r="C642" s="13"/>
    </row>
    <row r="643" spans="1:3" ht="13" x14ac:dyDescent="0.15">
      <c r="A643" s="10"/>
      <c r="B643" s="13"/>
      <c r="C643" s="13"/>
    </row>
    <row r="644" spans="1:3" ht="13" x14ac:dyDescent="0.15">
      <c r="A644" s="10"/>
      <c r="B644" s="13"/>
      <c r="C644" s="13"/>
    </row>
    <row r="645" spans="1:3" ht="13" x14ac:dyDescent="0.15">
      <c r="A645" s="10"/>
      <c r="B645" s="13"/>
      <c r="C645" s="13"/>
    </row>
    <row r="646" spans="1:3" ht="13" x14ac:dyDescent="0.15">
      <c r="A646" s="10"/>
      <c r="B646" s="13"/>
      <c r="C646" s="13"/>
    </row>
    <row r="647" spans="1:3" ht="13" x14ac:dyDescent="0.15">
      <c r="A647" s="10"/>
      <c r="B647" s="13"/>
      <c r="C647" s="13"/>
    </row>
    <row r="648" spans="1:3" ht="13" x14ac:dyDescent="0.15">
      <c r="A648" s="10"/>
      <c r="B648" s="13"/>
      <c r="C648" s="13"/>
    </row>
    <row r="649" spans="1:3" ht="13" x14ac:dyDescent="0.15">
      <c r="A649" s="10"/>
      <c r="B649" s="13"/>
      <c r="C649" s="13"/>
    </row>
    <row r="650" spans="1:3" ht="13" x14ac:dyDescent="0.15">
      <c r="A650" s="10"/>
      <c r="B650" s="13"/>
      <c r="C650" s="13"/>
    </row>
    <row r="651" spans="1:3" ht="13" x14ac:dyDescent="0.15">
      <c r="A651" s="10"/>
      <c r="B651" s="13"/>
      <c r="C651" s="13"/>
    </row>
    <row r="652" spans="1:3" ht="13" x14ac:dyDescent="0.15">
      <c r="A652" s="10"/>
      <c r="B652" s="13"/>
      <c r="C652" s="13"/>
    </row>
    <row r="653" spans="1:3" ht="13" x14ac:dyDescent="0.15">
      <c r="A653" s="10"/>
      <c r="B653" s="13"/>
      <c r="C653" s="13"/>
    </row>
    <row r="654" spans="1:3" ht="13" x14ac:dyDescent="0.15">
      <c r="A654" s="10"/>
      <c r="B654" s="13"/>
      <c r="C654" s="13"/>
    </row>
    <row r="655" spans="1:3" ht="13" x14ac:dyDescent="0.15">
      <c r="A655" s="10"/>
      <c r="B655" s="13"/>
      <c r="C655" s="13"/>
    </row>
    <row r="656" spans="1:3" ht="13" x14ac:dyDescent="0.15">
      <c r="A656" s="10"/>
      <c r="B656" s="13"/>
      <c r="C656" s="13"/>
    </row>
    <row r="657" spans="1:3" ht="13" x14ac:dyDescent="0.15">
      <c r="A657" s="10"/>
      <c r="B657" s="13"/>
      <c r="C657" s="13"/>
    </row>
    <row r="658" spans="1:3" ht="13" x14ac:dyDescent="0.15">
      <c r="A658" s="10"/>
      <c r="B658" s="13"/>
      <c r="C658" s="13"/>
    </row>
    <row r="659" spans="1:3" ht="13" x14ac:dyDescent="0.15">
      <c r="A659" s="10"/>
      <c r="B659" s="13"/>
      <c r="C659" s="13"/>
    </row>
    <row r="660" spans="1:3" ht="13" x14ac:dyDescent="0.15">
      <c r="A660" s="10"/>
      <c r="B660" s="13"/>
      <c r="C660" s="13"/>
    </row>
    <row r="661" spans="1:3" ht="13" x14ac:dyDescent="0.15">
      <c r="A661" s="10"/>
      <c r="B661" s="13"/>
      <c r="C661" s="13"/>
    </row>
    <row r="662" spans="1:3" ht="13" x14ac:dyDescent="0.15">
      <c r="A662" s="10"/>
      <c r="B662" s="13"/>
      <c r="C662" s="13"/>
    </row>
    <row r="663" spans="1:3" ht="13" x14ac:dyDescent="0.15">
      <c r="A663" s="10"/>
      <c r="B663" s="13"/>
      <c r="C663" s="13"/>
    </row>
    <row r="664" spans="1:3" ht="13" x14ac:dyDescent="0.15">
      <c r="A664" s="10"/>
      <c r="B664" s="13"/>
      <c r="C664" s="13"/>
    </row>
    <row r="665" spans="1:3" ht="13" x14ac:dyDescent="0.15">
      <c r="A665" s="10"/>
      <c r="B665" s="13"/>
      <c r="C665" s="13"/>
    </row>
    <row r="666" spans="1:3" ht="13" x14ac:dyDescent="0.15">
      <c r="A666" s="10"/>
      <c r="B666" s="13"/>
      <c r="C666" s="13"/>
    </row>
    <row r="667" spans="1:3" ht="13" x14ac:dyDescent="0.15">
      <c r="A667" s="10"/>
      <c r="B667" s="13"/>
      <c r="C667" s="13"/>
    </row>
    <row r="668" spans="1:3" ht="13" x14ac:dyDescent="0.15">
      <c r="A668" s="10"/>
      <c r="B668" s="13"/>
      <c r="C668" s="13"/>
    </row>
    <row r="669" spans="1:3" ht="13" x14ac:dyDescent="0.15">
      <c r="A669" s="10"/>
      <c r="B669" s="13"/>
      <c r="C669" s="13"/>
    </row>
    <row r="670" spans="1:3" ht="13" x14ac:dyDescent="0.15">
      <c r="A670" s="10"/>
      <c r="B670" s="13"/>
      <c r="C670" s="13"/>
    </row>
    <row r="671" spans="1:3" ht="13" x14ac:dyDescent="0.15">
      <c r="A671" s="10"/>
      <c r="B671" s="13"/>
      <c r="C671" s="13"/>
    </row>
    <row r="672" spans="1:3" ht="13" x14ac:dyDescent="0.15">
      <c r="A672" s="10"/>
      <c r="B672" s="13"/>
      <c r="C672" s="13"/>
    </row>
    <row r="673" spans="1:3" ht="13" x14ac:dyDescent="0.15">
      <c r="A673" s="10"/>
      <c r="B673" s="13"/>
      <c r="C673" s="13"/>
    </row>
    <row r="674" spans="1:3" ht="13" x14ac:dyDescent="0.15">
      <c r="A674" s="10"/>
      <c r="B674" s="13"/>
      <c r="C674" s="13"/>
    </row>
    <row r="675" spans="1:3" ht="13" x14ac:dyDescent="0.15">
      <c r="A675" s="10"/>
      <c r="B675" s="13"/>
      <c r="C675" s="13"/>
    </row>
    <row r="676" spans="1:3" ht="13" x14ac:dyDescent="0.15">
      <c r="A676" s="10"/>
      <c r="B676" s="13"/>
      <c r="C676" s="13"/>
    </row>
    <row r="677" spans="1:3" ht="13" x14ac:dyDescent="0.15">
      <c r="A677" s="10"/>
      <c r="B677" s="13"/>
      <c r="C677" s="13"/>
    </row>
    <row r="678" spans="1:3" ht="13" x14ac:dyDescent="0.15">
      <c r="A678" s="10"/>
      <c r="B678" s="13"/>
      <c r="C678" s="13"/>
    </row>
    <row r="679" spans="1:3" ht="13" x14ac:dyDescent="0.15">
      <c r="A679" s="10"/>
      <c r="B679" s="13"/>
      <c r="C679" s="13"/>
    </row>
    <row r="680" spans="1:3" ht="13" x14ac:dyDescent="0.15">
      <c r="A680" s="10"/>
      <c r="B680" s="13"/>
      <c r="C680" s="13"/>
    </row>
    <row r="681" spans="1:3" ht="13" x14ac:dyDescent="0.15">
      <c r="A681" s="10"/>
      <c r="B681" s="13"/>
      <c r="C681" s="13"/>
    </row>
    <row r="682" spans="1:3" ht="13" x14ac:dyDescent="0.15">
      <c r="A682" s="10"/>
      <c r="B682" s="13"/>
      <c r="C682" s="13"/>
    </row>
    <row r="683" spans="1:3" ht="13" x14ac:dyDescent="0.15">
      <c r="A683" s="10"/>
      <c r="B683" s="13"/>
      <c r="C683" s="13"/>
    </row>
    <row r="684" spans="1:3" ht="13" x14ac:dyDescent="0.15">
      <c r="A684" s="10"/>
      <c r="B684" s="13"/>
      <c r="C684" s="13"/>
    </row>
    <row r="685" spans="1:3" ht="13" x14ac:dyDescent="0.15">
      <c r="A685" s="10"/>
      <c r="B685" s="13"/>
      <c r="C685" s="13"/>
    </row>
    <row r="686" spans="1:3" ht="13" x14ac:dyDescent="0.15">
      <c r="A686" s="10"/>
      <c r="B686" s="13"/>
      <c r="C686" s="13"/>
    </row>
    <row r="687" spans="1:3" ht="13" x14ac:dyDescent="0.15">
      <c r="A687" s="10"/>
      <c r="B687" s="13"/>
      <c r="C687" s="13"/>
    </row>
    <row r="688" spans="1:3" ht="13" x14ac:dyDescent="0.15">
      <c r="A688" s="10"/>
      <c r="B688" s="13"/>
      <c r="C688" s="13"/>
    </row>
    <row r="689" spans="1:3" ht="13" x14ac:dyDescent="0.15">
      <c r="A689" s="10"/>
      <c r="B689" s="13"/>
      <c r="C689" s="13"/>
    </row>
    <row r="690" spans="1:3" ht="13" x14ac:dyDescent="0.15">
      <c r="A690" s="10"/>
      <c r="B690" s="13"/>
      <c r="C690" s="13"/>
    </row>
    <row r="691" spans="1:3" ht="13" x14ac:dyDescent="0.15">
      <c r="A691" s="10"/>
      <c r="B691" s="13"/>
      <c r="C691" s="13"/>
    </row>
    <row r="692" spans="1:3" ht="13" x14ac:dyDescent="0.15">
      <c r="A692" s="10"/>
      <c r="B692" s="13"/>
      <c r="C692" s="13"/>
    </row>
    <row r="693" spans="1:3" ht="13" x14ac:dyDescent="0.15">
      <c r="A693" s="10"/>
      <c r="B693" s="13"/>
      <c r="C693" s="13"/>
    </row>
    <row r="694" spans="1:3" ht="13" x14ac:dyDescent="0.15">
      <c r="A694" s="10"/>
      <c r="B694" s="13"/>
      <c r="C694" s="13"/>
    </row>
    <row r="695" spans="1:3" ht="13" x14ac:dyDescent="0.15">
      <c r="A695" s="10"/>
      <c r="B695" s="13"/>
      <c r="C695" s="13"/>
    </row>
    <row r="696" spans="1:3" ht="13" x14ac:dyDescent="0.15">
      <c r="A696" s="10"/>
      <c r="B696" s="13"/>
      <c r="C696" s="13"/>
    </row>
    <row r="697" spans="1:3" ht="13" x14ac:dyDescent="0.15">
      <c r="A697" s="10"/>
      <c r="B697" s="13"/>
      <c r="C697" s="13"/>
    </row>
    <row r="698" spans="1:3" ht="13" x14ac:dyDescent="0.15">
      <c r="A698" s="10"/>
      <c r="B698" s="13"/>
      <c r="C698" s="13"/>
    </row>
    <row r="699" spans="1:3" ht="13" x14ac:dyDescent="0.15">
      <c r="A699" s="10"/>
      <c r="B699" s="13"/>
      <c r="C699" s="13"/>
    </row>
    <row r="700" spans="1:3" ht="13" x14ac:dyDescent="0.15">
      <c r="A700" s="10"/>
      <c r="B700" s="13"/>
      <c r="C700" s="13"/>
    </row>
    <row r="701" spans="1:3" ht="13" x14ac:dyDescent="0.15">
      <c r="A701" s="10"/>
      <c r="B701" s="13"/>
      <c r="C701" s="13"/>
    </row>
    <row r="702" spans="1:3" ht="13" x14ac:dyDescent="0.15">
      <c r="A702" s="10"/>
      <c r="B702" s="13"/>
      <c r="C702" s="13"/>
    </row>
    <row r="703" spans="1:3" ht="13" x14ac:dyDescent="0.15">
      <c r="A703" s="10"/>
      <c r="B703" s="13"/>
      <c r="C703" s="13"/>
    </row>
    <row r="704" spans="1:3" ht="13" x14ac:dyDescent="0.15">
      <c r="A704" s="10"/>
      <c r="B704" s="13"/>
      <c r="C704" s="13"/>
    </row>
    <row r="705" spans="1:3" ht="13" x14ac:dyDescent="0.15">
      <c r="A705" s="10"/>
      <c r="B705" s="13"/>
      <c r="C705" s="13"/>
    </row>
    <row r="706" spans="1:3" ht="13" x14ac:dyDescent="0.15">
      <c r="A706" s="10"/>
      <c r="B706" s="13"/>
      <c r="C706" s="13"/>
    </row>
    <row r="707" spans="1:3" ht="13" x14ac:dyDescent="0.15">
      <c r="A707" s="10"/>
      <c r="B707" s="13"/>
      <c r="C707" s="13"/>
    </row>
    <row r="708" spans="1:3" ht="13" x14ac:dyDescent="0.15">
      <c r="A708" s="10"/>
      <c r="B708" s="13"/>
      <c r="C708" s="13"/>
    </row>
    <row r="709" spans="1:3" ht="13" x14ac:dyDescent="0.15">
      <c r="A709" s="10"/>
      <c r="B709" s="13"/>
      <c r="C709" s="13"/>
    </row>
    <row r="710" spans="1:3" ht="13" x14ac:dyDescent="0.15">
      <c r="A710" s="10"/>
      <c r="B710" s="13"/>
      <c r="C710" s="13"/>
    </row>
    <row r="711" spans="1:3" ht="13" x14ac:dyDescent="0.15">
      <c r="A711" s="10"/>
      <c r="B711" s="13"/>
      <c r="C711" s="13"/>
    </row>
    <row r="712" spans="1:3" ht="13" x14ac:dyDescent="0.15">
      <c r="A712" s="10"/>
      <c r="B712" s="13"/>
      <c r="C712" s="13"/>
    </row>
    <row r="713" spans="1:3" ht="13" x14ac:dyDescent="0.15">
      <c r="A713" s="10"/>
      <c r="B713" s="13"/>
      <c r="C713" s="13"/>
    </row>
    <row r="714" spans="1:3" ht="13" x14ac:dyDescent="0.15">
      <c r="A714" s="10"/>
      <c r="B714" s="13"/>
      <c r="C714" s="13"/>
    </row>
    <row r="715" spans="1:3" ht="13" x14ac:dyDescent="0.15">
      <c r="A715" s="10"/>
      <c r="B715" s="13"/>
      <c r="C715" s="13"/>
    </row>
    <row r="716" spans="1:3" ht="13" x14ac:dyDescent="0.15">
      <c r="A716" s="10"/>
      <c r="B716" s="13"/>
      <c r="C716" s="13"/>
    </row>
    <row r="717" spans="1:3" ht="13" x14ac:dyDescent="0.15">
      <c r="A717" s="10"/>
      <c r="B717" s="13"/>
      <c r="C717" s="13"/>
    </row>
    <row r="718" spans="1:3" ht="13" x14ac:dyDescent="0.15">
      <c r="A718" s="10"/>
      <c r="B718" s="13"/>
      <c r="C718" s="13"/>
    </row>
    <row r="719" spans="1:3" ht="13" x14ac:dyDescent="0.15">
      <c r="A719" s="10"/>
      <c r="B719" s="13"/>
      <c r="C719" s="13"/>
    </row>
    <row r="720" spans="1:3" ht="13" x14ac:dyDescent="0.15">
      <c r="A720" s="10"/>
      <c r="B720" s="13"/>
      <c r="C720" s="13"/>
    </row>
    <row r="721" spans="1:3" ht="13" x14ac:dyDescent="0.15">
      <c r="A721" s="10"/>
      <c r="B721" s="13"/>
      <c r="C721" s="13"/>
    </row>
    <row r="722" spans="1:3" ht="13" x14ac:dyDescent="0.15">
      <c r="A722" s="10"/>
      <c r="B722" s="13"/>
      <c r="C722" s="13"/>
    </row>
    <row r="723" spans="1:3" ht="13" x14ac:dyDescent="0.15">
      <c r="A723" s="10"/>
      <c r="B723" s="13"/>
      <c r="C723" s="13"/>
    </row>
    <row r="724" spans="1:3" ht="13" x14ac:dyDescent="0.15">
      <c r="A724" s="10"/>
      <c r="B724" s="13"/>
      <c r="C724" s="13"/>
    </row>
    <row r="725" spans="1:3" ht="13" x14ac:dyDescent="0.15">
      <c r="A725" s="10"/>
      <c r="B725" s="13"/>
      <c r="C725" s="13"/>
    </row>
    <row r="726" spans="1:3" ht="13" x14ac:dyDescent="0.15">
      <c r="A726" s="10"/>
      <c r="B726" s="13"/>
      <c r="C726" s="13"/>
    </row>
    <row r="727" spans="1:3" ht="13" x14ac:dyDescent="0.15">
      <c r="A727" s="10"/>
      <c r="B727" s="13"/>
      <c r="C727" s="13"/>
    </row>
    <row r="728" spans="1:3" ht="13" x14ac:dyDescent="0.15">
      <c r="A728" s="10"/>
      <c r="B728" s="13"/>
      <c r="C728" s="13"/>
    </row>
    <row r="729" spans="1:3" ht="13" x14ac:dyDescent="0.15">
      <c r="A729" s="10"/>
      <c r="B729" s="13"/>
      <c r="C729" s="13"/>
    </row>
    <row r="730" spans="1:3" ht="13" x14ac:dyDescent="0.15">
      <c r="A730" s="10"/>
      <c r="B730" s="13"/>
      <c r="C730" s="13"/>
    </row>
    <row r="731" spans="1:3" ht="13" x14ac:dyDescent="0.15">
      <c r="A731" s="10"/>
      <c r="B731" s="13"/>
      <c r="C731" s="13"/>
    </row>
    <row r="732" spans="1:3" ht="13" x14ac:dyDescent="0.15">
      <c r="A732" s="10"/>
      <c r="B732" s="13"/>
      <c r="C732" s="13"/>
    </row>
    <row r="733" spans="1:3" ht="13" x14ac:dyDescent="0.15">
      <c r="A733" s="10"/>
      <c r="B733" s="13"/>
      <c r="C733" s="13"/>
    </row>
    <row r="734" spans="1:3" ht="13" x14ac:dyDescent="0.15">
      <c r="A734" s="10"/>
      <c r="B734" s="13"/>
      <c r="C734" s="13"/>
    </row>
    <row r="735" spans="1:3" ht="13" x14ac:dyDescent="0.15">
      <c r="A735" s="10"/>
      <c r="B735" s="13"/>
      <c r="C735" s="13"/>
    </row>
    <row r="736" spans="1:3" ht="13" x14ac:dyDescent="0.15">
      <c r="A736" s="10"/>
      <c r="B736" s="13"/>
      <c r="C736" s="13"/>
    </row>
    <row r="737" spans="1:3" ht="13" x14ac:dyDescent="0.15">
      <c r="A737" s="10"/>
      <c r="B737" s="13"/>
      <c r="C737" s="13"/>
    </row>
    <row r="738" spans="1:3" ht="13" x14ac:dyDescent="0.15">
      <c r="A738" s="10"/>
      <c r="B738" s="13"/>
      <c r="C738" s="13"/>
    </row>
    <row r="739" spans="1:3" ht="13" x14ac:dyDescent="0.15">
      <c r="A739" s="10"/>
      <c r="B739" s="13"/>
      <c r="C739" s="13"/>
    </row>
    <row r="740" spans="1:3" ht="13" x14ac:dyDescent="0.15">
      <c r="A740" s="10"/>
      <c r="B740" s="13"/>
      <c r="C740" s="13"/>
    </row>
    <row r="741" spans="1:3" ht="13" x14ac:dyDescent="0.15">
      <c r="A741" s="10"/>
      <c r="B741" s="13"/>
      <c r="C741" s="13"/>
    </row>
    <row r="742" spans="1:3" ht="13" x14ac:dyDescent="0.15">
      <c r="A742" s="10"/>
      <c r="B742" s="13"/>
      <c r="C742" s="13"/>
    </row>
    <row r="743" spans="1:3" ht="13" x14ac:dyDescent="0.15">
      <c r="A743" s="10"/>
      <c r="B743" s="13"/>
      <c r="C743" s="13"/>
    </row>
    <row r="744" spans="1:3" ht="13" x14ac:dyDescent="0.15">
      <c r="A744" s="10"/>
      <c r="B744" s="13"/>
      <c r="C744" s="13"/>
    </row>
    <row r="745" spans="1:3" ht="13" x14ac:dyDescent="0.15">
      <c r="A745" s="10"/>
      <c r="B745" s="13"/>
      <c r="C745" s="13"/>
    </row>
    <row r="746" spans="1:3" ht="13" x14ac:dyDescent="0.15">
      <c r="A746" s="10"/>
      <c r="B746" s="13"/>
      <c r="C746" s="13"/>
    </row>
    <row r="747" spans="1:3" ht="13" x14ac:dyDescent="0.15">
      <c r="A747" s="10"/>
      <c r="B747" s="13"/>
      <c r="C747" s="13"/>
    </row>
    <row r="748" spans="1:3" ht="13" x14ac:dyDescent="0.15">
      <c r="A748" s="10"/>
      <c r="B748" s="13"/>
      <c r="C748" s="13"/>
    </row>
    <row r="749" spans="1:3" ht="13" x14ac:dyDescent="0.15">
      <c r="A749" s="10"/>
      <c r="B749" s="13"/>
      <c r="C749" s="13"/>
    </row>
    <row r="750" spans="1:3" ht="13" x14ac:dyDescent="0.15">
      <c r="A750" s="10"/>
      <c r="B750" s="13"/>
      <c r="C750" s="13"/>
    </row>
    <row r="751" spans="1:3" ht="13" x14ac:dyDescent="0.15">
      <c r="A751" s="10"/>
      <c r="B751" s="13"/>
      <c r="C751" s="13"/>
    </row>
    <row r="752" spans="1:3" ht="13" x14ac:dyDescent="0.15">
      <c r="A752" s="10"/>
      <c r="B752" s="13"/>
      <c r="C752" s="13"/>
    </row>
    <row r="753" spans="1:3" ht="13" x14ac:dyDescent="0.15">
      <c r="A753" s="10"/>
      <c r="B753" s="13"/>
      <c r="C753" s="13"/>
    </row>
    <row r="754" spans="1:3" ht="13" x14ac:dyDescent="0.15">
      <c r="A754" s="10"/>
      <c r="B754" s="13"/>
      <c r="C754" s="13"/>
    </row>
    <row r="755" spans="1:3" ht="13" x14ac:dyDescent="0.15">
      <c r="A755" s="10"/>
      <c r="B755" s="13"/>
      <c r="C755" s="13"/>
    </row>
    <row r="756" spans="1:3" ht="13" x14ac:dyDescent="0.15">
      <c r="A756" s="10"/>
      <c r="B756" s="13"/>
      <c r="C756" s="13"/>
    </row>
    <row r="757" spans="1:3" ht="13" x14ac:dyDescent="0.15">
      <c r="A757" s="10"/>
      <c r="B757" s="13"/>
      <c r="C757" s="13"/>
    </row>
    <row r="758" spans="1:3" ht="13" x14ac:dyDescent="0.15">
      <c r="A758" s="10"/>
      <c r="B758" s="13"/>
      <c r="C758" s="13"/>
    </row>
    <row r="759" spans="1:3" ht="13" x14ac:dyDescent="0.15">
      <c r="A759" s="10"/>
      <c r="B759" s="13"/>
      <c r="C759" s="13"/>
    </row>
    <row r="760" spans="1:3" ht="13" x14ac:dyDescent="0.15">
      <c r="A760" s="10"/>
      <c r="B760" s="13"/>
      <c r="C760" s="13"/>
    </row>
    <row r="761" spans="1:3" ht="13" x14ac:dyDescent="0.15">
      <c r="A761" s="10"/>
      <c r="B761" s="13"/>
      <c r="C761" s="13"/>
    </row>
    <row r="762" spans="1:3" ht="13" x14ac:dyDescent="0.15">
      <c r="A762" s="10"/>
      <c r="B762" s="13"/>
      <c r="C762" s="13"/>
    </row>
    <row r="763" spans="1:3" ht="13" x14ac:dyDescent="0.15">
      <c r="A763" s="10"/>
      <c r="B763" s="13"/>
      <c r="C763" s="13"/>
    </row>
    <row r="764" spans="1:3" ht="13" x14ac:dyDescent="0.15">
      <c r="A764" s="10"/>
      <c r="B764" s="13"/>
      <c r="C764" s="13"/>
    </row>
    <row r="765" spans="1:3" ht="13" x14ac:dyDescent="0.15">
      <c r="A765" s="10"/>
      <c r="B765" s="13"/>
      <c r="C765" s="13"/>
    </row>
    <row r="766" spans="1:3" ht="13" x14ac:dyDescent="0.15">
      <c r="A766" s="10"/>
      <c r="B766" s="13"/>
      <c r="C766" s="13"/>
    </row>
    <row r="767" spans="1:3" ht="13" x14ac:dyDescent="0.15">
      <c r="A767" s="10"/>
      <c r="B767" s="13"/>
      <c r="C767" s="13"/>
    </row>
    <row r="768" spans="1:3" ht="13" x14ac:dyDescent="0.15">
      <c r="A768" s="10"/>
      <c r="B768" s="13"/>
      <c r="C768" s="13"/>
    </row>
    <row r="769" spans="1:3" ht="13" x14ac:dyDescent="0.15">
      <c r="A769" s="10"/>
      <c r="B769" s="13"/>
      <c r="C769" s="13"/>
    </row>
    <row r="770" spans="1:3" ht="13" x14ac:dyDescent="0.15">
      <c r="A770" s="10"/>
      <c r="B770" s="13"/>
      <c r="C770" s="13"/>
    </row>
    <row r="771" spans="1:3" ht="13" x14ac:dyDescent="0.15">
      <c r="A771" s="10"/>
      <c r="B771" s="13"/>
      <c r="C771" s="13"/>
    </row>
    <row r="772" spans="1:3" ht="13" x14ac:dyDescent="0.15">
      <c r="A772" s="10"/>
      <c r="B772" s="13"/>
      <c r="C772" s="13"/>
    </row>
    <row r="773" spans="1:3" ht="13" x14ac:dyDescent="0.15">
      <c r="A773" s="10"/>
      <c r="B773" s="13"/>
      <c r="C773" s="13"/>
    </row>
    <row r="774" spans="1:3" ht="13" x14ac:dyDescent="0.15">
      <c r="A774" s="10"/>
      <c r="B774" s="13"/>
      <c r="C774" s="13"/>
    </row>
    <row r="775" spans="1:3" ht="13" x14ac:dyDescent="0.15">
      <c r="A775" s="10"/>
      <c r="B775" s="13"/>
      <c r="C775" s="13"/>
    </row>
    <row r="776" spans="1:3" ht="13" x14ac:dyDescent="0.15">
      <c r="A776" s="10"/>
      <c r="B776" s="13"/>
      <c r="C776" s="13"/>
    </row>
    <row r="777" spans="1:3" ht="13" x14ac:dyDescent="0.15">
      <c r="A777" s="10"/>
      <c r="B777" s="13"/>
      <c r="C777" s="13"/>
    </row>
    <row r="778" spans="1:3" ht="13" x14ac:dyDescent="0.15">
      <c r="A778" s="10"/>
      <c r="B778" s="13"/>
      <c r="C778" s="13"/>
    </row>
    <row r="779" spans="1:3" ht="13" x14ac:dyDescent="0.15">
      <c r="A779" s="10"/>
      <c r="B779" s="13"/>
      <c r="C779" s="13"/>
    </row>
    <row r="780" spans="1:3" ht="13" x14ac:dyDescent="0.15">
      <c r="A780" s="10"/>
      <c r="B780" s="13"/>
      <c r="C780" s="13"/>
    </row>
    <row r="781" spans="1:3" ht="13" x14ac:dyDescent="0.15">
      <c r="A781" s="10"/>
      <c r="B781" s="13"/>
      <c r="C781" s="13"/>
    </row>
    <row r="782" spans="1:3" ht="13" x14ac:dyDescent="0.15">
      <c r="A782" s="10"/>
      <c r="B782" s="13"/>
      <c r="C782" s="13"/>
    </row>
    <row r="783" spans="1:3" ht="13" x14ac:dyDescent="0.15">
      <c r="A783" s="10"/>
      <c r="B783" s="13"/>
      <c r="C783" s="13"/>
    </row>
    <row r="784" spans="1:3" ht="13" x14ac:dyDescent="0.15">
      <c r="A784" s="10"/>
      <c r="B784" s="13"/>
      <c r="C784" s="13"/>
    </row>
    <row r="785" spans="1:3" ht="13" x14ac:dyDescent="0.15">
      <c r="A785" s="10"/>
      <c r="B785" s="13"/>
      <c r="C785" s="13"/>
    </row>
    <row r="786" spans="1:3" ht="13" x14ac:dyDescent="0.15">
      <c r="A786" s="10"/>
      <c r="B786" s="13"/>
      <c r="C786" s="13"/>
    </row>
    <row r="787" spans="1:3" ht="13" x14ac:dyDescent="0.15">
      <c r="A787" s="10"/>
      <c r="B787" s="13"/>
      <c r="C787" s="13"/>
    </row>
    <row r="788" spans="1:3" ht="13" x14ac:dyDescent="0.15">
      <c r="A788" s="10"/>
      <c r="B788" s="13"/>
      <c r="C788" s="13"/>
    </row>
    <row r="789" spans="1:3" ht="13" x14ac:dyDescent="0.15">
      <c r="A789" s="10"/>
      <c r="B789" s="13"/>
      <c r="C789" s="13"/>
    </row>
    <row r="790" spans="1:3" ht="13" x14ac:dyDescent="0.15">
      <c r="A790" s="10"/>
      <c r="B790" s="13"/>
      <c r="C790" s="13"/>
    </row>
    <row r="791" spans="1:3" ht="13" x14ac:dyDescent="0.15">
      <c r="A791" s="10"/>
      <c r="B791" s="13"/>
      <c r="C791" s="13"/>
    </row>
    <row r="792" spans="1:3" ht="13" x14ac:dyDescent="0.15">
      <c r="A792" s="10"/>
      <c r="B792" s="13"/>
      <c r="C792" s="13"/>
    </row>
    <row r="793" spans="1:3" ht="13" x14ac:dyDescent="0.15">
      <c r="A793" s="10"/>
      <c r="B793" s="13"/>
      <c r="C793" s="13"/>
    </row>
    <row r="794" spans="1:3" ht="13" x14ac:dyDescent="0.15">
      <c r="A794" s="10"/>
      <c r="B794" s="13"/>
      <c r="C794" s="13"/>
    </row>
    <row r="795" spans="1:3" ht="13" x14ac:dyDescent="0.15">
      <c r="A795" s="10"/>
      <c r="B795" s="13"/>
      <c r="C795" s="13"/>
    </row>
    <row r="796" spans="1:3" ht="13" x14ac:dyDescent="0.15">
      <c r="A796" s="10"/>
      <c r="B796" s="13"/>
      <c r="C796" s="13"/>
    </row>
    <row r="797" spans="1:3" ht="13" x14ac:dyDescent="0.15">
      <c r="A797" s="10"/>
      <c r="B797" s="13"/>
      <c r="C797" s="13"/>
    </row>
    <row r="798" spans="1:3" ht="13" x14ac:dyDescent="0.15">
      <c r="A798" s="10"/>
      <c r="B798" s="13"/>
      <c r="C798" s="13"/>
    </row>
    <row r="799" spans="1:3" ht="13" x14ac:dyDescent="0.15">
      <c r="A799" s="10"/>
      <c r="B799" s="13"/>
      <c r="C799" s="13"/>
    </row>
    <row r="800" spans="1:3" ht="13" x14ac:dyDescent="0.15">
      <c r="A800" s="10"/>
      <c r="B800" s="13"/>
      <c r="C800" s="13"/>
    </row>
    <row r="801" spans="1:3" ht="13" x14ac:dyDescent="0.15">
      <c r="A801" s="10"/>
      <c r="B801" s="13"/>
      <c r="C801" s="13"/>
    </row>
    <row r="802" spans="1:3" ht="13" x14ac:dyDescent="0.15">
      <c r="A802" s="10"/>
      <c r="B802" s="13"/>
      <c r="C802" s="13"/>
    </row>
    <row r="803" spans="1:3" ht="13" x14ac:dyDescent="0.15">
      <c r="A803" s="10"/>
      <c r="B803" s="13"/>
      <c r="C803" s="13"/>
    </row>
    <row r="804" spans="1:3" ht="13" x14ac:dyDescent="0.15">
      <c r="A804" s="10"/>
      <c r="B804" s="13"/>
      <c r="C804" s="13"/>
    </row>
    <row r="805" spans="1:3" ht="13" x14ac:dyDescent="0.15">
      <c r="A805" s="10"/>
      <c r="B805" s="13"/>
      <c r="C805" s="13"/>
    </row>
    <row r="806" spans="1:3" ht="13" x14ac:dyDescent="0.15">
      <c r="A806" s="10"/>
      <c r="B806" s="13"/>
      <c r="C806" s="13"/>
    </row>
    <row r="807" spans="1:3" ht="13" x14ac:dyDescent="0.15">
      <c r="A807" s="10"/>
      <c r="B807" s="13"/>
      <c r="C807" s="13"/>
    </row>
    <row r="808" spans="1:3" ht="13" x14ac:dyDescent="0.15">
      <c r="A808" s="10"/>
      <c r="B808" s="13"/>
      <c r="C808" s="13"/>
    </row>
    <row r="809" spans="1:3" ht="13" x14ac:dyDescent="0.15">
      <c r="A809" s="10"/>
      <c r="B809" s="13"/>
      <c r="C809" s="13"/>
    </row>
    <row r="810" spans="1:3" ht="13" x14ac:dyDescent="0.15">
      <c r="A810" s="10"/>
      <c r="B810" s="13"/>
      <c r="C810" s="13"/>
    </row>
    <row r="811" spans="1:3" ht="13" x14ac:dyDescent="0.15">
      <c r="A811" s="10"/>
      <c r="B811" s="13"/>
      <c r="C811" s="13"/>
    </row>
    <row r="812" spans="1:3" ht="13" x14ac:dyDescent="0.15">
      <c r="A812" s="10"/>
      <c r="B812" s="13"/>
      <c r="C812" s="13"/>
    </row>
    <row r="813" spans="1:3" ht="13" x14ac:dyDescent="0.15">
      <c r="A813" s="10"/>
      <c r="B813" s="13"/>
      <c r="C813" s="13"/>
    </row>
    <row r="814" spans="1:3" ht="13" x14ac:dyDescent="0.15">
      <c r="A814" s="10"/>
      <c r="B814" s="13"/>
      <c r="C814" s="13"/>
    </row>
    <row r="815" spans="1:3" ht="13" x14ac:dyDescent="0.15">
      <c r="A815" s="10"/>
      <c r="B815" s="13"/>
      <c r="C815" s="13"/>
    </row>
    <row r="816" spans="1:3" ht="13" x14ac:dyDescent="0.15">
      <c r="A816" s="10"/>
      <c r="B816" s="13"/>
      <c r="C816" s="13"/>
    </row>
    <row r="817" spans="1:3" ht="13" x14ac:dyDescent="0.15">
      <c r="A817" s="10"/>
      <c r="B817" s="13"/>
      <c r="C817" s="13"/>
    </row>
    <row r="818" spans="1:3" ht="13" x14ac:dyDescent="0.15">
      <c r="A818" s="10"/>
      <c r="B818" s="13"/>
      <c r="C818" s="13"/>
    </row>
    <row r="819" spans="1:3" ht="13" x14ac:dyDescent="0.15">
      <c r="A819" s="10"/>
      <c r="B819" s="13"/>
      <c r="C819" s="13"/>
    </row>
    <row r="820" spans="1:3" ht="13" x14ac:dyDescent="0.15">
      <c r="A820" s="10"/>
      <c r="B820" s="13"/>
      <c r="C820" s="13"/>
    </row>
    <row r="821" spans="1:3" ht="13" x14ac:dyDescent="0.15">
      <c r="A821" s="10"/>
      <c r="B821" s="13"/>
      <c r="C821" s="13"/>
    </row>
    <row r="822" spans="1:3" ht="13" x14ac:dyDescent="0.15">
      <c r="A822" s="10"/>
      <c r="B822" s="13"/>
      <c r="C822" s="13"/>
    </row>
    <row r="823" spans="1:3" ht="13" x14ac:dyDescent="0.15">
      <c r="A823" s="10"/>
      <c r="B823" s="13"/>
      <c r="C823" s="13"/>
    </row>
    <row r="824" spans="1:3" ht="13" x14ac:dyDescent="0.15">
      <c r="A824" s="10"/>
      <c r="B824" s="13"/>
      <c r="C824" s="13"/>
    </row>
    <row r="825" spans="1:3" ht="13" x14ac:dyDescent="0.15">
      <c r="A825" s="10"/>
      <c r="B825" s="13"/>
      <c r="C825" s="13"/>
    </row>
    <row r="826" spans="1:3" ht="13" x14ac:dyDescent="0.15">
      <c r="A826" s="10"/>
      <c r="B826" s="13"/>
      <c r="C826" s="13"/>
    </row>
    <row r="827" spans="1:3" ht="13" x14ac:dyDescent="0.15">
      <c r="A827" s="10"/>
      <c r="B827" s="13"/>
      <c r="C827" s="13"/>
    </row>
    <row r="828" spans="1:3" ht="13" x14ac:dyDescent="0.15">
      <c r="A828" s="10"/>
      <c r="B828" s="13"/>
      <c r="C828" s="13"/>
    </row>
    <row r="829" spans="1:3" ht="13" x14ac:dyDescent="0.15">
      <c r="A829" s="10"/>
      <c r="B829" s="13"/>
      <c r="C829" s="13"/>
    </row>
    <row r="830" spans="1:3" ht="13" x14ac:dyDescent="0.15">
      <c r="A830" s="10"/>
      <c r="B830" s="13"/>
      <c r="C830" s="13"/>
    </row>
    <row r="831" spans="1:3" ht="13" x14ac:dyDescent="0.15">
      <c r="A831" s="10"/>
      <c r="B831" s="13"/>
      <c r="C831" s="13"/>
    </row>
    <row r="832" spans="1:3" ht="13" x14ac:dyDescent="0.15">
      <c r="A832" s="10"/>
      <c r="B832" s="13"/>
      <c r="C832" s="13"/>
    </row>
    <row r="833" spans="1:3" ht="13" x14ac:dyDescent="0.15">
      <c r="A833" s="10"/>
      <c r="B833" s="13"/>
      <c r="C833" s="13"/>
    </row>
    <row r="834" spans="1:3" ht="13" x14ac:dyDescent="0.15">
      <c r="A834" s="10"/>
      <c r="B834" s="13"/>
      <c r="C834" s="13"/>
    </row>
    <row r="835" spans="1:3" ht="13" x14ac:dyDescent="0.15">
      <c r="A835" s="10"/>
      <c r="B835" s="13"/>
      <c r="C835" s="13"/>
    </row>
    <row r="836" spans="1:3" ht="13" x14ac:dyDescent="0.15">
      <c r="A836" s="10"/>
      <c r="B836" s="13"/>
      <c r="C836" s="13"/>
    </row>
    <row r="837" spans="1:3" ht="13" x14ac:dyDescent="0.15">
      <c r="A837" s="10"/>
      <c r="B837" s="13"/>
      <c r="C837" s="13"/>
    </row>
    <row r="838" spans="1:3" ht="13" x14ac:dyDescent="0.15">
      <c r="A838" s="10"/>
      <c r="B838" s="13"/>
      <c r="C838" s="13"/>
    </row>
    <row r="839" spans="1:3" ht="13" x14ac:dyDescent="0.15">
      <c r="A839" s="10"/>
      <c r="B839" s="13"/>
      <c r="C839" s="13"/>
    </row>
    <row r="840" spans="1:3" ht="13" x14ac:dyDescent="0.15">
      <c r="A840" s="10"/>
      <c r="B840" s="13"/>
      <c r="C840" s="13"/>
    </row>
    <row r="841" spans="1:3" ht="13" x14ac:dyDescent="0.15">
      <c r="A841" s="10"/>
      <c r="B841" s="13"/>
      <c r="C841" s="13"/>
    </row>
    <row r="842" spans="1:3" ht="13" x14ac:dyDescent="0.15">
      <c r="A842" s="10"/>
      <c r="B842" s="13"/>
      <c r="C842" s="13"/>
    </row>
    <row r="843" spans="1:3" ht="13" x14ac:dyDescent="0.15">
      <c r="A843" s="10"/>
      <c r="B843" s="13"/>
      <c r="C843" s="13"/>
    </row>
    <row r="844" spans="1:3" ht="13" x14ac:dyDescent="0.15">
      <c r="A844" s="10"/>
      <c r="B844" s="13"/>
      <c r="C844" s="13"/>
    </row>
    <row r="845" spans="1:3" ht="13" x14ac:dyDescent="0.15">
      <c r="A845" s="10"/>
      <c r="B845" s="13"/>
      <c r="C845" s="13"/>
    </row>
    <row r="846" spans="1:3" ht="13" x14ac:dyDescent="0.15">
      <c r="A846" s="10"/>
      <c r="B846" s="13"/>
      <c r="C846" s="13"/>
    </row>
    <row r="847" spans="1:3" ht="13" x14ac:dyDescent="0.15">
      <c r="A847" s="10"/>
      <c r="B847" s="13"/>
      <c r="C847" s="13"/>
    </row>
    <row r="848" spans="1:3" ht="13" x14ac:dyDescent="0.15">
      <c r="A848" s="10"/>
      <c r="B848" s="13"/>
      <c r="C848" s="13"/>
    </row>
    <row r="849" spans="1:3" ht="13" x14ac:dyDescent="0.15">
      <c r="A849" s="10"/>
      <c r="B849" s="13"/>
      <c r="C849" s="13"/>
    </row>
    <row r="850" spans="1:3" ht="13" x14ac:dyDescent="0.15">
      <c r="A850" s="10"/>
      <c r="B850" s="13"/>
      <c r="C850" s="13"/>
    </row>
    <row r="851" spans="1:3" ht="13" x14ac:dyDescent="0.15">
      <c r="A851" s="10"/>
      <c r="B851" s="13"/>
      <c r="C851" s="13"/>
    </row>
    <row r="852" spans="1:3" ht="13" x14ac:dyDescent="0.15">
      <c r="A852" s="10"/>
      <c r="B852" s="13"/>
      <c r="C852" s="13"/>
    </row>
    <row r="853" spans="1:3" ht="13" x14ac:dyDescent="0.15">
      <c r="A853" s="10"/>
      <c r="B853" s="13"/>
      <c r="C853" s="13"/>
    </row>
    <row r="854" spans="1:3" ht="13" x14ac:dyDescent="0.15">
      <c r="A854" s="10"/>
      <c r="B854" s="13"/>
      <c r="C854" s="13"/>
    </row>
    <row r="855" spans="1:3" ht="13" x14ac:dyDescent="0.15">
      <c r="A855" s="10"/>
      <c r="B855" s="13"/>
      <c r="C855" s="13"/>
    </row>
    <row r="856" spans="1:3" ht="13" x14ac:dyDescent="0.15">
      <c r="A856" s="10"/>
      <c r="B856" s="13"/>
      <c r="C856" s="13"/>
    </row>
    <row r="857" spans="1:3" ht="13" x14ac:dyDescent="0.15">
      <c r="A857" s="10"/>
      <c r="B857" s="13"/>
      <c r="C857" s="13"/>
    </row>
    <row r="858" spans="1:3" ht="13" x14ac:dyDescent="0.15">
      <c r="A858" s="10"/>
      <c r="B858" s="13"/>
      <c r="C858" s="13"/>
    </row>
    <row r="859" spans="1:3" ht="13" x14ac:dyDescent="0.15">
      <c r="A859" s="10"/>
      <c r="B859" s="13"/>
      <c r="C859" s="13"/>
    </row>
    <row r="860" spans="1:3" ht="13" x14ac:dyDescent="0.15">
      <c r="A860" s="10"/>
      <c r="B860" s="13"/>
      <c r="C860" s="13"/>
    </row>
    <row r="861" spans="1:3" ht="13" x14ac:dyDescent="0.15">
      <c r="A861" s="10"/>
      <c r="B861" s="13"/>
      <c r="C861" s="13"/>
    </row>
    <row r="862" spans="1:3" ht="13" x14ac:dyDescent="0.15">
      <c r="A862" s="10"/>
      <c r="B862" s="13"/>
      <c r="C862" s="13"/>
    </row>
    <row r="863" spans="1:3" ht="13" x14ac:dyDescent="0.15">
      <c r="A863" s="10"/>
      <c r="B863" s="13"/>
      <c r="C863" s="13"/>
    </row>
    <row r="864" spans="1:3" ht="13" x14ac:dyDescent="0.15">
      <c r="A864" s="10"/>
      <c r="B864" s="13"/>
      <c r="C864" s="13"/>
    </row>
    <row r="865" spans="1:3" ht="13" x14ac:dyDescent="0.15">
      <c r="A865" s="10"/>
      <c r="B865" s="13"/>
      <c r="C865" s="13"/>
    </row>
    <row r="866" spans="1:3" ht="13" x14ac:dyDescent="0.15">
      <c r="A866" s="10"/>
      <c r="B866" s="13"/>
      <c r="C866" s="13"/>
    </row>
    <row r="867" spans="1:3" ht="13" x14ac:dyDescent="0.15">
      <c r="A867" s="10"/>
      <c r="B867" s="13"/>
      <c r="C867" s="13"/>
    </row>
    <row r="868" spans="1:3" ht="13" x14ac:dyDescent="0.15">
      <c r="A868" s="10"/>
      <c r="B868" s="13"/>
      <c r="C868" s="13"/>
    </row>
    <row r="869" spans="1:3" ht="13" x14ac:dyDescent="0.15">
      <c r="A869" s="10"/>
      <c r="B869" s="13"/>
      <c r="C869" s="13"/>
    </row>
    <row r="870" spans="1:3" ht="13" x14ac:dyDescent="0.15">
      <c r="A870" s="10"/>
      <c r="B870" s="13"/>
      <c r="C870" s="13"/>
    </row>
    <row r="871" spans="1:3" ht="13" x14ac:dyDescent="0.15">
      <c r="A871" s="10"/>
      <c r="B871" s="13"/>
      <c r="C871" s="13"/>
    </row>
    <row r="872" spans="1:3" ht="13" x14ac:dyDescent="0.15">
      <c r="A872" s="10"/>
      <c r="B872" s="13"/>
      <c r="C872" s="13"/>
    </row>
    <row r="873" spans="1:3" ht="13" x14ac:dyDescent="0.15">
      <c r="A873" s="10"/>
      <c r="B873" s="13"/>
      <c r="C873" s="13"/>
    </row>
    <row r="874" spans="1:3" ht="13" x14ac:dyDescent="0.15">
      <c r="A874" s="10"/>
      <c r="B874" s="13"/>
      <c r="C874" s="13"/>
    </row>
    <row r="875" spans="1:3" ht="13" x14ac:dyDescent="0.15">
      <c r="A875" s="10"/>
      <c r="B875" s="13"/>
      <c r="C875" s="13"/>
    </row>
    <row r="876" spans="1:3" ht="13" x14ac:dyDescent="0.15">
      <c r="A876" s="10"/>
      <c r="B876" s="13"/>
      <c r="C876" s="13"/>
    </row>
    <row r="877" spans="1:3" ht="13" x14ac:dyDescent="0.15">
      <c r="A877" s="10"/>
      <c r="B877" s="13"/>
      <c r="C877" s="13"/>
    </row>
    <row r="878" spans="1:3" ht="13" x14ac:dyDescent="0.15">
      <c r="A878" s="10"/>
      <c r="B878" s="13"/>
      <c r="C878" s="13"/>
    </row>
    <row r="879" spans="1:3" ht="13" x14ac:dyDescent="0.15">
      <c r="A879" s="10"/>
      <c r="B879" s="13"/>
      <c r="C879" s="13"/>
    </row>
    <row r="880" spans="1:3" ht="13" x14ac:dyDescent="0.15">
      <c r="A880" s="10"/>
      <c r="B880" s="13"/>
      <c r="C880" s="13"/>
    </row>
    <row r="881" spans="1:3" ht="13" x14ac:dyDescent="0.15">
      <c r="A881" s="10"/>
      <c r="B881" s="13"/>
      <c r="C881" s="13"/>
    </row>
    <row r="882" spans="1:3" ht="13" x14ac:dyDescent="0.15">
      <c r="A882" s="10"/>
      <c r="B882" s="13"/>
      <c r="C882" s="13"/>
    </row>
    <row r="883" spans="1:3" ht="13" x14ac:dyDescent="0.15">
      <c r="A883" s="10"/>
      <c r="B883" s="13"/>
      <c r="C883" s="13"/>
    </row>
    <row r="884" spans="1:3" ht="13" x14ac:dyDescent="0.15">
      <c r="A884" s="10"/>
      <c r="B884" s="13"/>
      <c r="C884" s="13"/>
    </row>
    <row r="885" spans="1:3" ht="13" x14ac:dyDescent="0.15">
      <c r="A885" s="10"/>
      <c r="B885" s="13"/>
      <c r="C885" s="13"/>
    </row>
    <row r="886" spans="1:3" ht="13" x14ac:dyDescent="0.15">
      <c r="A886" s="10"/>
      <c r="B886" s="13"/>
      <c r="C886" s="13"/>
    </row>
    <row r="887" spans="1:3" ht="13" x14ac:dyDescent="0.15">
      <c r="A887" s="10"/>
      <c r="B887" s="13"/>
      <c r="C887" s="13"/>
    </row>
    <row r="888" spans="1:3" ht="13" x14ac:dyDescent="0.15">
      <c r="A888" s="10"/>
      <c r="B888" s="13"/>
      <c r="C888" s="13"/>
    </row>
    <row r="889" spans="1:3" ht="13" x14ac:dyDescent="0.15">
      <c r="A889" s="10"/>
      <c r="B889" s="13"/>
      <c r="C889" s="13"/>
    </row>
    <row r="890" spans="1:3" ht="13" x14ac:dyDescent="0.15">
      <c r="A890" s="10"/>
      <c r="B890" s="13"/>
      <c r="C890" s="13"/>
    </row>
    <row r="891" spans="1:3" ht="13" x14ac:dyDescent="0.15">
      <c r="A891" s="10"/>
      <c r="B891" s="13"/>
      <c r="C891" s="13"/>
    </row>
    <row r="892" spans="1:3" ht="13" x14ac:dyDescent="0.15">
      <c r="A892" s="10"/>
      <c r="B892" s="13"/>
      <c r="C892" s="13"/>
    </row>
    <row r="893" spans="1:3" ht="13" x14ac:dyDescent="0.15">
      <c r="A893" s="10"/>
      <c r="B893" s="13"/>
      <c r="C893" s="13"/>
    </row>
    <row r="894" spans="1:3" ht="13" x14ac:dyDescent="0.15">
      <c r="A894" s="10"/>
      <c r="B894" s="13"/>
      <c r="C894" s="13"/>
    </row>
    <row r="895" spans="1:3" ht="13" x14ac:dyDescent="0.15">
      <c r="A895" s="10"/>
      <c r="B895" s="13"/>
      <c r="C895" s="13"/>
    </row>
    <row r="896" spans="1:3" ht="13" x14ac:dyDescent="0.15">
      <c r="A896" s="10"/>
      <c r="B896" s="13"/>
      <c r="C896" s="13"/>
    </row>
    <row r="897" spans="1:3" ht="13" x14ac:dyDescent="0.15">
      <c r="A897" s="10"/>
      <c r="B897" s="13"/>
      <c r="C897" s="13"/>
    </row>
    <row r="898" spans="1:3" ht="13" x14ac:dyDescent="0.15">
      <c r="A898" s="10"/>
      <c r="B898" s="13"/>
      <c r="C898" s="13"/>
    </row>
    <row r="899" spans="1:3" ht="13" x14ac:dyDescent="0.15">
      <c r="A899" s="10"/>
      <c r="B899" s="13"/>
      <c r="C899" s="13"/>
    </row>
    <row r="900" spans="1:3" ht="13" x14ac:dyDescent="0.15">
      <c r="A900" s="10"/>
      <c r="B900" s="13"/>
      <c r="C900" s="13"/>
    </row>
    <row r="901" spans="1:3" ht="13" x14ac:dyDescent="0.15">
      <c r="A901" s="10"/>
      <c r="B901" s="13"/>
      <c r="C901" s="13"/>
    </row>
    <row r="902" spans="1:3" ht="13" x14ac:dyDescent="0.15">
      <c r="A902" s="10"/>
      <c r="B902" s="13"/>
      <c r="C902" s="13"/>
    </row>
    <row r="903" spans="1:3" ht="13" x14ac:dyDescent="0.15">
      <c r="A903" s="10"/>
      <c r="B903" s="13"/>
      <c r="C903" s="13"/>
    </row>
    <row r="904" spans="1:3" ht="13" x14ac:dyDescent="0.15">
      <c r="A904" s="10"/>
      <c r="B904" s="13"/>
      <c r="C904" s="13"/>
    </row>
    <row r="905" spans="1:3" ht="13" x14ac:dyDescent="0.15">
      <c r="A905" s="10"/>
      <c r="B905" s="13"/>
      <c r="C905" s="13"/>
    </row>
    <row r="906" spans="1:3" ht="13" x14ac:dyDescent="0.15">
      <c r="A906" s="10"/>
      <c r="B906" s="13"/>
      <c r="C906" s="13"/>
    </row>
    <row r="907" spans="1:3" ht="13" x14ac:dyDescent="0.15">
      <c r="A907" s="10"/>
      <c r="B907" s="13"/>
      <c r="C907" s="13"/>
    </row>
    <row r="908" spans="1:3" ht="13" x14ac:dyDescent="0.15">
      <c r="A908" s="10"/>
      <c r="B908" s="13"/>
      <c r="C908" s="13"/>
    </row>
    <row r="909" spans="1:3" ht="13" x14ac:dyDescent="0.15">
      <c r="A909" s="10"/>
      <c r="B909" s="13"/>
      <c r="C909" s="13"/>
    </row>
    <row r="910" spans="1:3" ht="13" x14ac:dyDescent="0.15">
      <c r="A910" s="10"/>
      <c r="B910" s="13"/>
      <c r="C910" s="13"/>
    </row>
    <row r="911" spans="1:3" ht="13" x14ac:dyDescent="0.15">
      <c r="A911" s="10"/>
      <c r="B911" s="13"/>
      <c r="C911" s="13"/>
    </row>
    <row r="912" spans="1:3" ht="13" x14ac:dyDescent="0.15">
      <c r="A912" s="10"/>
      <c r="B912" s="13"/>
      <c r="C912" s="13"/>
    </row>
    <row r="913" spans="1:3" ht="13" x14ac:dyDescent="0.15">
      <c r="A913" s="10"/>
      <c r="B913" s="13"/>
      <c r="C913" s="13"/>
    </row>
    <row r="914" spans="1:3" ht="13" x14ac:dyDescent="0.15">
      <c r="A914" s="10"/>
      <c r="B914" s="13"/>
      <c r="C914" s="13"/>
    </row>
    <row r="915" spans="1:3" ht="13" x14ac:dyDescent="0.15">
      <c r="A915" s="10"/>
      <c r="B915" s="13"/>
      <c r="C915" s="13"/>
    </row>
    <row r="916" spans="1:3" ht="13" x14ac:dyDescent="0.15">
      <c r="A916" s="10"/>
      <c r="B916" s="13"/>
      <c r="C916" s="13"/>
    </row>
    <row r="917" spans="1:3" ht="13" x14ac:dyDescent="0.15">
      <c r="A917" s="10"/>
      <c r="B917" s="13"/>
      <c r="C917" s="13"/>
    </row>
    <row r="918" spans="1:3" ht="13" x14ac:dyDescent="0.15">
      <c r="A918" s="10"/>
      <c r="B918" s="13"/>
      <c r="C918" s="13"/>
    </row>
    <row r="919" spans="1:3" ht="13" x14ac:dyDescent="0.15">
      <c r="A919" s="10"/>
      <c r="B919" s="13"/>
      <c r="C919" s="13"/>
    </row>
    <row r="920" spans="1:3" ht="13" x14ac:dyDescent="0.15">
      <c r="A920" s="10"/>
      <c r="B920" s="13"/>
      <c r="C920" s="13"/>
    </row>
    <row r="921" spans="1:3" ht="13" x14ac:dyDescent="0.15">
      <c r="A921" s="10"/>
      <c r="B921" s="13"/>
      <c r="C921" s="13"/>
    </row>
    <row r="922" spans="1:3" ht="13" x14ac:dyDescent="0.15">
      <c r="A922" s="10"/>
      <c r="B922" s="13"/>
      <c r="C922" s="13"/>
    </row>
    <row r="923" spans="1:3" ht="13" x14ac:dyDescent="0.15">
      <c r="A923" s="10"/>
      <c r="B923" s="13"/>
      <c r="C923" s="13"/>
    </row>
    <row r="924" spans="1:3" ht="13" x14ac:dyDescent="0.15">
      <c r="A924" s="10"/>
      <c r="B924" s="13"/>
      <c r="C924" s="13"/>
    </row>
    <row r="925" spans="1:3" ht="13" x14ac:dyDescent="0.15">
      <c r="A925" s="10"/>
      <c r="B925" s="13"/>
      <c r="C925" s="13"/>
    </row>
    <row r="926" spans="1:3" ht="13" x14ac:dyDescent="0.15">
      <c r="A926" s="10"/>
      <c r="B926" s="13"/>
      <c r="C926" s="13"/>
    </row>
    <row r="927" spans="1:3" ht="13" x14ac:dyDescent="0.15">
      <c r="A927" s="10"/>
      <c r="B927" s="13"/>
      <c r="C927" s="13"/>
    </row>
    <row r="928" spans="1:3" ht="13" x14ac:dyDescent="0.15">
      <c r="A928" s="10"/>
      <c r="B928" s="13"/>
      <c r="C928" s="13"/>
    </row>
    <row r="929" spans="1:3" ht="13" x14ac:dyDescent="0.15">
      <c r="A929" s="10"/>
      <c r="B929" s="13"/>
      <c r="C929" s="13"/>
    </row>
    <row r="930" spans="1:3" ht="13" x14ac:dyDescent="0.15">
      <c r="A930" s="10"/>
      <c r="B930" s="13"/>
      <c r="C930" s="13"/>
    </row>
    <row r="931" spans="1:3" ht="13" x14ac:dyDescent="0.15">
      <c r="A931" s="10"/>
      <c r="B931" s="13"/>
      <c r="C931" s="13"/>
    </row>
    <row r="932" spans="1:3" ht="13" x14ac:dyDescent="0.15">
      <c r="A932" s="10"/>
      <c r="B932" s="13"/>
      <c r="C932" s="13"/>
    </row>
    <row r="933" spans="1:3" ht="13" x14ac:dyDescent="0.15">
      <c r="A933" s="10"/>
      <c r="B933" s="13"/>
      <c r="C933" s="13"/>
    </row>
    <row r="934" spans="1:3" ht="13" x14ac:dyDescent="0.15">
      <c r="A934" s="10"/>
      <c r="B934" s="13"/>
      <c r="C934" s="13"/>
    </row>
    <row r="935" spans="1:3" ht="13" x14ac:dyDescent="0.15">
      <c r="A935" s="10"/>
      <c r="B935" s="13"/>
      <c r="C935" s="13"/>
    </row>
    <row r="936" spans="1:3" ht="13" x14ac:dyDescent="0.15">
      <c r="A936" s="10"/>
      <c r="B936" s="13"/>
      <c r="C936" s="13"/>
    </row>
    <row r="937" spans="1:3" ht="13" x14ac:dyDescent="0.15">
      <c r="A937" s="10"/>
      <c r="B937" s="13"/>
      <c r="C937" s="13"/>
    </row>
    <row r="938" spans="1:3" ht="13" x14ac:dyDescent="0.15">
      <c r="A938" s="10"/>
      <c r="B938" s="13"/>
      <c r="C938" s="13"/>
    </row>
    <row r="939" spans="1:3" ht="13" x14ac:dyDescent="0.15">
      <c r="A939" s="10"/>
      <c r="B939" s="13"/>
      <c r="C939" s="13"/>
    </row>
    <row r="940" spans="1:3" ht="13" x14ac:dyDescent="0.15">
      <c r="A940" s="10"/>
      <c r="B940" s="13"/>
      <c r="C940" s="13"/>
    </row>
    <row r="941" spans="1:3" ht="13" x14ac:dyDescent="0.15">
      <c r="A941" s="10"/>
      <c r="B941" s="13"/>
      <c r="C941" s="13"/>
    </row>
    <row r="942" spans="1:3" ht="13" x14ac:dyDescent="0.15">
      <c r="A942" s="10"/>
      <c r="B942" s="13"/>
      <c r="C942" s="13"/>
    </row>
    <row r="943" spans="1:3" ht="13" x14ac:dyDescent="0.15">
      <c r="A943" s="10"/>
      <c r="B943" s="13"/>
      <c r="C943" s="13"/>
    </row>
    <row r="944" spans="1:3" ht="13" x14ac:dyDescent="0.15">
      <c r="A944" s="10"/>
      <c r="B944" s="13"/>
      <c r="C944" s="13"/>
    </row>
    <row r="945" spans="1:3" ht="13" x14ac:dyDescent="0.15">
      <c r="A945" s="10"/>
      <c r="B945" s="13"/>
      <c r="C945" s="13"/>
    </row>
    <row r="946" spans="1:3" ht="13" x14ac:dyDescent="0.15">
      <c r="A946" s="10"/>
      <c r="B946" s="13"/>
      <c r="C946" s="13"/>
    </row>
    <row r="947" spans="1:3" ht="13" x14ac:dyDescent="0.15">
      <c r="A947" s="10"/>
      <c r="B947" s="13"/>
      <c r="C947" s="13"/>
    </row>
    <row r="948" spans="1:3" ht="13" x14ac:dyDescent="0.15">
      <c r="A948" s="10"/>
      <c r="B948" s="13"/>
      <c r="C948" s="13"/>
    </row>
    <row r="949" spans="1:3" ht="13" x14ac:dyDescent="0.15">
      <c r="A949" s="10"/>
      <c r="B949" s="13"/>
      <c r="C949" s="13"/>
    </row>
    <row r="950" spans="1:3" ht="13" x14ac:dyDescent="0.15">
      <c r="A950" s="10"/>
      <c r="B950" s="13"/>
      <c r="C950" s="13"/>
    </row>
    <row r="951" spans="1:3" ht="13" x14ac:dyDescent="0.15">
      <c r="A951" s="10"/>
      <c r="B951" s="13"/>
      <c r="C951" s="13"/>
    </row>
    <row r="952" spans="1:3" ht="13" x14ac:dyDescent="0.15">
      <c r="A952" s="10"/>
      <c r="B952" s="13"/>
      <c r="C952" s="13"/>
    </row>
    <row r="953" spans="1:3" ht="13" x14ac:dyDescent="0.15">
      <c r="A953" s="10"/>
      <c r="B953" s="13"/>
      <c r="C953" s="13"/>
    </row>
    <row r="954" spans="1:3" ht="13" x14ac:dyDescent="0.15">
      <c r="A954" s="10"/>
      <c r="B954" s="13"/>
      <c r="C954" s="13"/>
    </row>
    <row r="955" spans="1:3" ht="13" x14ac:dyDescent="0.15">
      <c r="A955" s="10"/>
      <c r="B955" s="13"/>
      <c r="C955" s="13"/>
    </row>
    <row r="956" spans="1:3" ht="13" x14ac:dyDescent="0.15">
      <c r="A956" s="10"/>
      <c r="B956" s="13"/>
      <c r="C956" s="13"/>
    </row>
    <row r="957" spans="1:3" ht="13" x14ac:dyDescent="0.15">
      <c r="A957" s="10"/>
      <c r="B957" s="13"/>
      <c r="C957" s="13"/>
    </row>
    <row r="958" spans="1:3" ht="13" x14ac:dyDescent="0.15">
      <c r="A958" s="10"/>
      <c r="B958" s="13"/>
      <c r="C958" s="13"/>
    </row>
    <row r="959" spans="1:3" ht="13" x14ac:dyDescent="0.15">
      <c r="A959" s="10"/>
      <c r="B959" s="13"/>
      <c r="C959" s="13"/>
    </row>
    <row r="960" spans="1:3" ht="13" x14ac:dyDescent="0.15">
      <c r="A960" s="10"/>
      <c r="B960" s="13"/>
      <c r="C960" s="13"/>
    </row>
    <row r="961" spans="1:3" ht="13" x14ac:dyDescent="0.15">
      <c r="A961" s="10"/>
      <c r="B961" s="13"/>
      <c r="C961" s="13"/>
    </row>
    <row r="962" spans="1:3" ht="13" x14ac:dyDescent="0.15">
      <c r="A962" s="10"/>
      <c r="B962" s="13"/>
      <c r="C962" s="13"/>
    </row>
    <row r="963" spans="1:3" ht="13" x14ac:dyDescent="0.15">
      <c r="A963" s="10"/>
      <c r="B963" s="13"/>
      <c r="C963" s="13"/>
    </row>
    <row r="964" spans="1:3" ht="13" x14ac:dyDescent="0.15">
      <c r="A964" s="10"/>
      <c r="B964" s="13"/>
      <c r="C964" s="13"/>
    </row>
    <row r="965" spans="1:3" ht="13" x14ac:dyDescent="0.15">
      <c r="A965" s="10"/>
      <c r="B965" s="13"/>
      <c r="C965" s="13"/>
    </row>
    <row r="966" spans="1:3" ht="13" x14ac:dyDescent="0.15">
      <c r="A966" s="10"/>
      <c r="B966" s="13"/>
      <c r="C966" s="13"/>
    </row>
    <row r="967" spans="1:3" ht="13" x14ac:dyDescent="0.15">
      <c r="A967" s="10"/>
      <c r="B967" s="13"/>
      <c r="C967" s="13"/>
    </row>
    <row r="968" spans="1:3" ht="13" x14ac:dyDescent="0.15">
      <c r="A968" s="10"/>
      <c r="B968" s="13"/>
      <c r="C968" s="13"/>
    </row>
    <row r="969" spans="1:3" ht="13" x14ac:dyDescent="0.15">
      <c r="A969" s="10"/>
      <c r="B969" s="13"/>
      <c r="C969" s="13"/>
    </row>
    <row r="970" spans="1:3" ht="13" x14ac:dyDescent="0.15">
      <c r="A970" s="10"/>
      <c r="B970" s="13"/>
      <c r="C970" s="13"/>
    </row>
    <row r="971" spans="1:3" ht="13" x14ac:dyDescent="0.15">
      <c r="A971" s="10"/>
      <c r="B971" s="13"/>
      <c r="C971" s="13"/>
    </row>
    <row r="972" spans="1:3" ht="13" x14ac:dyDescent="0.15">
      <c r="A972" s="10"/>
      <c r="B972" s="13"/>
      <c r="C972" s="13"/>
    </row>
    <row r="973" spans="1:3" ht="13" x14ac:dyDescent="0.15">
      <c r="A973" s="10"/>
      <c r="B973" s="13"/>
      <c r="C973" s="13"/>
    </row>
    <row r="974" spans="1:3" ht="13" x14ac:dyDescent="0.15">
      <c r="A974" s="10"/>
      <c r="B974" s="13"/>
      <c r="C974" s="13"/>
    </row>
    <row r="975" spans="1:3" ht="13" x14ac:dyDescent="0.15">
      <c r="A975" s="10"/>
      <c r="B975" s="13"/>
      <c r="C975" s="13"/>
    </row>
    <row r="976" spans="1:3" ht="13" x14ac:dyDescent="0.15">
      <c r="A976" s="10"/>
      <c r="B976" s="13"/>
      <c r="C976" s="13"/>
    </row>
    <row r="977" spans="1:3" ht="13" x14ac:dyDescent="0.15">
      <c r="A977" s="10"/>
      <c r="B977" s="13"/>
      <c r="C977" s="13"/>
    </row>
    <row r="978" spans="1:3" ht="13" x14ac:dyDescent="0.15">
      <c r="A978" s="10"/>
      <c r="B978" s="13"/>
      <c r="C978" s="13"/>
    </row>
    <row r="979" spans="1:3" ht="13" x14ac:dyDescent="0.15">
      <c r="A979" s="10"/>
      <c r="B979" s="13"/>
      <c r="C979" s="13"/>
    </row>
    <row r="980" spans="1:3" ht="13" x14ac:dyDescent="0.15">
      <c r="A980" s="10"/>
      <c r="B980" s="13"/>
      <c r="C980" s="13"/>
    </row>
    <row r="981" spans="1:3" ht="13" x14ac:dyDescent="0.15">
      <c r="A981" s="10"/>
      <c r="B981" s="13"/>
      <c r="C981" s="13"/>
    </row>
    <row r="982" spans="1:3" ht="13" x14ac:dyDescent="0.15">
      <c r="A982" s="10"/>
      <c r="B982" s="13"/>
      <c r="C982" s="13"/>
    </row>
    <row r="983" spans="1:3" ht="13" x14ac:dyDescent="0.15">
      <c r="A983" s="10"/>
      <c r="B983" s="13"/>
      <c r="C983" s="13"/>
    </row>
    <row r="984" spans="1:3" ht="13" x14ac:dyDescent="0.15">
      <c r="A984" s="10"/>
      <c r="B984" s="13"/>
      <c r="C984" s="13"/>
    </row>
    <row r="985" spans="1:3" ht="13" x14ac:dyDescent="0.15">
      <c r="A985" s="10"/>
      <c r="B985" s="13"/>
      <c r="C985" s="13"/>
    </row>
    <row r="986" spans="1:3" ht="13" x14ac:dyDescent="0.15">
      <c r="A986" s="10"/>
      <c r="B986" s="13"/>
      <c r="C986" s="13"/>
    </row>
    <row r="987" spans="1:3" ht="13" x14ac:dyDescent="0.15">
      <c r="A987" s="10"/>
      <c r="B987" s="13"/>
      <c r="C987" s="13"/>
    </row>
    <row r="988" spans="1:3" ht="13" x14ac:dyDescent="0.15">
      <c r="A988" s="10"/>
      <c r="B988" s="13"/>
      <c r="C988" s="13"/>
    </row>
    <row r="989" spans="1:3" ht="13" x14ac:dyDescent="0.15">
      <c r="A989" s="10"/>
      <c r="B989" s="13"/>
      <c r="C989" s="13"/>
    </row>
    <row r="990" spans="1:3" ht="13" x14ac:dyDescent="0.15">
      <c r="A990" s="10"/>
      <c r="B990" s="13"/>
      <c r="C990" s="13"/>
    </row>
    <row r="991" spans="1:3" ht="13" x14ac:dyDescent="0.15">
      <c r="A991" s="10"/>
      <c r="B991" s="13"/>
      <c r="C991" s="13"/>
    </row>
    <row r="992" spans="1:3" ht="13" x14ac:dyDescent="0.15">
      <c r="A992" s="10"/>
      <c r="B992" s="13"/>
      <c r="C992" s="13"/>
    </row>
    <row r="993" spans="1:3" ht="13" x14ac:dyDescent="0.15">
      <c r="A993" s="10"/>
      <c r="B993" s="13"/>
      <c r="C993" s="13"/>
    </row>
    <row r="994" spans="1:3" ht="13" x14ac:dyDescent="0.15">
      <c r="A994" s="10"/>
      <c r="B994" s="13"/>
      <c r="C994" s="13"/>
    </row>
    <row r="995" spans="1:3" ht="13" x14ac:dyDescent="0.15">
      <c r="A995" s="10"/>
      <c r="B995" s="13"/>
      <c r="C995" s="13"/>
    </row>
    <row r="996" spans="1:3" ht="13" x14ac:dyDescent="0.15">
      <c r="A996" s="10"/>
      <c r="B996" s="13"/>
      <c r="C996" s="13"/>
    </row>
    <row r="997" spans="1:3" ht="13" x14ac:dyDescent="0.15">
      <c r="A997" s="10"/>
      <c r="B997" s="13"/>
      <c r="C997" s="13"/>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outlinePr summaryBelow="0" summaryRight="0"/>
  </sheetPr>
  <dimension ref="A1:D997"/>
  <sheetViews>
    <sheetView workbookViewId="0"/>
  </sheetViews>
  <sheetFormatPr baseColWidth="10" defaultColWidth="12.6640625" defaultRowHeight="15.75" customHeight="1" x14ac:dyDescent="0.15"/>
  <cols>
    <col min="1" max="1" width="71.5" customWidth="1"/>
    <col min="2" max="4" width="37.6640625" customWidth="1"/>
  </cols>
  <sheetData>
    <row r="1" spans="1:4" ht="15.75" customHeight="1" x14ac:dyDescent="0.15">
      <c r="A1" s="1"/>
      <c r="B1" s="12" t="str">
        <f ca="1">IFERROR(__xludf.DUMMYFUNCTION("IMPORTRANGE(""https://docs.google.com/spreadsheets/d/13SmE7eku7nG0PwUe_FIOCUfCnXVjPMNZ0Q_x8FW6s5I"",""A26!B1:B22"")"),"Josiah Bolton")</f>
        <v>Josiah Bolton</v>
      </c>
      <c r="C1" s="10" t="str">
        <f ca="1">IFERROR(__xludf.DUMMYFUNCTION("IMPORTRANGE(""https://docs.google.com/spreadsheets/u/0/d/1etLQb97lMSNWG4ebq9e4mMf5V6Y_IPpBxMswZpIG47E"", ""A26!B1:B22"")"),"Erin Loudermilk")</f>
        <v>Erin Loudermilk</v>
      </c>
      <c r="D1" s="2" t="s">
        <v>1</v>
      </c>
    </row>
    <row r="2" spans="1:4" ht="15.75" customHeight="1" x14ac:dyDescent="0.15">
      <c r="A2" s="3" t="s">
        <v>2</v>
      </c>
      <c r="B2" s="15" t="str">
        <f ca="1">IFERROR(__xludf.DUMMYFUNCTION("""COMPUTED_VALUE"""),"17385-18158 FOR")</f>
        <v>17385-18158 FOR</v>
      </c>
      <c r="C2" s="15" t="str">
        <f ca="1">IFERROR(__xludf.DUMMYFUNCTION("""COMPUTED_VALUE"""),"17385 - 18158 FOR")</f>
        <v>17385 - 18158 FOR</v>
      </c>
      <c r="D2" s="4"/>
    </row>
    <row r="3" spans="1:4" ht="15.75" customHeight="1" x14ac:dyDescent="0.15">
      <c r="A3" s="5" t="s">
        <v>3</v>
      </c>
      <c r="B3" s="17" t="str">
        <f ca="1">IFERROR(__xludf.DUMMYFUNCTION("""COMPUTED_VALUE"""),"DNA MASTER 25
Phamerator 26")</f>
        <v>DNA MASTER 25
Phamerator 26</v>
      </c>
      <c r="C3" s="17" t="str">
        <f ca="1">IFERROR(__xludf.DUMMYFUNCTION("""COMPUTED_VALUE"""),"DNA Master: 25, Pham: 26")</f>
        <v>DNA Master: 25, Pham: 26</v>
      </c>
      <c r="D3" s="6"/>
    </row>
    <row r="4" spans="1:4" ht="15.75" customHeight="1" x14ac:dyDescent="0.15">
      <c r="A4" s="5" t="s">
        <v>4</v>
      </c>
      <c r="B4" s="17" t="str">
        <f ca="1">IFERROR(__xludf.DUMMYFUNCTION("""COMPUTED_VALUE"""),"5650 3/5/2025")</f>
        <v>5650 3/5/2025</v>
      </c>
      <c r="C4" s="17" t="str">
        <f ca="1">IFERROR(__xludf.DUMMYFUNCTION("""COMPUTED_VALUE"""),"5650 (3/12/25)")</f>
        <v>5650 (3/12/25)</v>
      </c>
      <c r="D4" s="6"/>
    </row>
    <row r="5" spans="1:4" ht="15.75" customHeight="1" x14ac:dyDescent="0.15">
      <c r="A5" s="5" t="s">
        <v>5</v>
      </c>
      <c r="B5" s="17" t="str">
        <f ca="1">IFERROR(__xludf.DUMMYFUNCTION("""COMPUTED_VALUE"""),"Kovu 27 and Edmundo 23")</f>
        <v>Kovu 27 and Edmundo 23</v>
      </c>
      <c r="C5" s="17" t="str">
        <f ca="1">IFERROR(__xludf.DUMMYFUNCTION("""COMPUTED_VALUE"""),"Kovu_27. Edmundo_23")</f>
        <v>Kovu_27. Edmundo_23</v>
      </c>
      <c r="D5" s="6"/>
    </row>
    <row r="6" spans="1:4" ht="15.75" customHeight="1" x14ac:dyDescent="0.15">
      <c r="A6" s="5" t="s">
        <v>6</v>
      </c>
      <c r="B6" s="17" t="str">
        <f ca="1">IFERROR(__xludf.DUMMYFUNCTION("""COMPUTED_VALUE"""),"Both call this gene at 17385")</f>
        <v>Both call this gene at 17385</v>
      </c>
      <c r="C6" s="17" t="str">
        <f ca="1">IFERROR(__xludf.DUMMYFUNCTION("""COMPUTED_VALUE"""),"Both call @ 17385")</f>
        <v>Both call @ 17385</v>
      </c>
      <c r="D6" s="6"/>
    </row>
    <row r="7" spans="1:4" ht="15.75" customHeight="1" x14ac:dyDescent="0.15">
      <c r="A7" s="5" t="s">
        <v>7</v>
      </c>
      <c r="B7" s="17" t="str">
        <f ca="1">IFERROR(__xludf.DUMMYFUNCTION("""COMPUTED_VALUE"""),"All coding potential is included and coding potential is very good.")</f>
        <v>All coding potential is included and coding potential is very good.</v>
      </c>
      <c r="C7" s="17" t="str">
        <f ca="1">IFERROR(__xludf.DUMMYFUNCTION("""COMPUTED_VALUE"""),"Gene has good coding potential, all coding included with this start")</f>
        <v>Gene has good coding potential, all coding included with this start</v>
      </c>
      <c r="D7" s="6"/>
    </row>
    <row r="8" spans="1:4" ht="15.75" customHeight="1" x14ac:dyDescent="0.15">
      <c r="A8" s="5" t="s">
        <v>8</v>
      </c>
      <c r="B8" s="17" t="str">
        <f ca="1">IFERROR(__xludf.DUMMYFUNCTION("""COMPUTED_VALUE"""),"Not the longest ORF, start 16 nucleotides before the inital called start.")</f>
        <v>Not the longest ORF, start 16 nucleotides before the inital called start.</v>
      </c>
      <c r="C8" s="17" t="str">
        <f ca="1">IFERROR(__xludf.DUMMYFUNCTION("""COMPUTED_VALUE"""),"Yes")</f>
        <v>Yes</v>
      </c>
      <c r="D8" s="6"/>
    </row>
    <row r="9" spans="1:4" ht="15.75" customHeight="1" x14ac:dyDescent="0.15">
      <c r="A9" s="5" t="s">
        <v>9</v>
      </c>
      <c r="B9" s="17" t="str">
        <f ca="1">IFERROR(__xludf.DUMMYFUNCTION("""COMPUTED_VALUE"""),"183 basepair gap between 25 and 26. in phamerator this would be between 24 and 25 on DNA Master.")</f>
        <v>183 basepair gap between 25 and 26. in phamerator this would be between 24 and 25 on DNA Master.</v>
      </c>
      <c r="C9" s="17" t="str">
        <f ca="1">IFERROR(__xludf.DUMMYFUNCTION("""COMPUTED_VALUE"""),"183 nucleotide gap, 165 nucleotides is smallest gap possible out of all starts")</f>
        <v>183 nucleotide gap, 165 nucleotides is smallest gap possible out of all starts</v>
      </c>
      <c r="D9" s="6"/>
    </row>
    <row r="10" spans="1:4" ht="15.75" customHeight="1" x14ac:dyDescent="0.15">
      <c r="A10" s="5" t="s">
        <v>10</v>
      </c>
      <c r="B10" s="17" t="str">
        <f ca="1">IFERROR(__xludf.DUMMYFUNCTION("""COMPUTED_VALUE"""),"Z score for 17385 is 1.302 with final score of -6.144. Better start at 17367 with z score of 2.087 and final score of -4.456.")</f>
        <v>Z score for 17385 is 1.302 with final score of -6.144. Better start at 17367 with z score of 2.087 and final score of -4.456.</v>
      </c>
      <c r="C10" s="17" t="str">
        <f ca="1">IFERROR(__xludf.DUMMYFUNCTION("""COMPUTED_VALUE"""),"1.302 z-score for @ 17385, 2.087 is best z-score @ 17367, ")</f>
        <v xml:space="preserve">1.302 z-score for @ 17385, 2.087 is best z-score @ 17367, </v>
      </c>
      <c r="D10" s="6"/>
    </row>
    <row r="11" spans="1:4" ht="15.75" customHeight="1" x14ac:dyDescent="0.15">
      <c r="A11" s="5" t="s">
        <v>11</v>
      </c>
      <c r="B11" s="17" t="str">
        <f ca="1">IFERROR(__xludf.DUMMYFUNCTION("""COMPUTED_VALUE"""),"Kovu 27 with 87.69% identity e value 0e0 Query 128-257 and Target 131-260.")</f>
        <v>Kovu 27 with 87.69% identity e value 0e0 Query 128-257 and Target 131-260.</v>
      </c>
      <c r="C11" s="17" t="str">
        <f ca="1">IFERROR(__xludf.DUMMYFUNCTION("""COMPUTED_VALUE"""),"Kovu_27, 88.41% identity, 0.0E0 e-value, q1:257. s1:260")</f>
        <v>Kovu_27, 88.41% identity, 0.0E0 e-value, q1:257. s1:260</v>
      </c>
      <c r="D11" s="6"/>
    </row>
    <row r="12" spans="1:4" ht="15.75" customHeight="1" x14ac:dyDescent="0.15">
      <c r="A12" s="5" t="s">
        <v>12</v>
      </c>
      <c r="B12" s="17" t="str">
        <f ca="1">IFERROR(__xludf.DUMMYFUNCTION("""COMPUTED_VALUE"""),"Only in Apokipo at start 8. Only called 8.3% of time when present.")</f>
        <v>Only in Apokipo at start 8. Only called 8.3% of time when present.</v>
      </c>
      <c r="C12" s="17" t="str">
        <f ca="1">IFERROR(__xludf.DUMMYFUNCTION("""COMPUTED_VALUE"""),"Start is conserved in all members, called 8.5% of the time, only called by ApoKipo. Start 7, is called 75% of the time called by Kovu and Edmundo...ApoKipo has start 7, only one that doesnt call")</f>
        <v>Start is conserved in all members, called 8.5% of the time, only called by ApoKipo. Start 7, is called 75% of the time called by Kovu and Edmundo...ApoKipo has start 7, only one that doesnt call</v>
      </c>
      <c r="D12" s="6"/>
    </row>
    <row r="13" spans="1:4" ht="15.75" customHeight="1" x14ac:dyDescent="0.15">
      <c r="A13" s="5" t="s">
        <v>13</v>
      </c>
      <c r="B13" s="17" t="str">
        <f ca="1">IFERROR(__xludf.DUMMYFUNCTION("""COMPUTED_VALUE"""),"Yes start change, there is a better start 16 nucleotides before the one called with a better z score and closes the gap a little between the previous gene.")</f>
        <v>Yes start change, there is a better start 16 nucleotides before the one called with a better z score and closes the gap a little between the previous gene.</v>
      </c>
      <c r="C13" s="17" t="str">
        <f ca="1">IFERROR(__xludf.DUMMYFUNCTION("""COMPUTED_VALUE"""),"Yes, change start to @ 17367. Called by other pham members who have it, has a better z-score, shortens gap, and has coding potential in Genemark.")</f>
        <v>Yes, change start to @ 17367. Called by other pham members who have it, has a better z-score, shortens gap, and has coding potential in Genemark.</v>
      </c>
      <c r="D13" s="6"/>
    </row>
    <row r="14" spans="1:4" ht="15.75" customHeight="1" x14ac:dyDescent="0.15">
      <c r="A14" s="5" t="s">
        <v>14</v>
      </c>
      <c r="B14" s="17" t="str">
        <f ca="1">IFERROR(__xludf.DUMMYFUNCTION("""COMPUTED_VALUE"""),"Kovu 27 e value is e-117")</f>
        <v>Kovu 27 e value is e-117</v>
      </c>
      <c r="C14" s="17" t="str">
        <f ca="1">IFERROR(__xludf.DUMMYFUNCTION("""COMPUTED_VALUE"""),"Kovu_27,  e-117 ")</f>
        <v xml:space="preserve">Kovu_27,  e-117 </v>
      </c>
      <c r="D14" s="6"/>
    </row>
    <row r="15" spans="1:4" ht="15.75" customHeight="1" x14ac:dyDescent="0.15">
      <c r="A15" s="5" t="s">
        <v>15</v>
      </c>
      <c r="B15" s="17" t="str">
        <f ca="1">IFERROR(__xludf.DUMMYFUNCTION("""COMPUTED_VALUE"""),"Kovu 27 and Shrooms 23 are claimed as hypothetical proteins.")</f>
        <v>Kovu 27 and Shrooms 23 are claimed as hypothetical proteins.</v>
      </c>
      <c r="C15" s="17" t="str">
        <f ca="1">IFERROR(__xludf.DUMMYFUNCTION("""COMPUTED_VALUE"""),"Function unknown")</f>
        <v>Function unknown</v>
      </c>
      <c r="D15" s="6"/>
    </row>
    <row r="16" spans="1:4" ht="15.75" customHeight="1" x14ac:dyDescent="0.15">
      <c r="A16" s="5" t="s">
        <v>16</v>
      </c>
      <c r="B16" s="17" t="str">
        <f ca="1">IFERROR(__xludf.DUMMYFUNCTION("""COMPUTED_VALUE"""),"Hypothetical Protein is for the whole cluster, so a hypothetical protein function/unknown function is expected.")</f>
        <v>Hypothetical Protein is for the whole cluster, so a hypothetical protein function/unknown function is expected.</v>
      </c>
      <c r="C16" s="17" t="str">
        <f ca="1">IFERROR(__xludf.DUMMYFUNCTION("""COMPUTED_VALUE"""),"Yes, found in similar environment in Kovu")</f>
        <v>Yes, found in similar environment in Kovu</v>
      </c>
      <c r="D16" s="6"/>
    </row>
    <row r="17" spans="1:4" ht="15.75" customHeight="1" x14ac:dyDescent="0.15">
      <c r="A17" s="5" t="s">
        <v>17</v>
      </c>
      <c r="B17" s="17" t="str">
        <f ca="1">IFERROR(__xludf.DUMMYFUNCTION("""COMPUTED_VALUE"""),"MGC84997 protein; nuclear pore complex, inner ring, Nup205, Nup93, Nup188, Nup155, NDC1, Aladin, STRUCTURAL PROTEIN; 4.2A {Xenopus laevis} Probability is 81.01% % alignment of query is 52.33% and % alignment of target is 22.54% snf functional domain is no"&amp;"t in target part of alignment.")</f>
        <v>MGC84997 protein; nuclear pore complex, inner ring, Nup205, Nup93, Nup188, Nup155, NDC1, Aladin, STRUCTURAL PROTEIN; 4.2A {Xenopus laevis} Probability is 81.01% % alignment of query is 52.33% and % alignment of target is 22.54% snf functional domain is not in target part of alignment.</v>
      </c>
      <c r="C17" s="17" t="str">
        <f ca="1">IFERROR(__xludf.DUMMYFUNCTION("""COMPUTED_VALUE""")," DUF4315 ; Domain of unknown function, 88.02% probability, 67.7% query, 80.26% Identity, fucntion domain is apart of target alignment. ")</f>
        <v xml:space="preserve"> DUF4315 ; Domain of unknown function, 88.02% probability, 67.7% query, 80.26% Identity, fucntion domain is apart of target alignment. </v>
      </c>
      <c r="D17" s="6"/>
    </row>
    <row r="18" spans="1:4" ht="15.75" customHeight="1" x14ac:dyDescent="0.15">
      <c r="A18" s="5" t="s">
        <v>18</v>
      </c>
      <c r="B18" s="17" t="str">
        <f ca="1">IFERROR(__xludf.DUMMYFUNCTION("""COMPUTED_VALUE"""),"Unknown Function.")</f>
        <v>Unknown Function.</v>
      </c>
      <c r="C18" s="17" t="str">
        <f ca="1">IFERROR(__xludf.DUMMYFUNCTION("""COMPUTED_VALUE"""),"No")</f>
        <v>No</v>
      </c>
      <c r="D18" s="6"/>
    </row>
    <row r="19" spans="1:4" ht="15.75" customHeight="1" x14ac:dyDescent="0.15">
      <c r="A19" s="5" t="s">
        <v>19</v>
      </c>
      <c r="B19" s="17" t="str">
        <f ca="1">IFERROR(__xludf.DUMMYFUNCTION("""COMPUTED_VALUE"""),"None.")</f>
        <v>None.</v>
      </c>
      <c r="C19" s="17" t="str">
        <f ca="1">IFERROR(__xludf.DUMMYFUNCTION("""COMPUTED_VALUE"""),"None")</f>
        <v>None</v>
      </c>
      <c r="D19" s="6"/>
    </row>
    <row r="20" spans="1:4" ht="15.75" customHeight="1" x14ac:dyDescent="0.15">
      <c r="A20" s="5" t="s">
        <v>20</v>
      </c>
      <c r="B20" s="17" t="str">
        <f ca="1">IFERROR(__xludf.DUMMYFUNCTION("""COMPUTED_VALUE"""),"Hypothetical Protein because not enough evidence from DNA Master, Phamerator, PhagesDB, and HHPred to provide a true function.")</f>
        <v>Hypothetical Protein because not enough evidence from DNA Master, Phamerator, PhagesDB, and HHPred to provide a true function.</v>
      </c>
      <c r="C20" s="17" t="str">
        <f ca="1">IFERROR(__xludf.DUMMYFUNCTION("""COMPUTED_VALUE"""),"Hypothetical protein")</f>
        <v>Hypothetical protein</v>
      </c>
      <c r="D20" s="6"/>
    </row>
    <row r="21" spans="1:4" x14ac:dyDescent="0.2">
      <c r="A21" s="7"/>
      <c r="B21" s="19"/>
      <c r="C21" s="19"/>
      <c r="D21" s="8"/>
    </row>
    <row r="22" spans="1:4" ht="15.75" customHeight="1" x14ac:dyDescent="0.15">
      <c r="A22" s="9" t="s">
        <v>21</v>
      </c>
      <c r="B22" s="19"/>
      <c r="C22" s="19"/>
      <c r="D22" s="8"/>
    </row>
    <row r="23" spans="1:4" ht="15.75" customHeight="1" x14ac:dyDescent="0.15">
      <c r="A23" s="10"/>
      <c r="B23" s="13"/>
      <c r="C23" s="13"/>
    </row>
    <row r="24" spans="1:4" ht="15.75" customHeight="1" x14ac:dyDescent="0.15">
      <c r="A24" s="10"/>
      <c r="B24" s="13"/>
      <c r="C24" s="13"/>
    </row>
    <row r="25" spans="1:4" ht="15.75" customHeight="1" x14ac:dyDescent="0.15">
      <c r="A25" s="10"/>
      <c r="B25" s="13"/>
      <c r="C25" s="13"/>
    </row>
    <row r="26" spans="1:4" ht="15.75" customHeight="1" x14ac:dyDescent="0.15">
      <c r="A26" s="10"/>
      <c r="B26" s="13"/>
      <c r="C26" s="13"/>
    </row>
    <row r="27" spans="1:4" ht="15.75" customHeight="1" x14ac:dyDescent="0.15">
      <c r="A27" s="10"/>
      <c r="B27" s="13"/>
      <c r="C27" s="13"/>
    </row>
    <row r="28" spans="1:4" ht="15.75" customHeight="1" x14ac:dyDescent="0.15">
      <c r="A28" s="10"/>
      <c r="B28" s="13"/>
      <c r="C28" s="13"/>
    </row>
    <row r="29" spans="1:4" ht="15.75" customHeight="1" x14ac:dyDescent="0.15">
      <c r="A29" s="10"/>
      <c r="B29" s="13"/>
      <c r="C29" s="13"/>
    </row>
    <row r="30" spans="1:4" ht="15.75" customHeight="1" x14ac:dyDescent="0.15">
      <c r="A30" s="10"/>
      <c r="B30" s="13"/>
      <c r="C30" s="13"/>
    </row>
    <row r="31" spans="1:4" ht="15.75" customHeight="1" x14ac:dyDescent="0.15">
      <c r="A31" s="10"/>
      <c r="B31" s="13"/>
      <c r="C31" s="13"/>
    </row>
    <row r="32" spans="1:4" ht="15.75" customHeight="1" x14ac:dyDescent="0.15">
      <c r="A32" s="10"/>
      <c r="B32" s="13"/>
      <c r="C32" s="13"/>
    </row>
    <row r="33" spans="1:3" ht="15.75" customHeight="1" x14ac:dyDescent="0.15">
      <c r="A33" s="10"/>
      <c r="B33" s="13"/>
      <c r="C33" s="13"/>
    </row>
    <row r="34" spans="1:3" ht="15.75" customHeight="1" x14ac:dyDescent="0.15">
      <c r="A34" s="10"/>
      <c r="B34" s="13"/>
      <c r="C34" s="13"/>
    </row>
    <row r="35" spans="1:3" ht="15.75" customHeight="1" x14ac:dyDescent="0.15">
      <c r="A35" s="10"/>
      <c r="B35" s="13"/>
      <c r="C35" s="13"/>
    </row>
    <row r="36" spans="1:3" ht="15.75" customHeight="1" x14ac:dyDescent="0.15">
      <c r="A36" s="10"/>
      <c r="B36" s="13"/>
      <c r="C36" s="13"/>
    </row>
    <row r="37" spans="1:3" ht="15.75" customHeight="1" x14ac:dyDescent="0.15">
      <c r="A37" s="10"/>
      <c r="B37" s="13"/>
      <c r="C37" s="13"/>
    </row>
    <row r="38" spans="1:3" ht="15.75" customHeight="1" x14ac:dyDescent="0.15">
      <c r="A38" s="10"/>
      <c r="B38" s="13"/>
      <c r="C38" s="13"/>
    </row>
    <row r="39" spans="1:3" ht="13" x14ac:dyDescent="0.15">
      <c r="A39" s="10"/>
      <c r="B39" s="13"/>
      <c r="C39" s="13"/>
    </row>
    <row r="40" spans="1:3" ht="13" x14ac:dyDescent="0.15">
      <c r="A40" s="10"/>
      <c r="B40" s="13"/>
      <c r="C40" s="13"/>
    </row>
    <row r="41" spans="1:3" ht="13" x14ac:dyDescent="0.15">
      <c r="A41" s="10"/>
      <c r="B41" s="13"/>
      <c r="C41" s="13"/>
    </row>
    <row r="42" spans="1:3" ht="13" x14ac:dyDescent="0.15">
      <c r="A42" s="10"/>
      <c r="B42" s="13"/>
      <c r="C42" s="13"/>
    </row>
    <row r="43" spans="1:3" ht="13" x14ac:dyDescent="0.15">
      <c r="A43" s="10"/>
      <c r="B43" s="13"/>
      <c r="C43" s="13"/>
    </row>
    <row r="44" spans="1:3" ht="13" x14ac:dyDescent="0.15">
      <c r="A44" s="10"/>
      <c r="B44" s="13"/>
      <c r="C44" s="13"/>
    </row>
    <row r="45" spans="1:3" ht="13" x14ac:dyDescent="0.15">
      <c r="A45" s="10"/>
      <c r="B45" s="13"/>
      <c r="C45" s="13"/>
    </row>
    <row r="46" spans="1:3" ht="13" x14ac:dyDescent="0.15">
      <c r="A46" s="10"/>
      <c r="B46" s="13"/>
      <c r="C46" s="13"/>
    </row>
    <row r="47" spans="1:3" ht="13" x14ac:dyDescent="0.15">
      <c r="A47" s="10"/>
      <c r="B47" s="13"/>
      <c r="C47" s="13"/>
    </row>
    <row r="48" spans="1:3" ht="13" x14ac:dyDescent="0.15">
      <c r="A48" s="10"/>
      <c r="B48" s="13"/>
      <c r="C48" s="13"/>
    </row>
    <row r="49" spans="1:3" ht="13" x14ac:dyDescent="0.15">
      <c r="A49" s="10"/>
      <c r="B49" s="13"/>
      <c r="C49" s="13"/>
    </row>
    <row r="50" spans="1:3" ht="13" x14ac:dyDescent="0.15">
      <c r="A50" s="10"/>
      <c r="B50" s="13"/>
      <c r="C50" s="13"/>
    </row>
    <row r="51" spans="1:3" ht="13" x14ac:dyDescent="0.15">
      <c r="A51" s="10"/>
      <c r="B51" s="13"/>
      <c r="C51" s="13"/>
    </row>
    <row r="52" spans="1:3" ht="13" x14ac:dyDescent="0.15">
      <c r="A52" s="10"/>
      <c r="B52" s="13"/>
      <c r="C52" s="13"/>
    </row>
    <row r="53" spans="1:3" ht="13" x14ac:dyDescent="0.15">
      <c r="A53" s="10"/>
      <c r="B53" s="13"/>
      <c r="C53" s="13"/>
    </row>
    <row r="54" spans="1:3" ht="13" x14ac:dyDescent="0.15">
      <c r="A54" s="10"/>
      <c r="B54" s="13"/>
      <c r="C54" s="13"/>
    </row>
    <row r="55" spans="1:3" ht="13" x14ac:dyDescent="0.15">
      <c r="A55" s="10"/>
      <c r="B55" s="13"/>
      <c r="C55" s="13"/>
    </row>
    <row r="56" spans="1:3" ht="13" x14ac:dyDescent="0.15">
      <c r="A56" s="10"/>
      <c r="B56" s="13"/>
      <c r="C56" s="13"/>
    </row>
    <row r="57" spans="1:3" ht="13" x14ac:dyDescent="0.15">
      <c r="A57" s="10"/>
      <c r="B57" s="13"/>
      <c r="C57" s="13"/>
    </row>
    <row r="58" spans="1:3" ht="13" x14ac:dyDescent="0.15">
      <c r="A58" s="10"/>
      <c r="B58" s="13"/>
      <c r="C58" s="13"/>
    </row>
    <row r="59" spans="1:3" ht="13" x14ac:dyDescent="0.15">
      <c r="A59" s="10"/>
      <c r="B59" s="13"/>
      <c r="C59" s="13"/>
    </row>
    <row r="60" spans="1:3" ht="13" x14ac:dyDescent="0.15">
      <c r="A60" s="10"/>
      <c r="B60" s="13"/>
      <c r="C60" s="13"/>
    </row>
    <row r="61" spans="1:3" ht="13" x14ac:dyDescent="0.15">
      <c r="A61" s="10"/>
      <c r="B61" s="13"/>
      <c r="C61" s="13"/>
    </row>
    <row r="62" spans="1:3" ht="13" x14ac:dyDescent="0.15">
      <c r="A62" s="10"/>
      <c r="B62" s="13"/>
      <c r="C62" s="13"/>
    </row>
    <row r="63" spans="1:3" ht="13" x14ac:dyDescent="0.15">
      <c r="A63" s="10"/>
      <c r="B63" s="13"/>
      <c r="C63" s="13"/>
    </row>
    <row r="64" spans="1:3" ht="13" x14ac:dyDescent="0.15">
      <c r="A64" s="10"/>
      <c r="B64" s="13"/>
      <c r="C64" s="13"/>
    </row>
    <row r="65" spans="1:3" ht="13" x14ac:dyDescent="0.15">
      <c r="A65" s="10"/>
      <c r="B65" s="13"/>
      <c r="C65" s="13"/>
    </row>
    <row r="66" spans="1:3" ht="13" x14ac:dyDescent="0.15">
      <c r="A66" s="10"/>
      <c r="B66" s="13"/>
      <c r="C66" s="13"/>
    </row>
    <row r="67" spans="1:3" ht="13" x14ac:dyDescent="0.15">
      <c r="A67" s="10"/>
      <c r="B67" s="13"/>
      <c r="C67" s="13"/>
    </row>
    <row r="68" spans="1:3" ht="13" x14ac:dyDescent="0.15">
      <c r="A68" s="10"/>
      <c r="B68" s="13"/>
      <c r="C68" s="13"/>
    </row>
    <row r="69" spans="1:3" ht="13" x14ac:dyDescent="0.15">
      <c r="A69" s="10"/>
      <c r="B69" s="13"/>
      <c r="C69" s="13"/>
    </row>
    <row r="70" spans="1:3" ht="13" x14ac:dyDescent="0.15">
      <c r="A70" s="10"/>
      <c r="B70" s="13"/>
      <c r="C70" s="13"/>
    </row>
    <row r="71" spans="1:3" ht="13" x14ac:dyDescent="0.15">
      <c r="A71" s="10"/>
      <c r="B71" s="13"/>
      <c r="C71" s="13"/>
    </row>
    <row r="72" spans="1:3" ht="13" x14ac:dyDescent="0.15">
      <c r="A72" s="10"/>
      <c r="B72" s="13"/>
      <c r="C72" s="13"/>
    </row>
    <row r="73" spans="1:3" ht="13" x14ac:dyDescent="0.15">
      <c r="A73" s="10"/>
      <c r="B73" s="13"/>
      <c r="C73" s="13"/>
    </row>
    <row r="74" spans="1:3" ht="13" x14ac:dyDescent="0.15">
      <c r="A74" s="10"/>
      <c r="B74" s="13"/>
      <c r="C74" s="13"/>
    </row>
    <row r="75" spans="1:3" ht="13" x14ac:dyDescent="0.15">
      <c r="A75" s="10"/>
      <c r="B75" s="13"/>
      <c r="C75" s="13"/>
    </row>
    <row r="76" spans="1:3" ht="13" x14ac:dyDescent="0.15">
      <c r="A76" s="10"/>
      <c r="B76" s="13"/>
      <c r="C76" s="13"/>
    </row>
    <row r="77" spans="1:3" ht="13" x14ac:dyDescent="0.15">
      <c r="A77" s="10"/>
      <c r="B77" s="13"/>
      <c r="C77" s="13"/>
    </row>
    <row r="78" spans="1:3" ht="13" x14ac:dyDescent="0.15">
      <c r="A78" s="10"/>
      <c r="B78" s="13"/>
      <c r="C78" s="13"/>
    </row>
    <row r="79" spans="1:3" ht="13" x14ac:dyDescent="0.15">
      <c r="A79" s="10"/>
      <c r="B79" s="13"/>
      <c r="C79" s="13"/>
    </row>
    <row r="80" spans="1:3" ht="13" x14ac:dyDescent="0.15">
      <c r="A80" s="10"/>
      <c r="B80" s="13"/>
      <c r="C80" s="13"/>
    </row>
    <row r="81" spans="1:3" ht="13" x14ac:dyDescent="0.15">
      <c r="A81" s="10"/>
      <c r="B81" s="13"/>
      <c r="C81" s="13"/>
    </row>
    <row r="82" spans="1:3" ht="13" x14ac:dyDescent="0.15">
      <c r="A82" s="10"/>
      <c r="B82" s="13"/>
      <c r="C82" s="13"/>
    </row>
    <row r="83" spans="1:3" ht="13" x14ac:dyDescent="0.15">
      <c r="A83" s="10"/>
      <c r="B83" s="13"/>
      <c r="C83" s="13"/>
    </row>
    <row r="84" spans="1:3" ht="13" x14ac:dyDescent="0.15">
      <c r="A84" s="10"/>
      <c r="B84" s="13"/>
      <c r="C84" s="13"/>
    </row>
    <row r="85" spans="1:3" ht="13" x14ac:dyDescent="0.15">
      <c r="A85" s="10"/>
      <c r="B85" s="13"/>
      <c r="C85" s="13"/>
    </row>
    <row r="86" spans="1:3" ht="13" x14ac:dyDescent="0.15">
      <c r="A86" s="10"/>
      <c r="B86" s="13"/>
      <c r="C86" s="13"/>
    </row>
    <row r="87" spans="1:3" ht="13" x14ac:dyDescent="0.15">
      <c r="A87" s="10"/>
      <c r="B87" s="13"/>
      <c r="C87" s="13"/>
    </row>
    <row r="88" spans="1:3" ht="13" x14ac:dyDescent="0.15">
      <c r="A88" s="10"/>
      <c r="B88" s="13"/>
      <c r="C88" s="13"/>
    </row>
    <row r="89" spans="1:3" ht="13" x14ac:dyDescent="0.15">
      <c r="A89" s="10"/>
      <c r="B89" s="13"/>
      <c r="C89" s="13"/>
    </row>
    <row r="90" spans="1:3" ht="13" x14ac:dyDescent="0.15">
      <c r="A90" s="10"/>
      <c r="B90" s="13"/>
      <c r="C90" s="13"/>
    </row>
    <row r="91" spans="1:3" ht="13" x14ac:dyDescent="0.15">
      <c r="A91" s="10"/>
      <c r="B91" s="13"/>
      <c r="C91" s="13"/>
    </row>
    <row r="92" spans="1:3" ht="13" x14ac:dyDescent="0.15">
      <c r="A92" s="10"/>
      <c r="B92" s="13"/>
      <c r="C92" s="13"/>
    </row>
    <row r="93" spans="1:3" ht="13" x14ac:dyDescent="0.15">
      <c r="A93" s="10"/>
      <c r="B93" s="13"/>
      <c r="C93" s="13"/>
    </row>
    <row r="94" spans="1:3" ht="13" x14ac:dyDescent="0.15">
      <c r="A94" s="10"/>
      <c r="B94" s="13"/>
      <c r="C94" s="13"/>
    </row>
    <row r="95" spans="1:3" ht="13" x14ac:dyDescent="0.15">
      <c r="A95" s="10"/>
      <c r="B95" s="13"/>
      <c r="C95" s="13"/>
    </row>
    <row r="96" spans="1:3" ht="13" x14ac:dyDescent="0.15">
      <c r="A96" s="10"/>
      <c r="B96" s="13"/>
      <c r="C96" s="13"/>
    </row>
    <row r="97" spans="1:3" ht="13" x14ac:dyDescent="0.15">
      <c r="A97" s="10"/>
      <c r="B97" s="13"/>
      <c r="C97" s="13"/>
    </row>
    <row r="98" spans="1:3" ht="13" x14ac:dyDescent="0.15">
      <c r="A98" s="10"/>
      <c r="B98" s="13"/>
      <c r="C98" s="13"/>
    </row>
    <row r="99" spans="1:3" ht="13" x14ac:dyDescent="0.15">
      <c r="A99" s="10"/>
      <c r="B99" s="13"/>
      <c r="C99" s="13"/>
    </row>
    <row r="100" spans="1:3" ht="13" x14ac:dyDescent="0.15">
      <c r="A100" s="10"/>
      <c r="B100" s="13"/>
      <c r="C100" s="13"/>
    </row>
    <row r="101" spans="1:3" ht="13" x14ac:dyDescent="0.15">
      <c r="A101" s="10"/>
      <c r="B101" s="13"/>
      <c r="C101" s="13"/>
    </row>
    <row r="102" spans="1:3" ht="13" x14ac:dyDescent="0.15">
      <c r="A102" s="10"/>
      <c r="B102" s="13"/>
      <c r="C102" s="13"/>
    </row>
    <row r="103" spans="1:3" ht="13" x14ac:dyDescent="0.15">
      <c r="A103" s="10"/>
      <c r="B103" s="13"/>
      <c r="C103" s="13"/>
    </row>
    <row r="104" spans="1:3" ht="13" x14ac:dyDescent="0.15">
      <c r="A104" s="10"/>
      <c r="B104" s="13"/>
      <c r="C104" s="13"/>
    </row>
    <row r="105" spans="1:3" ht="13" x14ac:dyDescent="0.15">
      <c r="A105" s="10"/>
      <c r="B105" s="13"/>
      <c r="C105" s="13"/>
    </row>
    <row r="106" spans="1:3" ht="13" x14ac:dyDescent="0.15">
      <c r="A106" s="10"/>
      <c r="B106" s="13"/>
      <c r="C106" s="13"/>
    </row>
    <row r="107" spans="1:3" ht="13" x14ac:dyDescent="0.15">
      <c r="A107" s="10"/>
      <c r="B107" s="13"/>
      <c r="C107" s="13"/>
    </row>
    <row r="108" spans="1:3" ht="13" x14ac:dyDescent="0.15">
      <c r="A108" s="10"/>
      <c r="B108" s="13"/>
      <c r="C108" s="13"/>
    </row>
    <row r="109" spans="1:3" ht="13" x14ac:dyDescent="0.15">
      <c r="A109" s="10"/>
      <c r="B109" s="13"/>
      <c r="C109" s="13"/>
    </row>
    <row r="110" spans="1:3" ht="13" x14ac:dyDescent="0.15">
      <c r="A110" s="10"/>
      <c r="B110" s="13"/>
      <c r="C110" s="13"/>
    </row>
    <row r="111" spans="1:3" ht="13" x14ac:dyDescent="0.15">
      <c r="A111" s="10"/>
      <c r="B111" s="13"/>
      <c r="C111" s="13"/>
    </row>
    <row r="112" spans="1:3" ht="13" x14ac:dyDescent="0.15">
      <c r="A112" s="10"/>
      <c r="B112" s="13"/>
      <c r="C112" s="13"/>
    </row>
    <row r="113" spans="1:3" ht="13" x14ac:dyDescent="0.15">
      <c r="A113" s="10"/>
      <c r="B113" s="13"/>
      <c r="C113" s="13"/>
    </row>
    <row r="114" spans="1:3" ht="13" x14ac:dyDescent="0.15">
      <c r="A114" s="10"/>
      <c r="B114" s="13"/>
      <c r="C114" s="13"/>
    </row>
    <row r="115" spans="1:3" ht="13" x14ac:dyDescent="0.15">
      <c r="A115" s="10"/>
      <c r="B115" s="13"/>
      <c r="C115" s="13"/>
    </row>
    <row r="116" spans="1:3" ht="13" x14ac:dyDescent="0.15">
      <c r="A116" s="10"/>
      <c r="B116" s="13"/>
      <c r="C116" s="13"/>
    </row>
    <row r="117" spans="1:3" ht="13" x14ac:dyDescent="0.15">
      <c r="A117" s="10"/>
      <c r="B117" s="13"/>
      <c r="C117" s="13"/>
    </row>
    <row r="118" spans="1:3" ht="13" x14ac:dyDescent="0.15">
      <c r="A118" s="10"/>
      <c r="B118" s="13"/>
      <c r="C118" s="13"/>
    </row>
    <row r="119" spans="1:3" ht="13" x14ac:dyDescent="0.15">
      <c r="A119" s="10"/>
      <c r="B119" s="13"/>
      <c r="C119" s="13"/>
    </row>
    <row r="120" spans="1:3" ht="13" x14ac:dyDescent="0.15">
      <c r="A120" s="10"/>
      <c r="B120" s="13"/>
      <c r="C120" s="13"/>
    </row>
    <row r="121" spans="1:3" ht="13" x14ac:dyDescent="0.15">
      <c r="A121" s="10"/>
      <c r="B121" s="13"/>
      <c r="C121" s="13"/>
    </row>
    <row r="122" spans="1:3" ht="13" x14ac:dyDescent="0.15">
      <c r="A122" s="10"/>
      <c r="B122" s="13"/>
      <c r="C122" s="13"/>
    </row>
    <row r="123" spans="1:3" ht="13" x14ac:dyDescent="0.15">
      <c r="A123" s="10"/>
      <c r="B123" s="13"/>
      <c r="C123" s="13"/>
    </row>
    <row r="124" spans="1:3" ht="13" x14ac:dyDescent="0.15">
      <c r="A124" s="10"/>
      <c r="B124" s="13"/>
      <c r="C124" s="13"/>
    </row>
    <row r="125" spans="1:3" ht="13" x14ac:dyDescent="0.15">
      <c r="A125" s="10"/>
      <c r="B125" s="13"/>
      <c r="C125" s="13"/>
    </row>
    <row r="126" spans="1:3" ht="13" x14ac:dyDescent="0.15">
      <c r="A126" s="10"/>
      <c r="B126" s="13"/>
      <c r="C126" s="13"/>
    </row>
    <row r="127" spans="1:3" ht="13" x14ac:dyDescent="0.15">
      <c r="A127" s="10"/>
      <c r="B127" s="13"/>
      <c r="C127" s="13"/>
    </row>
    <row r="128" spans="1:3" ht="13" x14ac:dyDescent="0.15">
      <c r="A128" s="10"/>
      <c r="B128" s="13"/>
      <c r="C128" s="13"/>
    </row>
    <row r="129" spans="1:3" ht="13" x14ac:dyDescent="0.15">
      <c r="A129" s="10"/>
      <c r="B129" s="13"/>
      <c r="C129" s="13"/>
    </row>
    <row r="130" spans="1:3" ht="13" x14ac:dyDescent="0.15">
      <c r="A130" s="10"/>
      <c r="B130" s="13"/>
      <c r="C130" s="13"/>
    </row>
    <row r="131" spans="1:3" ht="13" x14ac:dyDescent="0.15">
      <c r="A131" s="10"/>
      <c r="B131" s="13"/>
      <c r="C131" s="13"/>
    </row>
    <row r="132" spans="1:3" ht="13" x14ac:dyDescent="0.15">
      <c r="A132" s="10"/>
      <c r="B132" s="13"/>
      <c r="C132" s="13"/>
    </row>
    <row r="133" spans="1:3" ht="13" x14ac:dyDescent="0.15">
      <c r="A133" s="10"/>
      <c r="B133" s="13"/>
      <c r="C133" s="13"/>
    </row>
    <row r="134" spans="1:3" ht="13" x14ac:dyDescent="0.15">
      <c r="A134" s="10"/>
      <c r="B134" s="13"/>
      <c r="C134" s="13"/>
    </row>
    <row r="135" spans="1:3" ht="13" x14ac:dyDescent="0.15">
      <c r="A135" s="10"/>
      <c r="B135" s="13"/>
      <c r="C135" s="13"/>
    </row>
    <row r="136" spans="1:3" ht="13" x14ac:dyDescent="0.15">
      <c r="A136" s="10"/>
      <c r="B136" s="13"/>
      <c r="C136" s="13"/>
    </row>
    <row r="137" spans="1:3" ht="13" x14ac:dyDescent="0.15">
      <c r="A137" s="10"/>
      <c r="B137" s="13"/>
      <c r="C137" s="13"/>
    </row>
    <row r="138" spans="1:3" ht="13" x14ac:dyDescent="0.15">
      <c r="A138" s="10"/>
      <c r="B138" s="13"/>
      <c r="C138" s="13"/>
    </row>
    <row r="139" spans="1:3" ht="13" x14ac:dyDescent="0.15">
      <c r="A139" s="10"/>
      <c r="B139" s="13"/>
      <c r="C139" s="13"/>
    </row>
    <row r="140" spans="1:3" ht="13" x14ac:dyDescent="0.15">
      <c r="A140" s="10"/>
      <c r="B140" s="13"/>
      <c r="C140" s="13"/>
    </row>
    <row r="141" spans="1:3" ht="13" x14ac:dyDescent="0.15">
      <c r="A141" s="10"/>
      <c r="B141" s="13"/>
      <c r="C141" s="13"/>
    </row>
    <row r="142" spans="1:3" ht="13" x14ac:dyDescent="0.15">
      <c r="A142" s="10"/>
      <c r="B142" s="13"/>
      <c r="C142" s="13"/>
    </row>
    <row r="143" spans="1:3" ht="13" x14ac:dyDescent="0.15">
      <c r="A143" s="10"/>
      <c r="B143" s="13"/>
      <c r="C143" s="13"/>
    </row>
    <row r="144" spans="1:3" ht="13" x14ac:dyDescent="0.15">
      <c r="A144" s="10"/>
      <c r="B144" s="13"/>
      <c r="C144" s="13"/>
    </row>
    <row r="145" spans="1:3" ht="13" x14ac:dyDescent="0.15">
      <c r="A145" s="10"/>
      <c r="B145" s="13"/>
      <c r="C145" s="13"/>
    </row>
    <row r="146" spans="1:3" ht="13" x14ac:dyDescent="0.15">
      <c r="A146" s="10"/>
      <c r="B146" s="13"/>
      <c r="C146" s="13"/>
    </row>
    <row r="147" spans="1:3" ht="13" x14ac:dyDescent="0.15">
      <c r="A147" s="10"/>
      <c r="B147" s="13"/>
      <c r="C147" s="13"/>
    </row>
    <row r="148" spans="1:3" ht="13" x14ac:dyDescent="0.15">
      <c r="A148" s="10"/>
      <c r="B148" s="13"/>
      <c r="C148" s="13"/>
    </row>
    <row r="149" spans="1:3" ht="13" x14ac:dyDescent="0.15">
      <c r="A149" s="10"/>
      <c r="B149" s="13"/>
      <c r="C149" s="13"/>
    </row>
    <row r="150" spans="1:3" ht="13" x14ac:dyDescent="0.15">
      <c r="A150" s="10"/>
      <c r="B150" s="13"/>
      <c r="C150" s="13"/>
    </row>
    <row r="151" spans="1:3" ht="13" x14ac:dyDescent="0.15">
      <c r="A151" s="10"/>
      <c r="B151" s="13"/>
      <c r="C151" s="13"/>
    </row>
    <row r="152" spans="1:3" ht="13" x14ac:dyDescent="0.15">
      <c r="A152" s="10"/>
      <c r="B152" s="13"/>
      <c r="C152" s="13"/>
    </row>
    <row r="153" spans="1:3" ht="13" x14ac:dyDescent="0.15">
      <c r="A153" s="10"/>
      <c r="B153" s="13"/>
      <c r="C153" s="13"/>
    </row>
    <row r="154" spans="1:3" ht="13" x14ac:dyDescent="0.15">
      <c r="A154" s="10"/>
      <c r="B154" s="13"/>
      <c r="C154" s="13"/>
    </row>
    <row r="155" spans="1:3" ht="13" x14ac:dyDescent="0.15">
      <c r="A155" s="10"/>
      <c r="B155" s="13"/>
      <c r="C155" s="13"/>
    </row>
    <row r="156" spans="1:3" ht="13" x14ac:dyDescent="0.15">
      <c r="A156" s="10"/>
      <c r="B156" s="13"/>
      <c r="C156" s="13"/>
    </row>
    <row r="157" spans="1:3" ht="13" x14ac:dyDescent="0.15">
      <c r="A157" s="10"/>
      <c r="B157" s="13"/>
      <c r="C157" s="13"/>
    </row>
    <row r="158" spans="1:3" ht="13" x14ac:dyDescent="0.15">
      <c r="A158" s="10"/>
      <c r="B158" s="13"/>
      <c r="C158" s="13"/>
    </row>
    <row r="159" spans="1:3" ht="13" x14ac:dyDescent="0.15">
      <c r="A159" s="10"/>
      <c r="B159" s="13"/>
      <c r="C159" s="13"/>
    </row>
    <row r="160" spans="1:3" ht="13" x14ac:dyDescent="0.15">
      <c r="A160" s="10"/>
      <c r="B160" s="13"/>
      <c r="C160" s="13"/>
    </row>
    <row r="161" spans="1:3" ht="13" x14ac:dyDescent="0.15">
      <c r="A161" s="10"/>
      <c r="B161" s="13"/>
      <c r="C161" s="13"/>
    </row>
    <row r="162" spans="1:3" ht="13" x14ac:dyDescent="0.15">
      <c r="A162" s="10"/>
      <c r="B162" s="13"/>
      <c r="C162" s="13"/>
    </row>
    <row r="163" spans="1:3" ht="13" x14ac:dyDescent="0.15">
      <c r="A163" s="10"/>
      <c r="B163" s="13"/>
      <c r="C163" s="13"/>
    </row>
    <row r="164" spans="1:3" ht="13" x14ac:dyDescent="0.15">
      <c r="A164" s="10"/>
      <c r="B164" s="13"/>
      <c r="C164" s="13"/>
    </row>
    <row r="165" spans="1:3" ht="13" x14ac:dyDescent="0.15">
      <c r="A165" s="10"/>
      <c r="B165" s="13"/>
      <c r="C165" s="13"/>
    </row>
    <row r="166" spans="1:3" ht="13" x14ac:dyDescent="0.15">
      <c r="A166" s="10"/>
      <c r="B166" s="13"/>
      <c r="C166" s="13"/>
    </row>
    <row r="167" spans="1:3" ht="13" x14ac:dyDescent="0.15">
      <c r="A167" s="10"/>
      <c r="B167" s="13"/>
      <c r="C167" s="13"/>
    </row>
    <row r="168" spans="1:3" ht="13" x14ac:dyDescent="0.15">
      <c r="A168" s="10"/>
      <c r="B168" s="13"/>
      <c r="C168" s="13"/>
    </row>
    <row r="169" spans="1:3" ht="13" x14ac:dyDescent="0.15">
      <c r="A169" s="10"/>
      <c r="B169" s="13"/>
      <c r="C169" s="13"/>
    </row>
    <row r="170" spans="1:3" ht="13" x14ac:dyDescent="0.15">
      <c r="A170" s="10"/>
      <c r="B170" s="13"/>
      <c r="C170" s="13"/>
    </row>
    <row r="171" spans="1:3" ht="13" x14ac:dyDescent="0.15">
      <c r="A171" s="10"/>
      <c r="B171" s="13"/>
      <c r="C171" s="13"/>
    </row>
    <row r="172" spans="1:3" ht="13" x14ac:dyDescent="0.15">
      <c r="A172" s="10"/>
      <c r="B172" s="13"/>
      <c r="C172" s="13"/>
    </row>
    <row r="173" spans="1:3" ht="13" x14ac:dyDescent="0.15">
      <c r="A173" s="10"/>
      <c r="B173" s="13"/>
      <c r="C173" s="13"/>
    </row>
    <row r="174" spans="1:3" ht="13" x14ac:dyDescent="0.15">
      <c r="A174" s="10"/>
      <c r="B174" s="13"/>
      <c r="C174" s="13"/>
    </row>
    <row r="175" spans="1:3" ht="13" x14ac:dyDescent="0.15">
      <c r="A175" s="10"/>
      <c r="B175" s="13"/>
      <c r="C175" s="13"/>
    </row>
    <row r="176" spans="1:3" ht="13" x14ac:dyDescent="0.15">
      <c r="A176" s="10"/>
      <c r="B176" s="13"/>
      <c r="C176" s="13"/>
    </row>
    <row r="177" spans="1:3" ht="13" x14ac:dyDescent="0.15">
      <c r="A177" s="10"/>
      <c r="B177" s="13"/>
      <c r="C177" s="13"/>
    </row>
    <row r="178" spans="1:3" ht="13" x14ac:dyDescent="0.15">
      <c r="A178" s="10"/>
      <c r="B178" s="13"/>
      <c r="C178" s="13"/>
    </row>
    <row r="179" spans="1:3" ht="13" x14ac:dyDescent="0.15">
      <c r="A179" s="10"/>
      <c r="B179" s="13"/>
      <c r="C179" s="13"/>
    </row>
    <row r="180" spans="1:3" ht="13" x14ac:dyDescent="0.15">
      <c r="A180" s="10"/>
      <c r="B180" s="13"/>
      <c r="C180" s="13"/>
    </row>
    <row r="181" spans="1:3" ht="13" x14ac:dyDescent="0.15">
      <c r="A181" s="10"/>
      <c r="B181" s="13"/>
      <c r="C181" s="13"/>
    </row>
    <row r="182" spans="1:3" ht="13" x14ac:dyDescent="0.15">
      <c r="A182" s="10"/>
      <c r="B182" s="13"/>
      <c r="C182" s="13"/>
    </row>
    <row r="183" spans="1:3" ht="13" x14ac:dyDescent="0.15">
      <c r="A183" s="10"/>
      <c r="B183" s="13"/>
      <c r="C183" s="13"/>
    </row>
    <row r="184" spans="1:3" ht="13" x14ac:dyDescent="0.15">
      <c r="A184" s="10"/>
      <c r="B184" s="13"/>
      <c r="C184" s="13"/>
    </row>
    <row r="185" spans="1:3" ht="13" x14ac:dyDescent="0.15">
      <c r="A185" s="10"/>
      <c r="B185" s="13"/>
      <c r="C185" s="13"/>
    </row>
    <row r="186" spans="1:3" ht="13" x14ac:dyDescent="0.15">
      <c r="A186" s="10"/>
      <c r="B186" s="13"/>
      <c r="C186" s="13"/>
    </row>
    <row r="187" spans="1:3" ht="13" x14ac:dyDescent="0.15">
      <c r="A187" s="10"/>
      <c r="B187" s="13"/>
      <c r="C187" s="13"/>
    </row>
    <row r="188" spans="1:3" ht="13" x14ac:dyDescent="0.15">
      <c r="A188" s="10"/>
      <c r="B188" s="13"/>
      <c r="C188" s="13"/>
    </row>
    <row r="189" spans="1:3" ht="13" x14ac:dyDescent="0.15">
      <c r="A189" s="10"/>
      <c r="B189" s="13"/>
      <c r="C189" s="13"/>
    </row>
    <row r="190" spans="1:3" ht="13" x14ac:dyDescent="0.15">
      <c r="A190" s="10"/>
      <c r="B190" s="13"/>
      <c r="C190" s="13"/>
    </row>
    <row r="191" spans="1:3" ht="13" x14ac:dyDescent="0.15">
      <c r="A191" s="10"/>
      <c r="B191" s="13"/>
      <c r="C191" s="13"/>
    </row>
    <row r="192" spans="1:3" ht="13" x14ac:dyDescent="0.15">
      <c r="A192" s="10"/>
      <c r="B192" s="13"/>
      <c r="C192" s="13"/>
    </row>
    <row r="193" spans="1:3" ht="13" x14ac:dyDescent="0.15">
      <c r="A193" s="10"/>
      <c r="B193" s="13"/>
      <c r="C193" s="13"/>
    </row>
    <row r="194" spans="1:3" ht="13" x14ac:dyDescent="0.15">
      <c r="A194" s="10"/>
      <c r="B194" s="13"/>
      <c r="C194" s="13"/>
    </row>
    <row r="195" spans="1:3" ht="13" x14ac:dyDescent="0.15">
      <c r="A195" s="10"/>
      <c r="B195" s="13"/>
      <c r="C195" s="13"/>
    </row>
    <row r="196" spans="1:3" ht="13" x14ac:dyDescent="0.15">
      <c r="A196" s="10"/>
      <c r="B196" s="13"/>
      <c r="C196" s="13"/>
    </row>
    <row r="197" spans="1:3" ht="13" x14ac:dyDescent="0.15">
      <c r="A197" s="10"/>
      <c r="B197" s="13"/>
      <c r="C197" s="13"/>
    </row>
    <row r="198" spans="1:3" ht="13" x14ac:dyDescent="0.15">
      <c r="A198" s="10"/>
      <c r="B198" s="13"/>
      <c r="C198" s="13"/>
    </row>
    <row r="199" spans="1:3" ht="13" x14ac:dyDescent="0.15">
      <c r="A199" s="10"/>
      <c r="B199" s="13"/>
      <c r="C199" s="13"/>
    </row>
    <row r="200" spans="1:3" ht="13" x14ac:dyDescent="0.15">
      <c r="A200" s="10"/>
      <c r="B200" s="13"/>
      <c r="C200" s="13"/>
    </row>
    <row r="201" spans="1:3" ht="13" x14ac:dyDescent="0.15">
      <c r="A201" s="10"/>
      <c r="B201" s="13"/>
      <c r="C201" s="13"/>
    </row>
    <row r="202" spans="1:3" ht="13" x14ac:dyDescent="0.15">
      <c r="A202" s="10"/>
      <c r="B202" s="13"/>
      <c r="C202" s="13"/>
    </row>
    <row r="203" spans="1:3" ht="13" x14ac:dyDescent="0.15">
      <c r="A203" s="10"/>
      <c r="B203" s="13"/>
      <c r="C203" s="13"/>
    </row>
    <row r="204" spans="1:3" ht="13" x14ac:dyDescent="0.15">
      <c r="A204" s="10"/>
      <c r="B204" s="13"/>
      <c r="C204" s="13"/>
    </row>
    <row r="205" spans="1:3" ht="13" x14ac:dyDescent="0.15">
      <c r="A205" s="10"/>
      <c r="B205" s="13"/>
      <c r="C205" s="13"/>
    </row>
    <row r="206" spans="1:3" ht="13" x14ac:dyDescent="0.15">
      <c r="A206" s="10"/>
      <c r="B206" s="13"/>
      <c r="C206" s="13"/>
    </row>
    <row r="207" spans="1:3" ht="13" x14ac:dyDescent="0.15">
      <c r="A207" s="10"/>
      <c r="B207" s="13"/>
      <c r="C207" s="13"/>
    </row>
    <row r="208" spans="1:3" ht="13" x14ac:dyDescent="0.15">
      <c r="A208" s="10"/>
      <c r="B208" s="13"/>
      <c r="C208" s="13"/>
    </row>
    <row r="209" spans="1:3" ht="13" x14ac:dyDescent="0.15">
      <c r="A209" s="10"/>
      <c r="B209" s="13"/>
      <c r="C209" s="13"/>
    </row>
    <row r="210" spans="1:3" ht="13" x14ac:dyDescent="0.15">
      <c r="A210" s="10"/>
      <c r="B210" s="13"/>
      <c r="C210" s="13"/>
    </row>
    <row r="211" spans="1:3" ht="13" x14ac:dyDescent="0.15">
      <c r="A211" s="10"/>
      <c r="B211" s="13"/>
      <c r="C211" s="13"/>
    </row>
    <row r="212" spans="1:3" ht="13" x14ac:dyDescent="0.15">
      <c r="A212" s="10"/>
      <c r="B212" s="13"/>
      <c r="C212" s="13"/>
    </row>
    <row r="213" spans="1:3" ht="13" x14ac:dyDescent="0.15">
      <c r="A213" s="10"/>
      <c r="B213" s="13"/>
      <c r="C213" s="13"/>
    </row>
    <row r="214" spans="1:3" ht="13" x14ac:dyDescent="0.15">
      <c r="A214" s="10"/>
      <c r="B214" s="13"/>
      <c r="C214" s="13"/>
    </row>
    <row r="215" spans="1:3" ht="13" x14ac:dyDescent="0.15">
      <c r="A215" s="10"/>
      <c r="B215" s="13"/>
      <c r="C215" s="13"/>
    </row>
    <row r="216" spans="1:3" ht="13" x14ac:dyDescent="0.15">
      <c r="A216" s="10"/>
      <c r="B216" s="13"/>
      <c r="C216" s="13"/>
    </row>
    <row r="217" spans="1:3" ht="13" x14ac:dyDescent="0.15">
      <c r="A217" s="10"/>
      <c r="B217" s="13"/>
      <c r="C217" s="13"/>
    </row>
    <row r="218" spans="1:3" ht="13" x14ac:dyDescent="0.15">
      <c r="A218" s="10"/>
      <c r="B218" s="13"/>
      <c r="C218" s="13"/>
    </row>
    <row r="219" spans="1:3" ht="13" x14ac:dyDescent="0.15">
      <c r="A219" s="10"/>
      <c r="B219" s="13"/>
      <c r="C219" s="13"/>
    </row>
    <row r="220" spans="1:3" ht="13" x14ac:dyDescent="0.15">
      <c r="A220" s="10"/>
      <c r="B220" s="13"/>
      <c r="C220" s="13"/>
    </row>
    <row r="221" spans="1:3" ht="13" x14ac:dyDescent="0.15">
      <c r="A221" s="10"/>
      <c r="B221" s="13"/>
      <c r="C221" s="13"/>
    </row>
    <row r="222" spans="1:3" ht="13" x14ac:dyDescent="0.15">
      <c r="A222" s="10"/>
      <c r="B222" s="13"/>
      <c r="C222" s="13"/>
    </row>
    <row r="223" spans="1:3" ht="13" x14ac:dyDescent="0.15">
      <c r="A223" s="10"/>
      <c r="B223" s="13"/>
      <c r="C223" s="13"/>
    </row>
    <row r="224" spans="1:3" ht="13" x14ac:dyDescent="0.15">
      <c r="A224" s="10"/>
      <c r="B224" s="13"/>
      <c r="C224" s="13"/>
    </row>
    <row r="225" spans="1:3" ht="13" x14ac:dyDescent="0.15">
      <c r="A225" s="10"/>
      <c r="B225" s="13"/>
      <c r="C225" s="13"/>
    </row>
    <row r="226" spans="1:3" ht="13" x14ac:dyDescent="0.15">
      <c r="A226" s="10"/>
      <c r="B226" s="13"/>
      <c r="C226" s="13"/>
    </row>
    <row r="227" spans="1:3" ht="13" x14ac:dyDescent="0.15">
      <c r="A227" s="10"/>
      <c r="B227" s="13"/>
      <c r="C227" s="13"/>
    </row>
    <row r="228" spans="1:3" ht="13" x14ac:dyDescent="0.15">
      <c r="A228" s="10"/>
      <c r="B228" s="13"/>
      <c r="C228" s="13"/>
    </row>
    <row r="229" spans="1:3" ht="13" x14ac:dyDescent="0.15">
      <c r="A229" s="10"/>
      <c r="B229" s="13"/>
      <c r="C229" s="13"/>
    </row>
    <row r="230" spans="1:3" ht="13" x14ac:dyDescent="0.15">
      <c r="A230" s="10"/>
      <c r="B230" s="13"/>
      <c r="C230" s="13"/>
    </row>
    <row r="231" spans="1:3" ht="13" x14ac:dyDescent="0.15">
      <c r="A231" s="10"/>
      <c r="B231" s="13"/>
      <c r="C231" s="13"/>
    </row>
    <row r="232" spans="1:3" ht="13" x14ac:dyDescent="0.15">
      <c r="A232" s="10"/>
      <c r="B232" s="13"/>
      <c r="C232" s="13"/>
    </row>
    <row r="233" spans="1:3" ht="13" x14ac:dyDescent="0.15">
      <c r="A233" s="10"/>
      <c r="B233" s="13"/>
      <c r="C233" s="13"/>
    </row>
    <row r="234" spans="1:3" ht="13" x14ac:dyDescent="0.15">
      <c r="A234" s="10"/>
      <c r="B234" s="13"/>
      <c r="C234" s="13"/>
    </row>
    <row r="235" spans="1:3" ht="13" x14ac:dyDescent="0.15">
      <c r="A235" s="10"/>
      <c r="B235" s="13"/>
      <c r="C235" s="13"/>
    </row>
    <row r="236" spans="1:3" ht="13" x14ac:dyDescent="0.15">
      <c r="A236" s="10"/>
      <c r="B236" s="13"/>
      <c r="C236" s="13"/>
    </row>
    <row r="237" spans="1:3" ht="13" x14ac:dyDescent="0.15">
      <c r="A237" s="10"/>
      <c r="B237" s="13"/>
      <c r="C237" s="13"/>
    </row>
    <row r="238" spans="1:3" ht="13" x14ac:dyDescent="0.15">
      <c r="A238" s="10"/>
      <c r="B238" s="13"/>
      <c r="C238" s="13"/>
    </row>
    <row r="239" spans="1:3" ht="13" x14ac:dyDescent="0.15">
      <c r="A239" s="10"/>
      <c r="B239" s="13"/>
      <c r="C239" s="13"/>
    </row>
    <row r="240" spans="1:3" ht="13" x14ac:dyDescent="0.15">
      <c r="A240" s="10"/>
      <c r="B240" s="13"/>
      <c r="C240" s="13"/>
    </row>
    <row r="241" spans="1:3" ht="13" x14ac:dyDescent="0.15">
      <c r="A241" s="10"/>
      <c r="B241" s="13"/>
      <c r="C241" s="13"/>
    </row>
    <row r="242" spans="1:3" ht="13" x14ac:dyDescent="0.15">
      <c r="A242" s="10"/>
      <c r="B242" s="13"/>
      <c r="C242" s="13"/>
    </row>
    <row r="243" spans="1:3" ht="13" x14ac:dyDescent="0.15">
      <c r="A243" s="10"/>
      <c r="B243" s="13"/>
      <c r="C243" s="13"/>
    </row>
    <row r="244" spans="1:3" ht="13" x14ac:dyDescent="0.15">
      <c r="A244" s="10"/>
      <c r="B244" s="13"/>
      <c r="C244" s="13"/>
    </row>
    <row r="245" spans="1:3" ht="13" x14ac:dyDescent="0.15">
      <c r="A245" s="10"/>
      <c r="B245" s="13"/>
      <c r="C245" s="13"/>
    </row>
    <row r="246" spans="1:3" ht="13" x14ac:dyDescent="0.15">
      <c r="A246" s="10"/>
      <c r="B246" s="13"/>
      <c r="C246" s="13"/>
    </row>
    <row r="247" spans="1:3" ht="13" x14ac:dyDescent="0.15">
      <c r="A247" s="10"/>
      <c r="B247" s="13"/>
      <c r="C247" s="13"/>
    </row>
    <row r="248" spans="1:3" ht="13" x14ac:dyDescent="0.15">
      <c r="A248" s="10"/>
      <c r="B248" s="13"/>
      <c r="C248" s="13"/>
    </row>
    <row r="249" spans="1:3" ht="13" x14ac:dyDescent="0.15">
      <c r="A249" s="10"/>
      <c r="B249" s="13"/>
      <c r="C249" s="13"/>
    </row>
    <row r="250" spans="1:3" ht="13" x14ac:dyDescent="0.15">
      <c r="A250" s="10"/>
      <c r="B250" s="13"/>
      <c r="C250" s="13"/>
    </row>
    <row r="251" spans="1:3" ht="13" x14ac:dyDescent="0.15">
      <c r="A251" s="10"/>
      <c r="B251" s="13"/>
      <c r="C251" s="13"/>
    </row>
    <row r="252" spans="1:3" ht="13" x14ac:dyDescent="0.15">
      <c r="A252" s="10"/>
      <c r="B252" s="13"/>
      <c r="C252" s="13"/>
    </row>
    <row r="253" spans="1:3" ht="13" x14ac:dyDescent="0.15">
      <c r="A253" s="10"/>
      <c r="B253" s="13"/>
      <c r="C253" s="13"/>
    </row>
    <row r="254" spans="1:3" ht="13" x14ac:dyDescent="0.15">
      <c r="A254" s="10"/>
      <c r="B254" s="13"/>
      <c r="C254" s="13"/>
    </row>
    <row r="255" spans="1:3" ht="13" x14ac:dyDescent="0.15">
      <c r="A255" s="10"/>
      <c r="B255" s="13"/>
      <c r="C255" s="13"/>
    </row>
    <row r="256" spans="1:3" ht="13" x14ac:dyDescent="0.15">
      <c r="A256" s="10"/>
      <c r="B256" s="13"/>
      <c r="C256" s="13"/>
    </row>
    <row r="257" spans="1:3" ht="13" x14ac:dyDescent="0.15">
      <c r="A257" s="10"/>
      <c r="B257" s="13"/>
      <c r="C257" s="13"/>
    </row>
    <row r="258" spans="1:3" ht="13" x14ac:dyDescent="0.15">
      <c r="A258" s="10"/>
      <c r="B258" s="13"/>
      <c r="C258" s="13"/>
    </row>
    <row r="259" spans="1:3" ht="13" x14ac:dyDescent="0.15">
      <c r="A259" s="10"/>
      <c r="B259" s="13"/>
      <c r="C259" s="13"/>
    </row>
    <row r="260" spans="1:3" ht="13" x14ac:dyDescent="0.15">
      <c r="A260" s="10"/>
      <c r="B260" s="13"/>
      <c r="C260" s="13"/>
    </row>
    <row r="261" spans="1:3" ht="13" x14ac:dyDescent="0.15">
      <c r="A261" s="10"/>
      <c r="B261" s="13"/>
      <c r="C261" s="13"/>
    </row>
    <row r="262" spans="1:3" ht="13" x14ac:dyDescent="0.15">
      <c r="A262" s="10"/>
      <c r="B262" s="13"/>
      <c r="C262" s="13"/>
    </row>
    <row r="263" spans="1:3" ht="13" x14ac:dyDescent="0.15">
      <c r="A263" s="10"/>
      <c r="B263" s="13"/>
      <c r="C263" s="13"/>
    </row>
    <row r="264" spans="1:3" ht="13" x14ac:dyDescent="0.15">
      <c r="A264" s="10"/>
      <c r="B264" s="13"/>
      <c r="C264" s="13"/>
    </row>
    <row r="265" spans="1:3" ht="13" x14ac:dyDescent="0.15">
      <c r="A265" s="10"/>
      <c r="B265" s="13"/>
      <c r="C265" s="13"/>
    </row>
    <row r="266" spans="1:3" ht="13" x14ac:dyDescent="0.15">
      <c r="A266" s="10"/>
      <c r="B266" s="13"/>
      <c r="C266" s="13"/>
    </row>
    <row r="267" spans="1:3" ht="13" x14ac:dyDescent="0.15">
      <c r="A267" s="10"/>
      <c r="B267" s="13"/>
      <c r="C267" s="13"/>
    </row>
    <row r="268" spans="1:3" ht="13" x14ac:dyDescent="0.15">
      <c r="A268" s="10"/>
      <c r="B268" s="13"/>
      <c r="C268" s="13"/>
    </row>
    <row r="269" spans="1:3" ht="13" x14ac:dyDescent="0.15">
      <c r="A269" s="10"/>
      <c r="B269" s="13"/>
      <c r="C269" s="13"/>
    </row>
    <row r="270" spans="1:3" ht="13" x14ac:dyDescent="0.15">
      <c r="A270" s="10"/>
      <c r="B270" s="13"/>
      <c r="C270" s="13"/>
    </row>
    <row r="271" spans="1:3" ht="13" x14ac:dyDescent="0.15">
      <c r="A271" s="10"/>
      <c r="B271" s="13"/>
      <c r="C271" s="13"/>
    </row>
    <row r="272" spans="1:3" ht="13" x14ac:dyDescent="0.15">
      <c r="A272" s="10"/>
      <c r="B272" s="13"/>
      <c r="C272" s="13"/>
    </row>
    <row r="273" spans="1:3" ht="13" x14ac:dyDescent="0.15">
      <c r="A273" s="10"/>
      <c r="B273" s="13"/>
      <c r="C273" s="13"/>
    </row>
    <row r="274" spans="1:3" ht="13" x14ac:dyDescent="0.15">
      <c r="A274" s="10"/>
      <c r="B274" s="13"/>
      <c r="C274" s="13"/>
    </row>
    <row r="275" spans="1:3" ht="13" x14ac:dyDescent="0.15">
      <c r="A275" s="10"/>
      <c r="B275" s="13"/>
      <c r="C275" s="13"/>
    </row>
    <row r="276" spans="1:3" ht="13" x14ac:dyDescent="0.15">
      <c r="A276" s="10"/>
      <c r="B276" s="13"/>
      <c r="C276" s="13"/>
    </row>
    <row r="277" spans="1:3" ht="13" x14ac:dyDescent="0.15">
      <c r="A277" s="10"/>
      <c r="B277" s="13"/>
      <c r="C277" s="13"/>
    </row>
    <row r="278" spans="1:3" ht="13" x14ac:dyDescent="0.15">
      <c r="A278" s="10"/>
      <c r="B278" s="13"/>
      <c r="C278" s="13"/>
    </row>
    <row r="279" spans="1:3" ht="13" x14ac:dyDescent="0.15">
      <c r="A279" s="10"/>
      <c r="B279" s="13"/>
      <c r="C279" s="13"/>
    </row>
    <row r="280" spans="1:3" ht="13" x14ac:dyDescent="0.15">
      <c r="A280" s="10"/>
      <c r="B280" s="13"/>
      <c r="C280" s="13"/>
    </row>
    <row r="281" spans="1:3" ht="13" x14ac:dyDescent="0.15">
      <c r="A281" s="10"/>
      <c r="B281" s="13"/>
      <c r="C281" s="13"/>
    </row>
    <row r="282" spans="1:3" ht="13" x14ac:dyDescent="0.15">
      <c r="A282" s="10"/>
      <c r="B282" s="13"/>
      <c r="C282" s="13"/>
    </row>
    <row r="283" spans="1:3" ht="13" x14ac:dyDescent="0.15">
      <c r="A283" s="10"/>
      <c r="B283" s="13"/>
      <c r="C283" s="13"/>
    </row>
    <row r="284" spans="1:3" ht="13" x14ac:dyDescent="0.15">
      <c r="A284" s="10"/>
      <c r="B284" s="13"/>
      <c r="C284" s="13"/>
    </row>
    <row r="285" spans="1:3" ht="13" x14ac:dyDescent="0.15">
      <c r="A285" s="10"/>
      <c r="B285" s="13"/>
      <c r="C285" s="13"/>
    </row>
    <row r="286" spans="1:3" ht="13" x14ac:dyDescent="0.15">
      <c r="A286" s="10"/>
      <c r="B286" s="13"/>
      <c r="C286" s="13"/>
    </row>
    <row r="287" spans="1:3" ht="13" x14ac:dyDescent="0.15">
      <c r="A287" s="10"/>
      <c r="B287" s="13"/>
      <c r="C287" s="13"/>
    </row>
    <row r="288" spans="1:3" ht="13" x14ac:dyDescent="0.15">
      <c r="A288" s="10"/>
      <c r="B288" s="13"/>
      <c r="C288" s="13"/>
    </row>
    <row r="289" spans="1:3" ht="13" x14ac:dyDescent="0.15">
      <c r="A289" s="10"/>
      <c r="B289" s="13"/>
      <c r="C289" s="13"/>
    </row>
    <row r="290" spans="1:3" ht="13" x14ac:dyDescent="0.15">
      <c r="A290" s="10"/>
      <c r="B290" s="13"/>
      <c r="C290" s="13"/>
    </row>
    <row r="291" spans="1:3" ht="13" x14ac:dyDescent="0.15">
      <c r="A291" s="10"/>
      <c r="B291" s="13"/>
      <c r="C291" s="13"/>
    </row>
    <row r="292" spans="1:3" ht="13" x14ac:dyDescent="0.15">
      <c r="A292" s="10"/>
      <c r="B292" s="13"/>
      <c r="C292" s="13"/>
    </row>
    <row r="293" spans="1:3" ht="13" x14ac:dyDescent="0.15">
      <c r="A293" s="10"/>
      <c r="B293" s="13"/>
      <c r="C293" s="13"/>
    </row>
    <row r="294" spans="1:3" ht="13" x14ac:dyDescent="0.15">
      <c r="A294" s="10"/>
      <c r="B294" s="13"/>
      <c r="C294" s="13"/>
    </row>
    <row r="295" spans="1:3" ht="13" x14ac:dyDescent="0.15">
      <c r="A295" s="10"/>
      <c r="B295" s="13"/>
      <c r="C295" s="13"/>
    </row>
    <row r="296" spans="1:3" ht="13" x14ac:dyDescent="0.15">
      <c r="A296" s="10"/>
      <c r="B296" s="13"/>
      <c r="C296" s="13"/>
    </row>
    <row r="297" spans="1:3" ht="13" x14ac:dyDescent="0.15">
      <c r="A297" s="10"/>
      <c r="B297" s="13"/>
      <c r="C297" s="13"/>
    </row>
    <row r="298" spans="1:3" ht="13" x14ac:dyDescent="0.15">
      <c r="A298" s="10"/>
      <c r="B298" s="13"/>
      <c r="C298" s="13"/>
    </row>
    <row r="299" spans="1:3" ht="13" x14ac:dyDescent="0.15">
      <c r="A299" s="10"/>
      <c r="B299" s="13"/>
      <c r="C299" s="13"/>
    </row>
    <row r="300" spans="1:3" ht="13" x14ac:dyDescent="0.15">
      <c r="A300" s="10"/>
      <c r="B300" s="13"/>
      <c r="C300" s="13"/>
    </row>
    <row r="301" spans="1:3" ht="13" x14ac:dyDescent="0.15">
      <c r="A301" s="10"/>
      <c r="B301" s="13"/>
      <c r="C301" s="13"/>
    </row>
    <row r="302" spans="1:3" ht="13" x14ac:dyDescent="0.15">
      <c r="A302" s="10"/>
      <c r="B302" s="13"/>
      <c r="C302" s="13"/>
    </row>
    <row r="303" spans="1:3" ht="13" x14ac:dyDescent="0.15">
      <c r="A303" s="10"/>
      <c r="B303" s="13"/>
      <c r="C303" s="13"/>
    </row>
    <row r="304" spans="1:3" ht="13" x14ac:dyDescent="0.15">
      <c r="A304" s="10"/>
      <c r="B304" s="13"/>
      <c r="C304" s="13"/>
    </row>
    <row r="305" spans="1:3" ht="13" x14ac:dyDescent="0.15">
      <c r="A305" s="10"/>
      <c r="B305" s="13"/>
      <c r="C305" s="13"/>
    </row>
    <row r="306" spans="1:3" ht="13" x14ac:dyDescent="0.15">
      <c r="A306" s="10"/>
      <c r="B306" s="13"/>
      <c r="C306" s="13"/>
    </row>
    <row r="307" spans="1:3" ht="13" x14ac:dyDescent="0.15">
      <c r="A307" s="10"/>
      <c r="B307" s="13"/>
      <c r="C307" s="13"/>
    </row>
    <row r="308" spans="1:3" ht="13" x14ac:dyDescent="0.15">
      <c r="A308" s="10"/>
      <c r="B308" s="13"/>
      <c r="C308" s="13"/>
    </row>
    <row r="309" spans="1:3" ht="13" x14ac:dyDescent="0.15">
      <c r="A309" s="10"/>
      <c r="B309" s="13"/>
      <c r="C309" s="13"/>
    </row>
    <row r="310" spans="1:3" ht="13" x14ac:dyDescent="0.15">
      <c r="A310" s="10"/>
      <c r="B310" s="13"/>
      <c r="C310" s="13"/>
    </row>
    <row r="311" spans="1:3" ht="13" x14ac:dyDescent="0.15">
      <c r="A311" s="10"/>
      <c r="B311" s="13"/>
      <c r="C311" s="13"/>
    </row>
    <row r="312" spans="1:3" ht="13" x14ac:dyDescent="0.15">
      <c r="A312" s="10"/>
      <c r="B312" s="13"/>
      <c r="C312" s="13"/>
    </row>
    <row r="313" spans="1:3" ht="13" x14ac:dyDescent="0.15">
      <c r="A313" s="10"/>
      <c r="B313" s="13"/>
      <c r="C313" s="13"/>
    </row>
    <row r="314" spans="1:3" ht="13" x14ac:dyDescent="0.15">
      <c r="A314" s="10"/>
      <c r="B314" s="13"/>
      <c r="C314" s="13"/>
    </row>
    <row r="315" spans="1:3" ht="13" x14ac:dyDescent="0.15">
      <c r="A315" s="10"/>
      <c r="B315" s="13"/>
      <c r="C315" s="13"/>
    </row>
    <row r="316" spans="1:3" ht="13" x14ac:dyDescent="0.15">
      <c r="A316" s="10"/>
      <c r="B316" s="13"/>
      <c r="C316" s="13"/>
    </row>
    <row r="317" spans="1:3" ht="13" x14ac:dyDescent="0.15">
      <c r="A317" s="10"/>
      <c r="B317" s="13"/>
      <c r="C317" s="13"/>
    </row>
    <row r="318" spans="1:3" ht="13" x14ac:dyDescent="0.15">
      <c r="A318" s="10"/>
      <c r="B318" s="13"/>
      <c r="C318" s="13"/>
    </row>
    <row r="319" spans="1:3" ht="13" x14ac:dyDescent="0.15">
      <c r="A319" s="10"/>
      <c r="B319" s="13"/>
      <c r="C319" s="13"/>
    </row>
    <row r="320" spans="1:3" ht="13" x14ac:dyDescent="0.15">
      <c r="A320" s="10"/>
      <c r="B320" s="13"/>
      <c r="C320" s="13"/>
    </row>
    <row r="321" spans="1:3" ht="13" x14ac:dyDescent="0.15">
      <c r="A321" s="10"/>
      <c r="B321" s="13"/>
      <c r="C321" s="13"/>
    </row>
    <row r="322" spans="1:3" ht="13" x14ac:dyDescent="0.15">
      <c r="A322" s="10"/>
      <c r="B322" s="13"/>
      <c r="C322" s="13"/>
    </row>
    <row r="323" spans="1:3" ht="13" x14ac:dyDescent="0.15">
      <c r="A323" s="10"/>
      <c r="B323" s="13"/>
      <c r="C323" s="13"/>
    </row>
    <row r="324" spans="1:3" ht="13" x14ac:dyDescent="0.15">
      <c r="A324" s="10"/>
      <c r="B324" s="13"/>
      <c r="C324" s="13"/>
    </row>
    <row r="325" spans="1:3" ht="13" x14ac:dyDescent="0.15">
      <c r="A325" s="10"/>
      <c r="B325" s="13"/>
      <c r="C325" s="13"/>
    </row>
    <row r="326" spans="1:3" ht="13" x14ac:dyDescent="0.15">
      <c r="A326" s="10"/>
      <c r="B326" s="13"/>
      <c r="C326" s="13"/>
    </row>
    <row r="327" spans="1:3" ht="13" x14ac:dyDescent="0.15">
      <c r="A327" s="10"/>
      <c r="B327" s="13"/>
      <c r="C327" s="13"/>
    </row>
    <row r="328" spans="1:3" ht="13" x14ac:dyDescent="0.15">
      <c r="A328" s="10"/>
      <c r="B328" s="13"/>
      <c r="C328" s="13"/>
    </row>
    <row r="329" spans="1:3" ht="13" x14ac:dyDescent="0.15">
      <c r="A329" s="10"/>
      <c r="B329" s="13"/>
      <c r="C329" s="13"/>
    </row>
    <row r="330" spans="1:3" ht="13" x14ac:dyDescent="0.15">
      <c r="A330" s="10"/>
      <c r="B330" s="13"/>
      <c r="C330" s="13"/>
    </row>
    <row r="331" spans="1:3" ht="13" x14ac:dyDescent="0.15">
      <c r="A331" s="10"/>
      <c r="B331" s="13"/>
      <c r="C331" s="13"/>
    </row>
    <row r="332" spans="1:3" ht="13" x14ac:dyDescent="0.15">
      <c r="A332" s="10"/>
      <c r="B332" s="13"/>
      <c r="C332" s="13"/>
    </row>
    <row r="333" spans="1:3" ht="13" x14ac:dyDescent="0.15">
      <c r="A333" s="10"/>
      <c r="B333" s="13"/>
      <c r="C333" s="13"/>
    </row>
    <row r="334" spans="1:3" ht="13" x14ac:dyDescent="0.15">
      <c r="A334" s="10"/>
      <c r="B334" s="13"/>
      <c r="C334" s="13"/>
    </row>
    <row r="335" spans="1:3" ht="13" x14ac:dyDescent="0.15">
      <c r="A335" s="10"/>
      <c r="B335" s="13"/>
      <c r="C335" s="13"/>
    </row>
    <row r="336" spans="1:3" ht="13" x14ac:dyDescent="0.15">
      <c r="A336" s="10"/>
      <c r="B336" s="13"/>
      <c r="C336" s="13"/>
    </row>
    <row r="337" spans="1:3" ht="13" x14ac:dyDescent="0.15">
      <c r="A337" s="10"/>
      <c r="B337" s="13"/>
      <c r="C337" s="13"/>
    </row>
    <row r="338" spans="1:3" ht="13" x14ac:dyDescent="0.15">
      <c r="A338" s="10"/>
      <c r="B338" s="13"/>
      <c r="C338" s="13"/>
    </row>
    <row r="339" spans="1:3" ht="13" x14ac:dyDescent="0.15">
      <c r="A339" s="10"/>
      <c r="B339" s="13"/>
      <c r="C339" s="13"/>
    </row>
    <row r="340" spans="1:3" ht="13" x14ac:dyDescent="0.15">
      <c r="A340" s="10"/>
      <c r="B340" s="13"/>
      <c r="C340" s="13"/>
    </row>
    <row r="341" spans="1:3" ht="13" x14ac:dyDescent="0.15">
      <c r="A341" s="10"/>
      <c r="B341" s="13"/>
      <c r="C341" s="13"/>
    </row>
    <row r="342" spans="1:3" ht="13" x14ac:dyDescent="0.15">
      <c r="A342" s="10"/>
      <c r="B342" s="13"/>
      <c r="C342" s="13"/>
    </row>
    <row r="343" spans="1:3" ht="13" x14ac:dyDescent="0.15">
      <c r="A343" s="10"/>
      <c r="B343" s="13"/>
      <c r="C343" s="13"/>
    </row>
    <row r="344" spans="1:3" ht="13" x14ac:dyDescent="0.15">
      <c r="A344" s="10"/>
      <c r="B344" s="13"/>
      <c r="C344" s="13"/>
    </row>
    <row r="345" spans="1:3" ht="13" x14ac:dyDescent="0.15">
      <c r="A345" s="10"/>
      <c r="B345" s="13"/>
      <c r="C345" s="13"/>
    </row>
    <row r="346" spans="1:3" ht="13" x14ac:dyDescent="0.15">
      <c r="A346" s="10"/>
      <c r="B346" s="13"/>
      <c r="C346" s="13"/>
    </row>
    <row r="347" spans="1:3" ht="13" x14ac:dyDescent="0.15">
      <c r="A347" s="10"/>
      <c r="B347" s="13"/>
      <c r="C347" s="13"/>
    </row>
    <row r="348" spans="1:3" ht="13" x14ac:dyDescent="0.15">
      <c r="A348" s="10"/>
      <c r="B348" s="13"/>
      <c r="C348" s="13"/>
    </row>
    <row r="349" spans="1:3" ht="13" x14ac:dyDescent="0.15">
      <c r="A349" s="10"/>
      <c r="B349" s="13"/>
      <c r="C349" s="13"/>
    </row>
    <row r="350" spans="1:3" ht="13" x14ac:dyDescent="0.15">
      <c r="A350" s="10"/>
      <c r="B350" s="13"/>
      <c r="C350" s="13"/>
    </row>
    <row r="351" spans="1:3" ht="13" x14ac:dyDescent="0.15">
      <c r="A351" s="10"/>
      <c r="B351" s="13"/>
      <c r="C351" s="13"/>
    </row>
    <row r="352" spans="1:3" ht="13" x14ac:dyDescent="0.15">
      <c r="A352" s="10"/>
      <c r="B352" s="13"/>
      <c r="C352" s="13"/>
    </row>
    <row r="353" spans="1:3" ht="13" x14ac:dyDescent="0.15">
      <c r="A353" s="10"/>
      <c r="B353" s="13"/>
      <c r="C353" s="13"/>
    </row>
    <row r="354" spans="1:3" ht="13" x14ac:dyDescent="0.15">
      <c r="A354" s="10"/>
      <c r="B354" s="13"/>
      <c r="C354" s="13"/>
    </row>
    <row r="355" spans="1:3" ht="13" x14ac:dyDescent="0.15">
      <c r="A355" s="10"/>
      <c r="B355" s="13"/>
      <c r="C355" s="13"/>
    </row>
    <row r="356" spans="1:3" ht="13" x14ac:dyDescent="0.15">
      <c r="A356" s="10"/>
      <c r="B356" s="13"/>
      <c r="C356" s="13"/>
    </row>
    <row r="357" spans="1:3" ht="13" x14ac:dyDescent="0.15">
      <c r="A357" s="10"/>
      <c r="B357" s="13"/>
      <c r="C357" s="13"/>
    </row>
    <row r="358" spans="1:3" ht="13" x14ac:dyDescent="0.15">
      <c r="A358" s="10"/>
      <c r="B358" s="13"/>
      <c r="C358" s="13"/>
    </row>
    <row r="359" spans="1:3" ht="13" x14ac:dyDescent="0.15">
      <c r="A359" s="10"/>
      <c r="B359" s="13"/>
      <c r="C359" s="13"/>
    </row>
    <row r="360" spans="1:3" ht="13" x14ac:dyDescent="0.15">
      <c r="A360" s="10"/>
      <c r="B360" s="13"/>
      <c r="C360" s="13"/>
    </row>
    <row r="361" spans="1:3" ht="13" x14ac:dyDescent="0.15">
      <c r="A361" s="10"/>
      <c r="B361" s="13"/>
      <c r="C361" s="13"/>
    </row>
    <row r="362" spans="1:3" ht="13" x14ac:dyDescent="0.15">
      <c r="A362" s="10"/>
      <c r="B362" s="13"/>
      <c r="C362" s="13"/>
    </row>
    <row r="363" spans="1:3" ht="13" x14ac:dyDescent="0.15">
      <c r="A363" s="10"/>
      <c r="B363" s="13"/>
      <c r="C363" s="13"/>
    </row>
    <row r="364" spans="1:3" ht="13" x14ac:dyDescent="0.15">
      <c r="A364" s="10"/>
      <c r="B364" s="13"/>
      <c r="C364" s="13"/>
    </row>
    <row r="365" spans="1:3" ht="13" x14ac:dyDescent="0.15">
      <c r="A365" s="10"/>
      <c r="B365" s="13"/>
      <c r="C365" s="13"/>
    </row>
    <row r="366" spans="1:3" ht="13" x14ac:dyDescent="0.15">
      <c r="A366" s="10"/>
      <c r="B366" s="13"/>
      <c r="C366" s="13"/>
    </row>
    <row r="367" spans="1:3" ht="13" x14ac:dyDescent="0.15">
      <c r="A367" s="10"/>
      <c r="B367" s="13"/>
      <c r="C367" s="13"/>
    </row>
    <row r="368" spans="1:3" ht="13" x14ac:dyDescent="0.15">
      <c r="A368" s="10"/>
      <c r="B368" s="13"/>
      <c r="C368" s="13"/>
    </row>
    <row r="369" spans="1:3" ht="13" x14ac:dyDescent="0.15">
      <c r="A369" s="10"/>
      <c r="B369" s="13"/>
      <c r="C369" s="13"/>
    </row>
    <row r="370" spans="1:3" ht="13" x14ac:dyDescent="0.15">
      <c r="A370" s="10"/>
      <c r="B370" s="13"/>
      <c r="C370" s="13"/>
    </row>
    <row r="371" spans="1:3" ht="13" x14ac:dyDescent="0.15">
      <c r="A371" s="10"/>
      <c r="B371" s="13"/>
      <c r="C371" s="13"/>
    </row>
    <row r="372" spans="1:3" ht="13" x14ac:dyDescent="0.15">
      <c r="A372" s="10"/>
      <c r="B372" s="13"/>
      <c r="C372" s="13"/>
    </row>
    <row r="373" spans="1:3" ht="13" x14ac:dyDescent="0.15">
      <c r="A373" s="10"/>
      <c r="B373" s="13"/>
      <c r="C373" s="13"/>
    </row>
    <row r="374" spans="1:3" ht="13" x14ac:dyDescent="0.15">
      <c r="A374" s="10"/>
      <c r="B374" s="13"/>
      <c r="C374" s="13"/>
    </row>
    <row r="375" spans="1:3" ht="13" x14ac:dyDescent="0.15">
      <c r="A375" s="10"/>
      <c r="B375" s="13"/>
      <c r="C375" s="13"/>
    </row>
    <row r="376" spans="1:3" ht="13" x14ac:dyDescent="0.15">
      <c r="A376" s="10"/>
      <c r="B376" s="13"/>
      <c r="C376" s="13"/>
    </row>
    <row r="377" spans="1:3" ht="13" x14ac:dyDescent="0.15">
      <c r="A377" s="10"/>
      <c r="B377" s="13"/>
      <c r="C377" s="13"/>
    </row>
    <row r="378" spans="1:3" ht="13" x14ac:dyDescent="0.15">
      <c r="A378" s="10"/>
      <c r="B378" s="13"/>
      <c r="C378" s="13"/>
    </row>
    <row r="379" spans="1:3" ht="13" x14ac:dyDescent="0.15">
      <c r="A379" s="10"/>
      <c r="B379" s="13"/>
      <c r="C379" s="13"/>
    </row>
    <row r="380" spans="1:3" ht="13" x14ac:dyDescent="0.15">
      <c r="A380" s="10"/>
      <c r="B380" s="13"/>
      <c r="C380" s="13"/>
    </row>
    <row r="381" spans="1:3" ht="13" x14ac:dyDescent="0.15">
      <c r="A381" s="10"/>
      <c r="B381" s="13"/>
      <c r="C381" s="13"/>
    </row>
    <row r="382" spans="1:3" ht="13" x14ac:dyDescent="0.15">
      <c r="A382" s="10"/>
      <c r="B382" s="13"/>
      <c r="C382" s="13"/>
    </row>
    <row r="383" spans="1:3" ht="13" x14ac:dyDescent="0.15">
      <c r="A383" s="10"/>
      <c r="B383" s="13"/>
      <c r="C383" s="13"/>
    </row>
    <row r="384" spans="1:3" ht="13" x14ac:dyDescent="0.15">
      <c r="A384" s="10"/>
      <c r="B384" s="13"/>
      <c r="C384" s="13"/>
    </row>
    <row r="385" spans="1:3" ht="13" x14ac:dyDescent="0.15">
      <c r="A385" s="10"/>
      <c r="B385" s="13"/>
      <c r="C385" s="13"/>
    </row>
    <row r="386" spans="1:3" ht="13" x14ac:dyDescent="0.15">
      <c r="A386" s="10"/>
      <c r="B386" s="13"/>
      <c r="C386" s="13"/>
    </row>
    <row r="387" spans="1:3" ht="13" x14ac:dyDescent="0.15">
      <c r="A387" s="10"/>
      <c r="B387" s="13"/>
      <c r="C387" s="13"/>
    </row>
    <row r="388" spans="1:3" ht="13" x14ac:dyDescent="0.15">
      <c r="A388" s="10"/>
      <c r="B388" s="13"/>
      <c r="C388" s="13"/>
    </row>
    <row r="389" spans="1:3" ht="13" x14ac:dyDescent="0.15">
      <c r="A389" s="10"/>
      <c r="B389" s="13"/>
      <c r="C389" s="13"/>
    </row>
    <row r="390" spans="1:3" ht="13" x14ac:dyDescent="0.15">
      <c r="A390" s="10"/>
      <c r="B390" s="13"/>
      <c r="C390" s="13"/>
    </row>
    <row r="391" spans="1:3" ht="13" x14ac:dyDescent="0.15">
      <c r="A391" s="10"/>
      <c r="B391" s="13"/>
      <c r="C391" s="13"/>
    </row>
    <row r="392" spans="1:3" ht="13" x14ac:dyDescent="0.15">
      <c r="A392" s="10"/>
      <c r="B392" s="13"/>
      <c r="C392" s="13"/>
    </row>
    <row r="393" spans="1:3" ht="13" x14ac:dyDescent="0.15">
      <c r="A393" s="10"/>
      <c r="B393" s="13"/>
      <c r="C393" s="13"/>
    </row>
    <row r="394" spans="1:3" ht="13" x14ac:dyDescent="0.15">
      <c r="A394" s="10"/>
      <c r="B394" s="13"/>
      <c r="C394" s="13"/>
    </row>
    <row r="395" spans="1:3" ht="13" x14ac:dyDescent="0.15">
      <c r="A395" s="10"/>
      <c r="B395" s="13"/>
      <c r="C395" s="13"/>
    </row>
    <row r="396" spans="1:3" ht="13" x14ac:dyDescent="0.15">
      <c r="A396" s="10"/>
      <c r="B396" s="13"/>
      <c r="C396" s="13"/>
    </row>
    <row r="397" spans="1:3" ht="13" x14ac:dyDescent="0.15">
      <c r="A397" s="10"/>
      <c r="B397" s="13"/>
      <c r="C397" s="13"/>
    </row>
    <row r="398" spans="1:3" ht="13" x14ac:dyDescent="0.15">
      <c r="A398" s="10"/>
      <c r="B398" s="13"/>
      <c r="C398" s="13"/>
    </row>
    <row r="399" spans="1:3" ht="13" x14ac:dyDescent="0.15">
      <c r="A399" s="10"/>
      <c r="B399" s="13"/>
      <c r="C399" s="13"/>
    </row>
    <row r="400" spans="1:3" ht="13" x14ac:dyDescent="0.15">
      <c r="A400" s="10"/>
      <c r="B400" s="13"/>
      <c r="C400" s="13"/>
    </row>
    <row r="401" spans="1:3" ht="13" x14ac:dyDescent="0.15">
      <c r="A401" s="10"/>
      <c r="B401" s="13"/>
      <c r="C401" s="13"/>
    </row>
    <row r="402" spans="1:3" ht="13" x14ac:dyDescent="0.15">
      <c r="A402" s="10"/>
      <c r="B402" s="13"/>
      <c r="C402" s="13"/>
    </row>
    <row r="403" spans="1:3" ht="13" x14ac:dyDescent="0.15">
      <c r="A403" s="10"/>
      <c r="B403" s="13"/>
      <c r="C403" s="13"/>
    </row>
    <row r="404" spans="1:3" ht="13" x14ac:dyDescent="0.15">
      <c r="A404" s="10"/>
      <c r="B404" s="13"/>
      <c r="C404" s="13"/>
    </row>
    <row r="405" spans="1:3" ht="13" x14ac:dyDescent="0.15">
      <c r="A405" s="10"/>
      <c r="B405" s="13"/>
      <c r="C405" s="13"/>
    </row>
    <row r="406" spans="1:3" ht="13" x14ac:dyDescent="0.15">
      <c r="A406" s="10"/>
      <c r="B406" s="13"/>
      <c r="C406" s="13"/>
    </row>
    <row r="407" spans="1:3" ht="13" x14ac:dyDescent="0.15">
      <c r="A407" s="10"/>
      <c r="B407" s="13"/>
      <c r="C407" s="13"/>
    </row>
    <row r="408" spans="1:3" ht="13" x14ac:dyDescent="0.15">
      <c r="A408" s="10"/>
      <c r="B408" s="13"/>
      <c r="C408" s="13"/>
    </row>
    <row r="409" spans="1:3" ht="13" x14ac:dyDescent="0.15">
      <c r="A409" s="10"/>
      <c r="B409" s="13"/>
      <c r="C409" s="13"/>
    </row>
    <row r="410" spans="1:3" ht="13" x14ac:dyDescent="0.15">
      <c r="A410" s="10"/>
      <c r="B410" s="13"/>
      <c r="C410" s="13"/>
    </row>
    <row r="411" spans="1:3" ht="13" x14ac:dyDescent="0.15">
      <c r="A411" s="10"/>
      <c r="B411" s="13"/>
      <c r="C411" s="13"/>
    </row>
    <row r="412" spans="1:3" ht="13" x14ac:dyDescent="0.15">
      <c r="A412" s="10"/>
      <c r="B412" s="13"/>
      <c r="C412" s="13"/>
    </row>
    <row r="413" spans="1:3" ht="13" x14ac:dyDescent="0.15">
      <c r="A413" s="10"/>
      <c r="B413" s="13"/>
      <c r="C413" s="13"/>
    </row>
    <row r="414" spans="1:3" ht="13" x14ac:dyDescent="0.15">
      <c r="A414" s="10"/>
      <c r="B414" s="13"/>
      <c r="C414" s="13"/>
    </row>
    <row r="415" spans="1:3" ht="13" x14ac:dyDescent="0.15">
      <c r="A415" s="10"/>
      <c r="B415" s="13"/>
      <c r="C415" s="13"/>
    </row>
    <row r="416" spans="1:3" ht="13" x14ac:dyDescent="0.15">
      <c r="A416" s="10"/>
      <c r="B416" s="13"/>
      <c r="C416" s="13"/>
    </row>
    <row r="417" spans="1:3" ht="13" x14ac:dyDescent="0.15">
      <c r="A417" s="10"/>
      <c r="B417" s="13"/>
      <c r="C417" s="13"/>
    </row>
    <row r="418" spans="1:3" ht="13" x14ac:dyDescent="0.15">
      <c r="A418" s="10"/>
      <c r="B418" s="13"/>
      <c r="C418" s="13"/>
    </row>
    <row r="419" spans="1:3" ht="13" x14ac:dyDescent="0.15">
      <c r="A419" s="10"/>
      <c r="B419" s="13"/>
      <c r="C419" s="13"/>
    </row>
    <row r="420" spans="1:3" ht="13" x14ac:dyDescent="0.15">
      <c r="A420" s="10"/>
      <c r="B420" s="13"/>
      <c r="C420" s="13"/>
    </row>
    <row r="421" spans="1:3" ht="13" x14ac:dyDescent="0.15">
      <c r="A421" s="10"/>
      <c r="B421" s="13"/>
      <c r="C421" s="13"/>
    </row>
    <row r="422" spans="1:3" ht="13" x14ac:dyDescent="0.15">
      <c r="A422" s="10"/>
      <c r="B422" s="13"/>
      <c r="C422" s="13"/>
    </row>
    <row r="423" spans="1:3" ht="13" x14ac:dyDescent="0.15">
      <c r="A423" s="10"/>
      <c r="B423" s="13"/>
      <c r="C423" s="13"/>
    </row>
    <row r="424" spans="1:3" ht="13" x14ac:dyDescent="0.15">
      <c r="A424" s="10"/>
      <c r="B424" s="13"/>
      <c r="C424" s="13"/>
    </row>
    <row r="425" spans="1:3" ht="13" x14ac:dyDescent="0.15">
      <c r="A425" s="10"/>
      <c r="B425" s="13"/>
      <c r="C425" s="13"/>
    </row>
    <row r="426" spans="1:3" ht="13" x14ac:dyDescent="0.15">
      <c r="A426" s="10"/>
      <c r="B426" s="13"/>
      <c r="C426" s="13"/>
    </row>
    <row r="427" spans="1:3" ht="13" x14ac:dyDescent="0.15">
      <c r="A427" s="10"/>
      <c r="B427" s="13"/>
      <c r="C427" s="13"/>
    </row>
    <row r="428" spans="1:3" ht="13" x14ac:dyDescent="0.15">
      <c r="A428" s="10"/>
      <c r="B428" s="13"/>
      <c r="C428" s="13"/>
    </row>
    <row r="429" spans="1:3" ht="13" x14ac:dyDescent="0.15">
      <c r="A429" s="10"/>
      <c r="B429" s="13"/>
      <c r="C429" s="13"/>
    </row>
    <row r="430" spans="1:3" ht="13" x14ac:dyDescent="0.15">
      <c r="A430" s="10"/>
      <c r="B430" s="13"/>
      <c r="C430" s="13"/>
    </row>
    <row r="431" spans="1:3" ht="13" x14ac:dyDescent="0.15">
      <c r="A431" s="10"/>
      <c r="B431" s="13"/>
      <c r="C431" s="13"/>
    </row>
    <row r="432" spans="1:3" ht="13" x14ac:dyDescent="0.15">
      <c r="A432" s="10"/>
      <c r="B432" s="13"/>
      <c r="C432" s="13"/>
    </row>
    <row r="433" spans="1:3" ht="13" x14ac:dyDescent="0.15">
      <c r="A433" s="10"/>
      <c r="B433" s="13"/>
      <c r="C433" s="13"/>
    </row>
    <row r="434" spans="1:3" ht="13" x14ac:dyDescent="0.15">
      <c r="A434" s="10"/>
      <c r="B434" s="13"/>
      <c r="C434" s="13"/>
    </row>
    <row r="435" spans="1:3" ht="13" x14ac:dyDescent="0.15">
      <c r="A435" s="10"/>
      <c r="B435" s="13"/>
      <c r="C435" s="13"/>
    </row>
    <row r="436" spans="1:3" ht="13" x14ac:dyDescent="0.15">
      <c r="A436" s="10"/>
      <c r="B436" s="13"/>
      <c r="C436" s="13"/>
    </row>
    <row r="437" spans="1:3" ht="13" x14ac:dyDescent="0.15">
      <c r="A437" s="10"/>
      <c r="B437" s="13"/>
      <c r="C437" s="13"/>
    </row>
    <row r="438" spans="1:3" ht="13" x14ac:dyDescent="0.15">
      <c r="A438" s="10"/>
      <c r="B438" s="13"/>
      <c r="C438" s="13"/>
    </row>
    <row r="439" spans="1:3" ht="13" x14ac:dyDescent="0.15">
      <c r="A439" s="10"/>
      <c r="B439" s="13"/>
      <c r="C439" s="13"/>
    </row>
    <row r="440" spans="1:3" ht="13" x14ac:dyDescent="0.15">
      <c r="A440" s="10"/>
      <c r="B440" s="13"/>
      <c r="C440" s="13"/>
    </row>
    <row r="441" spans="1:3" ht="13" x14ac:dyDescent="0.15">
      <c r="A441" s="10"/>
      <c r="B441" s="13"/>
      <c r="C441" s="13"/>
    </row>
    <row r="442" spans="1:3" ht="13" x14ac:dyDescent="0.15">
      <c r="A442" s="10"/>
      <c r="B442" s="13"/>
      <c r="C442" s="13"/>
    </row>
    <row r="443" spans="1:3" ht="13" x14ac:dyDescent="0.15">
      <c r="A443" s="10"/>
      <c r="B443" s="13"/>
      <c r="C443" s="13"/>
    </row>
    <row r="444" spans="1:3" ht="13" x14ac:dyDescent="0.15">
      <c r="A444" s="10"/>
      <c r="B444" s="13"/>
      <c r="C444" s="13"/>
    </row>
    <row r="445" spans="1:3" ht="13" x14ac:dyDescent="0.15">
      <c r="A445" s="10"/>
      <c r="B445" s="13"/>
      <c r="C445" s="13"/>
    </row>
    <row r="446" spans="1:3" ht="13" x14ac:dyDescent="0.15">
      <c r="A446" s="10"/>
      <c r="B446" s="13"/>
      <c r="C446" s="13"/>
    </row>
    <row r="447" spans="1:3" ht="13" x14ac:dyDescent="0.15">
      <c r="A447" s="10"/>
      <c r="B447" s="13"/>
      <c r="C447" s="13"/>
    </row>
    <row r="448" spans="1:3" ht="13" x14ac:dyDescent="0.15">
      <c r="A448" s="10"/>
      <c r="B448" s="13"/>
      <c r="C448" s="13"/>
    </row>
    <row r="449" spans="1:3" ht="13" x14ac:dyDescent="0.15">
      <c r="A449" s="10"/>
      <c r="B449" s="13"/>
      <c r="C449" s="13"/>
    </row>
    <row r="450" spans="1:3" ht="13" x14ac:dyDescent="0.15">
      <c r="A450" s="10"/>
      <c r="B450" s="13"/>
      <c r="C450" s="13"/>
    </row>
    <row r="451" spans="1:3" ht="13" x14ac:dyDescent="0.15">
      <c r="A451" s="10"/>
      <c r="B451" s="13"/>
      <c r="C451" s="13"/>
    </row>
    <row r="452" spans="1:3" ht="13" x14ac:dyDescent="0.15">
      <c r="A452" s="10"/>
      <c r="B452" s="13"/>
      <c r="C452" s="13"/>
    </row>
    <row r="453" spans="1:3" ht="13" x14ac:dyDescent="0.15">
      <c r="A453" s="10"/>
      <c r="B453" s="13"/>
      <c r="C453" s="13"/>
    </row>
    <row r="454" spans="1:3" ht="13" x14ac:dyDescent="0.15">
      <c r="A454" s="10"/>
      <c r="B454" s="13"/>
      <c r="C454" s="13"/>
    </row>
    <row r="455" spans="1:3" ht="13" x14ac:dyDescent="0.15">
      <c r="A455" s="10"/>
      <c r="B455" s="13"/>
      <c r="C455" s="13"/>
    </row>
    <row r="456" spans="1:3" ht="13" x14ac:dyDescent="0.15">
      <c r="A456" s="10"/>
      <c r="B456" s="13"/>
      <c r="C456" s="13"/>
    </row>
    <row r="457" spans="1:3" ht="13" x14ac:dyDescent="0.15">
      <c r="A457" s="10"/>
      <c r="B457" s="13"/>
      <c r="C457" s="13"/>
    </row>
    <row r="458" spans="1:3" ht="13" x14ac:dyDescent="0.15">
      <c r="A458" s="10"/>
      <c r="B458" s="13"/>
      <c r="C458" s="13"/>
    </row>
    <row r="459" spans="1:3" ht="13" x14ac:dyDescent="0.15">
      <c r="A459" s="10"/>
      <c r="B459" s="13"/>
      <c r="C459" s="13"/>
    </row>
    <row r="460" spans="1:3" ht="13" x14ac:dyDescent="0.15">
      <c r="A460" s="10"/>
      <c r="B460" s="13"/>
      <c r="C460" s="13"/>
    </row>
    <row r="461" spans="1:3" ht="13" x14ac:dyDescent="0.15">
      <c r="A461" s="10"/>
      <c r="B461" s="13"/>
      <c r="C461" s="13"/>
    </row>
    <row r="462" spans="1:3" ht="13" x14ac:dyDescent="0.15">
      <c r="A462" s="10"/>
      <c r="B462" s="13"/>
      <c r="C462" s="13"/>
    </row>
    <row r="463" spans="1:3" ht="13" x14ac:dyDescent="0.15">
      <c r="A463" s="10"/>
      <c r="B463" s="13"/>
      <c r="C463" s="13"/>
    </row>
    <row r="464" spans="1:3" ht="13" x14ac:dyDescent="0.15">
      <c r="A464" s="10"/>
      <c r="B464" s="13"/>
      <c r="C464" s="13"/>
    </row>
    <row r="465" spans="1:3" ht="13" x14ac:dyDescent="0.15">
      <c r="A465" s="10"/>
      <c r="B465" s="13"/>
      <c r="C465" s="13"/>
    </row>
    <row r="466" spans="1:3" ht="13" x14ac:dyDescent="0.15">
      <c r="A466" s="10"/>
      <c r="B466" s="13"/>
      <c r="C466" s="13"/>
    </row>
    <row r="467" spans="1:3" ht="13" x14ac:dyDescent="0.15">
      <c r="A467" s="10"/>
      <c r="B467" s="13"/>
      <c r="C467" s="13"/>
    </row>
    <row r="468" spans="1:3" ht="13" x14ac:dyDescent="0.15">
      <c r="A468" s="10"/>
      <c r="B468" s="13"/>
      <c r="C468" s="13"/>
    </row>
    <row r="469" spans="1:3" ht="13" x14ac:dyDescent="0.15">
      <c r="A469" s="10"/>
      <c r="B469" s="13"/>
      <c r="C469" s="13"/>
    </row>
    <row r="470" spans="1:3" ht="13" x14ac:dyDescent="0.15">
      <c r="A470" s="10"/>
      <c r="B470" s="13"/>
      <c r="C470" s="13"/>
    </row>
    <row r="471" spans="1:3" ht="13" x14ac:dyDescent="0.15">
      <c r="A471" s="10"/>
      <c r="B471" s="13"/>
      <c r="C471" s="13"/>
    </row>
    <row r="472" spans="1:3" ht="13" x14ac:dyDescent="0.15">
      <c r="A472" s="10"/>
      <c r="B472" s="13"/>
      <c r="C472" s="13"/>
    </row>
    <row r="473" spans="1:3" ht="13" x14ac:dyDescent="0.15">
      <c r="A473" s="10"/>
      <c r="B473" s="13"/>
      <c r="C473" s="13"/>
    </row>
    <row r="474" spans="1:3" ht="13" x14ac:dyDescent="0.15">
      <c r="A474" s="10"/>
      <c r="B474" s="13"/>
      <c r="C474" s="13"/>
    </row>
    <row r="475" spans="1:3" ht="13" x14ac:dyDescent="0.15">
      <c r="A475" s="10"/>
      <c r="B475" s="13"/>
      <c r="C475" s="13"/>
    </row>
    <row r="476" spans="1:3" ht="13" x14ac:dyDescent="0.15">
      <c r="A476" s="10"/>
      <c r="B476" s="13"/>
      <c r="C476" s="13"/>
    </row>
    <row r="477" spans="1:3" ht="13" x14ac:dyDescent="0.15">
      <c r="A477" s="10"/>
      <c r="B477" s="13"/>
      <c r="C477" s="13"/>
    </row>
    <row r="478" spans="1:3" ht="13" x14ac:dyDescent="0.15">
      <c r="A478" s="10"/>
      <c r="B478" s="13"/>
      <c r="C478" s="13"/>
    </row>
    <row r="479" spans="1:3" ht="13" x14ac:dyDescent="0.15">
      <c r="A479" s="10"/>
      <c r="B479" s="13"/>
      <c r="C479" s="13"/>
    </row>
    <row r="480" spans="1:3" ht="13" x14ac:dyDescent="0.15">
      <c r="A480" s="10"/>
      <c r="B480" s="13"/>
      <c r="C480" s="13"/>
    </row>
    <row r="481" spans="1:3" ht="13" x14ac:dyDescent="0.15">
      <c r="A481" s="10"/>
      <c r="B481" s="13"/>
      <c r="C481" s="13"/>
    </row>
    <row r="482" spans="1:3" ht="13" x14ac:dyDescent="0.15">
      <c r="A482" s="10"/>
      <c r="B482" s="13"/>
      <c r="C482" s="13"/>
    </row>
    <row r="483" spans="1:3" ht="13" x14ac:dyDescent="0.15">
      <c r="A483" s="10"/>
      <c r="B483" s="13"/>
      <c r="C483" s="13"/>
    </row>
    <row r="484" spans="1:3" ht="13" x14ac:dyDescent="0.15">
      <c r="A484" s="10"/>
      <c r="B484" s="13"/>
      <c r="C484" s="13"/>
    </row>
    <row r="485" spans="1:3" ht="13" x14ac:dyDescent="0.15">
      <c r="A485" s="10"/>
      <c r="B485" s="13"/>
      <c r="C485" s="13"/>
    </row>
    <row r="486" spans="1:3" ht="13" x14ac:dyDescent="0.15">
      <c r="A486" s="10"/>
      <c r="B486" s="13"/>
      <c r="C486" s="13"/>
    </row>
    <row r="487" spans="1:3" ht="13" x14ac:dyDescent="0.15">
      <c r="A487" s="10"/>
      <c r="B487" s="13"/>
      <c r="C487" s="13"/>
    </row>
    <row r="488" spans="1:3" ht="13" x14ac:dyDescent="0.15">
      <c r="A488" s="10"/>
      <c r="B488" s="13"/>
      <c r="C488" s="13"/>
    </row>
    <row r="489" spans="1:3" ht="13" x14ac:dyDescent="0.15">
      <c r="A489" s="10"/>
      <c r="B489" s="13"/>
      <c r="C489" s="13"/>
    </row>
    <row r="490" spans="1:3" ht="13" x14ac:dyDescent="0.15">
      <c r="A490" s="10"/>
      <c r="B490" s="13"/>
      <c r="C490" s="13"/>
    </row>
    <row r="491" spans="1:3" ht="13" x14ac:dyDescent="0.15">
      <c r="A491" s="10"/>
      <c r="B491" s="13"/>
      <c r="C491" s="13"/>
    </row>
    <row r="492" spans="1:3" ht="13" x14ac:dyDescent="0.15">
      <c r="A492" s="10"/>
      <c r="B492" s="13"/>
      <c r="C492" s="13"/>
    </row>
    <row r="493" spans="1:3" ht="13" x14ac:dyDescent="0.15">
      <c r="A493" s="10"/>
      <c r="B493" s="13"/>
      <c r="C493" s="13"/>
    </row>
    <row r="494" spans="1:3" ht="13" x14ac:dyDescent="0.15">
      <c r="A494" s="10"/>
      <c r="B494" s="13"/>
      <c r="C494" s="13"/>
    </row>
    <row r="495" spans="1:3" ht="13" x14ac:dyDescent="0.15">
      <c r="A495" s="10"/>
      <c r="B495" s="13"/>
      <c r="C495" s="13"/>
    </row>
    <row r="496" spans="1:3" ht="13" x14ac:dyDescent="0.15">
      <c r="A496" s="10"/>
      <c r="B496" s="13"/>
      <c r="C496" s="13"/>
    </row>
    <row r="497" spans="1:3" ht="13" x14ac:dyDescent="0.15">
      <c r="A497" s="10"/>
      <c r="B497" s="13"/>
      <c r="C497" s="13"/>
    </row>
    <row r="498" spans="1:3" ht="13" x14ac:dyDescent="0.15">
      <c r="A498" s="10"/>
      <c r="B498" s="13"/>
      <c r="C498" s="13"/>
    </row>
    <row r="499" spans="1:3" ht="13" x14ac:dyDescent="0.15">
      <c r="A499" s="10"/>
      <c r="B499" s="13"/>
      <c r="C499" s="13"/>
    </row>
    <row r="500" spans="1:3" ht="13" x14ac:dyDescent="0.15">
      <c r="A500" s="10"/>
      <c r="B500" s="13"/>
      <c r="C500" s="13"/>
    </row>
    <row r="501" spans="1:3" ht="13" x14ac:dyDescent="0.15">
      <c r="A501" s="10"/>
      <c r="B501" s="13"/>
      <c r="C501" s="13"/>
    </row>
    <row r="502" spans="1:3" ht="13" x14ac:dyDescent="0.15">
      <c r="A502" s="10"/>
      <c r="B502" s="13"/>
      <c r="C502" s="13"/>
    </row>
    <row r="503" spans="1:3" ht="13" x14ac:dyDescent="0.15">
      <c r="A503" s="10"/>
      <c r="B503" s="13"/>
      <c r="C503" s="13"/>
    </row>
    <row r="504" spans="1:3" ht="13" x14ac:dyDescent="0.15">
      <c r="A504" s="10"/>
      <c r="B504" s="13"/>
      <c r="C504" s="13"/>
    </row>
    <row r="505" spans="1:3" ht="13" x14ac:dyDescent="0.15">
      <c r="A505" s="10"/>
      <c r="B505" s="13"/>
      <c r="C505" s="13"/>
    </row>
    <row r="506" spans="1:3" ht="13" x14ac:dyDescent="0.15">
      <c r="A506" s="10"/>
      <c r="B506" s="13"/>
      <c r="C506" s="13"/>
    </row>
    <row r="507" spans="1:3" ht="13" x14ac:dyDescent="0.15">
      <c r="A507" s="10"/>
      <c r="B507" s="13"/>
      <c r="C507" s="13"/>
    </row>
    <row r="508" spans="1:3" ht="13" x14ac:dyDescent="0.15">
      <c r="A508" s="10"/>
      <c r="B508" s="13"/>
      <c r="C508" s="13"/>
    </row>
    <row r="509" spans="1:3" ht="13" x14ac:dyDescent="0.15">
      <c r="A509" s="10"/>
      <c r="B509" s="13"/>
      <c r="C509" s="13"/>
    </row>
    <row r="510" spans="1:3" ht="13" x14ac:dyDescent="0.15">
      <c r="A510" s="10"/>
      <c r="B510" s="13"/>
      <c r="C510" s="13"/>
    </row>
    <row r="511" spans="1:3" ht="13" x14ac:dyDescent="0.15">
      <c r="A511" s="10"/>
      <c r="B511" s="13"/>
      <c r="C511" s="13"/>
    </row>
    <row r="512" spans="1:3" ht="13" x14ac:dyDescent="0.15">
      <c r="A512" s="10"/>
      <c r="B512" s="13"/>
      <c r="C512" s="13"/>
    </row>
    <row r="513" spans="1:3" ht="13" x14ac:dyDescent="0.15">
      <c r="A513" s="10"/>
      <c r="B513" s="13"/>
      <c r="C513" s="13"/>
    </row>
    <row r="514" spans="1:3" ht="13" x14ac:dyDescent="0.15">
      <c r="A514" s="10"/>
      <c r="B514" s="13"/>
      <c r="C514" s="13"/>
    </row>
    <row r="515" spans="1:3" ht="13" x14ac:dyDescent="0.15">
      <c r="A515" s="10"/>
      <c r="B515" s="13"/>
      <c r="C515" s="13"/>
    </row>
    <row r="516" spans="1:3" ht="13" x14ac:dyDescent="0.15">
      <c r="A516" s="10"/>
      <c r="B516" s="13"/>
      <c r="C516" s="13"/>
    </row>
    <row r="517" spans="1:3" ht="13" x14ac:dyDescent="0.15">
      <c r="A517" s="10"/>
      <c r="B517" s="13"/>
      <c r="C517" s="13"/>
    </row>
    <row r="518" spans="1:3" ht="13" x14ac:dyDescent="0.15">
      <c r="A518" s="10"/>
      <c r="B518" s="13"/>
      <c r="C518" s="13"/>
    </row>
    <row r="519" spans="1:3" ht="13" x14ac:dyDescent="0.15">
      <c r="A519" s="10"/>
      <c r="B519" s="13"/>
      <c r="C519" s="13"/>
    </row>
    <row r="520" spans="1:3" ht="13" x14ac:dyDescent="0.15">
      <c r="A520" s="10"/>
      <c r="B520" s="13"/>
      <c r="C520" s="13"/>
    </row>
    <row r="521" spans="1:3" ht="13" x14ac:dyDescent="0.15">
      <c r="A521" s="10"/>
      <c r="B521" s="13"/>
      <c r="C521" s="13"/>
    </row>
    <row r="522" spans="1:3" ht="13" x14ac:dyDescent="0.15">
      <c r="A522" s="10"/>
      <c r="B522" s="13"/>
      <c r="C522" s="13"/>
    </row>
    <row r="523" spans="1:3" ht="13" x14ac:dyDescent="0.15">
      <c r="A523" s="10"/>
      <c r="B523" s="13"/>
      <c r="C523" s="13"/>
    </row>
    <row r="524" spans="1:3" ht="13" x14ac:dyDescent="0.15">
      <c r="A524" s="10"/>
      <c r="B524" s="13"/>
      <c r="C524" s="13"/>
    </row>
    <row r="525" spans="1:3" ht="13" x14ac:dyDescent="0.15">
      <c r="A525" s="10"/>
      <c r="B525" s="13"/>
      <c r="C525" s="13"/>
    </row>
    <row r="526" spans="1:3" ht="13" x14ac:dyDescent="0.15">
      <c r="A526" s="10"/>
      <c r="B526" s="13"/>
      <c r="C526" s="13"/>
    </row>
    <row r="527" spans="1:3" ht="13" x14ac:dyDescent="0.15">
      <c r="A527" s="10"/>
      <c r="B527" s="13"/>
      <c r="C527" s="13"/>
    </row>
    <row r="528" spans="1:3" ht="13" x14ac:dyDescent="0.15">
      <c r="A528" s="10"/>
      <c r="B528" s="13"/>
      <c r="C528" s="13"/>
    </row>
    <row r="529" spans="1:3" ht="13" x14ac:dyDescent="0.15">
      <c r="A529" s="10"/>
      <c r="B529" s="13"/>
      <c r="C529" s="13"/>
    </row>
    <row r="530" spans="1:3" ht="13" x14ac:dyDescent="0.15">
      <c r="A530" s="10"/>
      <c r="B530" s="13"/>
      <c r="C530" s="13"/>
    </row>
    <row r="531" spans="1:3" ht="13" x14ac:dyDescent="0.15">
      <c r="A531" s="10"/>
      <c r="B531" s="13"/>
      <c r="C531" s="13"/>
    </row>
    <row r="532" spans="1:3" ht="13" x14ac:dyDescent="0.15">
      <c r="A532" s="10"/>
      <c r="B532" s="13"/>
      <c r="C532" s="13"/>
    </row>
    <row r="533" spans="1:3" ht="13" x14ac:dyDescent="0.15">
      <c r="A533" s="10"/>
      <c r="B533" s="13"/>
      <c r="C533" s="13"/>
    </row>
    <row r="534" spans="1:3" ht="13" x14ac:dyDescent="0.15">
      <c r="A534" s="10"/>
      <c r="B534" s="13"/>
      <c r="C534" s="13"/>
    </row>
    <row r="535" spans="1:3" ht="13" x14ac:dyDescent="0.15">
      <c r="A535" s="10"/>
      <c r="B535" s="13"/>
      <c r="C535" s="13"/>
    </row>
    <row r="536" spans="1:3" ht="13" x14ac:dyDescent="0.15">
      <c r="A536" s="10"/>
      <c r="B536" s="13"/>
      <c r="C536" s="13"/>
    </row>
    <row r="537" spans="1:3" ht="13" x14ac:dyDescent="0.15">
      <c r="A537" s="10"/>
      <c r="B537" s="13"/>
      <c r="C537" s="13"/>
    </row>
    <row r="538" spans="1:3" ht="13" x14ac:dyDescent="0.15">
      <c r="A538" s="10"/>
      <c r="B538" s="13"/>
      <c r="C538" s="13"/>
    </row>
    <row r="539" spans="1:3" ht="13" x14ac:dyDescent="0.15">
      <c r="A539" s="10"/>
      <c r="B539" s="13"/>
      <c r="C539" s="13"/>
    </row>
    <row r="540" spans="1:3" ht="13" x14ac:dyDescent="0.15">
      <c r="A540" s="10"/>
      <c r="B540" s="13"/>
      <c r="C540" s="13"/>
    </row>
    <row r="541" spans="1:3" ht="13" x14ac:dyDescent="0.15">
      <c r="A541" s="10"/>
      <c r="B541" s="13"/>
      <c r="C541" s="13"/>
    </row>
    <row r="542" spans="1:3" ht="13" x14ac:dyDescent="0.15">
      <c r="A542" s="10"/>
      <c r="B542" s="13"/>
      <c r="C542" s="13"/>
    </row>
    <row r="543" spans="1:3" ht="13" x14ac:dyDescent="0.15">
      <c r="A543" s="10"/>
      <c r="B543" s="13"/>
      <c r="C543" s="13"/>
    </row>
    <row r="544" spans="1:3" ht="13" x14ac:dyDescent="0.15">
      <c r="A544" s="10"/>
      <c r="B544" s="13"/>
      <c r="C544" s="13"/>
    </row>
    <row r="545" spans="1:3" ht="13" x14ac:dyDescent="0.15">
      <c r="A545" s="10"/>
      <c r="B545" s="13"/>
      <c r="C545" s="13"/>
    </row>
    <row r="546" spans="1:3" ht="13" x14ac:dyDescent="0.15">
      <c r="A546" s="10"/>
      <c r="B546" s="13"/>
      <c r="C546" s="13"/>
    </row>
    <row r="547" spans="1:3" ht="13" x14ac:dyDescent="0.15">
      <c r="A547" s="10"/>
      <c r="B547" s="13"/>
      <c r="C547" s="13"/>
    </row>
    <row r="548" spans="1:3" ht="13" x14ac:dyDescent="0.15">
      <c r="A548" s="10"/>
      <c r="B548" s="13"/>
      <c r="C548" s="13"/>
    </row>
    <row r="549" spans="1:3" ht="13" x14ac:dyDescent="0.15">
      <c r="A549" s="10"/>
      <c r="B549" s="13"/>
      <c r="C549" s="13"/>
    </row>
    <row r="550" spans="1:3" ht="13" x14ac:dyDescent="0.15">
      <c r="A550" s="10"/>
      <c r="B550" s="13"/>
      <c r="C550" s="13"/>
    </row>
    <row r="551" spans="1:3" ht="13" x14ac:dyDescent="0.15">
      <c r="A551" s="10"/>
      <c r="B551" s="13"/>
      <c r="C551" s="13"/>
    </row>
    <row r="552" spans="1:3" ht="13" x14ac:dyDescent="0.15">
      <c r="A552" s="10"/>
      <c r="B552" s="13"/>
      <c r="C552" s="13"/>
    </row>
    <row r="553" spans="1:3" ht="13" x14ac:dyDescent="0.15">
      <c r="A553" s="10"/>
      <c r="B553" s="13"/>
      <c r="C553" s="13"/>
    </row>
    <row r="554" spans="1:3" ht="13" x14ac:dyDescent="0.15">
      <c r="A554" s="10"/>
      <c r="B554" s="13"/>
      <c r="C554" s="13"/>
    </row>
    <row r="555" spans="1:3" ht="13" x14ac:dyDescent="0.15">
      <c r="A555" s="10"/>
      <c r="B555" s="13"/>
      <c r="C555" s="13"/>
    </row>
    <row r="556" spans="1:3" ht="13" x14ac:dyDescent="0.15">
      <c r="A556" s="10"/>
      <c r="B556" s="13"/>
      <c r="C556" s="13"/>
    </row>
    <row r="557" spans="1:3" ht="13" x14ac:dyDescent="0.15">
      <c r="A557" s="10"/>
      <c r="B557" s="13"/>
      <c r="C557" s="13"/>
    </row>
    <row r="558" spans="1:3" ht="13" x14ac:dyDescent="0.15">
      <c r="A558" s="10"/>
      <c r="B558" s="13"/>
      <c r="C558" s="13"/>
    </row>
    <row r="559" spans="1:3" ht="13" x14ac:dyDescent="0.15">
      <c r="A559" s="10"/>
      <c r="B559" s="13"/>
      <c r="C559" s="13"/>
    </row>
    <row r="560" spans="1:3" ht="13" x14ac:dyDescent="0.15">
      <c r="A560" s="10"/>
      <c r="B560" s="13"/>
      <c r="C560" s="13"/>
    </row>
    <row r="561" spans="1:3" ht="13" x14ac:dyDescent="0.15">
      <c r="A561" s="10"/>
      <c r="B561" s="13"/>
      <c r="C561" s="13"/>
    </row>
    <row r="562" spans="1:3" ht="13" x14ac:dyDescent="0.15">
      <c r="A562" s="10"/>
      <c r="B562" s="13"/>
      <c r="C562" s="13"/>
    </row>
    <row r="563" spans="1:3" ht="13" x14ac:dyDescent="0.15">
      <c r="A563" s="10"/>
      <c r="B563" s="13"/>
      <c r="C563" s="13"/>
    </row>
    <row r="564" spans="1:3" ht="13" x14ac:dyDescent="0.15">
      <c r="A564" s="10"/>
      <c r="B564" s="13"/>
      <c r="C564" s="13"/>
    </row>
    <row r="565" spans="1:3" ht="13" x14ac:dyDescent="0.15">
      <c r="A565" s="10"/>
      <c r="B565" s="13"/>
      <c r="C565" s="13"/>
    </row>
    <row r="566" spans="1:3" ht="13" x14ac:dyDescent="0.15">
      <c r="A566" s="10"/>
      <c r="B566" s="13"/>
      <c r="C566" s="13"/>
    </row>
    <row r="567" spans="1:3" ht="13" x14ac:dyDescent="0.15">
      <c r="A567" s="10"/>
      <c r="B567" s="13"/>
      <c r="C567" s="13"/>
    </row>
    <row r="568" spans="1:3" ht="13" x14ac:dyDescent="0.15">
      <c r="A568" s="10"/>
      <c r="B568" s="13"/>
      <c r="C568" s="13"/>
    </row>
    <row r="569" spans="1:3" ht="13" x14ac:dyDescent="0.15">
      <c r="A569" s="10"/>
      <c r="B569" s="13"/>
      <c r="C569" s="13"/>
    </row>
    <row r="570" spans="1:3" ht="13" x14ac:dyDescent="0.15">
      <c r="A570" s="10"/>
      <c r="B570" s="13"/>
      <c r="C570" s="13"/>
    </row>
    <row r="571" spans="1:3" ht="13" x14ac:dyDescent="0.15">
      <c r="A571" s="10"/>
      <c r="B571" s="13"/>
      <c r="C571" s="13"/>
    </row>
    <row r="572" spans="1:3" ht="13" x14ac:dyDescent="0.15">
      <c r="A572" s="10"/>
      <c r="B572" s="13"/>
      <c r="C572" s="13"/>
    </row>
    <row r="573" spans="1:3" ht="13" x14ac:dyDescent="0.15">
      <c r="A573" s="10"/>
      <c r="B573" s="13"/>
      <c r="C573" s="13"/>
    </row>
    <row r="574" spans="1:3" ht="13" x14ac:dyDescent="0.15">
      <c r="A574" s="10"/>
      <c r="B574" s="13"/>
      <c r="C574" s="13"/>
    </row>
    <row r="575" spans="1:3" ht="13" x14ac:dyDescent="0.15">
      <c r="A575" s="10"/>
      <c r="B575" s="13"/>
      <c r="C575" s="13"/>
    </row>
    <row r="576" spans="1:3" ht="13" x14ac:dyDescent="0.15">
      <c r="A576" s="10"/>
      <c r="B576" s="13"/>
      <c r="C576" s="13"/>
    </row>
    <row r="577" spans="1:3" ht="13" x14ac:dyDescent="0.15">
      <c r="A577" s="10"/>
      <c r="B577" s="13"/>
      <c r="C577" s="13"/>
    </row>
    <row r="578" spans="1:3" ht="13" x14ac:dyDescent="0.15">
      <c r="A578" s="10"/>
      <c r="B578" s="13"/>
      <c r="C578" s="13"/>
    </row>
    <row r="579" spans="1:3" ht="13" x14ac:dyDescent="0.15">
      <c r="A579" s="10"/>
      <c r="B579" s="13"/>
      <c r="C579" s="13"/>
    </row>
    <row r="580" spans="1:3" ht="13" x14ac:dyDescent="0.15">
      <c r="A580" s="10"/>
      <c r="B580" s="13"/>
      <c r="C580" s="13"/>
    </row>
    <row r="581" spans="1:3" ht="13" x14ac:dyDescent="0.15">
      <c r="A581" s="10"/>
      <c r="B581" s="13"/>
      <c r="C581" s="13"/>
    </row>
    <row r="582" spans="1:3" ht="13" x14ac:dyDescent="0.15">
      <c r="A582" s="10"/>
      <c r="B582" s="13"/>
      <c r="C582" s="13"/>
    </row>
    <row r="583" spans="1:3" ht="13" x14ac:dyDescent="0.15">
      <c r="A583" s="10"/>
      <c r="B583" s="13"/>
      <c r="C583" s="13"/>
    </row>
    <row r="584" spans="1:3" ht="13" x14ac:dyDescent="0.15">
      <c r="A584" s="10"/>
      <c r="B584" s="13"/>
      <c r="C584" s="13"/>
    </row>
    <row r="585" spans="1:3" ht="13" x14ac:dyDescent="0.15">
      <c r="A585" s="10"/>
      <c r="B585" s="13"/>
      <c r="C585" s="13"/>
    </row>
    <row r="586" spans="1:3" ht="13" x14ac:dyDescent="0.15">
      <c r="A586" s="10"/>
      <c r="B586" s="13"/>
      <c r="C586" s="13"/>
    </row>
    <row r="587" spans="1:3" ht="13" x14ac:dyDescent="0.15">
      <c r="A587" s="10"/>
      <c r="B587" s="13"/>
      <c r="C587" s="13"/>
    </row>
    <row r="588" spans="1:3" ht="13" x14ac:dyDescent="0.15">
      <c r="A588" s="10"/>
      <c r="B588" s="13"/>
      <c r="C588" s="13"/>
    </row>
    <row r="589" spans="1:3" ht="13" x14ac:dyDescent="0.15">
      <c r="A589" s="10"/>
      <c r="B589" s="13"/>
      <c r="C589" s="13"/>
    </row>
    <row r="590" spans="1:3" ht="13" x14ac:dyDescent="0.15">
      <c r="A590" s="10"/>
      <c r="B590" s="13"/>
      <c r="C590" s="13"/>
    </row>
    <row r="591" spans="1:3" ht="13" x14ac:dyDescent="0.15">
      <c r="A591" s="10"/>
      <c r="B591" s="13"/>
      <c r="C591" s="13"/>
    </row>
    <row r="592" spans="1:3" ht="13" x14ac:dyDescent="0.15">
      <c r="A592" s="10"/>
      <c r="B592" s="13"/>
      <c r="C592" s="13"/>
    </row>
    <row r="593" spans="1:3" ht="13" x14ac:dyDescent="0.15">
      <c r="A593" s="10"/>
      <c r="B593" s="13"/>
      <c r="C593" s="13"/>
    </row>
    <row r="594" spans="1:3" ht="13" x14ac:dyDescent="0.15">
      <c r="A594" s="10"/>
      <c r="B594" s="13"/>
      <c r="C594" s="13"/>
    </row>
    <row r="595" spans="1:3" ht="13" x14ac:dyDescent="0.15">
      <c r="A595" s="10"/>
      <c r="B595" s="13"/>
      <c r="C595" s="13"/>
    </row>
    <row r="596" spans="1:3" ht="13" x14ac:dyDescent="0.15">
      <c r="A596" s="10"/>
      <c r="B596" s="13"/>
      <c r="C596" s="13"/>
    </row>
    <row r="597" spans="1:3" ht="13" x14ac:dyDescent="0.15">
      <c r="A597" s="10"/>
      <c r="B597" s="13"/>
      <c r="C597" s="13"/>
    </row>
    <row r="598" spans="1:3" ht="13" x14ac:dyDescent="0.15">
      <c r="A598" s="10"/>
      <c r="B598" s="13"/>
      <c r="C598" s="13"/>
    </row>
    <row r="599" spans="1:3" ht="13" x14ac:dyDescent="0.15">
      <c r="A599" s="10"/>
      <c r="B599" s="13"/>
      <c r="C599" s="13"/>
    </row>
    <row r="600" spans="1:3" ht="13" x14ac:dyDescent="0.15">
      <c r="A600" s="10"/>
      <c r="B600" s="13"/>
      <c r="C600" s="13"/>
    </row>
    <row r="601" spans="1:3" ht="13" x14ac:dyDescent="0.15">
      <c r="A601" s="10"/>
      <c r="B601" s="13"/>
      <c r="C601" s="13"/>
    </row>
    <row r="602" spans="1:3" ht="13" x14ac:dyDescent="0.15">
      <c r="A602" s="10"/>
      <c r="B602" s="13"/>
      <c r="C602" s="13"/>
    </row>
    <row r="603" spans="1:3" ht="13" x14ac:dyDescent="0.15">
      <c r="A603" s="10"/>
      <c r="B603" s="13"/>
      <c r="C603" s="13"/>
    </row>
    <row r="604" spans="1:3" ht="13" x14ac:dyDescent="0.15">
      <c r="A604" s="10"/>
      <c r="B604" s="13"/>
      <c r="C604" s="13"/>
    </row>
    <row r="605" spans="1:3" ht="13" x14ac:dyDescent="0.15">
      <c r="A605" s="10"/>
      <c r="B605" s="13"/>
      <c r="C605" s="13"/>
    </row>
    <row r="606" spans="1:3" ht="13" x14ac:dyDescent="0.15">
      <c r="A606" s="10"/>
      <c r="B606" s="13"/>
      <c r="C606" s="13"/>
    </row>
    <row r="607" spans="1:3" ht="13" x14ac:dyDescent="0.15">
      <c r="A607" s="10"/>
      <c r="B607" s="13"/>
      <c r="C607" s="13"/>
    </row>
    <row r="608" spans="1:3" ht="13" x14ac:dyDescent="0.15">
      <c r="A608" s="10"/>
      <c r="B608" s="13"/>
      <c r="C608" s="13"/>
    </row>
    <row r="609" spans="1:3" ht="13" x14ac:dyDescent="0.15">
      <c r="A609" s="10"/>
      <c r="B609" s="13"/>
      <c r="C609" s="13"/>
    </row>
    <row r="610" spans="1:3" ht="13" x14ac:dyDescent="0.15">
      <c r="A610" s="10"/>
      <c r="B610" s="13"/>
      <c r="C610" s="13"/>
    </row>
    <row r="611" spans="1:3" ht="13" x14ac:dyDescent="0.15">
      <c r="A611" s="10"/>
      <c r="B611" s="13"/>
      <c r="C611" s="13"/>
    </row>
    <row r="612" spans="1:3" ht="13" x14ac:dyDescent="0.15">
      <c r="A612" s="10"/>
      <c r="B612" s="13"/>
      <c r="C612" s="13"/>
    </row>
    <row r="613" spans="1:3" ht="13" x14ac:dyDescent="0.15">
      <c r="A613" s="10"/>
      <c r="B613" s="13"/>
      <c r="C613" s="13"/>
    </row>
    <row r="614" spans="1:3" ht="13" x14ac:dyDescent="0.15">
      <c r="A614" s="10"/>
      <c r="B614" s="13"/>
      <c r="C614" s="13"/>
    </row>
    <row r="615" spans="1:3" ht="13" x14ac:dyDescent="0.15">
      <c r="A615" s="10"/>
      <c r="B615" s="13"/>
      <c r="C615" s="13"/>
    </row>
    <row r="616" spans="1:3" ht="13" x14ac:dyDescent="0.15">
      <c r="A616" s="10"/>
      <c r="B616" s="13"/>
      <c r="C616" s="13"/>
    </row>
    <row r="617" spans="1:3" ht="13" x14ac:dyDescent="0.15">
      <c r="A617" s="10"/>
      <c r="B617" s="13"/>
      <c r="C617" s="13"/>
    </row>
    <row r="618" spans="1:3" ht="13" x14ac:dyDescent="0.15">
      <c r="A618" s="10"/>
      <c r="B618" s="13"/>
      <c r="C618" s="13"/>
    </row>
    <row r="619" spans="1:3" ht="13" x14ac:dyDescent="0.15">
      <c r="A619" s="10"/>
      <c r="B619" s="13"/>
      <c r="C619" s="13"/>
    </row>
    <row r="620" spans="1:3" ht="13" x14ac:dyDescent="0.15">
      <c r="A620" s="10"/>
      <c r="B620" s="13"/>
      <c r="C620" s="13"/>
    </row>
    <row r="621" spans="1:3" ht="13" x14ac:dyDescent="0.15">
      <c r="A621" s="10"/>
      <c r="B621" s="13"/>
      <c r="C621" s="13"/>
    </row>
    <row r="622" spans="1:3" ht="13" x14ac:dyDescent="0.15">
      <c r="A622" s="10"/>
      <c r="B622" s="13"/>
      <c r="C622" s="13"/>
    </row>
    <row r="623" spans="1:3" ht="13" x14ac:dyDescent="0.15">
      <c r="A623" s="10"/>
      <c r="B623" s="13"/>
      <c r="C623" s="13"/>
    </row>
    <row r="624" spans="1:3" ht="13" x14ac:dyDescent="0.15">
      <c r="A624" s="10"/>
      <c r="B624" s="13"/>
      <c r="C624" s="13"/>
    </row>
    <row r="625" spans="1:3" ht="13" x14ac:dyDescent="0.15">
      <c r="A625" s="10"/>
      <c r="B625" s="13"/>
      <c r="C625" s="13"/>
    </row>
    <row r="626" spans="1:3" ht="13" x14ac:dyDescent="0.15">
      <c r="A626" s="10"/>
      <c r="B626" s="13"/>
      <c r="C626" s="13"/>
    </row>
    <row r="627" spans="1:3" ht="13" x14ac:dyDescent="0.15">
      <c r="A627" s="10"/>
      <c r="B627" s="13"/>
      <c r="C627" s="13"/>
    </row>
    <row r="628" spans="1:3" ht="13" x14ac:dyDescent="0.15">
      <c r="A628" s="10"/>
      <c r="B628" s="13"/>
      <c r="C628" s="13"/>
    </row>
    <row r="629" spans="1:3" ht="13" x14ac:dyDescent="0.15">
      <c r="A629" s="10"/>
      <c r="B629" s="13"/>
      <c r="C629" s="13"/>
    </row>
    <row r="630" spans="1:3" ht="13" x14ac:dyDescent="0.15">
      <c r="A630" s="10"/>
      <c r="B630" s="13"/>
      <c r="C630" s="13"/>
    </row>
    <row r="631" spans="1:3" ht="13" x14ac:dyDescent="0.15">
      <c r="A631" s="10"/>
      <c r="B631" s="13"/>
      <c r="C631" s="13"/>
    </row>
    <row r="632" spans="1:3" ht="13" x14ac:dyDescent="0.15">
      <c r="A632" s="10"/>
      <c r="B632" s="13"/>
      <c r="C632" s="13"/>
    </row>
    <row r="633" spans="1:3" ht="13" x14ac:dyDescent="0.15">
      <c r="A633" s="10"/>
      <c r="B633" s="13"/>
      <c r="C633" s="13"/>
    </row>
    <row r="634" spans="1:3" ht="13" x14ac:dyDescent="0.15">
      <c r="A634" s="10"/>
      <c r="B634" s="13"/>
      <c r="C634" s="13"/>
    </row>
    <row r="635" spans="1:3" ht="13" x14ac:dyDescent="0.15">
      <c r="A635" s="10"/>
      <c r="B635" s="13"/>
      <c r="C635" s="13"/>
    </row>
    <row r="636" spans="1:3" ht="13" x14ac:dyDescent="0.15">
      <c r="A636" s="10"/>
      <c r="B636" s="13"/>
      <c r="C636" s="13"/>
    </row>
    <row r="637" spans="1:3" ht="13" x14ac:dyDescent="0.15">
      <c r="A637" s="10"/>
      <c r="B637" s="13"/>
      <c r="C637" s="13"/>
    </row>
    <row r="638" spans="1:3" ht="13" x14ac:dyDescent="0.15">
      <c r="A638" s="10"/>
      <c r="B638" s="13"/>
      <c r="C638" s="13"/>
    </row>
    <row r="639" spans="1:3" ht="13" x14ac:dyDescent="0.15">
      <c r="A639" s="10"/>
      <c r="B639" s="13"/>
      <c r="C639" s="13"/>
    </row>
    <row r="640" spans="1:3" ht="13" x14ac:dyDescent="0.15">
      <c r="A640" s="10"/>
      <c r="B640" s="13"/>
      <c r="C640" s="13"/>
    </row>
    <row r="641" spans="1:3" ht="13" x14ac:dyDescent="0.15">
      <c r="A641" s="10"/>
      <c r="B641" s="13"/>
      <c r="C641" s="13"/>
    </row>
    <row r="642" spans="1:3" ht="13" x14ac:dyDescent="0.15">
      <c r="A642" s="10"/>
      <c r="B642" s="13"/>
      <c r="C642" s="13"/>
    </row>
    <row r="643" spans="1:3" ht="13" x14ac:dyDescent="0.15">
      <c r="A643" s="10"/>
      <c r="B643" s="13"/>
      <c r="C643" s="13"/>
    </row>
    <row r="644" spans="1:3" ht="13" x14ac:dyDescent="0.15">
      <c r="A644" s="10"/>
      <c r="B644" s="13"/>
      <c r="C644" s="13"/>
    </row>
    <row r="645" spans="1:3" ht="13" x14ac:dyDescent="0.15">
      <c r="A645" s="10"/>
      <c r="B645" s="13"/>
      <c r="C645" s="13"/>
    </row>
    <row r="646" spans="1:3" ht="13" x14ac:dyDescent="0.15">
      <c r="A646" s="10"/>
      <c r="B646" s="13"/>
      <c r="C646" s="13"/>
    </row>
    <row r="647" spans="1:3" ht="13" x14ac:dyDescent="0.15">
      <c r="A647" s="10"/>
      <c r="B647" s="13"/>
      <c r="C647" s="13"/>
    </row>
    <row r="648" spans="1:3" ht="13" x14ac:dyDescent="0.15">
      <c r="A648" s="10"/>
      <c r="B648" s="13"/>
      <c r="C648" s="13"/>
    </row>
    <row r="649" spans="1:3" ht="13" x14ac:dyDescent="0.15">
      <c r="A649" s="10"/>
      <c r="B649" s="13"/>
      <c r="C649" s="13"/>
    </row>
    <row r="650" spans="1:3" ht="13" x14ac:dyDescent="0.15">
      <c r="A650" s="10"/>
      <c r="B650" s="13"/>
      <c r="C650" s="13"/>
    </row>
    <row r="651" spans="1:3" ht="13" x14ac:dyDescent="0.15">
      <c r="A651" s="10"/>
      <c r="B651" s="13"/>
      <c r="C651" s="13"/>
    </row>
    <row r="652" spans="1:3" ht="13" x14ac:dyDescent="0.15">
      <c r="A652" s="10"/>
      <c r="B652" s="13"/>
      <c r="C652" s="13"/>
    </row>
    <row r="653" spans="1:3" ht="13" x14ac:dyDescent="0.15">
      <c r="A653" s="10"/>
      <c r="B653" s="13"/>
      <c r="C653" s="13"/>
    </row>
    <row r="654" spans="1:3" ht="13" x14ac:dyDescent="0.15">
      <c r="A654" s="10"/>
      <c r="B654" s="13"/>
      <c r="C654" s="13"/>
    </row>
    <row r="655" spans="1:3" ht="13" x14ac:dyDescent="0.15">
      <c r="A655" s="10"/>
      <c r="B655" s="13"/>
      <c r="C655" s="13"/>
    </row>
    <row r="656" spans="1:3" ht="13" x14ac:dyDescent="0.15">
      <c r="A656" s="10"/>
      <c r="B656" s="13"/>
      <c r="C656" s="13"/>
    </row>
    <row r="657" spans="1:3" ht="13" x14ac:dyDescent="0.15">
      <c r="A657" s="10"/>
      <c r="B657" s="13"/>
      <c r="C657" s="13"/>
    </row>
    <row r="658" spans="1:3" ht="13" x14ac:dyDescent="0.15">
      <c r="A658" s="10"/>
      <c r="B658" s="13"/>
      <c r="C658" s="13"/>
    </row>
    <row r="659" spans="1:3" ht="13" x14ac:dyDescent="0.15">
      <c r="A659" s="10"/>
      <c r="B659" s="13"/>
      <c r="C659" s="13"/>
    </row>
    <row r="660" spans="1:3" ht="13" x14ac:dyDescent="0.15">
      <c r="A660" s="10"/>
      <c r="B660" s="13"/>
      <c r="C660" s="13"/>
    </row>
    <row r="661" spans="1:3" ht="13" x14ac:dyDescent="0.15">
      <c r="A661" s="10"/>
      <c r="B661" s="13"/>
      <c r="C661" s="13"/>
    </row>
    <row r="662" spans="1:3" ht="13" x14ac:dyDescent="0.15">
      <c r="A662" s="10"/>
      <c r="B662" s="13"/>
      <c r="C662" s="13"/>
    </row>
    <row r="663" spans="1:3" ht="13" x14ac:dyDescent="0.15">
      <c r="A663" s="10"/>
      <c r="B663" s="13"/>
      <c r="C663" s="13"/>
    </row>
    <row r="664" spans="1:3" ht="13" x14ac:dyDescent="0.15">
      <c r="A664" s="10"/>
      <c r="B664" s="13"/>
      <c r="C664" s="13"/>
    </row>
    <row r="665" spans="1:3" ht="13" x14ac:dyDescent="0.15">
      <c r="A665" s="10"/>
      <c r="B665" s="13"/>
      <c r="C665" s="13"/>
    </row>
    <row r="666" spans="1:3" ht="13" x14ac:dyDescent="0.15">
      <c r="A666" s="10"/>
      <c r="B666" s="13"/>
      <c r="C666" s="13"/>
    </row>
    <row r="667" spans="1:3" ht="13" x14ac:dyDescent="0.15">
      <c r="A667" s="10"/>
      <c r="B667" s="13"/>
      <c r="C667" s="13"/>
    </row>
    <row r="668" spans="1:3" ht="13" x14ac:dyDescent="0.15">
      <c r="A668" s="10"/>
      <c r="B668" s="13"/>
      <c r="C668" s="13"/>
    </row>
    <row r="669" spans="1:3" ht="13" x14ac:dyDescent="0.15">
      <c r="A669" s="10"/>
      <c r="B669" s="13"/>
      <c r="C669" s="13"/>
    </row>
    <row r="670" spans="1:3" ht="13" x14ac:dyDescent="0.15">
      <c r="A670" s="10"/>
      <c r="B670" s="13"/>
      <c r="C670" s="13"/>
    </row>
    <row r="671" spans="1:3" ht="13" x14ac:dyDescent="0.15">
      <c r="A671" s="10"/>
      <c r="B671" s="13"/>
      <c r="C671" s="13"/>
    </row>
    <row r="672" spans="1:3" ht="13" x14ac:dyDescent="0.15">
      <c r="A672" s="10"/>
      <c r="B672" s="13"/>
      <c r="C672" s="13"/>
    </row>
    <row r="673" spans="1:3" ht="13" x14ac:dyDescent="0.15">
      <c r="A673" s="10"/>
      <c r="B673" s="13"/>
      <c r="C673" s="13"/>
    </row>
    <row r="674" spans="1:3" ht="13" x14ac:dyDescent="0.15">
      <c r="A674" s="10"/>
      <c r="B674" s="13"/>
      <c r="C674" s="13"/>
    </row>
    <row r="675" spans="1:3" ht="13" x14ac:dyDescent="0.15">
      <c r="A675" s="10"/>
      <c r="B675" s="13"/>
      <c r="C675" s="13"/>
    </row>
    <row r="676" spans="1:3" ht="13" x14ac:dyDescent="0.15">
      <c r="A676" s="10"/>
      <c r="B676" s="13"/>
      <c r="C676" s="13"/>
    </row>
    <row r="677" spans="1:3" ht="13" x14ac:dyDescent="0.15">
      <c r="A677" s="10"/>
      <c r="B677" s="13"/>
      <c r="C677" s="13"/>
    </row>
    <row r="678" spans="1:3" ht="13" x14ac:dyDescent="0.15">
      <c r="A678" s="10"/>
      <c r="B678" s="13"/>
      <c r="C678" s="13"/>
    </row>
    <row r="679" spans="1:3" ht="13" x14ac:dyDescent="0.15">
      <c r="A679" s="10"/>
      <c r="B679" s="13"/>
      <c r="C679" s="13"/>
    </row>
    <row r="680" spans="1:3" ht="13" x14ac:dyDescent="0.15">
      <c r="A680" s="10"/>
      <c r="B680" s="13"/>
      <c r="C680" s="13"/>
    </row>
    <row r="681" spans="1:3" ht="13" x14ac:dyDescent="0.15">
      <c r="A681" s="10"/>
      <c r="B681" s="13"/>
      <c r="C681" s="13"/>
    </row>
    <row r="682" spans="1:3" ht="13" x14ac:dyDescent="0.15">
      <c r="A682" s="10"/>
      <c r="B682" s="13"/>
      <c r="C682" s="13"/>
    </row>
    <row r="683" spans="1:3" ht="13" x14ac:dyDescent="0.15">
      <c r="A683" s="10"/>
      <c r="B683" s="13"/>
      <c r="C683" s="13"/>
    </row>
    <row r="684" spans="1:3" ht="13" x14ac:dyDescent="0.15">
      <c r="A684" s="10"/>
      <c r="B684" s="13"/>
      <c r="C684" s="13"/>
    </row>
    <row r="685" spans="1:3" ht="13" x14ac:dyDescent="0.15">
      <c r="A685" s="10"/>
      <c r="B685" s="13"/>
      <c r="C685" s="13"/>
    </row>
    <row r="686" spans="1:3" ht="13" x14ac:dyDescent="0.15">
      <c r="A686" s="10"/>
      <c r="B686" s="13"/>
      <c r="C686" s="13"/>
    </row>
    <row r="687" spans="1:3" ht="13" x14ac:dyDescent="0.15">
      <c r="A687" s="10"/>
      <c r="B687" s="13"/>
      <c r="C687" s="13"/>
    </row>
    <row r="688" spans="1:3" ht="13" x14ac:dyDescent="0.15">
      <c r="A688" s="10"/>
      <c r="B688" s="13"/>
      <c r="C688" s="13"/>
    </row>
    <row r="689" spans="1:3" ht="13" x14ac:dyDescent="0.15">
      <c r="A689" s="10"/>
      <c r="B689" s="13"/>
      <c r="C689" s="13"/>
    </row>
    <row r="690" spans="1:3" ht="13" x14ac:dyDescent="0.15">
      <c r="A690" s="10"/>
      <c r="B690" s="13"/>
      <c r="C690" s="13"/>
    </row>
    <row r="691" spans="1:3" ht="13" x14ac:dyDescent="0.15">
      <c r="A691" s="10"/>
      <c r="B691" s="13"/>
      <c r="C691" s="13"/>
    </row>
    <row r="692" spans="1:3" ht="13" x14ac:dyDescent="0.15">
      <c r="A692" s="10"/>
      <c r="B692" s="13"/>
      <c r="C692" s="13"/>
    </row>
    <row r="693" spans="1:3" ht="13" x14ac:dyDescent="0.15">
      <c r="A693" s="10"/>
      <c r="B693" s="13"/>
      <c r="C693" s="13"/>
    </row>
    <row r="694" spans="1:3" ht="13" x14ac:dyDescent="0.15">
      <c r="A694" s="10"/>
      <c r="B694" s="13"/>
      <c r="C694" s="13"/>
    </row>
    <row r="695" spans="1:3" ht="13" x14ac:dyDescent="0.15">
      <c r="A695" s="10"/>
      <c r="B695" s="13"/>
      <c r="C695" s="13"/>
    </row>
    <row r="696" spans="1:3" ht="13" x14ac:dyDescent="0.15">
      <c r="A696" s="10"/>
      <c r="B696" s="13"/>
      <c r="C696" s="13"/>
    </row>
    <row r="697" spans="1:3" ht="13" x14ac:dyDescent="0.15">
      <c r="A697" s="10"/>
      <c r="B697" s="13"/>
      <c r="C697" s="13"/>
    </row>
    <row r="698" spans="1:3" ht="13" x14ac:dyDescent="0.15">
      <c r="A698" s="10"/>
      <c r="B698" s="13"/>
      <c r="C698" s="13"/>
    </row>
    <row r="699" spans="1:3" ht="13" x14ac:dyDescent="0.15">
      <c r="A699" s="10"/>
      <c r="B699" s="13"/>
      <c r="C699" s="13"/>
    </row>
    <row r="700" spans="1:3" ht="13" x14ac:dyDescent="0.15">
      <c r="A700" s="10"/>
      <c r="B700" s="13"/>
      <c r="C700" s="13"/>
    </row>
    <row r="701" spans="1:3" ht="13" x14ac:dyDescent="0.15">
      <c r="A701" s="10"/>
      <c r="B701" s="13"/>
      <c r="C701" s="13"/>
    </row>
    <row r="702" spans="1:3" ht="13" x14ac:dyDescent="0.15">
      <c r="A702" s="10"/>
      <c r="B702" s="13"/>
      <c r="C702" s="13"/>
    </row>
    <row r="703" spans="1:3" ht="13" x14ac:dyDescent="0.15">
      <c r="A703" s="10"/>
      <c r="B703" s="13"/>
      <c r="C703" s="13"/>
    </row>
    <row r="704" spans="1:3" ht="13" x14ac:dyDescent="0.15">
      <c r="A704" s="10"/>
      <c r="B704" s="13"/>
      <c r="C704" s="13"/>
    </row>
    <row r="705" spans="1:3" ht="13" x14ac:dyDescent="0.15">
      <c r="A705" s="10"/>
      <c r="B705" s="13"/>
      <c r="C705" s="13"/>
    </row>
    <row r="706" spans="1:3" ht="13" x14ac:dyDescent="0.15">
      <c r="A706" s="10"/>
      <c r="B706" s="13"/>
      <c r="C706" s="13"/>
    </row>
    <row r="707" spans="1:3" ht="13" x14ac:dyDescent="0.15">
      <c r="A707" s="10"/>
      <c r="B707" s="13"/>
      <c r="C707" s="13"/>
    </row>
    <row r="708" spans="1:3" ht="13" x14ac:dyDescent="0.15">
      <c r="A708" s="10"/>
      <c r="B708" s="13"/>
      <c r="C708" s="13"/>
    </row>
    <row r="709" spans="1:3" ht="13" x14ac:dyDescent="0.15">
      <c r="A709" s="10"/>
      <c r="B709" s="13"/>
      <c r="C709" s="13"/>
    </row>
    <row r="710" spans="1:3" ht="13" x14ac:dyDescent="0.15">
      <c r="A710" s="10"/>
      <c r="B710" s="13"/>
      <c r="C710" s="13"/>
    </row>
    <row r="711" spans="1:3" ht="13" x14ac:dyDescent="0.15">
      <c r="A711" s="10"/>
      <c r="B711" s="13"/>
      <c r="C711" s="13"/>
    </row>
    <row r="712" spans="1:3" ht="13" x14ac:dyDescent="0.15">
      <c r="A712" s="10"/>
      <c r="B712" s="13"/>
      <c r="C712" s="13"/>
    </row>
    <row r="713" spans="1:3" ht="13" x14ac:dyDescent="0.15">
      <c r="A713" s="10"/>
      <c r="B713" s="13"/>
      <c r="C713" s="13"/>
    </row>
    <row r="714" spans="1:3" ht="13" x14ac:dyDescent="0.15">
      <c r="A714" s="10"/>
      <c r="B714" s="13"/>
      <c r="C714" s="13"/>
    </row>
    <row r="715" spans="1:3" ht="13" x14ac:dyDescent="0.15">
      <c r="A715" s="10"/>
      <c r="B715" s="13"/>
      <c r="C715" s="13"/>
    </row>
    <row r="716" spans="1:3" ht="13" x14ac:dyDescent="0.15">
      <c r="A716" s="10"/>
      <c r="B716" s="13"/>
      <c r="C716" s="13"/>
    </row>
    <row r="717" spans="1:3" ht="13" x14ac:dyDescent="0.15">
      <c r="A717" s="10"/>
      <c r="B717" s="13"/>
      <c r="C717" s="13"/>
    </row>
    <row r="718" spans="1:3" ht="13" x14ac:dyDescent="0.15">
      <c r="A718" s="10"/>
      <c r="B718" s="13"/>
      <c r="C718" s="13"/>
    </row>
    <row r="719" spans="1:3" ht="13" x14ac:dyDescent="0.15">
      <c r="A719" s="10"/>
      <c r="B719" s="13"/>
      <c r="C719" s="13"/>
    </row>
    <row r="720" spans="1:3" ht="13" x14ac:dyDescent="0.15">
      <c r="A720" s="10"/>
      <c r="B720" s="13"/>
      <c r="C720" s="13"/>
    </row>
    <row r="721" spans="1:3" ht="13" x14ac:dyDescent="0.15">
      <c r="A721" s="10"/>
      <c r="B721" s="13"/>
      <c r="C721" s="13"/>
    </row>
    <row r="722" spans="1:3" ht="13" x14ac:dyDescent="0.15">
      <c r="A722" s="10"/>
      <c r="B722" s="13"/>
      <c r="C722" s="13"/>
    </row>
    <row r="723" spans="1:3" ht="13" x14ac:dyDescent="0.15">
      <c r="A723" s="10"/>
      <c r="B723" s="13"/>
      <c r="C723" s="13"/>
    </row>
    <row r="724" spans="1:3" ht="13" x14ac:dyDescent="0.15">
      <c r="A724" s="10"/>
      <c r="B724" s="13"/>
      <c r="C724" s="13"/>
    </row>
    <row r="725" spans="1:3" ht="13" x14ac:dyDescent="0.15">
      <c r="A725" s="10"/>
      <c r="B725" s="13"/>
      <c r="C725" s="13"/>
    </row>
    <row r="726" spans="1:3" ht="13" x14ac:dyDescent="0.15">
      <c r="A726" s="10"/>
      <c r="B726" s="13"/>
      <c r="C726" s="13"/>
    </row>
    <row r="727" spans="1:3" ht="13" x14ac:dyDescent="0.15">
      <c r="A727" s="10"/>
      <c r="B727" s="13"/>
      <c r="C727" s="13"/>
    </row>
    <row r="728" spans="1:3" ht="13" x14ac:dyDescent="0.15">
      <c r="A728" s="10"/>
      <c r="B728" s="13"/>
      <c r="C728" s="13"/>
    </row>
    <row r="729" spans="1:3" ht="13" x14ac:dyDescent="0.15">
      <c r="A729" s="10"/>
      <c r="B729" s="13"/>
      <c r="C729" s="13"/>
    </row>
    <row r="730" spans="1:3" ht="13" x14ac:dyDescent="0.15">
      <c r="A730" s="10"/>
      <c r="B730" s="13"/>
      <c r="C730" s="13"/>
    </row>
    <row r="731" spans="1:3" ht="13" x14ac:dyDescent="0.15">
      <c r="A731" s="10"/>
      <c r="B731" s="13"/>
      <c r="C731" s="13"/>
    </row>
    <row r="732" spans="1:3" ht="13" x14ac:dyDescent="0.15">
      <c r="A732" s="10"/>
      <c r="B732" s="13"/>
      <c r="C732" s="13"/>
    </row>
    <row r="733" spans="1:3" ht="13" x14ac:dyDescent="0.15">
      <c r="A733" s="10"/>
      <c r="B733" s="13"/>
      <c r="C733" s="13"/>
    </row>
    <row r="734" spans="1:3" ht="13" x14ac:dyDescent="0.15">
      <c r="A734" s="10"/>
      <c r="B734" s="13"/>
      <c r="C734" s="13"/>
    </row>
    <row r="735" spans="1:3" ht="13" x14ac:dyDescent="0.15">
      <c r="A735" s="10"/>
      <c r="B735" s="13"/>
      <c r="C735" s="13"/>
    </row>
    <row r="736" spans="1:3" ht="13" x14ac:dyDescent="0.15">
      <c r="A736" s="10"/>
      <c r="B736" s="13"/>
      <c r="C736" s="13"/>
    </row>
    <row r="737" spans="1:3" ht="13" x14ac:dyDescent="0.15">
      <c r="A737" s="10"/>
      <c r="B737" s="13"/>
      <c r="C737" s="13"/>
    </row>
    <row r="738" spans="1:3" ht="13" x14ac:dyDescent="0.15">
      <c r="A738" s="10"/>
      <c r="B738" s="13"/>
      <c r="C738" s="13"/>
    </row>
    <row r="739" spans="1:3" ht="13" x14ac:dyDescent="0.15">
      <c r="A739" s="10"/>
      <c r="B739" s="13"/>
      <c r="C739" s="13"/>
    </row>
    <row r="740" spans="1:3" ht="13" x14ac:dyDescent="0.15">
      <c r="A740" s="10"/>
      <c r="B740" s="13"/>
      <c r="C740" s="13"/>
    </row>
    <row r="741" spans="1:3" ht="13" x14ac:dyDescent="0.15">
      <c r="A741" s="10"/>
      <c r="B741" s="13"/>
      <c r="C741" s="13"/>
    </row>
    <row r="742" spans="1:3" ht="13" x14ac:dyDescent="0.15">
      <c r="A742" s="10"/>
      <c r="B742" s="13"/>
      <c r="C742" s="13"/>
    </row>
    <row r="743" spans="1:3" ht="13" x14ac:dyDescent="0.15">
      <c r="A743" s="10"/>
      <c r="B743" s="13"/>
      <c r="C743" s="13"/>
    </row>
    <row r="744" spans="1:3" ht="13" x14ac:dyDescent="0.15">
      <c r="A744" s="10"/>
      <c r="B744" s="13"/>
      <c r="C744" s="13"/>
    </row>
    <row r="745" spans="1:3" ht="13" x14ac:dyDescent="0.15">
      <c r="A745" s="10"/>
      <c r="B745" s="13"/>
      <c r="C745" s="13"/>
    </row>
    <row r="746" spans="1:3" ht="13" x14ac:dyDescent="0.15">
      <c r="A746" s="10"/>
      <c r="B746" s="13"/>
      <c r="C746" s="13"/>
    </row>
    <row r="747" spans="1:3" ht="13" x14ac:dyDescent="0.15">
      <c r="A747" s="10"/>
      <c r="B747" s="13"/>
      <c r="C747" s="13"/>
    </row>
    <row r="748" spans="1:3" ht="13" x14ac:dyDescent="0.15">
      <c r="A748" s="10"/>
      <c r="B748" s="13"/>
      <c r="C748" s="13"/>
    </row>
    <row r="749" spans="1:3" ht="13" x14ac:dyDescent="0.15">
      <c r="A749" s="10"/>
      <c r="B749" s="13"/>
      <c r="C749" s="13"/>
    </row>
    <row r="750" spans="1:3" ht="13" x14ac:dyDescent="0.15">
      <c r="A750" s="10"/>
      <c r="B750" s="13"/>
      <c r="C750" s="13"/>
    </row>
    <row r="751" spans="1:3" ht="13" x14ac:dyDescent="0.15">
      <c r="A751" s="10"/>
      <c r="B751" s="13"/>
      <c r="C751" s="13"/>
    </row>
    <row r="752" spans="1:3" ht="13" x14ac:dyDescent="0.15">
      <c r="A752" s="10"/>
      <c r="B752" s="13"/>
      <c r="C752" s="13"/>
    </row>
    <row r="753" spans="1:3" ht="13" x14ac:dyDescent="0.15">
      <c r="A753" s="10"/>
      <c r="B753" s="13"/>
      <c r="C753" s="13"/>
    </row>
    <row r="754" spans="1:3" ht="13" x14ac:dyDescent="0.15">
      <c r="A754" s="10"/>
      <c r="B754" s="13"/>
      <c r="C754" s="13"/>
    </row>
    <row r="755" spans="1:3" ht="13" x14ac:dyDescent="0.15">
      <c r="A755" s="10"/>
      <c r="B755" s="13"/>
      <c r="C755" s="13"/>
    </row>
    <row r="756" spans="1:3" ht="13" x14ac:dyDescent="0.15">
      <c r="A756" s="10"/>
      <c r="B756" s="13"/>
      <c r="C756" s="13"/>
    </row>
    <row r="757" spans="1:3" ht="13" x14ac:dyDescent="0.15">
      <c r="A757" s="10"/>
      <c r="B757" s="13"/>
      <c r="C757" s="13"/>
    </row>
    <row r="758" spans="1:3" ht="13" x14ac:dyDescent="0.15">
      <c r="A758" s="10"/>
      <c r="B758" s="13"/>
      <c r="C758" s="13"/>
    </row>
    <row r="759" spans="1:3" ht="13" x14ac:dyDescent="0.15">
      <c r="A759" s="10"/>
      <c r="B759" s="13"/>
      <c r="C759" s="13"/>
    </row>
    <row r="760" spans="1:3" ht="13" x14ac:dyDescent="0.15">
      <c r="A760" s="10"/>
      <c r="B760" s="13"/>
      <c r="C760" s="13"/>
    </row>
    <row r="761" spans="1:3" ht="13" x14ac:dyDescent="0.15">
      <c r="A761" s="10"/>
      <c r="B761" s="13"/>
      <c r="C761" s="13"/>
    </row>
    <row r="762" spans="1:3" ht="13" x14ac:dyDescent="0.15">
      <c r="A762" s="10"/>
      <c r="B762" s="13"/>
      <c r="C762" s="13"/>
    </row>
    <row r="763" spans="1:3" ht="13" x14ac:dyDescent="0.15">
      <c r="A763" s="10"/>
      <c r="B763" s="13"/>
      <c r="C763" s="13"/>
    </row>
    <row r="764" spans="1:3" ht="13" x14ac:dyDescent="0.15">
      <c r="A764" s="10"/>
      <c r="B764" s="13"/>
      <c r="C764" s="13"/>
    </row>
    <row r="765" spans="1:3" ht="13" x14ac:dyDescent="0.15">
      <c r="A765" s="10"/>
      <c r="B765" s="13"/>
      <c r="C765" s="13"/>
    </row>
    <row r="766" spans="1:3" ht="13" x14ac:dyDescent="0.15">
      <c r="A766" s="10"/>
      <c r="B766" s="13"/>
      <c r="C766" s="13"/>
    </row>
    <row r="767" spans="1:3" ht="13" x14ac:dyDescent="0.15">
      <c r="A767" s="10"/>
      <c r="B767" s="13"/>
      <c r="C767" s="13"/>
    </row>
    <row r="768" spans="1:3" ht="13" x14ac:dyDescent="0.15">
      <c r="A768" s="10"/>
      <c r="B768" s="13"/>
      <c r="C768" s="13"/>
    </row>
    <row r="769" spans="1:3" ht="13" x14ac:dyDescent="0.15">
      <c r="A769" s="10"/>
      <c r="B769" s="13"/>
      <c r="C769" s="13"/>
    </row>
    <row r="770" spans="1:3" ht="13" x14ac:dyDescent="0.15">
      <c r="A770" s="10"/>
      <c r="B770" s="13"/>
      <c r="C770" s="13"/>
    </row>
    <row r="771" spans="1:3" ht="13" x14ac:dyDescent="0.15">
      <c r="A771" s="10"/>
      <c r="B771" s="13"/>
      <c r="C771" s="13"/>
    </row>
    <row r="772" spans="1:3" ht="13" x14ac:dyDescent="0.15">
      <c r="A772" s="10"/>
      <c r="B772" s="13"/>
      <c r="C772" s="13"/>
    </row>
    <row r="773" spans="1:3" ht="13" x14ac:dyDescent="0.15">
      <c r="A773" s="10"/>
      <c r="B773" s="13"/>
      <c r="C773" s="13"/>
    </row>
    <row r="774" spans="1:3" ht="13" x14ac:dyDescent="0.15">
      <c r="A774" s="10"/>
      <c r="B774" s="13"/>
      <c r="C774" s="13"/>
    </row>
    <row r="775" spans="1:3" ht="13" x14ac:dyDescent="0.15">
      <c r="A775" s="10"/>
      <c r="B775" s="13"/>
      <c r="C775" s="13"/>
    </row>
    <row r="776" spans="1:3" ht="13" x14ac:dyDescent="0.15">
      <c r="A776" s="10"/>
      <c r="B776" s="13"/>
      <c r="C776" s="13"/>
    </row>
    <row r="777" spans="1:3" ht="13" x14ac:dyDescent="0.15">
      <c r="A777" s="10"/>
      <c r="B777" s="13"/>
      <c r="C777" s="13"/>
    </row>
    <row r="778" spans="1:3" ht="13" x14ac:dyDescent="0.15">
      <c r="A778" s="10"/>
      <c r="B778" s="13"/>
      <c r="C778" s="13"/>
    </row>
    <row r="779" spans="1:3" ht="13" x14ac:dyDescent="0.15">
      <c r="A779" s="10"/>
      <c r="B779" s="13"/>
      <c r="C779" s="13"/>
    </row>
    <row r="780" spans="1:3" ht="13" x14ac:dyDescent="0.15">
      <c r="A780" s="10"/>
      <c r="B780" s="13"/>
      <c r="C780" s="13"/>
    </row>
    <row r="781" spans="1:3" ht="13" x14ac:dyDescent="0.15">
      <c r="A781" s="10"/>
      <c r="B781" s="13"/>
      <c r="C781" s="13"/>
    </row>
    <row r="782" spans="1:3" ht="13" x14ac:dyDescent="0.15">
      <c r="A782" s="10"/>
      <c r="B782" s="13"/>
      <c r="C782" s="13"/>
    </row>
    <row r="783" spans="1:3" ht="13" x14ac:dyDescent="0.15">
      <c r="A783" s="10"/>
      <c r="B783" s="13"/>
      <c r="C783" s="13"/>
    </row>
    <row r="784" spans="1:3" ht="13" x14ac:dyDescent="0.15">
      <c r="A784" s="10"/>
      <c r="B784" s="13"/>
      <c r="C784" s="13"/>
    </row>
    <row r="785" spans="1:3" ht="13" x14ac:dyDescent="0.15">
      <c r="A785" s="10"/>
      <c r="B785" s="13"/>
      <c r="C785" s="13"/>
    </row>
    <row r="786" spans="1:3" ht="13" x14ac:dyDescent="0.15">
      <c r="A786" s="10"/>
      <c r="B786" s="13"/>
      <c r="C786" s="13"/>
    </row>
    <row r="787" spans="1:3" ht="13" x14ac:dyDescent="0.15">
      <c r="A787" s="10"/>
      <c r="B787" s="13"/>
      <c r="C787" s="13"/>
    </row>
    <row r="788" spans="1:3" ht="13" x14ac:dyDescent="0.15">
      <c r="A788" s="10"/>
      <c r="B788" s="13"/>
      <c r="C788" s="13"/>
    </row>
    <row r="789" spans="1:3" ht="13" x14ac:dyDescent="0.15">
      <c r="A789" s="10"/>
      <c r="B789" s="13"/>
      <c r="C789" s="13"/>
    </row>
    <row r="790" spans="1:3" ht="13" x14ac:dyDescent="0.15">
      <c r="A790" s="10"/>
      <c r="B790" s="13"/>
      <c r="C790" s="13"/>
    </row>
    <row r="791" spans="1:3" ht="13" x14ac:dyDescent="0.15">
      <c r="A791" s="10"/>
      <c r="B791" s="13"/>
      <c r="C791" s="13"/>
    </row>
    <row r="792" spans="1:3" ht="13" x14ac:dyDescent="0.15">
      <c r="A792" s="10"/>
      <c r="B792" s="13"/>
      <c r="C792" s="13"/>
    </row>
    <row r="793" spans="1:3" ht="13" x14ac:dyDescent="0.15">
      <c r="A793" s="10"/>
      <c r="B793" s="13"/>
      <c r="C793" s="13"/>
    </row>
    <row r="794" spans="1:3" ht="13" x14ac:dyDescent="0.15">
      <c r="A794" s="10"/>
      <c r="B794" s="13"/>
      <c r="C794" s="13"/>
    </row>
    <row r="795" spans="1:3" ht="13" x14ac:dyDescent="0.15">
      <c r="A795" s="10"/>
      <c r="B795" s="13"/>
      <c r="C795" s="13"/>
    </row>
    <row r="796" spans="1:3" ht="13" x14ac:dyDescent="0.15">
      <c r="A796" s="10"/>
      <c r="B796" s="13"/>
      <c r="C796" s="13"/>
    </row>
    <row r="797" spans="1:3" ht="13" x14ac:dyDescent="0.15">
      <c r="A797" s="10"/>
      <c r="B797" s="13"/>
      <c r="C797" s="13"/>
    </row>
    <row r="798" spans="1:3" ht="13" x14ac:dyDescent="0.15">
      <c r="A798" s="10"/>
      <c r="B798" s="13"/>
      <c r="C798" s="13"/>
    </row>
    <row r="799" spans="1:3" ht="13" x14ac:dyDescent="0.15">
      <c r="A799" s="10"/>
      <c r="B799" s="13"/>
      <c r="C799" s="13"/>
    </row>
    <row r="800" spans="1:3" ht="13" x14ac:dyDescent="0.15">
      <c r="A800" s="10"/>
      <c r="B800" s="13"/>
      <c r="C800" s="13"/>
    </row>
    <row r="801" spans="1:3" ht="13" x14ac:dyDescent="0.15">
      <c r="A801" s="10"/>
      <c r="B801" s="13"/>
      <c r="C801" s="13"/>
    </row>
    <row r="802" spans="1:3" ht="13" x14ac:dyDescent="0.15">
      <c r="A802" s="10"/>
      <c r="B802" s="13"/>
      <c r="C802" s="13"/>
    </row>
    <row r="803" spans="1:3" ht="13" x14ac:dyDescent="0.15">
      <c r="A803" s="10"/>
      <c r="B803" s="13"/>
      <c r="C803" s="13"/>
    </row>
    <row r="804" spans="1:3" ht="13" x14ac:dyDescent="0.15">
      <c r="A804" s="10"/>
      <c r="B804" s="13"/>
      <c r="C804" s="13"/>
    </row>
    <row r="805" spans="1:3" ht="13" x14ac:dyDescent="0.15">
      <c r="A805" s="10"/>
      <c r="B805" s="13"/>
      <c r="C805" s="13"/>
    </row>
    <row r="806" spans="1:3" ht="13" x14ac:dyDescent="0.15">
      <c r="A806" s="10"/>
      <c r="B806" s="13"/>
      <c r="C806" s="13"/>
    </row>
    <row r="807" spans="1:3" ht="13" x14ac:dyDescent="0.15">
      <c r="A807" s="10"/>
      <c r="B807" s="13"/>
      <c r="C807" s="13"/>
    </row>
    <row r="808" spans="1:3" ht="13" x14ac:dyDescent="0.15">
      <c r="A808" s="10"/>
      <c r="B808" s="13"/>
      <c r="C808" s="13"/>
    </row>
    <row r="809" spans="1:3" ht="13" x14ac:dyDescent="0.15">
      <c r="A809" s="10"/>
      <c r="B809" s="13"/>
      <c r="C809" s="13"/>
    </row>
    <row r="810" spans="1:3" ht="13" x14ac:dyDescent="0.15">
      <c r="A810" s="10"/>
      <c r="B810" s="13"/>
      <c r="C810" s="13"/>
    </row>
    <row r="811" spans="1:3" ht="13" x14ac:dyDescent="0.15">
      <c r="A811" s="10"/>
      <c r="B811" s="13"/>
      <c r="C811" s="13"/>
    </row>
    <row r="812" spans="1:3" ht="13" x14ac:dyDescent="0.15">
      <c r="A812" s="10"/>
      <c r="B812" s="13"/>
      <c r="C812" s="13"/>
    </row>
    <row r="813" spans="1:3" ht="13" x14ac:dyDescent="0.15">
      <c r="A813" s="10"/>
      <c r="B813" s="13"/>
      <c r="C813" s="13"/>
    </row>
    <row r="814" spans="1:3" ht="13" x14ac:dyDescent="0.15">
      <c r="A814" s="10"/>
      <c r="B814" s="13"/>
      <c r="C814" s="13"/>
    </row>
    <row r="815" spans="1:3" ht="13" x14ac:dyDescent="0.15">
      <c r="A815" s="10"/>
      <c r="B815" s="13"/>
      <c r="C815" s="13"/>
    </row>
    <row r="816" spans="1:3" ht="13" x14ac:dyDescent="0.15">
      <c r="A816" s="10"/>
      <c r="B816" s="13"/>
      <c r="C816" s="13"/>
    </row>
    <row r="817" spans="1:3" ht="13" x14ac:dyDescent="0.15">
      <c r="A817" s="10"/>
      <c r="B817" s="13"/>
      <c r="C817" s="13"/>
    </row>
    <row r="818" spans="1:3" ht="13" x14ac:dyDescent="0.15">
      <c r="A818" s="10"/>
      <c r="B818" s="13"/>
      <c r="C818" s="13"/>
    </row>
    <row r="819" spans="1:3" ht="13" x14ac:dyDescent="0.15">
      <c r="A819" s="10"/>
      <c r="B819" s="13"/>
      <c r="C819" s="13"/>
    </row>
    <row r="820" spans="1:3" ht="13" x14ac:dyDescent="0.15">
      <c r="A820" s="10"/>
      <c r="B820" s="13"/>
      <c r="C820" s="13"/>
    </row>
    <row r="821" spans="1:3" ht="13" x14ac:dyDescent="0.15">
      <c r="A821" s="10"/>
      <c r="B821" s="13"/>
      <c r="C821" s="13"/>
    </row>
    <row r="822" spans="1:3" ht="13" x14ac:dyDescent="0.15">
      <c r="A822" s="10"/>
      <c r="B822" s="13"/>
      <c r="C822" s="13"/>
    </row>
    <row r="823" spans="1:3" ht="13" x14ac:dyDescent="0.15">
      <c r="A823" s="10"/>
      <c r="B823" s="13"/>
      <c r="C823" s="13"/>
    </row>
    <row r="824" spans="1:3" ht="13" x14ac:dyDescent="0.15">
      <c r="A824" s="10"/>
      <c r="B824" s="13"/>
      <c r="C824" s="13"/>
    </row>
    <row r="825" spans="1:3" ht="13" x14ac:dyDescent="0.15">
      <c r="A825" s="10"/>
      <c r="B825" s="13"/>
      <c r="C825" s="13"/>
    </row>
    <row r="826" spans="1:3" ht="13" x14ac:dyDescent="0.15">
      <c r="A826" s="10"/>
      <c r="B826" s="13"/>
      <c r="C826" s="13"/>
    </row>
    <row r="827" spans="1:3" ht="13" x14ac:dyDescent="0.15">
      <c r="A827" s="10"/>
      <c r="B827" s="13"/>
      <c r="C827" s="13"/>
    </row>
    <row r="828" spans="1:3" ht="13" x14ac:dyDescent="0.15">
      <c r="A828" s="10"/>
      <c r="B828" s="13"/>
      <c r="C828" s="13"/>
    </row>
    <row r="829" spans="1:3" ht="13" x14ac:dyDescent="0.15">
      <c r="A829" s="10"/>
      <c r="B829" s="13"/>
      <c r="C829" s="13"/>
    </row>
    <row r="830" spans="1:3" ht="13" x14ac:dyDescent="0.15">
      <c r="A830" s="10"/>
      <c r="B830" s="13"/>
      <c r="C830" s="13"/>
    </row>
    <row r="831" spans="1:3" ht="13" x14ac:dyDescent="0.15">
      <c r="A831" s="10"/>
      <c r="B831" s="13"/>
      <c r="C831" s="13"/>
    </row>
    <row r="832" spans="1:3" ht="13" x14ac:dyDescent="0.15">
      <c r="A832" s="10"/>
      <c r="B832" s="13"/>
      <c r="C832" s="13"/>
    </row>
    <row r="833" spans="1:3" ht="13" x14ac:dyDescent="0.15">
      <c r="A833" s="10"/>
      <c r="B833" s="13"/>
      <c r="C833" s="13"/>
    </row>
    <row r="834" spans="1:3" ht="13" x14ac:dyDescent="0.15">
      <c r="A834" s="10"/>
      <c r="B834" s="13"/>
      <c r="C834" s="13"/>
    </row>
    <row r="835" spans="1:3" ht="13" x14ac:dyDescent="0.15">
      <c r="A835" s="10"/>
      <c r="B835" s="13"/>
      <c r="C835" s="13"/>
    </row>
    <row r="836" spans="1:3" ht="13" x14ac:dyDescent="0.15">
      <c r="A836" s="10"/>
      <c r="B836" s="13"/>
      <c r="C836" s="13"/>
    </row>
    <row r="837" spans="1:3" ht="13" x14ac:dyDescent="0.15">
      <c r="A837" s="10"/>
      <c r="B837" s="13"/>
      <c r="C837" s="13"/>
    </row>
    <row r="838" spans="1:3" ht="13" x14ac:dyDescent="0.15">
      <c r="A838" s="10"/>
      <c r="B838" s="13"/>
      <c r="C838" s="13"/>
    </row>
    <row r="839" spans="1:3" ht="13" x14ac:dyDescent="0.15">
      <c r="A839" s="10"/>
      <c r="B839" s="13"/>
      <c r="C839" s="13"/>
    </row>
    <row r="840" spans="1:3" ht="13" x14ac:dyDescent="0.15">
      <c r="A840" s="10"/>
      <c r="B840" s="13"/>
      <c r="C840" s="13"/>
    </row>
    <row r="841" spans="1:3" ht="13" x14ac:dyDescent="0.15">
      <c r="A841" s="10"/>
      <c r="B841" s="13"/>
      <c r="C841" s="13"/>
    </row>
    <row r="842" spans="1:3" ht="13" x14ac:dyDescent="0.15">
      <c r="A842" s="10"/>
      <c r="B842" s="13"/>
      <c r="C842" s="13"/>
    </row>
    <row r="843" spans="1:3" ht="13" x14ac:dyDescent="0.15">
      <c r="A843" s="10"/>
      <c r="B843" s="13"/>
      <c r="C843" s="13"/>
    </row>
    <row r="844" spans="1:3" ht="13" x14ac:dyDescent="0.15">
      <c r="A844" s="10"/>
      <c r="B844" s="13"/>
      <c r="C844" s="13"/>
    </row>
    <row r="845" spans="1:3" ht="13" x14ac:dyDescent="0.15">
      <c r="A845" s="10"/>
      <c r="B845" s="13"/>
      <c r="C845" s="13"/>
    </row>
    <row r="846" spans="1:3" ht="13" x14ac:dyDescent="0.15">
      <c r="A846" s="10"/>
      <c r="B846" s="13"/>
      <c r="C846" s="13"/>
    </row>
    <row r="847" spans="1:3" ht="13" x14ac:dyDescent="0.15">
      <c r="A847" s="10"/>
      <c r="B847" s="13"/>
      <c r="C847" s="13"/>
    </row>
    <row r="848" spans="1:3" ht="13" x14ac:dyDescent="0.15">
      <c r="A848" s="10"/>
      <c r="B848" s="13"/>
      <c r="C848" s="13"/>
    </row>
    <row r="849" spans="1:3" ht="13" x14ac:dyDescent="0.15">
      <c r="A849" s="10"/>
      <c r="B849" s="13"/>
      <c r="C849" s="13"/>
    </row>
    <row r="850" spans="1:3" ht="13" x14ac:dyDescent="0.15">
      <c r="A850" s="10"/>
      <c r="B850" s="13"/>
      <c r="C850" s="13"/>
    </row>
    <row r="851" spans="1:3" ht="13" x14ac:dyDescent="0.15">
      <c r="A851" s="10"/>
      <c r="B851" s="13"/>
      <c r="C851" s="13"/>
    </row>
    <row r="852" spans="1:3" ht="13" x14ac:dyDescent="0.15">
      <c r="A852" s="10"/>
      <c r="B852" s="13"/>
      <c r="C852" s="13"/>
    </row>
    <row r="853" spans="1:3" ht="13" x14ac:dyDescent="0.15">
      <c r="A853" s="10"/>
      <c r="B853" s="13"/>
      <c r="C853" s="13"/>
    </row>
    <row r="854" spans="1:3" ht="13" x14ac:dyDescent="0.15">
      <c r="A854" s="10"/>
      <c r="B854" s="13"/>
      <c r="C854" s="13"/>
    </row>
    <row r="855" spans="1:3" ht="13" x14ac:dyDescent="0.15">
      <c r="A855" s="10"/>
      <c r="B855" s="13"/>
      <c r="C855" s="13"/>
    </row>
    <row r="856" spans="1:3" ht="13" x14ac:dyDescent="0.15">
      <c r="A856" s="10"/>
      <c r="B856" s="13"/>
      <c r="C856" s="13"/>
    </row>
    <row r="857" spans="1:3" ht="13" x14ac:dyDescent="0.15">
      <c r="A857" s="10"/>
      <c r="B857" s="13"/>
      <c r="C857" s="13"/>
    </row>
    <row r="858" spans="1:3" ht="13" x14ac:dyDescent="0.15">
      <c r="A858" s="10"/>
      <c r="B858" s="13"/>
      <c r="C858" s="13"/>
    </row>
    <row r="859" spans="1:3" ht="13" x14ac:dyDescent="0.15">
      <c r="A859" s="10"/>
      <c r="B859" s="13"/>
      <c r="C859" s="13"/>
    </row>
    <row r="860" spans="1:3" ht="13" x14ac:dyDescent="0.15">
      <c r="A860" s="10"/>
      <c r="B860" s="13"/>
      <c r="C860" s="13"/>
    </row>
    <row r="861" spans="1:3" ht="13" x14ac:dyDescent="0.15">
      <c r="A861" s="10"/>
      <c r="B861" s="13"/>
      <c r="C861" s="13"/>
    </row>
    <row r="862" spans="1:3" ht="13" x14ac:dyDescent="0.15">
      <c r="A862" s="10"/>
      <c r="B862" s="13"/>
      <c r="C862" s="13"/>
    </row>
    <row r="863" spans="1:3" ht="13" x14ac:dyDescent="0.15">
      <c r="A863" s="10"/>
      <c r="B863" s="13"/>
      <c r="C863" s="13"/>
    </row>
    <row r="864" spans="1:3" ht="13" x14ac:dyDescent="0.15">
      <c r="A864" s="10"/>
      <c r="B864" s="13"/>
      <c r="C864" s="13"/>
    </row>
    <row r="865" spans="1:3" ht="13" x14ac:dyDescent="0.15">
      <c r="A865" s="10"/>
      <c r="B865" s="13"/>
      <c r="C865" s="13"/>
    </row>
    <row r="866" spans="1:3" ht="13" x14ac:dyDescent="0.15">
      <c r="A866" s="10"/>
      <c r="B866" s="13"/>
      <c r="C866" s="13"/>
    </row>
    <row r="867" spans="1:3" ht="13" x14ac:dyDescent="0.15">
      <c r="A867" s="10"/>
      <c r="B867" s="13"/>
      <c r="C867" s="13"/>
    </row>
    <row r="868" spans="1:3" ht="13" x14ac:dyDescent="0.15">
      <c r="A868" s="10"/>
      <c r="B868" s="13"/>
      <c r="C868" s="13"/>
    </row>
    <row r="869" spans="1:3" ht="13" x14ac:dyDescent="0.15">
      <c r="A869" s="10"/>
      <c r="B869" s="13"/>
      <c r="C869" s="13"/>
    </row>
    <row r="870" spans="1:3" ht="13" x14ac:dyDescent="0.15">
      <c r="A870" s="10"/>
      <c r="B870" s="13"/>
      <c r="C870" s="13"/>
    </row>
    <row r="871" spans="1:3" ht="13" x14ac:dyDescent="0.15">
      <c r="A871" s="10"/>
      <c r="B871" s="13"/>
      <c r="C871" s="13"/>
    </row>
    <row r="872" spans="1:3" ht="13" x14ac:dyDescent="0.15">
      <c r="A872" s="10"/>
      <c r="B872" s="13"/>
      <c r="C872" s="13"/>
    </row>
    <row r="873" spans="1:3" ht="13" x14ac:dyDescent="0.15">
      <c r="A873" s="10"/>
      <c r="B873" s="13"/>
      <c r="C873" s="13"/>
    </row>
    <row r="874" spans="1:3" ht="13" x14ac:dyDescent="0.15">
      <c r="A874" s="10"/>
      <c r="B874" s="13"/>
      <c r="C874" s="13"/>
    </row>
    <row r="875" spans="1:3" ht="13" x14ac:dyDescent="0.15">
      <c r="A875" s="10"/>
      <c r="B875" s="13"/>
      <c r="C875" s="13"/>
    </row>
    <row r="876" spans="1:3" ht="13" x14ac:dyDescent="0.15">
      <c r="A876" s="10"/>
      <c r="B876" s="13"/>
      <c r="C876" s="13"/>
    </row>
    <row r="877" spans="1:3" ht="13" x14ac:dyDescent="0.15">
      <c r="A877" s="10"/>
      <c r="B877" s="13"/>
      <c r="C877" s="13"/>
    </row>
    <row r="878" spans="1:3" ht="13" x14ac:dyDescent="0.15">
      <c r="A878" s="10"/>
      <c r="B878" s="13"/>
      <c r="C878" s="13"/>
    </row>
    <row r="879" spans="1:3" ht="13" x14ac:dyDescent="0.15">
      <c r="A879" s="10"/>
      <c r="B879" s="13"/>
      <c r="C879" s="13"/>
    </row>
    <row r="880" spans="1:3" ht="13" x14ac:dyDescent="0.15">
      <c r="A880" s="10"/>
      <c r="B880" s="13"/>
      <c r="C880" s="13"/>
    </row>
    <row r="881" spans="1:3" ht="13" x14ac:dyDescent="0.15">
      <c r="A881" s="10"/>
      <c r="B881" s="13"/>
      <c r="C881" s="13"/>
    </row>
    <row r="882" spans="1:3" ht="13" x14ac:dyDescent="0.15">
      <c r="A882" s="10"/>
      <c r="B882" s="13"/>
      <c r="C882" s="13"/>
    </row>
    <row r="883" spans="1:3" ht="13" x14ac:dyDescent="0.15">
      <c r="A883" s="10"/>
      <c r="B883" s="13"/>
      <c r="C883" s="13"/>
    </row>
    <row r="884" spans="1:3" ht="13" x14ac:dyDescent="0.15">
      <c r="A884" s="10"/>
      <c r="B884" s="13"/>
      <c r="C884" s="13"/>
    </row>
    <row r="885" spans="1:3" ht="13" x14ac:dyDescent="0.15">
      <c r="A885" s="10"/>
      <c r="B885" s="13"/>
      <c r="C885" s="13"/>
    </row>
    <row r="886" spans="1:3" ht="13" x14ac:dyDescent="0.15">
      <c r="A886" s="10"/>
      <c r="B886" s="13"/>
      <c r="C886" s="13"/>
    </row>
    <row r="887" spans="1:3" ht="13" x14ac:dyDescent="0.15">
      <c r="A887" s="10"/>
      <c r="B887" s="13"/>
      <c r="C887" s="13"/>
    </row>
    <row r="888" spans="1:3" ht="13" x14ac:dyDescent="0.15">
      <c r="A888" s="10"/>
      <c r="B888" s="13"/>
      <c r="C888" s="13"/>
    </row>
    <row r="889" spans="1:3" ht="13" x14ac:dyDescent="0.15">
      <c r="A889" s="10"/>
      <c r="B889" s="13"/>
      <c r="C889" s="13"/>
    </row>
    <row r="890" spans="1:3" ht="13" x14ac:dyDescent="0.15">
      <c r="A890" s="10"/>
      <c r="B890" s="13"/>
      <c r="C890" s="13"/>
    </row>
    <row r="891" spans="1:3" ht="13" x14ac:dyDescent="0.15">
      <c r="A891" s="10"/>
      <c r="B891" s="13"/>
      <c r="C891" s="13"/>
    </row>
    <row r="892" spans="1:3" ht="13" x14ac:dyDescent="0.15">
      <c r="A892" s="10"/>
      <c r="B892" s="13"/>
      <c r="C892" s="13"/>
    </row>
    <row r="893" spans="1:3" ht="13" x14ac:dyDescent="0.15">
      <c r="A893" s="10"/>
      <c r="B893" s="13"/>
      <c r="C893" s="13"/>
    </row>
    <row r="894" spans="1:3" ht="13" x14ac:dyDescent="0.15">
      <c r="A894" s="10"/>
      <c r="B894" s="13"/>
      <c r="C894" s="13"/>
    </row>
    <row r="895" spans="1:3" ht="13" x14ac:dyDescent="0.15">
      <c r="A895" s="10"/>
      <c r="B895" s="13"/>
      <c r="C895" s="13"/>
    </row>
    <row r="896" spans="1:3" ht="13" x14ac:dyDescent="0.15">
      <c r="A896" s="10"/>
      <c r="B896" s="13"/>
      <c r="C896" s="13"/>
    </row>
    <row r="897" spans="1:3" ht="13" x14ac:dyDescent="0.15">
      <c r="A897" s="10"/>
      <c r="B897" s="13"/>
      <c r="C897" s="13"/>
    </row>
    <row r="898" spans="1:3" ht="13" x14ac:dyDescent="0.15">
      <c r="A898" s="10"/>
      <c r="B898" s="13"/>
      <c r="C898" s="13"/>
    </row>
    <row r="899" spans="1:3" ht="13" x14ac:dyDescent="0.15">
      <c r="A899" s="10"/>
      <c r="B899" s="13"/>
      <c r="C899" s="13"/>
    </row>
    <row r="900" spans="1:3" ht="13" x14ac:dyDescent="0.15">
      <c r="A900" s="10"/>
      <c r="B900" s="13"/>
      <c r="C900" s="13"/>
    </row>
    <row r="901" spans="1:3" ht="13" x14ac:dyDescent="0.15">
      <c r="A901" s="10"/>
      <c r="B901" s="13"/>
      <c r="C901" s="13"/>
    </row>
    <row r="902" spans="1:3" ht="13" x14ac:dyDescent="0.15">
      <c r="A902" s="10"/>
      <c r="B902" s="13"/>
      <c r="C902" s="13"/>
    </row>
    <row r="903" spans="1:3" ht="13" x14ac:dyDescent="0.15">
      <c r="A903" s="10"/>
      <c r="B903" s="13"/>
      <c r="C903" s="13"/>
    </row>
    <row r="904" spans="1:3" ht="13" x14ac:dyDescent="0.15">
      <c r="A904" s="10"/>
      <c r="B904" s="13"/>
      <c r="C904" s="13"/>
    </row>
    <row r="905" spans="1:3" ht="13" x14ac:dyDescent="0.15">
      <c r="A905" s="10"/>
      <c r="B905" s="13"/>
      <c r="C905" s="13"/>
    </row>
    <row r="906" spans="1:3" ht="13" x14ac:dyDescent="0.15">
      <c r="A906" s="10"/>
      <c r="B906" s="13"/>
      <c r="C906" s="13"/>
    </row>
    <row r="907" spans="1:3" ht="13" x14ac:dyDescent="0.15">
      <c r="A907" s="10"/>
      <c r="B907" s="13"/>
      <c r="C907" s="13"/>
    </row>
    <row r="908" spans="1:3" ht="13" x14ac:dyDescent="0.15">
      <c r="A908" s="10"/>
      <c r="B908" s="13"/>
      <c r="C908" s="13"/>
    </row>
    <row r="909" spans="1:3" ht="13" x14ac:dyDescent="0.15">
      <c r="A909" s="10"/>
      <c r="B909" s="13"/>
      <c r="C909" s="13"/>
    </row>
    <row r="910" spans="1:3" ht="13" x14ac:dyDescent="0.15">
      <c r="A910" s="10"/>
      <c r="B910" s="13"/>
      <c r="C910" s="13"/>
    </row>
    <row r="911" spans="1:3" ht="13" x14ac:dyDescent="0.15">
      <c r="A911" s="10"/>
      <c r="B911" s="13"/>
      <c r="C911" s="13"/>
    </row>
    <row r="912" spans="1:3" ht="13" x14ac:dyDescent="0.15">
      <c r="A912" s="10"/>
      <c r="B912" s="13"/>
      <c r="C912" s="13"/>
    </row>
    <row r="913" spans="1:3" ht="13" x14ac:dyDescent="0.15">
      <c r="A913" s="10"/>
      <c r="B913" s="13"/>
      <c r="C913" s="13"/>
    </row>
    <row r="914" spans="1:3" ht="13" x14ac:dyDescent="0.15">
      <c r="A914" s="10"/>
      <c r="B914" s="13"/>
      <c r="C914" s="13"/>
    </row>
    <row r="915" spans="1:3" ht="13" x14ac:dyDescent="0.15">
      <c r="A915" s="10"/>
      <c r="B915" s="13"/>
      <c r="C915" s="13"/>
    </row>
    <row r="916" spans="1:3" ht="13" x14ac:dyDescent="0.15">
      <c r="A916" s="10"/>
      <c r="B916" s="13"/>
      <c r="C916" s="13"/>
    </row>
    <row r="917" spans="1:3" ht="13" x14ac:dyDescent="0.15">
      <c r="A917" s="10"/>
      <c r="B917" s="13"/>
      <c r="C917" s="13"/>
    </row>
    <row r="918" spans="1:3" ht="13" x14ac:dyDescent="0.15">
      <c r="A918" s="10"/>
      <c r="B918" s="13"/>
      <c r="C918" s="13"/>
    </row>
    <row r="919" spans="1:3" ht="13" x14ac:dyDescent="0.15">
      <c r="A919" s="10"/>
      <c r="B919" s="13"/>
      <c r="C919" s="13"/>
    </row>
    <row r="920" spans="1:3" ht="13" x14ac:dyDescent="0.15">
      <c r="A920" s="10"/>
      <c r="B920" s="13"/>
      <c r="C920" s="13"/>
    </row>
    <row r="921" spans="1:3" ht="13" x14ac:dyDescent="0.15">
      <c r="A921" s="10"/>
      <c r="B921" s="13"/>
      <c r="C921" s="13"/>
    </row>
    <row r="922" spans="1:3" ht="13" x14ac:dyDescent="0.15">
      <c r="A922" s="10"/>
      <c r="B922" s="13"/>
      <c r="C922" s="13"/>
    </row>
    <row r="923" spans="1:3" ht="13" x14ac:dyDescent="0.15">
      <c r="A923" s="10"/>
      <c r="B923" s="13"/>
      <c r="C923" s="13"/>
    </row>
    <row r="924" spans="1:3" ht="13" x14ac:dyDescent="0.15">
      <c r="A924" s="10"/>
      <c r="B924" s="13"/>
      <c r="C924" s="13"/>
    </row>
    <row r="925" spans="1:3" ht="13" x14ac:dyDescent="0.15">
      <c r="A925" s="10"/>
      <c r="B925" s="13"/>
      <c r="C925" s="13"/>
    </row>
    <row r="926" spans="1:3" ht="13" x14ac:dyDescent="0.15">
      <c r="A926" s="10"/>
      <c r="B926" s="13"/>
      <c r="C926" s="13"/>
    </row>
    <row r="927" spans="1:3" ht="13" x14ac:dyDescent="0.15">
      <c r="A927" s="10"/>
      <c r="B927" s="13"/>
      <c r="C927" s="13"/>
    </row>
    <row r="928" spans="1:3" ht="13" x14ac:dyDescent="0.15">
      <c r="A928" s="10"/>
      <c r="B928" s="13"/>
      <c r="C928" s="13"/>
    </row>
    <row r="929" spans="1:3" ht="13" x14ac:dyDescent="0.15">
      <c r="A929" s="10"/>
      <c r="B929" s="13"/>
      <c r="C929" s="13"/>
    </row>
    <row r="930" spans="1:3" ht="13" x14ac:dyDescent="0.15">
      <c r="A930" s="10"/>
      <c r="B930" s="13"/>
      <c r="C930" s="13"/>
    </row>
    <row r="931" spans="1:3" ht="13" x14ac:dyDescent="0.15">
      <c r="A931" s="10"/>
      <c r="B931" s="13"/>
      <c r="C931" s="13"/>
    </row>
    <row r="932" spans="1:3" ht="13" x14ac:dyDescent="0.15">
      <c r="A932" s="10"/>
      <c r="B932" s="13"/>
      <c r="C932" s="13"/>
    </row>
    <row r="933" spans="1:3" ht="13" x14ac:dyDescent="0.15">
      <c r="A933" s="10"/>
      <c r="B933" s="13"/>
      <c r="C933" s="13"/>
    </row>
    <row r="934" spans="1:3" ht="13" x14ac:dyDescent="0.15">
      <c r="A934" s="10"/>
      <c r="B934" s="13"/>
      <c r="C934" s="13"/>
    </row>
    <row r="935" spans="1:3" ht="13" x14ac:dyDescent="0.15">
      <c r="A935" s="10"/>
      <c r="B935" s="13"/>
      <c r="C935" s="13"/>
    </row>
    <row r="936" spans="1:3" ht="13" x14ac:dyDescent="0.15">
      <c r="A936" s="10"/>
      <c r="B936" s="13"/>
      <c r="C936" s="13"/>
    </row>
    <row r="937" spans="1:3" ht="13" x14ac:dyDescent="0.15">
      <c r="A937" s="10"/>
      <c r="B937" s="13"/>
      <c r="C937" s="13"/>
    </row>
    <row r="938" spans="1:3" ht="13" x14ac:dyDescent="0.15">
      <c r="A938" s="10"/>
      <c r="B938" s="13"/>
      <c r="C938" s="13"/>
    </row>
    <row r="939" spans="1:3" ht="13" x14ac:dyDescent="0.15">
      <c r="A939" s="10"/>
      <c r="B939" s="13"/>
      <c r="C939" s="13"/>
    </row>
    <row r="940" spans="1:3" ht="13" x14ac:dyDescent="0.15">
      <c r="A940" s="10"/>
      <c r="B940" s="13"/>
      <c r="C940" s="13"/>
    </row>
    <row r="941" spans="1:3" ht="13" x14ac:dyDescent="0.15">
      <c r="A941" s="10"/>
      <c r="B941" s="13"/>
      <c r="C941" s="13"/>
    </row>
    <row r="942" spans="1:3" ht="13" x14ac:dyDescent="0.15">
      <c r="A942" s="10"/>
      <c r="B942" s="13"/>
      <c r="C942" s="13"/>
    </row>
    <row r="943" spans="1:3" ht="13" x14ac:dyDescent="0.15">
      <c r="A943" s="10"/>
      <c r="B943" s="13"/>
      <c r="C943" s="13"/>
    </row>
    <row r="944" spans="1:3" ht="13" x14ac:dyDescent="0.15">
      <c r="A944" s="10"/>
      <c r="B944" s="13"/>
      <c r="C944" s="13"/>
    </row>
    <row r="945" spans="1:3" ht="13" x14ac:dyDescent="0.15">
      <c r="A945" s="10"/>
      <c r="B945" s="13"/>
      <c r="C945" s="13"/>
    </row>
    <row r="946" spans="1:3" ht="13" x14ac:dyDescent="0.15">
      <c r="A946" s="10"/>
      <c r="B946" s="13"/>
      <c r="C946" s="13"/>
    </row>
    <row r="947" spans="1:3" ht="13" x14ac:dyDescent="0.15">
      <c r="A947" s="10"/>
      <c r="B947" s="13"/>
      <c r="C947" s="13"/>
    </row>
    <row r="948" spans="1:3" ht="13" x14ac:dyDescent="0.15">
      <c r="A948" s="10"/>
      <c r="B948" s="13"/>
      <c r="C948" s="13"/>
    </row>
    <row r="949" spans="1:3" ht="13" x14ac:dyDescent="0.15">
      <c r="A949" s="10"/>
      <c r="B949" s="13"/>
      <c r="C949" s="13"/>
    </row>
    <row r="950" spans="1:3" ht="13" x14ac:dyDescent="0.15">
      <c r="A950" s="10"/>
      <c r="B950" s="13"/>
      <c r="C950" s="13"/>
    </row>
    <row r="951" spans="1:3" ht="13" x14ac:dyDescent="0.15">
      <c r="A951" s="10"/>
      <c r="B951" s="13"/>
      <c r="C951" s="13"/>
    </row>
    <row r="952" spans="1:3" ht="13" x14ac:dyDescent="0.15">
      <c r="A952" s="10"/>
      <c r="B952" s="13"/>
      <c r="C952" s="13"/>
    </row>
    <row r="953" spans="1:3" ht="13" x14ac:dyDescent="0.15">
      <c r="A953" s="10"/>
      <c r="B953" s="13"/>
      <c r="C953" s="13"/>
    </row>
    <row r="954" spans="1:3" ht="13" x14ac:dyDescent="0.15">
      <c r="A954" s="10"/>
      <c r="B954" s="13"/>
      <c r="C954" s="13"/>
    </row>
    <row r="955" spans="1:3" ht="13" x14ac:dyDescent="0.15">
      <c r="A955" s="10"/>
      <c r="B955" s="13"/>
      <c r="C955" s="13"/>
    </row>
    <row r="956" spans="1:3" ht="13" x14ac:dyDescent="0.15">
      <c r="A956" s="10"/>
      <c r="B956" s="13"/>
      <c r="C956" s="13"/>
    </row>
    <row r="957" spans="1:3" ht="13" x14ac:dyDescent="0.15">
      <c r="A957" s="10"/>
      <c r="B957" s="13"/>
      <c r="C957" s="13"/>
    </row>
    <row r="958" spans="1:3" ht="13" x14ac:dyDescent="0.15">
      <c r="A958" s="10"/>
      <c r="B958" s="13"/>
      <c r="C958" s="13"/>
    </row>
    <row r="959" spans="1:3" ht="13" x14ac:dyDescent="0.15">
      <c r="A959" s="10"/>
      <c r="B959" s="13"/>
      <c r="C959" s="13"/>
    </row>
    <row r="960" spans="1:3" ht="13" x14ac:dyDescent="0.15">
      <c r="A960" s="10"/>
      <c r="B960" s="13"/>
      <c r="C960" s="13"/>
    </row>
    <row r="961" spans="1:3" ht="13" x14ac:dyDescent="0.15">
      <c r="A961" s="10"/>
      <c r="B961" s="13"/>
      <c r="C961" s="13"/>
    </row>
    <row r="962" spans="1:3" ht="13" x14ac:dyDescent="0.15">
      <c r="A962" s="10"/>
      <c r="B962" s="13"/>
      <c r="C962" s="13"/>
    </row>
    <row r="963" spans="1:3" ht="13" x14ac:dyDescent="0.15">
      <c r="A963" s="10"/>
      <c r="B963" s="13"/>
      <c r="C963" s="13"/>
    </row>
    <row r="964" spans="1:3" ht="13" x14ac:dyDescent="0.15">
      <c r="A964" s="10"/>
      <c r="B964" s="13"/>
      <c r="C964" s="13"/>
    </row>
    <row r="965" spans="1:3" ht="13" x14ac:dyDescent="0.15">
      <c r="A965" s="10"/>
      <c r="B965" s="13"/>
      <c r="C965" s="13"/>
    </row>
    <row r="966" spans="1:3" ht="13" x14ac:dyDescent="0.15">
      <c r="A966" s="10"/>
      <c r="B966" s="13"/>
      <c r="C966" s="13"/>
    </row>
    <row r="967" spans="1:3" ht="13" x14ac:dyDescent="0.15">
      <c r="A967" s="10"/>
      <c r="B967" s="13"/>
      <c r="C967" s="13"/>
    </row>
    <row r="968" spans="1:3" ht="13" x14ac:dyDescent="0.15">
      <c r="A968" s="10"/>
      <c r="B968" s="13"/>
      <c r="C968" s="13"/>
    </row>
    <row r="969" spans="1:3" ht="13" x14ac:dyDescent="0.15">
      <c r="A969" s="10"/>
      <c r="B969" s="13"/>
      <c r="C969" s="13"/>
    </row>
    <row r="970" spans="1:3" ht="13" x14ac:dyDescent="0.15">
      <c r="A970" s="10"/>
      <c r="B970" s="13"/>
      <c r="C970" s="13"/>
    </row>
    <row r="971" spans="1:3" ht="13" x14ac:dyDescent="0.15">
      <c r="A971" s="10"/>
      <c r="B971" s="13"/>
      <c r="C971" s="13"/>
    </row>
    <row r="972" spans="1:3" ht="13" x14ac:dyDescent="0.15">
      <c r="A972" s="10"/>
      <c r="B972" s="13"/>
      <c r="C972" s="13"/>
    </row>
    <row r="973" spans="1:3" ht="13" x14ac:dyDescent="0.15">
      <c r="A973" s="10"/>
      <c r="B973" s="13"/>
      <c r="C973" s="13"/>
    </row>
    <row r="974" spans="1:3" ht="13" x14ac:dyDescent="0.15">
      <c r="A974" s="10"/>
      <c r="B974" s="13"/>
      <c r="C974" s="13"/>
    </row>
    <row r="975" spans="1:3" ht="13" x14ac:dyDescent="0.15">
      <c r="A975" s="10"/>
      <c r="B975" s="13"/>
      <c r="C975" s="13"/>
    </row>
    <row r="976" spans="1:3" ht="13" x14ac:dyDescent="0.15">
      <c r="A976" s="10"/>
      <c r="B976" s="13"/>
      <c r="C976" s="13"/>
    </row>
    <row r="977" spans="1:3" ht="13" x14ac:dyDescent="0.15">
      <c r="A977" s="10"/>
      <c r="B977" s="13"/>
      <c r="C977" s="13"/>
    </row>
    <row r="978" spans="1:3" ht="13" x14ac:dyDescent="0.15">
      <c r="A978" s="10"/>
      <c r="B978" s="13"/>
      <c r="C978" s="13"/>
    </row>
    <row r="979" spans="1:3" ht="13" x14ac:dyDescent="0.15">
      <c r="A979" s="10"/>
      <c r="B979" s="13"/>
      <c r="C979" s="13"/>
    </row>
    <row r="980" spans="1:3" ht="13" x14ac:dyDescent="0.15">
      <c r="A980" s="10"/>
      <c r="B980" s="13"/>
      <c r="C980" s="13"/>
    </row>
    <row r="981" spans="1:3" ht="13" x14ac:dyDescent="0.15">
      <c r="A981" s="10"/>
      <c r="B981" s="13"/>
      <c r="C981" s="13"/>
    </row>
    <row r="982" spans="1:3" ht="13" x14ac:dyDescent="0.15">
      <c r="A982" s="10"/>
      <c r="B982" s="13"/>
      <c r="C982" s="13"/>
    </row>
    <row r="983" spans="1:3" ht="13" x14ac:dyDescent="0.15">
      <c r="A983" s="10"/>
      <c r="B983" s="13"/>
      <c r="C983" s="13"/>
    </row>
    <row r="984" spans="1:3" ht="13" x14ac:dyDescent="0.15">
      <c r="A984" s="10"/>
      <c r="B984" s="13"/>
      <c r="C984" s="13"/>
    </row>
    <row r="985" spans="1:3" ht="13" x14ac:dyDescent="0.15">
      <c r="A985" s="10"/>
      <c r="B985" s="13"/>
      <c r="C985" s="13"/>
    </row>
    <row r="986" spans="1:3" ht="13" x14ac:dyDescent="0.15">
      <c r="A986" s="10"/>
      <c r="B986" s="13"/>
      <c r="C986" s="13"/>
    </row>
    <row r="987" spans="1:3" ht="13" x14ac:dyDescent="0.15">
      <c r="A987" s="10"/>
      <c r="B987" s="13"/>
      <c r="C987" s="13"/>
    </row>
    <row r="988" spans="1:3" ht="13" x14ac:dyDescent="0.15">
      <c r="A988" s="10"/>
      <c r="B988" s="13"/>
      <c r="C988" s="13"/>
    </row>
    <row r="989" spans="1:3" ht="13" x14ac:dyDescent="0.15">
      <c r="A989" s="10"/>
      <c r="B989" s="13"/>
      <c r="C989" s="13"/>
    </row>
    <row r="990" spans="1:3" ht="13" x14ac:dyDescent="0.15">
      <c r="A990" s="10"/>
      <c r="B990" s="13"/>
      <c r="C990" s="13"/>
    </row>
    <row r="991" spans="1:3" ht="13" x14ac:dyDescent="0.15">
      <c r="A991" s="10"/>
      <c r="B991" s="13"/>
      <c r="C991" s="13"/>
    </row>
    <row r="992" spans="1:3" ht="13" x14ac:dyDescent="0.15">
      <c r="A992" s="10"/>
      <c r="B992" s="13"/>
      <c r="C992" s="13"/>
    </row>
    <row r="993" spans="1:3" ht="13" x14ac:dyDescent="0.15">
      <c r="A993" s="10"/>
      <c r="B993" s="13"/>
      <c r="C993" s="13"/>
    </row>
    <row r="994" spans="1:3" ht="13" x14ac:dyDescent="0.15">
      <c r="A994" s="10"/>
      <c r="B994" s="13"/>
      <c r="C994" s="13"/>
    </row>
    <row r="995" spans="1:3" ht="13" x14ac:dyDescent="0.15">
      <c r="A995" s="10"/>
      <c r="B995" s="13"/>
      <c r="C995" s="13"/>
    </row>
    <row r="996" spans="1:3" ht="13" x14ac:dyDescent="0.15">
      <c r="A996" s="10"/>
      <c r="B996" s="13"/>
      <c r="C996" s="13"/>
    </row>
    <row r="997" spans="1:3" ht="13" x14ac:dyDescent="0.15">
      <c r="A997" s="10"/>
      <c r="B997" s="13"/>
      <c r="C997" s="13"/>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outlinePr summaryBelow="0" summaryRight="0"/>
  </sheetPr>
  <dimension ref="A1:D997"/>
  <sheetViews>
    <sheetView workbookViewId="0"/>
  </sheetViews>
  <sheetFormatPr baseColWidth="10" defaultColWidth="12.6640625" defaultRowHeight="15.75" customHeight="1" x14ac:dyDescent="0.15"/>
  <cols>
    <col min="1" max="1" width="71.5" customWidth="1"/>
    <col min="2" max="4" width="37.6640625" customWidth="1"/>
  </cols>
  <sheetData>
    <row r="1" spans="1:4" ht="15.75" customHeight="1" x14ac:dyDescent="0.15">
      <c r="A1" s="1"/>
      <c r="B1" s="10" t="str">
        <f ca="1">IFERROR(__xludf.DUMMYFUNCTION("IMPORTRANGE(""https://docs.google.com/spreadsheets/u/0/d/19yPRVnLV0A_2o92-w6L11RYWj24Qqnerv8i8p-ngiq4"", ""A27!B1:B22"")"),"Jackson Root")</f>
        <v>Jackson Root</v>
      </c>
      <c r="C1" s="10" t="str">
        <f ca="1">IFERROR(__xludf.DUMMYFUNCTION("IMPORTRANGE(""https://docs.google.com/spreadsheets/u/0/d/1QLAeYl5D81_Myo-agZdCgYFm7rliPzxg4xkt-QHL9OA"", ""A27!B1:B22"")"),"Rin Godfrey")</f>
        <v>Rin Godfrey</v>
      </c>
      <c r="D1" s="2" t="s">
        <v>1</v>
      </c>
    </row>
    <row r="2" spans="1:4" ht="15.75" customHeight="1" x14ac:dyDescent="0.15">
      <c r="A2" s="3" t="s">
        <v>2</v>
      </c>
      <c r="B2" s="15" t="str">
        <f ca="1">IFERROR(__xludf.DUMMYFUNCTION("""COMPUTED_VALUE"""),"Stop: 18539   forward")</f>
        <v>Stop: 18539   forward</v>
      </c>
      <c r="C2" s="15" t="str">
        <f ca="1">IFERROR(__xludf.DUMMYFUNCTION("""COMPUTED_VALUE"""),"Start: 18162
Stop: 18539 FOR")</f>
        <v>Start: 18162
Stop: 18539 FOR</v>
      </c>
      <c r="D2" s="4"/>
    </row>
    <row r="3" spans="1:4" ht="15.75" customHeight="1" x14ac:dyDescent="0.15">
      <c r="A3" s="5" t="s">
        <v>3</v>
      </c>
      <c r="B3" s="17" t="str">
        <f ca="1">IFERROR(__xludf.DUMMYFUNCTION("""COMPUTED_VALUE"""),"DNA Master: 26   Phamerator: 27")</f>
        <v>DNA Master: 26   Phamerator: 27</v>
      </c>
      <c r="C3" s="17" t="str">
        <f ca="1">IFERROR(__xludf.DUMMYFUNCTION("""COMPUTED_VALUE"""),"DNA Master 26
Phamertor 27")</f>
        <v>DNA Master 26
Phamertor 27</v>
      </c>
      <c r="D3" s="6"/>
    </row>
    <row r="4" spans="1:4" ht="15.75" customHeight="1" x14ac:dyDescent="0.15">
      <c r="A4" s="5" t="s">
        <v>4</v>
      </c>
      <c r="B4" s="17" t="str">
        <f ca="1">IFERROR(__xludf.DUMMYFUNCTION("""COMPUTED_VALUE""")," pham 5519  2/27/25")</f>
        <v xml:space="preserve"> pham 5519  2/27/25</v>
      </c>
      <c r="C4" s="17" t="str">
        <f ca="1">IFERROR(__xludf.DUMMYFUNCTION("""COMPUTED_VALUE"""),"5519 3/5/25")</f>
        <v>5519 3/5/25</v>
      </c>
      <c r="D4" s="6"/>
    </row>
    <row r="5" spans="1:4" ht="15.75" customHeight="1" x14ac:dyDescent="0.15">
      <c r="A5" s="5" t="s">
        <v>5</v>
      </c>
      <c r="B5" s="17" t="str">
        <f ca="1">IFERROR(__xludf.DUMMYFUNCTION("""COMPUTED_VALUE"""),"Kovu_28, Edmundo_24")</f>
        <v>Kovu_28, Edmundo_24</v>
      </c>
      <c r="C5" s="17" t="str">
        <f ca="1">IFERROR(__xludf.DUMMYFUNCTION("""COMPUTED_VALUE""")," Kharcho_99,  Edmundo_24")</f>
        <v xml:space="preserve"> Kharcho_99,  Edmundo_24</v>
      </c>
      <c r="D5" s="6"/>
    </row>
    <row r="6" spans="1:4" ht="15.75" customHeight="1" x14ac:dyDescent="0.15">
      <c r="A6" s="5" t="s">
        <v>6</v>
      </c>
      <c r="B6" s="17" t="str">
        <f ca="1">IFERROR(__xludf.DUMMYFUNCTION("""COMPUTED_VALUE"""),"Both call 18162")</f>
        <v>Both call 18162</v>
      </c>
      <c r="C6" s="17" t="str">
        <f ca="1">IFERROR(__xludf.DUMMYFUNCTION("""COMPUTED_VALUE"""),"Both call strength 13.85")</f>
        <v>Both call strength 13.85</v>
      </c>
      <c r="D6" s="6"/>
    </row>
    <row r="7" spans="1:4" ht="15.75" customHeight="1" x14ac:dyDescent="0.15">
      <c r="A7" s="5" t="s">
        <v>7</v>
      </c>
      <c r="B7" s="17" t="str">
        <f ca="1">IFERROR(__xludf.DUMMYFUNCTION("""COMPUTED_VALUE"""),"Yes there is great coding potential ")</f>
        <v xml:space="preserve">Yes there is great coding potential </v>
      </c>
      <c r="C7" s="17" t="str">
        <f ca="1">IFERROR(__xludf.DUMMYFUNCTION("""COMPUTED_VALUE"""),"The potentail is good but it is very close with another gene and might have a nother start.")</f>
        <v>The potentail is good but it is very close with another gene and might have a nother start.</v>
      </c>
      <c r="D7" s="6"/>
    </row>
    <row r="8" spans="1:4" ht="15.75" customHeight="1" x14ac:dyDescent="0.15">
      <c r="A8" s="5" t="s">
        <v>8</v>
      </c>
      <c r="B8" s="17" t="str">
        <f ca="1">IFERROR(__xludf.DUMMYFUNCTION("""COMPUTED_VALUE"""),"this is the longest ORF")</f>
        <v>this is the longest ORF</v>
      </c>
      <c r="C8" s="17" t="str">
        <f ca="1">IFERROR(__xludf.DUMMYFUNCTION("""COMPUTED_VALUE"""),"This is the longest possible.")</f>
        <v>This is the longest possible.</v>
      </c>
      <c r="D8" s="6"/>
    </row>
    <row r="9" spans="1:4" ht="15.75" customHeight="1" x14ac:dyDescent="0.15">
      <c r="A9" s="5" t="s">
        <v>9</v>
      </c>
      <c r="B9" s="17" t="str">
        <f ca="1">IFERROR(__xludf.DUMMYFUNCTION("""COMPUTED_VALUE"""),"Gap: 4 Bp with previous gene; Gap with next gene: 33 Bp")</f>
        <v>Gap: 4 Bp with previous gene; Gap with next gene: 33 Bp</v>
      </c>
      <c r="C9" s="17" t="str">
        <f ca="1">IFERROR(__xludf.DUMMYFUNCTION("""COMPUTED_VALUE"""),"Gap of 4 nucletide")</f>
        <v>Gap of 4 nucletide</v>
      </c>
      <c r="D9" s="6"/>
    </row>
    <row r="10" spans="1:4" ht="15.75" customHeight="1" x14ac:dyDescent="0.15">
      <c r="A10" s="5" t="s">
        <v>10</v>
      </c>
      <c r="B10" s="17" t="str">
        <f ca="1">IFERROR(__xludf.DUMMYFUNCTION("""COMPUTED_VALUE"""),"Z-score: 2.863, This is the best score")</f>
        <v>Z-score: 2.863, This is the best score</v>
      </c>
      <c r="C10" s="17" t="str">
        <f ca="1">IFERROR(__xludf.DUMMYFUNCTION("""COMPUTED_VALUE"""),"Z-score 2.863 and Final -3.747 best score")</f>
        <v>Z-score 2.863 and Final -3.747 best score</v>
      </c>
      <c r="D10" s="6"/>
    </row>
    <row r="11" spans="1:4" ht="15.75" customHeight="1" x14ac:dyDescent="0.15">
      <c r="A11" s="5" t="s">
        <v>11</v>
      </c>
      <c r="B11" s="17" t="str">
        <f ca="1">IFERROR(__xludf.DUMMYFUNCTION("""COMPUTED_VALUE"""),"Best hit: Kovu, % Identity: 89.60; E-value: 0.0E0; Query: 1-125; Target: 1-125")</f>
        <v>Best hit: Kovu, % Identity: 89.60; E-value: 0.0E0; Query: 1-125; Target: 1-125</v>
      </c>
      <c r="C11" s="17" t="str">
        <f ca="1">IFERROR(__xludf.DUMMYFUNCTION("""COMPUTED_VALUE"""),"Kovu
89.60% identity
0.0e, q 1-125, t 1-125")</f>
        <v>Kovu
89.60% identity
0.0e, q 1-125, t 1-125</v>
      </c>
      <c r="D11" s="6"/>
    </row>
    <row r="12" spans="1:4" ht="15.75" customHeight="1" x14ac:dyDescent="0.15">
      <c r="A12" s="5" t="s">
        <v>12</v>
      </c>
      <c r="B12" s="17" t="str">
        <f ca="1">IFERROR(__xludf.DUMMYFUNCTION("""COMPUTED_VALUE"""),"Start is conserved in all members of pham, called 100% of the time when present")</f>
        <v>Start is conserved in all members of pham, called 100% of the time when present</v>
      </c>
      <c r="C12" s="17" t="str">
        <f ca="1">IFERROR(__xludf.DUMMYFUNCTION("""COMPUTED_VALUE"""),"Edmundo_24 (AL), Kharcho_99 (FM)
Call 100%")</f>
        <v>Edmundo_24 (AL), Kharcho_99 (FM)
Call 100%</v>
      </c>
      <c r="D12" s="6"/>
    </row>
    <row r="13" spans="1:4" ht="15.75" customHeight="1" x14ac:dyDescent="0.15">
      <c r="A13" s="5" t="s">
        <v>13</v>
      </c>
      <c r="B13" s="17" t="str">
        <f ca="1">IFERROR(__xludf.DUMMYFUNCTION("""COMPUTED_VALUE"""),"No because the dstart is conserved in all members, the Z-score is great, and moving it would create an overlap. ")</f>
        <v xml:space="preserve">No because the dstart is conserved in all members, the Z-score is great, and moving it would create an overlap. </v>
      </c>
      <c r="C13" s="17" t="str">
        <f ca="1">IFERROR(__xludf.DUMMYFUNCTION("""COMPUTED_VALUE"""),"No change to the start no reason why.")</f>
        <v>No change to the start no reason why.</v>
      </c>
      <c r="D13" s="6"/>
    </row>
    <row r="14" spans="1:4" ht="15.75" customHeight="1" x14ac:dyDescent="0.15">
      <c r="A14" s="5" t="s">
        <v>14</v>
      </c>
      <c r="B14" s="17" t="str">
        <f ca="1">IFERROR(__xludf.DUMMYFUNCTION("""COMPUTED_VALUE"""),"Kovu_ 28(head fiber protien) ")</f>
        <v xml:space="preserve">Kovu_ 28(head fiber protien) </v>
      </c>
      <c r="C14" s="17" t="str">
        <f ca="1">IFERROR(__xludf.DUMMYFUNCTION("""COMPUTED_VALUE"""),"Kovu_28,
Salgado_25")</f>
        <v>Kovu_28,
Salgado_25</v>
      </c>
      <c r="D14" s="6"/>
    </row>
    <row r="15" spans="1:4" ht="15.75" customHeight="1" x14ac:dyDescent="0.15">
      <c r="A15" s="5" t="s">
        <v>15</v>
      </c>
      <c r="B15" s="17" t="str">
        <f ca="1">IFERROR(__xludf.DUMMYFUNCTION("""COMPUTED_VALUE"""),"capsid or head fiber protien")</f>
        <v>capsid or head fiber protien</v>
      </c>
      <c r="C15" s="17" t="str">
        <f ca="1">IFERROR(__xludf.DUMMYFUNCTION("""COMPUTED_VALUE"""),"head fiber protein  Kovu_28")</f>
        <v>head fiber protein  Kovu_28</v>
      </c>
      <c r="D15" s="6"/>
    </row>
    <row r="16" spans="1:4" ht="15.75" customHeight="1" x14ac:dyDescent="0.15">
      <c r="A16" s="5" t="s">
        <v>16</v>
      </c>
      <c r="B16" s="17" t="str">
        <f ca="1">IFERROR(__xludf.DUMMYFUNCTION("""COMPUTED_VALUE"""),"Found in the same genetic envorinment as Kovu 28")</f>
        <v>Found in the same genetic envorinment as Kovu 28</v>
      </c>
      <c r="C16" s="17" t="str">
        <f ca="1">IFERROR(__xludf.DUMMYFUNCTION("""COMPUTED_VALUE"""),"Yes it matches well with Kovu and is across Kovu 28")</f>
        <v>Yes it matches well with Kovu and is across Kovu 28</v>
      </c>
      <c r="D16" s="6"/>
    </row>
    <row r="17" spans="1:4" ht="15.75" customHeight="1" x14ac:dyDescent="0.15">
      <c r="A17" s="5" t="s">
        <v>17</v>
      </c>
      <c r="B17" s="17" t="str">
        <f ca="1">IFERROR(__xludf.DUMMYFUNCTION("""COMPUTED_VALUE"""),"% Q:88.8%     % T: 93.3%    Yes the function is found within the alignment ")</f>
        <v xml:space="preserve">% Q:88.8%     % T: 93.3%    Yes the function is found within the alignment </v>
      </c>
      <c r="C17" s="17" t="str">
        <f ca="1">IFERROR(__xludf.DUMMYFUNCTION("""COMPUTED_VALUE"""),"6QYY_A Capsid fiber protein; bacteriophage, phi29, prohead, VIRUS; HET: SO4; 1.8A {Bacillus phage phi29}
Probability: 99.75%
Query: 89%
Target: 93%
The fuction domain is part of the alignmnet.")</f>
        <v>6QYY_A Capsid fiber protein; bacteriophage, phi29, prohead, VIRUS; HET: SO4; 1.8A {Bacillus phage phi29}
Probability: 99.75%
Query: 89%
Target: 93%
The fuction domain is part of the alignmnet.</v>
      </c>
      <c r="D17" s="6"/>
    </row>
    <row r="18" spans="1:4" ht="15.75" customHeight="1" x14ac:dyDescent="0.15">
      <c r="A18" s="5" t="s">
        <v>18</v>
      </c>
      <c r="B18" s="17" t="str">
        <f ca="1">IFERROR(__xludf.DUMMYFUNCTION("""COMPUTED_VALUE"""),"No conserved domain in NCBI")</f>
        <v>No conserved domain in NCBI</v>
      </c>
      <c r="C18" s="17" t="str">
        <f ca="1">IFERROR(__xludf.DUMMYFUNCTION("""COMPUTED_VALUE"""),"None")</f>
        <v>None</v>
      </c>
      <c r="D18" s="6"/>
    </row>
    <row r="19" spans="1:4" ht="15.75" customHeight="1" x14ac:dyDescent="0.15">
      <c r="A19" s="5" t="s">
        <v>19</v>
      </c>
      <c r="B19" s="17" t="str">
        <f ca="1">IFERROR(__xludf.DUMMYFUNCTION("""COMPUTED_VALUE"""),"Outside membrane ")</f>
        <v xml:space="preserve">Outside membrane </v>
      </c>
      <c r="C19" s="17" t="str">
        <f ca="1">IFERROR(__xludf.DUMMYFUNCTION("""COMPUTED_VALUE"""),"None")</f>
        <v>None</v>
      </c>
      <c r="D19" s="6"/>
    </row>
    <row r="20" spans="1:4" ht="15.75" customHeight="1" x14ac:dyDescent="0.15">
      <c r="A20" s="5" t="s">
        <v>20</v>
      </c>
      <c r="B20" s="17" t="str">
        <f ca="1">IFERROR(__xludf.DUMMYFUNCTION("""COMPUTED_VALUE"""),"head fiber protein   The function is conserved within Kovu and the TMHMM predicts the function is on the outside of the cell. Even though some of the best hits were to different capsid protiens (ie: fiber, stabilization, etc.), there isnt a conserved doma"&amp;"in, leading the function to be closely relate to Kovu_28 head fiber protien. ")</f>
        <v xml:space="preserve">head fiber protein   The function is conserved within Kovu and the TMHMM predicts the function is on the outside of the cell. Even though some of the best hits were to different capsid protiens (ie: fiber, stabilization, etc.), there isnt a conserved domain, leading the function to be closely relate to Kovu_28 head fiber protien. </v>
      </c>
      <c r="C20" s="17" t="str">
        <f ca="1">IFERROR(__xludf.DUMMYFUNCTION("""COMPUTED_VALUE"""),"head fiber protein is the fuction I call. It matches well with the Kovu and the evident shows how well they both match.")</f>
        <v>head fiber protein is the fuction I call. It matches well with the Kovu and the evident shows how well they both match.</v>
      </c>
      <c r="D20" s="6"/>
    </row>
    <row r="21" spans="1:4" x14ac:dyDescent="0.2">
      <c r="A21" s="7"/>
      <c r="B21" s="19"/>
      <c r="C21" s="19"/>
      <c r="D21" s="8"/>
    </row>
    <row r="22" spans="1:4" ht="15.75" customHeight="1" x14ac:dyDescent="0.15">
      <c r="A22" s="9" t="s">
        <v>21</v>
      </c>
      <c r="B22" s="19"/>
      <c r="C22" s="19"/>
      <c r="D22" s="8"/>
    </row>
    <row r="23" spans="1:4" ht="15.75" customHeight="1" x14ac:dyDescent="0.15">
      <c r="A23" s="10"/>
      <c r="B23" s="13"/>
      <c r="C23" s="13"/>
    </row>
    <row r="24" spans="1:4" ht="15.75" customHeight="1" x14ac:dyDescent="0.15">
      <c r="A24" s="10"/>
      <c r="B24" s="13"/>
      <c r="C24" s="13"/>
    </row>
    <row r="25" spans="1:4" ht="15.75" customHeight="1" x14ac:dyDescent="0.15">
      <c r="A25" s="10"/>
      <c r="B25" s="13"/>
      <c r="C25" s="13"/>
    </row>
    <row r="26" spans="1:4" ht="15.75" customHeight="1" x14ac:dyDescent="0.15">
      <c r="A26" s="10"/>
      <c r="B26" s="13"/>
      <c r="C26" s="13"/>
    </row>
    <row r="27" spans="1:4" ht="15.75" customHeight="1" x14ac:dyDescent="0.15">
      <c r="A27" s="10"/>
      <c r="B27" s="13"/>
      <c r="C27" s="13"/>
    </row>
    <row r="28" spans="1:4" ht="15.75" customHeight="1" x14ac:dyDescent="0.15">
      <c r="A28" s="10"/>
      <c r="B28" s="13"/>
      <c r="C28" s="13"/>
    </row>
    <row r="29" spans="1:4" ht="15.75" customHeight="1" x14ac:dyDescent="0.15">
      <c r="A29" s="10"/>
      <c r="B29" s="13"/>
      <c r="C29" s="13"/>
    </row>
    <row r="30" spans="1:4" ht="15.75" customHeight="1" x14ac:dyDescent="0.15">
      <c r="A30" s="10"/>
      <c r="B30" s="13"/>
      <c r="C30" s="13"/>
    </row>
    <row r="31" spans="1:4" ht="15.75" customHeight="1" x14ac:dyDescent="0.15">
      <c r="A31" s="10"/>
      <c r="B31" s="13"/>
      <c r="C31" s="13"/>
    </row>
    <row r="32" spans="1:4" ht="15.75" customHeight="1" x14ac:dyDescent="0.15">
      <c r="A32" s="10"/>
      <c r="B32" s="13"/>
      <c r="C32" s="13"/>
    </row>
    <row r="33" spans="1:3" ht="15.75" customHeight="1" x14ac:dyDescent="0.15">
      <c r="A33" s="10"/>
      <c r="B33" s="13"/>
      <c r="C33" s="13"/>
    </row>
    <row r="34" spans="1:3" ht="15.75" customHeight="1" x14ac:dyDescent="0.15">
      <c r="A34" s="10"/>
      <c r="B34" s="13"/>
      <c r="C34" s="13"/>
    </row>
    <row r="35" spans="1:3" ht="15.75" customHeight="1" x14ac:dyDescent="0.15">
      <c r="A35" s="10"/>
      <c r="B35" s="13"/>
      <c r="C35" s="13"/>
    </row>
    <row r="36" spans="1:3" ht="15.75" customHeight="1" x14ac:dyDescent="0.15">
      <c r="A36" s="10"/>
      <c r="B36" s="13"/>
      <c r="C36" s="13"/>
    </row>
    <row r="37" spans="1:3" ht="15.75" customHeight="1" x14ac:dyDescent="0.15">
      <c r="A37" s="10"/>
      <c r="B37" s="13"/>
      <c r="C37" s="13"/>
    </row>
    <row r="38" spans="1:3" ht="15.75" customHeight="1" x14ac:dyDescent="0.15">
      <c r="A38" s="10"/>
      <c r="B38" s="13"/>
      <c r="C38" s="13"/>
    </row>
    <row r="39" spans="1:3" ht="13" x14ac:dyDescent="0.15">
      <c r="A39" s="10"/>
      <c r="B39" s="13"/>
      <c r="C39" s="13"/>
    </row>
    <row r="40" spans="1:3" ht="13" x14ac:dyDescent="0.15">
      <c r="A40" s="10"/>
      <c r="B40" s="13"/>
      <c r="C40" s="13"/>
    </row>
    <row r="41" spans="1:3" ht="13" x14ac:dyDescent="0.15">
      <c r="A41" s="10"/>
      <c r="B41" s="13"/>
      <c r="C41" s="13"/>
    </row>
    <row r="42" spans="1:3" ht="13" x14ac:dyDescent="0.15">
      <c r="A42" s="10"/>
      <c r="B42" s="13"/>
      <c r="C42" s="13"/>
    </row>
    <row r="43" spans="1:3" ht="13" x14ac:dyDescent="0.15">
      <c r="A43" s="10"/>
      <c r="B43" s="13"/>
      <c r="C43" s="13"/>
    </row>
    <row r="44" spans="1:3" ht="13" x14ac:dyDescent="0.15">
      <c r="A44" s="10"/>
      <c r="B44" s="13"/>
      <c r="C44" s="13"/>
    </row>
    <row r="45" spans="1:3" ht="13" x14ac:dyDescent="0.15">
      <c r="A45" s="10"/>
      <c r="B45" s="13"/>
      <c r="C45" s="13"/>
    </row>
    <row r="46" spans="1:3" ht="13" x14ac:dyDescent="0.15">
      <c r="A46" s="10"/>
      <c r="B46" s="13"/>
      <c r="C46" s="13"/>
    </row>
    <row r="47" spans="1:3" ht="13" x14ac:dyDescent="0.15">
      <c r="A47" s="10"/>
      <c r="B47" s="13"/>
      <c r="C47" s="13"/>
    </row>
    <row r="48" spans="1:3" ht="13" x14ac:dyDescent="0.15">
      <c r="A48" s="10"/>
      <c r="B48" s="13"/>
      <c r="C48" s="13"/>
    </row>
    <row r="49" spans="1:3" ht="13" x14ac:dyDescent="0.15">
      <c r="A49" s="10"/>
      <c r="B49" s="13"/>
      <c r="C49" s="13"/>
    </row>
    <row r="50" spans="1:3" ht="13" x14ac:dyDescent="0.15">
      <c r="A50" s="10"/>
      <c r="B50" s="13"/>
      <c r="C50" s="13"/>
    </row>
    <row r="51" spans="1:3" ht="13" x14ac:dyDescent="0.15">
      <c r="A51" s="10"/>
      <c r="B51" s="13"/>
      <c r="C51" s="13"/>
    </row>
    <row r="52" spans="1:3" ht="13" x14ac:dyDescent="0.15">
      <c r="A52" s="10"/>
      <c r="B52" s="13"/>
      <c r="C52" s="13"/>
    </row>
    <row r="53" spans="1:3" ht="13" x14ac:dyDescent="0.15">
      <c r="A53" s="10"/>
      <c r="B53" s="13"/>
      <c r="C53" s="13"/>
    </row>
    <row r="54" spans="1:3" ht="13" x14ac:dyDescent="0.15">
      <c r="A54" s="10"/>
      <c r="B54" s="13"/>
      <c r="C54" s="13"/>
    </row>
    <row r="55" spans="1:3" ht="13" x14ac:dyDescent="0.15">
      <c r="A55" s="10"/>
      <c r="B55" s="13"/>
      <c r="C55" s="13"/>
    </row>
    <row r="56" spans="1:3" ht="13" x14ac:dyDescent="0.15">
      <c r="A56" s="10"/>
      <c r="B56" s="13"/>
      <c r="C56" s="13"/>
    </row>
    <row r="57" spans="1:3" ht="13" x14ac:dyDescent="0.15">
      <c r="A57" s="10"/>
      <c r="B57" s="13"/>
      <c r="C57" s="13"/>
    </row>
    <row r="58" spans="1:3" ht="13" x14ac:dyDescent="0.15">
      <c r="A58" s="10"/>
      <c r="B58" s="13"/>
      <c r="C58" s="13"/>
    </row>
    <row r="59" spans="1:3" ht="13" x14ac:dyDescent="0.15">
      <c r="A59" s="10"/>
      <c r="B59" s="13"/>
      <c r="C59" s="13"/>
    </row>
    <row r="60" spans="1:3" ht="13" x14ac:dyDescent="0.15">
      <c r="A60" s="10"/>
      <c r="B60" s="13"/>
      <c r="C60" s="13"/>
    </row>
    <row r="61" spans="1:3" ht="13" x14ac:dyDescent="0.15">
      <c r="A61" s="10"/>
      <c r="B61" s="13"/>
      <c r="C61" s="13"/>
    </row>
    <row r="62" spans="1:3" ht="13" x14ac:dyDescent="0.15">
      <c r="A62" s="10"/>
      <c r="B62" s="13"/>
      <c r="C62" s="13"/>
    </row>
    <row r="63" spans="1:3" ht="13" x14ac:dyDescent="0.15">
      <c r="A63" s="10"/>
      <c r="B63" s="13"/>
      <c r="C63" s="13"/>
    </row>
    <row r="64" spans="1:3" ht="13" x14ac:dyDescent="0.15">
      <c r="A64" s="10"/>
      <c r="B64" s="13"/>
      <c r="C64" s="13"/>
    </row>
    <row r="65" spans="1:3" ht="13" x14ac:dyDescent="0.15">
      <c r="A65" s="10"/>
      <c r="B65" s="13"/>
      <c r="C65" s="13"/>
    </row>
    <row r="66" spans="1:3" ht="13" x14ac:dyDescent="0.15">
      <c r="A66" s="10"/>
      <c r="B66" s="13"/>
      <c r="C66" s="13"/>
    </row>
    <row r="67" spans="1:3" ht="13" x14ac:dyDescent="0.15">
      <c r="A67" s="10"/>
      <c r="B67" s="13"/>
      <c r="C67" s="13"/>
    </row>
    <row r="68" spans="1:3" ht="13" x14ac:dyDescent="0.15">
      <c r="A68" s="10"/>
      <c r="B68" s="13"/>
      <c r="C68" s="13"/>
    </row>
    <row r="69" spans="1:3" ht="13" x14ac:dyDescent="0.15">
      <c r="A69" s="10"/>
      <c r="B69" s="13"/>
      <c r="C69" s="13"/>
    </row>
    <row r="70" spans="1:3" ht="13" x14ac:dyDescent="0.15">
      <c r="A70" s="10"/>
      <c r="B70" s="13"/>
      <c r="C70" s="13"/>
    </row>
    <row r="71" spans="1:3" ht="13" x14ac:dyDescent="0.15">
      <c r="A71" s="10"/>
      <c r="B71" s="13"/>
      <c r="C71" s="13"/>
    </row>
    <row r="72" spans="1:3" ht="13" x14ac:dyDescent="0.15">
      <c r="A72" s="10"/>
      <c r="B72" s="13"/>
      <c r="C72" s="13"/>
    </row>
    <row r="73" spans="1:3" ht="13" x14ac:dyDescent="0.15">
      <c r="A73" s="10"/>
      <c r="B73" s="13"/>
      <c r="C73" s="13"/>
    </row>
    <row r="74" spans="1:3" ht="13" x14ac:dyDescent="0.15">
      <c r="A74" s="10"/>
      <c r="B74" s="13"/>
      <c r="C74" s="13"/>
    </row>
    <row r="75" spans="1:3" ht="13" x14ac:dyDescent="0.15">
      <c r="A75" s="10"/>
      <c r="B75" s="13"/>
      <c r="C75" s="13"/>
    </row>
    <row r="76" spans="1:3" ht="13" x14ac:dyDescent="0.15">
      <c r="A76" s="10"/>
      <c r="B76" s="13"/>
      <c r="C76" s="13"/>
    </row>
    <row r="77" spans="1:3" ht="13" x14ac:dyDescent="0.15">
      <c r="A77" s="10"/>
      <c r="B77" s="13"/>
      <c r="C77" s="13"/>
    </row>
    <row r="78" spans="1:3" ht="13" x14ac:dyDescent="0.15">
      <c r="A78" s="10"/>
      <c r="B78" s="13"/>
      <c r="C78" s="13"/>
    </row>
    <row r="79" spans="1:3" ht="13" x14ac:dyDescent="0.15">
      <c r="A79" s="10"/>
      <c r="B79" s="13"/>
      <c r="C79" s="13"/>
    </row>
    <row r="80" spans="1:3" ht="13" x14ac:dyDescent="0.15">
      <c r="A80" s="10"/>
      <c r="B80" s="13"/>
      <c r="C80" s="13"/>
    </row>
    <row r="81" spans="1:3" ht="13" x14ac:dyDescent="0.15">
      <c r="A81" s="10"/>
      <c r="B81" s="13"/>
      <c r="C81" s="13"/>
    </row>
    <row r="82" spans="1:3" ht="13" x14ac:dyDescent="0.15">
      <c r="A82" s="10"/>
      <c r="B82" s="13"/>
      <c r="C82" s="13"/>
    </row>
    <row r="83" spans="1:3" ht="13" x14ac:dyDescent="0.15">
      <c r="A83" s="10"/>
      <c r="B83" s="13"/>
      <c r="C83" s="13"/>
    </row>
    <row r="84" spans="1:3" ht="13" x14ac:dyDescent="0.15">
      <c r="A84" s="10"/>
      <c r="B84" s="13"/>
      <c r="C84" s="13"/>
    </row>
    <row r="85" spans="1:3" ht="13" x14ac:dyDescent="0.15">
      <c r="A85" s="10"/>
      <c r="B85" s="13"/>
      <c r="C85" s="13"/>
    </row>
    <row r="86" spans="1:3" ht="13" x14ac:dyDescent="0.15">
      <c r="A86" s="10"/>
      <c r="B86" s="13"/>
      <c r="C86" s="13"/>
    </row>
    <row r="87" spans="1:3" ht="13" x14ac:dyDescent="0.15">
      <c r="A87" s="10"/>
      <c r="B87" s="13"/>
      <c r="C87" s="13"/>
    </row>
    <row r="88" spans="1:3" ht="13" x14ac:dyDescent="0.15">
      <c r="A88" s="10"/>
      <c r="B88" s="13"/>
      <c r="C88" s="13"/>
    </row>
    <row r="89" spans="1:3" ht="13" x14ac:dyDescent="0.15">
      <c r="A89" s="10"/>
      <c r="B89" s="13"/>
      <c r="C89" s="13"/>
    </row>
    <row r="90" spans="1:3" ht="13" x14ac:dyDescent="0.15">
      <c r="A90" s="10"/>
      <c r="B90" s="13"/>
      <c r="C90" s="13"/>
    </row>
    <row r="91" spans="1:3" ht="13" x14ac:dyDescent="0.15">
      <c r="A91" s="10"/>
      <c r="B91" s="13"/>
      <c r="C91" s="13"/>
    </row>
    <row r="92" spans="1:3" ht="13" x14ac:dyDescent="0.15">
      <c r="A92" s="10"/>
      <c r="B92" s="13"/>
      <c r="C92" s="13"/>
    </row>
    <row r="93" spans="1:3" ht="13" x14ac:dyDescent="0.15">
      <c r="A93" s="10"/>
      <c r="B93" s="13"/>
      <c r="C93" s="13"/>
    </row>
    <row r="94" spans="1:3" ht="13" x14ac:dyDescent="0.15">
      <c r="A94" s="10"/>
      <c r="B94" s="13"/>
      <c r="C94" s="13"/>
    </row>
    <row r="95" spans="1:3" ht="13" x14ac:dyDescent="0.15">
      <c r="A95" s="10"/>
      <c r="B95" s="13"/>
      <c r="C95" s="13"/>
    </row>
    <row r="96" spans="1:3" ht="13" x14ac:dyDescent="0.15">
      <c r="A96" s="10"/>
      <c r="B96" s="13"/>
      <c r="C96" s="13"/>
    </row>
    <row r="97" spans="1:3" ht="13" x14ac:dyDescent="0.15">
      <c r="A97" s="10"/>
      <c r="B97" s="13"/>
      <c r="C97" s="13"/>
    </row>
    <row r="98" spans="1:3" ht="13" x14ac:dyDescent="0.15">
      <c r="A98" s="10"/>
      <c r="B98" s="13"/>
      <c r="C98" s="13"/>
    </row>
    <row r="99" spans="1:3" ht="13" x14ac:dyDescent="0.15">
      <c r="A99" s="10"/>
      <c r="B99" s="13"/>
      <c r="C99" s="13"/>
    </row>
    <row r="100" spans="1:3" ht="13" x14ac:dyDescent="0.15">
      <c r="A100" s="10"/>
      <c r="B100" s="13"/>
      <c r="C100" s="13"/>
    </row>
    <row r="101" spans="1:3" ht="13" x14ac:dyDescent="0.15">
      <c r="A101" s="10"/>
      <c r="B101" s="13"/>
      <c r="C101" s="13"/>
    </row>
    <row r="102" spans="1:3" ht="13" x14ac:dyDescent="0.15">
      <c r="A102" s="10"/>
      <c r="B102" s="13"/>
      <c r="C102" s="13"/>
    </row>
    <row r="103" spans="1:3" ht="13" x14ac:dyDescent="0.15">
      <c r="A103" s="10"/>
      <c r="B103" s="13"/>
      <c r="C103" s="13"/>
    </row>
    <row r="104" spans="1:3" ht="13" x14ac:dyDescent="0.15">
      <c r="A104" s="10"/>
      <c r="B104" s="13"/>
      <c r="C104" s="13"/>
    </row>
    <row r="105" spans="1:3" ht="13" x14ac:dyDescent="0.15">
      <c r="A105" s="10"/>
      <c r="B105" s="13"/>
      <c r="C105" s="13"/>
    </row>
    <row r="106" spans="1:3" ht="13" x14ac:dyDescent="0.15">
      <c r="A106" s="10"/>
      <c r="B106" s="13"/>
      <c r="C106" s="13"/>
    </row>
    <row r="107" spans="1:3" ht="13" x14ac:dyDescent="0.15">
      <c r="A107" s="10"/>
      <c r="B107" s="13"/>
      <c r="C107" s="13"/>
    </row>
    <row r="108" spans="1:3" ht="13" x14ac:dyDescent="0.15">
      <c r="A108" s="10"/>
      <c r="B108" s="13"/>
      <c r="C108" s="13"/>
    </row>
    <row r="109" spans="1:3" ht="13" x14ac:dyDescent="0.15">
      <c r="A109" s="10"/>
      <c r="B109" s="13"/>
      <c r="C109" s="13"/>
    </row>
    <row r="110" spans="1:3" ht="13" x14ac:dyDescent="0.15">
      <c r="A110" s="10"/>
      <c r="B110" s="13"/>
      <c r="C110" s="13"/>
    </row>
    <row r="111" spans="1:3" ht="13" x14ac:dyDescent="0.15">
      <c r="A111" s="10"/>
      <c r="B111" s="13"/>
      <c r="C111" s="13"/>
    </row>
    <row r="112" spans="1:3" ht="13" x14ac:dyDescent="0.15">
      <c r="A112" s="10"/>
      <c r="B112" s="13"/>
      <c r="C112" s="13"/>
    </row>
    <row r="113" spans="1:3" ht="13" x14ac:dyDescent="0.15">
      <c r="A113" s="10"/>
      <c r="B113" s="13"/>
      <c r="C113" s="13"/>
    </row>
    <row r="114" spans="1:3" ht="13" x14ac:dyDescent="0.15">
      <c r="A114" s="10"/>
      <c r="B114" s="13"/>
      <c r="C114" s="13"/>
    </row>
    <row r="115" spans="1:3" ht="13" x14ac:dyDescent="0.15">
      <c r="A115" s="10"/>
      <c r="B115" s="13"/>
      <c r="C115" s="13"/>
    </row>
    <row r="116" spans="1:3" ht="13" x14ac:dyDescent="0.15">
      <c r="A116" s="10"/>
      <c r="B116" s="13"/>
      <c r="C116" s="13"/>
    </row>
    <row r="117" spans="1:3" ht="13" x14ac:dyDescent="0.15">
      <c r="A117" s="10"/>
      <c r="B117" s="13"/>
      <c r="C117" s="13"/>
    </row>
    <row r="118" spans="1:3" ht="13" x14ac:dyDescent="0.15">
      <c r="A118" s="10"/>
      <c r="B118" s="13"/>
      <c r="C118" s="13"/>
    </row>
    <row r="119" spans="1:3" ht="13" x14ac:dyDescent="0.15">
      <c r="A119" s="10"/>
      <c r="B119" s="13"/>
      <c r="C119" s="13"/>
    </row>
    <row r="120" spans="1:3" ht="13" x14ac:dyDescent="0.15">
      <c r="A120" s="10"/>
      <c r="B120" s="13"/>
      <c r="C120" s="13"/>
    </row>
    <row r="121" spans="1:3" ht="13" x14ac:dyDescent="0.15">
      <c r="A121" s="10"/>
      <c r="B121" s="13"/>
      <c r="C121" s="13"/>
    </row>
    <row r="122" spans="1:3" ht="13" x14ac:dyDescent="0.15">
      <c r="A122" s="10"/>
      <c r="B122" s="13"/>
      <c r="C122" s="13"/>
    </row>
    <row r="123" spans="1:3" ht="13" x14ac:dyDescent="0.15">
      <c r="A123" s="10"/>
      <c r="B123" s="13"/>
      <c r="C123" s="13"/>
    </row>
    <row r="124" spans="1:3" ht="13" x14ac:dyDescent="0.15">
      <c r="A124" s="10"/>
      <c r="B124" s="13"/>
      <c r="C124" s="13"/>
    </row>
    <row r="125" spans="1:3" ht="13" x14ac:dyDescent="0.15">
      <c r="A125" s="10"/>
      <c r="B125" s="13"/>
      <c r="C125" s="13"/>
    </row>
    <row r="126" spans="1:3" ht="13" x14ac:dyDescent="0.15">
      <c r="A126" s="10"/>
      <c r="B126" s="13"/>
      <c r="C126" s="13"/>
    </row>
    <row r="127" spans="1:3" ht="13" x14ac:dyDescent="0.15">
      <c r="A127" s="10"/>
      <c r="B127" s="13"/>
      <c r="C127" s="13"/>
    </row>
    <row r="128" spans="1:3" ht="13" x14ac:dyDescent="0.15">
      <c r="A128" s="10"/>
      <c r="B128" s="13"/>
      <c r="C128" s="13"/>
    </row>
    <row r="129" spans="1:3" ht="13" x14ac:dyDescent="0.15">
      <c r="A129" s="10"/>
      <c r="B129" s="13"/>
      <c r="C129" s="13"/>
    </row>
    <row r="130" spans="1:3" ht="13" x14ac:dyDescent="0.15">
      <c r="A130" s="10"/>
      <c r="B130" s="13"/>
      <c r="C130" s="13"/>
    </row>
    <row r="131" spans="1:3" ht="13" x14ac:dyDescent="0.15">
      <c r="A131" s="10"/>
      <c r="B131" s="13"/>
      <c r="C131" s="13"/>
    </row>
    <row r="132" spans="1:3" ht="13" x14ac:dyDescent="0.15">
      <c r="A132" s="10"/>
      <c r="B132" s="13"/>
      <c r="C132" s="13"/>
    </row>
    <row r="133" spans="1:3" ht="13" x14ac:dyDescent="0.15">
      <c r="A133" s="10"/>
      <c r="B133" s="13"/>
      <c r="C133" s="13"/>
    </row>
    <row r="134" spans="1:3" ht="13" x14ac:dyDescent="0.15">
      <c r="A134" s="10"/>
      <c r="B134" s="13"/>
      <c r="C134" s="13"/>
    </row>
    <row r="135" spans="1:3" ht="13" x14ac:dyDescent="0.15">
      <c r="A135" s="10"/>
      <c r="B135" s="13"/>
      <c r="C135" s="13"/>
    </row>
    <row r="136" spans="1:3" ht="13" x14ac:dyDescent="0.15">
      <c r="A136" s="10"/>
      <c r="B136" s="13"/>
      <c r="C136" s="13"/>
    </row>
    <row r="137" spans="1:3" ht="13" x14ac:dyDescent="0.15">
      <c r="A137" s="10"/>
      <c r="B137" s="13"/>
      <c r="C137" s="13"/>
    </row>
    <row r="138" spans="1:3" ht="13" x14ac:dyDescent="0.15">
      <c r="A138" s="10"/>
      <c r="B138" s="13"/>
      <c r="C138" s="13"/>
    </row>
    <row r="139" spans="1:3" ht="13" x14ac:dyDescent="0.15">
      <c r="A139" s="10"/>
      <c r="B139" s="13"/>
      <c r="C139" s="13"/>
    </row>
    <row r="140" spans="1:3" ht="13" x14ac:dyDescent="0.15">
      <c r="A140" s="10"/>
      <c r="B140" s="13"/>
      <c r="C140" s="13"/>
    </row>
    <row r="141" spans="1:3" ht="13" x14ac:dyDescent="0.15">
      <c r="A141" s="10"/>
      <c r="B141" s="13"/>
      <c r="C141" s="13"/>
    </row>
    <row r="142" spans="1:3" ht="13" x14ac:dyDescent="0.15">
      <c r="A142" s="10"/>
      <c r="B142" s="13"/>
      <c r="C142" s="13"/>
    </row>
    <row r="143" spans="1:3" ht="13" x14ac:dyDescent="0.15">
      <c r="A143" s="10"/>
      <c r="B143" s="13"/>
      <c r="C143" s="13"/>
    </row>
    <row r="144" spans="1:3" ht="13" x14ac:dyDescent="0.15">
      <c r="A144" s="10"/>
      <c r="B144" s="13"/>
      <c r="C144" s="13"/>
    </row>
    <row r="145" spans="1:3" ht="13" x14ac:dyDescent="0.15">
      <c r="A145" s="10"/>
      <c r="B145" s="13"/>
      <c r="C145" s="13"/>
    </row>
    <row r="146" spans="1:3" ht="13" x14ac:dyDescent="0.15">
      <c r="A146" s="10"/>
      <c r="B146" s="13"/>
      <c r="C146" s="13"/>
    </row>
    <row r="147" spans="1:3" ht="13" x14ac:dyDescent="0.15">
      <c r="A147" s="10"/>
      <c r="B147" s="13"/>
      <c r="C147" s="13"/>
    </row>
    <row r="148" spans="1:3" ht="13" x14ac:dyDescent="0.15">
      <c r="A148" s="10"/>
      <c r="B148" s="13"/>
      <c r="C148" s="13"/>
    </row>
    <row r="149" spans="1:3" ht="13" x14ac:dyDescent="0.15">
      <c r="A149" s="10"/>
      <c r="B149" s="13"/>
      <c r="C149" s="13"/>
    </row>
    <row r="150" spans="1:3" ht="13" x14ac:dyDescent="0.15">
      <c r="A150" s="10"/>
      <c r="B150" s="13"/>
      <c r="C150" s="13"/>
    </row>
    <row r="151" spans="1:3" ht="13" x14ac:dyDescent="0.15">
      <c r="A151" s="10"/>
      <c r="B151" s="13"/>
      <c r="C151" s="13"/>
    </row>
    <row r="152" spans="1:3" ht="13" x14ac:dyDescent="0.15">
      <c r="A152" s="10"/>
      <c r="B152" s="13"/>
      <c r="C152" s="13"/>
    </row>
    <row r="153" spans="1:3" ht="13" x14ac:dyDescent="0.15">
      <c r="A153" s="10"/>
      <c r="B153" s="13"/>
      <c r="C153" s="13"/>
    </row>
    <row r="154" spans="1:3" ht="13" x14ac:dyDescent="0.15">
      <c r="A154" s="10"/>
      <c r="B154" s="13"/>
      <c r="C154" s="13"/>
    </row>
    <row r="155" spans="1:3" ht="13" x14ac:dyDescent="0.15">
      <c r="A155" s="10"/>
      <c r="B155" s="13"/>
      <c r="C155" s="13"/>
    </row>
    <row r="156" spans="1:3" ht="13" x14ac:dyDescent="0.15">
      <c r="A156" s="10"/>
      <c r="B156" s="13"/>
      <c r="C156" s="13"/>
    </row>
    <row r="157" spans="1:3" ht="13" x14ac:dyDescent="0.15">
      <c r="A157" s="10"/>
      <c r="B157" s="13"/>
      <c r="C157" s="13"/>
    </row>
    <row r="158" spans="1:3" ht="13" x14ac:dyDescent="0.15">
      <c r="A158" s="10"/>
      <c r="B158" s="13"/>
      <c r="C158" s="13"/>
    </row>
    <row r="159" spans="1:3" ht="13" x14ac:dyDescent="0.15">
      <c r="A159" s="10"/>
      <c r="B159" s="13"/>
      <c r="C159" s="13"/>
    </row>
    <row r="160" spans="1:3" ht="13" x14ac:dyDescent="0.15">
      <c r="A160" s="10"/>
      <c r="B160" s="13"/>
      <c r="C160" s="13"/>
    </row>
    <row r="161" spans="1:3" ht="13" x14ac:dyDescent="0.15">
      <c r="A161" s="10"/>
      <c r="B161" s="13"/>
      <c r="C161" s="13"/>
    </row>
    <row r="162" spans="1:3" ht="13" x14ac:dyDescent="0.15">
      <c r="A162" s="10"/>
      <c r="B162" s="13"/>
      <c r="C162" s="13"/>
    </row>
    <row r="163" spans="1:3" ht="13" x14ac:dyDescent="0.15">
      <c r="A163" s="10"/>
      <c r="B163" s="13"/>
      <c r="C163" s="13"/>
    </row>
    <row r="164" spans="1:3" ht="13" x14ac:dyDescent="0.15">
      <c r="A164" s="10"/>
      <c r="B164" s="13"/>
      <c r="C164" s="13"/>
    </row>
    <row r="165" spans="1:3" ht="13" x14ac:dyDescent="0.15">
      <c r="A165" s="10"/>
      <c r="B165" s="13"/>
      <c r="C165" s="13"/>
    </row>
    <row r="166" spans="1:3" ht="13" x14ac:dyDescent="0.15">
      <c r="A166" s="10"/>
      <c r="B166" s="13"/>
      <c r="C166" s="13"/>
    </row>
    <row r="167" spans="1:3" ht="13" x14ac:dyDescent="0.15">
      <c r="A167" s="10"/>
      <c r="B167" s="13"/>
      <c r="C167" s="13"/>
    </row>
    <row r="168" spans="1:3" ht="13" x14ac:dyDescent="0.15">
      <c r="A168" s="10"/>
      <c r="B168" s="13"/>
      <c r="C168" s="13"/>
    </row>
    <row r="169" spans="1:3" ht="13" x14ac:dyDescent="0.15">
      <c r="A169" s="10"/>
      <c r="B169" s="13"/>
      <c r="C169" s="13"/>
    </row>
    <row r="170" spans="1:3" ht="13" x14ac:dyDescent="0.15">
      <c r="A170" s="10"/>
      <c r="B170" s="13"/>
      <c r="C170" s="13"/>
    </row>
    <row r="171" spans="1:3" ht="13" x14ac:dyDescent="0.15">
      <c r="A171" s="10"/>
      <c r="B171" s="13"/>
      <c r="C171" s="13"/>
    </row>
    <row r="172" spans="1:3" ht="13" x14ac:dyDescent="0.15">
      <c r="A172" s="10"/>
      <c r="B172" s="13"/>
      <c r="C172" s="13"/>
    </row>
    <row r="173" spans="1:3" ht="13" x14ac:dyDescent="0.15">
      <c r="A173" s="10"/>
      <c r="B173" s="13"/>
      <c r="C173" s="13"/>
    </row>
    <row r="174" spans="1:3" ht="13" x14ac:dyDescent="0.15">
      <c r="A174" s="10"/>
      <c r="B174" s="13"/>
      <c r="C174" s="13"/>
    </row>
    <row r="175" spans="1:3" ht="13" x14ac:dyDescent="0.15">
      <c r="A175" s="10"/>
      <c r="B175" s="13"/>
      <c r="C175" s="13"/>
    </row>
    <row r="176" spans="1:3" ht="13" x14ac:dyDescent="0.15">
      <c r="A176" s="10"/>
      <c r="B176" s="13"/>
      <c r="C176" s="13"/>
    </row>
    <row r="177" spans="1:3" ht="13" x14ac:dyDescent="0.15">
      <c r="A177" s="10"/>
      <c r="B177" s="13"/>
      <c r="C177" s="13"/>
    </row>
    <row r="178" spans="1:3" ht="13" x14ac:dyDescent="0.15">
      <c r="A178" s="10"/>
      <c r="B178" s="13"/>
      <c r="C178" s="13"/>
    </row>
    <row r="179" spans="1:3" ht="13" x14ac:dyDescent="0.15">
      <c r="A179" s="10"/>
      <c r="B179" s="13"/>
      <c r="C179" s="13"/>
    </row>
    <row r="180" spans="1:3" ht="13" x14ac:dyDescent="0.15">
      <c r="A180" s="10"/>
      <c r="B180" s="13"/>
      <c r="C180" s="13"/>
    </row>
    <row r="181" spans="1:3" ht="13" x14ac:dyDescent="0.15">
      <c r="A181" s="10"/>
      <c r="B181" s="13"/>
      <c r="C181" s="13"/>
    </row>
    <row r="182" spans="1:3" ht="13" x14ac:dyDescent="0.15">
      <c r="A182" s="10"/>
      <c r="B182" s="13"/>
      <c r="C182" s="13"/>
    </row>
    <row r="183" spans="1:3" ht="13" x14ac:dyDescent="0.15">
      <c r="A183" s="10"/>
      <c r="B183" s="13"/>
      <c r="C183" s="13"/>
    </row>
    <row r="184" spans="1:3" ht="13" x14ac:dyDescent="0.15">
      <c r="A184" s="10"/>
      <c r="B184" s="13"/>
      <c r="C184" s="13"/>
    </row>
    <row r="185" spans="1:3" ht="13" x14ac:dyDescent="0.15">
      <c r="A185" s="10"/>
      <c r="B185" s="13"/>
      <c r="C185" s="13"/>
    </row>
    <row r="186" spans="1:3" ht="13" x14ac:dyDescent="0.15">
      <c r="A186" s="10"/>
      <c r="B186" s="13"/>
      <c r="C186" s="13"/>
    </row>
    <row r="187" spans="1:3" ht="13" x14ac:dyDescent="0.15">
      <c r="A187" s="10"/>
      <c r="B187" s="13"/>
      <c r="C187" s="13"/>
    </row>
    <row r="188" spans="1:3" ht="13" x14ac:dyDescent="0.15">
      <c r="A188" s="10"/>
      <c r="B188" s="13"/>
      <c r="C188" s="13"/>
    </row>
    <row r="189" spans="1:3" ht="13" x14ac:dyDescent="0.15">
      <c r="A189" s="10"/>
      <c r="B189" s="13"/>
      <c r="C189" s="13"/>
    </row>
    <row r="190" spans="1:3" ht="13" x14ac:dyDescent="0.15">
      <c r="A190" s="10"/>
      <c r="B190" s="13"/>
      <c r="C190" s="13"/>
    </row>
    <row r="191" spans="1:3" ht="13" x14ac:dyDescent="0.15">
      <c r="A191" s="10"/>
      <c r="B191" s="13"/>
      <c r="C191" s="13"/>
    </row>
    <row r="192" spans="1:3" ht="13" x14ac:dyDescent="0.15">
      <c r="A192" s="10"/>
      <c r="B192" s="13"/>
      <c r="C192" s="13"/>
    </row>
    <row r="193" spans="1:3" ht="13" x14ac:dyDescent="0.15">
      <c r="A193" s="10"/>
      <c r="B193" s="13"/>
      <c r="C193" s="13"/>
    </row>
    <row r="194" spans="1:3" ht="13" x14ac:dyDescent="0.15">
      <c r="A194" s="10"/>
      <c r="B194" s="13"/>
      <c r="C194" s="13"/>
    </row>
    <row r="195" spans="1:3" ht="13" x14ac:dyDescent="0.15">
      <c r="A195" s="10"/>
      <c r="B195" s="13"/>
      <c r="C195" s="13"/>
    </row>
    <row r="196" spans="1:3" ht="13" x14ac:dyDescent="0.15">
      <c r="A196" s="10"/>
      <c r="B196" s="13"/>
      <c r="C196" s="13"/>
    </row>
    <row r="197" spans="1:3" ht="13" x14ac:dyDescent="0.15">
      <c r="A197" s="10"/>
      <c r="B197" s="13"/>
      <c r="C197" s="13"/>
    </row>
    <row r="198" spans="1:3" ht="13" x14ac:dyDescent="0.15">
      <c r="A198" s="10"/>
      <c r="B198" s="13"/>
      <c r="C198" s="13"/>
    </row>
    <row r="199" spans="1:3" ht="13" x14ac:dyDescent="0.15">
      <c r="A199" s="10"/>
      <c r="B199" s="13"/>
      <c r="C199" s="13"/>
    </row>
    <row r="200" spans="1:3" ht="13" x14ac:dyDescent="0.15">
      <c r="A200" s="10"/>
      <c r="B200" s="13"/>
      <c r="C200" s="13"/>
    </row>
    <row r="201" spans="1:3" ht="13" x14ac:dyDescent="0.15">
      <c r="A201" s="10"/>
      <c r="B201" s="13"/>
      <c r="C201" s="13"/>
    </row>
    <row r="202" spans="1:3" ht="13" x14ac:dyDescent="0.15">
      <c r="A202" s="10"/>
      <c r="B202" s="13"/>
      <c r="C202" s="13"/>
    </row>
    <row r="203" spans="1:3" ht="13" x14ac:dyDescent="0.15">
      <c r="A203" s="10"/>
      <c r="B203" s="13"/>
      <c r="C203" s="13"/>
    </row>
    <row r="204" spans="1:3" ht="13" x14ac:dyDescent="0.15">
      <c r="A204" s="10"/>
      <c r="B204" s="13"/>
      <c r="C204" s="13"/>
    </row>
    <row r="205" spans="1:3" ht="13" x14ac:dyDescent="0.15">
      <c r="A205" s="10"/>
      <c r="B205" s="13"/>
      <c r="C205" s="13"/>
    </row>
    <row r="206" spans="1:3" ht="13" x14ac:dyDescent="0.15">
      <c r="A206" s="10"/>
      <c r="B206" s="13"/>
      <c r="C206" s="13"/>
    </row>
    <row r="207" spans="1:3" ht="13" x14ac:dyDescent="0.15">
      <c r="A207" s="10"/>
      <c r="B207" s="13"/>
      <c r="C207" s="13"/>
    </row>
    <row r="208" spans="1:3" ht="13" x14ac:dyDescent="0.15">
      <c r="A208" s="10"/>
      <c r="B208" s="13"/>
      <c r="C208" s="13"/>
    </row>
    <row r="209" spans="1:3" ht="13" x14ac:dyDescent="0.15">
      <c r="A209" s="10"/>
      <c r="B209" s="13"/>
      <c r="C209" s="13"/>
    </row>
    <row r="210" spans="1:3" ht="13" x14ac:dyDescent="0.15">
      <c r="A210" s="10"/>
      <c r="B210" s="13"/>
      <c r="C210" s="13"/>
    </row>
    <row r="211" spans="1:3" ht="13" x14ac:dyDescent="0.15">
      <c r="A211" s="10"/>
      <c r="B211" s="13"/>
      <c r="C211" s="13"/>
    </row>
    <row r="212" spans="1:3" ht="13" x14ac:dyDescent="0.15">
      <c r="A212" s="10"/>
      <c r="B212" s="13"/>
      <c r="C212" s="13"/>
    </row>
    <row r="213" spans="1:3" ht="13" x14ac:dyDescent="0.15">
      <c r="A213" s="10"/>
      <c r="B213" s="13"/>
      <c r="C213" s="13"/>
    </row>
    <row r="214" spans="1:3" ht="13" x14ac:dyDescent="0.15">
      <c r="A214" s="10"/>
      <c r="B214" s="13"/>
      <c r="C214" s="13"/>
    </row>
    <row r="215" spans="1:3" ht="13" x14ac:dyDescent="0.15">
      <c r="A215" s="10"/>
      <c r="B215" s="13"/>
      <c r="C215" s="13"/>
    </row>
    <row r="216" spans="1:3" ht="13" x14ac:dyDescent="0.15">
      <c r="A216" s="10"/>
      <c r="B216" s="13"/>
      <c r="C216" s="13"/>
    </row>
    <row r="217" spans="1:3" ht="13" x14ac:dyDescent="0.15">
      <c r="A217" s="10"/>
      <c r="B217" s="13"/>
      <c r="C217" s="13"/>
    </row>
    <row r="218" spans="1:3" ht="13" x14ac:dyDescent="0.15">
      <c r="A218" s="10"/>
      <c r="B218" s="13"/>
      <c r="C218" s="13"/>
    </row>
    <row r="219" spans="1:3" ht="13" x14ac:dyDescent="0.15">
      <c r="A219" s="10"/>
      <c r="B219" s="13"/>
      <c r="C219" s="13"/>
    </row>
    <row r="220" spans="1:3" ht="13" x14ac:dyDescent="0.15">
      <c r="A220" s="10"/>
      <c r="B220" s="13"/>
      <c r="C220" s="13"/>
    </row>
    <row r="221" spans="1:3" ht="13" x14ac:dyDescent="0.15">
      <c r="A221" s="10"/>
      <c r="B221" s="13"/>
      <c r="C221" s="13"/>
    </row>
    <row r="222" spans="1:3" ht="13" x14ac:dyDescent="0.15">
      <c r="A222" s="10"/>
      <c r="B222" s="13"/>
      <c r="C222" s="13"/>
    </row>
    <row r="223" spans="1:3" ht="13" x14ac:dyDescent="0.15">
      <c r="A223" s="10"/>
      <c r="B223" s="13"/>
      <c r="C223" s="13"/>
    </row>
    <row r="224" spans="1:3" ht="13" x14ac:dyDescent="0.15">
      <c r="A224" s="10"/>
      <c r="B224" s="13"/>
      <c r="C224" s="13"/>
    </row>
    <row r="225" spans="1:3" ht="13" x14ac:dyDescent="0.15">
      <c r="A225" s="10"/>
      <c r="B225" s="13"/>
      <c r="C225" s="13"/>
    </row>
    <row r="226" spans="1:3" ht="13" x14ac:dyDescent="0.15">
      <c r="A226" s="10"/>
      <c r="B226" s="13"/>
      <c r="C226" s="13"/>
    </row>
    <row r="227" spans="1:3" ht="13" x14ac:dyDescent="0.15">
      <c r="A227" s="10"/>
      <c r="B227" s="13"/>
      <c r="C227" s="13"/>
    </row>
    <row r="228" spans="1:3" ht="13" x14ac:dyDescent="0.15">
      <c r="A228" s="10"/>
      <c r="B228" s="13"/>
      <c r="C228" s="13"/>
    </row>
    <row r="229" spans="1:3" ht="13" x14ac:dyDescent="0.15">
      <c r="A229" s="10"/>
      <c r="B229" s="13"/>
      <c r="C229" s="13"/>
    </row>
    <row r="230" spans="1:3" ht="13" x14ac:dyDescent="0.15">
      <c r="A230" s="10"/>
      <c r="B230" s="13"/>
      <c r="C230" s="13"/>
    </row>
    <row r="231" spans="1:3" ht="13" x14ac:dyDescent="0.15">
      <c r="A231" s="10"/>
      <c r="B231" s="13"/>
      <c r="C231" s="13"/>
    </row>
    <row r="232" spans="1:3" ht="13" x14ac:dyDescent="0.15">
      <c r="A232" s="10"/>
      <c r="B232" s="13"/>
      <c r="C232" s="13"/>
    </row>
    <row r="233" spans="1:3" ht="13" x14ac:dyDescent="0.15">
      <c r="A233" s="10"/>
      <c r="B233" s="13"/>
      <c r="C233" s="13"/>
    </row>
    <row r="234" spans="1:3" ht="13" x14ac:dyDescent="0.15">
      <c r="A234" s="10"/>
      <c r="B234" s="13"/>
      <c r="C234" s="13"/>
    </row>
    <row r="235" spans="1:3" ht="13" x14ac:dyDescent="0.15">
      <c r="A235" s="10"/>
      <c r="B235" s="13"/>
      <c r="C235" s="13"/>
    </row>
    <row r="236" spans="1:3" ht="13" x14ac:dyDescent="0.15">
      <c r="A236" s="10"/>
      <c r="B236" s="13"/>
      <c r="C236" s="13"/>
    </row>
    <row r="237" spans="1:3" ht="13" x14ac:dyDescent="0.15">
      <c r="A237" s="10"/>
      <c r="B237" s="13"/>
      <c r="C237" s="13"/>
    </row>
    <row r="238" spans="1:3" ht="13" x14ac:dyDescent="0.15">
      <c r="A238" s="10"/>
      <c r="B238" s="13"/>
      <c r="C238" s="13"/>
    </row>
    <row r="239" spans="1:3" ht="13" x14ac:dyDescent="0.15">
      <c r="A239" s="10"/>
      <c r="B239" s="13"/>
      <c r="C239" s="13"/>
    </row>
    <row r="240" spans="1:3" ht="13" x14ac:dyDescent="0.15">
      <c r="A240" s="10"/>
      <c r="B240" s="13"/>
      <c r="C240" s="13"/>
    </row>
    <row r="241" spans="1:3" ht="13" x14ac:dyDescent="0.15">
      <c r="A241" s="10"/>
      <c r="B241" s="13"/>
      <c r="C241" s="13"/>
    </row>
    <row r="242" spans="1:3" ht="13" x14ac:dyDescent="0.15">
      <c r="A242" s="10"/>
      <c r="B242" s="13"/>
      <c r="C242" s="13"/>
    </row>
    <row r="243" spans="1:3" ht="13" x14ac:dyDescent="0.15">
      <c r="A243" s="10"/>
      <c r="B243" s="13"/>
      <c r="C243" s="13"/>
    </row>
    <row r="244" spans="1:3" ht="13" x14ac:dyDescent="0.15">
      <c r="A244" s="10"/>
      <c r="B244" s="13"/>
      <c r="C244" s="13"/>
    </row>
    <row r="245" spans="1:3" ht="13" x14ac:dyDescent="0.15">
      <c r="A245" s="10"/>
      <c r="B245" s="13"/>
      <c r="C245" s="13"/>
    </row>
    <row r="246" spans="1:3" ht="13" x14ac:dyDescent="0.15">
      <c r="A246" s="10"/>
      <c r="B246" s="13"/>
      <c r="C246" s="13"/>
    </row>
    <row r="247" spans="1:3" ht="13" x14ac:dyDescent="0.15">
      <c r="A247" s="10"/>
      <c r="B247" s="13"/>
      <c r="C247" s="13"/>
    </row>
    <row r="248" spans="1:3" ht="13" x14ac:dyDescent="0.15">
      <c r="A248" s="10"/>
      <c r="B248" s="13"/>
      <c r="C248" s="13"/>
    </row>
    <row r="249" spans="1:3" ht="13" x14ac:dyDescent="0.15">
      <c r="A249" s="10"/>
      <c r="B249" s="13"/>
      <c r="C249" s="13"/>
    </row>
    <row r="250" spans="1:3" ht="13" x14ac:dyDescent="0.15">
      <c r="A250" s="10"/>
      <c r="B250" s="13"/>
      <c r="C250" s="13"/>
    </row>
    <row r="251" spans="1:3" ht="13" x14ac:dyDescent="0.15">
      <c r="A251" s="10"/>
      <c r="B251" s="13"/>
      <c r="C251" s="13"/>
    </row>
    <row r="252" spans="1:3" ht="13" x14ac:dyDescent="0.15">
      <c r="A252" s="10"/>
      <c r="B252" s="13"/>
      <c r="C252" s="13"/>
    </row>
    <row r="253" spans="1:3" ht="13" x14ac:dyDescent="0.15">
      <c r="A253" s="10"/>
      <c r="B253" s="13"/>
      <c r="C253" s="13"/>
    </row>
    <row r="254" spans="1:3" ht="13" x14ac:dyDescent="0.15">
      <c r="A254" s="10"/>
      <c r="B254" s="13"/>
      <c r="C254" s="13"/>
    </row>
    <row r="255" spans="1:3" ht="13" x14ac:dyDescent="0.15">
      <c r="A255" s="10"/>
      <c r="B255" s="13"/>
      <c r="C255" s="13"/>
    </row>
    <row r="256" spans="1:3" ht="13" x14ac:dyDescent="0.15">
      <c r="A256" s="10"/>
      <c r="B256" s="13"/>
      <c r="C256" s="13"/>
    </row>
    <row r="257" spans="1:3" ht="13" x14ac:dyDescent="0.15">
      <c r="A257" s="10"/>
      <c r="B257" s="13"/>
      <c r="C257" s="13"/>
    </row>
    <row r="258" spans="1:3" ht="13" x14ac:dyDescent="0.15">
      <c r="A258" s="10"/>
      <c r="B258" s="13"/>
      <c r="C258" s="13"/>
    </row>
    <row r="259" spans="1:3" ht="13" x14ac:dyDescent="0.15">
      <c r="A259" s="10"/>
      <c r="B259" s="13"/>
      <c r="C259" s="13"/>
    </row>
    <row r="260" spans="1:3" ht="13" x14ac:dyDescent="0.15">
      <c r="A260" s="10"/>
      <c r="B260" s="13"/>
      <c r="C260" s="13"/>
    </row>
    <row r="261" spans="1:3" ht="13" x14ac:dyDescent="0.15">
      <c r="A261" s="10"/>
      <c r="B261" s="13"/>
      <c r="C261" s="13"/>
    </row>
    <row r="262" spans="1:3" ht="13" x14ac:dyDescent="0.15">
      <c r="A262" s="10"/>
      <c r="B262" s="13"/>
      <c r="C262" s="13"/>
    </row>
    <row r="263" spans="1:3" ht="13" x14ac:dyDescent="0.15">
      <c r="A263" s="10"/>
      <c r="B263" s="13"/>
      <c r="C263" s="13"/>
    </row>
    <row r="264" spans="1:3" ht="13" x14ac:dyDescent="0.15">
      <c r="A264" s="10"/>
      <c r="B264" s="13"/>
      <c r="C264" s="13"/>
    </row>
    <row r="265" spans="1:3" ht="13" x14ac:dyDescent="0.15">
      <c r="A265" s="10"/>
      <c r="B265" s="13"/>
      <c r="C265" s="13"/>
    </row>
    <row r="266" spans="1:3" ht="13" x14ac:dyDescent="0.15">
      <c r="A266" s="10"/>
      <c r="B266" s="13"/>
      <c r="C266" s="13"/>
    </row>
    <row r="267" spans="1:3" ht="13" x14ac:dyDescent="0.15">
      <c r="A267" s="10"/>
      <c r="B267" s="13"/>
      <c r="C267" s="13"/>
    </row>
    <row r="268" spans="1:3" ht="13" x14ac:dyDescent="0.15">
      <c r="A268" s="10"/>
      <c r="B268" s="13"/>
      <c r="C268" s="13"/>
    </row>
    <row r="269" spans="1:3" ht="13" x14ac:dyDescent="0.15">
      <c r="A269" s="10"/>
      <c r="B269" s="13"/>
      <c r="C269" s="13"/>
    </row>
    <row r="270" spans="1:3" ht="13" x14ac:dyDescent="0.15">
      <c r="A270" s="10"/>
      <c r="B270" s="13"/>
      <c r="C270" s="13"/>
    </row>
    <row r="271" spans="1:3" ht="13" x14ac:dyDescent="0.15">
      <c r="A271" s="10"/>
      <c r="B271" s="13"/>
      <c r="C271" s="13"/>
    </row>
    <row r="272" spans="1:3" ht="13" x14ac:dyDescent="0.15">
      <c r="A272" s="10"/>
      <c r="B272" s="13"/>
      <c r="C272" s="13"/>
    </row>
    <row r="273" spans="1:3" ht="13" x14ac:dyDescent="0.15">
      <c r="A273" s="10"/>
      <c r="B273" s="13"/>
      <c r="C273" s="13"/>
    </row>
    <row r="274" spans="1:3" ht="13" x14ac:dyDescent="0.15">
      <c r="A274" s="10"/>
      <c r="B274" s="13"/>
      <c r="C274" s="13"/>
    </row>
    <row r="275" spans="1:3" ht="13" x14ac:dyDescent="0.15">
      <c r="A275" s="10"/>
      <c r="B275" s="13"/>
      <c r="C275" s="13"/>
    </row>
    <row r="276" spans="1:3" ht="13" x14ac:dyDescent="0.15">
      <c r="A276" s="10"/>
      <c r="B276" s="13"/>
      <c r="C276" s="13"/>
    </row>
    <row r="277" spans="1:3" ht="13" x14ac:dyDescent="0.15">
      <c r="A277" s="10"/>
      <c r="B277" s="13"/>
      <c r="C277" s="13"/>
    </row>
    <row r="278" spans="1:3" ht="13" x14ac:dyDescent="0.15">
      <c r="A278" s="10"/>
      <c r="B278" s="13"/>
      <c r="C278" s="13"/>
    </row>
    <row r="279" spans="1:3" ht="13" x14ac:dyDescent="0.15">
      <c r="A279" s="10"/>
      <c r="B279" s="13"/>
      <c r="C279" s="13"/>
    </row>
    <row r="280" spans="1:3" ht="13" x14ac:dyDescent="0.15">
      <c r="A280" s="10"/>
      <c r="B280" s="13"/>
      <c r="C280" s="13"/>
    </row>
    <row r="281" spans="1:3" ht="13" x14ac:dyDescent="0.15">
      <c r="A281" s="10"/>
      <c r="B281" s="13"/>
      <c r="C281" s="13"/>
    </row>
    <row r="282" spans="1:3" ht="13" x14ac:dyDescent="0.15">
      <c r="A282" s="10"/>
      <c r="B282" s="13"/>
      <c r="C282" s="13"/>
    </row>
    <row r="283" spans="1:3" ht="13" x14ac:dyDescent="0.15">
      <c r="A283" s="10"/>
      <c r="B283" s="13"/>
      <c r="C283" s="13"/>
    </row>
    <row r="284" spans="1:3" ht="13" x14ac:dyDescent="0.15">
      <c r="A284" s="10"/>
      <c r="B284" s="13"/>
      <c r="C284" s="13"/>
    </row>
    <row r="285" spans="1:3" ht="13" x14ac:dyDescent="0.15">
      <c r="A285" s="10"/>
      <c r="B285" s="13"/>
      <c r="C285" s="13"/>
    </row>
    <row r="286" spans="1:3" ht="13" x14ac:dyDescent="0.15">
      <c r="A286" s="10"/>
      <c r="B286" s="13"/>
      <c r="C286" s="13"/>
    </row>
    <row r="287" spans="1:3" ht="13" x14ac:dyDescent="0.15">
      <c r="A287" s="10"/>
      <c r="B287" s="13"/>
      <c r="C287" s="13"/>
    </row>
    <row r="288" spans="1:3" ht="13" x14ac:dyDescent="0.15">
      <c r="A288" s="10"/>
      <c r="B288" s="13"/>
      <c r="C288" s="13"/>
    </row>
    <row r="289" spans="1:3" ht="13" x14ac:dyDescent="0.15">
      <c r="A289" s="10"/>
      <c r="B289" s="13"/>
      <c r="C289" s="13"/>
    </row>
    <row r="290" spans="1:3" ht="13" x14ac:dyDescent="0.15">
      <c r="A290" s="10"/>
      <c r="B290" s="13"/>
      <c r="C290" s="13"/>
    </row>
    <row r="291" spans="1:3" ht="13" x14ac:dyDescent="0.15">
      <c r="A291" s="10"/>
      <c r="B291" s="13"/>
      <c r="C291" s="13"/>
    </row>
    <row r="292" spans="1:3" ht="13" x14ac:dyDescent="0.15">
      <c r="A292" s="10"/>
      <c r="B292" s="13"/>
      <c r="C292" s="13"/>
    </row>
    <row r="293" spans="1:3" ht="13" x14ac:dyDescent="0.15">
      <c r="A293" s="10"/>
      <c r="B293" s="13"/>
      <c r="C293" s="13"/>
    </row>
    <row r="294" spans="1:3" ht="13" x14ac:dyDescent="0.15">
      <c r="A294" s="10"/>
      <c r="B294" s="13"/>
      <c r="C294" s="13"/>
    </row>
    <row r="295" spans="1:3" ht="13" x14ac:dyDescent="0.15">
      <c r="A295" s="10"/>
      <c r="B295" s="13"/>
      <c r="C295" s="13"/>
    </row>
    <row r="296" spans="1:3" ht="13" x14ac:dyDescent="0.15">
      <c r="A296" s="10"/>
      <c r="B296" s="13"/>
      <c r="C296" s="13"/>
    </row>
    <row r="297" spans="1:3" ht="13" x14ac:dyDescent="0.15">
      <c r="A297" s="10"/>
      <c r="B297" s="13"/>
      <c r="C297" s="13"/>
    </row>
    <row r="298" spans="1:3" ht="13" x14ac:dyDescent="0.15">
      <c r="A298" s="10"/>
      <c r="B298" s="13"/>
      <c r="C298" s="13"/>
    </row>
    <row r="299" spans="1:3" ht="13" x14ac:dyDescent="0.15">
      <c r="A299" s="10"/>
      <c r="B299" s="13"/>
      <c r="C299" s="13"/>
    </row>
    <row r="300" spans="1:3" ht="13" x14ac:dyDescent="0.15">
      <c r="A300" s="10"/>
      <c r="B300" s="13"/>
      <c r="C300" s="13"/>
    </row>
    <row r="301" spans="1:3" ht="13" x14ac:dyDescent="0.15">
      <c r="A301" s="10"/>
      <c r="B301" s="13"/>
      <c r="C301" s="13"/>
    </row>
    <row r="302" spans="1:3" ht="13" x14ac:dyDescent="0.15">
      <c r="A302" s="10"/>
      <c r="B302" s="13"/>
      <c r="C302" s="13"/>
    </row>
    <row r="303" spans="1:3" ht="13" x14ac:dyDescent="0.15">
      <c r="A303" s="10"/>
      <c r="B303" s="13"/>
      <c r="C303" s="13"/>
    </row>
    <row r="304" spans="1:3" ht="13" x14ac:dyDescent="0.15">
      <c r="A304" s="10"/>
      <c r="B304" s="13"/>
      <c r="C304" s="13"/>
    </row>
    <row r="305" spans="1:3" ht="13" x14ac:dyDescent="0.15">
      <c r="A305" s="10"/>
      <c r="B305" s="13"/>
      <c r="C305" s="13"/>
    </row>
    <row r="306" spans="1:3" ht="13" x14ac:dyDescent="0.15">
      <c r="A306" s="10"/>
      <c r="B306" s="13"/>
      <c r="C306" s="13"/>
    </row>
    <row r="307" spans="1:3" ht="13" x14ac:dyDescent="0.15">
      <c r="A307" s="10"/>
      <c r="B307" s="13"/>
      <c r="C307" s="13"/>
    </row>
    <row r="308" spans="1:3" ht="13" x14ac:dyDescent="0.15">
      <c r="A308" s="10"/>
      <c r="B308" s="13"/>
      <c r="C308" s="13"/>
    </row>
    <row r="309" spans="1:3" ht="13" x14ac:dyDescent="0.15">
      <c r="A309" s="10"/>
      <c r="B309" s="13"/>
      <c r="C309" s="13"/>
    </row>
    <row r="310" spans="1:3" ht="13" x14ac:dyDescent="0.15">
      <c r="A310" s="10"/>
      <c r="B310" s="13"/>
      <c r="C310" s="13"/>
    </row>
    <row r="311" spans="1:3" ht="13" x14ac:dyDescent="0.15">
      <c r="A311" s="10"/>
      <c r="B311" s="13"/>
      <c r="C311" s="13"/>
    </row>
    <row r="312" spans="1:3" ht="13" x14ac:dyDescent="0.15">
      <c r="A312" s="10"/>
      <c r="B312" s="13"/>
      <c r="C312" s="13"/>
    </row>
    <row r="313" spans="1:3" ht="13" x14ac:dyDescent="0.15">
      <c r="A313" s="10"/>
      <c r="B313" s="13"/>
      <c r="C313" s="13"/>
    </row>
    <row r="314" spans="1:3" ht="13" x14ac:dyDescent="0.15">
      <c r="A314" s="10"/>
      <c r="B314" s="13"/>
      <c r="C314" s="13"/>
    </row>
    <row r="315" spans="1:3" ht="13" x14ac:dyDescent="0.15">
      <c r="A315" s="10"/>
      <c r="B315" s="13"/>
      <c r="C315" s="13"/>
    </row>
    <row r="316" spans="1:3" ht="13" x14ac:dyDescent="0.15">
      <c r="A316" s="10"/>
      <c r="B316" s="13"/>
      <c r="C316" s="13"/>
    </row>
    <row r="317" spans="1:3" ht="13" x14ac:dyDescent="0.15">
      <c r="A317" s="10"/>
      <c r="B317" s="13"/>
      <c r="C317" s="13"/>
    </row>
    <row r="318" spans="1:3" ht="13" x14ac:dyDescent="0.15">
      <c r="A318" s="10"/>
      <c r="B318" s="13"/>
      <c r="C318" s="13"/>
    </row>
    <row r="319" spans="1:3" ht="13" x14ac:dyDescent="0.15">
      <c r="A319" s="10"/>
      <c r="B319" s="13"/>
      <c r="C319" s="13"/>
    </row>
    <row r="320" spans="1:3" ht="13" x14ac:dyDescent="0.15">
      <c r="A320" s="10"/>
      <c r="B320" s="13"/>
      <c r="C320" s="13"/>
    </row>
    <row r="321" spans="1:3" ht="13" x14ac:dyDescent="0.15">
      <c r="A321" s="10"/>
      <c r="B321" s="13"/>
      <c r="C321" s="13"/>
    </row>
    <row r="322" spans="1:3" ht="13" x14ac:dyDescent="0.15">
      <c r="A322" s="10"/>
      <c r="B322" s="13"/>
      <c r="C322" s="13"/>
    </row>
    <row r="323" spans="1:3" ht="13" x14ac:dyDescent="0.15">
      <c r="A323" s="10"/>
      <c r="B323" s="13"/>
      <c r="C323" s="13"/>
    </row>
    <row r="324" spans="1:3" ht="13" x14ac:dyDescent="0.15">
      <c r="A324" s="10"/>
      <c r="B324" s="13"/>
      <c r="C324" s="13"/>
    </row>
    <row r="325" spans="1:3" ht="13" x14ac:dyDescent="0.15">
      <c r="A325" s="10"/>
      <c r="B325" s="13"/>
      <c r="C325" s="13"/>
    </row>
    <row r="326" spans="1:3" ht="13" x14ac:dyDescent="0.15">
      <c r="A326" s="10"/>
      <c r="B326" s="13"/>
      <c r="C326" s="13"/>
    </row>
    <row r="327" spans="1:3" ht="13" x14ac:dyDescent="0.15">
      <c r="A327" s="10"/>
      <c r="B327" s="13"/>
      <c r="C327" s="13"/>
    </row>
    <row r="328" spans="1:3" ht="13" x14ac:dyDescent="0.15">
      <c r="A328" s="10"/>
      <c r="B328" s="13"/>
      <c r="C328" s="13"/>
    </row>
    <row r="329" spans="1:3" ht="13" x14ac:dyDescent="0.15">
      <c r="A329" s="10"/>
      <c r="B329" s="13"/>
      <c r="C329" s="13"/>
    </row>
    <row r="330" spans="1:3" ht="13" x14ac:dyDescent="0.15">
      <c r="A330" s="10"/>
      <c r="B330" s="13"/>
      <c r="C330" s="13"/>
    </row>
    <row r="331" spans="1:3" ht="13" x14ac:dyDescent="0.15">
      <c r="A331" s="10"/>
      <c r="B331" s="13"/>
      <c r="C331" s="13"/>
    </row>
    <row r="332" spans="1:3" ht="13" x14ac:dyDescent="0.15">
      <c r="A332" s="10"/>
      <c r="B332" s="13"/>
      <c r="C332" s="13"/>
    </row>
    <row r="333" spans="1:3" ht="13" x14ac:dyDescent="0.15">
      <c r="A333" s="10"/>
      <c r="B333" s="13"/>
      <c r="C333" s="13"/>
    </row>
    <row r="334" spans="1:3" ht="13" x14ac:dyDescent="0.15">
      <c r="A334" s="10"/>
      <c r="B334" s="13"/>
      <c r="C334" s="13"/>
    </row>
    <row r="335" spans="1:3" ht="13" x14ac:dyDescent="0.15">
      <c r="A335" s="10"/>
      <c r="B335" s="13"/>
      <c r="C335" s="13"/>
    </row>
    <row r="336" spans="1:3" ht="13" x14ac:dyDescent="0.15">
      <c r="A336" s="10"/>
      <c r="B336" s="13"/>
      <c r="C336" s="13"/>
    </row>
    <row r="337" spans="1:3" ht="13" x14ac:dyDescent="0.15">
      <c r="A337" s="10"/>
      <c r="B337" s="13"/>
      <c r="C337" s="13"/>
    </row>
    <row r="338" spans="1:3" ht="13" x14ac:dyDescent="0.15">
      <c r="A338" s="10"/>
      <c r="B338" s="13"/>
      <c r="C338" s="13"/>
    </row>
    <row r="339" spans="1:3" ht="13" x14ac:dyDescent="0.15">
      <c r="A339" s="10"/>
      <c r="B339" s="13"/>
      <c r="C339" s="13"/>
    </row>
    <row r="340" spans="1:3" ht="13" x14ac:dyDescent="0.15">
      <c r="A340" s="10"/>
      <c r="B340" s="13"/>
      <c r="C340" s="13"/>
    </row>
    <row r="341" spans="1:3" ht="13" x14ac:dyDescent="0.15">
      <c r="A341" s="10"/>
      <c r="B341" s="13"/>
      <c r="C341" s="13"/>
    </row>
    <row r="342" spans="1:3" ht="13" x14ac:dyDescent="0.15">
      <c r="A342" s="10"/>
      <c r="B342" s="13"/>
      <c r="C342" s="13"/>
    </row>
    <row r="343" spans="1:3" ht="13" x14ac:dyDescent="0.15">
      <c r="A343" s="10"/>
      <c r="B343" s="13"/>
      <c r="C343" s="13"/>
    </row>
    <row r="344" spans="1:3" ht="13" x14ac:dyDescent="0.15">
      <c r="A344" s="10"/>
      <c r="B344" s="13"/>
      <c r="C344" s="13"/>
    </row>
    <row r="345" spans="1:3" ht="13" x14ac:dyDescent="0.15">
      <c r="A345" s="10"/>
      <c r="B345" s="13"/>
      <c r="C345" s="13"/>
    </row>
    <row r="346" spans="1:3" ht="13" x14ac:dyDescent="0.15">
      <c r="A346" s="10"/>
      <c r="B346" s="13"/>
      <c r="C346" s="13"/>
    </row>
    <row r="347" spans="1:3" ht="13" x14ac:dyDescent="0.15">
      <c r="A347" s="10"/>
      <c r="B347" s="13"/>
      <c r="C347" s="13"/>
    </row>
    <row r="348" spans="1:3" ht="13" x14ac:dyDescent="0.15">
      <c r="A348" s="10"/>
      <c r="B348" s="13"/>
      <c r="C348" s="13"/>
    </row>
    <row r="349" spans="1:3" ht="13" x14ac:dyDescent="0.15">
      <c r="A349" s="10"/>
      <c r="B349" s="13"/>
      <c r="C349" s="13"/>
    </row>
    <row r="350" spans="1:3" ht="13" x14ac:dyDescent="0.15">
      <c r="A350" s="10"/>
      <c r="B350" s="13"/>
      <c r="C350" s="13"/>
    </row>
    <row r="351" spans="1:3" ht="13" x14ac:dyDescent="0.15">
      <c r="A351" s="10"/>
      <c r="B351" s="13"/>
      <c r="C351" s="13"/>
    </row>
    <row r="352" spans="1:3" ht="13" x14ac:dyDescent="0.15">
      <c r="A352" s="10"/>
      <c r="B352" s="13"/>
      <c r="C352" s="13"/>
    </row>
    <row r="353" spans="1:3" ht="13" x14ac:dyDescent="0.15">
      <c r="A353" s="10"/>
      <c r="B353" s="13"/>
      <c r="C353" s="13"/>
    </row>
    <row r="354" spans="1:3" ht="13" x14ac:dyDescent="0.15">
      <c r="A354" s="10"/>
      <c r="B354" s="13"/>
      <c r="C354" s="13"/>
    </row>
    <row r="355" spans="1:3" ht="13" x14ac:dyDescent="0.15">
      <c r="A355" s="10"/>
      <c r="B355" s="13"/>
      <c r="C355" s="13"/>
    </row>
    <row r="356" spans="1:3" ht="13" x14ac:dyDescent="0.15">
      <c r="A356" s="10"/>
      <c r="B356" s="13"/>
      <c r="C356" s="13"/>
    </row>
    <row r="357" spans="1:3" ht="13" x14ac:dyDescent="0.15">
      <c r="A357" s="10"/>
      <c r="B357" s="13"/>
      <c r="C357" s="13"/>
    </row>
    <row r="358" spans="1:3" ht="13" x14ac:dyDescent="0.15">
      <c r="A358" s="10"/>
      <c r="B358" s="13"/>
      <c r="C358" s="13"/>
    </row>
    <row r="359" spans="1:3" ht="13" x14ac:dyDescent="0.15">
      <c r="A359" s="10"/>
      <c r="B359" s="13"/>
      <c r="C359" s="13"/>
    </row>
    <row r="360" spans="1:3" ht="13" x14ac:dyDescent="0.15">
      <c r="A360" s="10"/>
      <c r="B360" s="13"/>
      <c r="C360" s="13"/>
    </row>
    <row r="361" spans="1:3" ht="13" x14ac:dyDescent="0.15">
      <c r="A361" s="10"/>
      <c r="B361" s="13"/>
      <c r="C361" s="13"/>
    </row>
    <row r="362" spans="1:3" ht="13" x14ac:dyDescent="0.15">
      <c r="A362" s="10"/>
      <c r="B362" s="13"/>
      <c r="C362" s="13"/>
    </row>
    <row r="363" spans="1:3" ht="13" x14ac:dyDescent="0.15">
      <c r="A363" s="10"/>
      <c r="B363" s="13"/>
      <c r="C363" s="13"/>
    </row>
    <row r="364" spans="1:3" ht="13" x14ac:dyDescent="0.15">
      <c r="A364" s="10"/>
      <c r="B364" s="13"/>
      <c r="C364" s="13"/>
    </row>
    <row r="365" spans="1:3" ht="13" x14ac:dyDescent="0.15">
      <c r="A365" s="10"/>
      <c r="B365" s="13"/>
      <c r="C365" s="13"/>
    </row>
    <row r="366" spans="1:3" ht="13" x14ac:dyDescent="0.15">
      <c r="A366" s="10"/>
      <c r="B366" s="13"/>
      <c r="C366" s="13"/>
    </row>
    <row r="367" spans="1:3" ht="13" x14ac:dyDescent="0.15">
      <c r="A367" s="10"/>
      <c r="B367" s="13"/>
      <c r="C367" s="13"/>
    </row>
    <row r="368" spans="1:3" ht="13" x14ac:dyDescent="0.15">
      <c r="A368" s="10"/>
      <c r="B368" s="13"/>
      <c r="C368" s="13"/>
    </row>
    <row r="369" spans="1:3" ht="13" x14ac:dyDescent="0.15">
      <c r="A369" s="10"/>
      <c r="B369" s="13"/>
      <c r="C369" s="13"/>
    </row>
    <row r="370" spans="1:3" ht="13" x14ac:dyDescent="0.15">
      <c r="A370" s="10"/>
      <c r="B370" s="13"/>
      <c r="C370" s="13"/>
    </row>
    <row r="371" spans="1:3" ht="13" x14ac:dyDescent="0.15">
      <c r="A371" s="10"/>
      <c r="B371" s="13"/>
      <c r="C371" s="13"/>
    </row>
    <row r="372" spans="1:3" ht="13" x14ac:dyDescent="0.15">
      <c r="A372" s="10"/>
      <c r="B372" s="13"/>
      <c r="C372" s="13"/>
    </row>
    <row r="373" spans="1:3" ht="13" x14ac:dyDescent="0.15">
      <c r="A373" s="10"/>
      <c r="B373" s="13"/>
      <c r="C373" s="13"/>
    </row>
    <row r="374" spans="1:3" ht="13" x14ac:dyDescent="0.15">
      <c r="A374" s="10"/>
      <c r="B374" s="13"/>
      <c r="C374" s="13"/>
    </row>
    <row r="375" spans="1:3" ht="13" x14ac:dyDescent="0.15">
      <c r="A375" s="10"/>
      <c r="B375" s="13"/>
      <c r="C375" s="13"/>
    </row>
    <row r="376" spans="1:3" ht="13" x14ac:dyDescent="0.15">
      <c r="A376" s="10"/>
      <c r="B376" s="13"/>
      <c r="C376" s="13"/>
    </row>
    <row r="377" spans="1:3" ht="13" x14ac:dyDescent="0.15">
      <c r="A377" s="10"/>
      <c r="B377" s="13"/>
      <c r="C377" s="13"/>
    </row>
    <row r="378" spans="1:3" ht="13" x14ac:dyDescent="0.15">
      <c r="A378" s="10"/>
      <c r="B378" s="13"/>
      <c r="C378" s="13"/>
    </row>
    <row r="379" spans="1:3" ht="13" x14ac:dyDescent="0.15">
      <c r="A379" s="10"/>
      <c r="B379" s="13"/>
      <c r="C379" s="13"/>
    </row>
    <row r="380" spans="1:3" ht="13" x14ac:dyDescent="0.15">
      <c r="A380" s="10"/>
      <c r="B380" s="13"/>
      <c r="C380" s="13"/>
    </row>
    <row r="381" spans="1:3" ht="13" x14ac:dyDescent="0.15">
      <c r="A381" s="10"/>
      <c r="B381" s="13"/>
      <c r="C381" s="13"/>
    </row>
    <row r="382" spans="1:3" ht="13" x14ac:dyDescent="0.15">
      <c r="A382" s="10"/>
      <c r="B382" s="13"/>
      <c r="C382" s="13"/>
    </row>
    <row r="383" spans="1:3" ht="13" x14ac:dyDescent="0.15">
      <c r="A383" s="10"/>
      <c r="B383" s="13"/>
      <c r="C383" s="13"/>
    </row>
    <row r="384" spans="1:3" ht="13" x14ac:dyDescent="0.15">
      <c r="A384" s="10"/>
      <c r="B384" s="13"/>
      <c r="C384" s="13"/>
    </row>
    <row r="385" spans="1:3" ht="13" x14ac:dyDescent="0.15">
      <c r="A385" s="10"/>
      <c r="B385" s="13"/>
      <c r="C385" s="13"/>
    </row>
    <row r="386" spans="1:3" ht="13" x14ac:dyDescent="0.15">
      <c r="A386" s="10"/>
      <c r="B386" s="13"/>
      <c r="C386" s="13"/>
    </row>
    <row r="387" spans="1:3" ht="13" x14ac:dyDescent="0.15">
      <c r="A387" s="10"/>
      <c r="B387" s="13"/>
      <c r="C387" s="13"/>
    </row>
    <row r="388" spans="1:3" ht="13" x14ac:dyDescent="0.15">
      <c r="A388" s="10"/>
      <c r="B388" s="13"/>
      <c r="C388" s="13"/>
    </row>
    <row r="389" spans="1:3" ht="13" x14ac:dyDescent="0.15">
      <c r="A389" s="10"/>
      <c r="B389" s="13"/>
      <c r="C389" s="13"/>
    </row>
    <row r="390" spans="1:3" ht="13" x14ac:dyDescent="0.15">
      <c r="A390" s="10"/>
      <c r="B390" s="13"/>
      <c r="C390" s="13"/>
    </row>
    <row r="391" spans="1:3" ht="13" x14ac:dyDescent="0.15">
      <c r="A391" s="10"/>
      <c r="B391" s="13"/>
      <c r="C391" s="13"/>
    </row>
    <row r="392" spans="1:3" ht="13" x14ac:dyDescent="0.15">
      <c r="A392" s="10"/>
      <c r="B392" s="13"/>
      <c r="C392" s="13"/>
    </row>
    <row r="393" spans="1:3" ht="13" x14ac:dyDescent="0.15">
      <c r="A393" s="10"/>
      <c r="B393" s="13"/>
      <c r="C393" s="13"/>
    </row>
    <row r="394" spans="1:3" ht="13" x14ac:dyDescent="0.15">
      <c r="A394" s="10"/>
      <c r="B394" s="13"/>
      <c r="C394" s="13"/>
    </row>
    <row r="395" spans="1:3" ht="13" x14ac:dyDescent="0.15">
      <c r="A395" s="10"/>
      <c r="B395" s="13"/>
      <c r="C395" s="13"/>
    </row>
    <row r="396" spans="1:3" ht="13" x14ac:dyDescent="0.15">
      <c r="A396" s="10"/>
      <c r="B396" s="13"/>
      <c r="C396" s="13"/>
    </row>
    <row r="397" spans="1:3" ht="13" x14ac:dyDescent="0.15">
      <c r="A397" s="10"/>
      <c r="B397" s="13"/>
      <c r="C397" s="13"/>
    </row>
    <row r="398" spans="1:3" ht="13" x14ac:dyDescent="0.15">
      <c r="A398" s="10"/>
      <c r="B398" s="13"/>
      <c r="C398" s="13"/>
    </row>
    <row r="399" spans="1:3" ht="13" x14ac:dyDescent="0.15">
      <c r="A399" s="10"/>
      <c r="B399" s="13"/>
      <c r="C399" s="13"/>
    </row>
    <row r="400" spans="1:3" ht="13" x14ac:dyDescent="0.15">
      <c r="A400" s="10"/>
      <c r="B400" s="13"/>
      <c r="C400" s="13"/>
    </row>
    <row r="401" spans="1:3" ht="13" x14ac:dyDescent="0.15">
      <c r="A401" s="10"/>
      <c r="B401" s="13"/>
      <c r="C401" s="13"/>
    </row>
    <row r="402" spans="1:3" ht="13" x14ac:dyDescent="0.15">
      <c r="A402" s="10"/>
      <c r="B402" s="13"/>
      <c r="C402" s="13"/>
    </row>
    <row r="403" spans="1:3" ht="13" x14ac:dyDescent="0.15">
      <c r="A403" s="10"/>
      <c r="B403" s="13"/>
      <c r="C403" s="13"/>
    </row>
    <row r="404" spans="1:3" ht="13" x14ac:dyDescent="0.15">
      <c r="A404" s="10"/>
      <c r="B404" s="13"/>
      <c r="C404" s="13"/>
    </row>
    <row r="405" spans="1:3" ht="13" x14ac:dyDescent="0.15">
      <c r="A405" s="10"/>
      <c r="B405" s="13"/>
      <c r="C405" s="13"/>
    </row>
    <row r="406" spans="1:3" ht="13" x14ac:dyDescent="0.15">
      <c r="A406" s="10"/>
      <c r="B406" s="13"/>
      <c r="C406" s="13"/>
    </row>
    <row r="407" spans="1:3" ht="13" x14ac:dyDescent="0.15">
      <c r="A407" s="10"/>
      <c r="B407" s="13"/>
      <c r="C407" s="13"/>
    </row>
    <row r="408" spans="1:3" ht="13" x14ac:dyDescent="0.15">
      <c r="A408" s="10"/>
      <c r="B408" s="13"/>
      <c r="C408" s="13"/>
    </row>
    <row r="409" spans="1:3" ht="13" x14ac:dyDescent="0.15">
      <c r="A409" s="10"/>
      <c r="B409" s="13"/>
      <c r="C409" s="13"/>
    </row>
    <row r="410" spans="1:3" ht="13" x14ac:dyDescent="0.15">
      <c r="A410" s="10"/>
      <c r="B410" s="13"/>
      <c r="C410" s="13"/>
    </row>
    <row r="411" spans="1:3" ht="13" x14ac:dyDescent="0.15">
      <c r="A411" s="10"/>
      <c r="B411" s="13"/>
      <c r="C411" s="13"/>
    </row>
    <row r="412" spans="1:3" ht="13" x14ac:dyDescent="0.15">
      <c r="A412" s="10"/>
      <c r="B412" s="13"/>
      <c r="C412" s="13"/>
    </row>
    <row r="413" spans="1:3" ht="13" x14ac:dyDescent="0.15">
      <c r="A413" s="10"/>
      <c r="B413" s="13"/>
      <c r="C413" s="13"/>
    </row>
    <row r="414" spans="1:3" ht="13" x14ac:dyDescent="0.15">
      <c r="A414" s="10"/>
      <c r="B414" s="13"/>
      <c r="C414" s="13"/>
    </row>
    <row r="415" spans="1:3" ht="13" x14ac:dyDescent="0.15">
      <c r="A415" s="10"/>
      <c r="B415" s="13"/>
      <c r="C415" s="13"/>
    </row>
    <row r="416" spans="1:3" ht="13" x14ac:dyDescent="0.15">
      <c r="A416" s="10"/>
      <c r="B416" s="13"/>
      <c r="C416" s="13"/>
    </row>
    <row r="417" spans="1:3" ht="13" x14ac:dyDescent="0.15">
      <c r="A417" s="10"/>
      <c r="B417" s="13"/>
      <c r="C417" s="13"/>
    </row>
    <row r="418" spans="1:3" ht="13" x14ac:dyDescent="0.15">
      <c r="A418" s="10"/>
      <c r="B418" s="13"/>
      <c r="C418" s="13"/>
    </row>
    <row r="419" spans="1:3" ht="13" x14ac:dyDescent="0.15">
      <c r="A419" s="10"/>
      <c r="B419" s="13"/>
      <c r="C419" s="13"/>
    </row>
    <row r="420" spans="1:3" ht="13" x14ac:dyDescent="0.15">
      <c r="A420" s="10"/>
      <c r="B420" s="13"/>
      <c r="C420" s="13"/>
    </row>
    <row r="421" spans="1:3" ht="13" x14ac:dyDescent="0.15">
      <c r="A421" s="10"/>
      <c r="B421" s="13"/>
      <c r="C421" s="13"/>
    </row>
    <row r="422" spans="1:3" ht="13" x14ac:dyDescent="0.15">
      <c r="A422" s="10"/>
      <c r="B422" s="13"/>
      <c r="C422" s="13"/>
    </row>
    <row r="423" spans="1:3" ht="13" x14ac:dyDescent="0.15">
      <c r="A423" s="10"/>
      <c r="B423" s="13"/>
      <c r="C423" s="13"/>
    </row>
    <row r="424" spans="1:3" ht="13" x14ac:dyDescent="0.15">
      <c r="A424" s="10"/>
      <c r="B424" s="13"/>
      <c r="C424" s="13"/>
    </row>
    <row r="425" spans="1:3" ht="13" x14ac:dyDescent="0.15">
      <c r="A425" s="10"/>
      <c r="B425" s="13"/>
      <c r="C425" s="13"/>
    </row>
    <row r="426" spans="1:3" ht="13" x14ac:dyDescent="0.15">
      <c r="A426" s="10"/>
      <c r="B426" s="13"/>
      <c r="C426" s="13"/>
    </row>
    <row r="427" spans="1:3" ht="13" x14ac:dyDescent="0.15">
      <c r="A427" s="10"/>
      <c r="B427" s="13"/>
      <c r="C427" s="13"/>
    </row>
    <row r="428" spans="1:3" ht="13" x14ac:dyDescent="0.15">
      <c r="A428" s="10"/>
      <c r="B428" s="13"/>
      <c r="C428" s="13"/>
    </row>
    <row r="429" spans="1:3" ht="13" x14ac:dyDescent="0.15">
      <c r="A429" s="10"/>
      <c r="B429" s="13"/>
      <c r="C429" s="13"/>
    </row>
    <row r="430" spans="1:3" ht="13" x14ac:dyDescent="0.15">
      <c r="A430" s="10"/>
      <c r="B430" s="13"/>
      <c r="C430" s="13"/>
    </row>
    <row r="431" spans="1:3" ht="13" x14ac:dyDescent="0.15">
      <c r="A431" s="10"/>
      <c r="B431" s="13"/>
      <c r="C431" s="13"/>
    </row>
    <row r="432" spans="1:3" ht="13" x14ac:dyDescent="0.15">
      <c r="A432" s="10"/>
      <c r="B432" s="13"/>
      <c r="C432" s="13"/>
    </row>
    <row r="433" spans="1:3" ht="13" x14ac:dyDescent="0.15">
      <c r="A433" s="10"/>
      <c r="B433" s="13"/>
      <c r="C433" s="13"/>
    </row>
    <row r="434" spans="1:3" ht="13" x14ac:dyDescent="0.15">
      <c r="A434" s="10"/>
      <c r="B434" s="13"/>
      <c r="C434" s="13"/>
    </row>
    <row r="435" spans="1:3" ht="13" x14ac:dyDescent="0.15">
      <c r="A435" s="10"/>
      <c r="B435" s="13"/>
      <c r="C435" s="13"/>
    </row>
    <row r="436" spans="1:3" ht="13" x14ac:dyDescent="0.15">
      <c r="A436" s="10"/>
      <c r="B436" s="13"/>
      <c r="C436" s="13"/>
    </row>
    <row r="437" spans="1:3" ht="13" x14ac:dyDescent="0.15">
      <c r="A437" s="10"/>
      <c r="B437" s="13"/>
      <c r="C437" s="13"/>
    </row>
    <row r="438" spans="1:3" ht="13" x14ac:dyDescent="0.15">
      <c r="A438" s="10"/>
      <c r="B438" s="13"/>
      <c r="C438" s="13"/>
    </row>
    <row r="439" spans="1:3" ht="13" x14ac:dyDescent="0.15">
      <c r="A439" s="10"/>
      <c r="B439" s="13"/>
      <c r="C439" s="13"/>
    </row>
    <row r="440" spans="1:3" ht="13" x14ac:dyDescent="0.15">
      <c r="A440" s="10"/>
      <c r="B440" s="13"/>
      <c r="C440" s="13"/>
    </row>
    <row r="441" spans="1:3" ht="13" x14ac:dyDescent="0.15">
      <c r="A441" s="10"/>
      <c r="B441" s="13"/>
      <c r="C441" s="13"/>
    </row>
    <row r="442" spans="1:3" ht="13" x14ac:dyDescent="0.15">
      <c r="A442" s="10"/>
      <c r="B442" s="13"/>
      <c r="C442" s="13"/>
    </row>
    <row r="443" spans="1:3" ht="13" x14ac:dyDescent="0.15">
      <c r="A443" s="10"/>
      <c r="B443" s="13"/>
      <c r="C443" s="13"/>
    </row>
    <row r="444" spans="1:3" ht="13" x14ac:dyDescent="0.15">
      <c r="A444" s="10"/>
      <c r="B444" s="13"/>
      <c r="C444" s="13"/>
    </row>
    <row r="445" spans="1:3" ht="13" x14ac:dyDescent="0.15">
      <c r="A445" s="10"/>
      <c r="B445" s="13"/>
      <c r="C445" s="13"/>
    </row>
    <row r="446" spans="1:3" ht="13" x14ac:dyDescent="0.15">
      <c r="A446" s="10"/>
      <c r="B446" s="13"/>
      <c r="C446" s="13"/>
    </row>
    <row r="447" spans="1:3" ht="13" x14ac:dyDescent="0.15">
      <c r="A447" s="10"/>
      <c r="B447" s="13"/>
      <c r="C447" s="13"/>
    </row>
    <row r="448" spans="1:3" ht="13" x14ac:dyDescent="0.15">
      <c r="A448" s="10"/>
      <c r="B448" s="13"/>
      <c r="C448" s="13"/>
    </row>
    <row r="449" spans="1:3" ht="13" x14ac:dyDescent="0.15">
      <c r="A449" s="10"/>
      <c r="B449" s="13"/>
      <c r="C449" s="13"/>
    </row>
    <row r="450" spans="1:3" ht="13" x14ac:dyDescent="0.15">
      <c r="A450" s="10"/>
      <c r="B450" s="13"/>
      <c r="C450" s="13"/>
    </row>
    <row r="451" spans="1:3" ht="13" x14ac:dyDescent="0.15">
      <c r="A451" s="10"/>
      <c r="B451" s="13"/>
      <c r="C451" s="13"/>
    </row>
    <row r="452" spans="1:3" ht="13" x14ac:dyDescent="0.15">
      <c r="A452" s="10"/>
      <c r="B452" s="13"/>
      <c r="C452" s="13"/>
    </row>
    <row r="453" spans="1:3" ht="13" x14ac:dyDescent="0.15">
      <c r="A453" s="10"/>
      <c r="B453" s="13"/>
      <c r="C453" s="13"/>
    </row>
    <row r="454" spans="1:3" ht="13" x14ac:dyDescent="0.15">
      <c r="A454" s="10"/>
      <c r="B454" s="13"/>
      <c r="C454" s="13"/>
    </row>
    <row r="455" spans="1:3" ht="13" x14ac:dyDescent="0.15">
      <c r="A455" s="10"/>
      <c r="B455" s="13"/>
      <c r="C455" s="13"/>
    </row>
    <row r="456" spans="1:3" ht="13" x14ac:dyDescent="0.15">
      <c r="A456" s="10"/>
      <c r="B456" s="13"/>
      <c r="C456" s="13"/>
    </row>
    <row r="457" spans="1:3" ht="13" x14ac:dyDescent="0.15">
      <c r="A457" s="10"/>
      <c r="B457" s="13"/>
      <c r="C457" s="13"/>
    </row>
    <row r="458" spans="1:3" ht="13" x14ac:dyDescent="0.15">
      <c r="A458" s="10"/>
      <c r="B458" s="13"/>
      <c r="C458" s="13"/>
    </row>
    <row r="459" spans="1:3" ht="13" x14ac:dyDescent="0.15">
      <c r="A459" s="10"/>
      <c r="B459" s="13"/>
      <c r="C459" s="13"/>
    </row>
    <row r="460" spans="1:3" ht="13" x14ac:dyDescent="0.15">
      <c r="A460" s="10"/>
      <c r="B460" s="13"/>
      <c r="C460" s="13"/>
    </row>
    <row r="461" spans="1:3" ht="13" x14ac:dyDescent="0.15">
      <c r="A461" s="10"/>
      <c r="B461" s="13"/>
      <c r="C461" s="13"/>
    </row>
    <row r="462" spans="1:3" ht="13" x14ac:dyDescent="0.15">
      <c r="A462" s="10"/>
      <c r="B462" s="13"/>
      <c r="C462" s="13"/>
    </row>
    <row r="463" spans="1:3" ht="13" x14ac:dyDescent="0.15">
      <c r="A463" s="10"/>
      <c r="B463" s="13"/>
      <c r="C463" s="13"/>
    </row>
    <row r="464" spans="1:3" ht="13" x14ac:dyDescent="0.15">
      <c r="A464" s="10"/>
      <c r="B464" s="13"/>
      <c r="C464" s="13"/>
    </row>
    <row r="465" spans="1:3" ht="13" x14ac:dyDescent="0.15">
      <c r="A465" s="10"/>
      <c r="B465" s="13"/>
      <c r="C465" s="13"/>
    </row>
    <row r="466" spans="1:3" ht="13" x14ac:dyDescent="0.15">
      <c r="A466" s="10"/>
      <c r="B466" s="13"/>
      <c r="C466" s="13"/>
    </row>
    <row r="467" spans="1:3" ht="13" x14ac:dyDescent="0.15">
      <c r="A467" s="10"/>
      <c r="B467" s="13"/>
      <c r="C467" s="13"/>
    </row>
    <row r="468" spans="1:3" ht="13" x14ac:dyDescent="0.15">
      <c r="A468" s="10"/>
      <c r="B468" s="13"/>
      <c r="C468" s="13"/>
    </row>
    <row r="469" spans="1:3" ht="13" x14ac:dyDescent="0.15">
      <c r="A469" s="10"/>
      <c r="B469" s="13"/>
      <c r="C469" s="13"/>
    </row>
    <row r="470" spans="1:3" ht="13" x14ac:dyDescent="0.15">
      <c r="A470" s="10"/>
      <c r="B470" s="13"/>
      <c r="C470" s="13"/>
    </row>
    <row r="471" spans="1:3" ht="13" x14ac:dyDescent="0.15">
      <c r="A471" s="10"/>
      <c r="B471" s="13"/>
      <c r="C471" s="13"/>
    </row>
    <row r="472" spans="1:3" ht="13" x14ac:dyDescent="0.15">
      <c r="A472" s="10"/>
      <c r="B472" s="13"/>
      <c r="C472" s="13"/>
    </row>
    <row r="473" spans="1:3" ht="13" x14ac:dyDescent="0.15">
      <c r="A473" s="10"/>
      <c r="B473" s="13"/>
      <c r="C473" s="13"/>
    </row>
    <row r="474" spans="1:3" ht="13" x14ac:dyDescent="0.15">
      <c r="A474" s="10"/>
      <c r="B474" s="13"/>
      <c r="C474" s="13"/>
    </row>
    <row r="475" spans="1:3" ht="13" x14ac:dyDescent="0.15">
      <c r="A475" s="10"/>
      <c r="B475" s="13"/>
      <c r="C475" s="13"/>
    </row>
    <row r="476" spans="1:3" ht="13" x14ac:dyDescent="0.15">
      <c r="A476" s="10"/>
      <c r="B476" s="13"/>
      <c r="C476" s="13"/>
    </row>
    <row r="477" spans="1:3" ht="13" x14ac:dyDescent="0.15">
      <c r="A477" s="10"/>
      <c r="B477" s="13"/>
      <c r="C477" s="13"/>
    </row>
    <row r="478" spans="1:3" ht="13" x14ac:dyDescent="0.15">
      <c r="A478" s="10"/>
      <c r="B478" s="13"/>
      <c r="C478" s="13"/>
    </row>
    <row r="479" spans="1:3" ht="13" x14ac:dyDescent="0.15">
      <c r="A479" s="10"/>
      <c r="B479" s="13"/>
      <c r="C479" s="13"/>
    </row>
    <row r="480" spans="1:3" ht="13" x14ac:dyDescent="0.15">
      <c r="A480" s="10"/>
      <c r="B480" s="13"/>
      <c r="C480" s="13"/>
    </row>
    <row r="481" spans="1:3" ht="13" x14ac:dyDescent="0.15">
      <c r="A481" s="10"/>
      <c r="B481" s="13"/>
      <c r="C481" s="13"/>
    </row>
    <row r="482" spans="1:3" ht="13" x14ac:dyDescent="0.15">
      <c r="A482" s="10"/>
      <c r="B482" s="13"/>
      <c r="C482" s="13"/>
    </row>
    <row r="483" spans="1:3" ht="13" x14ac:dyDescent="0.15">
      <c r="A483" s="10"/>
      <c r="B483" s="13"/>
      <c r="C483" s="13"/>
    </row>
    <row r="484" spans="1:3" ht="13" x14ac:dyDescent="0.15">
      <c r="A484" s="10"/>
      <c r="B484" s="13"/>
      <c r="C484" s="13"/>
    </row>
    <row r="485" spans="1:3" ht="13" x14ac:dyDescent="0.15">
      <c r="A485" s="10"/>
      <c r="B485" s="13"/>
      <c r="C485" s="13"/>
    </row>
    <row r="486" spans="1:3" ht="13" x14ac:dyDescent="0.15">
      <c r="A486" s="10"/>
      <c r="B486" s="13"/>
      <c r="C486" s="13"/>
    </row>
    <row r="487" spans="1:3" ht="13" x14ac:dyDescent="0.15">
      <c r="A487" s="10"/>
      <c r="B487" s="13"/>
      <c r="C487" s="13"/>
    </row>
    <row r="488" spans="1:3" ht="13" x14ac:dyDescent="0.15">
      <c r="A488" s="10"/>
      <c r="B488" s="13"/>
      <c r="C488" s="13"/>
    </row>
    <row r="489" spans="1:3" ht="13" x14ac:dyDescent="0.15">
      <c r="A489" s="10"/>
      <c r="B489" s="13"/>
      <c r="C489" s="13"/>
    </row>
    <row r="490" spans="1:3" ht="13" x14ac:dyDescent="0.15">
      <c r="A490" s="10"/>
      <c r="B490" s="13"/>
      <c r="C490" s="13"/>
    </row>
    <row r="491" spans="1:3" ht="13" x14ac:dyDescent="0.15">
      <c r="A491" s="10"/>
      <c r="B491" s="13"/>
      <c r="C491" s="13"/>
    </row>
    <row r="492" spans="1:3" ht="13" x14ac:dyDescent="0.15">
      <c r="A492" s="10"/>
      <c r="B492" s="13"/>
      <c r="C492" s="13"/>
    </row>
    <row r="493" spans="1:3" ht="13" x14ac:dyDescent="0.15">
      <c r="A493" s="10"/>
      <c r="B493" s="13"/>
      <c r="C493" s="13"/>
    </row>
    <row r="494" spans="1:3" ht="13" x14ac:dyDescent="0.15">
      <c r="A494" s="10"/>
      <c r="B494" s="13"/>
      <c r="C494" s="13"/>
    </row>
    <row r="495" spans="1:3" ht="13" x14ac:dyDescent="0.15">
      <c r="A495" s="10"/>
      <c r="B495" s="13"/>
      <c r="C495" s="13"/>
    </row>
    <row r="496" spans="1:3" ht="13" x14ac:dyDescent="0.15">
      <c r="A496" s="10"/>
      <c r="B496" s="13"/>
      <c r="C496" s="13"/>
    </row>
    <row r="497" spans="1:3" ht="13" x14ac:dyDescent="0.15">
      <c r="A497" s="10"/>
      <c r="B497" s="13"/>
      <c r="C497" s="13"/>
    </row>
    <row r="498" spans="1:3" ht="13" x14ac:dyDescent="0.15">
      <c r="A498" s="10"/>
      <c r="B498" s="13"/>
      <c r="C498" s="13"/>
    </row>
    <row r="499" spans="1:3" ht="13" x14ac:dyDescent="0.15">
      <c r="A499" s="10"/>
      <c r="B499" s="13"/>
      <c r="C499" s="13"/>
    </row>
    <row r="500" spans="1:3" ht="13" x14ac:dyDescent="0.15">
      <c r="A500" s="10"/>
      <c r="B500" s="13"/>
      <c r="C500" s="13"/>
    </row>
    <row r="501" spans="1:3" ht="13" x14ac:dyDescent="0.15">
      <c r="A501" s="10"/>
      <c r="B501" s="13"/>
      <c r="C501" s="13"/>
    </row>
    <row r="502" spans="1:3" ht="13" x14ac:dyDescent="0.15">
      <c r="A502" s="10"/>
      <c r="B502" s="13"/>
      <c r="C502" s="13"/>
    </row>
    <row r="503" spans="1:3" ht="13" x14ac:dyDescent="0.15">
      <c r="A503" s="10"/>
      <c r="B503" s="13"/>
      <c r="C503" s="13"/>
    </row>
    <row r="504" spans="1:3" ht="13" x14ac:dyDescent="0.15">
      <c r="A504" s="10"/>
      <c r="B504" s="13"/>
      <c r="C504" s="13"/>
    </row>
    <row r="505" spans="1:3" ht="13" x14ac:dyDescent="0.15">
      <c r="A505" s="10"/>
      <c r="B505" s="13"/>
      <c r="C505" s="13"/>
    </row>
    <row r="506" spans="1:3" ht="13" x14ac:dyDescent="0.15">
      <c r="A506" s="10"/>
      <c r="B506" s="13"/>
      <c r="C506" s="13"/>
    </row>
    <row r="507" spans="1:3" ht="13" x14ac:dyDescent="0.15">
      <c r="A507" s="10"/>
      <c r="B507" s="13"/>
      <c r="C507" s="13"/>
    </row>
    <row r="508" spans="1:3" ht="13" x14ac:dyDescent="0.15">
      <c r="A508" s="10"/>
      <c r="B508" s="13"/>
      <c r="C508" s="13"/>
    </row>
    <row r="509" spans="1:3" ht="13" x14ac:dyDescent="0.15">
      <c r="A509" s="10"/>
      <c r="B509" s="13"/>
      <c r="C509" s="13"/>
    </row>
    <row r="510" spans="1:3" ht="13" x14ac:dyDescent="0.15">
      <c r="A510" s="10"/>
      <c r="B510" s="13"/>
      <c r="C510" s="13"/>
    </row>
    <row r="511" spans="1:3" ht="13" x14ac:dyDescent="0.15">
      <c r="A511" s="10"/>
      <c r="B511" s="13"/>
      <c r="C511" s="13"/>
    </row>
    <row r="512" spans="1:3" ht="13" x14ac:dyDescent="0.15">
      <c r="A512" s="10"/>
      <c r="B512" s="13"/>
      <c r="C512" s="13"/>
    </row>
    <row r="513" spans="1:3" ht="13" x14ac:dyDescent="0.15">
      <c r="A513" s="10"/>
      <c r="B513" s="13"/>
      <c r="C513" s="13"/>
    </row>
    <row r="514" spans="1:3" ht="13" x14ac:dyDescent="0.15">
      <c r="A514" s="10"/>
      <c r="B514" s="13"/>
      <c r="C514" s="13"/>
    </row>
    <row r="515" spans="1:3" ht="13" x14ac:dyDescent="0.15">
      <c r="A515" s="10"/>
      <c r="B515" s="13"/>
      <c r="C515" s="13"/>
    </row>
    <row r="516" spans="1:3" ht="13" x14ac:dyDescent="0.15">
      <c r="A516" s="10"/>
      <c r="B516" s="13"/>
      <c r="C516" s="13"/>
    </row>
    <row r="517" spans="1:3" ht="13" x14ac:dyDescent="0.15">
      <c r="A517" s="10"/>
      <c r="B517" s="13"/>
      <c r="C517" s="13"/>
    </row>
    <row r="518" spans="1:3" ht="13" x14ac:dyDescent="0.15">
      <c r="A518" s="10"/>
      <c r="B518" s="13"/>
      <c r="C518" s="13"/>
    </row>
    <row r="519" spans="1:3" ht="13" x14ac:dyDescent="0.15">
      <c r="A519" s="10"/>
      <c r="B519" s="13"/>
      <c r="C519" s="13"/>
    </row>
    <row r="520" spans="1:3" ht="13" x14ac:dyDescent="0.15">
      <c r="A520" s="10"/>
      <c r="B520" s="13"/>
      <c r="C520" s="13"/>
    </row>
    <row r="521" spans="1:3" ht="13" x14ac:dyDescent="0.15">
      <c r="A521" s="10"/>
      <c r="B521" s="13"/>
      <c r="C521" s="13"/>
    </row>
    <row r="522" spans="1:3" ht="13" x14ac:dyDescent="0.15">
      <c r="A522" s="10"/>
      <c r="B522" s="13"/>
      <c r="C522" s="13"/>
    </row>
    <row r="523" spans="1:3" ht="13" x14ac:dyDescent="0.15">
      <c r="A523" s="10"/>
      <c r="B523" s="13"/>
      <c r="C523" s="13"/>
    </row>
    <row r="524" spans="1:3" ht="13" x14ac:dyDescent="0.15">
      <c r="A524" s="10"/>
      <c r="B524" s="13"/>
      <c r="C524" s="13"/>
    </row>
    <row r="525" spans="1:3" ht="13" x14ac:dyDescent="0.15">
      <c r="A525" s="10"/>
      <c r="B525" s="13"/>
      <c r="C525" s="13"/>
    </row>
    <row r="526" spans="1:3" ht="13" x14ac:dyDescent="0.15">
      <c r="A526" s="10"/>
      <c r="B526" s="13"/>
      <c r="C526" s="13"/>
    </row>
    <row r="527" spans="1:3" ht="13" x14ac:dyDescent="0.15">
      <c r="A527" s="10"/>
      <c r="B527" s="13"/>
      <c r="C527" s="13"/>
    </row>
    <row r="528" spans="1:3" ht="13" x14ac:dyDescent="0.15">
      <c r="A528" s="10"/>
      <c r="B528" s="13"/>
      <c r="C528" s="13"/>
    </row>
    <row r="529" spans="1:3" ht="13" x14ac:dyDescent="0.15">
      <c r="A529" s="10"/>
      <c r="B529" s="13"/>
      <c r="C529" s="13"/>
    </row>
    <row r="530" spans="1:3" ht="13" x14ac:dyDescent="0.15">
      <c r="A530" s="10"/>
      <c r="B530" s="13"/>
      <c r="C530" s="13"/>
    </row>
    <row r="531" spans="1:3" ht="13" x14ac:dyDescent="0.15">
      <c r="A531" s="10"/>
      <c r="B531" s="13"/>
      <c r="C531" s="13"/>
    </row>
    <row r="532" spans="1:3" ht="13" x14ac:dyDescent="0.15">
      <c r="A532" s="10"/>
      <c r="B532" s="13"/>
      <c r="C532" s="13"/>
    </row>
    <row r="533" spans="1:3" ht="13" x14ac:dyDescent="0.15">
      <c r="A533" s="10"/>
      <c r="B533" s="13"/>
      <c r="C533" s="13"/>
    </row>
    <row r="534" spans="1:3" ht="13" x14ac:dyDescent="0.15">
      <c r="A534" s="10"/>
      <c r="B534" s="13"/>
      <c r="C534" s="13"/>
    </row>
    <row r="535" spans="1:3" ht="13" x14ac:dyDescent="0.15">
      <c r="A535" s="10"/>
      <c r="B535" s="13"/>
      <c r="C535" s="13"/>
    </row>
    <row r="536" spans="1:3" ht="13" x14ac:dyDescent="0.15">
      <c r="A536" s="10"/>
      <c r="B536" s="13"/>
      <c r="C536" s="13"/>
    </row>
    <row r="537" spans="1:3" ht="13" x14ac:dyDescent="0.15">
      <c r="A537" s="10"/>
      <c r="B537" s="13"/>
      <c r="C537" s="13"/>
    </row>
    <row r="538" spans="1:3" ht="13" x14ac:dyDescent="0.15">
      <c r="A538" s="10"/>
      <c r="B538" s="13"/>
      <c r="C538" s="13"/>
    </row>
    <row r="539" spans="1:3" ht="13" x14ac:dyDescent="0.15">
      <c r="A539" s="10"/>
      <c r="B539" s="13"/>
      <c r="C539" s="13"/>
    </row>
    <row r="540" spans="1:3" ht="13" x14ac:dyDescent="0.15">
      <c r="A540" s="10"/>
      <c r="B540" s="13"/>
      <c r="C540" s="13"/>
    </row>
    <row r="541" spans="1:3" ht="13" x14ac:dyDescent="0.15">
      <c r="A541" s="10"/>
      <c r="B541" s="13"/>
      <c r="C541" s="13"/>
    </row>
    <row r="542" spans="1:3" ht="13" x14ac:dyDescent="0.15">
      <c r="A542" s="10"/>
      <c r="B542" s="13"/>
      <c r="C542" s="13"/>
    </row>
    <row r="543" spans="1:3" ht="13" x14ac:dyDescent="0.15">
      <c r="A543" s="10"/>
      <c r="B543" s="13"/>
      <c r="C543" s="13"/>
    </row>
    <row r="544" spans="1:3" ht="13" x14ac:dyDescent="0.15">
      <c r="A544" s="10"/>
      <c r="B544" s="13"/>
      <c r="C544" s="13"/>
    </row>
    <row r="545" spans="1:3" ht="13" x14ac:dyDescent="0.15">
      <c r="A545" s="10"/>
      <c r="B545" s="13"/>
      <c r="C545" s="13"/>
    </row>
    <row r="546" spans="1:3" ht="13" x14ac:dyDescent="0.15">
      <c r="A546" s="10"/>
      <c r="B546" s="13"/>
      <c r="C546" s="13"/>
    </row>
    <row r="547" spans="1:3" ht="13" x14ac:dyDescent="0.15">
      <c r="A547" s="10"/>
      <c r="B547" s="13"/>
      <c r="C547" s="13"/>
    </row>
    <row r="548" spans="1:3" ht="13" x14ac:dyDescent="0.15">
      <c r="A548" s="10"/>
      <c r="B548" s="13"/>
      <c r="C548" s="13"/>
    </row>
    <row r="549" spans="1:3" ht="13" x14ac:dyDescent="0.15">
      <c r="A549" s="10"/>
      <c r="B549" s="13"/>
      <c r="C549" s="13"/>
    </row>
    <row r="550" spans="1:3" ht="13" x14ac:dyDescent="0.15">
      <c r="A550" s="10"/>
      <c r="B550" s="13"/>
      <c r="C550" s="13"/>
    </row>
    <row r="551" spans="1:3" ht="13" x14ac:dyDescent="0.15">
      <c r="A551" s="10"/>
      <c r="B551" s="13"/>
      <c r="C551" s="13"/>
    </row>
    <row r="552" spans="1:3" ht="13" x14ac:dyDescent="0.15">
      <c r="A552" s="10"/>
      <c r="B552" s="13"/>
      <c r="C552" s="13"/>
    </row>
    <row r="553" spans="1:3" ht="13" x14ac:dyDescent="0.15">
      <c r="A553" s="10"/>
      <c r="B553" s="13"/>
      <c r="C553" s="13"/>
    </row>
    <row r="554" spans="1:3" ht="13" x14ac:dyDescent="0.15">
      <c r="A554" s="10"/>
      <c r="B554" s="13"/>
      <c r="C554" s="13"/>
    </row>
    <row r="555" spans="1:3" ht="13" x14ac:dyDescent="0.15">
      <c r="A555" s="10"/>
      <c r="B555" s="13"/>
      <c r="C555" s="13"/>
    </row>
    <row r="556" spans="1:3" ht="13" x14ac:dyDescent="0.15">
      <c r="A556" s="10"/>
      <c r="B556" s="13"/>
      <c r="C556" s="13"/>
    </row>
    <row r="557" spans="1:3" ht="13" x14ac:dyDescent="0.15">
      <c r="A557" s="10"/>
      <c r="B557" s="13"/>
      <c r="C557" s="13"/>
    </row>
    <row r="558" spans="1:3" ht="13" x14ac:dyDescent="0.15">
      <c r="A558" s="10"/>
      <c r="B558" s="13"/>
      <c r="C558" s="13"/>
    </row>
    <row r="559" spans="1:3" ht="13" x14ac:dyDescent="0.15">
      <c r="A559" s="10"/>
      <c r="B559" s="13"/>
      <c r="C559" s="13"/>
    </row>
    <row r="560" spans="1:3" ht="13" x14ac:dyDescent="0.15">
      <c r="A560" s="10"/>
      <c r="B560" s="13"/>
      <c r="C560" s="13"/>
    </row>
    <row r="561" spans="1:3" ht="13" x14ac:dyDescent="0.15">
      <c r="A561" s="10"/>
      <c r="B561" s="13"/>
      <c r="C561" s="13"/>
    </row>
    <row r="562" spans="1:3" ht="13" x14ac:dyDescent="0.15">
      <c r="A562" s="10"/>
      <c r="B562" s="13"/>
      <c r="C562" s="13"/>
    </row>
    <row r="563" spans="1:3" ht="13" x14ac:dyDescent="0.15">
      <c r="A563" s="10"/>
      <c r="B563" s="13"/>
      <c r="C563" s="13"/>
    </row>
    <row r="564" spans="1:3" ht="13" x14ac:dyDescent="0.15">
      <c r="A564" s="10"/>
      <c r="B564" s="13"/>
      <c r="C564" s="13"/>
    </row>
    <row r="565" spans="1:3" ht="13" x14ac:dyDescent="0.15">
      <c r="A565" s="10"/>
      <c r="B565" s="13"/>
      <c r="C565" s="13"/>
    </row>
    <row r="566" spans="1:3" ht="13" x14ac:dyDescent="0.15">
      <c r="A566" s="10"/>
      <c r="B566" s="13"/>
      <c r="C566" s="13"/>
    </row>
    <row r="567" spans="1:3" ht="13" x14ac:dyDescent="0.15">
      <c r="A567" s="10"/>
      <c r="B567" s="13"/>
      <c r="C567" s="13"/>
    </row>
    <row r="568" spans="1:3" ht="13" x14ac:dyDescent="0.15">
      <c r="A568" s="10"/>
      <c r="B568" s="13"/>
      <c r="C568" s="13"/>
    </row>
    <row r="569" spans="1:3" ht="13" x14ac:dyDescent="0.15">
      <c r="A569" s="10"/>
      <c r="B569" s="13"/>
      <c r="C569" s="13"/>
    </row>
    <row r="570" spans="1:3" ht="13" x14ac:dyDescent="0.15">
      <c r="A570" s="10"/>
      <c r="B570" s="13"/>
      <c r="C570" s="13"/>
    </row>
    <row r="571" spans="1:3" ht="13" x14ac:dyDescent="0.15">
      <c r="A571" s="10"/>
      <c r="B571" s="13"/>
      <c r="C571" s="13"/>
    </row>
    <row r="572" spans="1:3" ht="13" x14ac:dyDescent="0.15">
      <c r="A572" s="10"/>
      <c r="B572" s="13"/>
      <c r="C572" s="13"/>
    </row>
    <row r="573" spans="1:3" ht="13" x14ac:dyDescent="0.15">
      <c r="A573" s="10"/>
      <c r="B573" s="13"/>
      <c r="C573" s="13"/>
    </row>
    <row r="574" spans="1:3" ht="13" x14ac:dyDescent="0.15">
      <c r="A574" s="10"/>
      <c r="B574" s="13"/>
      <c r="C574" s="13"/>
    </row>
    <row r="575" spans="1:3" ht="13" x14ac:dyDescent="0.15">
      <c r="A575" s="10"/>
      <c r="B575" s="13"/>
      <c r="C575" s="13"/>
    </row>
    <row r="576" spans="1:3" ht="13" x14ac:dyDescent="0.15">
      <c r="A576" s="10"/>
      <c r="B576" s="13"/>
      <c r="C576" s="13"/>
    </row>
    <row r="577" spans="1:3" ht="13" x14ac:dyDescent="0.15">
      <c r="A577" s="10"/>
      <c r="B577" s="13"/>
      <c r="C577" s="13"/>
    </row>
    <row r="578" spans="1:3" ht="13" x14ac:dyDescent="0.15">
      <c r="A578" s="10"/>
      <c r="B578" s="13"/>
      <c r="C578" s="13"/>
    </row>
    <row r="579" spans="1:3" ht="13" x14ac:dyDescent="0.15">
      <c r="A579" s="10"/>
      <c r="B579" s="13"/>
      <c r="C579" s="13"/>
    </row>
    <row r="580" spans="1:3" ht="13" x14ac:dyDescent="0.15">
      <c r="A580" s="10"/>
      <c r="B580" s="13"/>
      <c r="C580" s="13"/>
    </row>
    <row r="581" spans="1:3" ht="13" x14ac:dyDescent="0.15">
      <c r="A581" s="10"/>
      <c r="B581" s="13"/>
      <c r="C581" s="13"/>
    </row>
    <row r="582" spans="1:3" ht="13" x14ac:dyDescent="0.15">
      <c r="A582" s="10"/>
      <c r="B582" s="13"/>
      <c r="C582" s="13"/>
    </row>
    <row r="583" spans="1:3" ht="13" x14ac:dyDescent="0.15">
      <c r="A583" s="10"/>
      <c r="B583" s="13"/>
      <c r="C583" s="13"/>
    </row>
    <row r="584" spans="1:3" ht="13" x14ac:dyDescent="0.15">
      <c r="A584" s="10"/>
      <c r="B584" s="13"/>
      <c r="C584" s="13"/>
    </row>
    <row r="585" spans="1:3" ht="13" x14ac:dyDescent="0.15">
      <c r="A585" s="10"/>
      <c r="B585" s="13"/>
      <c r="C585" s="13"/>
    </row>
    <row r="586" spans="1:3" ht="13" x14ac:dyDescent="0.15">
      <c r="A586" s="10"/>
      <c r="B586" s="13"/>
      <c r="C586" s="13"/>
    </row>
    <row r="587" spans="1:3" ht="13" x14ac:dyDescent="0.15">
      <c r="A587" s="10"/>
      <c r="B587" s="13"/>
      <c r="C587" s="13"/>
    </row>
    <row r="588" spans="1:3" ht="13" x14ac:dyDescent="0.15">
      <c r="A588" s="10"/>
      <c r="B588" s="13"/>
      <c r="C588" s="13"/>
    </row>
    <row r="589" spans="1:3" ht="13" x14ac:dyDescent="0.15">
      <c r="A589" s="10"/>
      <c r="B589" s="13"/>
      <c r="C589" s="13"/>
    </row>
    <row r="590" spans="1:3" ht="13" x14ac:dyDescent="0.15">
      <c r="A590" s="10"/>
      <c r="B590" s="13"/>
      <c r="C590" s="13"/>
    </row>
    <row r="591" spans="1:3" ht="13" x14ac:dyDescent="0.15">
      <c r="A591" s="10"/>
      <c r="B591" s="13"/>
      <c r="C591" s="13"/>
    </row>
    <row r="592" spans="1:3" ht="13" x14ac:dyDescent="0.15">
      <c r="A592" s="10"/>
      <c r="B592" s="13"/>
      <c r="C592" s="13"/>
    </row>
    <row r="593" spans="1:3" ht="13" x14ac:dyDescent="0.15">
      <c r="A593" s="10"/>
      <c r="B593" s="13"/>
      <c r="C593" s="13"/>
    </row>
    <row r="594" spans="1:3" ht="13" x14ac:dyDescent="0.15">
      <c r="A594" s="10"/>
      <c r="B594" s="13"/>
      <c r="C594" s="13"/>
    </row>
    <row r="595" spans="1:3" ht="13" x14ac:dyDescent="0.15">
      <c r="A595" s="10"/>
      <c r="B595" s="13"/>
      <c r="C595" s="13"/>
    </row>
    <row r="596" spans="1:3" ht="13" x14ac:dyDescent="0.15">
      <c r="A596" s="10"/>
      <c r="B596" s="13"/>
      <c r="C596" s="13"/>
    </row>
    <row r="597" spans="1:3" ht="13" x14ac:dyDescent="0.15">
      <c r="A597" s="10"/>
      <c r="B597" s="13"/>
      <c r="C597" s="13"/>
    </row>
    <row r="598" spans="1:3" ht="13" x14ac:dyDescent="0.15">
      <c r="A598" s="10"/>
      <c r="B598" s="13"/>
      <c r="C598" s="13"/>
    </row>
    <row r="599" spans="1:3" ht="13" x14ac:dyDescent="0.15">
      <c r="A599" s="10"/>
      <c r="B599" s="13"/>
      <c r="C599" s="13"/>
    </row>
    <row r="600" spans="1:3" ht="13" x14ac:dyDescent="0.15">
      <c r="A600" s="10"/>
      <c r="B600" s="13"/>
      <c r="C600" s="13"/>
    </row>
    <row r="601" spans="1:3" ht="13" x14ac:dyDescent="0.15">
      <c r="A601" s="10"/>
      <c r="B601" s="13"/>
      <c r="C601" s="13"/>
    </row>
    <row r="602" spans="1:3" ht="13" x14ac:dyDescent="0.15">
      <c r="A602" s="10"/>
      <c r="B602" s="13"/>
      <c r="C602" s="13"/>
    </row>
    <row r="603" spans="1:3" ht="13" x14ac:dyDescent="0.15">
      <c r="A603" s="10"/>
      <c r="B603" s="13"/>
      <c r="C603" s="13"/>
    </row>
    <row r="604" spans="1:3" ht="13" x14ac:dyDescent="0.15">
      <c r="A604" s="10"/>
      <c r="B604" s="13"/>
      <c r="C604" s="13"/>
    </row>
    <row r="605" spans="1:3" ht="13" x14ac:dyDescent="0.15">
      <c r="A605" s="10"/>
      <c r="B605" s="13"/>
      <c r="C605" s="13"/>
    </row>
    <row r="606" spans="1:3" ht="13" x14ac:dyDescent="0.15">
      <c r="A606" s="10"/>
      <c r="B606" s="13"/>
      <c r="C606" s="13"/>
    </row>
    <row r="607" spans="1:3" ht="13" x14ac:dyDescent="0.15">
      <c r="A607" s="10"/>
      <c r="B607" s="13"/>
      <c r="C607" s="13"/>
    </row>
    <row r="608" spans="1:3" ht="13" x14ac:dyDescent="0.15">
      <c r="A608" s="10"/>
      <c r="B608" s="13"/>
      <c r="C608" s="13"/>
    </row>
    <row r="609" spans="1:3" ht="13" x14ac:dyDescent="0.15">
      <c r="A609" s="10"/>
      <c r="B609" s="13"/>
      <c r="C609" s="13"/>
    </row>
    <row r="610" spans="1:3" ht="13" x14ac:dyDescent="0.15">
      <c r="A610" s="10"/>
      <c r="B610" s="13"/>
      <c r="C610" s="13"/>
    </row>
    <row r="611" spans="1:3" ht="13" x14ac:dyDescent="0.15">
      <c r="A611" s="10"/>
      <c r="B611" s="13"/>
      <c r="C611" s="13"/>
    </row>
    <row r="612" spans="1:3" ht="13" x14ac:dyDescent="0.15">
      <c r="A612" s="10"/>
      <c r="B612" s="13"/>
      <c r="C612" s="13"/>
    </row>
    <row r="613" spans="1:3" ht="13" x14ac:dyDescent="0.15">
      <c r="A613" s="10"/>
      <c r="B613" s="13"/>
      <c r="C613" s="13"/>
    </row>
    <row r="614" spans="1:3" ht="13" x14ac:dyDescent="0.15">
      <c r="A614" s="10"/>
      <c r="B614" s="13"/>
      <c r="C614" s="13"/>
    </row>
    <row r="615" spans="1:3" ht="13" x14ac:dyDescent="0.15">
      <c r="A615" s="10"/>
      <c r="B615" s="13"/>
      <c r="C615" s="13"/>
    </row>
    <row r="616" spans="1:3" ht="13" x14ac:dyDescent="0.15">
      <c r="A616" s="10"/>
      <c r="B616" s="13"/>
      <c r="C616" s="13"/>
    </row>
    <row r="617" spans="1:3" ht="13" x14ac:dyDescent="0.15">
      <c r="A617" s="10"/>
      <c r="B617" s="13"/>
      <c r="C617" s="13"/>
    </row>
    <row r="618" spans="1:3" ht="13" x14ac:dyDescent="0.15">
      <c r="A618" s="10"/>
      <c r="B618" s="13"/>
      <c r="C618" s="13"/>
    </row>
    <row r="619" spans="1:3" ht="13" x14ac:dyDescent="0.15">
      <c r="A619" s="10"/>
      <c r="B619" s="13"/>
      <c r="C619" s="13"/>
    </row>
    <row r="620" spans="1:3" ht="13" x14ac:dyDescent="0.15">
      <c r="A620" s="10"/>
      <c r="B620" s="13"/>
      <c r="C620" s="13"/>
    </row>
    <row r="621" spans="1:3" ht="13" x14ac:dyDescent="0.15">
      <c r="A621" s="10"/>
      <c r="B621" s="13"/>
      <c r="C621" s="13"/>
    </row>
    <row r="622" spans="1:3" ht="13" x14ac:dyDescent="0.15">
      <c r="A622" s="10"/>
      <c r="B622" s="13"/>
      <c r="C622" s="13"/>
    </row>
    <row r="623" spans="1:3" ht="13" x14ac:dyDescent="0.15">
      <c r="A623" s="10"/>
      <c r="B623" s="13"/>
      <c r="C623" s="13"/>
    </row>
    <row r="624" spans="1:3" ht="13" x14ac:dyDescent="0.15">
      <c r="A624" s="10"/>
      <c r="B624" s="13"/>
      <c r="C624" s="13"/>
    </row>
    <row r="625" spans="1:3" ht="13" x14ac:dyDescent="0.15">
      <c r="A625" s="10"/>
      <c r="B625" s="13"/>
      <c r="C625" s="13"/>
    </row>
    <row r="626" spans="1:3" ht="13" x14ac:dyDescent="0.15">
      <c r="A626" s="10"/>
      <c r="B626" s="13"/>
      <c r="C626" s="13"/>
    </row>
    <row r="627" spans="1:3" ht="13" x14ac:dyDescent="0.15">
      <c r="A627" s="10"/>
      <c r="B627" s="13"/>
      <c r="C627" s="13"/>
    </row>
    <row r="628" spans="1:3" ht="13" x14ac:dyDescent="0.15">
      <c r="A628" s="10"/>
      <c r="B628" s="13"/>
      <c r="C628" s="13"/>
    </row>
    <row r="629" spans="1:3" ht="13" x14ac:dyDescent="0.15">
      <c r="A629" s="10"/>
      <c r="B629" s="13"/>
      <c r="C629" s="13"/>
    </row>
    <row r="630" spans="1:3" ht="13" x14ac:dyDescent="0.15">
      <c r="A630" s="10"/>
      <c r="B630" s="13"/>
      <c r="C630" s="13"/>
    </row>
    <row r="631" spans="1:3" ht="13" x14ac:dyDescent="0.15">
      <c r="A631" s="10"/>
      <c r="B631" s="13"/>
      <c r="C631" s="13"/>
    </row>
    <row r="632" spans="1:3" ht="13" x14ac:dyDescent="0.15">
      <c r="A632" s="10"/>
      <c r="B632" s="13"/>
      <c r="C632" s="13"/>
    </row>
    <row r="633" spans="1:3" ht="13" x14ac:dyDescent="0.15">
      <c r="A633" s="10"/>
      <c r="B633" s="13"/>
      <c r="C633" s="13"/>
    </row>
    <row r="634" spans="1:3" ht="13" x14ac:dyDescent="0.15">
      <c r="A634" s="10"/>
      <c r="B634" s="13"/>
      <c r="C634" s="13"/>
    </row>
    <row r="635" spans="1:3" ht="13" x14ac:dyDescent="0.15">
      <c r="A635" s="10"/>
      <c r="B635" s="13"/>
      <c r="C635" s="13"/>
    </row>
    <row r="636" spans="1:3" ht="13" x14ac:dyDescent="0.15">
      <c r="A636" s="10"/>
      <c r="B636" s="13"/>
      <c r="C636" s="13"/>
    </row>
    <row r="637" spans="1:3" ht="13" x14ac:dyDescent="0.15">
      <c r="A637" s="10"/>
      <c r="B637" s="13"/>
      <c r="C637" s="13"/>
    </row>
    <row r="638" spans="1:3" ht="13" x14ac:dyDescent="0.15">
      <c r="A638" s="10"/>
      <c r="B638" s="13"/>
      <c r="C638" s="13"/>
    </row>
    <row r="639" spans="1:3" ht="13" x14ac:dyDescent="0.15">
      <c r="A639" s="10"/>
      <c r="B639" s="13"/>
      <c r="C639" s="13"/>
    </row>
    <row r="640" spans="1:3" ht="13" x14ac:dyDescent="0.15">
      <c r="A640" s="10"/>
      <c r="B640" s="13"/>
      <c r="C640" s="13"/>
    </row>
    <row r="641" spans="1:3" ht="13" x14ac:dyDescent="0.15">
      <c r="A641" s="10"/>
      <c r="B641" s="13"/>
      <c r="C641" s="13"/>
    </row>
    <row r="642" spans="1:3" ht="13" x14ac:dyDescent="0.15">
      <c r="A642" s="10"/>
      <c r="B642" s="13"/>
      <c r="C642" s="13"/>
    </row>
    <row r="643" spans="1:3" ht="13" x14ac:dyDescent="0.15">
      <c r="A643" s="10"/>
      <c r="B643" s="13"/>
      <c r="C643" s="13"/>
    </row>
    <row r="644" spans="1:3" ht="13" x14ac:dyDescent="0.15">
      <c r="A644" s="10"/>
      <c r="B644" s="13"/>
      <c r="C644" s="13"/>
    </row>
    <row r="645" spans="1:3" ht="13" x14ac:dyDescent="0.15">
      <c r="A645" s="10"/>
      <c r="B645" s="13"/>
      <c r="C645" s="13"/>
    </row>
    <row r="646" spans="1:3" ht="13" x14ac:dyDescent="0.15">
      <c r="A646" s="10"/>
      <c r="B646" s="13"/>
      <c r="C646" s="13"/>
    </row>
    <row r="647" spans="1:3" ht="13" x14ac:dyDescent="0.15">
      <c r="A647" s="10"/>
      <c r="B647" s="13"/>
      <c r="C647" s="13"/>
    </row>
    <row r="648" spans="1:3" ht="13" x14ac:dyDescent="0.15">
      <c r="A648" s="10"/>
      <c r="B648" s="13"/>
      <c r="C648" s="13"/>
    </row>
    <row r="649" spans="1:3" ht="13" x14ac:dyDescent="0.15">
      <c r="A649" s="10"/>
      <c r="B649" s="13"/>
      <c r="C649" s="13"/>
    </row>
    <row r="650" spans="1:3" ht="13" x14ac:dyDescent="0.15">
      <c r="A650" s="10"/>
      <c r="B650" s="13"/>
      <c r="C650" s="13"/>
    </row>
    <row r="651" spans="1:3" ht="13" x14ac:dyDescent="0.15">
      <c r="A651" s="10"/>
      <c r="B651" s="13"/>
      <c r="C651" s="13"/>
    </row>
    <row r="652" spans="1:3" ht="13" x14ac:dyDescent="0.15">
      <c r="A652" s="10"/>
      <c r="B652" s="13"/>
      <c r="C652" s="13"/>
    </row>
    <row r="653" spans="1:3" ht="13" x14ac:dyDescent="0.15">
      <c r="A653" s="10"/>
      <c r="B653" s="13"/>
      <c r="C653" s="13"/>
    </row>
    <row r="654" spans="1:3" ht="13" x14ac:dyDescent="0.15">
      <c r="A654" s="10"/>
      <c r="B654" s="13"/>
      <c r="C654" s="13"/>
    </row>
    <row r="655" spans="1:3" ht="13" x14ac:dyDescent="0.15">
      <c r="A655" s="10"/>
      <c r="B655" s="13"/>
      <c r="C655" s="13"/>
    </row>
    <row r="656" spans="1:3" ht="13" x14ac:dyDescent="0.15">
      <c r="A656" s="10"/>
      <c r="B656" s="13"/>
      <c r="C656" s="13"/>
    </row>
    <row r="657" spans="1:3" ht="13" x14ac:dyDescent="0.15">
      <c r="A657" s="10"/>
      <c r="B657" s="13"/>
      <c r="C657" s="13"/>
    </row>
    <row r="658" spans="1:3" ht="13" x14ac:dyDescent="0.15">
      <c r="A658" s="10"/>
      <c r="B658" s="13"/>
      <c r="C658" s="13"/>
    </row>
    <row r="659" spans="1:3" ht="13" x14ac:dyDescent="0.15">
      <c r="A659" s="10"/>
      <c r="B659" s="13"/>
      <c r="C659" s="13"/>
    </row>
    <row r="660" spans="1:3" ht="13" x14ac:dyDescent="0.15">
      <c r="A660" s="10"/>
      <c r="B660" s="13"/>
      <c r="C660" s="13"/>
    </row>
    <row r="661" spans="1:3" ht="13" x14ac:dyDescent="0.15">
      <c r="A661" s="10"/>
      <c r="B661" s="13"/>
      <c r="C661" s="13"/>
    </row>
    <row r="662" spans="1:3" ht="13" x14ac:dyDescent="0.15">
      <c r="A662" s="10"/>
      <c r="B662" s="13"/>
      <c r="C662" s="13"/>
    </row>
    <row r="663" spans="1:3" ht="13" x14ac:dyDescent="0.15">
      <c r="A663" s="10"/>
      <c r="B663" s="13"/>
      <c r="C663" s="13"/>
    </row>
    <row r="664" spans="1:3" ht="13" x14ac:dyDescent="0.15">
      <c r="A664" s="10"/>
      <c r="B664" s="13"/>
      <c r="C664" s="13"/>
    </row>
    <row r="665" spans="1:3" ht="13" x14ac:dyDescent="0.15">
      <c r="A665" s="10"/>
      <c r="B665" s="13"/>
      <c r="C665" s="13"/>
    </row>
    <row r="666" spans="1:3" ht="13" x14ac:dyDescent="0.15">
      <c r="A666" s="10"/>
      <c r="B666" s="13"/>
      <c r="C666" s="13"/>
    </row>
    <row r="667" spans="1:3" ht="13" x14ac:dyDescent="0.15">
      <c r="A667" s="10"/>
      <c r="B667" s="13"/>
      <c r="C667" s="13"/>
    </row>
    <row r="668" spans="1:3" ht="13" x14ac:dyDescent="0.15">
      <c r="A668" s="10"/>
      <c r="B668" s="13"/>
      <c r="C668" s="13"/>
    </row>
    <row r="669" spans="1:3" ht="13" x14ac:dyDescent="0.15">
      <c r="A669" s="10"/>
      <c r="B669" s="13"/>
      <c r="C669" s="13"/>
    </row>
    <row r="670" spans="1:3" ht="13" x14ac:dyDescent="0.15">
      <c r="A670" s="10"/>
      <c r="B670" s="13"/>
      <c r="C670" s="13"/>
    </row>
    <row r="671" spans="1:3" ht="13" x14ac:dyDescent="0.15">
      <c r="A671" s="10"/>
      <c r="B671" s="13"/>
      <c r="C671" s="13"/>
    </row>
    <row r="672" spans="1:3" ht="13" x14ac:dyDescent="0.15">
      <c r="A672" s="10"/>
      <c r="B672" s="13"/>
      <c r="C672" s="13"/>
    </row>
    <row r="673" spans="1:3" ht="13" x14ac:dyDescent="0.15">
      <c r="A673" s="10"/>
      <c r="B673" s="13"/>
      <c r="C673" s="13"/>
    </row>
    <row r="674" spans="1:3" ht="13" x14ac:dyDescent="0.15">
      <c r="A674" s="10"/>
      <c r="B674" s="13"/>
      <c r="C674" s="13"/>
    </row>
    <row r="675" spans="1:3" ht="13" x14ac:dyDescent="0.15">
      <c r="A675" s="10"/>
      <c r="B675" s="13"/>
      <c r="C675" s="13"/>
    </row>
    <row r="676" spans="1:3" ht="13" x14ac:dyDescent="0.15">
      <c r="A676" s="10"/>
      <c r="B676" s="13"/>
      <c r="C676" s="13"/>
    </row>
    <row r="677" spans="1:3" ht="13" x14ac:dyDescent="0.15">
      <c r="A677" s="10"/>
      <c r="B677" s="13"/>
      <c r="C677" s="13"/>
    </row>
    <row r="678" spans="1:3" ht="13" x14ac:dyDescent="0.15">
      <c r="A678" s="10"/>
      <c r="B678" s="13"/>
      <c r="C678" s="13"/>
    </row>
    <row r="679" spans="1:3" ht="13" x14ac:dyDescent="0.15">
      <c r="A679" s="10"/>
      <c r="B679" s="13"/>
      <c r="C679" s="13"/>
    </row>
    <row r="680" spans="1:3" ht="13" x14ac:dyDescent="0.15">
      <c r="A680" s="10"/>
      <c r="B680" s="13"/>
      <c r="C680" s="13"/>
    </row>
    <row r="681" spans="1:3" ht="13" x14ac:dyDescent="0.15">
      <c r="A681" s="10"/>
      <c r="B681" s="13"/>
      <c r="C681" s="13"/>
    </row>
    <row r="682" spans="1:3" ht="13" x14ac:dyDescent="0.15">
      <c r="A682" s="10"/>
      <c r="B682" s="13"/>
      <c r="C682" s="13"/>
    </row>
    <row r="683" spans="1:3" ht="13" x14ac:dyDescent="0.15">
      <c r="A683" s="10"/>
      <c r="B683" s="13"/>
      <c r="C683" s="13"/>
    </row>
    <row r="684" spans="1:3" ht="13" x14ac:dyDescent="0.15">
      <c r="A684" s="10"/>
      <c r="B684" s="13"/>
      <c r="C684" s="13"/>
    </row>
    <row r="685" spans="1:3" ht="13" x14ac:dyDescent="0.15">
      <c r="A685" s="10"/>
      <c r="B685" s="13"/>
      <c r="C685" s="13"/>
    </row>
    <row r="686" spans="1:3" ht="13" x14ac:dyDescent="0.15">
      <c r="A686" s="10"/>
      <c r="B686" s="13"/>
      <c r="C686" s="13"/>
    </row>
    <row r="687" spans="1:3" ht="13" x14ac:dyDescent="0.15">
      <c r="A687" s="10"/>
      <c r="B687" s="13"/>
      <c r="C687" s="13"/>
    </row>
    <row r="688" spans="1:3" ht="13" x14ac:dyDescent="0.15">
      <c r="A688" s="10"/>
      <c r="B688" s="13"/>
      <c r="C688" s="13"/>
    </row>
    <row r="689" spans="1:3" ht="13" x14ac:dyDescent="0.15">
      <c r="A689" s="10"/>
      <c r="B689" s="13"/>
      <c r="C689" s="13"/>
    </row>
    <row r="690" spans="1:3" ht="13" x14ac:dyDescent="0.15">
      <c r="A690" s="10"/>
      <c r="B690" s="13"/>
      <c r="C690" s="13"/>
    </row>
    <row r="691" spans="1:3" ht="13" x14ac:dyDescent="0.15">
      <c r="A691" s="10"/>
      <c r="B691" s="13"/>
      <c r="C691" s="13"/>
    </row>
    <row r="692" spans="1:3" ht="13" x14ac:dyDescent="0.15">
      <c r="A692" s="10"/>
      <c r="B692" s="13"/>
      <c r="C692" s="13"/>
    </row>
    <row r="693" spans="1:3" ht="13" x14ac:dyDescent="0.15">
      <c r="A693" s="10"/>
      <c r="B693" s="13"/>
      <c r="C693" s="13"/>
    </row>
    <row r="694" spans="1:3" ht="13" x14ac:dyDescent="0.15">
      <c r="A694" s="10"/>
      <c r="B694" s="13"/>
      <c r="C694" s="13"/>
    </row>
    <row r="695" spans="1:3" ht="13" x14ac:dyDescent="0.15">
      <c r="A695" s="10"/>
      <c r="B695" s="13"/>
      <c r="C695" s="13"/>
    </row>
    <row r="696" spans="1:3" ht="13" x14ac:dyDescent="0.15">
      <c r="A696" s="10"/>
      <c r="B696" s="13"/>
      <c r="C696" s="13"/>
    </row>
    <row r="697" spans="1:3" ht="13" x14ac:dyDescent="0.15">
      <c r="A697" s="10"/>
      <c r="B697" s="13"/>
      <c r="C697" s="13"/>
    </row>
    <row r="698" spans="1:3" ht="13" x14ac:dyDescent="0.15">
      <c r="A698" s="10"/>
      <c r="B698" s="13"/>
      <c r="C698" s="13"/>
    </row>
    <row r="699" spans="1:3" ht="13" x14ac:dyDescent="0.15">
      <c r="A699" s="10"/>
      <c r="B699" s="13"/>
      <c r="C699" s="13"/>
    </row>
    <row r="700" spans="1:3" ht="13" x14ac:dyDescent="0.15">
      <c r="A700" s="10"/>
      <c r="B700" s="13"/>
      <c r="C700" s="13"/>
    </row>
    <row r="701" spans="1:3" ht="13" x14ac:dyDescent="0.15">
      <c r="A701" s="10"/>
      <c r="B701" s="13"/>
      <c r="C701" s="13"/>
    </row>
    <row r="702" spans="1:3" ht="13" x14ac:dyDescent="0.15">
      <c r="A702" s="10"/>
      <c r="B702" s="13"/>
      <c r="C702" s="13"/>
    </row>
    <row r="703" spans="1:3" ht="13" x14ac:dyDescent="0.15">
      <c r="A703" s="10"/>
      <c r="B703" s="13"/>
      <c r="C703" s="13"/>
    </row>
    <row r="704" spans="1:3" ht="13" x14ac:dyDescent="0.15">
      <c r="A704" s="10"/>
      <c r="B704" s="13"/>
      <c r="C704" s="13"/>
    </row>
    <row r="705" spans="1:3" ht="13" x14ac:dyDescent="0.15">
      <c r="A705" s="10"/>
      <c r="B705" s="13"/>
      <c r="C705" s="13"/>
    </row>
    <row r="706" spans="1:3" ht="13" x14ac:dyDescent="0.15">
      <c r="A706" s="10"/>
      <c r="B706" s="13"/>
      <c r="C706" s="13"/>
    </row>
    <row r="707" spans="1:3" ht="13" x14ac:dyDescent="0.15">
      <c r="A707" s="10"/>
      <c r="B707" s="13"/>
      <c r="C707" s="13"/>
    </row>
    <row r="708" spans="1:3" ht="13" x14ac:dyDescent="0.15">
      <c r="A708" s="10"/>
      <c r="B708" s="13"/>
      <c r="C708" s="13"/>
    </row>
    <row r="709" spans="1:3" ht="13" x14ac:dyDescent="0.15">
      <c r="A709" s="10"/>
      <c r="B709" s="13"/>
      <c r="C709" s="13"/>
    </row>
    <row r="710" spans="1:3" ht="13" x14ac:dyDescent="0.15">
      <c r="A710" s="10"/>
      <c r="B710" s="13"/>
      <c r="C710" s="13"/>
    </row>
    <row r="711" spans="1:3" ht="13" x14ac:dyDescent="0.15">
      <c r="A711" s="10"/>
      <c r="B711" s="13"/>
      <c r="C711" s="13"/>
    </row>
    <row r="712" spans="1:3" ht="13" x14ac:dyDescent="0.15">
      <c r="A712" s="10"/>
      <c r="B712" s="13"/>
      <c r="C712" s="13"/>
    </row>
    <row r="713" spans="1:3" ht="13" x14ac:dyDescent="0.15">
      <c r="A713" s="10"/>
      <c r="B713" s="13"/>
      <c r="C713" s="13"/>
    </row>
    <row r="714" spans="1:3" ht="13" x14ac:dyDescent="0.15">
      <c r="A714" s="10"/>
      <c r="B714" s="13"/>
      <c r="C714" s="13"/>
    </row>
    <row r="715" spans="1:3" ht="13" x14ac:dyDescent="0.15">
      <c r="A715" s="10"/>
      <c r="B715" s="13"/>
      <c r="C715" s="13"/>
    </row>
    <row r="716" spans="1:3" ht="13" x14ac:dyDescent="0.15">
      <c r="A716" s="10"/>
      <c r="B716" s="13"/>
      <c r="C716" s="13"/>
    </row>
    <row r="717" spans="1:3" ht="13" x14ac:dyDescent="0.15">
      <c r="A717" s="10"/>
      <c r="B717" s="13"/>
      <c r="C717" s="13"/>
    </row>
    <row r="718" spans="1:3" ht="13" x14ac:dyDescent="0.15">
      <c r="A718" s="10"/>
      <c r="B718" s="13"/>
      <c r="C718" s="13"/>
    </row>
    <row r="719" spans="1:3" ht="13" x14ac:dyDescent="0.15">
      <c r="A719" s="10"/>
      <c r="B719" s="13"/>
      <c r="C719" s="13"/>
    </row>
    <row r="720" spans="1:3" ht="13" x14ac:dyDescent="0.15">
      <c r="A720" s="10"/>
      <c r="B720" s="13"/>
      <c r="C720" s="13"/>
    </row>
    <row r="721" spans="1:3" ht="13" x14ac:dyDescent="0.15">
      <c r="A721" s="10"/>
      <c r="B721" s="13"/>
      <c r="C721" s="13"/>
    </row>
    <row r="722" spans="1:3" ht="13" x14ac:dyDescent="0.15">
      <c r="A722" s="10"/>
      <c r="B722" s="13"/>
      <c r="C722" s="13"/>
    </row>
    <row r="723" spans="1:3" ht="13" x14ac:dyDescent="0.15">
      <c r="A723" s="10"/>
      <c r="B723" s="13"/>
      <c r="C723" s="13"/>
    </row>
    <row r="724" spans="1:3" ht="13" x14ac:dyDescent="0.15">
      <c r="A724" s="10"/>
      <c r="B724" s="13"/>
      <c r="C724" s="13"/>
    </row>
    <row r="725" spans="1:3" ht="13" x14ac:dyDescent="0.15">
      <c r="A725" s="10"/>
      <c r="B725" s="13"/>
      <c r="C725" s="13"/>
    </row>
    <row r="726" spans="1:3" ht="13" x14ac:dyDescent="0.15">
      <c r="A726" s="10"/>
      <c r="B726" s="13"/>
      <c r="C726" s="13"/>
    </row>
    <row r="727" spans="1:3" ht="13" x14ac:dyDescent="0.15">
      <c r="A727" s="10"/>
      <c r="B727" s="13"/>
      <c r="C727" s="13"/>
    </row>
    <row r="728" spans="1:3" ht="13" x14ac:dyDescent="0.15">
      <c r="A728" s="10"/>
      <c r="B728" s="13"/>
      <c r="C728" s="13"/>
    </row>
    <row r="729" spans="1:3" ht="13" x14ac:dyDescent="0.15">
      <c r="A729" s="10"/>
      <c r="B729" s="13"/>
      <c r="C729" s="13"/>
    </row>
    <row r="730" spans="1:3" ht="13" x14ac:dyDescent="0.15">
      <c r="A730" s="10"/>
      <c r="B730" s="13"/>
      <c r="C730" s="13"/>
    </row>
    <row r="731" spans="1:3" ht="13" x14ac:dyDescent="0.15">
      <c r="A731" s="10"/>
      <c r="B731" s="13"/>
      <c r="C731" s="13"/>
    </row>
    <row r="732" spans="1:3" ht="13" x14ac:dyDescent="0.15">
      <c r="A732" s="10"/>
      <c r="B732" s="13"/>
      <c r="C732" s="13"/>
    </row>
    <row r="733" spans="1:3" ht="13" x14ac:dyDescent="0.15">
      <c r="A733" s="10"/>
      <c r="B733" s="13"/>
      <c r="C733" s="13"/>
    </row>
    <row r="734" spans="1:3" ht="13" x14ac:dyDescent="0.15">
      <c r="A734" s="10"/>
      <c r="B734" s="13"/>
      <c r="C734" s="13"/>
    </row>
    <row r="735" spans="1:3" ht="13" x14ac:dyDescent="0.15">
      <c r="A735" s="10"/>
      <c r="B735" s="13"/>
      <c r="C735" s="13"/>
    </row>
    <row r="736" spans="1:3" ht="13" x14ac:dyDescent="0.15">
      <c r="A736" s="10"/>
      <c r="B736" s="13"/>
      <c r="C736" s="13"/>
    </row>
    <row r="737" spans="1:3" ht="13" x14ac:dyDescent="0.15">
      <c r="A737" s="10"/>
      <c r="B737" s="13"/>
      <c r="C737" s="13"/>
    </row>
    <row r="738" spans="1:3" ht="13" x14ac:dyDescent="0.15">
      <c r="A738" s="10"/>
      <c r="B738" s="13"/>
      <c r="C738" s="13"/>
    </row>
    <row r="739" spans="1:3" ht="13" x14ac:dyDescent="0.15">
      <c r="A739" s="10"/>
      <c r="B739" s="13"/>
      <c r="C739" s="13"/>
    </row>
    <row r="740" spans="1:3" ht="13" x14ac:dyDescent="0.15">
      <c r="A740" s="10"/>
      <c r="B740" s="13"/>
      <c r="C740" s="13"/>
    </row>
    <row r="741" spans="1:3" ht="13" x14ac:dyDescent="0.15">
      <c r="A741" s="10"/>
      <c r="B741" s="13"/>
      <c r="C741" s="13"/>
    </row>
    <row r="742" spans="1:3" ht="13" x14ac:dyDescent="0.15">
      <c r="A742" s="10"/>
      <c r="B742" s="13"/>
      <c r="C742" s="13"/>
    </row>
    <row r="743" spans="1:3" ht="13" x14ac:dyDescent="0.15">
      <c r="A743" s="10"/>
      <c r="B743" s="13"/>
      <c r="C743" s="13"/>
    </row>
    <row r="744" spans="1:3" ht="13" x14ac:dyDescent="0.15">
      <c r="A744" s="10"/>
      <c r="B744" s="13"/>
      <c r="C744" s="13"/>
    </row>
    <row r="745" spans="1:3" ht="13" x14ac:dyDescent="0.15">
      <c r="A745" s="10"/>
      <c r="B745" s="13"/>
      <c r="C745" s="13"/>
    </row>
    <row r="746" spans="1:3" ht="13" x14ac:dyDescent="0.15">
      <c r="A746" s="10"/>
      <c r="B746" s="13"/>
      <c r="C746" s="13"/>
    </row>
    <row r="747" spans="1:3" ht="13" x14ac:dyDescent="0.15">
      <c r="A747" s="10"/>
      <c r="B747" s="13"/>
      <c r="C747" s="13"/>
    </row>
    <row r="748" spans="1:3" ht="13" x14ac:dyDescent="0.15">
      <c r="A748" s="10"/>
      <c r="B748" s="13"/>
      <c r="C748" s="13"/>
    </row>
    <row r="749" spans="1:3" ht="13" x14ac:dyDescent="0.15">
      <c r="A749" s="10"/>
      <c r="B749" s="13"/>
      <c r="C749" s="13"/>
    </row>
    <row r="750" spans="1:3" ht="13" x14ac:dyDescent="0.15">
      <c r="A750" s="10"/>
      <c r="B750" s="13"/>
      <c r="C750" s="13"/>
    </row>
    <row r="751" spans="1:3" ht="13" x14ac:dyDescent="0.15">
      <c r="A751" s="10"/>
      <c r="B751" s="13"/>
      <c r="C751" s="13"/>
    </row>
    <row r="752" spans="1:3" ht="13" x14ac:dyDescent="0.15">
      <c r="A752" s="10"/>
      <c r="B752" s="13"/>
      <c r="C752" s="13"/>
    </row>
    <row r="753" spans="1:3" ht="13" x14ac:dyDescent="0.15">
      <c r="A753" s="10"/>
      <c r="B753" s="13"/>
      <c r="C753" s="13"/>
    </row>
    <row r="754" spans="1:3" ht="13" x14ac:dyDescent="0.15">
      <c r="A754" s="10"/>
      <c r="B754" s="13"/>
      <c r="C754" s="13"/>
    </row>
    <row r="755" spans="1:3" ht="13" x14ac:dyDescent="0.15">
      <c r="A755" s="10"/>
      <c r="B755" s="13"/>
      <c r="C755" s="13"/>
    </row>
    <row r="756" spans="1:3" ht="13" x14ac:dyDescent="0.15">
      <c r="A756" s="10"/>
      <c r="B756" s="13"/>
      <c r="C756" s="13"/>
    </row>
    <row r="757" spans="1:3" ht="13" x14ac:dyDescent="0.15">
      <c r="A757" s="10"/>
      <c r="B757" s="13"/>
      <c r="C757" s="13"/>
    </row>
    <row r="758" spans="1:3" ht="13" x14ac:dyDescent="0.15">
      <c r="A758" s="10"/>
      <c r="B758" s="13"/>
      <c r="C758" s="13"/>
    </row>
    <row r="759" spans="1:3" ht="13" x14ac:dyDescent="0.15">
      <c r="A759" s="10"/>
      <c r="B759" s="13"/>
      <c r="C759" s="13"/>
    </row>
    <row r="760" spans="1:3" ht="13" x14ac:dyDescent="0.15">
      <c r="A760" s="10"/>
      <c r="B760" s="13"/>
      <c r="C760" s="13"/>
    </row>
    <row r="761" spans="1:3" ht="13" x14ac:dyDescent="0.15">
      <c r="A761" s="10"/>
      <c r="B761" s="13"/>
      <c r="C761" s="13"/>
    </row>
    <row r="762" spans="1:3" ht="13" x14ac:dyDescent="0.15">
      <c r="A762" s="10"/>
      <c r="B762" s="13"/>
      <c r="C762" s="13"/>
    </row>
    <row r="763" spans="1:3" ht="13" x14ac:dyDescent="0.15">
      <c r="A763" s="10"/>
      <c r="B763" s="13"/>
      <c r="C763" s="13"/>
    </row>
    <row r="764" spans="1:3" ht="13" x14ac:dyDescent="0.15">
      <c r="A764" s="10"/>
      <c r="B764" s="13"/>
      <c r="C764" s="13"/>
    </row>
    <row r="765" spans="1:3" ht="13" x14ac:dyDescent="0.15">
      <c r="A765" s="10"/>
      <c r="B765" s="13"/>
      <c r="C765" s="13"/>
    </row>
    <row r="766" spans="1:3" ht="13" x14ac:dyDescent="0.15">
      <c r="A766" s="10"/>
      <c r="B766" s="13"/>
      <c r="C766" s="13"/>
    </row>
    <row r="767" spans="1:3" ht="13" x14ac:dyDescent="0.15">
      <c r="A767" s="10"/>
      <c r="B767" s="13"/>
      <c r="C767" s="13"/>
    </row>
    <row r="768" spans="1:3" ht="13" x14ac:dyDescent="0.15">
      <c r="A768" s="10"/>
      <c r="B768" s="13"/>
      <c r="C768" s="13"/>
    </row>
    <row r="769" spans="1:3" ht="13" x14ac:dyDescent="0.15">
      <c r="A769" s="10"/>
      <c r="B769" s="13"/>
      <c r="C769" s="13"/>
    </row>
    <row r="770" spans="1:3" ht="13" x14ac:dyDescent="0.15">
      <c r="A770" s="10"/>
      <c r="B770" s="13"/>
      <c r="C770" s="13"/>
    </row>
    <row r="771" spans="1:3" ht="13" x14ac:dyDescent="0.15">
      <c r="A771" s="10"/>
      <c r="B771" s="13"/>
      <c r="C771" s="13"/>
    </row>
    <row r="772" spans="1:3" ht="13" x14ac:dyDescent="0.15">
      <c r="A772" s="10"/>
      <c r="B772" s="13"/>
      <c r="C772" s="13"/>
    </row>
    <row r="773" spans="1:3" ht="13" x14ac:dyDescent="0.15">
      <c r="A773" s="10"/>
      <c r="B773" s="13"/>
      <c r="C773" s="13"/>
    </row>
    <row r="774" spans="1:3" ht="13" x14ac:dyDescent="0.15">
      <c r="A774" s="10"/>
      <c r="B774" s="13"/>
      <c r="C774" s="13"/>
    </row>
    <row r="775" spans="1:3" ht="13" x14ac:dyDescent="0.15">
      <c r="A775" s="10"/>
      <c r="B775" s="13"/>
      <c r="C775" s="13"/>
    </row>
    <row r="776" spans="1:3" ht="13" x14ac:dyDescent="0.15">
      <c r="A776" s="10"/>
      <c r="B776" s="13"/>
      <c r="C776" s="13"/>
    </row>
    <row r="777" spans="1:3" ht="13" x14ac:dyDescent="0.15">
      <c r="A777" s="10"/>
      <c r="B777" s="13"/>
      <c r="C777" s="13"/>
    </row>
    <row r="778" spans="1:3" ht="13" x14ac:dyDescent="0.15">
      <c r="A778" s="10"/>
      <c r="B778" s="13"/>
      <c r="C778" s="13"/>
    </row>
    <row r="779" spans="1:3" ht="13" x14ac:dyDescent="0.15">
      <c r="A779" s="10"/>
      <c r="B779" s="13"/>
      <c r="C779" s="13"/>
    </row>
    <row r="780" spans="1:3" ht="13" x14ac:dyDescent="0.15">
      <c r="A780" s="10"/>
      <c r="B780" s="13"/>
      <c r="C780" s="13"/>
    </row>
    <row r="781" spans="1:3" ht="13" x14ac:dyDescent="0.15">
      <c r="A781" s="10"/>
      <c r="B781" s="13"/>
      <c r="C781" s="13"/>
    </row>
    <row r="782" spans="1:3" ht="13" x14ac:dyDescent="0.15">
      <c r="A782" s="10"/>
      <c r="B782" s="13"/>
      <c r="C782" s="13"/>
    </row>
    <row r="783" spans="1:3" ht="13" x14ac:dyDescent="0.15">
      <c r="A783" s="10"/>
      <c r="B783" s="13"/>
      <c r="C783" s="13"/>
    </row>
    <row r="784" spans="1:3" ht="13" x14ac:dyDescent="0.15">
      <c r="A784" s="10"/>
      <c r="B784" s="13"/>
      <c r="C784" s="13"/>
    </row>
    <row r="785" spans="1:3" ht="13" x14ac:dyDescent="0.15">
      <c r="A785" s="10"/>
      <c r="B785" s="13"/>
      <c r="C785" s="13"/>
    </row>
    <row r="786" spans="1:3" ht="13" x14ac:dyDescent="0.15">
      <c r="A786" s="10"/>
      <c r="B786" s="13"/>
      <c r="C786" s="13"/>
    </row>
    <row r="787" spans="1:3" ht="13" x14ac:dyDescent="0.15">
      <c r="A787" s="10"/>
      <c r="B787" s="13"/>
      <c r="C787" s="13"/>
    </row>
    <row r="788" spans="1:3" ht="13" x14ac:dyDescent="0.15">
      <c r="A788" s="10"/>
      <c r="B788" s="13"/>
      <c r="C788" s="13"/>
    </row>
    <row r="789" spans="1:3" ht="13" x14ac:dyDescent="0.15">
      <c r="A789" s="10"/>
      <c r="B789" s="13"/>
      <c r="C789" s="13"/>
    </row>
    <row r="790" spans="1:3" ht="13" x14ac:dyDescent="0.15">
      <c r="A790" s="10"/>
      <c r="B790" s="13"/>
      <c r="C790" s="13"/>
    </row>
    <row r="791" spans="1:3" ht="13" x14ac:dyDescent="0.15">
      <c r="A791" s="10"/>
      <c r="B791" s="13"/>
      <c r="C791" s="13"/>
    </row>
    <row r="792" spans="1:3" ht="13" x14ac:dyDescent="0.15">
      <c r="A792" s="10"/>
      <c r="B792" s="13"/>
      <c r="C792" s="13"/>
    </row>
    <row r="793" spans="1:3" ht="13" x14ac:dyDescent="0.15">
      <c r="A793" s="10"/>
      <c r="B793" s="13"/>
      <c r="C793" s="13"/>
    </row>
    <row r="794" spans="1:3" ht="13" x14ac:dyDescent="0.15">
      <c r="A794" s="10"/>
      <c r="B794" s="13"/>
      <c r="C794" s="13"/>
    </row>
    <row r="795" spans="1:3" ht="13" x14ac:dyDescent="0.15">
      <c r="A795" s="10"/>
      <c r="B795" s="13"/>
      <c r="C795" s="13"/>
    </row>
    <row r="796" spans="1:3" ht="13" x14ac:dyDescent="0.15">
      <c r="A796" s="10"/>
      <c r="B796" s="13"/>
      <c r="C796" s="13"/>
    </row>
    <row r="797" spans="1:3" ht="13" x14ac:dyDescent="0.15">
      <c r="A797" s="10"/>
      <c r="B797" s="13"/>
      <c r="C797" s="13"/>
    </row>
    <row r="798" spans="1:3" ht="13" x14ac:dyDescent="0.15">
      <c r="A798" s="10"/>
      <c r="B798" s="13"/>
      <c r="C798" s="13"/>
    </row>
    <row r="799" spans="1:3" ht="13" x14ac:dyDescent="0.15">
      <c r="A799" s="10"/>
      <c r="B799" s="13"/>
      <c r="C799" s="13"/>
    </row>
    <row r="800" spans="1:3" ht="13" x14ac:dyDescent="0.15">
      <c r="A800" s="10"/>
      <c r="B800" s="13"/>
      <c r="C800" s="13"/>
    </row>
    <row r="801" spans="1:3" ht="13" x14ac:dyDescent="0.15">
      <c r="A801" s="10"/>
      <c r="B801" s="13"/>
      <c r="C801" s="13"/>
    </row>
    <row r="802" spans="1:3" ht="13" x14ac:dyDescent="0.15">
      <c r="A802" s="10"/>
      <c r="B802" s="13"/>
      <c r="C802" s="13"/>
    </row>
    <row r="803" spans="1:3" ht="13" x14ac:dyDescent="0.15">
      <c r="A803" s="10"/>
      <c r="B803" s="13"/>
      <c r="C803" s="13"/>
    </row>
    <row r="804" spans="1:3" ht="13" x14ac:dyDescent="0.15">
      <c r="A804" s="10"/>
      <c r="B804" s="13"/>
      <c r="C804" s="13"/>
    </row>
    <row r="805" spans="1:3" ht="13" x14ac:dyDescent="0.15">
      <c r="A805" s="10"/>
      <c r="B805" s="13"/>
      <c r="C805" s="13"/>
    </row>
    <row r="806" spans="1:3" ht="13" x14ac:dyDescent="0.15">
      <c r="A806" s="10"/>
      <c r="B806" s="13"/>
      <c r="C806" s="13"/>
    </row>
    <row r="807" spans="1:3" ht="13" x14ac:dyDescent="0.15">
      <c r="A807" s="10"/>
      <c r="B807" s="13"/>
      <c r="C807" s="13"/>
    </row>
    <row r="808" spans="1:3" ht="13" x14ac:dyDescent="0.15">
      <c r="A808" s="10"/>
      <c r="B808" s="13"/>
      <c r="C808" s="13"/>
    </row>
    <row r="809" spans="1:3" ht="13" x14ac:dyDescent="0.15">
      <c r="A809" s="10"/>
      <c r="B809" s="13"/>
      <c r="C809" s="13"/>
    </row>
    <row r="810" spans="1:3" ht="13" x14ac:dyDescent="0.15">
      <c r="A810" s="10"/>
      <c r="B810" s="13"/>
      <c r="C810" s="13"/>
    </row>
    <row r="811" spans="1:3" ht="13" x14ac:dyDescent="0.15">
      <c r="A811" s="10"/>
      <c r="B811" s="13"/>
      <c r="C811" s="13"/>
    </row>
    <row r="812" spans="1:3" ht="13" x14ac:dyDescent="0.15">
      <c r="A812" s="10"/>
      <c r="B812" s="13"/>
      <c r="C812" s="13"/>
    </row>
    <row r="813" spans="1:3" ht="13" x14ac:dyDescent="0.15">
      <c r="A813" s="10"/>
      <c r="B813" s="13"/>
      <c r="C813" s="13"/>
    </row>
    <row r="814" spans="1:3" ht="13" x14ac:dyDescent="0.15">
      <c r="A814" s="10"/>
      <c r="B814" s="13"/>
      <c r="C814" s="13"/>
    </row>
    <row r="815" spans="1:3" ht="13" x14ac:dyDescent="0.15">
      <c r="A815" s="10"/>
      <c r="B815" s="13"/>
      <c r="C815" s="13"/>
    </row>
    <row r="816" spans="1:3" ht="13" x14ac:dyDescent="0.15">
      <c r="A816" s="10"/>
      <c r="B816" s="13"/>
      <c r="C816" s="13"/>
    </row>
    <row r="817" spans="1:3" ht="13" x14ac:dyDescent="0.15">
      <c r="A817" s="10"/>
      <c r="B817" s="13"/>
      <c r="C817" s="13"/>
    </row>
    <row r="818" spans="1:3" ht="13" x14ac:dyDescent="0.15">
      <c r="A818" s="10"/>
      <c r="B818" s="13"/>
      <c r="C818" s="13"/>
    </row>
    <row r="819" spans="1:3" ht="13" x14ac:dyDescent="0.15">
      <c r="A819" s="10"/>
      <c r="B819" s="13"/>
      <c r="C819" s="13"/>
    </row>
    <row r="820" spans="1:3" ht="13" x14ac:dyDescent="0.15">
      <c r="A820" s="10"/>
      <c r="B820" s="13"/>
      <c r="C820" s="13"/>
    </row>
    <row r="821" spans="1:3" ht="13" x14ac:dyDescent="0.15">
      <c r="A821" s="10"/>
      <c r="B821" s="13"/>
      <c r="C821" s="13"/>
    </row>
    <row r="822" spans="1:3" ht="13" x14ac:dyDescent="0.15">
      <c r="A822" s="10"/>
      <c r="B822" s="13"/>
      <c r="C822" s="13"/>
    </row>
    <row r="823" spans="1:3" ht="13" x14ac:dyDescent="0.15">
      <c r="A823" s="10"/>
      <c r="B823" s="13"/>
      <c r="C823" s="13"/>
    </row>
    <row r="824" spans="1:3" ht="13" x14ac:dyDescent="0.15">
      <c r="A824" s="10"/>
      <c r="B824" s="13"/>
      <c r="C824" s="13"/>
    </row>
    <row r="825" spans="1:3" ht="13" x14ac:dyDescent="0.15">
      <c r="A825" s="10"/>
      <c r="B825" s="13"/>
      <c r="C825" s="13"/>
    </row>
    <row r="826" spans="1:3" ht="13" x14ac:dyDescent="0.15">
      <c r="A826" s="10"/>
      <c r="B826" s="13"/>
      <c r="C826" s="13"/>
    </row>
    <row r="827" spans="1:3" ht="13" x14ac:dyDescent="0.15">
      <c r="A827" s="10"/>
      <c r="B827" s="13"/>
      <c r="C827" s="13"/>
    </row>
    <row r="828" spans="1:3" ht="13" x14ac:dyDescent="0.15">
      <c r="A828" s="10"/>
      <c r="B828" s="13"/>
      <c r="C828" s="13"/>
    </row>
    <row r="829" spans="1:3" ht="13" x14ac:dyDescent="0.15">
      <c r="A829" s="10"/>
      <c r="B829" s="13"/>
      <c r="C829" s="13"/>
    </row>
    <row r="830" spans="1:3" ht="13" x14ac:dyDescent="0.15">
      <c r="A830" s="10"/>
      <c r="B830" s="13"/>
      <c r="C830" s="13"/>
    </row>
    <row r="831" spans="1:3" ht="13" x14ac:dyDescent="0.15">
      <c r="A831" s="10"/>
      <c r="B831" s="13"/>
      <c r="C831" s="13"/>
    </row>
    <row r="832" spans="1:3" ht="13" x14ac:dyDescent="0.15">
      <c r="A832" s="10"/>
      <c r="B832" s="13"/>
      <c r="C832" s="13"/>
    </row>
    <row r="833" spans="1:3" ht="13" x14ac:dyDescent="0.15">
      <c r="A833" s="10"/>
      <c r="B833" s="13"/>
      <c r="C833" s="13"/>
    </row>
    <row r="834" spans="1:3" ht="13" x14ac:dyDescent="0.15">
      <c r="A834" s="10"/>
      <c r="B834" s="13"/>
      <c r="C834" s="13"/>
    </row>
    <row r="835" spans="1:3" ht="13" x14ac:dyDescent="0.15">
      <c r="A835" s="10"/>
      <c r="B835" s="13"/>
      <c r="C835" s="13"/>
    </row>
    <row r="836" spans="1:3" ht="13" x14ac:dyDescent="0.15">
      <c r="A836" s="10"/>
      <c r="B836" s="13"/>
      <c r="C836" s="13"/>
    </row>
    <row r="837" spans="1:3" ht="13" x14ac:dyDescent="0.15">
      <c r="A837" s="10"/>
      <c r="B837" s="13"/>
      <c r="C837" s="13"/>
    </row>
    <row r="838" spans="1:3" ht="13" x14ac:dyDescent="0.15">
      <c r="A838" s="10"/>
      <c r="B838" s="13"/>
      <c r="C838" s="13"/>
    </row>
    <row r="839" spans="1:3" ht="13" x14ac:dyDescent="0.15">
      <c r="A839" s="10"/>
      <c r="B839" s="13"/>
      <c r="C839" s="13"/>
    </row>
    <row r="840" spans="1:3" ht="13" x14ac:dyDescent="0.15">
      <c r="A840" s="10"/>
      <c r="B840" s="13"/>
      <c r="C840" s="13"/>
    </row>
    <row r="841" spans="1:3" ht="13" x14ac:dyDescent="0.15">
      <c r="A841" s="10"/>
      <c r="B841" s="13"/>
      <c r="C841" s="13"/>
    </row>
    <row r="842" spans="1:3" ht="13" x14ac:dyDescent="0.15">
      <c r="A842" s="10"/>
      <c r="B842" s="13"/>
      <c r="C842" s="13"/>
    </row>
    <row r="843" spans="1:3" ht="13" x14ac:dyDescent="0.15">
      <c r="A843" s="10"/>
      <c r="B843" s="13"/>
      <c r="C843" s="13"/>
    </row>
    <row r="844" spans="1:3" ht="13" x14ac:dyDescent="0.15">
      <c r="A844" s="10"/>
      <c r="B844" s="13"/>
      <c r="C844" s="13"/>
    </row>
    <row r="845" spans="1:3" ht="13" x14ac:dyDescent="0.15">
      <c r="A845" s="10"/>
      <c r="B845" s="13"/>
      <c r="C845" s="13"/>
    </row>
    <row r="846" spans="1:3" ht="13" x14ac:dyDescent="0.15">
      <c r="A846" s="10"/>
      <c r="B846" s="13"/>
      <c r="C846" s="13"/>
    </row>
    <row r="847" spans="1:3" ht="13" x14ac:dyDescent="0.15">
      <c r="A847" s="10"/>
      <c r="B847" s="13"/>
      <c r="C847" s="13"/>
    </row>
    <row r="848" spans="1:3" ht="13" x14ac:dyDescent="0.15">
      <c r="A848" s="10"/>
      <c r="B848" s="13"/>
      <c r="C848" s="13"/>
    </row>
    <row r="849" spans="1:3" ht="13" x14ac:dyDescent="0.15">
      <c r="A849" s="10"/>
      <c r="B849" s="13"/>
      <c r="C849" s="13"/>
    </row>
    <row r="850" spans="1:3" ht="13" x14ac:dyDescent="0.15">
      <c r="A850" s="10"/>
      <c r="B850" s="13"/>
      <c r="C850" s="13"/>
    </row>
    <row r="851" spans="1:3" ht="13" x14ac:dyDescent="0.15">
      <c r="A851" s="10"/>
      <c r="B851" s="13"/>
      <c r="C851" s="13"/>
    </row>
    <row r="852" spans="1:3" ht="13" x14ac:dyDescent="0.15">
      <c r="A852" s="10"/>
      <c r="B852" s="13"/>
      <c r="C852" s="13"/>
    </row>
    <row r="853" spans="1:3" ht="13" x14ac:dyDescent="0.15">
      <c r="A853" s="10"/>
      <c r="B853" s="13"/>
      <c r="C853" s="13"/>
    </row>
    <row r="854" spans="1:3" ht="13" x14ac:dyDescent="0.15">
      <c r="A854" s="10"/>
      <c r="B854" s="13"/>
      <c r="C854" s="13"/>
    </row>
    <row r="855" spans="1:3" ht="13" x14ac:dyDescent="0.15">
      <c r="A855" s="10"/>
      <c r="B855" s="13"/>
      <c r="C855" s="13"/>
    </row>
    <row r="856" spans="1:3" ht="13" x14ac:dyDescent="0.15">
      <c r="A856" s="10"/>
      <c r="B856" s="13"/>
      <c r="C856" s="13"/>
    </row>
    <row r="857" spans="1:3" ht="13" x14ac:dyDescent="0.15">
      <c r="A857" s="10"/>
      <c r="B857" s="13"/>
      <c r="C857" s="13"/>
    </row>
    <row r="858" spans="1:3" ht="13" x14ac:dyDescent="0.15">
      <c r="A858" s="10"/>
      <c r="B858" s="13"/>
      <c r="C858" s="13"/>
    </row>
    <row r="859" spans="1:3" ht="13" x14ac:dyDescent="0.15">
      <c r="A859" s="10"/>
      <c r="B859" s="13"/>
      <c r="C859" s="13"/>
    </row>
    <row r="860" spans="1:3" ht="13" x14ac:dyDescent="0.15">
      <c r="A860" s="10"/>
      <c r="B860" s="13"/>
      <c r="C860" s="13"/>
    </row>
    <row r="861" spans="1:3" ht="13" x14ac:dyDescent="0.15">
      <c r="A861" s="10"/>
      <c r="B861" s="13"/>
      <c r="C861" s="13"/>
    </row>
    <row r="862" spans="1:3" ht="13" x14ac:dyDescent="0.15">
      <c r="A862" s="10"/>
      <c r="B862" s="13"/>
      <c r="C862" s="13"/>
    </row>
    <row r="863" spans="1:3" ht="13" x14ac:dyDescent="0.15">
      <c r="A863" s="10"/>
      <c r="B863" s="13"/>
      <c r="C863" s="13"/>
    </row>
    <row r="864" spans="1:3" ht="13" x14ac:dyDescent="0.15">
      <c r="A864" s="10"/>
      <c r="B864" s="13"/>
      <c r="C864" s="13"/>
    </row>
    <row r="865" spans="1:3" ht="13" x14ac:dyDescent="0.15">
      <c r="A865" s="10"/>
      <c r="B865" s="13"/>
      <c r="C865" s="13"/>
    </row>
    <row r="866" spans="1:3" ht="13" x14ac:dyDescent="0.15">
      <c r="A866" s="10"/>
      <c r="B866" s="13"/>
      <c r="C866" s="13"/>
    </row>
    <row r="867" spans="1:3" ht="13" x14ac:dyDescent="0.15">
      <c r="A867" s="10"/>
      <c r="B867" s="13"/>
      <c r="C867" s="13"/>
    </row>
    <row r="868" spans="1:3" ht="13" x14ac:dyDescent="0.15">
      <c r="A868" s="10"/>
      <c r="B868" s="13"/>
      <c r="C868" s="13"/>
    </row>
    <row r="869" spans="1:3" ht="13" x14ac:dyDescent="0.15">
      <c r="A869" s="10"/>
      <c r="B869" s="13"/>
      <c r="C869" s="13"/>
    </row>
    <row r="870" spans="1:3" ht="13" x14ac:dyDescent="0.15">
      <c r="A870" s="10"/>
      <c r="B870" s="13"/>
      <c r="C870" s="13"/>
    </row>
    <row r="871" spans="1:3" ht="13" x14ac:dyDescent="0.15">
      <c r="A871" s="10"/>
      <c r="B871" s="13"/>
      <c r="C871" s="13"/>
    </row>
    <row r="872" spans="1:3" ht="13" x14ac:dyDescent="0.15">
      <c r="A872" s="10"/>
      <c r="B872" s="13"/>
      <c r="C872" s="13"/>
    </row>
    <row r="873" spans="1:3" ht="13" x14ac:dyDescent="0.15">
      <c r="A873" s="10"/>
      <c r="B873" s="13"/>
      <c r="C873" s="13"/>
    </row>
    <row r="874" spans="1:3" ht="13" x14ac:dyDescent="0.15">
      <c r="A874" s="10"/>
      <c r="B874" s="13"/>
      <c r="C874" s="13"/>
    </row>
    <row r="875" spans="1:3" ht="13" x14ac:dyDescent="0.15">
      <c r="A875" s="10"/>
      <c r="B875" s="13"/>
      <c r="C875" s="13"/>
    </row>
    <row r="876" spans="1:3" ht="13" x14ac:dyDescent="0.15">
      <c r="A876" s="10"/>
      <c r="B876" s="13"/>
      <c r="C876" s="13"/>
    </row>
    <row r="877" spans="1:3" ht="13" x14ac:dyDescent="0.15">
      <c r="A877" s="10"/>
      <c r="B877" s="13"/>
      <c r="C877" s="13"/>
    </row>
    <row r="878" spans="1:3" ht="13" x14ac:dyDescent="0.15">
      <c r="A878" s="10"/>
      <c r="B878" s="13"/>
      <c r="C878" s="13"/>
    </row>
    <row r="879" spans="1:3" ht="13" x14ac:dyDescent="0.15">
      <c r="A879" s="10"/>
      <c r="B879" s="13"/>
      <c r="C879" s="13"/>
    </row>
    <row r="880" spans="1:3" ht="13" x14ac:dyDescent="0.15">
      <c r="A880" s="10"/>
      <c r="B880" s="13"/>
      <c r="C880" s="13"/>
    </row>
    <row r="881" spans="1:3" ht="13" x14ac:dyDescent="0.15">
      <c r="A881" s="10"/>
      <c r="B881" s="13"/>
      <c r="C881" s="13"/>
    </row>
    <row r="882" spans="1:3" ht="13" x14ac:dyDescent="0.15">
      <c r="A882" s="10"/>
      <c r="B882" s="13"/>
      <c r="C882" s="13"/>
    </row>
    <row r="883" spans="1:3" ht="13" x14ac:dyDescent="0.15">
      <c r="A883" s="10"/>
      <c r="B883" s="13"/>
      <c r="C883" s="13"/>
    </row>
    <row r="884" spans="1:3" ht="13" x14ac:dyDescent="0.15">
      <c r="A884" s="10"/>
      <c r="B884" s="13"/>
      <c r="C884" s="13"/>
    </row>
    <row r="885" spans="1:3" ht="13" x14ac:dyDescent="0.15">
      <c r="A885" s="10"/>
      <c r="B885" s="13"/>
      <c r="C885" s="13"/>
    </row>
    <row r="886" spans="1:3" ht="13" x14ac:dyDescent="0.15">
      <c r="A886" s="10"/>
      <c r="B886" s="13"/>
      <c r="C886" s="13"/>
    </row>
    <row r="887" spans="1:3" ht="13" x14ac:dyDescent="0.15">
      <c r="A887" s="10"/>
      <c r="B887" s="13"/>
      <c r="C887" s="13"/>
    </row>
    <row r="888" spans="1:3" ht="13" x14ac:dyDescent="0.15">
      <c r="A888" s="10"/>
      <c r="B888" s="13"/>
      <c r="C888" s="13"/>
    </row>
    <row r="889" spans="1:3" ht="13" x14ac:dyDescent="0.15">
      <c r="A889" s="10"/>
      <c r="B889" s="13"/>
      <c r="C889" s="13"/>
    </row>
    <row r="890" spans="1:3" ht="13" x14ac:dyDescent="0.15">
      <c r="A890" s="10"/>
      <c r="B890" s="13"/>
      <c r="C890" s="13"/>
    </row>
    <row r="891" spans="1:3" ht="13" x14ac:dyDescent="0.15">
      <c r="A891" s="10"/>
      <c r="B891" s="13"/>
      <c r="C891" s="13"/>
    </row>
    <row r="892" spans="1:3" ht="13" x14ac:dyDescent="0.15">
      <c r="A892" s="10"/>
      <c r="B892" s="13"/>
      <c r="C892" s="13"/>
    </row>
    <row r="893" spans="1:3" ht="13" x14ac:dyDescent="0.15">
      <c r="A893" s="10"/>
      <c r="B893" s="13"/>
      <c r="C893" s="13"/>
    </row>
    <row r="894" spans="1:3" ht="13" x14ac:dyDescent="0.15">
      <c r="A894" s="10"/>
      <c r="B894" s="13"/>
      <c r="C894" s="13"/>
    </row>
    <row r="895" spans="1:3" ht="13" x14ac:dyDescent="0.15">
      <c r="A895" s="10"/>
      <c r="B895" s="13"/>
      <c r="C895" s="13"/>
    </row>
    <row r="896" spans="1:3" ht="13" x14ac:dyDescent="0.15">
      <c r="A896" s="10"/>
      <c r="B896" s="13"/>
      <c r="C896" s="13"/>
    </row>
    <row r="897" spans="1:3" ht="13" x14ac:dyDescent="0.15">
      <c r="A897" s="10"/>
      <c r="B897" s="13"/>
      <c r="C897" s="13"/>
    </row>
    <row r="898" spans="1:3" ht="13" x14ac:dyDescent="0.15">
      <c r="A898" s="10"/>
      <c r="B898" s="13"/>
      <c r="C898" s="13"/>
    </row>
    <row r="899" spans="1:3" ht="13" x14ac:dyDescent="0.15">
      <c r="A899" s="10"/>
      <c r="B899" s="13"/>
      <c r="C899" s="13"/>
    </row>
    <row r="900" spans="1:3" ht="13" x14ac:dyDescent="0.15">
      <c r="A900" s="10"/>
      <c r="B900" s="13"/>
      <c r="C900" s="13"/>
    </row>
    <row r="901" spans="1:3" ht="13" x14ac:dyDescent="0.15">
      <c r="A901" s="10"/>
      <c r="B901" s="13"/>
      <c r="C901" s="13"/>
    </row>
    <row r="902" spans="1:3" ht="13" x14ac:dyDescent="0.15">
      <c r="A902" s="10"/>
      <c r="B902" s="13"/>
      <c r="C902" s="13"/>
    </row>
    <row r="903" spans="1:3" ht="13" x14ac:dyDescent="0.15">
      <c r="A903" s="10"/>
      <c r="B903" s="13"/>
      <c r="C903" s="13"/>
    </row>
    <row r="904" spans="1:3" ht="13" x14ac:dyDescent="0.15">
      <c r="A904" s="10"/>
      <c r="B904" s="13"/>
      <c r="C904" s="13"/>
    </row>
    <row r="905" spans="1:3" ht="13" x14ac:dyDescent="0.15">
      <c r="A905" s="10"/>
      <c r="B905" s="13"/>
      <c r="C905" s="13"/>
    </row>
    <row r="906" spans="1:3" ht="13" x14ac:dyDescent="0.15">
      <c r="A906" s="10"/>
      <c r="B906" s="13"/>
      <c r="C906" s="13"/>
    </row>
    <row r="907" spans="1:3" ht="13" x14ac:dyDescent="0.15">
      <c r="A907" s="10"/>
      <c r="B907" s="13"/>
      <c r="C907" s="13"/>
    </row>
    <row r="908" spans="1:3" ht="13" x14ac:dyDescent="0.15">
      <c r="A908" s="10"/>
      <c r="B908" s="13"/>
      <c r="C908" s="13"/>
    </row>
    <row r="909" spans="1:3" ht="13" x14ac:dyDescent="0.15">
      <c r="A909" s="10"/>
      <c r="B909" s="13"/>
      <c r="C909" s="13"/>
    </row>
    <row r="910" spans="1:3" ht="13" x14ac:dyDescent="0.15">
      <c r="A910" s="10"/>
      <c r="B910" s="13"/>
      <c r="C910" s="13"/>
    </row>
    <row r="911" spans="1:3" ht="13" x14ac:dyDescent="0.15">
      <c r="A911" s="10"/>
      <c r="B911" s="13"/>
      <c r="C911" s="13"/>
    </row>
    <row r="912" spans="1:3" ht="13" x14ac:dyDescent="0.15">
      <c r="A912" s="10"/>
      <c r="B912" s="13"/>
      <c r="C912" s="13"/>
    </row>
    <row r="913" spans="1:3" ht="13" x14ac:dyDescent="0.15">
      <c r="A913" s="10"/>
      <c r="B913" s="13"/>
      <c r="C913" s="13"/>
    </row>
    <row r="914" spans="1:3" ht="13" x14ac:dyDescent="0.15">
      <c r="A914" s="10"/>
      <c r="B914" s="13"/>
      <c r="C914" s="13"/>
    </row>
    <row r="915" spans="1:3" ht="13" x14ac:dyDescent="0.15">
      <c r="A915" s="10"/>
      <c r="B915" s="13"/>
      <c r="C915" s="13"/>
    </row>
    <row r="916" spans="1:3" ht="13" x14ac:dyDescent="0.15">
      <c r="A916" s="10"/>
      <c r="B916" s="13"/>
      <c r="C916" s="13"/>
    </row>
    <row r="917" spans="1:3" ht="13" x14ac:dyDescent="0.15">
      <c r="A917" s="10"/>
      <c r="B917" s="13"/>
      <c r="C917" s="13"/>
    </row>
    <row r="918" spans="1:3" ht="13" x14ac:dyDescent="0.15">
      <c r="A918" s="10"/>
      <c r="B918" s="13"/>
      <c r="C918" s="13"/>
    </row>
    <row r="919" spans="1:3" ht="13" x14ac:dyDescent="0.15">
      <c r="A919" s="10"/>
      <c r="B919" s="13"/>
      <c r="C919" s="13"/>
    </row>
    <row r="920" spans="1:3" ht="13" x14ac:dyDescent="0.15">
      <c r="A920" s="10"/>
      <c r="B920" s="13"/>
      <c r="C920" s="13"/>
    </row>
    <row r="921" spans="1:3" ht="13" x14ac:dyDescent="0.15">
      <c r="A921" s="10"/>
      <c r="B921" s="13"/>
      <c r="C921" s="13"/>
    </row>
    <row r="922" spans="1:3" ht="13" x14ac:dyDescent="0.15">
      <c r="A922" s="10"/>
      <c r="B922" s="13"/>
      <c r="C922" s="13"/>
    </row>
    <row r="923" spans="1:3" ht="13" x14ac:dyDescent="0.15">
      <c r="A923" s="10"/>
      <c r="B923" s="13"/>
      <c r="C923" s="13"/>
    </row>
    <row r="924" spans="1:3" ht="13" x14ac:dyDescent="0.15">
      <c r="A924" s="10"/>
      <c r="B924" s="13"/>
      <c r="C924" s="13"/>
    </row>
    <row r="925" spans="1:3" ht="13" x14ac:dyDescent="0.15">
      <c r="A925" s="10"/>
      <c r="B925" s="13"/>
      <c r="C925" s="13"/>
    </row>
    <row r="926" spans="1:3" ht="13" x14ac:dyDescent="0.15">
      <c r="A926" s="10"/>
      <c r="B926" s="13"/>
      <c r="C926" s="13"/>
    </row>
    <row r="927" spans="1:3" ht="13" x14ac:dyDescent="0.15">
      <c r="A927" s="10"/>
      <c r="B927" s="13"/>
      <c r="C927" s="13"/>
    </row>
    <row r="928" spans="1:3" ht="13" x14ac:dyDescent="0.15">
      <c r="A928" s="10"/>
      <c r="B928" s="13"/>
      <c r="C928" s="13"/>
    </row>
    <row r="929" spans="1:3" ht="13" x14ac:dyDescent="0.15">
      <c r="A929" s="10"/>
      <c r="B929" s="13"/>
      <c r="C929" s="13"/>
    </row>
    <row r="930" spans="1:3" ht="13" x14ac:dyDescent="0.15">
      <c r="A930" s="10"/>
      <c r="B930" s="13"/>
      <c r="C930" s="13"/>
    </row>
    <row r="931" spans="1:3" ht="13" x14ac:dyDescent="0.15">
      <c r="A931" s="10"/>
      <c r="B931" s="13"/>
      <c r="C931" s="13"/>
    </row>
    <row r="932" spans="1:3" ht="13" x14ac:dyDescent="0.15">
      <c r="A932" s="10"/>
      <c r="B932" s="13"/>
      <c r="C932" s="13"/>
    </row>
    <row r="933" spans="1:3" ht="13" x14ac:dyDescent="0.15">
      <c r="A933" s="10"/>
      <c r="B933" s="13"/>
      <c r="C933" s="13"/>
    </row>
    <row r="934" spans="1:3" ht="13" x14ac:dyDescent="0.15">
      <c r="A934" s="10"/>
      <c r="B934" s="13"/>
      <c r="C934" s="13"/>
    </row>
    <row r="935" spans="1:3" ht="13" x14ac:dyDescent="0.15">
      <c r="A935" s="10"/>
      <c r="B935" s="13"/>
      <c r="C935" s="13"/>
    </row>
    <row r="936" spans="1:3" ht="13" x14ac:dyDescent="0.15">
      <c r="A936" s="10"/>
      <c r="B936" s="13"/>
      <c r="C936" s="13"/>
    </row>
    <row r="937" spans="1:3" ht="13" x14ac:dyDescent="0.15">
      <c r="A937" s="10"/>
      <c r="B937" s="13"/>
      <c r="C937" s="13"/>
    </row>
    <row r="938" spans="1:3" ht="13" x14ac:dyDescent="0.15">
      <c r="A938" s="10"/>
      <c r="B938" s="13"/>
      <c r="C938" s="13"/>
    </row>
    <row r="939" spans="1:3" ht="13" x14ac:dyDescent="0.15">
      <c r="A939" s="10"/>
      <c r="B939" s="13"/>
      <c r="C939" s="13"/>
    </row>
    <row r="940" spans="1:3" ht="13" x14ac:dyDescent="0.15">
      <c r="A940" s="10"/>
      <c r="B940" s="13"/>
      <c r="C940" s="13"/>
    </row>
    <row r="941" spans="1:3" ht="13" x14ac:dyDescent="0.15">
      <c r="A941" s="10"/>
      <c r="B941" s="13"/>
      <c r="C941" s="13"/>
    </row>
    <row r="942" spans="1:3" ht="13" x14ac:dyDescent="0.15">
      <c r="A942" s="10"/>
      <c r="B942" s="13"/>
      <c r="C942" s="13"/>
    </row>
    <row r="943" spans="1:3" ht="13" x14ac:dyDescent="0.15">
      <c r="A943" s="10"/>
      <c r="B943" s="13"/>
      <c r="C943" s="13"/>
    </row>
    <row r="944" spans="1:3" ht="13" x14ac:dyDescent="0.15">
      <c r="A944" s="10"/>
      <c r="B944" s="13"/>
      <c r="C944" s="13"/>
    </row>
    <row r="945" spans="1:3" ht="13" x14ac:dyDescent="0.15">
      <c r="A945" s="10"/>
      <c r="B945" s="13"/>
      <c r="C945" s="13"/>
    </row>
    <row r="946" spans="1:3" ht="13" x14ac:dyDescent="0.15">
      <c r="A946" s="10"/>
      <c r="B946" s="13"/>
      <c r="C946" s="13"/>
    </row>
    <row r="947" spans="1:3" ht="13" x14ac:dyDescent="0.15">
      <c r="A947" s="10"/>
      <c r="B947" s="13"/>
      <c r="C947" s="13"/>
    </row>
    <row r="948" spans="1:3" ht="13" x14ac:dyDescent="0.15">
      <c r="A948" s="10"/>
      <c r="B948" s="13"/>
      <c r="C948" s="13"/>
    </row>
    <row r="949" spans="1:3" ht="13" x14ac:dyDescent="0.15">
      <c r="A949" s="10"/>
      <c r="B949" s="13"/>
      <c r="C949" s="13"/>
    </row>
    <row r="950" spans="1:3" ht="13" x14ac:dyDescent="0.15">
      <c r="A950" s="10"/>
      <c r="B950" s="13"/>
      <c r="C950" s="13"/>
    </row>
    <row r="951" spans="1:3" ht="13" x14ac:dyDescent="0.15">
      <c r="A951" s="10"/>
      <c r="B951" s="13"/>
      <c r="C951" s="13"/>
    </row>
    <row r="952" spans="1:3" ht="13" x14ac:dyDescent="0.15">
      <c r="A952" s="10"/>
      <c r="B952" s="13"/>
      <c r="C952" s="13"/>
    </row>
    <row r="953" spans="1:3" ht="13" x14ac:dyDescent="0.15">
      <c r="A953" s="10"/>
      <c r="B953" s="13"/>
      <c r="C953" s="13"/>
    </row>
    <row r="954" spans="1:3" ht="13" x14ac:dyDescent="0.15">
      <c r="A954" s="10"/>
      <c r="B954" s="13"/>
      <c r="C954" s="13"/>
    </row>
    <row r="955" spans="1:3" ht="13" x14ac:dyDescent="0.15">
      <c r="A955" s="10"/>
      <c r="B955" s="13"/>
      <c r="C955" s="13"/>
    </row>
    <row r="956" spans="1:3" ht="13" x14ac:dyDescent="0.15">
      <c r="A956" s="10"/>
      <c r="B956" s="13"/>
      <c r="C956" s="13"/>
    </row>
    <row r="957" spans="1:3" ht="13" x14ac:dyDescent="0.15">
      <c r="A957" s="10"/>
      <c r="B957" s="13"/>
      <c r="C957" s="13"/>
    </row>
    <row r="958" spans="1:3" ht="13" x14ac:dyDescent="0.15">
      <c r="A958" s="10"/>
      <c r="B958" s="13"/>
      <c r="C958" s="13"/>
    </row>
    <row r="959" spans="1:3" ht="13" x14ac:dyDescent="0.15">
      <c r="A959" s="10"/>
      <c r="B959" s="13"/>
      <c r="C959" s="13"/>
    </row>
    <row r="960" spans="1:3" ht="13" x14ac:dyDescent="0.15">
      <c r="A960" s="10"/>
      <c r="B960" s="13"/>
      <c r="C960" s="13"/>
    </row>
    <row r="961" spans="1:3" ht="13" x14ac:dyDescent="0.15">
      <c r="A961" s="10"/>
      <c r="B961" s="13"/>
      <c r="C961" s="13"/>
    </row>
    <row r="962" spans="1:3" ht="13" x14ac:dyDescent="0.15">
      <c r="A962" s="10"/>
      <c r="B962" s="13"/>
      <c r="C962" s="13"/>
    </row>
    <row r="963" spans="1:3" ht="13" x14ac:dyDescent="0.15">
      <c r="A963" s="10"/>
      <c r="B963" s="13"/>
      <c r="C963" s="13"/>
    </row>
    <row r="964" spans="1:3" ht="13" x14ac:dyDescent="0.15">
      <c r="A964" s="10"/>
      <c r="B964" s="13"/>
      <c r="C964" s="13"/>
    </row>
    <row r="965" spans="1:3" ht="13" x14ac:dyDescent="0.15">
      <c r="A965" s="10"/>
      <c r="B965" s="13"/>
      <c r="C965" s="13"/>
    </row>
    <row r="966" spans="1:3" ht="13" x14ac:dyDescent="0.15">
      <c r="A966" s="10"/>
      <c r="B966" s="13"/>
      <c r="C966" s="13"/>
    </row>
    <row r="967" spans="1:3" ht="13" x14ac:dyDescent="0.15">
      <c r="A967" s="10"/>
      <c r="B967" s="13"/>
      <c r="C967" s="13"/>
    </row>
    <row r="968" spans="1:3" ht="13" x14ac:dyDescent="0.15">
      <c r="A968" s="10"/>
      <c r="B968" s="13"/>
      <c r="C968" s="13"/>
    </row>
    <row r="969" spans="1:3" ht="13" x14ac:dyDescent="0.15">
      <c r="A969" s="10"/>
      <c r="B969" s="13"/>
      <c r="C969" s="13"/>
    </row>
    <row r="970" spans="1:3" ht="13" x14ac:dyDescent="0.15">
      <c r="A970" s="10"/>
      <c r="B970" s="13"/>
      <c r="C970" s="13"/>
    </row>
    <row r="971" spans="1:3" ht="13" x14ac:dyDescent="0.15">
      <c r="A971" s="10"/>
      <c r="B971" s="13"/>
      <c r="C971" s="13"/>
    </row>
    <row r="972" spans="1:3" ht="13" x14ac:dyDescent="0.15">
      <c r="A972" s="10"/>
      <c r="B972" s="13"/>
      <c r="C972" s="13"/>
    </row>
    <row r="973" spans="1:3" ht="13" x14ac:dyDescent="0.15">
      <c r="A973" s="10"/>
      <c r="B973" s="13"/>
      <c r="C973" s="13"/>
    </row>
    <row r="974" spans="1:3" ht="13" x14ac:dyDescent="0.15">
      <c r="A974" s="10"/>
      <c r="B974" s="13"/>
      <c r="C974" s="13"/>
    </row>
    <row r="975" spans="1:3" ht="13" x14ac:dyDescent="0.15">
      <c r="A975" s="10"/>
      <c r="B975" s="13"/>
      <c r="C975" s="13"/>
    </row>
    <row r="976" spans="1:3" ht="13" x14ac:dyDescent="0.15">
      <c r="A976" s="10"/>
      <c r="B976" s="13"/>
      <c r="C976" s="13"/>
    </row>
    <row r="977" spans="1:3" ht="13" x14ac:dyDescent="0.15">
      <c r="A977" s="10"/>
      <c r="B977" s="13"/>
      <c r="C977" s="13"/>
    </row>
    <row r="978" spans="1:3" ht="13" x14ac:dyDescent="0.15">
      <c r="A978" s="10"/>
      <c r="B978" s="13"/>
      <c r="C978" s="13"/>
    </row>
    <row r="979" spans="1:3" ht="13" x14ac:dyDescent="0.15">
      <c r="A979" s="10"/>
      <c r="B979" s="13"/>
      <c r="C979" s="13"/>
    </row>
    <row r="980" spans="1:3" ht="13" x14ac:dyDescent="0.15">
      <c r="A980" s="10"/>
      <c r="B980" s="13"/>
      <c r="C980" s="13"/>
    </row>
    <row r="981" spans="1:3" ht="13" x14ac:dyDescent="0.15">
      <c r="A981" s="10"/>
      <c r="B981" s="13"/>
      <c r="C981" s="13"/>
    </row>
    <row r="982" spans="1:3" ht="13" x14ac:dyDescent="0.15">
      <c r="A982" s="10"/>
      <c r="B982" s="13"/>
      <c r="C982" s="13"/>
    </row>
    <row r="983" spans="1:3" ht="13" x14ac:dyDescent="0.15">
      <c r="A983" s="10"/>
      <c r="B983" s="13"/>
      <c r="C983" s="13"/>
    </row>
    <row r="984" spans="1:3" ht="13" x14ac:dyDescent="0.15">
      <c r="A984" s="10"/>
      <c r="B984" s="13"/>
      <c r="C984" s="13"/>
    </row>
    <row r="985" spans="1:3" ht="13" x14ac:dyDescent="0.15">
      <c r="A985" s="10"/>
      <c r="B985" s="13"/>
      <c r="C985" s="13"/>
    </row>
    <row r="986" spans="1:3" ht="13" x14ac:dyDescent="0.15">
      <c r="A986" s="10"/>
      <c r="B986" s="13"/>
      <c r="C986" s="13"/>
    </row>
    <row r="987" spans="1:3" ht="13" x14ac:dyDescent="0.15">
      <c r="A987" s="10"/>
      <c r="B987" s="13"/>
      <c r="C987" s="13"/>
    </row>
    <row r="988" spans="1:3" ht="13" x14ac:dyDescent="0.15">
      <c r="A988" s="10"/>
      <c r="B988" s="13"/>
      <c r="C988" s="13"/>
    </row>
    <row r="989" spans="1:3" ht="13" x14ac:dyDescent="0.15">
      <c r="A989" s="10"/>
      <c r="B989" s="13"/>
      <c r="C989" s="13"/>
    </row>
    <row r="990" spans="1:3" ht="13" x14ac:dyDescent="0.15">
      <c r="A990" s="10"/>
      <c r="B990" s="13"/>
      <c r="C990" s="13"/>
    </row>
    <row r="991" spans="1:3" ht="13" x14ac:dyDescent="0.15">
      <c r="A991" s="10"/>
      <c r="B991" s="13"/>
      <c r="C991" s="13"/>
    </row>
    <row r="992" spans="1:3" ht="13" x14ac:dyDescent="0.15">
      <c r="A992" s="10"/>
      <c r="B992" s="13"/>
      <c r="C992" s="13"/>
    </row>
    <row r="993" spans="1:3" ht="13" x14ac:dyDescent="0.15">
      <c r="A993" s="10"/>
      <c r="B993" s="13"/>
      <c r="C993" s="13"/>
    </row>
    <row r="994" spans="1:3" ht="13" x14ac:dyDescent="0.15">
      <c r="A994" s="10"/>
      <c r="B994" s="13"/>
      <c r="C994" s="13"/>
    </row>
    <row r="995" spans="1:3" ht="13" x14ac:dyDescent="0.15">
      <c r="A995" s="10"/>
      <c r="B995" s="13"/>
      <c r="C995" s="13"/>
    </row>
    <row r="996" spans="1:3" ht="13" x14ac:dyDescent="0.15">
      <c r="A996" s="10"/>
      <c r="B996" s="13"/>
      <c r="C996" s="13"/>
    </row>
    <row r="997" spans="1:3" ht="13" x14ac:dyDescent="0.15">
      <c r="A997" s="10"/>
      <c r="B997" s="13"/>
      <c r="C997" s="13"/>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outlinePr summaryBelow="0" summaryRight="0"/>
  </sheetPr>
  <dimension ref="A1:D997"/>
  <sheetViews>
    <sheetView workbookViewId="0"/>
  </sheetViews>
  <sheetFormatPr baseColWidth="10" defaultColWidth="12.6640625" defaultRowHeight="15.75" customHeight="1" x14ac:dyDescent="0.15"/>
  <cols>
    <col min="1" max="1" width="71.5" customWidth="1"/>
    <col min="2" max="4" width="37.6640625" customWidth="1"/>
  </cols>
  <sheetData>
    <row r="1" spans="1:4" ht="15.75" customHeight="1" x14ac:dyDescent="0.15">
      <c r="A1" s="1"/>
      <c r="B1" s="12" t="str">
        <f ca="1">IFERROR(__xludf.DUMMYFUNCTION("IMPORTRANGE(""https://docs.google.com/spreadsheets/d/1Eq2M_a4_TeZImjU1FJcBSaIp6Xib8-RIHm3cQ24mbRI"", ""A28!B1:B22"")
"),"Zachary Edwards")</f>
        <v>Zachary Edwards</v>
      </c>
      <c r="C1" s="10" t="str">
        <f ca="1">IFERROR(__xludf.DUMMYFUNCTION("IMPORTRANGE(""https://docs.google.com/spreadsheets/u/0/d/1Rfwd61p8X8kU1VBE4PFTeYG7-2eZzi6BYhKfon6XtRs"", ""A28!B1:B22"")"),"Korie Hall")</f>
        <v>Korie Hall</v>
      </c>
      <c r="D1" s="2" t="s">
        <v>1</v>
      </c>
    </row>
    <row r="2" spans="1:4" ht="15.75" customHeight="1" x14ac:dyDescent="0.15">
      <c r="A2" s="3" t="s">
        <v>2</v>
      </c>
      <c r="B2" s="15" t="str">
        <f ca="1">IFERROR(__xludf.DUMMYFUNCTION("""COMPUTED_VALUE"""),"PHAM Start:18572 Stop:19531
DNAM Start:18572 Stop:19531
FOR")</f>
        <v>PHAM Start:18572 Stop:19531
DNAM Start:18572 Stop:19531
FOR</v>
      </c>
      <c r="C2" s="15" t="str">
        <f ca="1">IFERROR(__xludf.DUMMYFUNCTION("""COMPUTED_VALUE"""),"Start: 18572")</f>
        <v>Start: 18572</v>
      </c>
      <c r="D2" s="4"/>
    </row>
    <row r="3" spans="1:4" ht="15.75" customHeight="1" x14ac:dyDescent="0.15">
      <c r="A3" s="5" t="s">
        <v>3</v>
      </c>
      <c r="B3" s="17" t="str">
        <f ca="1">IFERROR(__xludf.DUMMYFUNCTION("""COMPUTED_VALUE"""),"Pham: Gene 28
DNAM: Gene 27")</f>
        <v>Pham: Gene 28
DNAM: Gene 27</v>
      </c>
      <c r="C3" s="17" t="str">
        <f ca="1">IFERROR(__xludf.DUMMYFUNCTION("""COMPUTED_VALUE"""),"DNA Master: Gene 27")</f>
        <v>DNA Master: Gene 27</v>
      </c>
      <c r="D3" s="6"/>
    </row>
    <row r="4" spans="1:4" ht="15.75" customHeight="1" x14ac:dyDescent="0.15">
      <c r="A4" s="5" t="s">
        <v>4</v>
      </c>
      <c r="B4" s="17" t="str">
        <f ca="1">IFERROR(__xludf.DUMMYFUNCTION("""COMPUTED_VALUE"""),"5532 3/5/25")</f>
        <v>5532 3/5/25</v>
      </c>
      <c r="C4" s="17">
        <f ca="1">IFERROR(__xludf.DUMMYFUNCTION("""COMPUTED_VALUE"""),5532)</f>
        <v>5532</v>
      </c>
      <c r="D4" s="6"/>
    </row>
    <row r="5" spans="1:4" ht="15.75" customHeight="1" x14ac:dyDescent="0.15">
      <c r="A5" s="5" t="s">
        <v>5</v>
      </c>
      <c r="B5" s="17" t="str">
        <f ca="1">IFERROR(__xludf.DUMMYFUNCTION("""COMPUTED_VALUE"""),"Kovu_29 and Edmundo_25")</f>
        <v>Kovu_29 and Edmundo_25</v>
      </c>
      <c r="C5" s="17" t="str">
        <f ca="1">IFERROR(__xludf.DUMMYFUNCTION("""COMPUTED_VALUE"""),"Kovu_29")</f>
        <v>Kovu_29</v>
      </c>
      <c r="D5" s="6"/>
    </row>
    <row r="6" spans="1:4" ht="15.75" customHeight="1" x14ac:dyDescent="0.15">
      <c r="A6" s="5" t="s">
        <v>6</v>
      </c>
      <c r="B6" s="17" t="str">
        <f ca="1">IFERROR(__xludf.DUMMYFUNCTION("""COMPUTED_VALUE"""),"Glimmer and Genemark agree")</f>
        <v>Glimmer and Genemark agree</v>
      </c>
      <c r="C6" s="17" t="str">
        <f ca="1">IFERROR(__xludf.DUMMYFUNCTION("""COMPUTED_VALUE"""),"Glimmer and GeneMark call this gene")</f>
        <v>Glimmer and GeneMark call this gene</v>
      </c>
      <c r="D6" s="6"/>
    </row>
    <row r="7" spans="1:4" ht="15.75" customHeight="1" x14ac:dyDescent="0.15">
      <c r="A7" s="5" t="s">
        <v>7</v>
      </c>
      <c r="B7" s="17" t="str">
        <f ca="1">IFERROR(__xludf.DUMMYFUNCTION("""COMPUTED_VALUE"""),"Great coding potineal with nearly all included. ")</f>
        <v xml:space="preserve">Great coding potineal with nearly all included. </v>
      </c>
      <c r="C7" s="17" t="str">
        <f ca="1">IFERROR(__xludf.DUMMYFUNCTION("""COMPUTED_VALUE"""),"All coding potential is included in the start")</f>
        <v>All coding potential is included in the start</v>
      </c>
      <c r="D7" s="6"/>
    </row>
    <row r="8" spans="1:4" ht="15.75" customHeight="1" x14ac:dyDescent="0.15">
      <c r="A8" s="5" t="s">
        <v>8</v>
      </c>
      <c r="B8" s="17" t="str">
        <f ca="1">IFERROR(__xludf.DUMMYFUNCTION("""COMPUTED_VALUE"""),"Yes")</f>
        <v>Yes</v>
      </c>
      <c r="C8" s="17" t="str">
        <f ca="1">IFERROR(__xludf.DUMMYFUNCTION("""COMPUTED_VALUE"""),"Yes")</f>
        <v>Yes</v>
      </c>
      <c r="D8" s="6"/>
    </row>
    <row r="9" spans="1:4" ht="15.75" customHeight="1" x14ac:dyDescent="0.15">
      <c r="A9" s="5" t="s">
        <v>9</v>
      </c>
      <c r="B9" s="17" t="str">
        <f ca="1">IFERROR(__xludf.DUMMYFUNCTION("""COMPUTED_VALUE"""),"No overlap. 33 NT gap at the beginning, and")</f>
        <v>No overlap. 33 NT gap at the beginning, and</v>
      </c>
      <c r="C9" s="17" t="str">
        <f ca="1">IFERROR(__xludf.DUMMYFUNCTION("""COMPUTED_VALUE"""),"There is a 77 bp gap between the stop codon of gene 28 and the start codon of gene 29")</f>
        <v>There is a 77 bp gap between the stop codon of gene 28 and the start codon of gene 29</v>
      </c>
      <c r="D9" s="6"/>
    </row>
    <row r="10" spans="1:4" ht="15.75" customHeight="1" x14ac:dyDescent="0.15">
      <c r="A10" s="5" t="s">
        <v>10</v>
      </c>
      <c r="B10" s="17" t="str">
        <f ca="1">IFERROR(__xludf.DUMMYFUNCTION("""COMPUTED_VALUE"""),"Great Z: 3.090. 16 others ")</f>
        <v xml:space="preserve">Great Z: 3.090. 16 others </v>
      </c>
      <c r="C10" s="17" t="str">
        <f ca="1">IFERROR(__xludf.DUMMYFUNCTION("""COMPUTED_VALUE"""),"Z-score: 3.090")</f>
        <v>Z-score: 3.090</v>
      </c>
      <c r="D10" s="6"/>
    </row>
    <row r="11" spans="1:4" ht="15.75" customHeight="1" x14ac:dyDescent="0.15">
      <c r="A11" s="5" t="s">
        <v>11</v>
      </c>
      <c r="B11" s="17" t="str">
        <f ca="1">IFERROR(__xludf.DUMMYFUNCTION("""COMPUTED_VALUE"""),"Kovu_29
%ID: 95.92
E: 0
1:1")</f>
        <v>Kovu_29
%ID: 95.92
E: 0
1:1</v>
      </c>
      <c r="C11" s="17" t="str">
        <f ca="1">IFERROR(__xludf.DUMMYFUNCTION("""COMPUTED_VALUE"""),"Kovu_29 - % identity: 96% / e-value: 0.0 / q1:s1")</f>
        <v>Kovu_29 - % identity: 96% / e-value: 0.0 / q1:s1</v>
      </c>
      <c r="D11" s="6"/>
    </row>
    <row r="12" spans="1:4" ht="15.75" customHeight="1" x14ac:dyDescent="0.15">
      <c r="A12" s="5" t="s">
        <v>12</v>
      </c>
      <c r="B12" s="17" t="str">
        <f ca="1">IFERROR(__xludf.DUMMYFUNCTION("""COMPUTED_VALUE"""),"7 alignments on start 8")</f>
        <v>7 alignments on start 8</v>
      </c>
      <c r="C12" s="17" t="str">
        <f ca="1">IFERROR(__xludf.DUMMYFUNCTION("""COMPUTED_VALUE"""),"Found in 9 of 12 members")</f>
        <v>Found in 9 of 12 members</v>
      </c>
      <c r="D12" s="6"/>
    </row>
    <row r="13" spans="1:4" ht="15.75" customHeight="1" x14ac:dyDescent="0.15">
      <c r="A13" s="5" t="s">
        <v>13</v>
      </c>
      <c r="B13" s="17" t="str">
        <f ca="1">IFERROR(__xludf.DUMMYFUNCTION("""COMPUTED_VALUE"""),"No")</f>
        <v>No</v>
      </c>
      <c r="C13" s="17" t="str">
        <f ca="1">IFERROR(__xludf.DUMMYFUNCTION("""COMPUTED_VALUE"""),"No, the start codon is good as is")</f>
        <v>No, the start codon is good as is</v>
      </c>
      <c r="D13" s="6"/>
    </row>
    <row r="14" spans="1:4" ht="15.75" customHeight="1" x14ac:dyDescent="0.15">
      <c r="A14" s="5" t="s">
        <v>14</v>
      </c>
      <c r="B14" s="17" t="str">
        <f ca="1">IFERROR(__xludf.DUMMYFUNCTION("""COMPUTED_VALUE"""),"Kovu_29, e-178")</f>
        <v>Kovu_29, e-178</v>
      </c>
      <c r="C14" s="17" t="str">
        <f ca="1">IFERROR(__xludf.DUMMYFUNCTION("""COMPUTED_VALUE"""),"Kovu_29 - e-value: e-178")</f>
        <v>Kovu_29 - e-value: e-178</v>
      </c>
      <c r="D14" s="6"/>
    </row>
    <row r="15" spans="1:4" ht="15.75" customHeight="1" x14ac:dyDescent="0.15">
      <c r="A15" s="5" t="s">
        <v>15</v>
      </c>
      <c r="B15" s="17" t="str">
        <f ca="1">IFERROR(__xludf.DUMMYFUNCTION("""COMPUTED_VALUE""")," major capsid protein")</f>
        <v xml:space="preserve"> major capsid protein</v>
      </c>
      <c r="C15" s="17" t="str">
        <f ca="1">IFERROR(__xludf.DUMMYFUNCTION("""COMPUTED_VALUE"""),"Kovu_29 - major capsid protein")</f>
        <v>Kovu_29 - major capsid protein</v>
      </c>
      <c r="D15" s="6"/>
    </row>
    <row r="16" spans="1:4" ht="15.75" customHeight="1" x14ac:dyDescent="0.15">
      <c r="A16" s="5" t="s">
        <v>16</v>
      </c>
      <c r="B16" s="17" t="str">
        <f ca="1">IFERROR(__xludf.DUMMYFUNCTION("""COMPUTED_VALUE"""),"Found in the same genetic environemtn as Kovu")</f>
        <v>Found in the same genetic environemtn as Kovu</v>
      </c>
      <c r="C16" s="17" t="str">
        <f ca="1">IFERROR(__xludf.DUMMYFUNCTION("""COMPUTED_VALUE"""),"Compared to its homologous genes, the function would be expected ")</f>
        <v xml:space="preserve">Compared to its homologous genes, the function would be expected </v>
      </c>
      <c r="D16" s="6"/>
    </row>
    <row r="17" spans="1:4" ht="15.75" customHeight="1" x14ac:dyDescent="0.15">
      <c r="A17" s="5" t="s">
        <v>17</v>
      </c>
      <c r="B17" s="17" t="str">
        <f ca="1">IFERROR(__xludf.DUMMYFUNCTION("""COMPUTED_VALUE"""),"CAPSD_BPBMU Major capsid protein OS=Burkholderia phage BcepMu (isolate -/United States/Summer/2002) OX=1283335 GN=BcepMu34 PE=3 SV=1
Probability: 100%
Align Q: 91.53
Align T: 95.11")</f>
        <v>CAPSD_BPBMU Major capsid protein OS=Burkholderia phage BcepMu (isolate -/United States/Summer/2002) OX=1283335 GN=BcepMu34 PE=3 SV=1
Probability: 100%
Align Q: 91.53
Align T: 95.11</v>
      </c>
      <c r="C17" s="17" t="str">
        <f ca="1">IFERROR(__xludf.DUMMYFUNCTION("""COMPUTED_VALUE"""),"CAPSD_BPBMU Major capsid protein")</f>
        <v>CAPSD_BPBMU Major capsid protein</v>
      </c>
      <c r="D17" s="6"/>
    </row>
    <row r="18" spans="1:4" ht="15.75" customHeight="1" x14ac:dyDescent="0.15">
      <c r="A18" s="5" t="s">
        <v>18</v>
      </c>
      <c r="B18" s="17" t="str">
        <f ca="1">IFERROR(__xludf.DUMMYFUNCTION("""COMPUTED_VALUE"""),"DUF")</f>
        <v>DUF</v>
      </c>
      <c r="C18" s="17" t="str">
        <f ca="1">IFERROR(__xludf.DUMMYFUNCTION("""COMPUTED_VALUE"""),"No conserved domain identified")</f>
        <v>No conserved domain identified</v>
      </c>
      <c r="D18" s="6"/>
    </row>
    <row r="19" spans="1:4" ht="15.75" customHeight="1" x14ac:dyDescent="0.15">
      <c r="A19" s="5" t="s">
        <v>19</v>
      </c>
      <c r="B19" s="17" t="str">
        <f ca="1">IFERROR(__xludf.DUMMYFUNCTION("""COMPUTED_VALUE"""),"No")</f>
        <v>No</v>
      </c>
      <c r="C19" s="17" t="str">
        <f ca="1">IFERROR(__xludf.DUMMYFUNCTION("""COMPUTED_VALUE"""),"No membrane protein")</f>
        <v>No membrane protein</v>
      </c>
      <c r="D19" s="6"/>
    </row>
    <row r="20" spans="1:4" ht="15.75" customHeight="1" x14ac:dyDescent="0.15">
      <c r="A20" s="5" t="s">
        <v>20</v>
      </c>
      <c r="B20" s="17" t="str">
        <f ca="1">IFERROR(__xludf.DUMMYFUNCTION("""COMPUTED_VALUE"""),"Major capsid protein, it aligns well with 7 other genes called this in additione these have very low E vaules, and the HHPRED alignments are all probilbilties over 99")</f>
        <v>Major capsid protein, it aligns well with 7 other genes called this in additione these have very low E vaules, and the HHPRED alignments are all probilbilties over 99</v>
      </c>
      <c r="C20" s="17" t="str">
        <f ca="1">IFERROR(__xludf.DUMMYFUNCTION("""COMPUTED_VALUE"""),"Major capsid protein ( Rationale: All members of the pham have a function of major capsid protein or capsid protein. The biggest hits are those of major capsid proteins )")</f>
        <v>Major capsid protein ( Rationale: All members of the pham have a function of major capsid protein or capsid protein. The biggest hits are those of major capsid proteins )</v>
      </c>
      <c r="D20" s="6"/>
    </row>
    <row r="21" spans="1:4" x14ac:dyDescent="0.2">
      <c r="A21" s="7"/>
      <c r="B21" s="19"/>
      <c r="C21" s="19"/>
      <c r="D21" s="8"/>
    </row>
    <row r="22" spans="1:4" ht="15.75" customHeight="1" x14ac:dyDescent="0.15">
      <c r="A22" s="9" t="s">
        <v>21</v>
      </c>
      <c r="B22" s="19"/>
      <c r="C22" s="19"/>
      <c r="D22" s="8"/>
    </row>
    <row r="23" spans="1:4" ht="15.75" customHeight="1" x14ac:dyDescent="0.15">
      <c r="A23" s="10"/>
      <c r="B23" s="13"/>
      <c r="C23" s="13"/>
    </row>
    <row r="24" spans="1:4" ht="15.75" customHeight="1" x14ac:dyDescent="0.15">
      <c r="A24" s="10"/>
      <c r="B24" s="13"/>
      <c r="C24" s="13"/>
    </row>
    <row r="25" spans="1:4" ht="15.75" customHeight="1" x14ac:dyDescent="0.15">
      <c r="A25" s="10"/>
      <c r="B25" s="13"/>
      <c r="C25" s="13"/>
    </row>
    <row r="26" spans="1:4" ht="15.75" customHeight="1" x14ac:dyDescent="0.15">
      <c r="A26" s="10"/>
      <c r="B26" s="13"/>
      <c r="C26" s="13"/>
    </row>
    <row r="27" spans="1:4" ht="15.75" customHeight="1" x14ac:dyDescent="0.15">
      <c r="A27" s="10"/>
      <c r="B27" s="13"/>
      <c r="C27" s="13"/>
    </row>
    <row r="28" spans="1:4" ht="15.75" customHeight="1" x14ac:dyDescent="0.15">
      <c r="A28" s="10"/>
      <c r="B28" s="13"/>
      <c r="C28" s="13"/>
    </row>
    <row r="29" spans="1:4" ht="15.75" customHeight="1" x14ac:dyDescent="0.15">
      <c r="A29" s="10"/>
      <c r="B29" s="13"/>
      <c r="C29" s="13"/>
    </row>
    <row r="30" spans="1:4" ht="15.75" customHeight="1" x14ac:dyDescent="0.15">
      <c r="A30" s="10"/>
      <c r="B30" s="13"/>
      <c r="C30" s="13"/>
    </row>
    <row r="31" spans="1:4" ht="15.75" customHeight="1" x14ac:dyDescent="0.15">
      <c r="A31" s="10"/>
      <c r="B31" s="13"/>
      <c r="C31" s="13"/>
    </row>
    <row r="32" spans="1:4" ht="15.75" customHeight="1" x14ac:dyDescent="0.15">
      <c r="A32" s="10"/>
      <c r="B32" s="13"/>
      <c r="C32" s="13"/>
    </row>
    <row r="33" spans="1:3" ht="15.75" customHeight="1" x14ac:dyDescent="0.15">
      <c r="A33" s="10"/>
      <c r="B33" s="13"/>
      <c r="C33" s="13"/>
    </row>
    <row r="34" spans="1:3" ht="15.75" customHeight="1" x14ac:dyDescent="0.15">
      <c r="A34" s="10"/>
      <c r="B34" s="13"/>
      <c r="C34" s="13"/>
    </row>
    <row r="35" spans="1:3" ht="15.75" customHeight="1" x14ac:dyDescent="0.15">
      <c r="A35" s="10"/>
      <c r="B35" s="13"/>
      <c r="C35" s="13"/>
    </row>
    <row r="36" spans="1:3" ht="15.75" customHeight="1" x14ac:dyDescent="0.15">
      <c r="A36" s="10"/>
      <c r="B36" s="13"/>
      <c r="C36" s="13"/>
    </row>
    <row r="37" spans="1:3" ht="15.75" customHeight="1" x14ac:dyDescent="0.15">
      <c r="A37" s="10"/>
      <c r="B37" s="13"/>
      <c r="C37" s="13"/>
    </row>
    <row r="38" spans="1:3" ht="15.75" customHeight="1" x14ac:dyDescent="0.15">
      <c r="A38" s="10"/>
      <c r="B38" s="13"/>
      <c r="C38" s="13"/>
    </row>
    <row r="39" spans="1:3" ht="13" x14ac:dyDescent="0.15">
      <c r="A39" s="10"/>
      <c r="B39" s="13"/>
      <c r="C39" s="13"/>
    </row>
    <row r="40" spans="1:3" ht="13" x14ac:dyDescent="0.15">
      <c r="A40" s="10"/>
      <c r="B40" s="13"/>
      <c r="C40" s="13"/>
    </row>
    <row r="41" spans="1:3" ht="13" x14ac:dyDescent="0.15">
      <c r="A41" s="10"/>
      <c r="B41" s="13"/>
      <c r="C41" s="13"/>
    </row>
    <row r="42" spans="1:3" ht="13" x14ac:dyDescent="0.15">
      <c r="A42" s="10"/>
      <c r="B42" s="13"/>
      <c r="C42" s="13"/>
    </row>
    <row r="43" spans="1:3" ht="13" x14ac:dyDescent="0.15">
      <c r="A43" s="10"/>
      <c r="B43" s="13"/>
      <c r="C43" s="13"/>
    </row>
    <row r="44" spans="1:3" ht="13" x14ac:dyDescent="0.15">
      <c r="A44" s="10"/>
      <c r="B44" s="13"/>
      <c r="C44" s="13"/>
    </row>
    <row r="45" spans="1:3" ht="13" x14ac:dyDescent="0.15">
      <c r="A45" s="10"/>
      <c r="B45" s="13"/>
      <c r="C45" s="13"/>
    </row>
    <row r="46" spans="1:3" ht="13" x14ac:dyDescent="0.15">
      <c r="A46" s="10"/>
      <c r="B46" s="13"/>
      <c r="C46" s="13"/>
    </row>
    <row r="47" spans="1:3" ht="13" x14ac:dyDescent="0.15">
      <c r="A47" s="10"/>
      <c r="B47" s="13"/>
      <c r="C47" s="13"/>
    </row>
    <row r="48" spans="1:3" ht="13" x14ac:dyDescent="0.15">
      <c r="A48" s="10"/>
      <c r="B48" s="13"/>
      <c r="C48" s="13"/>
    </row>
    <row r="49" spans="1:3" ht="13" x14ac:dyDescent="0.15">
      <c r="A49" s="10"/>
      <c r="B49" s="13"/>
      <c r="C49" s="13"/>
    </row>
    <row r="50" spans="1:3" ht="13" x14ac:dyDescent="0.15">
      <c r="A50" s="10"/>
      <c r="B50" s="13"/>
      <c r="C50" s="13"/>
    </row>
    <row r="51" spans="1:3" ht="13" x14ac:dyDescent="0.15">
      <c r="A51" s="10"/>
      <c r="B51" s="13"/>
      <c r="C51" s="13"/>
    </row>
    <row r="52" spans="1:3" ht="13" x14ac:dyDescent="0.15">
      <c r="A52" s="10"/>
      <c r="B52" s="13"/>
      <c r="C52" s="13"/>
    </row>
    <row r="53" spans="1:3" ht="13" x14ac:dyDescent="0.15">
      <c r="A53" s="10"/>
      <c r="B53" s="13"/>
      <c r="C53" s="13"/>
    </row>
    <row r="54" spans="1:3" ht="13" x14ac:dyDescent="0.15">
      <c r="A54" s="10"/>
      <c r="B54" s="13"/>
      <c r="C54" s="13"/>
    </row>
    <row r="55" spans="1:3" ht="13" x14ac:dyDescent="0.15">
      <c r="A55" s="10"/>
      <c r="B55" s="13"/>
      <c r="C55" s="13"/>
    </row>
    <row r="56" spans="1:3" ht="13" x14ac:dyDescent="0.15">
      <c r="A56" s="10"/>
      <c r="B56" s="13"/>
      <c r="C56" s="13"/>
    </row>
    <row r="57" spans="1:3" ht="13" x14ac:dyDescent="0.15">
      <c r="A57" s="10"/>
      <c r="B57" s="13"/>
      <c r="C57" s="13"/>
    </row>
    <row r="58" spans="1:3" ht="13" x14ac:dyDescent="0.15">
      <c r="A58" s="10"/>
      <c r="B58" s="13"/>
      <c r="C58" s="13"/>
    </row>
    <row r="59" spans="1:3" ht="13" x14ac:dyDescent="0.15">
      <c r="A59" s="10"/>
      <c r="B59" s="13"/>
      <c r="C59" s="13"/>
    </row>
    <row r="60" spans="1:3" ht="13" x14ac:dyDescent="0.15">
      <c r="A60" s="10"/>
      <c r="B60" s="13"/>
      <c r="C60" s="13"/>
    </row>
    <row r="61" spans="1:3" ht="13" x14ac:dyDescent="0.15">
      <c r="A61" s="10"/>
      <c r="B61" s="13"/>
      <c r="C61" s="13"/>
    </row>
    <row r="62" spans="1:3" ht="13" x14ac:dyDescent="0.15">
      <c r="A62" s="10"/>
      <c r="B62" s="13"/>
      <c r="C62" s="13"/>
    </row>
    <row r="63" spans="1:3" ht="13" x14ac:dyDescent="0.15">
      <c r="A63" s="10"/>
      <c r="B63" s="13"/>
      <c r="C63" s="13"/>
    </row>
    <row r="64" spans="1:3" ht="13" x14ac:dyDescent="0.15">
      <c r="A64" s="10"/>
      <c r="B64" s="13"/>
      <c r="C64" s="13"/>
    </row>
    <row r="65" spans="1:3" ht="13" x14ac:dyDescent="0.15">
      <c r="A65" s="10"/>
      <c r="B65" s="13"/>
      <c r="C65" s="13"/>
    </row>
    <row r="66" spans="1:3" ht="13" x14ac:dyDescent="0.15">
      <c r="A66" s="10"/>
      <c r="B66" s="13"/>
      <c r="C66" s="13"/>
    </row>
    <row r="67" spans="1:3" ht="13" x14ac:dyDescent="0.15">
      <c r="A67" s="10"/>
      <c r="B67" s="13"/>
      <c r="C67" s="13"/>
    </row>
    <row r="68" spans="1:3" ht="13" x14ac:dyDescent="0.15">
      <c r="A68" s="10"/>
      <c r="B68" s="13"/>
      <c r="C68" s="13"/>
    </row>
    <row r="69" spans="1:3" ht="13" x14ac:dyDescent="0.15">
      <c r="A69" s="10"/>
      <c r="B69" s="13"/>
      <c r="C69" s="13"/>
    </row>
    <row r="70" spans="1:3" ht="13" x14ac:dyDescent="0.15">
      <c r="A70" s="10"/>
      <c r="B70" s="13"/>
      <c r="C70" s="13"/>
    </row>
    <row r="71" spans="1:3" ht="13" x14ac:dyDescent="0.15">
      <c r="A71" s="10"/>
      <c r="B71" s="13"/>
      <c r="C71" s="13"/>
    </row>
    <row r="72" spans="1:3" ht="13" x14ac:dyDescent="0.15">
      <c r="A72" s="10"/>
      <c r="B72" s="13"/>
      <c r="C72" s="13"/>
    </row>
    <row r="73" spans="1:3" ht="13" x14ac:dyDescent="0.15">
      <c r="A73" s="10"/>
      <c r="B73" s="13"/>
      <c r="C73" s="13"/>
    </row>
    <row r="74" spans="1:3" ht="13" x14ac:dyDescent="0.15">
      <c r="A74" s="10"/>
      <c r="B74" s="13"/>
      <c r="C74" s="13"/>
    </row>
    <row r="75" spans="1:3" ht="13" x14ac:dyDescent="0.15">
      <c r="A75" s="10"/>
      <c r="B75" s="13"/>
      <c r="C75" s="13"/>
    </row>
    <row r="76" spans="1:3" ht="13" x14ac:dyDescent="0.15">
      <c r="A76" s="10"/>
      <c r="B76" s="13"/>
      <c r="C76" s="13"/>
    </row>
    <row r="77" spans="1:3" ht="13" x14ac:dyDescent="0.15">
      <c r="A77" s="10"/>
      <c r="B77" s="13"/>
      <c r="C77" s="13"/>
    </row>
    <row r="78" spans="1:3" ht="13" x14ac:dyDescent="0.15">
      <c r="A78" s="10"/>
      <c r="B78" s="13"/>
      <c r="C78" s="13"/>
    </row>
    <row r="79" spans="1:3" ht="13" x14ac:dyDescent="0.15">
      <c r="A79" s="10"/>
      <c r="B79" s="13"/>
      <c r="C79" s="13"/>
    </row>
    <row r="80" spans="1:3" ht="13" x14ac:dyDescent="0.15">
      <c r="A80" s="10"/>
      <c r="B80" s="13"/>
      <c r="C80" s="13"/>
    </row>
    <row r="81" spans="1:3" ht="13" x14ac:dyDescent="0.15">
      <c r="A81" s="10"/>
      <c r="B81" s="13"/>
      <c r="C81" s="13"/>
    </row>
    <row r="82" spans="1:3" ht="13" x14ac:dyDescent="0.15">
      <c r="A82" s="10"/>
      <c r="B82" s="13"/>
      <c r="C82" s="13"/>
    </row>
    <row r="83" spans="1:3" ht="13" x14ac:dyDescent="0.15">
      <c r="A83" s="10"/>
      <c r="B83" s="13"/>
      <c r="C83" s="13"/>
    </row>
    <row r="84" spans="1:3" ht="13" x14ac:dyDescent="0.15">
      <c r="A84" s="10"/>
      <c r="B84" s="13"/>
      <c r="C84" s="13"/>
    </row>
    <row r="85" spans="1:3" ht="13" x14ac:dyDescent="0.15">
      <c r="A85" s="10"/>
      <c r="B85" s="13"/>
      <c r="C85" s="13"/>
    </row>
    <row r="86" spans="1:3" ht="13" x14ac:dyDescent="0.15">
      <c r="A86" s="10"/>
      <c r="B86" s="13"/>
      <c r="C86" s="13"/>
    </row>
    <row r="87" spans="1:3" ht="13" x14ac:dyDescent="0.15">
      <c r="A87" s="10"/>
      <c r="B87" s="13"/>
      <c r="C87" s="13"/>
    </row>
    <row r="88" spans="1:3" ht="13" x14ac:dyDescent="0.15">
      <c r="A88" s="10"/>
      <c r="B88" s="13"/>
      <c r="C88" s="13"/>
    </row>
    <row r="89" spans="1:3" ht="13" x14ac:dyDescent="0.15">
      <c r="A89" s="10"/>
      <c r="B89" s="13"/>
      <c r="C89" s="13"/>
    </row>
    <row r="90" spans="1:3" ht="13" x14ac:dyDescent="0.15">
      <c r="A90" s="10"/>
      <c r="B90" s="13"/>
      <c r="C90" s="13"/>
    </row>
    <row r="91" spans="1:3" ht="13" x14ac:dyDescent="0.15">
      <c r="A91" s="10"/>
      <c r="B91" s="13"/>
      <c r="C91" s="13"/>
    </row>
    <row r="92" spans="1:3" ht="13" x14ac:dyDescent="0.15">
      <c r="A92" s="10"/>
      <c r="B92" s="13"/>
      <c r="C92" s="13"/>
    </row>
    <row r="93" spans="1:3" ht="13" x14ac:dyDescent="0.15">
      <c r="A93" s="10"/>
      <c r="B93" s="13"/>
      <c r="C93" s="13"/>
    </row>
    <row r="94" spans="1:3" ht="13" x14ac:dyDescent="0.15">
      <c r="A94" s="10"/>
      <c r="B94" s="13"/>
      <c r="C94" s="13"/>
    </row>
    <row r="95" spans="1:3" ht="13" x14ac:dyDescent="0.15">
      <c r="A95" s="10"/>
      <c r="B95" s="13"/>
      <c r="C95" s="13"/>
    </row>
    <row r="96" spans="1:3" ht="13" x14ac:dyDescent="0.15">
      <c r="A96" s="10"/>
      <c r="B96" s="13"/>
      <c r="C96" s="13"/>
    </row>
    <row r="97" spans="1:3" ht="13" x14ac:dyDescent="0.15">
      <c r="A97" s="10"/>
      <c r="B97" s="13"/>
      <c r="C97" s="13"/>
    </row>
    <row r="98" spans="1:3" ht="13" x14ac:dyDescent="0.15">
      <c r="A98" s="10"/>
      <c r="B98" s="13"/>
      <c r="C98" s="13"/>
    </row>
    <row r="99" spans="1:3" ht="13" x14ac:dyDescent="0.15">
      <c r="A99" s="10"/>
      <c r="B99" s="13"/>
      <c r="C99" s="13"/>
    </row>
    <row r="100" spans="1:3" ht="13" x14ac:dyDescent="0.15">
      <c r="A100" s="10"/>
      <c r="B100" s="13"/>
      <c r="C100" s="13"/>
    </row>
    <row r="101" spans="1:3" ht="13" x14ac:dyDescent="0.15">
      <c r="A101" s="10"/>
      <c r="B101" s="13"/>
      <c r="C101" s="13"/>
    </row>
    <row r="102" spans="1:3" ht="13" x14ac:dyDescent="0.15">
      <c r="A102" s="10"/>
      <c r="B102" s="13"/>
      <c r="C102" s="13"/>
    </row>
    <row r="103" spans="1:3" ht="13" x14ac:dyDescent="0.15">
      <c r="A103" s="10"/>
      <c r="B103" s="13"/>
      <c r="C103" s="13"/>
    </row>
    <row r="104" spans="1:3" ht="13" x14ac:dyDescent="0.15">
      <c r="A104" s="10"/>
      <c r="B104" s="13"/>
      <c r="C104" s="13"/>
    </row>
    <row r="105" spans="1:3" ht="13" x14ac:dyDescent="0.15">
      <c r="A105" s="10"/>
      <c r="B105" s="13"/>
      <c r="C105" s="13"/>
    </row>
    <row r="106" spans="1:3" ht="13" x14ac:dyDescent="0.15">
      <c r="A106" s="10"/>
      <c r="B106" s="13"/>
      <c r="C106" s="13"/>
    </row>
    <row r="107" spans="1:3" ht="13" x14ac:dyDescent="0.15">
      <c r="A107" s="10"/>
      <c r="B107" s="13"/>
      <c r="C107" s="13"/>
    </row>
    <row r="108" spans="1:3" ht="13" x14ac:dyDescent="0.15">
      <c r="A108" s="10"/>
      <c r="B108" s="13"/>
      <c r="C108" s="13"/>
    </row>
    <row r="109" spans="1:3" ht="13" x14ac:dyDescent="0.15">
      <c r="A109" s="10"/>
      <c r="B109" s="13"/>
      <c r="C109" s="13"/>
    </row>
    <row r="110" spans="1:3" ht="13" x14ac:dyDescent="0.15">
      <c r="A110" s="10"/>
      <c r="B110" s="13"/>
      <c r="C110" s="13"/>
    </row>
    <row r="111" spans="1:3" ht="13" x14ac:dyDescent="0.15">
      <c r="A111" s="10"/>
      <c r="B111" s="13"/>
      <c r="C111" s="13"/>
    </row>
    <row r="112" spans="1:3" ht="13" x14ac:dyDescent="0.15">
      <c r="A112" s="10"/>
      <c r="B112" s="13"/>
      <c r="C112" s="13"/>
    </row>
    <row r="113" spans="1:3" ht="13" x14ac:dyDescent="0.15">
      <c r="A113" s="10"/>
      <c r="B113" s="13"/>
      <c r="C113" s="13"/>
    </row>
    <row r="114" spans="1:3" ht="13" x14ac:dyDescent="0.15">
      <c r="A114" s="10"/>
      <c r="B114" s="13"/>
      <c r="C114" s="13"/>
    </row>
    <row r="115" spans="1:3" ht="13" x14ac:dyDescent="0.15">
      <c r="A115" s="10"/>
      <c r="B115" s="13"/>
      <c r="C115" s="13"/>
    </row>
    <row r="116" spans="1:3" ht="13" x14ac:dyDescent="0.15">
      <c r="A116" s="10"/>
      <c r="B116" s="13"/>
      <c r="C116" s="13"/>
    </row>
    <row r="117" spans="1:3" ht="13" x14ac:dyDescent="0.15">
      <c r="A117" s="10"/>
      <c r="B117" s="13"/>
      <c r="C117" s="13"/>
    </row>
    <row r="118" spans="1:3" ht="13" x14ac:dyDescent="0.15">
      <c r="A118" s="10"/>
      <c r="B118" s="13"/>
      <c r="C118" s="13"/>
    </row>
    <row r="119" spans="1:3" ht="13" x14ac:dyDescent="0.15">
      <c r="A119" s="10"/>
      <c r="B119" s="13"/>
      <c r="C119" s="13"/>
    </row>
    <row r="120" spans="1:3" ht="13" x14ac:dyDescent="0.15">
      <c r="A120" s="10"/>
      <c r="B120" s="13"/>
      <c r="C120" s="13"/>
    </row>
    <row r="121" spans="1:3" ht="13" x14ac:dyDescent="0.15">
      <c r="A121" s="10"/>
      <c r="B121" s="13"/>
      <c r="C121" s="13"/>
    </row>
    <row r="122" spans="1:3" ht="13" x14ac:dyDescent="0.15">
      <c r="A122" s="10"/>
      <c r="B122" s="13"/>
      <c r="C122" s="13"/>
    </row>
    <row r="123" spans="1:3" ht="13" x14ac:dyDescent="0.15">
      <c r="A123" s="10"/>
      <c r="B123" s="13"/>
      <c r="C123" s="13"/>
    </row>
    <row r="124" spans="1:3" ht="13" x14ac:dyDescent="0.15">
      <c r="A124" s="10"/>
      <c r="B124" s="13"/>
      <c r="C124" s="13"/>
    </row>
    <row r="125" spans="1:3" ht="13" x14ac:dyDescent="0.15">
      <c r="A125" s="10"/>
      <c r="B125" s="13"/>
      <c r="C125" s="13"/>
    </row>
    <row r="126" spans="1:3" ht="13" x14ac:dyDescent="0.15">
      <c r="A126" s="10"/>
      <c r="B126" s="13"/>
      <c r="C126" s="13"/>
    </row>
    <row r="127" spans="1:3" ht="13" x14ac:dyDescent="0.15">
      <c r="A127" s="10"/>
      <c r="B127" s="13"/>
      <c r="C127" s="13"/>
    </row>
    <row r="128" spans="1:3" ht="13" x14ac:dyDescent="0.15">
      <c r="A128" s="10"/>
      <c r="B128" s="13"/>
      <c r="C128" s="13"/>
    </row>
    <row r="129" spans="1:3" ht="13" x14ac:dyDescent="0.15">
      <c r="A129" s="10"/>
      <c r="B129" s="13"/>
      <c r="C129" s="13"/>
    </row>
    <row r="130" spans="1:3" ht="13" x14ac:dyDescent="0.15">
      <c r="A130" s="10"/>
      <c r="B130" s="13"/>
      <c r="C130" s="13"/>
    </row>
    <row r="131" spans="1:3" ht="13" x14ac:dyDescent="0.15">
      <c r="A131" s="10"/>
      <c r="B131" s="13"/>
      <c r="C131" s="13"/>
    </row>
    <row r="132" spans="1:3" ht="13" x14ac:dyDescent="0.15">
      <c r="A132" s="10"/>
      <c r="B132" s="13"/>
      <c r="C132" s="13"/>
    </row>
    <row r="133" spans="1:3" ht="13" x14ac:dyDescent="0.15">
      <c r="A133" s="10"/>
      <c r="B133" s="13"/>
      <c r="C133" s="13"/>
    </row>
    <row r="134" spans="1:3" ht="13" x14ac:dyDescent="0.15">
      <c r="A134" s="10"/>
      <c r="B134" s="13"/>
      <c r="C134" s="13"/>
    </row>
    <row r="135" spans="1:3" ht="13" x14ac:dyDescent="0.15">
      <c r="A135" s="10"/>
      <c r="B135" s="13"/>
      <c r="C135" s="13"/>
    </row>
    <row r="136" spans="1:3" ht="13" x14ac:dyDescent="0.15">
      <c r="A136" s="10"/>
      <c r="B136" s="13"/>
      <c r="C136" s="13"/>
    </row>
    <row r="137" spans="1:3" ht="13" x14ac:dyDescent="0.15">
      <c r="A137" s="10"/>
      <c r="B137" s="13"/>
      <c r="C137" s="13"/>
    </row>
    <row r="138" spans="1:3" ht="13" x14ac:dyDescent="0.15">
      <c r="A138" s="10"/>
      <c r="B138" s="13"/>
      <c r="C138" s="13"/>
    </row>
    <row r="139" spans="1:3" ht="13" x14ac:dyDescent="0.15">
      <c r="A139" s="10"/>
      <c r="B139" s="13"/>
      <c r="C139" s="13"/>
    </row>
    <row r="140" spans="1:3" ht="13" x14ac:dyDescent="0.15">
      <c r="A140" s="10"/>
      <c r="B140" s="13"/>
      <c r="C140" s="13"/>
    </row>
    <row r="141" spans="1:3" ht="13" x14ac:dyDescent="0.15">
      <c r="A141" s="10"/>
      <c r="B141" s="13"/>
      <c r="C141" s="13"/>
    </row>
    <row r="142" spans="1:3" ht="13" x14ac:dyDescent="0.15">
      <c r="A142" s="10"/>
      <c r="B142" s="13"/>
      <c r="C142" s="13"/>
    </row>
    <row r="143" spans="1:3" ht="13" x14ac:dyDescent="0.15">
      <c r="A143" s="10"/>
      <c r="B143" s="13"/>
      <c r="C143" s="13"/>
    </row>
    <row r="144" spans="1:3" ht="13" x14ac:dyDescent="0.15">
      <c r="A144" s="10"/>
      <c r="B144" s="13"/>
      <c r="C144" s="13"/>
    </row>
    <row r="145" spans="1:3" ht="13" x14ac:dyDescent="0.15">
      <c r="A145" s="10"/>
      <c r="B145" s="13"/>
      <c r="C145" s="13"/>
    </row>
    <row r="146" spans="1:3" ht="13" x14ac:dyDescent="0.15">
      <c r="A146" s="10"/>
      <c r="B146" s="13"/>
      <c r="C146" s="13"/>
    </row>
    <row r="147" spans="1:3" ht="13" x14ac:dyDescent="0.15">
      <c r="A147" s="10"/>
      <c r="B147" s="13"/>
      <c r="C147" s="13"/>
    </row>
    <row r="148" spans="1:3" ht="13" x14ac:dyDescent="0.15">
      <c r="A148" s="10"/>
      <c r="B148" s="13"/>
      <c r="C148" s="13"/>
    </row>
    <row r="149" spans="1:3" ht="13" x14ac:dyDescent="0.15">
      <c r="A149" s="10"/>
      <c r="B149" s="13"/>
      <c r="C149" s="13"/>
    </row>
    <row r="150" spans="1:3" ht="13" x14ac:dyDescent="0.15">
      <c r="A150" s="10"/>
      <c r="B150" s="13"/>
      <c r="C150" s="13"/>
    </row>
    <row r="151" spans="1:3" ht="13" x14ac:dyDescent="0.15">
      <c r="A151" s="10"/>
      <c r="B151" s="13"/>
      <c r="C151" s="13"/>
    </row>
    <row r="152" spans="1:3" ht="13" x14ac:dyDescent="0.15">
      <c r="A152" s="10"/>
      <c r="B152" s="13"/>
      <c r="C152" s="13"/>
    </row>
    <row r="153" spans="1:3" ht="13" x14ac:dyDescent="0.15">
      <c r="A153" s="10"/>
      <c r="B153" s="13"/>
      <c r="C153" s="13"/>
    </row>
    <row r="154" spans="1:3" ht="13" x14ac:dyDescent="0.15">
      <c r="A154" s="10"/>
      <c r="B154" s="13"/>
      <c r="C154" s="13"/>
    </row>
    <row r="155" spans="1:3" ht="13" x14ac:dyDescent="0.15">
      <c r="A155" s="10"/>
      <c r="B155" s="13"/>
      <c r="C155" s="13"/>
    </row>
    <row r="156" spans="1:3" ht="13" x14ac:dyDescent="0.15">
      <c r="A156" s="10"/>
      <c r="B156" s="13"/>
      <c r="C156" s="13"/>
    </row>
    <row r="157" spans="1:3" ht="13" x14ac:dyDescent="0.15">
      <c r="A157" s="10"/>
      <c r="B157" s="13"/>
      <c r="C157" s="13"/>
    </row>
    <row r="158" spans="1:3" ht="13" x14ac:dyDescent="0.15">
      <c r="A158" s="10"/>
      <c r="B158" s="13"/>
      <c r="C158" s="13"/>
    </row>
    <row r="159" spans="1:3" ht="13" x14ac:dyDescent="0.15">
      <c r="A159" s="10"/>
      <c r="B159" s="13"/>
      <c r="C159" s="13"/>
    </row>
    <row r="160" spans="1:3" ht="13" x14ac:dyDescent="0.15">
      <c r="A160" s="10"/>
      <c r="B160" s="13"/>
      <c r="C160" s="13"/>
    </row>
    <row r="161" spans="1:3" ht="13" x14ac:dyDescent="0.15">
      <c r="A161" s="10"/>
      <c r="B161" s="13"/>
      <c r="C161" s="13"/>
    </row>
    <row r="162" spans="1:3" ht="13" x14ac:dyDescent="0.15">
      <c r="A162" s="10"/>
      <c r="B162" s="13"/>
      <c r="C162" s="13"/>
    </row>
    <row r="163" spans="1:3" ht="13" x14ac:dyDescent="0.15">
      <c r="A163" s="10"/>
      <c r="B163" s="13"/>
      <c r="C163" s="13"/>
    </row>
    <row r="164" spans="1:3" ht="13" x14ac:dyDescent="0.15">
      <c r="A164" s="10"/>
      <c r="B164" s="13"/>
      <c r="C164" s="13"/>
    </row>
    <row r="165" spans="1:3" ht="13" x14ac:dyDescent="0.15">
      <c r="A165" s="10"/>
      <c r="B165" s="13"/>
      <c r="C165" s="13"/>
    </row>
    <row r="166" spans="1:3" ht="13" x14ac:dyDescent="0.15">
      <c r="A166" s="10"/>
      <c r="B166" s="13"/>
      <c r="C166" s="13"/>
    </row>
    <row r="167" spans="1:3" ht="13" x14ac:dyDescent="0.15">
      <c r="A167" s="10"/>
      <c r="B167" s="13"/>
      <c r="C167" s="13"/>
    </row>
    <row r="168" spans="1:3" ht="13" x14ac:dyDescent="0.15">
      <c r="A168" s="10"/>
      <c r="B168" s="13"/>
      <c r="C168" s="13"/>
    </row>
    <row r="169" spans="1:3" ht="13" x14ac:dyDescent="0.15">
      <c r="A169" s="10"/>
      <c r="B169" s="13"/>
      <c r="C169" s="13"/>
    </row>
    <row r="170" spans="1:3" ht="13" x14ac:dyDescent="0.15">
      <c r="A170" s="10"/>
      <c r="B170" s="13"/>
      <c r="C170" s="13"/>
    </row>
    <row r="171" spans="1:3" ht="13" x14ac:dyDescent="0.15">
      <c r="A171" s="10"/>
      <c r="B171" s="13"/>
      <c r="C171" s="13"/>
    </row>
    <row r="172" spans="1:3" ht="13" x14ac:dyDescent="0.15">
      <c r="A172" s="10"/>
      <c r="B172" s="13"/>
      <c r="C172" s="13"/>
    </row>
    <row r="173" spans="1:3" ht="13" x14ac:dyDescent="0.15">
      <c r="A173" s="10"/>
      <c r="B173" s="13"/>
      <c r="C173" s="13"/>
    </row>
    <row r="174" spans="1:3" ht="13" x14ac:dyDescent="0.15">
      <c r="A174" s="10"/>
      <c r="B174" s="13"/>
      <c r="C174" s="13"/>
    </row>
    <row r="175" spans="1:3" ht="13" x14ac:dyDescent="0.15">
      <c r="A175" s="10"/>
      <c r="B175" s="13"/>
      <c r="C175" s="13"/>
    </row>
    <row r="176" spans="1:3" ht="13" x14ac:dyDescent="0.15">
      <c r="A176" s="10"/>
      <c r="B176" s="13"/>
      <c r="C176" s="13"/>
    </row>
    <row r="177" spans="1:3" ht="13" x14ac:dyDescent="0.15">
      <c r="A177" s="10"/>
      <c r="B177" s="13"/>
      <c r="C177" s="13"/>
    </row>
    <row r="178" spans="1:3" ht="13" x14ac:dyDescent="0.15">
      <c r="A178" s="10"/>
      <c r="B178" s="13"/>
      <c r="C178" s="13"/>
    </row>
    <row r="179" spans="1:3" ht="13" x14ac:dyDescent="0.15">
      <c r="A179" s="10"/>
      <c r="B179" s="13"/>
      <c r="C179" s="13"/>
    </row>
    <row r="180" spans="1:3" ht="13" x14ac:dyDescent="0.15">
      <c r="A180" s="10"/>
      <c r="B180" s="13"/>
      <c r="C180" s="13"/>
    </row>
    <row r="181" spans="1:3" ht="13" x14ac:dyDescent="0.15">
      <c r="A181" s="10"/>
      <c r="B181" s="13"/>
      <c r="C181" s="13"/>
    </row>
    <row r="182" spans="1:3" ht="13" x14ac:dyDescent="0.15">
      <c r="A182" s="10"/>
      <c r="B182" s="13"/>
      <c r="C182" s="13"/>
    </row>
    <row r="183" spans="1:3" ht="13" x14ac:dyDescent="0.15">
      <c r="A183" s="10"/>
      <c r="B183" s="13"/>
      <c r="C183" s="13"/>
    </row>
    <row r="184" spans="1:3" ht="13" x14ac:dyDescent="0.15">
      <c r="A184" s="10"/>
      <c r="B184" s="13"/>
      <c r="C184" s="13"/>
    </row>
    <row r="185" spans="1:3" ht="13" x14ac:dyDescent="0.15">
      <c r="A185" s="10"/>
      <c r="B185" s="13"/>
      <c r="C185" s="13"/>
    </row>
    <row r="186" spans="1:3" ht="13" x14ac:dyDescent="0.15">
      <c r="A186" s="10"/>
      <c r="B186" s="13"/>
      <c r="C186" s="13"/>
    </row>
    <row r="187" spans="1:3" ht="13" x14ac:dyDescent="0.15">
      <c r="A187" s="10"/>
      <c r="B187" s="13"/>
      <c r="C187" s="13"/>
    </row>
    <row r="188" spans="1:3" ht="13" x14ac:dyDescent="0.15">
      <c r="A188" s="10"/>
      <c r="B188" s="13"/>
      <c r="C188" s="13"/>
    </row>
    <row r="189" spans="1:3" ht="13" x14ac:dyDescent="0.15">
      <c r="A189" s="10"/>
      <c r="B189" s="13"/>
      <c r="C189" s="13"/>
    </row>
    <row r="190" spans="1:3" ht="13" x14ac:dyDescent="0.15">
      <c r="A190" s="10"/>
      <c r="B190" s="13"/>
      <c r="C190" s="13"/>
    </row>
    <row r="191" spans="1:3" ht="13" x14ac:dyDescent="0.15">
      <c r="A191" s="10"/>
      <c r="B191" s="13"/>
      <c r="C191" s="13"/>
    </row>
    <row r="192" spans="1:3" ht="13" x14ac:dyDescent="0.15">
      <c r="A192" s="10"/>
      <c r="B192" s="13"/>
      <c r="C192" s="13"/>
    </row>
    <row r="193" spans="1:3" ht="13" x14ac:dyDescent="0.15">
      <c r="A193" s="10"/>
      <c r="B193" s="13"/>
      <c r="C193" s="13"/>
    </row>
    <row r="194" spans="1:3" ht="13" x14ac:dyDescent="0.15">
      <c r="A194" s="10"/>
      <c r="B194" s="13"/>
      <c r="C194" s="13"/>
    </row>
    <row r="195" spans="1:3" ht="13" x14ac:dyDescent="0.15">
      <c r="A195" s="10"/>
      <c r="B195" s="13"/>
      <c r="C195" s="13"/>
    </row>
    <row r="196" spans="1:3" ht="13" x14ac:dyDescent="0.15">
      <c r="A196" s="10"/>
      <c r="B196" s="13"/>
      <c r="C196" s="13"/>
    </row>
    <row r="197" spans="1:3" ht="13" x14ac:dyDescent="0.15">
      <c r="A197" s="10"/>
      <c r="B197" s="13"/>
      <c r="C197" s="13"/>
    </row>
    <row r="198" spans="1:3" ht="13" x14ac:dyDescent="0.15">
      <c r="A198" s="10"/>
      <c r="B198" s="13"/>
      <c r="C198" s="13"/>
    </row>
    <row r="199" spans="1:3" ht="13" x14ac:dyDescent="0.15">
      <c r="A199" s="10"/>
      <c r="B199" s="13"/>
      <c r="C199" s="13"/>
    </row>
    <row r="200" spans="1:3" ht="13" x14ac:dyDescent="0.15">
      <c r="A200" s="10"/>
      <c r="B200" s="13"/>
      <c r="C200" s="13"/>
    </row>
    <row r="201" spans="1:3" ht="13" x14ac:dyDescent="0.15">
      <c r="A201" s="10"/>
      <c r="B201" s="13"/>
      <c r="C201" s="13"/>
    </row>
    <row r="202" spans="1:3" ht="13" x14ac:dyDescent="0.15">
      <c r="A202" s="10"/>
      <c r="B202" s="13"/>
      <c r="C202" s="13"/>
    </row>
    <row r="203" spans="1:3" ht="13" x14ac:dyDescent="0.15">
      <c r="A203" s="10"/>
      <c r="B203" s="13"/>
      <c r="C203" s="13"/>
    </row>
    <row r="204" spans="1:3" ht="13" x14ac:dyDescent="0.15">
      <c r="A204" s="10"/>
      <c r="B204" s="13"/>
      <c r="C204" s="13"/>
    </row>
    <row r="205" spans="1:3" ht="13" x14ac:dyDescent="0.15">
      <c r="A205" s="10"/>
      <c r="B205" s="13"/>
      <c r="C205" s="13"/>
    </row>
    <row r="206" spans="1:3" ht="13" x14ac:dyDescent="0.15">
      <c r="A206" s="10"/>
      <c r="B206" s="13"/>
      <c r="C206" s="13"/>
    </row>
    <row r="207" spans="1:3" ht="13" x14ac:dyDescent="0.15">
      <c r="A207" s="10"/>
      <c r="B207" s="13"/>
      <c r="C207" s="13"/>
    </row>
    <row r="208" spans="1:3" ht="13" x14ac:dyDescent="0.15">
      <c r="A208" s="10"/>
      <c r="B208" s="13"/>
      <c r="C208" s="13"/>
    </row>
    <row r="209" spans="1:3" ht="13" x14ac:dyDescent="0.15">
      <c r="A209" s="10"/>
      <c r="B209" s="13"/>
      <c r="C209" s="13"/>
    </row>
    <row r="210" spans="1:3" ht="13" x14ac:dyDescent="0.15">
      <c r="A210" s="10"/>
      <c r="B210" s="13"/>
      <c r="C210" s="13"/>
    </row>
    <row r="211" spans="1:3" ht="13" x14ac:dyDescent="0.15">
      <c r="A211" s="10"/>
      <c r="B211" s="13"/>
      <c r="C211" s="13"/>
    </row>
    <row r="212" spans="1:3" ht="13" x14ac:dyDescent="0.15">
      <c r="A212" s="10"/>
      <c r="B212" s="13"/>
      <c r="C212" s="13"/>
    </row>
    <row r="213" spans="1:3" ht="13" x14ac:dyDescent="0.15">
      <c r="A213" s="10"/>
      <c r="B213" s="13"/>
      <c r="C213" s="13"/>
    </row>
    <row r="214" spans="1:3" ht="13" x14ac:dyDescent="0.15">
      <c r="A214" s="10"/>
      <c r="B214" s="13"/>
      <c r="C214" s="13"/>
    </row>
    <row r="215" spans="1:3" ht="13" x14ac:dyDescent="0.15">
      <c r="A215" s="10"/>
      <c r="B215" s="13"/>
      <c r="C215" s="13"/>
    </row>
    <row r="216" spans="1:3" ht="13" x14ac:dyDescent="0.15">
      <c r="A216" s="10"/>
      <c r="B216" s="13"/>
      <c r="C216" s="13"/>
    </row>
    <row r="217" spans="1:3" ht="13" x14ac:dyDescent="0.15">
      <c r="A217" s="10"/>
      <c r="B217" s="13"/>
      <c r="C217" s="13"/>
    </row>
    <row r="218" spans="1:3" ht="13" x14ac:dyDescent="0.15">
      <c r="A218" s="10"/>
      <c r="B218" s="13"/>
      <c r="C218" s="13"/>
    </row>
    <row r="219" spans="1:3" ht="13" x14ac:dyDescent="0.15">
      <c r="A219" s="10"/>
      <c r="B219" s="13"/>
      <c r="C219" s="13"/>
    </row>
    <row r="220" spans="1:3" ht="13" x14ac:dyDescent="0.15">
      <c r="A220" s="10"/>
      <c r="B220" s="13"/>
      <c r="C220" s="13"/>
    </row>
    <row r="221" spans="1:3" ht="13" x14ac:dyDescent="0.15">
      <c r="A221" s="10"/>
      <c r="B221" s="13"/>
      <c r="C221" s="13"/>
    </row>
    <row r="222" spans="1:3" ht="13" x14ac:dyDescent="0.15">
      <c r="A222" s="10"/>
      <c r="B222" s="13"/>
      <c r="C222" s="13"/>
    </row>
    <row r="223" spans="1:3" ht="13" x14ac:dyDescent="0.15">
      <c r="A223" s="10"/>
      <c r="B223" s="13"/>
      <c r="C223" s="13"/>
    </row>
    <row r="224" spans="1:3" ht="13" x14ac:dyDescent="0.15">
      <c r="A224" s="10"/>
      <c r="B224" s="13"/>
      <c r="C224" s="13"/>
    </row>
    <row r="225" spans="1:3" ht="13" x14ac:dyDescent="0.15">
      <c r="A225" s="10"/>
      <c r="B225" s="13"/>
      <c r="C225" s="13"/>
    </row>
    <row r="226" spans="1:3" ht="13" x14ac:dyDescent="0.15">
      <c r="A226" s="10"/>
      <c r="B226" s="13"/>
      <c r="C226" s="13"/>
    </row>
    <row r="227" spans="1:3" ht="13" x14ac:dyDescent="0.15">
      <c r="A227" s="10"/>
      <c r="B227" s="13"/>
      <c r="C227" s="13"/>
    </row>
    <row r="228" spans="1:3" ht="13" x14ac:dyDescent="0.15">
      <c r="A228" s="10"/>
      <c r="B228" s="13"/>
      <c r="C228" s="13"/>
    </row>
    <row r="229" spans="1:3" ht="13" x14ac:dyDescent="0.15">
      <c r="A229" s="10"/>
      <c r="B229" s="13"/>
      <c r="C229" s="13"/>
    </row>
    <row r="230" spans="1:3" ht="13" x14ac:dyDescent="0.15">
      <c r="A230" s="10"/>
      <c r="B230" s="13"/>
      <c r="C230" s="13"/>
    </row>
    <row r="231" spans="1:3" ht="13" x14ac:dyDescent="0.15">
      <c r="A231" s="10"/>
      <c r="B231" s="13"/>
      <c r="C231" s="13"/>
    </row>
    <row r="232" spans="1:3" ht="13" x14ac:dyDescent="0.15">
      <c r="A232" s="10"/>
      <c r="B232" s="13"/>
      <c r="C232" s="13"/>
    </row>
    <row r="233" spans="1:3" ht="13" x14ac:dyDescent="0.15">
      <c r="A233" s="10"/>
      <c r="B233" s="13"/>
      <c r="C233" s="13"/>
    </row>
    <row r="234" spans="1:3" ht="13" x14ac:dyDescent="0.15">
      <c r="A234" s="10"/>
      <c r="B234" s="13"/>
      <c r="C234" s="13"/>
    </row>
    <row r="235" spans="1:3" ht="13" x14ac:dyDescent="0.15">
      <c r="A235" s="10"/>
      <c r="B235" s="13"/>
      <c r="C235" s="13"/>
    </row>
    <row r="236" spans="1:3" ht="13" x14ac:dyDescent="0.15">
      <c r="A236" s="10"/>
      <c r="B236" s="13"/>
      <c r="C236" s="13"/>
    </row>
    <row r="237" spans="1:3" ht="13" x14ac:dyDescent="0.15">
      <c r="A237" s="10"/>
      <c r="B237" s="13"/>
      <c r="C237" s="13"/>
    </row>
    <row r="238" spans="1:3" ht="13" x14ac:dyDescent="0.15">
      <c r="A238" s="10"/>
      <c r="B238" s="13"/>
      <c r="C238" s="13"/>
    </row>
    <row r="239" spans="1:3" ht="13" x14ac:dyDescent="0.15">
      <c r="A239" s="10"/>
      <c r="B239" s="13"/>
      <c r="C239" s="13"/>
    </row>
    <row r="240" spans="1:3" ht="13" x14ac:dyDescent="0.15">
      <c r="A240" s="10"/>
      <c r="B240" s="13"/>
      <c r="C240" s="13"/>
    </row>
    <row r="241" spans="1:3" ht="13" x14ac:dyDescent="0.15">
      <c r="A241" s="10"/>
      <c r="B241" s="13"/>
      <c r="C241" s="13"/>
    </row>
    <row r="242" spans="1:3" ht="13" x14ac:dyDescent="0.15">
      <c r="A242" s="10"/>
      <c r="B242" s="13"/>
      <c r="C242" s="13"/>
    </row>
    <row r="243" spans="1:3" ht="13" x14ac:dyDescent="0.15">
      <c r="A243" s="10"/>
      <c r="B243" s="13"/>
      <c r="C243" s="13"/>
    </row>
    <row r="244" spans="1:3" ht="13" x14ac:dyDescent="0.15">
      <c r="A244" s="10"/>
      <c r="B244" s="13"/>
      <c r="C244" s="13"/>
    </row>
    <row r="245" spans="1:3" ht="13" x14ac:dyDescent="0.15">
      <c r="A245" s="10"/>
      <c r="B245" s="13"/>
      <c r="C245" s="13"/>
    </row>
    <row r="246" spans="1:3" ht="13" x14ac:dyDescent="0.15">
      <c r="A246" s="10"/>
      <c r="B246" s="13"/>
      <c r="C246" s="13"/>
    </row>
    <row r="247" spans="1:3" ht="13" x14ac:dyDescent="0.15">
      <c r="A247" s="10"/>
      <c r="B247" s="13"/>
      <c r="C247" s="13"/>
    </row>
    <row r="248" spans="1:3" ht="13" x14ac:dyDescent="0.15">
      <c r="A248" s="10"/>
      <c r="B248" s="13"/>
      <c r="C248" s="13"/>
    </row>
    <row r="249" spans="1:3" ht="13" x14ac:dyDescent="0.15">
      <c r="A249" s="10"/>
      <c r="B249" s="13"/>
      <c r="C249" s="13"/>
    </row>
    <row r="250" spans="1:3" ht="13" x14ac:dyDescent="0.15">
      <c r="A250" s="10"/>
      <c r="B250" s="13"/>
      <c r="C250" s="13"/>
    </row>
    <row r="251" spans="1:3" ht="13" x14ac:dyDescent="0.15">
      <c r="A251" s="10"/>
      <c r="B251" s="13"/>
      <c r="C251" s="13"/>
    </row>
    <row r="252" spans="1:3" ht="13" x14ac:dyDescent="0.15">
      <c r="A252" s="10"/>
      <c r="B252" s="13"/>
      <c r="C252" s="13"/>
    </row>
    <row r="253" spans="1:3" ht="13" x14ac:dyDescent="0.15">
      <c r="A253" s="10"/>
      <c r="B253" s="13"/>
      <c r="C253" s="13"/>
    </row>
    <row r="254" spans="1:3" ht="13" x14ac:dyDescent="0.15">
      <c r="A254" s="10"/>
      <c r="B254" s="13"/>
      <c r="C254" s="13"/>
    </row>
    <row r="255" spans="1:3" ht="13" x14ac:dyDescent="0.15">
      <c r="A255" s="10"/>
      <c r="B255" s="13"/>
      <c r="C255" s="13"/>
    </row>
    <row r="256" spans="1:3" ht="13" x14ac:dyDescent="0.15">
      <c r="A256" s="10"/>
      <c r="B256" s="13"/>
      <c r="C256" s="13"/>
    </row>
    <row r="257" spans="1:3" ht="13" x14ac:dyDescent="0.15">
      <c r="A257" s="10"/>
      <c r="B257" s="13"/>
      <c r="C257" s="13"/>
    </row>
    <row r="258" spans="1:3" ht="13" x14ac:dyDescent="0.15">
      <c r="A258" s="10"/>
      <c r="B258" s="13"/>
      <c r="C258" s="13"/>
    </row>
    <row r="259" spans="1:3" ht="13" x14ac:dyDescent="0.15">
      <c r="A259" s="10"/>
      <c r="B259" s="13"/>
      <c r="C259" s="13"/>
    </row>
    <row r="260" spans="1:3" ht="13" x14ac:dyDescent="0.15">
      <c r="A260" s="10"/>
      <c r="B260" s="13"/>
      <c r="C260" s="13"/>
    </row>
    <row r="261" spans="1:3" ht="13" x14ac:dyDescent="0.15">
      <c r="A261" s="10"/>
      <c r="B261" s="13"/>
      <c r="C261" s="13"/>
    </row>
    <row r="262" spans="1:3" ht="13" x14ac:dyDescent="0.15">
      <c r="A262" s="10"/>
      <c r="B262" s="13"/>
      <c r="C262" s="13"/>
    </row>
    <row r="263" spans="1:3" ht="13" x14ac:dyDescent="0.15">
      <c r="A263" s="10"/>
      <c r="B263" s="13"/>
      <c r="C263" s="13"/>
    </row>
    <row r="264" spans="1:3" ht="13" x14ac:dyDescent="0.15">
      <c r="A264" s="10"/>
      <c r="B264" s="13"/>
      <c r="C264" s="13"/>
    </row>
    <row r="265" spans="1:3" ht="13" x14ac:dyDescent="0.15">
      <c r="A265" s="10"/>
      <c r="B265" s="13"/>
      <c r="C265" s="13"/>
    </row>
    <row r="266" spans="1:3" ht="13" x14ac:dyDescent="0.15">
      <c r="A266" s="10"/>
      <c r="B266" s="13"/>
      <c r="C266" s="13"/>
    </row>
    <row r="267" spans="1:3" ht="13" x14ac:dyDescent="0.15">
      <c r="A267" s="10"/>
      <c r="B267" s="13"/>
      <c r="C267" s="13"/>
    </row>
    <row r="268" spans="1:3" ht="13" x14ac:dyDescent="0.15">
      <c r="A268" s="10"/>
      <c r="B268" s="13"/>
      <c r="C268" s="13"/>
    </row>
    <row r="269" spans="1:3" ht="13" x14ac:dyDescent="0.15">
      <c r="A269" s="10"/>
      <c r="B269" s="13"/>
      <c r="C269" s="13"/>
    </row>
    <row r="270" spans="1:3" ht="13" x14ac:dyDescent="0.15">
      <c r="A270" s="10"/>
      <c r="B270" s="13"/>
      <c r="C270" s="13"/>
    </row>
    <row r="271" spans="1:3" ht="13" x14ac:dyDescent="0.15">
      <c r="A271" s="10"/>
      <c r="B271" s="13"/>
      <c r="C271" s="13"/>
    </row>
    <row r="272" spans="1:3" ht="13" x14ac:dyDescent="0.15">
      <c r="A272" s="10"/>
      <c r="B272" s="13"/>
      <c r="C272" s="13"/>
    </row>
    <row r="273" spans="1:3" ht="13" x14ac:dyDescent="0.15">
      <c r="A273" s="10"/>
      <c r="B273" s="13"/>
      <c r="C273" s="13"/>
    </row>
    <row r="274" spans="1:3" ht="13" x14ac:dyDescent="0.15">
      <c r="A274" s="10"/>
      <c r="B274" s="13"/>
      <c r="C274" s="13"/>
    </row>
    <row r="275" spans="1:3" ht="13" x14ac:dyDescent="0.15">
      <c r="A275" s="10"/>
      <c r="B275" s="13"/>
      <c r="C275" s="13"/>
    </row>
    <row r="276" spans="1:3" ht="13" x14ac:dyDescent="0.15">
      <c r="A276" s="10"/>
      <c r="B276" s="13"/>
      <c r="C276" s="13"/>
    </row>
    <row r="277" spans="1:3" ht="13" x14ac:dyDescent="0.15">
      <c r="A277" s="10"/>
      <c r="B277" s="13"/>
      <c r="C277" s="13"/>
    </row>
    <row r="278" spans="1:3" ht="13" x14ac:dyDescent="0.15">
      <c r="A278" s="10"/>
      <c r="B278" s="13"/>
      <c r="C278" s="13"/>
    </row>
    <row r="279" spans="1:3" ht="13" x14ac:dyDescent="0.15">
      <c r="A279" s="10"/>
      <c r="B279" s="13"/>
      <c r="C279" s="13"/>
    </row>
    <row r="280" spans="1:3" ht="13" x14ac:dyDescent="0.15">
      <c r="A280" s="10"/>
      <c r="B280" s="13"/>
      <c r="C280" s="13"/>
    </row>
    <row r="281" spans="1:3" ht="13" x14ac:dyDescent="0.15">
      <c r="A281" s="10"/>
      <c r="B281" s="13"/>
      <c r="C281" s="13"/>
    </row>
    <row r="282" spans="1:3" ht="13" x14ac:dyDescent="0.15">
      <c r="A282" s="10"/>
      <c r="B282" s="13"/>
      <c r="C282" s="13"/>
    </row>
    <row r="283" spans="1:3" ht="13" x14ac:dyDescent="0.15">
      <c r="A283" s="10"/>
      <c r="B283" s="13"/>
      <c r="C283" s="13"/>
    </row>
    <row r="284" spans="1:3" ht="13" x14ac:dyDescent="0.15">
      <c r="A284" s="10"/>
      <c r="B284" s="13"/>
      <c r="C284" s="13"/>
    </row>
    <row r="285" spans="1:3" ht="13" x14ac:dyDescent="0.15">
      <c r="A285" s="10"/>
      <c r="B285" s="13"/>
      <c r="C285" s="13"/>
    </row>
    <row r="286" spans="1:3" ht="13" x14ac:dyDescent="0.15">
      <c r="A286" s="10"/>
      <c r="B286" s="13"/>
      <c r="C286" s="13"/>
    </row>
    <row r="287" spans="1:3" ht="13" x14ac:dyDescent="0.15">
      <c r="A287" s="10"/>
      <c r="B287" s="13"/>
      <c r="C287" s="13"/>
    </row>
    <row r="288" spans="1:3" ht="13" x14ac:dyDescent="0.15">
      <c r="A288" s="10"/>
      <c r="B288" s="13"/>
      <c r="C288" s="13"/>
    </row>
    <row r="289" spans="1:3" ht="13" x14ac:dyDescent="0.15">
      <c r="A289" s="10"/>
      <c r="B289" s="13"/>
      <c r="C289" s="13"/>
    </row>
    <row r="290" spans="1:3" ht="13" x14ac:dyDescent="0.15">
      <c r="A290" s="10"/>
      <c r="B290" s="13"/>
      <c r="C290" s="13"/>
    </row>
    <row r="291" spans="1:3" ht="13" x14ac:dyDescent="0.15">
      <c r="A291" s="10"/>
      <c r="B291" s="13"/>
      <c r="C291" s="13"/>
    </row>
    <row r="292" spans="1:3" ht="13" x14ac:dyDescent="0.15">
      <c r="A292" s="10"/>
      <c r="B292" s="13"/>
      <c r="C292" s="13"/>
    </row>
    <row r="293" spans="1:3" ht="13" x14ac:dyDescent="0.15">
      <c r="A293" s="10"/>
      <c r="B293" s="13"/>
      <c r="C293" s="13"/>
    </row>
    <row r="294" spans="1:3" ht="13" x14ac:dyDescent="0.15">
      <c r="A294" s="10"/>
      <c r="B294" s="13"/>
      <c r="C294" s="13"/>
    </row>
    <row r="295" spans="1:3" ht="13" x14ac:dyDescent="0.15">
      <c r="A295" s="10"/>
      <c r="B295" s="13"/>
      <c r="C295" s="13"/>
    </row>
    <row r="296" spans="1:3" ht="13" x14ac:dyDescent="0.15">
      <c r="A296" s="10"/>
      <c r="B296" s="13"/>
      <c r="C296" s="13"/>
    </row>
    <row r="297" spans="1:3" ht="13" x14ac:dyDescent="0.15">
      <c r="A297" s="10"/>
      <c r="B297" s="13"/>
      <c r="C297" s="13"/>
    </row>
    <row r="298" spans="1:3" ht="13" x14ac:dyDescent="0.15">
      <c r="A298" s="10"/>
      <c r="B298" s="13"/>
      <c r="C298" s="13"/>
    </row>
    <row r="299" spans="1:3" ht="13" x14ac:dyDescent="0.15">
      <c r="A299" s="10"/>
      <c r="B299" s="13"/>
      <c r="C299" s="13"/>
    </row>
    <row r="300" spans="1:3" ht="13" x14ac:dyDescent="0.15">
      <c r="A300" s="10"/>
      <c r="B300" s="13"/>
      <c r="C300" s="13"/>
    </row>
    <row r="301" spans="1:3" ht="13" x14ac:dyDescent="0.15">
      <c r="A301" s="10"/>
      <c r="B301" s="13"/>
      <c r="C301" s="13"/>
    </row>
    <row r="302" spans="1:3" ht="13" x14ac:dyDescent="0.15">
      <c r="A302" s="10"/>
      <c r="B302" s="13"/>
      <c r="C302" s="13"/>
    </row>
    <row r="303" spans="1:3" ht="13" x14ac:dyDescent="0.15">
      <c r="A303" s="10"/>
      <c r="B303" s="13"/>
      <c r="C303" s="13"/>
    </row>
    <row r="304" spans="1:3" ht="13" x14ac:dyDescent="0.15">
      <c r="A304" s="10"/>
      <c r="B304" s="13"/>
      <c r="C304" s="13"/>
    </row>
    <row r="305" spans="1:3" ht="13" x14ac:dyDescent="0.15">
      <c r="A305" s="10"/>
      <c r="B305" s="13"/>
      <c r="C305" s="13"/>
    </row>
    <row r="306" spans="1:3" ht="13" x14ac:dyDescent="0.15">
      <c r="A306" s="10"/>
      <c r="B306" s="13"/>
      <c r="C306" s="13"/>
    </row>
    <row r="307" spans="1:3" ht="13" x14ac:dyDescent="0.15">
      <c r="A307" s="10"/>
      <c r="B307" s="13"/>
      <c r="C307" s="13"/>
    </row>
    <row r="308" spans="1:3" ht="13" x14ac:dyDescent="0.15">
      <c r="A308" s="10"/>
      <c r="B308" s="13"/>
      <c r="C308" s="13"/>
    </row>
    <row r="309" spans="1:3" ht="13" x14ac:dyDescent="0.15">
      <c r="A309" s="10"/>
      <c r="B309" s="13"/>
      <c r="C309" s="13"/>
    </row>
    <row r="310" spans="1:3" ht="13" x14ac:dyDescent="0.15">
      <c r="A310" s="10"/>
      <c r="B310" s="13"/>
      <c r="C310" s="13"/>
    </row>
    <row r="311" spans="1:3" ht="13" x14ac:dyDescent="0.15">
      <c r="A311" s="10"/>
      <c r="B311" s="13"/>
      <c r="C311" s="13"/>
    </row>
    <row r="312" spans="1:3" ht="13" x14ac:dyDescent="0.15">
      <c r="A312" s="10"/>
      <c r="B312" s="13"/>
      <c r="C312" s="13"/>
    </row>
    <row r="313" spans="1:3" ht="13" x14ac:dyDescent="0.15">
      <c r="A313" s="10"/>
      <c r="B313" s="13"/>
      <c r="C313" s="13"/>
    </row>
    <row r="314" spans="1:3" ht="13" x14ac:dyDescent="0.15">
      <c r="A314" s="10"/>
      <c r="B314" s="13"/>
      <c r="C314" s="13"/>
    </row>
    <row r="315" spans="1:3" ht="13" x14ac:dyDescent="0.15">
      <c r="A315" s="10"/>
      <c r="B315" s="13"/>
      <c r="C315" s="13"/>
    </row>
    <row r="316" spans="1:3" ht="13" x14ac:dyDescent="0.15">
      <c r="A316" s="10"/>
      <c r="B316" s="13"/>
      <c r="C316" s="13"/>
    </row>
    <row r="317" spans="1:3" ht="13" x14ac:dyDescent="0.15">
      <c r="A317" s="10"/>
      <c r="B317" s="13"/>
      <c r="C317" s="13"/>
    </row>
    <row r="318" spans="1:3" ht="13" x14ac:dyDescent="0.15">
      <c r="A318" s="10"/>
      <c r="B318" s="13"/>
      <c r="C318" s="13"/>
    </row>
    <row r="319" spans="1:3" ht="13" x14ac:dyDescent="0.15">
      <c r="A319" s="10"/>
      <c r="B319" s="13"/>
      <c r="C319" s="13"/>
    </row>
    <row r="320" spans="1:3" ht="13" x14ac:dyDescent="0.15">
      <c r="A320" s="10"/>
      <c r="B320" s="13"/>
      <c r="C320" s="13"/>
    </row>
    <row r="321" spans="1:3" ht="13" x14ac:dyDescent="0.15">
      <c r="A321" s="10"/>
      <c r="B321" s="13"/>
      <c r="C321" s="13"/>
    </row>
    <row r="322" spans="1:3" ht="13" x14ac:dyDescent="0.15">
      <c r="A322" s="10"/>
      <c r="B322" s="13"/>
      <c r="C322" s="13"/>
    </row>
    <row r="323" spans="1:3" ht="13" x14ac:dyDescent="0.15">
      <c r="A323" s="10"/>
      <c r="B323" s="13"/>
      <c r="C323" s="13"/>
    </row>
    <row r="324" spans="1:3" ht="13" x14ac:dyDescent="0.15">
      <c r="A324" s="10"/>
      <c r="B324" s="13"/>
      <c r="C324" s="13"/>
    </row>
    <row r="325" spans="1:3" ht="13" x14ac:dyDescent="0.15">
      <c r="A325" s="10"/>
      <c r="B325" s="13"/>
      <c r="C325" s="13"/>
    </row>
    <row r="326" spans="1:3" ht="13" x14ac:dyDescent="0.15">
      <c r="A326" s="10"/>
      <c r="B326" s="13"/>
      <c r="C326" s="13"/>
    </row>
    <row r="327" spans="1:3" ht="13" x14ac:dyDescent="0.15">
      <c r="A327" s="10"/>
      <c r="B327" s="13"/>
      <c r="C327" s="13"/>
    </row>
    <row r="328" spans="1:3" ht="13" x14ac:dyDescent="0.15">
      <c r="A328" s="10"/>
      <c r="B328" s="13"/>
      <c r="C328" s="13"/>
    </row>
    <row r="329" spans="1:3" ht="13" x14ac:dyDescent="0.15">
      <c r="A329" s="10"/>
      <c r="B329" s="13"/>
      <c r="C329" s="13"/>
    </row>
    <row r="330" spans="1:3" ht="13" x14ac:dyDescent="0.15">
      <c r="A330" s="10"/>
      <c r="B330" s="13"/>
      <c r="C330" s="13"/>
    </row>
    <row r="331" spans="1:3" ht="13" x14ac:dyDescent="0.15">
      <c r="A331" s="10"/>
      <c r="B331" s="13"/>
      <c r="C331" s="13"/>
    </row>
    <row r="332" spans="1:3" ht="13" x14ac:dyDescent="0.15">
      <c r="A332" s="10"/>
      <c r="B332" s="13"/>
      <c r="C332" s="13"/>
    </row>
    <row r="333" spans="1:3" ht="13" x14ac:dyDescent="0.15">
      <c r="A333" s="10"/>
      <c r="B333" s="13"/>
      <c r="C333" s="13"/>
    </row>
    <row r="334" spans="1:3" ht="13" x14ac:dyDescent="0.15">
      <c r="A334" s="10"/>
      <c r="B334" s="13"/>
      <c r="C334" s="13"/>
    </row>
    <row r="335" spans="1:3" ht="13" x14ac:dyDescent="0.15">
      <c r="A335" s="10"/>
      <c r="B335" s="13"/>
      <c r="C335" s="13"/>
    </row>
    <row r="336" spans="1:3" ht="13" x14ac:dyDescent="0.15">
      <c r="A336" s="10"/>
      <c r="B336" s="13"/>
      <c r="C336" s="13"/>
    </row>
    <row r="337" spans="1:3" ht="13" x14ac:dyDescent="0.15">
      <c r="A337" s="10"/>
      <c r="B337" s="13"/>
      <c r="C337" s="13"/>
    </row>
    <row r="338" spans="1:3" ht="13" x14ac:dyDescent="0.15">
      <c r="A338" s="10"/>
      <c r="B338" s="13"/>
      <c r="C338" s="13"/>
    </row>
    <row r="339" spans="1:3" ht="13" x14ac:dyDescent="0.15">
      <c r="A339" s="10"/>
      <c r="B339" s="13"/>
      <c r="C339" s="13"/>
    </row>
    <row r="340" spans="1:3" ht="13" x14ac:dyDescent="0.15">
      <c r="A340" s="10"/>
      <c r="B340" s="13"/>
      <c r="C340" s="13"/>
    </row>
    <row r="341" spans="1:3" ht="13" x14ac:dyDescent="0.15">
      <c r="A341" s="10"/>
      <c r="B341" s="13"/>
      <c r="C341" s="13"/>
    </row>
    <row r="342" spans="1:3" ht="13" x14ac:dyDescent="0.15">
      <c r="A342" s="10"/>
      <c r="B342" s="13"/>
      <c r="C342" s="13"/>
    </row>
    <row r="343" spans="1:3" ht="13" x14ac:dyDescent="0.15">
      <c r="A343" s="10"/>
      <c r="B343" s="13"/>
      <c r="C343" s="13"/>
    </row>
    <row r="344" spans="1:3" ht="13" x14ac:dyDescent="0.15">
      <c r="A344" s="10"/>
      <c r="B344" s="13"/>
      <c r="C344" s="13"/>
    </row>
    <row r="345" spans="1:3" ht="13" x14ac:dyDescent="0.15">
      <c r="A345" s="10"/>
      <c r="B345" s="13"/>
      <c r="C345" s="13"/>
    </row>
    <row r="346" spans="1:3" ht="13" x14ac:dyDescent="0.15">
      <c r="A346" s="10"/>
      <c r="B346" s="13"/>
      <c r="C346" s="13"/>
    </row>
    <row r="347" spans="1:3" ht="13" x14ac:dyDescent="0.15">
      <c r="A347" s="10"/>
      <c r="B347" s="13"/>
      <c r="C347" s="13"/>
    </row>
    <row r="348" spans="1:3" ht="13" x14ac:dyDescent="0.15">
      <c r="A348" s="10"/>
      <c r="B348" s="13"/>
      <c r="C348" s="13"/>
    </row>
    <row r="349" spans="1:3" ht="13" x14ac:dyDescent="0.15">
      <c r="A349" s="10"/>
      <c r="B349" s="13"/>
      <c r="C349" s="13"/>
    </row>
    <row r="350" spans="1:3" ht="13" x14ac:dyDescent="0.15">
      <c r="A350" s="10"/>
      <c r="B350" s="13"/>
      <c r="C350" s="13"/>
    </row>
    <row r="351" spans="1:3" ht="13" x14ac:dyDescent="0.15">
      <c r="A351" s="10"/>
      <c r="B351" s="13"/>
      <c r="C351" s="13"/>
    </row>
    <row r="352" spans="1:3" ht="13" x14ac:dyDescent="0.15">
      <c r="A352" s="10"/>
      <c r="B352" s="13"/>
      <c r="C352" s="13"/>
    </row>
    <row r="353" spans="1:3" ht="13" x14ac:dyDescent="0.15">
      <c r="A353" s="10"/>
      <c r="B353" s="13"/>
      <c r="C353" s="13"/>
    </row>
    <row r="354" spans="1:3" ht="13" x14ac:dyDescent="0.15">
      <c r="A354" s="10"/>
      <c r="B354" s="13"/>
      <c r="C354" s="13"/>
    </row>
    <row r="355" spans="1:3" ht="13" x14ac:dyDescent="0.15">
      <c r="A355" s="10"/>
      <c r="B355" s="13"/>
      <c r="C355" s="13"/>
    </row>
    <row r="356" spans="1:3" ht="13" x14ac:dyDescent="0.15">
      <c r="A356" s="10"/>
      <c r="B356" s="13"/>
      <c r="C356" s="13"/>
    </row>
    <row r="357" spans="1:3" ht="13" x14ac:dyDescent="0.15">
      <c r="A357" s="10"/>
      <c r="B357" s="13"/>
      <c r="C357" s="13"/>
    </row>
    <row r="358" spans="1:3" ht="13" x14ac:dyDescent="0.15">
      <c r="A358" s="10"/>
      <c r="B358" s="13"/>
      <c r="C358" s="13"/>
    </row>
    <row r="359" spans="1:3" ht="13" x14ac:dyDescent="0.15">
      <c r="A359" s="10"/>
      <c r="B359" s="13"/>
      <c r="C359" s="13"/>
    </row>
    <row r="360" spans="1:3" ht="13" x14ac:dyDescent="0.15">
      <c r="A360" s="10"/>
      <c r="B360" s="13"/>
      <c r="C360" s="13"/>
    </row>
    <row r="361" spans="1:3" ht="13" x14ac:dyDescent="0.15">
      <c r="A361" s="10"/>
      <c r="B361" s="13"/>
      <c r="C361" s="13"/>
    </row>
    <row r="362" spans="1:3" ht="13" x14ac:dyDescent="0.15">
      <c r="A362" s="10"/>
      <c r="B362" s="13"/>
      <c r="C362" s="13"/>
    </row>
    <row r="363" spans="1:3" ht="13" x14ac:dyDescent="0.15">
      <c r="A363" s="10"/>
      <c r="B363" s="13"/>
      <c r="C363" s="13"/>
    </row>
    <row r="364" spans="1:3" ht="13" x14ac:dyDescent="0.15">
      <c r="A364" s="10"/>
      <c r="B364" s="13"/>
      <c r="C364" s="13"/>
    </row>
    <row r="365" spans="1:3" ht="13" x14ac:dyDescent="0.15">
      <c r="A365" s="10"/>
      <c r="B365" s="13"/>
      <c r="C365" s="13"/>
    </row>
    <row r="366" spans="1:3" ht="13" x14ac:dyDescent="0.15">
      <c r="A366" s="10"/>
      <c r="B366" s="13"/>
      <c r="C366" s="13"/>
    </row>
    <row r="367" spans="1:3" ht="13" x14ac:dyDescent="0.15">
      <c r="A367" s="10"/>
      <c r="B367" s="13"/>
      <c r="C367" s="13"/>
    </row>
    <row r="368" spans="1:3" ht="13" x14ac:dyDescent="0.15">
      <c r="A368" s="10"/>
      <c r="B368" s="13"/>
      <c r="C368" s="13"/>
    </row>
    <row r="369" spans="1:3" ht="13" x14ac:dyDescent="0.15">
      <c r="A369" s="10"/>
      <c r="B369" s="13"/>
      <c r="C369" s="13"/>
    </row>
    <row r="370" spans="1:3" ht="13" x14ac:dyDescent="0.15">
      <c r="A370" s="10"/>
      <c r="B370" s="13"/>
      <c r="C370" s="13"/>
    </row>
    <row r="371" spans="1:3" ht="13" x14ac:dyDescent="0.15">
      <c r="A371" s="10"/>
      <c r="B371" s="13"/>
      <c r="C371" s="13"/>
    </row>
    <row r="372" spans="1:3" ht="13" x14ac:dyDescent="0.15">
      <c r="A372" s="10"/>
      <c r="B372" s="13"/>
      <c r="C372" s="13"/>
    </row>
    <row r="373" spans="1:3" ht="13" x14ac:dyDescent="0.15">
      <c r="A373" s="10"/>
      <c r="B373" s="13"/>
      <c r="C373" s="13"/>
    </row>
    <row r="374" spans="1:3" ht="13" x14ac:dyDescent="0.15">
      <c r="A374" s="10"/>
      <c r="B374" s="13"/>
      <c r="C374" s="13"/>
    </row>
    <row r="375" spans="1:3" ht="13" x14ac:dyDescent="0.15">
      <c r="A375" s="10"/>
      <c r="B375" s="13"/>
      <c r="C375" s="13"/>
    </row>
    <row r="376" spans="1:3" ht="13" x14ac:dyDescent="0.15">
      <c r="A376" s="10"/>
      <c r="B376" s="13"/>
      <c r="C376" s="13"/>
    </row>
    <row r="377" spans="1:3" ht="13" x14ac:dyDescent="0.15">
      <c r="A377" s="10"/>
      <c r="B377" s="13"/>
      <c r="C377" s="13"/>
    </row>
    <row r="378" spans="1:3" ht="13" x14ac:dyDescent="0.15">
      <c r="A378" s="10"/>
      <c r="B378" s="13"/>
      <c r="C378" s="13"/>
    </row>
    <row r="379" spans="1:3" ht="13" x14ac:dyDescent="0.15">
      <c r="A379" s="10"/>
      <c r="B379" s="13"/>
      <c r="C379" s="13"/>
    </row>
    <row r="380" spans="1:3" ht="13" x14ac:dyDescent="0.15">
      <c r="A380" s="10"/>
      <c r="B380" s="13"/>
      <c r="C380" s="13"/>
    </row>
    <row r="381" spans="1:3" ht="13" x14ac:dyDescent="0.15">
      <c r="A381" s="10"/>
      <c r="B381" s="13"/>
      <c r="C381" s="13"/>
    </row>
    <row r="382" spans="1:3" ht="13" x14ac:dyDescent="0.15">
      <c r="A382" s="10"/>
      <c r="B382" s="13"/>
      <c r="C382" s="13"/>
    </row>
    <row r="383" spans="1:3" ht="13" x14ac:dyDescent="0.15">
      <c r="A383" s="10"/>
      <c r="B383" s="13"/>
      <c r="C383" s="13"/>
    </row>
    <row r="384" spans="1:3" ht="13" x14ac:dyDescent="0.15">
      <c r="A384" s="10"/>
      <c r="B384" s="13"/>
      <c r="C384" s="13"/>
    </row>
    <row r="385" spans="1:3" ht="13" x14ac:dyDescent="0.15">
      <c r="A385" s="10"/>
      <c r="B385" s="13"/>
      <c r="C385" s="13"/>
    </row>
    <row r="386" spans="1:3" ht="13" x14ac:dyDescent="0.15">
      <c r="A386" s="10"/>
      <c r="B386" s="13"/>
      <c r="C386" s="13"/>
    </row>
    <row r="387" spans="1:3" ht="13" x14ac:dyDescent="0.15">
      <c r="A387" s="10"/>
      <c r="B387" s="13"/>
      <c r="C387" s="13"/>
    </row>
    <row r="388" spans="1:3" ht="13" x14ac:dyDescent="0.15">
      <c r="A388" s="10"/>
      <c r="B388" s="13"/>
      <c r="C388" s="13"/>
    </row>
    <row r="389" spans="1:3" ht="13" x14ac:dyDescent="0.15">
      <c r="A389" s="10"/>
      <c r="B389" s="13"/>
      <c r="C389" s="13"/>
    </row>
    <row r="390" spans="1:3" ht="13" x14ac:dyDescent="0.15">
      <c r="A390" s="10"/>
      <c r="B390" s="13"/>
      <c r="C390" s="13"/>
    </row>
    <row r="391" spans="1:3" ht="13" x14ac:dyDescent="0.15">
      <c r="A391" s="10"/>
      <c r="B391" s="13"/>
      <c r="C391" s="13"/>
    </row>
    <row r="392" spans="1:3" ht="13" x14ac:dyDescent="0.15">
      <c r="A392" s="10"/>
      <c r="B392" s="13"/>
      <c r="C392" s="13"/>
    </row>
    <row r="393" spans="1:3" ht="13" x14ac:dyDescent="0.15">
      <c r="A393" s="10"/>
      <c r="B393" s="13"/>
      <c r="C393" s="13"/>
    </row>
    <row r="394" spans="1:3" ht="13" x14ac:dyDescent="0.15">
      <c r="A394" s="10"/>
      <c r="B394" s="13"/>
      <c r="C394" s="13"/>
    </row>
    <row r="395" spans="1:3" ht="13" x14ac:dyDescent="0.15">
      <c r="A395" s="10"/>
      <c r="B395" s="13"/>
      <c r="C395" s="13"/>
    </row>
    <row r="396" spans="1:3" ht="13" x14ac:dyDescent="0.15">
      <c r="A396" s="10"/>
      <c r="B396" s="13"/>
      <c r="C396" s="13"/>
    </row>
    <row r="397" spans="1:3" ht="13" x14ac:dyDescent="0.15">
      <c r="A397" s="10"/>
      <c r="B397" s="13"/>
      <c r="C397" s="13"/>
    </row>
    <row r="398" spans="1:3" ht="13" x14ac:dyDescent="0.15">
      <c r="A398" s="10"/>
      <c r="B398" s="13"/>
      <c r="C398" s="13"/>
    </row>
    <row r="399" spans="1:3" ht="13" x14ac:dyDescent="0.15">
      <c r="A399" s="10"/>
      <c r="B399" s="13"/>
      <c r="C399" s="13"/>
    </row>
    <row r="400" spans="1:3" ht="13" x14ac:dyDescent="0.15">
      <c r="A400" s="10"/>
      <c r="B400" s="13"/>
      <c r="C400" s="13"/>
    </row>
    <row r="401" spans="1:3" ht="13" x14ac:dyDescent="0.15">
      <c r="A401" s="10"/>
      <c r="B401" s="13"/>
      <c r="C401" s="13"/>
    </row>
    <row r="402" spans="1:3" ht="13" x14ac:dyDescent="0.15">
      <c r="A402" s="10"/>
      <c r="B402" s="13"/>
      <c r="C402" s="13"/>
    </row>
    <row r="403" spans="1:3" ht="13" x14ac:dyDescent="0.15">
      <c r="A403" s="10"/>
      <c r="B403" s="13"/>
      <c r="C403" s="13"/>
    </row>
    <row r="404" spans="1:3" ht="13" x14ac:dyDescent="0.15">
      <c r="A404" s="10"/>
      <c r="B404" s="13"/>
      <c r="C404" s="13"/>
    </row>
    <row r="405" spans="1:3" ht="13" x14ac:dyDescent="0.15">
      <c r="A405" s="10"/>
      <c r="B405" s="13"/>
      <c r="C405" s="13"/>
    </row>
    <row r="406" spans="1:3" ht="13" x14ac:dyDescent="0.15">
      <c r="A406" s="10"/>
      <c r="B406" s="13"/>
      <c r="C406" s="13"/>
    </row>
    <row r="407" spans="1:3" ht="13" x14ac:dyDescent="0.15">
      <c r="A407" s="10"/>
      <c r="B407" s="13"/>
      <c r="C407" s="13"/>
    </row>
    <row r="408" spans="1:3" ht="13" x14ac:dyDescent="0.15">
      <c r="A408" s="10"/>
      <c r="B408" s="13"/>
      <c r="C408" s="13"/>
    </row>
    <row r="409" spans="1:3" ht="13" x14ac:dyDescent="0.15">
      <c r="A409" s="10"/>
      <c r="B409" s="13"/>
      <c r="C409" s="13"/>
    </row>
    <row r="410" spans="1:3" ht="13" x14ac:dyDescent="0.15">
      <c r="A410" s="10"/>
      <c r="B410" s="13"/>
      <c r="C410" s="13"/>
    </row>
    <row r="411" spans="1:3" ht="13" x14ac:dyDescent="0.15">
      <c r="A411" s="10"/>
      <c r="B411" s="13"/>
      <c r="C411" s="13"/>
    </row>
    <row r="412" spans="1:3" ht="13" x14ac:dyDescent="0.15">
      <c r="A412" s="10"/>
      <c r="B412" s="13"/>
      <c r="C412" s="13"/>
    </row>
    <row r="413" spans="1:3" ht="13" x14ac:dyDescent="0.15">
      <c r="A413" s="10"/>
      <c r="B413" s="13"/>
      <c r="C413" s="13"/>
    </row>
    <row r="414" spans="1:3" ht="13" x14ac:dyDescent="0.15">
      <c r="A414" s="10"/>
      <c r="B414" s="13"/>
      <c r="C414" s="13"/>
    </row>
    <row r="415" spans="1:3" ht="13" x14ac:dyDescent="0.15">
      <c r="A415" s="10"/>
      <c r="B415" s="13"/>
      <c r="C415" s="13"/>
    </row>
    <row r="416" spans="1:3" ht="13" x14ac:dyDescent="0.15">
      <c r="A416" s="10"/>
      <c r="B416" s="13"/>
      <c r="C416" s="13"/>
    </row>
    <row r="417" spans="1:3" ht="13" x14ac:dyDescent="0.15">
      <c r="A417" s="10"/>
      <c r="B417" s="13"/>
      <c r="C417" s="13"/>
    </row>
    <row r="418" spans="1:3" ht="13" x14ac:dyDescent="0.15">
      <c r="A418" s="10"/>
      <c r="B418" s="13"/>
      <c r="C418" s="13"/>
    </row>
    <row r="419" spans="1:3" ht="13" x14ac:dyDescent="0.15">
      <c r="A419" s="10"/>
      <c r="B419" s="13"/>
      <c r="C419" s="13"/>
    </row>
    <row r="420" spans="1:3" ht="13" x14ac:dyDescent="0.15">
      <c r="A420" s="10"/>
      <c r="B420" s="13"/>
      <c r="C420" s="13"/>
    </row>
    <row r="421" spans="1:3" ht="13" x14ac:dyDescent="0.15">
      <c r="A421" s="10"/>
      <c r="B421" s="13"/>
      <c r="C421" s="13"/>
    </row>
    <row r="422" spans="1:3" ht="13" x14ac:dyDescent="0.15">
      <c r="A422" s="10"/>
      <c r="B422" s="13"/>
      <c r="C422" s="13"/>
    </row>
    <row r="423" spans="1:3" ht="13" x14ac:dyDescent="0.15">
      <c r="A423" s="10"/>
      <c r="B423" s="13"/>
      <c r="C423" s="13"/>
    </row>
    <row r="424" spans="1:3" ht="13" x14ac:dyDescent="0.15">
      <c r="A424" s="10"/>
      <c r="B424" s="13"/>
      <c r="C424" s="13"/>
    </row>
    <row r="425" spans="1:3" ht="13" x14ac:dyDescent="0.15">
      <c r="A425" s="10"/>
      <c r="B425" s="13"/>
      <c r="C425" s="13"/>
    </row>
    <row r="426" spans="1:3" ht="13" x14ac:dyDescent="0.15">
      <c r="A426" s="10"/>
      <c r="B426" s="13"/>
      <c r="C426" s="13"/>
    </row>
    <row r="427" spans="1:3" ht="13" x14ac:dyDescent="0.15">
      <c r="A427" s="10"/>
      <c r="B427" s="13"/>
      <c r="C427" s="13"/>
    </row>
    <row r="428" spans="1:3" ht="13" x14ac:dyDescent="0.15">
      <c r="A428" s="10"/>
      <c r="B428" s="13"/>
      <c r="C428" s="13"/>
    </row>
    <row r="429" spans="1:3" ht="13" x14ac:dyDescent="0.15">
      <c r="A429" s="10"/>
      <c r="B429" s="13"/>
      <c r="C429" s="13"/>
    </row>
    <row r="430" spans="1:3" ht="13" x14ac:dyDescent="0.15">
      <c r="A430" s="10"/>
      <c r="B430" s="13"/>
      <c r="C430" s="13"/>
    </row>
    <row r="431" spans="1:3" ht="13" x14ac:dyDescent="0.15">
      <c r="A431" s="10"/>
      <c r="B431" s="13"/>
      <c r="C431" s="13"/>
    </row>
    <row r="432" spans="1:3" ht="13" x14ac:dyDescent="0.15">
      <c r="A432" s="10"/>
      <c r="B432" s="13"/>
      <c r="C432" s="13"/>
    </row>
    <row r="433" spans="1:3" ht="13" x14ac:dyDescent="0.15">
      <c r="A433" s="10"/>
      <c r="B433" s="13"/>
      <c r="C433" s="13"/>
    </row>
    <row r="434" spans="1:3" ht="13" x14ac:dyDescent="0.15">
      <c r="A434" s="10"/>
      <c r="B434" s="13"/>
      <c r="C434" s="13"/>
    </row>
    <row r="435" spans="1:3" ht="13" x14ac:dyDescent="0.15">
      <c r="A435" s="10"/>
      <c r="B435" s="13"/>
      <c r="C435" s="13"/>
    </row>
    <row r="436" spans="1:3" ht="13" x14ac:dyDescent="0.15">
      <c r="A436" s="10"/>
      <c r="B436" s="13"/>
      <c r="C436" s="13"/>
    </row>
    <row r="437" spans="1:3" ht="13" x14ac:dyDescent="0.15">
      <c r="A437" s="10"/>
      <c r="B437" s="13"/>
      <c r="C437" s="13"/>
    </row>
    <row r="438" spans="1:3" ht="13" x14ac:dyDescent="0.15">
      <c r="A438" s="10"/>
      <c r="B438" s="13"/>
      <c r="C438" s="13"/>
    </row>
    <row r="439" spans="1:3" ht="13" x14ac:dyDescent="0.15">
      <c r="A439" s="10"/>
      <c r="B439" s="13"/>
      <c r="C439" s="13"/>
    </row>
    <row r="440" spans="1:3" ht="13" x14ac:dyDescent="0.15">
      <c r="A440" s="10"/>
      <c r="B440" s="13"/>
      <c r="C440" s="13"/>
    </row>
    <row r="441" spans="1:3" ht="13" x14ac:dyDescent="0.15">
      <c r="A441" s="10"/>
      <c r="B441" s="13"/>
      <c r="C441" s="13"/>
    </row>
    <row r="442" spans="1:3" ht="13" x14ac:dyDescent="0.15">
      <c r="A442" s="10"/>
      <c r="B442" s="13"/>
      <c r="C442" s="13"/>
    </row>
    <row r="443" spans="1:3" ht="13" x14ac:dyDescent="0.15">
      <c r="A443" s="10"/>
      <c r="B443" s="13"/>
      <c r="C443" s="13"/>
    </row>
    <row r="444" spans="1:3" ht="13" x14ac:dyDescent="0.15">
      <c r="A444" s="10"/>
      <c r="B444" s="13"/>
      <c r="C444" s="13"/>
    </row>
    <row r="445" spans="1:3" ht="13" x14ac:dyDescent="0.15">
      <c r="A445" s="10"/>
      <c r="B445" s="13"/>
      <c r="C445" s="13"/>
    </row>
    <row r="446" spans="1:3" ht="13" x14ac:dyDescent="0.15">
      <c r="A446" s="10"/>
      <c r="B446" s="13"/>
      <c r="C446" s="13"/>
    </row>
    <row r="447" spans="1:3" ht="13" x14ac:dyDescent="0.15">
      <c r="A447" s="10"/>
      <c r="B447" s="13"/>
      <c r="C447" s="13"/>
    </row>
    <row r="448" spans="1:3" ht="13" x14ac:dyDescent="0.15">
      <c r="A448" s="10"/>
      <c r="B448" s="13"/>
      <c r="C448" s="13"/>
    </row>
    <row r="449" spans="1:3" ht="13" x14ac:dyDescent="0.15">
      <c r="A449" s="10"/>
      <c r="B449" s="13"/>
      <c r="C449" s="13"/>
    </row>
    <row r="450" spans="1:3" ht="13" x14ac:dyDescent="0.15">
      <c r="A450" s="10"/>
      <c r="B450" s="13"/>
      <c r="C450" s="13"/>
    </row>
    <row r="451" spans="1:3" ht="13" x14ac:dyDescent="0.15">
      <c r="A451" s="10"/>
      <c r="B451" s="13"/>
      <c r="C451" s="13"/>
    </row>
    <row r="452" spans="1:3" ht="13" x14ac:dyDescent="0.15">
      <c r="A452" s="10"/>
      <c r="B452" s="13"/>
      <c r="C452" s="13"/>
    </row>
    <row r="453" spans="1:3" ht="13" x14ac:dyDescent="0.15">
      <c r="A453" s="10"/>
      <c r="B453" s="13"/>
      <c r="C453" s="13"/>
    </row>
    <row r="454" spans="1:3" ht="13" x14ac:dyDescent="0.15">
      <c r="A454" s="10"/>
      <c r="B454" s="13"/>
      <c r="C454" s="13"/>
    </row>
    <row r="455" spans="1:3" ht="13" x14ac:dyDescent="0.15">
      <c r="A455" s="10"/>
      <c r="B455" s="13"/>
      <c r="C455" s="13"/>
    </row>
    <row r="456" spans="1:3" ht="13" x14ac:dyDescent="0.15">
      <c r="A456" s="10"/>
      <c r="B456" s="13"/>
      <c r="C456" s="13"/>
    </row>
    <row r="457" spans="1:3" ht="13" x14ac:dyDescent="0.15">
      <c r="A457" s="10"/>
      <c r="B457" s="13"/>
      <c r="C457" s="13"/>
    </row>
    <row r="458" spans="1:3" ht="13" x14ac:dyDescent="0.15">
      <c r="A458" s="10"/>
      <c r="B458" s="13"/>
      <c r="C458" s="13"/>
    </row>
    <row r="459" spans="1:3" ht="13" x14ac:dyDescent="0.15">
      <c r="A459" s="10"/>
      <c r="B459" s="13"/>
      <c r="C459" s="13"/>
    </row>
    <row r="460" spans="1:3" ht="13" x14ac:dyDescent="0.15">
      <c r="A460" s="10"/>
      <c r="B460" s="13"/>
      <c r="C460" s="13"/>
    </row>
    <row r="461" spans="1:3" ht="13" x14ac:dyDescent="0.15">
      <c r="A461" s="10"/>
      <c r="B461" s="13"/>
      <c r="C461" s="13"/>
    </row>
    <row r="462" spans="1:3" ht="13" x14ac:dyDescent="0.15">
      <c r="A462" s="10"/>
      <c r="B462" s="13"/>
      <c r="C462" s="13"/>
    </row>
    <row r="463" spans="1:3" ht="13" x14ac:dyDescent="0.15">
      <c r="A463" s="10"/>
      <c r="B463" s="13"/>
      <c r="C463" s="13"/>
    </row>
    <row r="464" spans="1:3" ht="13" x14ac:dyDescent="0.15">
      <c r="A464" s="10"/>
      <c r="B464" s="13"/>
      <c r="C464" s="13"/>
    </row>
    <row r="465" spans="1:3" ht="13" x14ac:dyDescent="0.15">
      <c r="A465" s="10"/>
      <c r="B465" s="13"/>
      <c r="C465" s="13"/>
    </row>
    <row r="466" spans="1:3" ht="13" x14ac:dyDescent="0.15">
      <c r="A466" s="10"/>
      <c r="B466" s="13"/>
      <c r="C466" s="13"/>
    </row>
    <row r="467" spans="1:3" ht="13" x14ac:dyDescent="0.15">
      <c r="A467" s="10"/>
      <c r="B467" s="13"/>
      <c r="C467" s="13"/>
    </row>
    <row r="468" spans="1:3" ht="13" x14ac:dyDescent="0.15">
      <c r="A468" s="10"/>
      <c r="B468" s="13"/>
      <c r="C468" s="13"/>
    </row>
    <row r="469" spans="1:3" ht="13" x14ac:dyDescent="0.15">
      <c r="A469" s="10"/>
      <c r="B469" s="13"/>
      <c r="C469" s="13"/>
    </row>
    <row r="470" spans="1:3" ht="13" x14ac:dyDescent="0.15">
      <c r="A470" s="10"/>
      <c r="B470" s="13"/>
      <c r="C470" s="13"/>
    </row>
    <row r="471" spans="1:3" ht="13" x14ac:dyDescent="0.15">
      <c r="A471" s="10"/>
      <c r="B471" s="13"/>
      <c r="C471" s="13"/>
    </row>
    <row r="472" spans="1:3" ht="13" x14ac:dyDescent="0.15">
      <c r="A472" s="10"/>
      <c r="B472" s="13"/>
      <c r="C472" s="13"/>
    </row>
    <row r="473" spans="1:3" ht="13" x14ac:dyDescent="0.15">
      <c r="A473" s="10"/>
      <c r="B473" s="13"/>
      <c r="C473" s="13"/>
    </row>
    <row r="474" spans="1:3" ht="13" x14ac:dyDescent="0.15">
      <c r="A474" s="10"/>
      <c r="B474" s="13"/>
      <c r="C474" s="13"/>
    </row>
    <row r="475" spans="1:3" ht="13" x14ac:dyDescent="0.15">
      <c r="A475" s="10"/>
      <c r="B475" s="13"/>
      <c r="C475" s="13"/>
    </row>
    <row r="476" spans="1:3" ht="13" x14ac:dyDescent="0.15">
      <c r="A476" s="10"/>
      <c r="B476" s="13"/>
      <c r="C476" s="13"/>
    </row>
    <row r="477" spans="1:3" ht="13" x14ac:dyDescent="0.15">
      <c r="A477" s="10"/>
      <c r="B477" s="13"/>
      <c r="C477" s="13"/>
    </row>
    <row r="478" spans="1:3" ht="13" x14ac:dyDescent="0.15">
      <c r="A478" s="10"/>
      <c r="B478" s="13"/>
      <c r="C478" s="13"/>
    </row>
    <row r="479" spans="1:3" ht="13" x14ac:dyDescent="0.15">
      <c r="A479" s="10"/>
      <c r="B479" s="13"/>
      <c r="C479" s="13"/>
    </row>
    <row r="480" spans="1:3" ht="13" x14ac:dyDescent="0.15">
      <c r="A480" s="10"/>
      <c r="B480" s="13"/>
      <c r="C480" s="13"/>
    </row>
    <row r="481" spans="1:3" ht="13" x14ac:dyDescent="0.15">
      <c r="A481" s="10"/>
      <c r="B481" s="13"/>
      <c r="C481" s="13"/>
    </row>
    <row r="482" spans="1:3" ht="13" x14ac:dyDescent="0.15">
      <c r="A482" s="10"/>
      <c r="B482" s="13"/>
      <c r="C482" s="13"/>
    </row>
    <row r="483" spans="1:3" ht="13" x14ac:dyDescent="0.15">
      <c r="A483" s="10"/>
      <c r="B483" s="13"/>
      <c r="C483" s="13"/>
    </row>
    <row r="484" spans="1:3" ht="13" x14ac:dyDescent="0.15">
      <c r="A484" s="10"/>
      <c r="B484" s="13"/>
      <c r="C484" s="13"/>
    </row>
    <row r="485" spans="1:3" ht="13" x14ac:dyDescent="0.15">
      <c r="A485" s="10"/>
      <c r="B485" s="13"/>
      <c r="C485" s="13"/>
    </row>
    <row r="486" spans="1:3" ht="13" x14ac:dyDescent="0.15">
      <c r="A486" s="10"/>
      <c r="B486" s="13"/>
      <c r="C486" s="13"/>
    </row>
    <row r="487" spans="1:3" ht="13" x14ac:dyDescent="0.15">
      <c r="A487" s="10"/>
      <c r="B487" s="13"/>
      <c r="C487" s="13"/>
    </row>
    <row r="488" spans="1:3" ht="13" x14ac:dyDescent="0.15">
      <c r="A488" s="10"/>
      <c r="B488" s="13"/>
      <c r="C488" s="13"/>
    </row>
    <row r="489" spans="1:3" ht="13" x14ac:dyDescent="0.15">
      <c r="A489" s="10"/>
      <c r="B489" s="13"/>
      <c r="C489" s="13"/>
    </row>
    <row r="490" spans="1:3" ht="13" x14ac:dyDescent="0.15">
      <c r="A490" s="10"/>
      <c r="B490" s="13"/>
      <c r="C490" s="13"/>
    </row>
    <row r="491" spans="1:3" ht="13" x14ac:dyDescent="0.15">
      <c r="A491" s="10"/>
      <c r="B491" s="13"/>
      <c r="C491" s="13"/>
    </row>
    <row r="492" spans="1:3" ht="13" x14ac:dyDescent="0.15">
      <c r="A492" s="10"/>
      <c r="B492" s="13"/>
      <c r="C492" s="13"/>
    </row>
    <row r="493" spans="1:3" ht="13" x14ac:dyDescent="0.15">
      <c r="A493" s="10"/>
      <c r="B493" s="13"/>
      <c r="C493" s="13"/>
    </row>
    <row r="494" spans="1:3" ht="13" x14ac:dyDescent="0.15">
      <c r="A494" s="10"/>
      <c r="B494" s="13"/>
      <c r="C494" s="13"/>
    </row>
    <row r="495" spans="1:3" ht="13" x14ac:dyDescent="0.15">
      <c r="A495" s="10"/>
      <c r="B495" s="13"/>
      <c r="C495" s="13"/>
    </row>
    <row r="496" spans="1:3" ht="13" x14ac:dyDescent="0.15">
      <c r="A496" s="10"/>
      <c r="B496" s="13"/>
      <c r="C496" s="13"/>
    </row>
    <row r="497" spans="1:3" ht="13" x14ac:dyDescent="0.15">
      <c r="A497" s="10"/>
      <c r="B497" s="13"/>
      <c r="C497" s="13"/>
    </row>
    <row r="498" spans="1:3" ht="13" x14ac:dyDescent="0.15">
      <c r="A498" s="10"/>
      <c r="B498" s="13"/>
      <c r="C498" s="13"/>
    </row>
    <row r="499" spans="1:3" ht="13" x14ac:dyDescent="0.15">
      <c r="A499" s="10"/>
      <c r="B499" s="13"/>
      <c r="C499" s="13"/>
    </row>
    <row r="500" spans="1:3" ht="13" x14ac:dyDescent="0.15">
      <c r="A500" s="10"/>
      <c r="B500" s="13"/>
      <c r="C500" s="13"/>
    </row>
    <row r="501" spans="1:3" ht="13" x14ac:dyDescent="0.15">
      <c r="A501" s="10"/>
      <c r="B501" s="13"/>
      <c r="C501" s="13"/>
    </row>
    <row r="502" spans="1:3" ht="13" x14ac:dyDescent="0.15">
      <c r="A502" s="10"/>
      <c r="B502" s="13"/>
      <c r="C502" s="13"/>
    </row>
    <row r="503" spans="1:3" ht="13" x14ac:dyDescent="0.15">
      <c r="A503" s="10"/>
      <c r="B503" s="13"/>
      <c r="C503" s="13"/>
    </row>
    <row r="504" spans="1:3" ht="13" x14ac:dyDescent="0.15">
      <c r="A504" s="10"/>
      <c r="B504" s="13"/>
      <c r="C504" s="13"/>
    </row>
    <row r="505" spans="1:3" ht="13" x14ac:dyDescent="0.15">
      <c r="A505" s="10"/>
      <c r="B505" s="13"/>
      <c r="C505" s="13"/>
    </row>
    <row r="506" spans="1:3" ht="13" x14ac:dyDescent="0.15">
      <c r="A506" s="10"/>
      <c r="B506" s="13"/>
      <c r="C506" s="13"/>
    </row>
    <row r="507" spans="1:3" ht="13" x14ac:dyDescent="0.15">
      <c r="A507" s="10"/>
      <c r="B507" s="13"/>
      <c r="C507" s="13"/>
    </row>
    <row r="508" spans="1:3" ht="13" x14ac:dyDescent="0.15">
      <c r="A508" s="10"/>
      <c r="B508" s="13"/>
      <c r="C508" s="13"/>
    </row>
    <row r="509" spans="1:3" ht="13" x14ac:dyDescent="0.15">
      <c r="A509" s="10"/>
      <c r="B509" s="13"/>
      <c r="C509" s="13"/>
    </row>
    <row r="510" spans="1:3" ht="13" x14ac:dyDescent="0.15">
      <c r="A510" s="10"/>
      <c r="B510" s="13"/>
      <c r="C510" s="13"/>
    </row>
    <row r="511" spans="1:3" ht="13" x14ac:dyDescent="0.15">
      <c r="A511" s="10"/>
      <c r="B511" s="13"/>
      <c r="C511" s="13"/>
    </row>
    <row r="512" spans="1:3" ht="13" x14ac:dyDescent="0.15">
      <c r="A512" s="10"/>
      <c r="B512" s="13"/>
      <c r="C512" s="13"/>
    </row>
    <row r="513" spans="1:3" ht="13" x14ac:dyDescent="0.15">
      <c r="A513" s="10"/>
      <c r="B513" s="13"/>
      <c r="C513" s="13"/>
    </row>
    <row r="514" spans="1:3" ht="13" x14ac:dyDescent="0.15">
      <c r="A514" s="10"/>
      <c r="B514" s="13"/>
      <c r="C514" s="13"/>
    </row>
    <row r="515" spans="1:3" ht="13" x14ac:dyDescent="0.15">
      <c r="A515" s="10"/>
      <c r="B515" s="13"/>
      <c r="C515" s="13"/>
    </row>
    <row r="516" spans="1:3" ht="13" x14ac:dyDescent="0.15">
      <c r="A516" s="10"/>
      <c r="B516" s="13"/>
      <c r="C516" s="13"/>
    </row>
    <row r="517" spans="1:3" ht="13" x14ac:dyDescent="0.15">
      <c r="A517" s="10"/>
      <c r="B517" s="13"/>
      <c r="C517" s="13"/>
    </row>
    <row r="518" spans="1:3" ht="13" x14ac:dyDescent="0.15">
      <c r="A518" s="10"/>
      <c r="B518" s="13"/>
      <c r="C518" s="13"/>
    </row>
    <row r="519" spans="1:3" ht="13" x14ac:dyDescent="0.15">
      <c r="A519" s="10"/>
      <c r="B519" s="13"/>
      <c r="C519" s="13"/>
    </row>
    <row r="520" spans="1:3" ht="13" x14ac:dyDescent="0.15">
      <c r="A520" s="10"/>
      <c r="B520" s="13"/>
      <c r="C520" s="13"/>
    </row>
    <row r="521" spans="1:3" ht="13" x14ac:dyDescent="0.15">
      <c r="A521" s="10"/>
      <c r="B521" s="13"/>
      <c r="C521" s="13"/>
    </row>
    <row r="522" spans="1:3" ht="13" x14ac:dyDescent="0.15">
      <c r="A522" s="10"/>
      <c r="B522" s="13"/>
      <c r="C522" s="13"/>
    </row>
    <row r="523" spans="1:3" ht="13" x14ac:dyDescent="0.15">
      <c r="A523" s="10"/>
      <c r="B523" s="13"/>
      <c r="C523" s="13"/>
    </row>
    <row r="524" spans="1:3" ht="13" x14ac:dyDescent="0.15">
      <c r="A524" s="10"/>
      <c r="B524" s="13"/>
      <c r="C524" s="13"/>
    </row>
    <row r="525" spans="1:3" ht="13" x14ac:dyDescent="0.15">
      <c r="A525" s="10"/>
      <c r="B525" s="13"/>
      <c r="C525" s="13"/>
    </row>
    <row r="526" spans="1:3" ht="13" x14ac:dyDescent="0.15">
      <c r="A526" s="10"/>
      <c r="B526" s="13"/>
      <c r="C526" s="13"/>
    </row>
    <row r="527" spans="1:3" ht="13" x14ac:dyDescent="0.15">
      <c r="A527" s="10"/>
      <c r="B527" s="13"/>
      <c r="C527" s="13"/>
    </row>
    <row r="528" spans="1:3" ht="13" x14ac:dyDescent="0.15">
      <c r="A528" s="10"/>
      <c r="B528" s="13"/>
      <c r="C528" s="13"/>
    </row>
    <row r="529" spans="1:3" ht="13" x14ac:dyDescent="0.15">
      <c r="A529" s="10"/>
      <c r="B529" s="13"/>
      <c r="C529" s="13"/>
    </row>
    <row r="530" spans="1:3" ht="13" x14ac:dyDescent="0.15">
      <c r="A530" s="10"/>
      <c r="B530" s="13"/>
      <c r="C530" s="13"/>
    </row>
    <row r="531" spans="1:3" ht="13" x14ac:dyDescent="0.15">
      <c r="A531" s="10"/>
      <c r="B531" s="13"/>
      <c r="C531" s="13"/>
    </row>
    <row r="532" spans="1:3" ht="13" x14ac:dyDescent="0.15">
      <c r="A532" s="10"/>
      <c r="B532" s="13"/>
      <c r="C532" s="13"/>
    </row>
    <row r="533" spans="1:3" ht="13" x14ac:dyDescent="0.15">
      <c r="A533" s="10"/>
      <c r="B533" s="13"/>
      <c r="C533" s="13"/>
    </row>
    <row r="534" spans="1:3" ht="13" x14ac:dyDescent="0.15">
      <c r="A534" s="10"/>
      <c r="B534" s="13"/>
      <c r="C534" s="13"/>
    </row>
    <row r="535" spans="1:3" ht="13" x14ac:dyDescent="0.15">
      <c r="A535" s="10"/>
      <c r="B535" s="13"/>
      <c r="C535" s="13"/>
    </row>
    <row r="536" spans="1:3" ht="13" x14ac:dyDescent="0.15">
      <c r="A536" s="10"/>
      <c r="B536" s="13"/>
      <c r="C536" s="13"/>
    </row>
    <row r="537" spans="1:3" ht="13" x14ac:dyDescent="0.15">
      <c r="A537" s="10"/>
      <c r="B537" s="13"/>
      <c r="C537" s="13"/>
    </row>
    <row r="538" spans="1:3" ht="13" x14ac:dyDescent="0.15">
      <c r="A538" s="10"/>
      <c r="B538" s="13"/>
      <c r="C538" s="13"/>
    </row>
    <row r="539" spans="1:3" ht="13" x14ac:dyDescent="0.15">
      <c r="A539" s="10"/>
      <c r="B539" s="13"/>
      <c r="C539" s="13"/>
    </row>
    <row r="540" spans="1:3" ht="13" x14ac:dyDescent="0.15">
      <c r="A540" s="10"/>
      <c r="B540" s="13"/>
      <c r="C540" s="13"/>
    </row>
    <row r="541" spans="1:3" ht="13" x14ac:dyDescent="0.15">
      <c r="A541" s="10"/>
      <c r="B541" s="13"/>
      <c r="C541" s="13"/>
    </row>
    <row r="542" spans="1:3" ht="13" x14ac:dyDescent="0.15">
      <c r="A542" s="10"/>
      <c r="B542" s="13"/>
      <c r="C542" s="13"/>
    </row>
    <row r="543" spans="1:3" ht="13" x14ac:dyDescent="0.15">
      <c r="A543" s="10"/>
      <c r="B543" s="13"/>
      <c r="C543" s="13"/>
    </row>
    <row r="544" spans="1:3" ht="13" x14ac:dyDescent="0.15">
      <c r="A544" s="10"/>
      <c r="B544" s="13"/>
      <c r="C544" s="13"/>
    </row>
    <row r="545" spans="1:3" ht="13" x14ac:dyDescent="0.15">
      <c r="A545" s="10"/>
      <c r="B545" s="13"/>
      <c r="C545" s="13"/>
    </row>
    <row r="546" spans="1:3" ht="13" x14ac:dyDescent="0.15">
      <c r="A546" s="10"/>
      <c r="B546" s="13"/>
      <c r="C546" s="13"/>
    </row>
    <row r="547" spans="1:3" ht="13" x14ac:dyDescent="0.15">
      <c r="A547" s="10"/>
      <c r="B547" s="13"/>
      <c r="C547" s="13"/>
    </row>
    <row r="548" spans="1:3" ht="13" x14ac:dyDescent="0.15">
      <c r="A548" s="10"/>
      <c r="B548" s="13"/>
      <c r="C548" s="13"/>
    </row>
    <row r="549" spans="1:3" ht="13" x14ac:dyDescent="0.15">
      <c r="A549" s="10"/>
      <c r="B549" s="13"/>
      <c r="C549" s="13"/>
    </row>
    <row r="550" spans="1:3" ht="13" x14ac:dyDescent="0.15">
      <c r="A550" s="10"/>
      <c r="B550" s="13"/>
      <c r="C550" s="13"/>
    </row>
    <row r="551" spans="1:3" ht="13" x14ac:dyDescent="0.15">
      <c r="A551" s="10"/>
      <c r="B551" s="13"/>
      <c r="C551" s="13"/>
    </row>
    <row r="552" spans="1:3" ht="13" x14ac:dyDescent="0.15">
      <c r="A552" s="10"/>
      <c r="B552" s="13"/>
      <c r="C552" s="13"/>
    </row>
    <row r="553" spans="1:3" ht="13" x14ac:dyDescent="0.15">
      <c r="A553" s="10"/>
      <c r="B553" s="13"/>
      <c r="C553" s="13"/>
    </row>
    <row r="554" spans="1:3" ht="13" x14ac:dyDescent="0.15">
      <c r="A554" s="10"/>
      <c r="B554" s="13"/>
      <c r="C554" s="13"/>
    </row>
    <row r="555" spans="1:3" ht="13" x14ac:dyDescent="0.15">
      <c r="A555" s="10"/>
      <c r="B555" s="13"/>
      <c r="C555" s="13"/>
    </row>
    <row r="556" spans="1:3" ht="13" x14ac:dyDescent="0.15">
      <c r="A556" s="10"/>
      <c r="B556" s="13"/>
      <c r="C556" s="13"/>
    </row>
    <row r="557" spans="1:3" ht="13" x14ac:dyDescent="0.15">
      <c r="A557" s="10"/>
      <c r="B557" s="13"/>
      <c r="C557" s="13"/>
    </row>
    <row r="558" spans="1:3" ht="13" x14ac:dyDescent="0.15">
      <c r="A558" s="10"/>
      <c r="B558" s="13"/>
      <c r="C558" s="13"/>
    </row>
    <row r="559" spans="1:3" ht="13" x14ac:dyDescent="0.15">
      <c r="A559" s="10"/>
      <c r="B559" s="13"/>
      <c r="C559" s="13"/>
    </row>
    <row r="560" spans="1:3" ht="13" x14ac:dyDescent="0.15">
      <c r="A560" s="10"/>
      <c r="B560" s="13"/>
      <c r="C560" s="13"/>
    </row>
    <row r="561" spans="1:3" ht="13" x14ac:dyDescent="0.15">
      <c r="A561" s="10"/>
      <c r="B561" s="13"/>
      <c r="C561" s="13"/>
    </row>
    <row r="562" spans="1:3" ht="13" x14ac:dyDescent="0.15">
      <c r="A562" s="10"/>
      <c r="B562" s="13"/>
      <c r="C562" s="13"/>
    </row>
    <row r="563" spans="1:3" ht="13" x14ac:dyDescent="0.15">
      <c r="A563" s="10"/>
      <c r="B563" s="13"/>
      <c r="C563" s="13"/>
    </row>
    <row r="564" spans="1:3" ht="13" x14ac:dyDescent="0.15">
      <c r="A564" s="10"/>
      <c r="B564" s="13"/>
      <c r="C564" s="13"/>
    </row>
    <row r="565" spans="1:3" ht="13" x14ac:dyDescent="0.15">
      <c r="A565" s="10"/>
      <c r="B565" s="13"/>
      <c r="C565" s="13"/>
    </row>
    <row r="566" spans="1:3" ht="13" x14ac:dyDescent="0.15">
      <c r="A566" s="10"/>
      <c r="B566" s="13"/>
      <c r="C566" s="13"/>
    </row>
    <row r="567" spans="1:3" ht="13" x14ac:dyDescent="0.15">
      <c r="A567" s="10"/>
      <c r="B567" s="13"/>
      <c r="C567" s="13"/>
    </row>
    <row r="568" spans="1:3" ht="13" x14ac:dyDescent="0.15">
      <c r="A568" s="10"/>
      <c r="B568" s="13"/>
      <c r="C568" s="13"/>
    </row>
    <row r="569" spans="1:3" ht="13" x14ac:dyDescent="0.15">
      <c r="A569" s="10"/>
      <c r="B569" s="13"/>
      <c r="C569" s="13"/>
    </row>
    <row r="570" spans="1:3" ht="13" x14ac:dyDescent="0.15">
      <c r="A570" s="10"/>
      <c r="B570" s="13"/>
      <c r="C570" s="13"/>
    </row>
    <row r="571" spans="1:3" ht="13" x14ac:dyDescent="0.15">
      <c r="A571" s="10"/>
      <c r="B571" s="13"/>
      <c r="C571" s="13"/>
    </row>
    <row r="572" spans="1:3" ht="13" x14ac:dyDescent="0.15">
      <c r="A572" s="10"/>
      <c r="B572" s="13"/>
      <c r="C572" s="13"/>
    </row>
    <row r="573" spans="1:3" ht="13" x14ac:dyDescent="0.15">
      <c r="A573" s="10"/>
      <c r="B573" s="13"/>
      <c r="C573" s="13"/>
    </row>
    <row r="574" spans="1:3" ht="13" x14ac:dyDescent="0.15">
      <c r="A574" s="10"/>
      <c r="B574" s="13"/>
      <c r="C574" s="13"/>
    </row>
    <row r="575" spans="1:3" ht="13" x14ac:dyDescent="0.15">
      <c r="A575" s="10"/>
      <c r="B575" s="13"/>
      <c r="C575" s="13"/>
    </row>
    <row r="576" spans="1:3" ht="13" x14ac:dyDescent="0.15">
      <c r="A576" s="10"/>
      <c r="B576" s="13"/>
      <c r="C576" s="13"/>
    </row>
    <row r="577" spans="1:3" ht="13" x14ac:dyDescent="0.15">
      <c r="A577" s="10"/>
      <c r="B577" s="13"/>
      <c r="C577" s="13"/>
    </row>
    <row r="578" spans="1:3" ht="13" x14ac:dyDescent="0.15">
      <c r="A578" s="10"/>
      <c r="B578" s="13"/>
      <c r="C578" s="13"/>
    </row>
    <row r="579" spans="1:3" ht="13" x14ac:dyDescent="0.15">
      <c r="A579" s="10"/>
      <c r="B579" s="13"/>
      <c r="C579" s="13"/>
    </row>
    <row r="580" spans="1:3" ht="13" x14ac:dyDescent="0.15">
      <c r="A580" s="10"/>
      <c r="B580" s="13"/>
      <c r="C580" s="13"/>
    </row>
    <row r="581" spans="1:3" ht="13" x14ac:dyDescent="0.15">
      <c r="A581" s="10"/>
      <c r="B581" s="13"/>
      <c r="C581" s="13"/>
    </row>
    <row r="582" spans="1:3" ht="13" x14ac:dyDescent="0.15">
      <c r="A582" s="10"/>
      <c r="B582" s="13"/>
      <c r="C582" s="13"/>
    </row>
    <row r="583" spans="1:3" ht="13" x14ac:dyDescent="0.15">
      <c r="A583" s="10"/>
      <c r="B583" s="13"/>
      <c r="C583" s="13"/>
    </row>
    <row r="584" spans="1:3" ht="13" x14ac:dyDescent="0.15">
      <c r="A584" s="10"/>
      <c r="B584" s="13"/>
      <c r="C584" s="13"/>
    </row>
    <row r="585" spans="1:3" ht="13" x14ac:dyDescent="0.15">
      <c r="A585" s="10"/>
      <c r="B585" s="13"/>
      <c r="C585" s="13"/>
    </row>
    <row r="586" spans="1:3" ht="13" x14ac:dyDescent="0.15">
      <c r="A586" s="10"/>
      <c r="B586" s="13"/>
      <c r="C586" s="13"/>
    </row>
    <row r="587" spans="1:3" ht="13" x14ac:dyDescent="0.15">
      <c r="A587" s="10"/>
      <c r="B587" s="13"/>
      <c r="C587" s="13"/>
    </row>
    <row r="588" spans="1:3" ht="13" x14ac:dyDescent="0.15">
      <c r="A588" s="10"/>
      <c r="B588" s="13"/>
      <c r="C588" s="13"/>
    </row>
    <row r="589" spans="1:3" ht="13" x14ac:dyDescent="0.15">
      <c r="A589" s="10"/>
      <c r="B589" s="13"/>
      <c r="C589" s="13"/>
    </row>
    <row r="590" spans="1:3" ht="13" x14ac:dyDescent="0.15">
      <c r="A590" s="10"/>
      <c r="B590" s="13"/>
      <c r="C590" s="13"/>
    </row>
    <row r="591" spans="1:3" ht="13" x14ac:dyDescent="0.15">
      <c r="A591" s="10"/>
      <c r="B591" s="13"/>
      <c r="C591" s="13"/>
    </row>
    <row r="592" spans="1:3" ht="13" x14ac:dyDescent="0.15">
      <c r="A592" s="10"/>
      <c r="B592" s="13"/>
      <c r="C592" s="13"/>
    </row>
    <row r="593" spans="1:3" ht="13" x14ac:dyDescent="0.15">
      <c r="A593" s="10"/>
      <c r="B593" s="13"/>
      <c r="C593" s="13"/>
    </row>
    <row r="594" spans="1:3" ht="13" x14ac:dyDescent="0.15">
      <c r="A594" s="10"/>
      <c r="B594" s="13"/>
      <c r="C594" s="13"/>
    </row>
    <row r="595" spans="1:3" ht="13" x14ac:dyDescent="0.15">
      <c r="A595" s="10"/>
      <c r="B595" s="13"/>
      <c r="C595" s="13"/>
    </row>
    <row r="596" spans="1:3" ht="13" x14ac:dyDescent="0.15">
      <c r="A596" s="10"/>
      <c r="B596" s="13"/>
      <c r="C596" s="13"/>
    </row>
    <row r="597" spans="1:3" ht="13" x14ac:dyDescent="0.15">
      <c r="A597" s="10"/>
      <c r="B597" s="13"/>
      <c r="C597" s="13"/>
    </row>
    <row r="598" spans="1:3" ht="13" x14ac:dyDescent="0.15">
      <c r="A598" s="10"/>
      <c r="B598" s="13"/>
      <c r="C598" s="13"/>
    </row>
    <row r="599" spans="1:3" ht="13" x14ac:dyDescent="0.15">
      <c r="A599" s="10"/>
      <c r="B599" s="13"/>
      <c r="C599" s="13"/>
    </row>
    <row r="600" spans="1:3" ht="13" x14ac:dyDescent="0.15">
      <c r="A600" s="10"/>
      <c r="B600" s="13"/>
      <c r="C600" s="13"/>
    </row>
    <row r="601" spans="1:3" ht="13" x14ac:dyDescent="0.15">
      <c r="A601" s="10"/>
      <c r="B601" s="13"/>
      <c r="C601" s="13"/>
    </row>
    <row r="602" spans="1:3" ht="13" x14ac:dyDescent="0.15">
      <c r="A602" s="10"/>
      <c r="B602" s="13"/>
      <c r="C602" s="13"/>
    </row>
    <row r="603" spans="1:3" ht="13" x14ac:dyDescent="0.15">
      <c r="A603" s="10"/>
      <c r="B603" s="13"/>
      <c r="C603" s="13"/>
    </row>
    <row r="604" spans="1:3" ht="13" x14ac:dyDescent="0.15">
      <c r="A604" s="10"/>
      <c r="B604" s="13"/>
      <c r="C604" s="13"/>
    </row>
    <row r="605" spans="1:3" ht="13" x14ac:dyDescent="0.15">
      <c r="A605" s="10"/>
      <c r="B605" s="13"/>
      <c r="C605" s="13"/>
    </row>
    <row r="606" spans="1:3" ht="13" x14ac:dyDescent="0.15">
      <c r="A606" s="10"/>
      <c r="B606" s="13"/>
      <c r="C606" s="13"/>
    </row>
    <row r="607" spans="1:3" ht="13" x14ac:dyDescent="0.15">
      <c r="A607" s="10"/>
      <c r="B607" s="13"/>
      <c r="C607" s="13"/>
    </row>
    <row r="608" spans="1:3" ht="13" x14ac:dyDescent="0.15">
      <c r="A608" s="10"/>
      <c r="B608" s="13"/>
      <c r="C608" s="13"/>
    </row>
    <row r="609" spans="1:3" ht="13" x14ac:dyDescent="0.15">
      <c r="A609" s="10"/>
      <c r="B609" s="13"/>
      <c r="C609" s="13"/>
    </row>
    <row r="610" spans="1:3" ht="13" x14ac:dyDescent="0.15">
      <c r="A610" s="10"/>
      <c r="B610" s="13"/>
      <c r="C610" s="13"/>
    </row>
    <row r="611" spans="1:3" ht="13" x14ac:dyDescent="0.15">
      <c r="A611" s="10"/>
      <c r="B611" s="13"/>
      <c r="C611" s="13"/>
    </row>
    <row r="612" spans="1:3" ht="13" x14ac:dyDescent="0.15">
      <c r="A612" s="10"/>
      <c r="B612" s="13"/>
      <c r="C612" s="13"/>
    </row>
    <row r="613" spans="1:3" ht="13" x14ac:dyDescent="0.15">
      <c r="A613" s="10"/>
      <c r="B613" s="13"/>
      <c r="C613" s="13"/>
    </row>
    <row r="614" spans="1:3" ht="13" x14ac:dyDescent="0.15">
      <c r="A614" s="10"/>
      <c r="B614" s="13"/>
      <c r="C614" s="13"/>
    </row>
    <row r="615" spans="1:3" ht="13" x14ac:dyDescent="0.15">
      <c r="A615" s="10"/>
      <c r="B615" s="13"/>
      <c r="C615" s="13"/>
    </row>
    <row r="616" spans="1:3" ht="13" x14ac:dyDescent="0.15">
      <c r="A616" s="10"/>
      <c r="B616" s="13"/>
      <c r="C616" s="13"/>
    </row>
    <row r="617" spans="1:3" ht="13" x14ac:dyDescent="0.15">
      <c r="A617" s="10"/>
      <c r="B617" s="13"/>
      <c r="C617" s="13"/>
    </row>
    <row r="618" spans="1:3" ht="13" x14ac:dyDescent="0.15">
      <c r="A618" s="10"/>
      <c r="B618" s="13"/>
      <c r="C618" s="13"/>
    </row>
    <row r="619" spans="1:3" ht="13" x14ac:dyDescent="0.15">
      <c r="A619" s="10"/>
      <c r="B619" s="13"/>
      <c r="C619" s="13"/>
    </row>
    <row r="620" spans="1:3" ht="13" x14ac:dyDescent="0.15">
      <c r="A620" s="10"/>
      <c r="B620" s="13"/>
      <c r="C620" s="13"/>
    </row>
    <row r="621" spans="1:3" ht="13" x14ac:dyDescent="0.15">
      <c r="A621" s="10"/>
      <c r="B621" s="13"/>
      <c r="C621" s="13"/>
    </row>
    <row r="622" spans="1:3" ht="13" x14ac:dyDescent="0.15">
      <c r="A622" s="10"/>
      <c r="B622" s="13"/>
      <c r="C622" s="13"/>
    </row>
    <row r="623" spans="1:3" ht="13" x14ac:dyDescent="0.15">
      <c r="A623" s="10"/>
      <c r="B623" s="13"/>
      <c r="C623" s="13"/>
    </row>
    <row r="624" spans="1:3" ht="13" x14ac:dyDescent="0.15">
      <c r="A624" s="10"/>
      <c r="B624" s="13"/>
      <c r="C624" s="13"/>
    </row>
    <row r="625" spans="1:3" ht="13" x14ac:dyDescent="0.15">
      <c r="A625" s="10"/>
      <c r="B625" s="13"/>
      <c r="C625" s="13"/>
    </row>
    <row r="626" spans="1:3" ht="13" x14ac:dyDescent="0.15">
      <c r="A626" s="10"/>
      <c r="B626" s="13"/>
      <c r="C626" s="13"/>
    </row>
    <row r="627" spans="1:3" ht="13" x14ac:dyDescent="0.15">
      <c r="A627" s="10"/>
      <c r="B627" s="13"/>
      <c r="C627" s="13"/>
    </row>
    <row r="628" spans="1:3" ht="13" x14ac:dyDescent="0.15">
      <c r="A628" s="10"/>
      <c r="B628" s="13"/>
      <c r="C628" s="13"/>
    </row>
    <row r="629" spans="1:3" ht="13" x14ac:dyDescent="0.15">
      <c r="A629" s="10"/>
      <c r="B629" s="13"/>
      <c r="C629" s="13"/>
    </row>
    <row r="630" spans="1:3" ht="13" x14ac:dyDescent="0.15">
      <c r="A630" s="10"/>
      <c r="B630" s="13"/>
      <c r="C630" s="13"/>
    </row>
    <row r="631" spans="1:3" ht="13" x14ac:dyDescent="0.15">
      <c r="A631" s="10"/>
      <c r="B631" s="13"/>
      <c r="C631" s="13"/>
    </row>
    <row r="632" spans="1:3" ht="13" x14ac:dyDescent="0.15">
      <c r="A632" s="10"/>
      <c r="B632" s="13"/>
      <c r="C632" s="13"/>
    </row>
    <row r="633" spans="1:3" ht="13" x14ac:dyDescent="0.15">
      <c r="A633" s="10"/>
      <c r="B633" s="13"/>
      <c r="C633" s="13"/>
    </row>
    <row r="634" spans="1:3" ht="13" x14ac:dyDescent="0.15">
      <c r="A634" s="10"/>
      <c r="B634" s="13"/>
      <c r="C634" s="13"/>
    </row>
    <row r="635" spans="1:3" ht="13" x14ac:dyDescent="0.15">
      <c r="A635" s="10"/>
      <c r="B635" s="13"/>
      <c r="C635" s="13"/>
    </row>
    <row r="636" spans="1:3" ht="13" x14ac:dyDescent="0.15">
      <c r="A636" s="10"/>
      <c r="B636" s="13"/>
      <c r="C636" s="13"/>
    </row>
    <row r="637" spans="1:3" ht="13" x14ac:dyDescent="0.15">
      <c r="A637" s="10"/>
      <c r="B637" s="13"/>
      <c r="C637" s="13"/>
    </row>
    <row r="638" spans="1:3" ht="13" x14ac:dyDescent="0.15">
      <c r="A638" s="10"/>
      <c r="B638" s="13"/>
      <c r="C638" s="13"/>
    </row>
    <row r="639" spans="1:3" ht="13" x14ac:dyDescent="0.15">
      <c r="A639" s="10"/>
      <c r="B639" s="13"/>
      <c r="C639" s="13"/>
    </row>
    <row r="640" spans="1:3" ht="13" x14ac:dyDescent="0.15">
      <c r="A640" s="10"/>
      <c r="B640" s="13"/>
      <c r="C640" s="13"/>
    </row>
    <row r="641" spans="1:3" ht="13" x14ac:dyDescent="0.15">
      <c r="A641" s="10"/>
      <c r="B641" s="13"/>
      <c r="C641" s="13"/>
    </row>
    <row r="642" spans="1:3" ht="13" x14ac:dyDescent="0.15">
      <c r="A642" s="10"/>
      <c r="B642" s="13"/>
      <c r="C642" s="13"/>
    </row>
    <row r="643" spans="1:3" ht="13" x14ac:dyDescent="0.15">
      <c r="A643" s="10"/>
      <c r="B643" s="13"/>
      <c r="C643" s="13"/>
    </row>
    <row r="644" spans="1:3" ht="13" x14ac:dyDescent="0.15">
      <c r="A644" s="10"/>
      <c r="B644" s="13"/>
      <c r="C644" s="13"/>
    </row>
    <row r="645" spans="1:3" ht="13" x14ac:dyDescent="0.15">
      <c r="A645" s="10"/>
      <c r="B645" s="13"/>
      <c r="C645" s="13"/>
    </row>
    <row r="646" spans="1:3" ht="13" x14ac:dyDescent="0.15">
      <c r="A646" s="10"/>
      <c r="B646" s="13"/>
      <c r="C646" s="13"/>
    </row>
    <row r="647" spans="1:3" ht="13" x14ac:dyDescent="0.15">
      <c r="A647" s="10"/>
      <c r="B647" s="13"/>
      <c r="C647" s="13"/>
    </row>
    <row r="648" spans="1:3" ht="13" x14ac:dyDescent="0.15">
      <c r="A648" s="10"/>
      <c r="B648" s="13"/>
      <c r="C648" s="13"/>
    </row>
    <row r="649" spans="1:3" ht="13" x14ac:dyDescent="0.15">
      <c r="A649" s="10"/>
      <c r="B649" s="13"/>
      <c r="C649" s="13"/>
    </row>
    <row r="650" spans="1:3" ht="13" x14ac:dyDescent="0.15">
      <c r="A650" s="10"/>
      <c r="B650" s="13"/>
      <c r="C650" s="13"/>
    </row>
    <row r="651" spans="1:3" ht="13" x14ac:dyDescent="0.15">
      <c r="A651" s="10"/>
      <c r="B651" s="13"/>
      <c r="C651" s="13"/>
    </row>
    <row r="652" spans="1:3" ht="13" x14ac:dyDescent="0.15">
      <c r="A652" s="10"/>
      <c r="B652" s="13"/>
      <c r="C652" s="13"/>
    </row>
    <row r="653" spans="1:3" ht="13" x14ac:dyDescent="0.15">
      <c r="A653" s="10"/>
      <c r="B653" s="13"/>
      <c r="C653" s="13"/>
    </row>
    <row r="654" spans="1:3" ht="13" x14ac:dyDescent="0.15">
      <c r="A654" s="10"/>
      <c r="B654" s="13"/>
      <c r="C654" s="13"/>
    </row>
    <row r="655" spans="1:3" ht="13" x14ac:dyDescent="0.15">
      <c r="A655" s="10"/>
      <c r="B655" s="13"/>
      <c r="C655" s="13"/>
    </row>
    <row r="656" spans="1:3" ht="13" x14ac:dyDescent="0.15">
      <c r="A656" s="10"/>
      <c r="B656" s="13"/>
      <c r="C656" s="13"/>
    </row>
    <row r="657" spans="1:3" ht="13" x14ac:dyDescent="0.15">
      <c r="A657" s="10"/>
      <c r="B657" s="13"/>
      <c r="C657" s="13"/>
    </row>
    <row r="658" spans="1:3" ht="13" x14ac:dyDescent="0.15">
      <c r="A658" s="10"/>
      <c r="B658" s="13"/>
      <c r="C658" s="13"/>
    </row>
    <row r="659" spans="1:3" ht="13" x14ac:dyDescent="0.15">
      <c r="A659" s="10"/>
      <c r="B659" s="13"/>
      <c r="C659" s="13"/>
    </row>
    <row r="660" spans="1:3" ht="13" x14ac:dyDescent="0.15">
      <c r="A660" s="10"/>
      <c r="B660" s="13"/>
      <c r="C660" s="13"/>
    </row>
    <row r="661" spans="1:3" ht="13" x14ac:dyDescent="0.15">
      <c r="A661" s="10"/>
      <c r="B661" s="13"/>
      <c r="C661" s="13"/>
    </row>
    <row r="662" spans="1:3" ht="13" x14ac:dyDescent="0.15">
      <c r="A662" s="10"/>
      <c r="B662" s="13"/>
      <c r="C662" s="13"/>
    </row>
    <row r="663" spans="1:3" ht="13" x14ac:dyDescent="0.15">
      <c r="A663" s="10"/>
      <c r="B663" s="13"/>
      <c r="C663" s="13"/>
    </row>
    <row r="664" spans="1:3" ht="13" x14ac:dyDescent="0.15">
      <c r="A664" s="10"/>
      <c r="B664" s="13"/>
      <c r="C664" s="13"/>
    </row>
    <row r="665" spans="1:3" ht="13" x14ac:dyDescent="0.15">
      <c r="A665" s="10"/>
      <c r="B665" s="13"/>
      <c r="C665" s="13"/>
    </row>
    <row r="666" spans="1:3" ht="13" x14ac:dyDescent="0.15">
      <c r="A666" s="10"/>
      <c r="B666" s="13"/>
      <c r="C666" s="13"/>
    </row>
    <row r="667" spans="1:3" ht="13" x14ac:dyDescent="0.15">
      <c r="A667" s="10"/>
      <c r="B667" s="13"/>
      <c r="C667" s="13"/>
    </row>
    <row r="668" spans="1:3" ht="13" x14ac:dyDescent="0.15">
      <c r="A668" s="10"/>
      <c r="B668" s="13"/>
      <c r="C668" s="13"/>
    </row>
    <row r="669" spans="1:3" ht="13" x14ac:dyDescent="0.15">
      <c r="A669" s="10"/>
      <c r="B669" s="13"/>
      <c r="C669" s="13"/>
    </row>
    <row r="670" spans="1:3" ht="13" x14ac:dyDescent="0.15">
      <c r="A670" s="10"/>
      <c r="B670" s="13"/>
      <c r="C670" s="13"/>
    </row>
    <row r="671" spans="1:3" ht="13" x14ac:dyDescent="0.15">
      <c r="A671" s="10"/>
      <c r="B671" s="13"/>
      <c r="C671" s="13"/>
    </row>
    <row r="672" spans="1:3" ht="13" x14ac:dyDescent="0.15">
      <c r="A672" s="10"/>
      <c r="B672" s="13"/>
      <c r="C672" s="13"/>
    </row>
    <row r="673" spans="1:3" ht="13" x14ac:dyDescent="0.15">
      <c r="A673" s="10"/>
      <c r="B673" s="13"/>
      <c r="C673" s="13"/>
    </row>
    <row r="674" spans="1:3" ht="13" x14ac:dyDescent="0.15">
      <c r="A674" s="10"/>
      <c r="B674" s="13"/>
      <c r="C674" s="13"/>
    </row>
    <row r="675" spans="1:3" ht="13" x14ac:dyDescent="0.15">
      <c r="A675" s="10"/>
      <c r="B675" s="13"/>
      <c r="C675" s="13"/>
    </row>
    <row r="676" spans="1:3" ht="13" x14ac:dyDescent="0.15">
      <c r="A676" s="10"/>
      <c r="B676" s="13"/>
      <c r="C676" s="13"/>
    </row>
    <row r="677" spans="1:3" ht="13" x14ac:dyDescent="0.15">
      <c r="A677" s="10"/>
      <c r="B677" s="13"/>
      <c r="C677" s="13"/>
    </row>
    <row r="678" spans="1:3" ht="13" x14ac:dyDescent="0.15">
      <c r="A678" s="10"/>
      <c r="B678" s="13"/>
      <c r="C678" s="13"/>
    </row>
    <row r="679" spans="1:3" ht="13" x14ac:dyDescent="0.15">
      <c r="A679" s="10"/>
      <c r="B679" s="13"/>
      <c r="C679" s="13"/>
    </row>
    <row r="680" spans="1:3" ht="13" x14ac:dyDescent="0.15">
      <c r="A680" s="10"/>
      <c r="B680" s="13"/>
      <c r="C680" s="13"/>
    </row>
    <row r="681" spans="1:3" ht="13" x14ac:dyDescent="0.15">
      <c r="A681" s="10"/>
      <c r="B681" s="13"/>
      <c r="C681" s="13"/>
    </row>
    <row r="682" spans="1:3" ht="13" x14ac:dyDescent="0.15">
      <c r="A682" s="10"/>
      <c r="B682" s="13"/>
      <c r="C682" s="13"/>
    </row>
    <row r="683" spans="1:3" ht="13" x14ac:dyDescent="0.15">
      <c r="A683" s="10"/>
      <c r="B683" s="13"/>
      <c r="C683" s="13"/>
    </row>
    <row r="684" spans="1:3" ht="13" x14ac:dyDescent="0.15">
      <c r="A684" s="10"/>
      <c r="B684" s="13"/>
      <c r="C684" s="13"/>
    </row>
    <row r="685" spans="1:3" ht="13" x14ac:dyDescent="0.15">
      <c r="A685" s="10"/>
      <c r="B685" s="13"/>
      <c r="C685" s="13"/>
    </row>
    <row r="686" spans="1:3" ht="13" x14ac:dyDescent="0.15">
      <c r="A686" s="10"/>
      <c r="B686" s="13"/>
      <c r="C686" s="13"/>
    </row>
    <row r="687" spans="1:3" ht="13" x14ac:dyDescent="0.15">
      <c r="A687" s="10"/>
      <c r="B687" s="13"/>
      <c r="C687" s="13"/>
    </row>
    <row r="688" spans="1:3" ht="13" x14ac:dyDescent="0.15">
      <c r="A688" s="10"/>
      <c r="B688" s="13"/>
      <c r="C688" s="13"/>
    </row>
    <row r="689" spans="1:3" ht="13" x14ac:dyDescent="0.15">
      <c r="A689" s="10"/>
      <c r="B689" s="13"/>
      <c r="C689" s="13"/>
    </row>
    <row r="690" spans="1:3" ht="13" x14ac:dyDescent="0.15">
      <c r="A690" s="10"/>
      <c r="B690" s="13"/>
      <c r="C690" s="13"/>
    </row>
    <row r="691" spans="1:3" ht="13" x14ac:dyDescent="0.15">
      <c r="A691" s="10"/>
      <c r="B691" s="13"/>
      <c r="C691" s="13"/>
    </row>
    <row r="692" spans="1:3" ht="13" x14ac:dyDescent="0.15">
      <c r="A692" s="10"/>
      <c r="B692" s="13"/>
      <c r="C692" s="13"/>
    </row>
    <row r="693" spans="1:3" ht="13" x14ac:dyDescent="0.15">
      <c r="A693" s="10"/>
      <c r="B693" s="13"/>
      <c r="C693" s="13"/>
    </row>
    <row r="694" spans="1:3" ht="13" x14ac:dyDescent="0.15">
      <c r="A694" s="10"/>
      <c r="B694" s="13"/>
      <c r="C694" s="13"/>
    </row>
    <row r="695" spans="1:3" ht="13" x14ac:dyDescent="0.15">
      <c r="A695" s="10"/>
      <c r="B695" s="13"/>
      <c r="C695" s="13"/>
    </row>
    <row r="696" spans="1:3" ht="13" x14ac:dyDescent="0.15">
      <c r="A696" s="10"/>
      <c r="B696" s="13"/>
      <c r="C696" s="13"/>
    </row>
    <row r="697" spans="1:3" ht="13" x14ac:dyDescent="0.15">
      <c r="A697" s="10"/>
      <c r="B697" s="13"/>
      <c r="C697" s="13"/>
    </row>
    <row r="698" spans="1:3" ht="13" x14ac:dyDescent="0.15">
      <c r="A698" s="10"/>
      <c r="B698" s="13"/>
      <c r="C698" s="13"/>
    </row>
    <row r="699" spans="1:3" ht="13" x14ac:dyDescent="0.15">
      <c r="A699" s="10"/>
      <c r="B699" s="13"/>
      <c r="C699" s="13"/>
    </row>
    <row r="700" spans="1:3" ht="13" x14ac:dyDescent="0.15">
      <c r="A700" s="10"/>
      <c r="B700" s="13"/>
      <c r="C700" s="13"/>
    </row>
    <row r="701" spans="1:3" ht="13" x14ac:dyDescent="0.15">
      <c r="A701" s="10"/>
      <c r="B701" s="13"/>
      <c r="C701" s="13"/>
    </row>
    <row r="702" spans="1:3" ht="13" x14ac:dyDescent="0.15">
      <c r="A702" s="10"/>
      <c r="B702" s="13"/>
      <c r="C702" s="13"/>
    </row>
    <row r="703" spans="1:3" ht="13" x14ac:dyDescent="0.15">
      <c r="A703" s="10"/>
      <c r="B703" s="13"/>
      <c r="C703" s="13"/>
    </row>
    <row r="704" spans="1:3" ht="13" x14ac:dyDescent="0.15">
      <c r="A704" s="10"/>
      <c r="B704" s="13"/>
      <c r="C704" s="13"/>
    </row>
    <row r="705" spans="1:3" ht="13" x14ac:dyDescent="0.15">
      <c r="A705" s="10"/>
      <c r="B705" s="13"/>
      <c r="C705" s="13"/>
    </row>
    <row r="706" spans="1:3" ht="13" x14ac:dyDescent="0.15">
      <c r="A706" s="10"/>
      <c r="B706" s="13"/>
      <c r="C706" s="13"/>
    </row>
    <row r="707" spans="1:3" ht="13" x14ac:dyDescent="0.15">
      <c r="A707" s="10"/>
      <c r="B707" s="13"/>
      <c r="C707" s="13"/>
    </row>
    <row r="708" spans="1:3" ht="13" x14ac:dyDescent="0.15">
      <c r="A708" s="10"/>
      <c r="B708" s="13"/>
      <c r="C708" s="13"/>
    </row>
    <row r="709" spans="1:3" ht="13" x14ac:dyDescent="0.15">
      <c r="A709" s="10"/>
      <c r="B709" s="13"/>
      <c r="C709" s="13"/>
    </row>
    <row r="710" spans="1:3" ht="13" x14ac:dyDescent="0.15">
      <c r="A710" s="10"/>
      <c r="B710" s="13"/>
      <c r="C710" s="13"/>
    </row>
    <row r="711" spans="1:3" ht="13" x14ac:dyDescent="0.15">
      <c r="A711" s="10"/>
      <c r="B711" s="13"/>
      <c r="C711" s="13"/>
    </row>
    <row r="712" spans="1:3" ht="13" x14ac:dyDescent="0.15">
      <c r="A712" s="10"/>
      <c r="B712" s="13"/>
      <c r="C712" s="13"/>
    </row>
    <row r="713" spans="1:3" ht="13" x14ac:dyDescent="0.15">
      <c r="A713" s="10"/>
      <c r="B713" s="13"/>
      <c r="C713" s="13"/>
    </row>
    <row r="714" spans="1:3" ht="13" x14ac:dyDescent="0.15">
      <c r="A714" s="10"/>
      <c r="B714" s="13"/>
      <c r="C714" s="13"/>
    </row>
    <row r="715" spans="1:3" ht="13" x14ac:dyDescent="0.15">
      <c r="A715" s="10"/>
      <c r="B715" s="13"/>
      <c r="C715" s="13"/>
    </row>
    <row r="716" spans="1:3" ht="13" x14ac:dyDescent="0.15">
      <c r="A716" s="10"/>
      <c r="B716" s="13"/>
      <c r="C716" s="13"/>
    </row>
    <row r="717" spans="1:3" ht="13" x14ac:dyDescent="0.15">
      <c r="A717" s="10"/>
      <c r="B717" s="13"/>
      <c r="C717" s="13"/>
    </row>
    <row r="718" spans="1:3" ht="13" x14ac:dyDescent="0.15">
      <c r="A718" s="10"/>
      <c r="B718" s="13"/>
      <c r="C718" s="13"/>
    </row>
    <row r="719" spans="1:3" ht="13" x14ac:dyDescent="0.15">
      <c r="A719" s="10"/>
      <c r="B719" s="13"/>
      <c r="C719" s="13"/>
    </row>
    <row r="720" spans="1:3" ht="13" x14ac:dyDescent="0.15">
      <c r="A720" s="10"/>
      <c r="B720" s="13"/>
      <c r="C720" s="13"/>
    </row>
    <row r="721" spans="1:3" ht="13" x14ac:dyDescent="0.15">
      <c r="A721" s="10"/>
      <c r="B721" s="13"/>
      <c r="C721" s="13"/>
    </row>
    <row r="722" spans="1:3" ht="13" x14ac:dyDescent="0.15">
      <c r="A722" s="10"/>
      <c r="B722" s="13"/>
      <c r="C722" s="13"/>
    </row>
    <row r="723" spans="1:3" ht="13" x14ac:dyDescent="0.15">
      <c r="A723" s="10"/>
      <c r="B723" s="13"/>
      <c r="C723" s="13"/>
    </row>
    <row r="724" spans="1:3" ht="13" x14ac:dyDescent="0.15">
      <c r="A724" s="10"/>
      <c r="B724" s="13"/>
      <c r="C724" s="13"/>
    </row>
    <row r="725" spans="1:3" ht="13" x14ac:dyDescent="0.15">
      <c r="A725" s="10"/>
      <c r="B725" s="13"/>
      <c r="C725" s="13"/>
    </row>
    <row r="726" spans="1:3" ht="13" x14ac:dyDescent="0.15">
      <c r="A726" s="10"/>
      <c r="B726" s="13"/>
      <c r="C726" s="13"/>
    </row>
    <row r="727" spans="1:3" ht="13" x14ac:dyDescent="0.15">
      <c r="A727" s="10"/>
      <c r="B727" s="13"/>
      <c r="C727" s="13"/>
    </row>
    <row r="728" spans="1:3" ht="13" x14ac:dyDescent="0.15">
      <c r="A728" s="10"/>
      <c r="B728" s="13"/>
      <c r="C728" s="13"/>
    </row>
    <row r="729" spans="1:3" ht="13" x14ac:dyDescent="0.15">
      <c r="A729" s="10"/>
      <c r="B729" s="13"/>
      <c r="C729" s="13"/>
    </row>
    <row r="730" spans="1:3" ht="13" x14ac:dyDescent="0.15">
      <c r="A730" s="10"/>
      <c r="B730" s="13"/>
      <c r="C730" s="13"/>
    </row>
    <row r="731" spans="1:3" ht="13" x14ac:dyDescent="0.15">
      <c r="A731" s="10"/>
      <c r="B731" s="13"/>
      <c r="C731" s="13"/>
    </row>
    <row r="732" spans="1:3" ht="13" x14ac:dyDescent="0.15">
      <c r="A732" s="10"/>
      <c r="B732" s="13"/>
      <c r="C732" s="13"/>
    </row>
    <row r="733" spans="1:3" ht="13" x14ac:dyDescent="0.15">
      <c r="A733" s="10"/>
      <c r="B733" s="13"/>
      <c r="C733" s="13"/>
    </row>
    <row r="734" spans="1:3" ht="13" x14ac:dyDescent="0.15">
      <c r="A734" s="10"/>
      <c r="B734" s="13"/>
      <c r="C734" s="13"/>
    </row>
    <row r="735" spans="1:3" ht="13" x14ac:dyDescent="0.15">
      <c r="A735" s="10"/>
      <c r="B735" s="13"/>
      <c r="C735" s="13"/>
    </row>
    <row r="736" spans="1:3" ht="13" x14ac:dyDescent="0.15">
      <c r="A736" s="10"/>
      <c r="B736" s="13"/>
      <c r="C736" s="13"/>
    </row>
    <row r="737" spans="1:3" ht="13" x14ac:dyDescent="0.15">
      <c r="A737" s="10"/>
      <c r="B737" s="13"/>
      <c r="C737" s="13"/>
    </row>
    <row r="738" spans="1:3" ht="13" x14ac:dyDescent="0.15">
      <c r="A738" s="10"/>
      <c r="B738" s="13"/>
      <c r="C738" s="13"/>
    </row>
    <row r="739" spans="1:3" ht="13" x14ac:dyDescent="0.15">
      <c r="A739" s="10"/>
      <c r="B739" s="13"/>
      <c r="C739" s="13"/>
    </row>
    <row r="740" spans="1:3" ht="13" x14ac:dyDescent="0.15">
      <c r="A740" s="10"/>
      <c r="B740" s="13"/>
      <c r="C740" s="13"/>
    </row>
    <row r="741" spans="1:3" ht="13" x14ac:dyDescent="0.15">
      <c r="A741" s="10"/>
      <c r="B741" s="13"/>
      <c r="C741" s="13"/>
    </row>
    <row r="742" spans="1:3" ht="13" x14ac:dyDescent="0.15">
      <c r="A742" s="10"/>
      <c r="B742" s="13"/>
      <c r="C742" s="13"/>
    </row>
    <row r="743" spans="1:3" ht="13" x14ac:dyDescent="0.15">
      <c r="A743" s="10"/>
      <c r="B743" s="13"/>
      <c r="C743" s="13"/>
    </row>
    <row r="744" spans="1:3" ht="13" x14ac:dyDescent="0.15">
      <c r="A744" s="10"/>
      <c r="B744" s="13"/>
      <c r="C744" s="13"/>
    </row>
    <row r="745" spans="1:3" ht="13" x14ac:dyDescent="0.15">
      <c r="A745" s="10"/>
      <c r="B745" s="13"/>
      <c r="C745" s="13"/>
    </row>
    <row r="746" spans="1:3" ht="13" x14ac:dyDescent="0.15">
      <c r="A746" s="10"/>
      <c r="B746" s="13"/>
      <c r="C746" s="13"/>
    </row>
    <row r="747" spans="1:3" ht="13" x14ac:dyDescent="0.15">
      <c r="A747" s="10"/>
      <c r="B747" s="13"/>
      <c r="C747" s="13"/>
    </row>
    <row r="748" spans="1:3" ht="13" x14ac:dyDescent="0.15">
      <c r="A748" s="10"/>
      <c r="B748" s="13"/>
      <c r="C748" s="13"/>
    </row>
    <row r="749" spans="1:3" ht="13" x14ac:dyDescent="0.15">
      <c r="A749" s="10"/>
      <c r="B749" s="13"/>
      <c r="C749" s="13"/>
    </row>
    <row r="750" spans="1:3" ht="13" x14ac:dyDescent="0.15">
      <c r="A750" s="10"/>
      <c r="B750" s="13"/>
      <c r="C750" s="13"/>
    </row>
    <row r="751" spans="1:3" ht="13" x14ac:dyDescent="0.15">
      <c r="A751" s="10"/>
      <c r="B751" s="13"/>
      <c r="C751" s="13"/>
    </row>
    <row r="752" spans="1:3" ht="13" x14ac:dyDescent="0.15">
      <c r="A752" s="10"/>
      <c r="B752" s="13"/>
      <c r="C752" s="13"/>
    </row>
    <row r="753" spans="1:3" ht="13" x14ac:dyDescent="0.15">
      <c r="A753" s="10"/>
      <c r="B753" s="13"/>
      <c r="C753" s="13"/>
    </row>
    <row r="754" spans="1:3" ht="13" x14ac:dyDescent="0.15">
      <c r="A754" s="10"/>
      <c r="B754" s="13"/>
      <c r="C754" s="13"/>
    </row>
    <row r="755" spans="1:3" ht="13" x14ac:dyDescent="0.15">
      <c r="A755" s="10"/>
      <c r="B755" s="13"/>
      <c r="C755" s="13"/>
    </row>
    <row r="756" spans="1:3" ht="13" x14ac:dyDescent="0.15">
      <c r="A756" s="10"/>
      <c r="B756" s="13"/>
      <c r="C756" s="13"/>
    </row>
    <row r="757" spans="1:3" ht="13" x14ac:dyDescent="0.15">
      <c r="A757" s="10"/>
      <c r="B757" s="13"/>
      <c r="C757" s="13"/>
    </row>
    <row r="758" spans="1:3" ht="13" x14ac:dyDescent="0.15">
      <c r="A758" s="10"/>
      <c r="B758" s="13"/>
      <c r="C758" s="13"/>
    </row>
    <row r="759" spans="1:3" ht="13" x14ac:dyDescent="0.15">
      <c r="A759" s="10"/>
      <c r="B759" s="13"/>
      <c r="C759" s="13"/>
    </row>
    <row r="760" spans="1:3" ht="13" x14ac:dyDescent="0.15">
      <c r="A760" s="10"/>
      <c r="B760" s="13"/>
      <c r="C760" s="13"/>
    </row>
    <row r="761" spans="1:3" ht="13" x14ac:dyDescent="0.15">
      <c r="A761" s="10"/>
      <c r="B761" s="13"/>
      <c r="C761" s="13"/>
    </row>
    <row r="762" spans="1:3" ht="13" x14ac:dyDescent="0.15">
      <c r="A762" s="10"/>
      <c r="B762" s="13"/>
      <c r="C762" s="13"/>
    </row>
    <row r="763" spans="1:3" ht="13" x14ac:dyDescent="0.15">
      <c r="A763" s="10"/>
      <c r="B763" s="13"/>
      <c r="C763" s="13"/>
    </row>
    <row r="764" spans="1:3" ht="13" x14ac:dyDescent="0.15">
      <c r="A764" s="10"/>
      <c r="B764" s="13"/>
      <c r="C764" s="13"/>
    </row>
    <row r="765" spans="1:3" ht="13" x14ac:dyDescent="0.15">
      <c r="A765" s="10"/>
      <c r="B765" s="13"/>
      <c r="C765" s="13"/>
    </row>
    <row r="766" spans="1:3" ht="13" x14ac:dyDescent="0.15">
      <c r="A766" s="10"/>
      <c r="B766" s="13"/>
      <c r="C766" s="13"/>
    </row>
    <row r="767" spans="1:3" ht="13" x14ac:dyDescent="0.15">
      <c r="A767" s="10"/>
      <c r="B767" s="13"/>
      <c r="C767" s="13"/>
    </row>
    <row r="768" spans="1:3" ht="13" x14ac:dyDescent="0.15">
      <c r="A768" s="10"/>
      <c r="B768" s="13"/>
      <c r="C768" s="13"/>
    </row>
    <row r="769" spans="1:3" ht="13" x14ac:dyDescent="0.15">
      <c r="A769" s="10"/>
      <c r="B769" s="13"/>
      <c r="C769" s="13"/>
    </row>
    <row r="770" spans="1:3" ht="13" x14ac:dyDescent="0.15">
      <c r="A770" s="10"/>
      <c r="B770" s="13"/>
      <c r="C770" s="13"/>
    </row>
    <row r="771" spans="1:3" ht="13" x14ac:dyDescent="0.15">
      <c r="A771" s="10"/>
      <c r="B771" s="13"/>
      <c r="C771" s="13"/>
    </row>
    <row r="772" spans="1:3" ht="13" x14ac:dyDescent="0.15">
      <c r="A772" s="10"/>
      <c r="B772" s="13"/>
      <c r="C772" s="13"/>
    </row>
    <row r="773" spans="1:3" ht="13" x14ac:dyDescent="0.15">
      <c r="A773" s="10"/>
      <c r="B773" s="13"/>
      <c r="C773" s="13"/>
    </row>
    <row r="774" spans="1:3" ht="13" x14ac:dyDescent="0.15">
      <c r="A774" s="10"/>
      <c r="B774" s="13"/>
      <c r="C774" s="13"/>
    </row>
    <row r="775" spans="1:3" ht="13" x14ac:dyDescent="0.15">
      <c r="A775" s="10"/>
      <c r="B775" s="13"/>
      <c r="C775" s="13"/>
    </row>
    <row r="776" spans="1:3" ht="13" x14ac:dyDescent="0.15">
      <c r="A776" s="10"/>
      <c r="B776" s="13"/>
      <c r="C776" s="13"/>
    </row>
    <row r="777" spans="1:3" ht="13" x14ac:dyDescent="0.15">
      <c r="A777" s="10"/>
      <c r="B777" s="13"/>
      <c r="C777" s="13"/>
    </row>
    <row r="778" spans="1:3" ht="13" x14ac:dyDescent="0.15">
      <c r="A778" s="10"/>
      <c r="B778" s="13"/>
      <c r="C778" s="13"/>
    </row>
    <row r="779" spans="1:3" ht="13" x14ac:dyDescent="0.15">
      <c r="A779" s="10"/>
      <c r="B779" s="13"/>
      <c r="C779" s="13"/>
    </row>
    <row r="780" spans="1:3" ht="13" x14ac:dyDescent="0.15">
      <c r="A780" s="10"/>
      <c r="B780" s="13"/>
      <c r="C780" s="13"/>
    </row>
    <row r="781" spans="1:3" ht="13" x14ac:dyDescent="0.15">
      <c r="A781" s="10"/>
      <c r="B781" s="13"/>
      <c r="C781" s="13"/>
    </row>
    <row r="782" spans="1:3" ht="13" x14ac:dyDescent="0.15">
      <c r="A782" s="10"/>
      <c r="B782" s="13"/>
      <c r="C782" s="13"/>
    </row>
    <row r="783" spans="1:3" ht="13" x14ac:dyDescent="0.15">
      <c r="A783" s="10"/>
      <c r="B783" s="13"/>
      <c r="C783" s="13"/>
    </row>
    <row r="784" spans="1:3" ht="13" x14ac:dyDescent="0.15">
      <c r="A784" s="10"/>
      <c r="B784" s="13"/>
      <c r="C784" s="13"/>
    </row>
    <row r="785" spans="1:3" ht="13" x14ac:dyDescent="0.15">
      <c r="A785" s="10"/>
      <c r="B785" s="13"/>
      <c r="C785" s="13"/>
    </row>
    <row r="786" spans="1:3" ht="13" x14ac:dyDescent="0.15">
      <c r="A786" s="10"/>
      <c r="B786" s="13"/>
      <c r="C786" s="13"/>
    </row>
    <row r="787" spans="1:3" ht="13" x14ac:dyDescent="0.15">
      <c r="A787" s="10"/>
      <c r="B787" s="13"/>
      <c r="C787" s="13"/>
    </row>
    <row r="788" spans="1:3" ht="13" x14ac:dyDescent="0.15">
      <c r="A788" s="10"/>
      <c r="B788" s="13"/>
      <c r="C788" s="13"/>
    </row>
    <row r="789" spans="1:3" ht="13" x14ac:dyDescent="0.15">
      <c r="A789" s="10"/>
      <c r="B789" s="13"/>
      <c r="C789" s="13"/>
    </row>
    <row r="790" spans="1:3" ht="13" x14ac:dyDescent="0.15">
      <c r="A790" s="10"/>
      <c r="B790" s="13"/>
      <c r="C790" s="13"/>
    </row>
    <row r="791" spans="1:3" ht="13" x14ac:dyDescent="0.15">
      <c r="A791" s="10"/>
      <c r="B791" s="13"/>
      <c r="C791" s="13"/>
    </row>
    <row r="792" spans="1:3" ht="13" x14ac:dyDescent="0.15">
      <c r="A792" s="10"/>
      <c r="B792" s="13"/>
      <c r="C792" s="13"/>
    </row>
    <row r="793" spans="1:3" ht="13" x14ac:dyDescent="0.15">
      <c r="A793" s="10"/>
      <c r="B793" s="13"/>
      <c r="C793" s="13"/>
    </row>
    <row r="794" spans="1:3" ht="13" x14ac:dyDescent="0.15">
      <c r="A794" s="10"/>
      <c r="B794" s="13"/>
      <c r="C794" s="13"/>
    </row>
    <row r="795" spans="1:3" ht="13" x14ac:dyDescent="0.15">
      <c r="A795" s="10"/>
      <c r="B795" s="13"/>
      <c r="C795" s="13"/>
    </row>
    <row r="796" spans="1:3" ht="13" x14ac:dyDescent="0.15">
      <c r="A796" s="10"/>
      <c r="B796" s="13"/>
      <c r="C796" s="13"/>
    </row>
    <row r="797" spans="1:3" ht="13" x14ac:dyDescent="0.15">
      <c r="A797" s="10"/>
      <c r="B797" s="13"/>
      <c r="C797" s="13"/>
    </row>
    <row r="798" spans="1:3" ht="13" x14ac:dyDescent="0.15">
      <c r="A798" s="10"/>
      <c r="B798" s="13"/>
      <c r="C798" s="13"/>
    </row>
    <row r="799" spans="1:3" ht="13" x14ac:dyDescent="0.15">
      <c r="A799" s="10"/>
      <c r="B799" s="13"/>
      <c r="C799" s="13"/>
    </row>
    <row r="800" spans="1:3" ht="13" x14ac:dyDescent="0.15">
      <c r="A800" s="10"/>
      <c r="B800" s="13"/>
      <c r="C800" s="13"/>
    </row>
    <row r="801" spans="1:3" ht="13" x14ac:dyDescent="0.15">
      <c r="A801" s="10"/>
      <c r="B801" s="13"/>
      <c r="C801" s="13"/>
    </row>
    <row r="802" spans="1:3" ht="13" x14ac:dyDescent="0.15">
      <c r="A802" s="10"/>
      <c r="B802" s="13"/>
      <c r="C802" s="13"/>
    </row>
    <row r="803" spans="1:3" ht="13" x14ac:dyDescent="0.15">
      <c r="A803" s="10"/>
      <c r="B803" s="13"/>
      <c r="C803" s="13"/>
    </row>
    <row r="804" spans="1:3" ht="13" x14ac:dyDescent="0.15">
      <c r="A804" s="10"/>
      <c r="B804" s="13"/>
      <c r="C804" s="13"/>
    </row>
    <row r="805" spans="1:3" ht="13" x14ac:dyDescent="0.15">
      <c r="A805" s="10"/>
      <c r="B805" s="13"/>
      <c r="C805" s="13"/>
    </row>
    <row r="806" spans="1:3" ht="13" x14ac:dyDescent="0.15">
      <c r="A806" s="10"/>
      <c r="B806" s="13"/>
      <c r="C806" s="13"/>
    </row>
    <row r="807" spans="1:3" ht="13" x14ac:dyDescent="0.15">
      <c r="A807" s="10"/>
      <c r="B807" s="13"/>
      <c r="C807" s="13"/>
    </row>
    <row r="808" spans="1:3" ht="13" x14ac:dyDescent="0.15">
      <c r="A808" s="10"/>
      <c r="B808" s="13"/>
      <c r="C808" s="13"/>
    </row>
    <row r="809" spans="1:3" ht="13" x14ac:dyDescent="0.15">
      <c r="A809" s="10"/>
      <c r="B809" s="13"/>
      <c r="C809" s="13"/>
    </row>
    <row r="810" spans="1:3" ht="13" x14ac:dyDescent="0.15">
      <c r="A810" s="10"/>
      <c r="B810" s="13"/>
      <c r="C810" s="13"/>
    </row>
    <row r="811" spans="1:3" ht="13" x14ac:dyDescent="0.15">
      <c r="A811" s="10"/>
      <c r="B811" s="13"/>
      <c r="C811" s="13"/>
    </row>
    <row r="812" spans="1:3" ht="13" x14ac:dyDescent="0.15">
      <c r="A812" s="10"/>
      <c r="B812" s="13"/>
      <c r="C812" s="13"/>
    </row>
    <row r="813" spans="1:3" ht="13" x14ac:dyDescent="0.15">
      <c r="A813" s="10"/>
      <c r="B813" s="13"/>
      <c r="C813" s="13"/>
    </row>
    <row r="814" spans="1:3" ht="13" x14ac:dyDescent="0.15">
      <c r="A814" s="10"/>
      <c r="B814" s="13"/>
      <c r="C814" s="13"/>
    </row>
    <row r="815" spans="1:3" ht="13" x14ac:dyDescent="0.15">
      <c r="A815" s="10"/>
      <c r="B815" s="13"/>
      <c r="C815" s="13"/>
    </row>
    <row r="816" spans="1:3" ht="13" x14ac:dyDescent="0.15">
      <c r="A816" s="10"/>
      <c r="B816" s="13"/>
      <c r="C816" s="13"/>
    </row>
    <row r="817" spans="1:3" ht="13" x14ac:dyDescent="0.15">
      <c r="A817" s="10"/>
      <c r="B817" s="13"/>
      <c r="C817" s="13"/>
    </row>
    <row r="818" spans="1:3" ht="13" x14ac:dyDescent="0.15">
      <c r="A818" s="10"/>
      <c r="B818" s="13"/>
      <c r="C818" s="13"/>
    </row>
    <row r="819" spans="1:3" ht="13" x14ac:dyDescent="0.15">
      <c r="A819" s="10"/>
      <c r="B819" s="13"/>
      <c r="C819" s="13"/>
    </row>
    <row r="820" spans="1:3" ht="13" x14ac:dyDescent="0.15">
      <c r="A820" s="10"/>
      <c r="B820" s="13"/>
      <c r="C820" s="13"/>
    </row>
    <row r="821" spans="1:3" ht="13" x14ac:dyDescent="0.15">
      <c r="A821" s="10"/>
      <c r="B821" s="13"/>
      <c r="C821" s="13"/>
    </row>
    <row r="822" spans="1:3" ht="13" x14ac:dyDescent="0.15">
      <c r="A822" s="10"/>
      <c r="B822" s="13"/>
      <c r="C822" s="13"/>
    </row>
    <row r="823" spans="1:3" ht="13" x14ac:dyDescent="0.15">
      <c r="A823" s="10"/>
      <c r="B823" s="13"/>
      <c r="C823" s="13"/>
    </row>
    <row r="824" spans="1:3" ht="13" x14ac:dyDescent="0.15">
      <c r="A824" s="10"/>
      <c r="B824" s="13"/>
      <c r="C824" s="13"/>
    </row>
    <row r="825" spans="1:3" ht="13" x14ac:dyDescent="0.15">
      <c r="A825" s="10"/>
      <c r="B825" s="13"/>
      <c r="C825" s="13"/>
    </row>
    <row r="826" spans="1:3" ht="13" x14ac:dyDescent="0.15">
      <c r="A826" s="10"/>
      <c r="B826" s="13"/>
      <c r="C826" s="13"/>
    </row>
    <row r="827" spans="1:3" ht="13" x14ac:dyDescent="0.15">
      <c r="A827" s="10"/>
      <c r="B827" s="13"/>
      <c r="C827" s="13"/>
    </row>
    <row r="828" spans="1:3" ht="13" x14ac:dyDescent="0.15">
      <c r="A828" s="10"/>
      <c r="B828" s="13"/>
      <c r="C828" s="13"/>
    </row>
    <row r="829" spans="1:3" ht="13" x14ac:dyDescent="0.15">
      <c r="A829" s="10"/>
      <c r="B829" s="13"/>
      <c r="C829" s="13"/>
    </row>
    <row r="830" spans="1:3" ht="13" x14ac:dyDescent="0.15">
      <c r="A830" s="10"/>
      <c r="B830" s="13"/>
      <c r="C830" s="13"/>
    </row>
    <row r="831" spans="1:3" ht="13" x14ac:dyDescent="0.15">
      <c r="A831" s="10"/>
      <c r="B831" s="13"/>
      <c r="C831" s="13"/>
    </row>
    <row r="832" spans="1:3" ht="13" x14ac:dyDescent="0.15">
      <c r="A832" s="10"/>
      <c r="B832" s="13"/>
      <c r="C832" s="13"/>
    </row>
    <row r="833" spans="1:3" ht="13" x14ac:dyDescent="0.15">
      <c r="A833" s="10"/>
      <c r="B833" s="13"/>
      <c r="C833" s="13"/>
    </row>
    <row r="834" spans="1:3" ht="13" x14ac:dyDescent="0.15">
      <c r="A834" s="10"/>
      <c r="B834" s="13"/>
      <c r="C834" s="13"/>
    </row>
    <row r="835" spans="1:3" ht="13" x14ac:dyDescent="0.15">
      <c r="A835" s="10"/>
      <c r="B835" s="13"/>
      <c r="C835" s="13"/>
    </row>
    <row r="836" spans="1:3" ht="13" x14ac:dyDescent="0.15">
      <c r="A836" s="10"/>
      <c r="B836" s="13"/>
      <c r="C836" s="13"/>
    </row>
    <row r="837" spans="1:3" ht="13" x14ac:dyDescent="0.15">
      <c r="A837" s="10"/>
      <c r="B837" s="13"/>
      <c r="C837" s="13"/>
    </row>
    <row r="838" spans="1:3" ht="13" x14ac:dyDescent="0.15">
      <c r="A838" s="10"/>
      <c r="B838" s="13"/>
      <c r="C838" s="13"/>
    </row>
    <row r="839" spans="1:3" ht="13" x14ac:dyDescent="0.15">
      <c r="A839" s="10"/>
      <c r="B839" s="13"/>
      <c r="C839" s="13"/>
    </row>
    <row r="840" spans="1:3" ht="13" x14ac:dyDescent="0.15">
      <c r="A840" s="10"/>
      <c r="B840" s="13"/>
      <c r="C840" s="13"/>
    </row>
    <row r="841" spans="1:3" ht="13" x14ac:dyDescent="0.15">
      <c r="A841" s="10"/>
      <c r="B841" s="13"/>
      <c r="C841" s="13"/>
    </row>
    <row r="842" spans="1:3" ht="13" x14ac:dyDescent="0.15">
      <c r="A842" s="10"/>
      <c r="B842" s="13"/>
      <c r="C842" s="13"/>
    </row>
    <row r="843" spans="1:3" ht="13" x14ac:dyDescent="0.15">
      <c r="A843" s="10"/>
      <c r="B843" s="13"/>
      <c r="C843" s="13"/>
    </row>
    <row r="844" spans="1:3" ht="13" x14ac:dyDescent="0.15">
      <c r="A844" s="10"/>
      <c r="B844" s="13"/>
      <c r="C844" s="13"/>
    </row>
    <row r="845" spans="1:3" ht="13" x14ac:dyDescent="0.15">
      <c r="A845" s="10"/>
      <c r="B845" s="13"/>
      <c r="C845" s="13"/>
    </row>
    <row r="846" spans="1:3" ht="13" x14ac:dyDescent="0.15">
      <c r="A846" s="10"/>
      <c r="B846" s="13"/>
      <c r="C846" s="13"/>
    </row>
    <row r="847" spans="1:3" ht="13" x14ac:dyDescent="0.15">
      <c r="A847" s="10"/>
      <c r="B847" s="13"/>
      <c r="C847" s="13"/>
    </row>
    <row r="848" spans="1:3" ht="13" x14ac:dyDescent="0.15">
      <c r="A848" s="10"/>
      <c r="B848" s="13"/>
      <c r="C848" s="13"/>
    </row>
    <row r="849" spans="1:3" ht="13" x14ac:dyDescent="0.15">
      <c r="A849" s="10"/>
      <c r="B849" s="13"/>
      <c r="C849" s="13"/>
    </row>
    <row r="850" spans="1:3" ht="13" x14ac:dyDescent="0.15">
      <c r="A850" s="10"/>
      <c r="B850" s="13"/>
      <c r="C850" s="13"/>
    </row>
    <row r="851" spans="1:3" ht="13" x14ac:dyDescent="0.15">
      <c r="A851" s="10"/>
      <c r="B851" s="13"/>
      <c r="C851" s="13"/>
    </row>
    <row r="852" spans="1:3" ht="13" x14ac:dyDescent="0.15">
      <c r="A852" s="10"/>
      <c r="B852" s="13"/>
      <c r="C852" s="13"/>
    </row>
    <row r="853" spans="1:3" ht="13" x14ac:dyDescent="0.15">
      <c r="A853" s="10"/>
      <c r="B853" s="13"/>
      <c r="C853" s="13"/>
    </row>
    <row r="854" spans="1:3" ht="13" x14ac:dyDescent="0.15">
      <c r="A854" s="10"/>
      <c r="B854" s="13"/>
      <c r="C854" s="13"/>
    </row>
    <row r="855" spans="1:3" ht="13" x14ac:dyDescent="0.15">
      <c r="A855" s="10"/>
      <c r="B855" s="13"/>
      <c r="C855" s="13"/>
    </row>
    <row r="856" spans="1:3" ht="13" x14ac:dyDescent="0.15">
      <c r="A856" s="10"/>
      <c r="B856" s="13"/>
      <c r="C856" s="13"/>
    </row>
    <row r="857" spans="1:3" ht="13" x14ac:dyDescent="0.15">
      <c r="A857" s="10"/>
      <c r="B857" s="13"/>
      <c r="C857" s="13"/>
    </row>
    <row r="858" spans="1:3" ht="13" x14ac:dyDescent="0.15">
      <c r="A858" s="10"/>
      <c r="B858" s="13"/>
      <c r="C858" s="13"/>
    </row>
    <row r="859" spans="1:3" ht="13" x14ac:dyDescent="0.15">
      <c r="A859" s="10"/>
      <c r="B859" s="13"/>
      <c r="C859" s="13"/>
    </row>
    <row r="860" spans="1:3" ht="13" x14ac:dyDescent="0.15">
      <c r="A860" s="10"/>
      <c r="B860" s="13"/>
      <c r="C860" s="13"/>
    </row>
    <row r="861" spans="1:3" ht="13" x14ac:dyDescent="0.15">
      <c r="A861" s="10"/>
      <c r="B861" s="13"/>
      <c r="C861" s="13"/>
    </row>
    <row r="862" spans="1:3" ht="13" x14ac:dyDescent="0.15">
      <c r="A862" s="10"/>
      <c r="B862" s="13"/>
      <c r="C862" s="13"/>
    </row>
    <row r="863" spans="1:3" ht="13" x14ac:dyDescent="0.15">
      <c r="A863" s="10"/>
      <c r="B863" s="13"/>
      <c r="C863" s="13"/>
    </row>
    <row r="864" spans="1:3" ht="13" x14ac:dyDescent="0.15">
      <c r="A864" s="10"/>
      <c r="B864" s="13"/>
      <c r="C864" s="13"/>
    </row>
    <row r="865" spans="1:3" ht="13" x14ac:dyDescent="0.15">
      <c r="A865" s="10"/>
      <c r="B865" s="13"/>
      <c r="C865" s="13"/>
    </row>
    <row r="866" spans="1:3" ht="13" x14ac:dyDescent="0.15">
      <c r="A866" s="10"/>
      <c r="B866" s="13"/>
      <c r="C866" s="13"/>
    </row>
    <row r="867" spans="1:3" ht="13" x14ac:dyDescent="0.15">
      <c r="A867" s="10"/>
      <c r="B867" s="13"/>
      <c r="C867" s="13"/>
    </row>
    <row r="868" spans="1:3" ht="13" x14ac:dyDescent="0.15">
      <c r="A868" s="10"/>
      <c r="B868" s="13"/>
      <c r="C868" s="13"/>
    </row>
    <row r="869" spans="1:3" ht="13" x14ac:dyDescent="0.15">
      <c r="A869" s="10"/>
      <c r="B869" s="13"/>
      <c r="C869" s="13"/>
    </row>
    <row r="870" spans="1:3" ht="13" x14ac:dyDescent="0.15">
      <c r="A870" s="10"/>
      <c r="B870" s="13"/>
      <c r="C870" s="13"/>
    </row>
    <row r="871" spans="1:3" ht="13" x14ac:dyDescent="0.15">
      <c r="A871" s="10"/>
      <c r="B871" s="13"/>
      <c r="C871" s="13"/>
    </row>
    <row r="872" spans="1:3" ht="13" x14ac:dyDescent="0.15">
      <c r="A872" s="10"/>
      <c r="B872" s="13"/>
      <c r="C872" s="13"/>
    </row>
    <row r="873" spans="1:3" ht="13" x14ac:dyDescent="0.15">
      <c r="A873" s="10"/>
      <c r="B873" s="13"/>
      <c r="C873" s="13"/>
    </row>
    <row r="874" spans="1:3" ht="13" x14ac:dyDescent="0.15">
      <c r="A874" s="10"/>
      <c r="B874" s="13"/>
      <c r="C874" s="13"/>
    </row>
    <row r="875" spans="1:3" ht="13" x14ac:dyDescent="0.15">
      <c r="A875" s="10"/>
      <c r="B875" s="13"/>
      <c r="C875" s="13"/>
    </row>
    <row r="876" spans="1:3" ht="13" x14ac:dyDescent="0.15">
      <c r="A876" s="10"/>
      <c r="B876" s="13"/>
      <c r="C876" s="13"/>
    </row>
    <row r="877" spans="1:3" ht="13" x14ac:dyDescent="0.15">
      <c r="A877" s="10"/>
      <c r="B877" s="13"/>
      <c r="C877" s="13"/>
    </row>
    <row r="878" spans="1:3" ht="13" x14ac:dyDescent="0.15">
      <c r="A878" s="10"/>
      <c r="B878" s="13"/>
      <c r="C878" s="13"/>
    </row>
    <row r="879" spans="1:3" ht="13" x14ac:dyDescent="0.15">
      <c r="A879" s="10"/>
      <c r="B879" s="13"/>
      <c r="C879" s="13"/>
    </row>
    <row r="880" spans="1:3" ht="13" x14ac:dyDescent="0.15">
      <c r="A880" s="10"/>
      <c r="B880" s="13"/>
      <c r="C880" s="13"/>
    </row>
    <row r="881" spans="1:3" ht="13" x14ac:dyDescent="0.15">
      <c r="A881" s="10"/>
      <c r="B881" s="13"/>
      <c r="C881" s="13"/>
    </row>
    <row r="882" spans="1:3" ht="13" x14ac:dyDescent="0.15">
      <c r="A882" s="10"/>
      <c r="B882" s="13"/>
      <c r="C882" s="13"/>
    </row>
    <row r="883" spans="1:3" ht="13" x14ac:dyDescent="0.15">
      <c r="A883" s="10"/>
      <c r="B883" s="13"/>
      <c r="C883" s="13"/>
    </row>
    <row r="884" spans="1:3" ht="13" x14ac:dyDescent="0.15">
      <c r="A884" s="10"/>
      <c r="B884" s="13"/>
      <c r="C884" s="13"/>
    </row>
    <row r="885" spans="1:3" ht="13" x14ac:dyDescent="0.15">
      <c r="A885" s="10"/>
      <c r="B885" s="13"/>
      <c r="C885" s="13"/>
    </row>
    <row r="886" spans="1:3" ht="13" x14ac:dyDescent="0.15">
      <c r="A886" s="10"/>
      <c r="B886" s="13"/>
      <c r="C886" s="13"/>
    </row>
    <row r="887" spans="1:3" ht="13" x14ac:dyDescent="0.15">
      <c r="A887" s="10"/>
      <c r="B887" s="13"/>
      <c r="C887" s="13"/>
    </row>
    <row r="888" spans="1:3" ht="13" x14ac:dyDescent="0.15">
      <c r="A888" s="10"/>
      <c r="B888" s="13"/>
      <c r="C888" s="13"/>
    </row>
    <row r="889" spans="1:3" ht="13" x14ac:dyDescent="0.15">
      <c r="A889" s="10"/>
      <c r="B889" s="13"/>
      <c r="C889" s="13"/>
    </row>
    <row r="890" spans="1:3" ht="13" x14ac:dyDescent="0.15">
      <c r="A890" s="10"/>
      <c r="B890" s="13"/>
      <c r="C890" s="13"/>
    </row>
    <row r="891" spans="1:3" ht="13" x14ac:dyDescent="0.15">
      <c r="A891" s="10"/>
      <c r="B891" s="13"/>
      <c r="C891" s="13"/>
    </row>
    <row r="892" spans="1:3" ht="13" x14ac:dyDescent="0.15">
      <c r="A892" s="10"/>
      <c r="B892" s="13"/>
      <c r="C892" s="13"/>
    </row>
    <row r="893" spans="1:3" ht="13" x14ac:dyDescent="0.15">
      <c r="A893" s="10"/>
      <c r="B893" s="13"/>
      <c r="C893" s="13"/>
    </row>
    <row r="894" spans="1:3" ht="13" x14ac:dyDescent="0.15">
      <c r="A894" s="10"/>
      <c r="B894" s="13"/>
      <c r="C894" s="13"/>
    </row>
    <row r="895" spans="1:3" ht="13" x14ac:dyDescent="0.15">
      <c r="A895" s="10"/>
      <c r="B895" s="13"/>
      <c r="C895" s="13"/>
    </row>
    <row r="896" spans="1:3" ht="13" x14ac:dyDescent="0.15">
      <c r="A896" s="10"/>
      <c r="B896" s="13"/>
      <c r="C896" s="13"/>
    </row>
    <row r="897" spans="1:3" ht="13" x14ac:dyDescent="0.15">
      <c r="A897" s="10"/>
      <c r="B897" s="13"/>
      <c r="C897" s="13"/>
    </row>
    <row r="898" spans="1:3" ht="13" x14ac:dyDescent="0.15">
      <c r="A898" s="10"/>
      <c r="B898" s="13"/>
      <c r="C898" s="13"/>
    </row>
    <row r="899" spans="1:3" ht="13" x14ac:dyDescent="0.15">
      <c r="A899" s="10"/>
      <c r="B899" s="13"/>
      <c r="C899" s="13"/>
    </row>
    <row r="900" spans="1:3" ht="13" x14ac:dyDescent="0.15">
      <c r="A900" s="10"/>
      <c r="B900" s="13"/>
      <c r="C900" s="13"/>
    </row>
    <row r="901" spans="1:3" ht="13" x14ac:dyDescent="0.15">
      <c r="A901" s="10"/>
      <c r="B901" s="13"/>
      <c r="C901" s="13"/>
    </row>
    <row r="902" spans="1:3" ht="13" x14ac:dyDescent="0.15">
      <c r="A902" s="10"/>
      <c r="B902" s="13"/>
      <c r="C902" s="13"/>
    </row>
    <row r="903" spans="1:3" ht="13" x14ac:dyDescent="0.15">
      <c r="A903" s="10"/>
      <c r="B903" s="13"/>
      <c r="C903" s="13"/>
    </row>
    <row r="904" spans="1:3" ht="13" x14ac:dyDescent="0.15">
      <c r="A904" s="10"/>
      <c r="B904" s="13"/>
      <c r="C904" s="13"/>
    </row>
    <row r="905" spans="1:3" ht="13" x14ac:dyDescent="0.15">
      <c r="A905" s="10"/>
      <c r="B905" s="13"/>
      <c r="C905" s="13"/>
    </row>
    <row r="906" spans="1:3" ht="13" x14ac:dyDescent="0.15">
      <c r="A906" s="10"/>
      <c r="B906" s="13"/>
      <c r="C906" s="13"/>
    </row>
    <row r="907" spans="1:3" ht="13" x14ac:dyDescent="0.15">
      <c r="A907" s="10"/>
      <c r="B907" s="13"/>
      <c r="C907" s="13"/>
    </row>
    <row r="908" spans="1:3" ht="13" x14ac:dyDescent="0.15">
      <c r="A908" s="10"/>
      <c r="B908" s="13"/>
      <c r="C908" s="13"/>
    </row>
    <row r="909" spans="1:3" ht="13" x14ac:dyDescent="0.15">
      <c r="A909" s="10"/>
      <c r="B909" s="13"/>
      <c r="C909" s="13"/>
    </row>
    <row r="910" spans="1:3" ht="13" x14ac:dyDescent="0.15">
      <c r="A910" s="10"/>
      <c r="B910" s="13"/>
      <c r="C910" s="13"/>
    </row>
    <row r="911" spans="1:3" ht="13" x14ac:dyDescent="0.15">
      <c r="A911" s="10"/>
      <c r="B911" s="13"/>
      <c r="C911" s="13"/>
    </row>
    <row r="912" spans="1:3" ht="13" x14ac:dyDescent="0.15">
      <c r="A912" s="10"/>
      <c r="B912" s="13"/>
      <c r="C912" s="13"/>
    </row>
    <row r="913" spans="1:3" ht="13" x14ac:dyDescent="0.15">
      <c r="A913" s="10"/>
      <c r="B913" s="13"/>
      <c r="C913" s="13"/>
    </row>
    <row r="914" spans="1:3" ht="13" x14ac:dyDescent="0.15">
      <c r="A914" s="10"/>
      <c r="B914" s="13"/>
      <c r="C914" s="13"/>
    </row>
    <row r="915" spans="1:3" ht="13" x14ac:dyDescent="0.15">
      <c r="A915" s="10"/>
      <c r="B915" s="13"/>
      <c r="C915" s="13"/>
    </row>
    <row r="916" spans="1:3" ht="13" x14ac:dyDescent="0.15">
      <c r="A916" s="10"/>
      <c r="B916" s="13"/>
      <c r="C916" s="13"/>
    </row>
    <row r="917" spans="1:3" ht="13" x14ac:dyDescent="0.15">
      <c r="A917" s="10"/>
      <c r="B917" s="13"/>
      <c r="C917" s="13"/>
    </row>
    <row r="918" spans="1:3" ht="13" x14ac:dyDescent="0.15">
      <c r="A918" s="10"/>
      <c r="B918" s="13"/>
      <c r="C918" s="13"/>
    </row>
    <row r="919" spans="1:3" ht="13" x14ac:dyDescent="0.15">
      <c r="A919" s="10"/>
      <c r="B919" s="13"/>
      <c r="C919" s="13"/>
    </row>
    <row r="920" spans="1:3" ht="13" x14ac:dyDescent="0.15">
      <c r="A920" s="10"/>
      <c r="B920" s="13"/>
      <c r="C920" s="13"/>
    </row>
    <row r="921" spans="1:3" ht="13" x14ac:dyDescent="0.15">
      <c r="A921" s="10"/>
      <c r="B921" s="13"/>
      <c r="C921" s="13"/>
    </row>
    <row r="922" spans="1:3" ht="13" x14ac:dyDescent="0.15">
      <c r="A922" s="10"/>
      <c r="B922" s="13"/>
      <c r="C922" s="13"/>
    </row>
    <row r="923" spans="1:3" ht="13" x14ac:dyDescent="0.15">
      <c r="A923" s="10"/>
      <c r="B923" s="13"/>
      <c r="C923" s="13"/>
    </row>
    <row r="924" spans="1:3" ht="13" x14ac:dyDescent="0.15">
      <c r="A924" s="10"/>
      <c r="B924" s="13"/>
      <c r="C924" s="13"/>
    </row>
    <row r="925" spans="1:3" ht="13" x14ac:dyDescent="0.15">
      <c r="A925" s="10"/>
      <c r="B925" s="13"/>
      <c r="C925" s="13"/>
    </row>
    <row r="926" spans="1:3" ht="13" x14ac:dyDescent="0.15">
      <c r="A926" s="10"/>
      <c r="B926" s="13"/>
      <c r="C926" s="13"/>
    </row>
    <row r="927" spans="1:3" ht="13" x14ac:dyDescent="0.15">
      <c r="A927" s="10"/>
      <c r="B927" s="13"/>
      <c r="C927" s="13"/>
    </row>
    <row r="928" spans="1:3" ht="13" x14ac:dyDescent="0.15">
      <c r="A928" s="10"/>
      <c r="B928" s="13"/>
      <c r="C928" s="13"/>
    </row>
    <row r="929" spans="1:3" ht="13" x14ac:dyDescent="0.15">
      <c r="A929" s="10"/>
      <c r="B929" s="13"/>
      <c r="C929" s="13"/>
    </row>
    <row r="930" spans="1:3" ht="13" x14ac:dyDescent="0.15">
      <c r="A930" s="10"/>
      <c r="B930" s="13"/>
      <c r="C930" s="13"/>
    </row>
    <row r="931" spans="1:3" ht="13" x14ac:dyDescent="0.15">
      <c r="A931" s="10"/>
      <c r="B931" s="13"/>
      <c r="C931" s="13"/>
    </row>
    <row r="932" spans="1:3" ht="13" x14ac:dyDescent="0.15">
      <c r="A932" s="10"/>
      <c r="B932" s="13"/>
      <c r="C932" s="13"/>
    </row>
    <row r="933" spans="1:3" ht="13" x14ac:dyDescent="0.15">
      <c r="A933" s="10"/>
      <c r="B933" s="13"/>
      <c r="C933" s="13"/>
    </row>
    <row r="934" spans="1:3" ht="13" x14ac:dyDescent="0.15">
      <c r="A934" s="10"/>
      <c r="B934" s="13"/>
      <c r="C934" s="13"/>
    </row>
    <row r="935" spans="1:3" ht="13" x14ac:dyDescent="0.15">
      <c r="A935" s="10"/>
      <c r="B935" s="13"/>
      <c r="C935" s="13"/>
    </row>
    <row r="936" spans="1:3" ht="13" x14ac:dyDescent="0.15">
      <c r="A936" s="10"/>
      <c r="B936" s="13"/>
      <c r="C936" s="13"/>
    </row>
    <row r="937" spans="1:3" ht="13" x14ac:dyDescent="0.15">
      <c r="A937" s="10"/>
      <c r="B937" s="13"/>
      <c r="C937" s="13"/>
    </row>
    <row r="938" spans="1:3" ht="13" x14ac:dyDescent="0.15">
      <c r="A938" s="10"/>
      <c r="B938" s="13"/>
      <c r="C938" s="13"/>
    </row>
    <row r="939" spans="1:3" ht="13" x14ac:dyDescent="0.15">
      <c r="A939" s="10"/>
      <c r="B939" s="13"/>
      <c r="C939" s="13"/>
    </row>
    <row r="940" spans="1:3" ht="13" x14ac:dyDescent="0.15">
      <c r="A940" s="10"/>
      <c r="B940" s="13"/>
      <c r="C940" s="13"/>
    </row>
    <row r="941" spans="1:3" ht="13" x14ac:dyDescent="0.15">
      <c r="A941" s="10"/>
      <c r="B941" s="13"/>
      <c r="C941" s="13"/>
    </row>
    <row r="942" spans="1:3" ht="13" x14ac:dyDescent="0.15">
      <c r="A942" s="10"/>
      <c r="B942" s="13"/>
      <c r="C942" s="13"/>
    </row>
    <row r="943" spans="1:3" ht="13" x14ac:dyDescent="0.15">
      <c r="A943" s="10"/>
      <c r="B943" s="13"/>
      <c r="C943" s="13"/>
    </row>
    <row r="944" spans="1:3" ht="13" x14ac:dyDescent="0.15">
      <c r="A944" s="10"/>
      <c r="B944" s="13"/>
      <c r="C944" s="13"/>
    </row>
    <row r="945" spans="1:3" ht="13" x14ac:dyDescent="0.15">
      <c r="A945" s="10"/>
      <c r="B945" s="13"/>
      <c r="C945" s="13"/>
    </row>
    <row r="946" spans="1:3" ht="13" x14ac:dyDescent="0.15">
      <c r="A946" s="10"/>
      <c r="B946" s="13"/>
      <c r="C946" s="13"/>
    </row>
    <row r="947" spans="1:3" ht="13" x14ac:dyDescent="0.15">
      <c r="A947" s="10"/>
      <c r="B947" s="13"/>
      <c r="C947" s="13"/>
    </row>
    <row r="948" spans="1:3" ht="13" x14ac:dyDescent="0.15">
      <c r="A948" s="10"/>
      <c r="B948" s="13"/>
      <c r="C948" s="13"/>
    </row>
    <row r="949" spans="1:3" ht="13" x14ac:dyDescent="0.15">
      <c r="A949" s="10"/>
      <c r="B949" s="13"/>
      <c r="C949" s="13"/>
    </row>
    <row r="950" spans="1:3" ht="13" x14ac:dyDescent="0.15">
      <c r="A950" s="10"/>
      <c r="B950" s="13"/>
      <c r="C950" s="13"/>
    </row>
    <row r="951" spans="1:3" ht="13" x14ac:dyDescent="0.15">
      <c r="A951" s="10"/>
      <c r="B951" s="13"/>
      <c r="C951" s="13"/>
    </row>
    <row r="952" spans="1:3" ht="13" x14ac:dyDescent="0.15">
      <c r="A952" s="10"/>
      <c r="B952" s="13"/>
      <c r="C952" s="13"/>
    </row>
    <row r="953" spans="1:3" ht="13" x14ac:dyDescent="0.15">
      <c r="A953" s="10"/>
      <c r="B953" s="13"/>
      <c r="C953" s="13"/>
    </row>
    <row r="954" spans="1:3" ht="13" x14ac:dyDescent="0.15">
      <c r="A954" s="10"/>
      <c r="B954" s="13"/>
      <c r="C954" s="13"/>
    </row>
    <row r="955" spans="1:3" ht="13" x14ac:dyDescent="0.15">
      <c r="A955" s="10"/>
      <c r="B955" s="13"/>
      <c r="C955" s="13"/>
    </row>
    <row r="956" spans="1:3" ht="13" x14ac:dyDescent="0.15">
      <c r="A956" s="10"/>
      <c r="B956" s="13"/>
      <c r="C956" s="13"/>
    </row>
    <row r="957" spans="1:3" ht="13" x14ac:dyDescent="0.15">
      <c r="A957" s="10"/>
      <c r="B957" s="13"/>
      <c r="C957" s="13"/>
    </row>
    <row r="958" spans="1:3" ht="13" x14ac:dyDescent="0.15">
      <c r="A958" s="10"/>
      <c r="B958" s="13"/>
      <c r="C958" s="13"/>
    </row>
    <row r="959" spans="1:3" ht="13" x14ac:dyDescent="0.15">
      <c r="A959" s="10"/>
      <c r="B959" s="13"/>
      <c r="C959" s="13"/>
    </row>
    <row r="960" spans="1:3" ht="13" x14ac:dyDescent="0.15">
      <c r="A960" s="10"/>
      <c r="B960" s="13"/>
      <c r="C960" s="13"/>
    </row>
    <row r="961" spans="1:3" ht="13" x14ac:dyDescent="0.15">
      <c r="A961" s="10"/>
      <c r="B961" s="13"/>
      <c r="C961" s="13"/>
    </row>
    <row r="962" spans="1:3" ht="13" x14ac:dyDescent="0.15">
      <c r="A962" s="10"/>
      <c r="B962" s="13"/>
      <c r="C962" s="13"/>
    </row>
    <row r="963" spans="1:3" ht="13" x14ac:dyDescent="0.15">
      <c r="A963" s="10"/>
      <c r="B963" s="13"/>
      <c r="C963" s="13"/>
    </row>
    <row r="964" spans="1:3" ht="13" x14ac:dyDescent="0.15">
      <c r="A964" s="10"/>
      <c r="B964" s="13"/>
      <c r="C964" s="13"/>
    </row>
    <row r="965" spans="1:3" ht="13" x14ac:dyDescent="0.15">
      <c r="A965" s="10"/>
      <c r="B965" s="13"/>
      <c r="C965" s="13"/>
    </row>
    <row r="966" spans="1:3" ht="13" x14ac:dyDescent="0.15">
      <c r="A966" s="10"/>
      <c r="B966" s="13"/>
      <c r="C966" s="13"/>
    </row>
    <row r="967" spans="1:3" ht="13" x14ac:dyDescent="0.15">
      <c r="A967" s="10"/>
      <c r="B967" s="13"/>
      <c r="C967" s="13"/>
    </row>
    <row r="968" spans="1:3" ht="13" x14ac:dyDescent="0.15">
      <c r="A968" s="10"/>
      <c r="B968" s="13"/>
      <c r="C968" s="13"/>
    </row>
    <row r="969" spans="1:3" ht="13" x14ac:dyDescent="0.15">
      <c r="A969" s="10"/>
      <c r="B969" s="13"/>
      <c r="C969" s="13"/>
    </row>
    <row r="970" spans="1:3" ht="13" x14ac:dyDescent="0.15">
      <c r="A970" s="10"/>
      <c r="B970" s="13"/>
      <c r="C970" s="13"/>
    </row>
    <row r="971" spans="1:3" ht="13" x14ac:dyDescent="0.15">
      <c r="A971" s="10"/>
      <c r="B971" s="13"/>
      <c r="C971" s="13"/>
    </row>
    <row r="972" spans="1:3" ht="13" x14ac:dyDescent="0.15">
      <c r="A972" s="10"/>
      <c r="B972" s="13"/>
      <c r="C972" s="13"/>
    </row>
    <row r="973" spans="1:3" ht="13" x14ac:dyDescent="0.15">
      <c r="A973" s="10"/>
      <c r="B973" s="13"/>
      <c r="C973" s="13"/>
    </row>
    <row r="974" spans="1:3" ht="13" x14ac:dyDescent="0.15">
      <c r="A974" s="10"/>
      <c r="B974" s="13"/>
      <c r="C974" s="13"/>
    </row>
    <row r="975" spans="1:3" ht="13" x14ac:dyDescent="0.15">
      <c r="A975" s="10"/>
      <c r="B975" s="13"/>
      <c r="C975" s="13"/>
    </row>
    <row r="976" spans="1:3" ht="13" x14ac:dyDescent="0.15">
      <c r="A976" s="10"/>
      <c r="B976" s="13"/>
      <c r="C976" s="13"/>
    </row>
    <row r="977" spans="1:3" ht="13" x14ac:dyDescent="0.15">
      <c r="A977" s="10"/>
      <c r="B977" s="13"/>
      <c r="C977" s="13"/>
    </row>
    <row r="978" spans="1:3" ht="13" x14ac:dyDescent="0.15">
      <c r="A978" s="10"/>
      <c r="B978" s="13"/>
      <c r="C978" s="13"/>
    </row>
    <row r="979" spans="1:3" ht="13" x14ac:dyDescent="0.15">
      <c r="A979" s="10"/>
      <c r="B979" s="13"/>
      <c r="C979" s="13"/>
    </row>
    <row r="980" spans="1:3" ht="13" x14ac:dyDescent="0.15">
      <c r="A980" s="10"/>
      <c r="B980" s="13"/>
      <c r="C980" s="13"/>
    </row>
    <row r="981" spans="1:3" ht="13" x14ac:dyDescent="0.15">
      <c r="A981" s="10"/>
      <c r="B981" s="13"/>
      <c r="C981" s="13"/>
    </row>
    <row r="982" spans="1:3" ht="13" x14ac:dyDescent="0.15">
      <c r="A982" s="10"/>
      <c r="B982" s="13"/>
      <c r="C982" s="13"/>
    </row>
    <row r="983" spans="1:3" ht="13" x14ac:dyDescent="0.15">
      <c r="A983" s="10"/>
      <c r="B983" s="13"/>
      <c r="C983" s="13"/>
    </row>
    <row r="984" spans="1:3" ht="13" x14ac:dyDescent="0.15">
      <c r="A984" s="10"/>
      <c r="B984" s="13"/>
      <c r="C984" s="13"/>
    </row>
    <row r="985" spans="1:3" ht="13" x14ac:dyDescent="0.15">
      <c r="A985" s="10"/>
      <c r="B985" s="13"/>
      <c r="C985" s="13"/>
    </row>
    <row r="986" spans="1:3" ht="13" x14ac:dyDescent="0.15">
      <c r="A986" s="10"/>
      <c r="B986" s="13"/>
      <c r="C986" s="13"/>
    </row>
    <row r="987" spans="1:3" ht="13" x14ac:dyDescent="0.15">
      <c r="A987" s="10"/>
      <c r="B987" s="13"/>
      <c r="C987" s="13"/>
    </row>
    <row r="988" spans="1:3" ht="13" x14ac:dyDescent="0.15">
      <c r="A988" s="10"/>
      <c r="B988" s="13"/>
      <c r="C988" s="13"/>
    </row>
    <row r="989" spans="1:3" ht="13" x14ac:dyDescent="0.15">
      <c r="A989" s="10"/>
      <c r="B989" s="13"/>
      <c r="C989" s="13"/>
    </row>
    <row r="990" spans="1:3" ht="13" x14ac:dyDescent="0.15">
      <c r="A990" s="10"/>
      <c r="B990" s="13"/>
      <c r="C990" s="13"/>
    </row>
    <row r="991" spans="1:3" ht="13" x14ac:dyDescent="0.15">
      <c r="A991" s="10"/>
      <c r="B991" s="13"/>
      <c r="C991" s="13"/>
    </row>
    <row r="992" spans="1:3" ht="13" x14ac:dyDescent="0.15">
      <c r="A992" s="10"/>
      <c r="B992" s="13"/>
      <c r="C992" s="13"/>
    </row>
    <row r="993" spans="1:3" ht="13" x14ac:dyDescent="0.15">
      <c r="A993" s="10"/>
      <c r="B993" s="13"/>
      <c r="C993" s="13"/>
    </row>
    <row r="994" spans="1:3" ht="13" x14ac:dyDescent="0.15">
      <c r="A994" s="10"/>
      <c r="B994" s="13"/>
      <c r="C994" s="13"/>
    </row>
    <row r="995" spans="1:3" ht="13" x14ac:dyDescent="0.15">
      <c r="A995" s="10"/>
      <c r="B995" s="13"/>
      <c r="C995" s="13"/>
    </row>
    <row r="996" spans="1:3" ht="13" x14ac:dyDescent="0.15">
      <c r="A996" s="10"/>
      <c r="B996" s="13"/>
      <c r="C996" s="13"/>
    </row>
    <row r="997" spans="1:3" ht="13" x14ac:dyDescent="0.15">
      <c r="A997" s="10"/>
      <c r="B997" s="13"/>
      <c r="C997" s="13"/>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outlinePr summaryBelow="0" summaryRight="0"/>
  </sheetPr>
  <dimension ref="A1:D997"/>
  <sheetViews>
    <sheetView workbookViewId="0"/>
  </sheetViews>
  <sheetFormatPr baseColWidth="10" defaultColWidth="12.6640625" defaultRowHeight="15.75" customHeight="1" x14ac:dyDescent="0.15"/>
  <cols>
    <col min="1" max="1" width="71.5" customWidth="1"/>
    <col min="2" max="4" width="37.6640625" customWidth="1"/>
  </cols>
  <sheetData>
    <row r="1" spans="1:4" ht="15.75" customHeight="1" x14ac:dyDescent="0.15">
      <c r="A1" s="1"/>
      <c r="B1" s="10" t="str">
        <f ca="1">IFERROR(__xludf.DUMMYFUNCTION("IMPORTRANGE(""https://docs.google.com/spreadsheets/u/0/d/19yPRVnLV0A_2o92-w6L11RYWj24Qqnerv8i8p-ngiq4"", ""A29!B1:B22"")"),"Jackson Root")</f>
        <v>Jackson Root</v>
      </c>
      <c r="C1" s="10" t="str">
        <f ca="1">IFERROR(__xludf.DUMMYFUNCTION("IMPORTRANGE(""https://docs.google.com/spreadsheets/u/0/d/1tjgC5crHxYL6PIwdjQvl-Lz18xb2WRifl2-5aQ8KGT8"", ""A29!B1:B22"")"),"Jake Stafford")</f>
        <v>Jake Stafford</v>
      </c>
      <c r="D1" s="2" t="s">
        <v>1</v>
      </c>
    </row>
    <row r="2" spans="1:4" ht="15.75" customHeight="1" x14ac:dyDescent="0.15">
      <c r="A2" s="3" t="s">
        <v>2</v>
      </c>
      <c r="B2" s="15" t="str">
        <f ca="1">IFERROR(__xludf.DUMMYFUNCTION("""COMPUTED_VALUE"""),"Stop: 19886 For")</f>
        <v>Stop: 19886 For</v>
      </c>
      <c r="C2" s="15" t="str">
        <f ca="1">IFERROR(__xludf.DUMMYFUNCTION("""COMPUTED_VALUE"""),"Start: 19608 Stop:19886 Forward")</f>
        <v>Start: 19608 Stop:19886 Forward</v>
      </c>
      <c r="D2" s="4"/>
    </row>
    <row r="3" spans="1:4" ht="15.75" customHeight="1" x14ac:dyDescent="0.15">
      <c r="A3" s="5" t="s">
        <v>3</v>
      </c>
      <c r="B3" s="17" t="str">
        <f ca="1">IFERROR(__xludf.DUMMYFUNCTION("""COMPUTED_VALUE"""),"Phamerator: 29    DNA master: 28")</f>
        <v>Phamerator: 29    DNA master: 28</v>
      </c>
      <c r="C3" s="17" t="str">
        <f ca="1">IFERROR(__xludf.DUMMYFUNCTION("""COMPUTED_VALUE"""),"29 in pham 28 in DNAM")</f>
        <v>29 in pham 28 in DNAM</v>
      </c>
      <c r="D3" s="6"/>
    </row>
    <row r="4" spans="1:4" ht="15.75" customHeight="1" x14ac:dyDescent="0.15">
      <c r="A4" s="5" t="s">
        <v>4</v>
      </c>
      <c r="B4" s="17" t="str">
        <f ca="1">IFERROR(__xludf.DUMMYFUNCTION("""COMPUTED_VALUE"""),"pham 218930      05 March 2025")</f>
        <v>pham 218930      05 March 2025</v>
      </c>
      <c r="C4" s="17" t="str">
        <f ca="1">IFERROR(__xludf.DUMMYFUNCTION("""COMPUTED_VALUE"""),"218930 3/10/25")</f>
        <v>218930 3/10/25</v>
      </c>
      <c r="D4" s="6"/>
    </row>
    <row r="5" spans="1:4" ht="15.75" customHeight="1" x14ac:dyDescent="0.15">
      <c r="A5" s="5" t="s">
        <v>5</v>
      </c>
      <c r="B5" s="17" t="str">
        <f ca="1">IFERROR(__xludf.DUMMYFUNCTION("""COMPUTED_VALUE"""),"Only Kovu_30")</f>
        <v>Only Kovu_30</v>
      </c>
      <c r="C5" s="17" t="str">
        <f ca="1">IFERROR(__xludf.DUMMYFUNCTION("""COMPUTED_VALUE"""),"Kovu_30")</f>
        <v>Kovu_30</v>
      </c>
      <c r="D5" s="6"/>
    </row>
    <row r="6" spans="1:4" ht="15.75" customHeight="1" x14ac:dyDescent="0.15">
      <c r="A6" s="5" t="s">
        <v>6</v>
      </c>
      <c r="B6" s="17" t="str">
        <f ca="1">IFERROR(__xludf.DUMMYFUNCTION("""COMPUTED_VALUE"""),"Both called 19608")</f>
        <v>Both called 19608</v>
      </c>
      <c r="C6" s="17" t="str">
        <f ca="1">IFERROR(__xludf.DUMMYFUNCTION("""COMPUTED_VALUE"""),"both support")</f>
        <v>both support</v>
      </c>
      <c r="D6" s="6"/>
    </row>
    <row r="7" spans="1:4" ht="15.75" customHeight="1" x14ac:dyDescent="0.15">
      <c r="A7" s="5" t="s">
        <v>7</v>
      </c>
      <c r="B7" s="17" t="str">
        <f ca="1">IFERROR(__xludf.DUMMYFUNCTION("""COMPUTED_VALUE"""),"good coding potential,all coding potential is contained with the start")</f>
        <v>good coding potential,all coding potential is contained with the start</v>
      </c>
      <c r="C7" s="17" t="str">
        <f ca="1">IFERROR(__xludf.DUMMYFUNCTION("""COMPUTED_VALUE"""),"Has coding potential all is supported")</f>
        <v>Has coding potential all is supported</v>
      </c>
      <c r="D7" s="6"/>
    </row>
    <row r="8" spans="1:4" ht="15.75" customHeight="1" x14ac:dyDescent="0.15">
      <c r="A8" s="5" t="s">
        <v>8</v>
      </c>
      <c r="B8" s="17" t="str">
        <f ca="1">IFERROR(__xludf.DUMMYFUNCTION("""COMPUTED_VALUE"""),"this is the longest ORF")</f>
        <v>this is the longest ORF</v>
      </c>
      <c r="C8" s="17" t="str">
        <f ca="1">IFERROR(__xludf.DUMMYFUNCTION("""COMPUTED_VALUE"""),"Yes")</f>
        <v>Yes</v>
      </c>
      <c r="D8" s="6"/>
    </row>
    <row r="9" spans="1:4" ht="15.75" customHeight="1" x14ac:dyDescent="0.15">
      <c r="A9" s="5" t="s">
        <v>9</v>
      </c>
      <c r="B9" s="17" t="str">
        <f ca="1">IFERROR(__xludf.DUMMYFUNCTION("""COMPUTED_VALUE"""),"Gap with previous gene: 77")</f>
        <v>Gap with previous gene: 77</v>
      </c>
      <c r="C9" s="17" t="str">
        <f ca="1">IFERROR(__xludf.DUMMYFUNCTION("""COMPUTED_VALUE"""),"77 nucleotide gap")</f>
        <v>77 nucleotide gap</v>
      </c>
      <c r="D9" s="6"/>
    </row>
    <row r="10" spans="1:4" ht="15.75" customHeight="1" x14ac:dyDescent="0.15">
      <c r="A10" s="5" t="s">
        <v>10</v>
      </c>
      <c r="B10" s="17" t="str">
        <f ca="1">IFERROR(__xludf.DUMMYFUNCTION("""COMPUTED_VALUE"""),"Z-score: 3.195")</f>
        <v>Z-score: 3.195</v>
      </c>
      <c r="C10" s="17" t="str">
        <f ca="1">IFERROR(__xludf.DUMMYFUNCTION("""COMPUTED_VALUE"""),"z-score 3.195, f-score -2.282")</f>
        <v>z-score 3.195, f-score -2.282</v>
      </c>
      <c r="D10" s="6"/>
    </row>
    <row r="11" spans="1:4" ht="15.75" customHeight="1" x14ac:dyDescent="0.15">
      <c r="A11" s="5" t="s">
        <v>11</v>
      </c>
      <c r="B11" s="17" t="str">
        <f ca="1">IFERROR(__xludf.DUMMYFUNCTION("""COMPUTED_VALUE"""),"Kovu_30 was the best it; % identity: 82.42; e-value: 3.2E-33; both query and target 1-91")</f>
        <v>Kovu_30 was the best it; % identity: 82.42; e-value: 3.2E-33; both query and target 1-91</v>
      </c>
      <c r="C11" s="17" t="str">
        <f ca="1">IFERROR(__xludf.DUMMYFUNCTION("""COMPUTED_VALUE"""),"Kovu_30, 82.42%, 3e-33")</f>
        <v>Kovu_30, 82.42%, 3e-33</v>
      </c>
      <c r="D11" s="6"/>
    </row>
    <row r="12" spans="1:4" ht="15.75" customHeight="1" x14ac:dyDescent="0.15">
      <c r="A12" s="5" t="s">
        <v>12</v>
      </c>
      <c r="B12" s="17" t="str">
        <f ca="1">IFERROR(__xludf.DUMMYFUNCTION("""COMPUTED_VALUE"""),"conserved in pham (just kovu) called 100% of the time when present")</f>
        <v>conserved in pham (just kovu) called 100% of the time when present</v>
      </c>
      <c r="C12" s="17" t="str">
        <f ca="1">IFERROR(__xludf.DUMMYFUNCTION("""COMPUTED_VALUE"""),"Conserved in all members of pham, always called")</f>
        <v>Conserved in all members of pham, always called</v>
      </c>
      <c r="D12" s="6"/>
    </row>
    <row r="13" spans="1:4" ht="15.75" customHeight="1" x14ac:dyDescent="0.15">
      <c r="A13" s="5" t="s">
        <v>13</v>
      </c>
      <c r="B13" s="17" t="str">
        <f ca="1">IFERROR(__xludf.DUMMYFUNCTION("""COMPUTED_VALUE"""),"no start change becuase the RBS score is really good, all coding potential is already captured without increasing or decreasing the current gap which is in acceptable limits")</f>
        <v>no start change becuase the RBS score is really good, all coding potential is already captured without increasing or decreasing the current gap which is in acceptable limits</v>
      </c>
      <c r="C13" s="17" t="str">
        <f ca="1">IFERROR(__xludf.DUMMYFUNCTION("""COMPUTED_VALUE"""),"Not changed, supported by both programs, good coding potential, small gap, good scores")</f>
        <v>Not changed, supported by both programs, good coding potential, small gap, good scores</v>
      </c>
      <c r="D13" s="6"/>
    </row>
    <row r="14" spans="1:4" ht="15.75" customHeight="1" x14ac:dyDescent="0.15">
      <c r="A14" s="5" t="s">
        <v>14</v>
      </c>
      <c r="B14" s="17" t="str">
        <f ca="1">IFERROR(__xludf.DUMMYFUNCTION("""COMPUTED_VALUE"""),"Kovu_30: 1e-36")</f>
        <v>Kovu_30: 1e-36</v>
      </c>
      <c r="C14" s="17" t="str">
        <f ca="1">IFERROR(__xludf.DUMMYFUNCTION("""COMPUTED_VALUE"""),"Kovu_30 1e-36")</f>
        <v>Kovu_30 1e-36</v>
      </c>
      <c r="D14" s="6"/>
    </row>
    <row r="15" spans="1:4" ht="15.75" customHeight="1" x14ac:dyDescent="0.15">
      <c r="A15" s="5" t="s">
        <v>15</v>
      </c>
      <c r="B15" s="17" t="str">
        <f ca="1">IFERROR(__xludf.DUMMYFUNCTION("""COMPUTED_VALUE"""),"Kovu_30, function known")</f>
        <v>Kovu_30, function known</v>
      </c>
      <c r="C15" s="17" t="str">
        <f ca="1">IFERROR(__xludf.DUMMYFUNCTION("""COMPUTED_VALUE"""),"Kovu_30 function unknown")</f>
        <v>Kovu_30 function unknown</v>
      </c>
      <c r="D15" s="6"/>
    </row>
    <row r="16" spans="1:4" ht="15.75" customHeight="1" x14ac:dyDescent="0.15">
      <c r="A16" s="5" t="s">
        <v>16</v>
      </c>
      <c r="B16" s="17" t="str">
        <f ca="1">IFERROR(__xludf.DUMMYFUNCTION("""COMPUTED_VALUE"""),"Found in the same genetic environment as kovu 30")</f>
        <v>Found in the same genetic environment as kovu 30</v>
      </c>
      <c r="C16" s="17" t="str">
        <f ca="1">IFERROR(__xludf.DUMMYFUNCTION("""COMPUTED_VALUE"""),"similar colors, sizes, and arrangments. Would be expected. Adjacent genes are 28 and 30 on ApoKipo, 39 and 31 on Kovu")</f>
        <v>similar colors, sizes, and arrangments. Would be expected. Adjacent genes are 28 and 30 on ApoKipo, 39 and 31 on Kovu</v>
      </c>
      <c r="D16" s="6"/>
    </row>
    <row r="17" spans="1:4" ht="15.75" customHeight="1" x14ac:dyDescent="0.15">
      <c r="A17" s="5" t="s">
        <v>17</v>
      </c>
      <c r="B17" s="17" t="str">
        <f ca="1">IFERROR(__xludf.DUMMYFUNCTION("""COMPUTED_VALUE"""),"probability: 67.99%    % query: 21.7%    % target: 23.3%    function domain is not apart of the alignment, possibly needs further exploration")</f>
        <v>probability: 67.99%    % query: 21.7%    % target: 23.3%    function domain is not apart of the alignment, possibly needs further exploration</v>
      </c>
      <c r="C17" s="17" t="str">
        <f ca="1">IFERROR(__xludf.DUMMYFUNCTION("""COMPUTED_VALUE"""),"Uncharacterized protein; bacteriophage, zinc binding, CHCC motif, UNKNOWN FUNCTION; HET: ZN; NMR {Escherichia coli} , 60.88%, 30.4%, 27.7% Functional domain is not a part of the alignment. May need more however all other present choices have lower probabi"&amp;"lity.")</f>
        <v>Uncharacterized protein; bacteriophage, zinc binding, CHCC motif, UNKNOWN FUNCTION; HET: ZN; NMR {Escherichia coli} , 60.88%, 30.4%, 27.7% Functional domain is not a part of the alignment. May need more however all other present choices have lower probability.</v>
      </c>
      <c r="D17" s="6"/>
    </row>
    <row r="18" spans="1:4" ht="15.75" customHeight="1" x14ac:dyDescent="0.15">
      <c r="A18" s="5" t="s">
        <v>18</v>
      </c>
      <c r="B18" s="17" t="str">
        <f ca="1">IFERROR(__xludf.DUMMYFUNCTION("""COMPUTED_VALUE"""),"no conserved domains detected")</f>
        <v>no conserved domains detected</v>
      </c>
      <c r="C18" s="17" t="str">
        <f ca="1">IFERROR(__xludf.DUMMYFUNCTION("""COMPUTED_VALUE"""),"none")</f>
        <v>none</v>
      </c>
      <c r="D18" s="6"/>
    </row>
    <row r="19" spans="1:4" ht="15.75" customHeight="1" x14ac:dyDescent="0.15">
      <c r="A19" s="5" t="s">
        <v>19</v>
      </c>
      <c r="B19" s="17" t="str">
        <f ca="1">IFERROR(__xludf.DUMMYFUNCTION("""COMPUTED_VALUE"""),"not a membrane protien, most likely on the inside")</f>
        <v>not a membrane protien, most likely on the inside</v>
      </c>
      <c r="C19" s="17" t="str">
        <f ca="1">IFERROR(__xludf.DUMMYFUNCTION("""COMPUTED_VALUE"""),"none")</f>
        <v>none</v>
      </c>
      <c r="D19" s="6"/>
    </row>
    <row r="20" spans="1:4" ht="15.75" customHeight="1" x14ac:dyDescent="0.15">
      <c r="A20" s="5" t="s">
        <v>20</v>
      </c>
      <c r="B20" s="17" t="str">
        <f ca="1">IFERROR(__xludf.DUMMYFUNCTION("""COMPUTED_VALUE"""),"Hypothetical protien                          the funtion is still unknown even after bad HHpred hits. the funcions called on HHpred however are along the likes of synthases or virulence promoting factors or subunits. ")</f>
        <v xml:space="preserve">Hypothetical protien                          the funtion is still unknown even after bad HHpred hits. the funcions called on HHpred however are along the likes of synthases or virulence promoting factors or subunits. </v>
      </c>
      <c r="C20" s="17" t="str">
        <f ca="1">IFERROR(__xludf.DUMMYFUNCTION("""COMPUTED_VALUE"""),"Unknown function, homologous gene is unknown, HHpred gave very unlikely uncharacterized protein. May be a hypothetical protein")</f>
        <v>Unknown function, homologous gene is unknown, HHpred gave very unlikely uncharacterized protein. May be a hypothetical protein</v>
      </c>
      <c r="D20" s="6"/>
    </row>
    <row r="21" spans="1:4" x14ac:dyDescent="0.2">
      <c r="A21" s="7"/>
      <c r="B21" s="19"/>
      <c r="C21" s="19"/>
      <c r="D21" s="8"/>
    </row>
    <row r="22" spans="1:4" ht="15.75" customHeight="1" x14ac:dyDescent="0.15">
      <c r="A22" s="9" t="s">
        <v>21</v>
      </c>
      <c r="B22" s="19"/>
      <c r="C22" s="19"/>
      <c r="D22" s="8"/>
    </row>
    <row r="23" spans="1:4" ht="15.75" customHeight="1" x14ac:dyDescent="0.15">
      <c r="A23" s="10"/>
      <c r="B23" s="13"/>
      <c r="C23" s="13"/>
    </row>
    <row r="24" spans="1:4" ht="15.75" customHeight="1" x14ac:dyDescent="0.15">
      <c r="A24" s="10"/>
      <c r="B24" s="13"/>
      <c r="C24" s="13"/>
    </row>
    <row r="25" spans="1:4" ht="15.75" customHeight="1" x14ac:dyDescent="0.15">
      <c r="A25" s="10"/>
      <c r="B25" s="13"/>
      <c r="C25" s="13"/>
    </row>
    <row r="26" spans="1:4" ht="15.75" customHeight="1" x14ac:dyDescent="0.15">
      <c r="A26" s="10"/>
      <c r="B26" s="13"/>
      <c r="C26" s="13"/>
    </row>
    <row r="27" spans="1:4" ht="15.75" customHeight="1" x14ac:dyDescent="0.15">
      <c r="A27" s="10"/>
      <c r="B27" s="13"/>
      <c r="C27" s="13"/>
    </row>
    <row r="28" spans="1:4" ht="15.75" customHeight="1" x14ac:dyDescent="0.15">
      <c r="A28" s="10"/>
      <c r="B28" s="13"/>
      <c r="C28" s="13"/>
    </row>
    <row r="29" spans="1:4" ht="15.75" customHeight="1" x14ac:dyDescent="0.15">
      <c r="A29" s="10"/>
      <c r="B29" s="13"/>
      <c r="C29" s="13"/>
    </row>
    <row r="30" spans="1:4" ht="15.75" customHeight="1" x14ac:dyDescent="0.15">
      <c r="A30" s="10"/>
      <c r="B30" s="13"/>
      <c r="C30" s="13"/>
    </row>
    <row r="31" spans="1:4" ht="15.75" customHeight="1" x14ac:dyDescent="0.15">
      <c r="A31" s="10"/>
      <c r="B31" s="13"/>
      <c r="C31" s="13"/>
    </row>
    <row r="32" spans="1:4" ht="15.75" customHeight="1" x14ac:dyDescent="0.15">
      <c r="A32" s="10"/>
      <c r="B32" s="13"/>
      <c r="C32" s="13"/>
    </row>
    <row r="33" spans="1:3" ht="15.75" customHeight="1" x14ac:dyDescent="0.15">
      <c r="A33" s="10"/>
      <c r="B33" s="13"/>
      <c r="C33" s="13"/>
    </row>
    <row r="34" spans="1:3" ht="15.75" customHeight="1" x14ac:dyDescent="0.15">
      <c r="A34" s="10"/>
      <c r="B34" s="13"/>
      <c r="C34" s="13"/>
    </row>
    <row r="35" spans="1:3" ht="15.75" customHeight="1" x14ac:dyDescent="0.15">
      <c r="A35" s="10"/>
      <c r="B35" s="13"/>
      <c r="C35" s="13"/>
    </row>
    <row r="36" spans="1:3" ht="15.75" customHeight="1" x14ac:dyDescent="0.15">
      <c r="A36" s="10"/>
      <c r="B36" s="13"/>
      <c r="C36" s="13"/>
    </row>
    <row r="37" spans="1:3" ht="15.75" customHeight="1" x14ac:dyDescent="0.15">
      <c r="A37" s="10"/>
      <c r="B37" s="13"/>
      <c r="C37" s="13"/>
    </row>
    <row r="38" spans="1:3" ht="15.75" customHeight="1" x14ac:dyDescent="0.15">
      <c r="A38" s="10"/>
      <c r="B38" s="13"/>
      <c r="C38" s="13"/>
    </row>
    <row r="39" spans="1:3" ht="13" x14ac:dyDescent="0.15">
      <c r="A39" s="10"/>
      <c r="B39" s="13"/>
      <c r="C39" s="13"/>
    </row>
    <row r="40" spans="1:3" ht="13" x14ac:dyDescent="0.15">
      <c r="A40" s="10"/>
      <c r="B40" s="13"/>
      <c r="C40" s="13"/>
    </row>
    <row r="41" spans="1:3" ht="13" x14ac:dyDescent="0.15">
      <c r="A41" s="10"/>
      <c r="B41" s="13"/>
      <c r="C41" s="13"/>
    </row>
    <row r="42" spans="1:3" ht="13" x14ac:dyDescent="0.15">
      <c r="A42" s="10"/>
      <c r="B42" s="13"/>
      <c r="C42" s="13"/>
    </row>
    <row r="43" spans="1:3" ht="13" x14ac:dyDescent="0.15">
      <c r="A43" s="10"/>
      <c r="B43" s="13"/>
      <c r="C43" s="13"/>
    </row>
    <row r="44" spans="1:3" ht="13" x14ac:dyDescent="0.15">
      <c r="A44" s="10"/>
      <c r="B44" s="13"/>
      <c r="C44" s="13"/>
    </row>
    <row r="45" spans="1:3" ht="13" x14ac:dyDescent="0.15">
      <c r="A45" s="10"/>
      <c r="B45" s="13"/>
      <c r="C45" s="13"/>
    </row>
    <row r="46" spans="1:3" ht="13" x14ac:dyDescent="0.15">
      <c r="A46" s="10"/>
      <c r="B46" s="13"/>
      <c r="C46" s="13"/>
    </row>
    <row r="47" spans="1:3" ht="13" x14ac:dyDescent="0.15">
      <c r="A47" s="10"/>
      <c r="B47" s="13"/>
      <c r="C47" s="13"/>
    </row>
    <row r="48" spans="1:3" ht="13" x14ac:dyDescent="0.15">
      <c r="A48" s="10"/>
      <c r="B48" s="13"/>
      <c r="C48" s="13"/>
    </row>
    <row r="49" spans="1:3" ht="13" x14ac:dyDescent="0.15">
      <c r="A49" s="10"/>
      <c r="B49" s="13"/>
      <c r="C49" s="13"/>
    </row>
    <row r="50" spans="1:3" ht="13" x14ac:dyDescent="0.15">
      <c r="A50" s="10"/>
      <c r="B50" s="13"/>
      <c r="C50" s="13"/>
    </row>
    <row r="51" spans="1:3" ht="13" x14ac:dyDescent="0.15">
      <c r="A51" s="10"/>
      <c r="B51" s="13"/>
      <c r="C51" s="13"/>
    </row>
    <row r="52" spans="1:3" ht="13" x14ac:dyDescent="0.15">
      <c r="A52" s="10"/>
      <c r="B52" s="13"/>
      <c r="C52" s="13"/>
    </row>
    <row r="53" spans="1:3" ht="13" x14ac:dyDescent="0.15">
      <c r="A53" s="10"/>
      <c r="B53" s="13"/>
      <c r="C53" s="13"/>
    </row>
    <row r="54" spans="1:3" ht="13" x14ac:dyDescent="0.15">
      <c r="A54" s="10"/>
      <c r="B54" s="13"/>
      <c r="C54" s="13"/>
    </row>
    <row r="55" spans="1:3" ht="13" x14ac:dyDescent="0.15">
      <c r="A55" s="10"/>
      <c r="B55" s="13"/>
      <c r="C55" s="13"/>
    </row>
    <row r="56" spans="1:3" ht="13" x14ac:dyDescent="0.15">
      <c r="A56" s="10"/>
      <c r="B56" s="13"/>
      <c r="C56" s="13"/>
    </row>
    <row r="57" spans="1:3" ht="13" x14ac:dyDescent="0.15">
      <c r="A57" s="10"/>
      <c r="B57" s="13"/>
      <c r="C57" s="13"/>
    </row>
    <row r="58" spans="1:3" ht="13" x14ac:dyDescent="0.15">
      <c r="A58" s="10"/>
      <c r="B58" s="13"/>
      <c r="C58" s="13"/>
    </row>
    <row r="59" spans="1:3" ht="13" x14ac:dyDescent="0.15">
      <c r="A59" s="10"/>
      <c r="B59" s="13"/>
      <c r="C59" s="13"/>
    </row>
    <row r="60" spans="1:3" ht="13" x14ac:dyDescent="0.15">
      <c r="A60" s="10"/>
      <c r="B60" s="13"/>
      <c r="C60" s="13"/>
    </row>
    <row r="61" spans="1:3" ht="13" x14ac:dyDescent="0.15">
      <c r="A61" s="10"/>
      <c r="B61" s="13"/>
      <c r="C61" s="13"/>
    </row>
    <row r="62" spans="1:3" ht="13" x14ac:dyDescent="0.15">
      <c r="A62" s="10"/>
      <c r="B62" s="13"/>
      <c r="C62" s="13"/>
    </row>
    <row r="63" spans="1:3" ht="13" x14ac:dyDescent="0.15">
      <c r="A63" s="10"/>
      <c r="B63" s="13"/>
      <c r="C63" s="13"/>
    </row>
    <row r="64" spans="1:3" ht="13" x14ac:dyDescent="0.15">
      <c r="A64" s="10"/>
      <c r="B64" s="13"/>
      <c r="C64" s="13"/>
    </row>
    <row r="65" spans="1:3" ht="13" x14ac:dyDescent="0.15">
      <c r="A65" s="10"/>
      <c r="B65" s="13"/>
      <c r="C65" s="13"/>
    </row>
    <row r="66" spans="1:3" ht="13" x14ac:dyDescent="0.15">
      <c r="A66" s="10"/>
      <c r="B66" s="13"/>
      <c r="C66" s="13"/>
    </row>
    <row r="67" spans="1:3" ht="13" x14ac:dyDescent="0.15">
      <c r="A67" s="10"/>
      <c r="B67" s="13"/>
      <c r="C67" s="13"/>
    </row>
    <row r="68" spans="1:3" ht="13" x14ac:dyDescent="0.15">
      <c r="A68" s="10"/>
      <c r="B68" s="13"/>
      <c r="C68" s="13"/>
    </row>
    <row r="69" spans="1:3" ht="13" x14ac:dyDescent="0.15">
      <c r="A69" s="10"/>
      <c r="B69" s="13"/>
      <c r="C69" s="13"/>
    </row>
    <row r="70" spans="1:3" ht="13" x14ac:dyDescent="0.15">
      <c r="A70" s="10"/>
      <c r="B70" s="13"/>
      <c r="C70" s="13"/>
    </row>
    <row r="71" spans="1:3" ht="13" x14ac:dyDescent="0.15">
      <c r="A71" s="10"/>
      <c r="B71" s="13"/>
      <c r="C71" s="13"/>
    </row>
    <row r="72" spans="1:3" ht="13" x14ac:dyDescent="0.15">
      <c r="A72" s="10"/>
      <c r="B72" s="13"/>
      <c r="C72" s="13"/>
    </row>
    <row r="73" spans="1:3" ht="13" x14ac:dyDescent="0.15">
      <c r="A73" s="10"/>
      <c r="B73" s="13"/>
      <c r="C73" s="13"/>
    </row>
    <row r="74" spans="1:3" ht="13" x14ac:dyDescent="0.15">
      <c r="A74" s="10"/>
      <c r="B74" s="13"/>
      <c r="C74" s="13"/>
    </row>
    <row r="75" spans="1:3" ht="13" x14ac:dyDescent="0.15">
      <c r="A75" s="10"/>
      <c r="B75" s="13"/>
      <c r="C75" s="13"/>
    </row>
    <row r="76" spans="1:3" ht="13" x14ac:dyDescent="0.15">
      <c r="A76" s="10"/>
      <c r="B76" s="13"/>
      <c r="C76" s="13"/>
    </row>
    <row r="77" spans="1:3" ht="13" x14ac:dyDescent="0.15">
      <c r="A77" s="10"/>
      <c r="B77" s="13"/>
      <c r="C77" s="13"/>
    </row>
    <row r="78" spans="1:3" ht="13" x14ac:dyDescent="0.15">
      <c r="A78" s="10"/>
      <c r="B78" s="13"/>
      <c r="C78" s="13"/>
    </row>
    <row r="79" spans="1:3" ht="13" x14ac:dyDescent="0.15">
      <c r="A79" s="10"/>
      <c r="B79" s="13"/>
      <c r="C79" s="13"/>
    </row>
    <row r="80" spans="1:3" ht="13" x14ac:dyDescent="0.15">
      <c r="A80" s="10"/>
      <c r="B80" s="13"/>
      <c r="C80" s="13"/>
    </row>
    <row r="81" spans="1:3" ht="13" x14ac:dyDescent="0.15">
      <c r="A81" s="10"/>
      <c r="B81" s="13"/>
      <c r="C81" s="13"/>
    </row>
    <row r="82" spans="1:3" ht="13" x14ac:dyDescent="0.15">
      <c r="A82" s="10"/>
      <c r="B82" s="13"/>
      <c r="C82" s="13"/>
    </row>
    <row r="83" spans="1:3" ht="13" x14ac:dyDescent="0.15">
      <c r="A83" s="10"/>
      <c r="B83" s="13"/>
      <c r="C83" s="13"/>
    </row>
    <row r="84" spans="1:3" ht="13" x14ac:dyDescent="0.15">
      <c r="A84" s="10"/>
      <c r="B84" s="13"/>
      <c r="C84" s="13"/>
    </row>
    <row r="85" spans="1:3" ht="13" x14ac:dyDescent="0.15">
      <c r="A85" s="10"/>
      <c r="B85" s="13"/>
      <c r="C85" s="13"/>
    </row>
    <row r="86" spans="1:3" ht="13" x14ac:dyDescent="0.15">
      <c r="A86" s="10"/>
      <c r="B86" s="13"/>
      <c r="C86" s="13"/>
    </row>
    <row r="87" spans="1:3" ht="13" x14ac:dyDescent="0.15">
      <c r="A87" s="10"/>
      <c r="B87" s="13"/>
      <c r="C87" s="13"/>
    </row>
    <row r="88" spans="1:3" ht="13" x14ac:dyDescent="0.15">
      <c r="A88" s="10"/>
      <c r="B88" s="13"/>
      <c r="C88" s="13"/>
    </row>
    <row r="89" spans="1:3" ht="13" x14ac:dyDescent="0.15">
      <c r="A89" s="10"/>
      <c r="B89" s="13"/>
      <c r="C89" s="13"/>
    </row>
    <row r="90" spans="1:3" ht="13" x14ac:dyDescent="0.15">
      <c r="A90" s="10"/>
      <c r="B90" s="13"/>
      <c r="C90" s="13"/>
    </row>
    <row r="91" spans="1:3" ht="13" x14ac:dyDescent="0.15">
      <c r="A91" s="10"/>
      <c r="B91" s="13"/>
      <c r="C91" s="13"/>
    </row>
    <row r="92" spans="1:3" ht="13" x14ac:dyDescent="0.15">
      <c r="A92" s="10"/>
      <c r="B92" s="13"/>
      <c r="C92" s="13"/>
    </row>
    <row r="93" spans="1:3" ht="13" x14ac:dyDescent="0.15">
      <c r="A93" s="10"/>
      <c r="B93" s="13"/>
      <c r="C93" s="13"/>
    </row>
    <row r="94" spans="1:3" ht="13" x14ac:dyDescent="0.15">
      <c r="A94" s="10"/>
      <c r="B94" s="13"/>
      <c r="C94" s="13"/>
    </row>
    <row r="95" spans="1:3" ht="13" x14ac:dyDescent="0.15">
      <c r="A95" s="10"/>
      <c r="B95" s="13"/>
      <c r="C95" s="13"/>
    </row>
    <row r="96" spans="1:3" ht="13" x14ac:dyDescent="0.15">
      <c r="A96" s="10"/>
      <c r="B96" s="13"/>
      <c r="C96" s="13"/>
    </row>
    <row r="97" spans="1:3" ht="13" x14ac:dyDescent="0.15">
      <c r="A97" s="10"/>
      <c r="B97" s="13"/>
      <c r="C97" s="13"/>
    </row>
    <row r="98" spans="1:3" ht="13" x14ac:dyDescent="0.15">
      <c r="A98" s="10"/>
      <c r="B98" s="13"/>
      <c r="C98" s="13"/>
    </row>
    <row r="99" spans="1:3" ht="13" x14ac:dyDescent="0.15">
      <c r="A99" s="10"/>
      <c r="B99" s="13"/>
      <c r="C99" s="13"/>
    </row>
    <row r="100" spans="1:3" ht="13" x14ac:dyDescent="0.15">
      <c r="A100" s="10"/>
      <c r="B100" s="13"/>
      <c r="C100" s="13"/>
    </row>
    <row r="101" spans="1:3" ht="13" x14ac:dyDescent="0.15">
      <c r="A101" s="10"/>
      <c r="B101" s="13"/>
      <c r="C101" s="13"/>
    </row>
    <row r="102" spans="1:3" ht="13" x14ac:dyDescent="0.15">
      <c r="A102" s="10"/>
      <c r="B102" s="13"/>
      <c r="C102" s="13"/>
    </row>
    <row r="103" spans="1:3" ht="13" x14ac:dyDescent="0.15">
      <c r="A103" s="10"/>
      <c r="B103" s="13"/>
      <c r="C103" s="13"/>
    </row>
    <row r="104" spans="1:3" ht="13" x14ac:dyDescent="0.15">
      <c r="A104" s="10"/>
      <c r="B104" s="13"/>
      <c r="C104" s="13"/>
    </row>
    <row r="105" spans="1:3" ht="13" x14ac:dyDescent="0.15">
      <c r="A105" s="10"/>
      <c r="B105" s="13"/>
      <c r="C105" s="13"/>
    </row>
    <row r="106" spans="1:3" ht="13" x14ac:dyDescent="0.15">
      <c r="A106" s="10"/>
      <c r="B106" s="13"/>
      <c r="C106" s="13"/>
    </row>
    <row r="107" spans="1:3" ht="13" x14ac:dyDescent="0.15">
      <c r="A107" s="10"/>
      <c r="B107" s="13"/>
      <c r="C107" s="13"/>
    </row>
    <row r="108" spans="1:3" ht="13" x14ac:dyDescent="0.15">
      <c r="A108" s="10"/>
      <c r="B108" s="13"/>
      <c r="C108" s="13"/>
    </row>
    <row r="109" spans="1:3" ht="13" x14ac:dyDescent="0.15">
      <c r="A109" s="10"/>
      <c r="B109" s="13"/>
      <c r="C109" s="13"/>
    </row>
    <row r="110" spans="1:3" ht="13" x14ac:dyDescent="0.15">
      <c r="A110" s="10"/>
      <c r="B110" s="13"/>
      <c r="C110" s="13"/>
    </row>
    <row r="111" spans="1:3" ht="13" x14ac:dyDescent="0.15">
      <c r="A111" s="10"/>
      <c r="B111" s="13"/>
      <c r="C111" s="13"/>
    </row>
    <row r="112" spans="1:3" ht="13" x14ac:dyDescent="0.15">
      <c r="A112" s="10"/>
      <c r="B112" s="13"/>
      <c r="C112" s="13"/>
    </row>
    <row r="113" spans="1:3" ht="13" x14ac:dyDescent="0.15">
      <c r="A113" s="10"/>
      <c r="B113" s="13"/>
      <c r="C113" s="13"/>
    </row>
    <row r="114" spans="1:3" ht="13" x14ac:dyDescent="0.15">
      <c r="A114" s="10"/>
      <c r="B114" s="13"/>
      <c r="C114" s="13"/>
    </row>
    <row r="115" spans="1:3" ht="13" x14ac:dyDescent="0.15">
      <c r="A115" s="10"/>
      <c r="B115" s="13"/>
      <c r="C115" s="13"/>
    </row>
    <row r="116" spans="1:3" ht="13" x14ac:dyDescent="0.15">
      <c r="A116" s="10"/>
      <c r="B116" s="13"/>
      <c r="C116" s="13"/>
    </row>
    <row r="117" spans="1:3" ht="13" x14ac:dyDescent="0.15">
      <c r="A117" s="10"/>
      <c r="B117" s="13"/>
      <c r="C117" s="13"/>
    </row>
    <row r="118" spans="1:3" ht="13" x14ac:dyDescent="0.15">
      <c r="A118" s="10"/>
      <c r="B118" s="13"/>
      <c r="C118" s="13"/>
    </row>
    <row r="119" spans="1:3" ht="13" x14ac:dyDescent="0.15">
      <c r="A119" s="10"/>
      <c r="B119" s="13"/>
      <c r="C119" s="13"/>
    </row>
    <row r="120" spans="1:3" ht="13" x14ac:dyDescent="0.15">
      <c r="A120" s="10"/>
      <c r="B120" s="13"/>
      <c r="C120" s="13"/>
    </row>
    <row r="121" spans="1:3" ht="13" x14ac:dyDescent="0.15">
      <c r="A121" s="10"/>
      <c r="B121" s="13"/>
      <c r="C121" s="13"/>
    </row>
    <row r="122" spans="1:3" ht="13" x14ac:dyDescent="0.15">
      <c r="A122" s="10"/>
      <c r="B122" s="13"/>
      <c r="C122" s="13"/>
    </row>
    <row r="123" spans="1:3" ht="13" x14ac:dyDescent="0.15">
      <c r="A123" s="10"/>
      <c r="B123" s="13"/>
      <c r="C123" s="13"/>
    </row>
    <row r="124" spans="1:3" ht="13" x14ac:dyDescent="0.15">
      <c r="A124" s="10"/>
      <c r="B124" s="13"/>
      <c r="C124" s="13"/>
    </row>
    <row r="125" spans="1:3" ht="13" x14ac:dyDescent="0.15">
      <c r="A125" s="10"/>
      <c r="B125" s="13"/>
      <c r="C125" s="13"/>
    </row>
    <row r="126" spans="1:3" ht="13" x14ac:dyDescent="0.15">
      <c r="A126" s="10"/>
      <c r="B126" s="13"/>
      <c r="C126" s="13"/>
    </row>
    <row r="127" spans="1:3" ht="13" x14ac:dyDescent="0.15">
      <c r="A127" s="10"/>
      <c r="B127" s="13"/>
      <c r="C127" s="13"/>
    </row>
    <row r="128" spans="1:3" ht="13" x14ac:dyDescent="0.15">
      <c r="A128" s="10"/>
      <c r="B128" s="13"/>
      <c r="C128" s="13"/>
    </row>
    <row r="129" spans="1:3" ht="13" x14ac:dyDescent="0.15">
      <c r="A129" s="10"/>
      <c r="B129" s="13"/>
      <c r="C129" s="13"/>
    </row>
    <row r="130" spans="1:3" ht="13" x14ac:dyDescent="0.15">
      <c r="A130" s="10"/>
      <c r="B130" s="13"/>
      <c r="C130" s="13"/>
    </row>
    <row r="131" spans="1:3" ht="13" x14ac:dyDescent="0.15">
      <c r="A131" s="10"/>
      <c r="B131" s="13"/>
      <c r="C131" s="13"/>
    </row>
    <row r="132" spans="1:3" ht="13" x14ac:dyDescent="0.15">
      <c r="A132" s="10"/>
      <c r="B132" s="13"/>
      <c r="C132" s="13"/>
    </row>
    <row r="133" spans="1:3" ht="13" x14ac:dyDescent="0.15">
      <c r="A133" s="10"/>
      <c r="B133" s="13"/>
      <c r="C133" s="13"/>
    </row>
    <row r="134" spans="1:3" ht="13" x14ac:dyDescent="0.15">
      <c r="A134" s="10"/>
      <c r="B134" s="13"/>
      <c r="C134" s="13"/>
    </row>
    <row r="135" spans="1:3" ht="13" x14ac:dyDescent="0.15">
      <c r="A135" s="10"/>
      <c r="B135" s="13"/>
      <c r="C135" s="13"/>
    </row>
    <row r="136" spans="1:3" ht="13" x14ac:dyDescent="0.15">
      <c r="A136" s="10"/>
      <c r="B136" s="13"/>
      <c r="C136" s="13"/>
    </row>
    <row r="137" spans="1:3" ht="13" x14ac:dyDescent="0.15">
      <c r="A137" s="10"/>
      <c r="B137" s="13"/>
      <c r="C137" s="13"/>
    </row>
    <row r="138" spans="1:3" ht="13" x14ac:dyDescent="0.15">
      <c r="A138" s="10"/>
      <c r="B138" s="13"/>
      <c r="C138" s="13"/>
    </row>
    <row r="139" spans="1:3" ht="13" x14ac:dyDescent="0.15">
      <c r="A139" s="10"/>
      <c r="B139" s="13"/>
      <c r="C139" s="13"/>
    </row>
    <row r="140" spans="1:3" ht="13" x14ac:dyDescent="0.15">
      <c r="A140" s="10"/>
      <c r="B140" s="13"/>
      <c r="C140" s="13"/>
    </row>
    <row r="141" spans="1:3" ht="13" x14ac:dyDescent="0.15">
      <c r="A141" s="10"/>
      <c r="B141" s="13"/>
      <c r="C141" s="13"/>
    </row>
    <row r="142" spans="1:3" ht="13" x14ac:dyDescent="0.15">
      <c r="A142" s="10"/>
      <c r="B142" s="13"/>
      <c r="C142" s="13"/>
    </row>
    <row r="143" spans="1:3" ht="13" x14ac:dyDescent="0.15">
      <c r="A143" s="10"/>
      <c r="B143" s="13"/>
      <c r="C143" s="13"/>
    </row>
    <row r="144" spans="1:3" ht="13" x14ac:dyDescent="0.15">
      <c r="A144" s="10"/>
      <c r="B144" s="13"/>
      <c r="C144" s="13"/>
    </row>
    <row r="145" spans="1:3" ht="13" x14ac:dyDescent="0.15">
      <c r="A145" s="10"/>
      <c r="B145" s="13"/>
      <c r="C145" s="13"/>
    </row>
    <row r="146" spans="1:3" ht="13" x14ac:dyDescent="0.15">
      <c r="A146" s="10"/>
      <c r="B146" s="13"/>
      <c r="C146" s="13"/>
    </row>
    <row r="147" spans="1:3" ht="13" x14ac:dyDescent="0.15">
      <c r="A147" s="10"/>
      <c r="B147" s="13"/>
      <c r="C147" s="13"/>
    </row>
    <row r="148" spans="1:3" ht="13" x14ac:dyDescent="0.15">
      <c r="A148" s="10"/>
      <c r="B148" s="13"/>
      <c r="C148" s="13"/>
    </row>
    <row r="149" spans="1:3" ht="13" x14ac:dyDescent="0.15">
      <c r="A149" s="10"/>
      <c r="B149" s="13"/>
      <c r="C149" s="13"/>
    </row>
    <row r="150" spans="1:3" ht="13" x14ac:dyDescent="0.15">
      <c r="A150" s="10"/>
      <c r="B150" s="13"/>
      <c r="C150" s="13"/>
    </row>
    <row r="151" spans="1:3" ht="13" x14ac:dyDescent="0.15">
      <c r="A151" s="10"/>
      <c r="B151" s="13"/>
      <c r="C151" s="13"/>
    </row>
    <row r="152" spans="1:3" ht="13" x14ac:dyDescent="0.15">
      <c r="A152" s="10"/>
      <c r="B152" s="13"/>
      <c r="C152" s="13"/>
    </row>
    <row r="153" spans="1:3" ht="13" x14ac:dyDescent="0.15">
      <c r="A153" s="10"/>
      <c r="B153" s="13"/>
      <c r="C153" s="13"/>
    </row>
    <row r="154" spans="1:3" ht="13" x14ac:dyDescent="0.15">
      <c r="A154" s="10"/>
      <c r="B154" s="13"/>
      <c r="C154" s="13"/>
    </row>
    <row r="155" spans="1:3" ht="13" x14ac:dyDescent="0.15">
      <c r="A155" s="10"/>
      <c r="B155" s="13"/>
      <c r="C155" s="13"/>
    </row>
    <row r="156" spans="1:3" ht="13" x14ac:dyDescent="0.15">
      <c r="A156" s="10"/>
      <c r="B156" s="13"/>
      <c r="C156" s="13"/>
    </row>
    <row r="157" spans="1:3" ht="13" x14ac:dyDescent="0.15">
      <c r="A157" s="10"/>
      <c r="B157" s="13"/>
      <c r="C157" s="13"/>
    </row>
    <row r="158" spans="1:3" ht="13" x14ac:dyDescent="0.15">
      <c r="A158" s="10"/>
      <c r="B158" s="13"/>
      <c r="C158" s="13"/>
    </row>
    <row r="159" spans="1:3" ht="13" x14ac:dyDescent="0.15">
      <c r="A159" s="10"/>
      <c r="B159" s="13"/>
      <c r="C159" s="13"/>
    </row>
    <row r="160" spans="1:3" ht="13" x14ac:dyDescent="0.15">
      <c r="A160" s="10"/>
      <c r="B160" s="13"/>
      <c r="C160" s="13"/>
    </row>
    <row r="161" spans="1:3" ht="13" x14ac:dyDescent="0.15">
      <c r="A161" s="10"/>
      <c r="B161" s="13"/>
      <c r="C161" s="13"/>
    </row>
    <row r="162" spans="1:3" ht="13" x14ac:dyDescent="0.15">
      <c r="A162" s="10"/>
      <c r="B162" s="13"/>
      <c r="C162" s="13"/>
    </row>
    <row r="163" spans="1:3" ht="13" x14ac:dyDescent="0.15">
      <c r="A163" s="10"/>
      <c r="B163" s="13"/>
      <c r="C163" s="13"/>
    </row>
    <row r="164" spans="1:3" ht="13" x14ac:dyDescent="0.15">
      <c r="A164" s="10"/>
      <c r="B164" s="13"/>
      <c r="C164" s="13"/>
    </row>
    <row r="165" spans="1:3" ht="13" x14ac:dyDescent="0.15">
      <c r="A165" s="10"/>
      <c r="B165" s="13"/>
      <c r="C165" s="13"/>
    </row>
    <row r="166" spans="1:3" ht="13" x14ac:dyDescent="0.15">
      <c r="A166" s="10"/>
      <c r="B166" s="13"/>
      <c r="C166" s="13"/>
    </row>
    <row r="167" spans="1:3" ht="13" x14ac:dyDescent="0.15">
      <c r="A167" s="10"/>
      <c r="B167" s="13"/>
      <c r="C167" s="13"/>
    </row>
    <row r="168" spans="1:3" ht="13" x14ac:dyDescent="0.15">
      <c r="A168" s="10"/>
      <c r="B168" s="13"/>
      <c r="C168" s="13"/>
    </row>
    <row r="169" spans="1:3" ht="13" x14ac:dyDescent="0.15">
      <c r="A169" s="10"/>
      <c r="B169" s="13"/>
      <c r="C169" s="13"/>
    </row>
    <row r="170" spans="1:3" ht="13" x14ac:dyDescent="0.15">
      <c r="A170" s="10"/>
      <c r="B170" s="13"/>
      <c r="C170" s="13"/>
    </row>
    <row r="171" spans="1:3" ht="13" x14ac:dyDescent="0.15">
      <c r="A171" s="10"/>
      <c r="B171" s="13"/>
      <c r="C171" s="13"/>
    </row>
    <row r="172" spans="1:3" ht="13" x14ac:dyDescent="0.15">
      <c r="A172" s="10"/>
      <c r="B172" s="13"/>
      <c r="C172" s="13"/>
    </row>
    <row r="173" spans="1:3" ht="13" x14ac:dyDescent="0.15">
      <c r="A173" s="10"/>
      <c r="B173" s="13"/>
      <c r="C173" s="13"/>
    </row>
    <row r="174" spans="1:3" ht="13" x14ac:dyDescent="0.15">
      <c r="A174" s="10"/>
      <c r="B174" s="13"/>
      <c r="C174" s="13"/>
    </row>
    <row r="175" spans="1:3" ht="13" x14ac:dyDescent="0.15">
      <c r="A175" s="10"/>
      <c r="B175" s="13"/>
      <c r="C175" s="13"/>
    </row>
    <row r="176" spans="1:3" ht="13" x14ac:dyDescent="0.15">
      <c r="A176" s="10"/>
      <c r="B176" s="13"/>
      <c r="C176" s="13"/>
    </row>
    <row r="177" spans="1:3" ht="13" x14ac:dyDescent="0.15">
      <c r="A177" s="10"/>
      <c r="B177" s="13"/>
      <c r="C177" s="13"/>
    </row>
    <row r="178" spans="1:3" ht="13" x14ac:dyDescent="0.15">
      <c r="A178" s="10"/>
      <c r="B178" s="13"/>
      <c r="C178" s="13"/>
    </row>
    <row r="179" spans="1:3" ht="13" x14ac:dyDescent="0.15">
      <c r="A179" s="10"/>
      <c r="B179" s="13"/>
      <c r="C179" s="13"/>
    </row>
    <row r="180" spans="1:3" ht="13" x14ac:dyDescent="0.15">
      <c r="A180" s="10"/>
      <c r="B180" s="13"/>
      <c r="C180" s="13"/>
    </row>
    <row r="181" spans="1:3" ht="13" x14ac:dyDescent="0.15">
      <c r="A181" s="10"/>
      <c r="B181" s="13"/>
      <c r="C181" s="13"/>
    </row>
    <row r="182" spans="1:3" ht="13" x14ac:dyDescent="0.15">
      <c r="A182" s="10"/>
      <c r="B182" s="13"/>
      <c r="C182" s="13"/>
    </row>
    <row r="183" spans="1:3" ht="13" x14ac:dyDescent="0.15">
      <c r="A183" s="10"/>
      <c r="B183" s="13"/>
      <c r="C183" s="13"/>
    </row>
    <row r="184" spans="1:3" ht="13" x14ac:dyDescent="0.15">
      <c r="A184" s="10"/>
      <c r="B184" s="13"/>
      <c r="C184" s="13"/>
    </row>
    <row r="185" spans="1:3" ht="13" x14ac:dyDescent="0.15">
      <c r="A185" s="10"/>
      <c r="B185" s="13"/>
      <c r="C185" s="13"/>
    </row>
    <row r="186" spans="1:3" ht="13" x14ac:dyDescent="0.15">
      <c r="A186" s="10"/>
      <c r="B186" s="13"/>
      <c r="C186" s="13"/>
    </row>
    <row r="187" spans="1:3" ht="13" x14ac:dyDescent="0.15">
      <c r="A187" s="10"/>
      <c r="B187" s="13"/>
      <c r="C187" s="13"/>
    </row>
    <row r="188" spans="1:3" ht="13" x14ac:dyDescent="0.15">
      <c r="A188" s="10"/>
      <c r="B188" s="13"/>
      <c r="C188" s="13"/>
    </row>
    <row r="189" spans="1:3" ht="13" x14ac:dyDescent="0.15">
      <c r="A189" s="10"/>
      <c r="B189" s="13"/>
      <c r="C189" s="13"/>
    </row>
    <row r="190" spans="1:3" ht="13" x14ac:dyDescent="0.15">
      <c r="A190" s="10"/>
      <c r="B190" s="13"/>
      <c r="C190" s="13"/>
    </row>
    <row r="191" spans="1:3" ht="13" x14ac:dyDescent="0.15">
      <c r="A191" s="10"/>
      <c r="B191" s="13"/>
      <c r="C191" s="13"/>
    </row>
    <row r="192" spans="1:3" ht="13" x14ac:dyDescent="0.15">
      <c r="A192" s="10"/>
      <c r="B192" s="13"/>
      <c r="C192" s="13"/>
    </row>
    <row r="193" spans="1:3" ht="13" x14ac:dyDescent="0.15">
      <c r="A193" s="10"/>
      <c r="B193" s="13"/>
      <c r="C193" s="13"/>
    </row>
    <row r="194" spans="1:3" ht="13" x14ac:dyDescent="0.15">
      <c r="A194" s="10"/>
      <c r="B194" s="13"/>
      <c r="C194" s="13"/>
    </row>
    <row r="195" spans="1:3" ht="13" x14ac:dyDescent="0.15">
      <c r="A195" s="10"/>
      <c r="B195" s="13"/>
      <c r="C195" s="13"/>
    </row>
    <row r="196" spans="1:3" ht="13" x14ac:dyDescent="0.15">
      <c r="A196" s="10"/>
      <c r="B196" s="13"/>
      <c r="C196" s="13"/>
    </row>
    <row r="197" spans="1:3" ht="13" x14ac:dyDescent="0.15">
      <c r="A197" s="10"/>
      <c r="B197" s="13"/>
      <c r="C197" s="13"/>
    </row>
    <row r="198" spans="1:3" ht="13" x14ac:dyDescent="0.15">
      <c r="A198" s="10"/>
      <c r="B198" s="13"/>
      <c r="C198" s="13"/>
    </row>
    <row r="199" spans="1:3" ht="13" x14ac:dyDescent="0.15">
      <c r="A199" s="10"/>
      <c r="B199" s="13"/>
      <c r="C199" s="13"/>
    </row>
    <row r="200" spans="1:3" ht="13" x14ac:dyDescent="0.15">
      <c r="A200" s="10"/>
      <c r="B200" s="13"/>
      <c r="C200" s="13"/>
    </row>
    <row r="201" spans="1:3" ht="13" x14ac:dyDescent="0.15">
      <c r="A201" s="10"/>
      <c r="B201" s="13"/>
      <c r="C201" s="13"/>
    </row>
    <row r="202" spans="1:3" ht="13" x14ac:dyDescent="0.15">
      <c r="A202" s="10"/>
      <c r="B202" s="13"/>
      <c r="C202" s="13"/>
    </row>
    <row r="203" spans="1:3" ht="13" x14ac:dyDescent="0.15">
      <c r="A203" s="10"/>
      <c r="B203" s="13"/>
      <c r="C203" s="13"/>
    </row>
    <row r="204" spans="1:3" ht="13" x14ac:dyDescent="0.15">
      <c r="A204" s="10"/>
      <c r="B204" s="13"/>
      <c r="C204" s="13"/>
    </row>
    <row r="205" spans="1:3" ht="13" x14ac:dyDescent="0.15">
      <c r="A205" s="10"/>
      <c r="B205" s="13"/>
      <c r="C205" s="13"/>
    </row>
    <row r="206" spans="1:3" ht="13" x14ac:dyDescent="0.15">
      <c r="A206" s="10"/>
      <c r="B206" s="13"/>
      <c r="C206" s="13"/>
    </row>
    <row r="207" spans="1:3" ht="13" x14ac:dyDescent="0.15">
      <c r="A207" s="10"/>
      <c r="B207" s="13"/>
      <c r="C207" s="13"/>
    </row>
    <row r="208" spans="1:3" ht="13" x14ac:dyDescent="0.15">
      <c r="A208" s="10"/>
      <c r="B208" s="13"/>
      <c r="C208" s="13"/>
    </row>
    <row r="209" spans="1:3" ht="13" x14ac:dyDescent="0.15">
      <c r="A209" s="10"/>
      <c r="B209" s="13"/>
      <c r="C209" s="13"/>
    </row>
    <row r="210" spans="1:3" ht="13" x14ac:dyDescent="0.15">
      <c r="A210" s="10"/>
      <c r="B210" s="13"/>
      <c r="C210" s="13"/>
    </row>
    <row r="211" spans="1:3" ht="13" x14ac:dyDescent="0.15">
      <c r="A211" s="10"/>
      <c r="B211" s="13"/>
      <c r="C211" s="13"/>
    </row>
    <row r="212" spans="1:3" ht="13" x14ac:dyDescent="0.15">
      <c r="A212" s="10"/>
      <c r="B212" s="13"/>
      <c r="C212" s="13"/>
    </row>
    <row r="213" spans="1:3" ht="13" x14ac:dyDescent="0.15">
      <c r="A213" s="10"/>
      <c r="B213" s="13"/>
      <c r="C213" s="13"/>
    </row>
    <row r="214" spans="1:3" ht="13" x14ac:dyDescent="0.15">
      <c r="A214" s="10"/>
      <c r="B214" s="13"/>
      <c r="C214" s="13"/>
    </row>
    <row r="215" spans="1:3" ht="13" x14ac:dyDescent="0.15">
      <c r="A215" s="10"/>
      <c r="B215" s="13"/>
      <c r="C215" s="13"/>
    </row>
    <row r="216" spans="1:3" ht="13" x14ac:dyDescent="0.15">
      <c r="A216" s="10"/>
      <c r="B216" s="13"/>
      <c r="C216" s="13"/>
    </row>
    <row r="217" spans="1:3" ht="13" x14ac:dyDescent="0.15">
      <c r="A217" s="10"/>
      <c r="B217" s="13"/>
      <c r="C217" s="13"/>
    </row>
    <row r="218" spans="1:3" ht="13" x14ac:dyDescent="0.15">
      <c r="A218" s="10"/>
      <c r="B218" s="13"/>
      <c r="C218" s="13"/>
    </row>
    <row r="219" spans="1:3" ht="13" x14ac:dyDescent="0.15">
      <c r="A219" s="10"/>
      <c r="B219" s="13"/>
      <c r="C219" s="13"/>
    </row>
    <row r="220" spans="1:3" ht="13" x14ac:dyDescent="0.15">
      <c r="A220" s="10"/>
      <c r="B220" s="13"/>
      <c r="C220" s="13"/>
    </row>
    <row r="221" spans="1:3" ht="13" x14ac:dyDescent="0.15">
      <c r="A221" s="10"/>
      <c r="B221" s="13"/>
      <c r="C221" s="13"/>
    </row>
    <row r="222" spans="1:3" ht="13" x14ac:dyDescent="0.15">
      <c r="A222" s="10"/>
      <c r="B222" s="13"/>
      <c r="C222" s="13"/>
    </row>
    <row r="223" spans="1:3" ht="13" x14ac:dyDescent="0.15">
      <c r="A223" s="10"/>
      <c r="B223" s="13"/>
      <c r="C223" s="13"/>
    </row>
    <row r="224" spans="1:3" ht="13" x14ac:dyDescent="0.15">
      <c r="A224" s="10"/>
      <c r="B224" s="13"/>
      <c r="C224" s="13"/>
    </row>
    <row r="225" spans="1:3" ht="13" x14ac:dyDescent="0.15">
      <c r="A225" s="10"/>
      <c r="B225" s="13"/>
      <c r="C225" s="13"/>
    </row>
    <row r="226" spans="1:3" ht="13" x14ac:dyDescent="0.15">
      <c r="A226" s="10"/>
      <c r="B226" s="13"/>
      <c r="C226" s="13"/>
    </row>
    <row r="227" spans="1:3" ht="13" x14ac:dyDescent="0.15">
      <c r="A227" s="10"/>
      <c r="B227" s="13"/>
      <c r="C227" s="13"/>
    </row>
    <row r="228" spans="1:3" ht="13" x14ac:dyDescent="0.15">
      <c r="A228" s="10"/>
      <c r="B228" s="13"/>
      <c r="C228" s="13"/>
    </row>
    <row r="229" spans="1:3" ht="13" x14ac:dyDescent="0.15">
      <c r="A229" s="10"/>
      <c r="B229" s="13"/>
      <c r="C229" s="13"/>
    </row>
    <row r="230" spans="1:3" ht="13" x14ac:dyDescent="0.15">
      <c r="A230" s="10"/>
      <c r="B230" s="13"/>
      <c r="C230" s="13"/>
    </row>
    <row r="231" spans="1:3" ht="13" x14ac:dyDescent="0.15">
      <c r="A231" s="10"/>
      <c r="B231" s="13"/>
      <c r="C231" s="13"/>
    </row>
    <row r="232" spans="1:3" ht="13" x14ac:dyDescent="0.15">
      <c r="A232" s="10"/>
      <c r="B232" s="13"/>
      <c r="C232" s="13"/>
    </row>
    <row r="233" spans="1:3" ht="13" x14ac:dyDescent="0.15">
      <c r="A233" s="10"/>
      <c r="B233" s="13"/>
      <c r="C233" s="13"/>
    </row>
    <row r="234" spans="1:3" ht="13" x14ac:dyDescent="0.15">
      <c r="A234" s="10"/>
      <c r="B234" s="13"/>
      <c r="C234" s="13"/>
    </row>
    <row r="235" spans="1:3" ht="13" x14ac:dyDescent="0.15">
      <c r="A235" s="10"/>
      <c r="B235" s="13"/>
      <c r="C235" s="13"/>
    </row>
    <row r="236" spans="1:3" ht="13" x14ac:dyDescent="0.15">
      <c r="A236" s="10"/>
      <c r="B236" s="13"/>
      <c r="C236" s="13"/>
    </row>
    <row r="237" spans="1:3" ht="13" x14ac:dyDescent="0.15">
      <c r="A237" s="10"/>
      <c r="B237" s="13"/>
      <c r="C237" s="13"/>
    </row>
    <row r="238" spans="1:3" ht="13" x14ac:dyDescent="0.15">
      <c r="A238" s="10"/>
      <c r="B238" s="13"/>
      <c r="C238" s="13"/>
    </row>
    <row r="239" spans="1:3" ht="13" x14ac:dyDescent="0.15">
      <c r="A239" s="10"/>
      <c r="B239" s="13"/>
      <c r="C239" s="13"/>
    </row>
    <row r="240" spans="1:3" ht="13" x14ac:dyDescent="0.15">
      <c r="A240" s="10"/>
      <c r="B240" s="13"/>
      <c r="C240" s="13"/>
    </row>
    <row r="241" spans="1:3" ht="13" x14ac:dyDescent="0.15">
      <c r="A241" s="10"/>
      <c r="B241" s="13"/>
      <c r="C241" s="13"/>
    </row>
    <row r="242" spans="1:3" ht="13" x14ac:dyDescent="0.15">
      <c r="A242" s="10"/>
      <c r="B242" s="13"/>
      <c r="C242" s="13"/>
    </row>
    <row r="243" spans="1:3" ht="13" x14ac:dyDescent="0.15">
      <c r="A243" s="10"/>
      <c r="B243" s="13"/>
      <c r="C243" s="13"/>
    </row>
    <row r="244" spans="1:3" ht="13" x14ac:dyDescent="0.15">
      <c r="A244" s="10"/>
      <c r="B244" s="13"/>
      <c r="C244" s="13"/>
    </row>
    <row r="245" spans="1:3" ht="13" x14ac:dyDescent="0.15">
      <c r="A245" s="10"/>
      <c r="B245" s="13"/>
      <c r="C245" s="13"/>
    </row>
    <row r="246" spans="1:3" ht="13" x14ac:dyDescent="0.15">
      <c r="A246" s="10"/>
      <c r="B246" s="13"/>
      <c r="C246" s="13"/>
    </row>
    <row r="247" spans="1:3" ht="13" x14ac:dyDescent="0.15">
      <c r="A247" s="10"/>
      <c r="B247" s="13"/>
      <c r="C247" s="13"/>
    </row>
    <row r="248" spans="1:3" ht="13" x14ac:dyDescent="0.15">
      <c r="A248" s="10"/>
      <c r="B248" s="13"/>
      <c r="C248" s="13"/>
    </row>
    <row r="249" spans="1:3" ht="13" x14ac:dyDescent="0.15">
      <c r="A249" s="10"/>
      <c r="B249" s="13"/>
      <c r="C249" s="13"/>
    </row>
    <row r="250" spans="1:3" ht="13" x14ac:dyDescent="0.15">
      <c r="A250" s="10"/>
      <c r="B250" s="13"/>
      <c r="C250" s="13"/>
    </row>
    <row r="251" spans="1:3" ht="13" x14ac:dyDescent="0.15">
      <c r="A251" s="10"/>
      <c r="B251" s="13"/>
      <c r="C251" s="13"/>
    </row>
    <row r="252" spans="1:3" ht="13" x14ac:dyDescent="0.15">
      <c r="A252" s="10"/>
      <c r="B252" s="13"/>
      <c r="C252" s="13"/>
    </row>
    <row r="253" spans="1:3" ht="13" x14ac:dyDescent="0.15">
      <c r="A253" s="10"/>
      <c r="B253" s="13"/>
      <c r="C253" s="13"/>
    </row>
    <row r="254" spans="1:3" ht="13" x14ac:dyDescent="0.15">
      <c r="A254" s="10"/>
      <c r="B254" s="13"/>
      <c r="C254" s="13"/>
    </row>
    <row r="255" spans="1:3" ht="13" x14ac:dyDescent="0.15">
      <c r="A255" s="10"/>
      <c r="B255" s="13"/>
      <c r="C255" s="13"/>
    </row>
    <row r="256" spans="1:3" ht="13" x14ac:dyDescent="0.15">
      <c r="A256" s="10"/>
      <c r="B256" s="13"/>
      <c r="C256" s="13"/>
    </row>
    <row r="257" spans="1:3" ht="13" x14ac:dyDescent="0.15">
      <c r="A257" s="10"/>
      <c r="B257" s="13"/>
      <c r="C257" s="13"/>
    </row>
    <row r="258" spans="1:3" ht="13" x14ac:dyDescent="0.15">
      <c r="A258" s="10"/>
      <c r="B258" s="13"/>
      <c r="C258" s="13"/>
    </row>
    <row r="259" spans="1:3" ht="13" x14ac:dyDescent="0.15">
      <c r="A259" s="10"/>
      <c r="B259" s="13"/>
      <c r="C259" s="13"/>
    </row>
    <row r="260" spans="1:3" ht="13" x14ac:dyDescent="0.15">
      <c r="A260" s="10"/>
      <c r="B260" s="13"/>
      <c r="C260" s="13"/>
    </row>
    <row r="261" spans="1:3" ht="13" x14ac:dyDescent="0.15">
      <c r="A261" s="10"/>
      <c r="B261" s="13"/>
      <c r="C261" s="13"/>
    </row>
    <row r="262" spans="1:3" ht="13" x14ac:dyDescent="0.15">
      <c r="A262" s="10"/>
      <c r="B262" s="13"/>
      <c r="C262" s="13"/>
    </row>
    <row r="263" spans="1:3" ht="13" x14ac:dyDescent="0.15">
      <c r="A263" s="10"/>
      <c r="B263" s="13"/>
      <c r="C263" s="13"/>
    </row>
    <row r="264" spans="1:3" ht="13" x14ac:dyDescent="0.15">
      <c r="A264" s="10"/>
      <c r="B264" s="13"/>
      <c r="C264" s="13"/>
    </row>
    <row r="265" spans="1:3" ht="13" x14ac:dyDescent="0.15">
      <c r="A265" s="10"/>
      <c r="B265" s="13"/>
      <c r="C265" s="13"/>
    </row>
    <row r="266" spans="1:3" ht="13" x14ac:dyDescent="0.15">
      <c r="A266" s="10"/>
      <c r="B266" s="13"/>
      <c r="C266" s="13"/>
    </row>
    <row r="267" spans="1:3" ht="13" x14ac:dyDescent="0.15">
      <c r="A267" s="10"/>
      <c r="B267" s="13"/>
      <c r="C267" s="13"/>
    </row>
    <row r="268" spans="1:3" ht="13" x14ac:dyDescent="0.15">
      <c r="A268" s="10"/>
      <c r="B268" s="13"/>
      <c r="C268" s="13"/>
    </row>
    <row r="269" spans="1:3" ht="13" x14ac:dyDescent="0.15">
      <c r="A269" s="10"/>
      <c r="B269" s="13"/>
      <c r="C269" s="13"/>
    </row>
    <row r="270" spans="1:3" ht="13" x14ac:dyDescent="0.15">
      <c r="A270" s="10"/>
      <c r="B270" s="13"/>
      <c r="C270" s="13"/>
    </row>
    <row r="271" spans="1:3" ht="13" x14ac:dyDescent="0.15">
      <c r="A271" s="10"/>
      <c r="B271" s="13"/>
      <c r="C271" s="13"/>
    </row>
    <row r="272" spans="1:3" ht="13" x14ac:dyDescent="0.15">
      <c r="A272" s="10"/>
      <c r="B272" s="13"/>
      <c r="C272" s="13"/>
    </row>
    <row r="273" spans="1:3" ht="13" x14ac:dyDescent="0.15">
      <c r="A273" s="10"/>
      <c r="B273" s="13"/>
      <c r="C273" s="13"/>
    </row>
    <row r="274" spans="1:3" ht="13" x14ac:dyDescent="0.15">
      <c r="A274" s="10"/>
      <c r="B274" s="13"/>
      <c r="C274" s="13"/>
    </row>
    <row r="275" spans="1:3" ht="13" x14ac:dyDescent="0.15">
      <c r="A275" s="10"/>
      <c r="B275" s="13"/>
      <c r="C275" s="13"/>
    </row>
    <row r="276" spans="1:3" ht="13" x14ac:dyDescent="0.15">
      <c r="A276" s="10"/>
      <c r="B276" s="13"/>
      <c r="C276" s="13"/>
    </row>
    <row r="277" spans="1:3" ht="13" x14ac:dyDescent="0.15">
      <c r="A277" s="10"/>
      <c r="B277" s="13"/>
      <c r="C277" s="13"/>
    </row>
    <row r="278" spans="1:3" ht="13" x14ac:dyDescent="0.15">
      <c r="A278" s="10"/>
      <c r="B278" s="13"/>
      <c r="C278" s="13"/>
    </row>
    <row r="279" spans="1:3" ht="13" x14ac:dyDescent="0.15">
      <c r="A279" s="10"/>
      <c r="B279" s="13"/>
      <c r="C279" s="13"/>
    </row>
    <row r="280" spans="1:3" ht="13" x14ac:dyDescent="0.15">
      <c r="A280" s="10"/>
      <c r="B280" s="13"/>
      <c r="C280" s="13"/>
    </row>
    <row r="281" spans="1:3" ht="13" x14ac:dyDescent="0.15">
      <c r="A281" s="10"/>
      <c r="B281" s="13"/>
      <c r="C281" s="13"/>
    </row>
    <row r="282" spans="1:3" ht="13" x14ac:dyDescent="0.15">
      <c r="A282" s="10"/>
      <c r="B282" s="13"/>
      <c r="C282" s="13"/>
    </row>
    <row r="283" spans="1:3" ht="13" x14ac:dyDescent="0.15">
      <c r="A283" s="10"/>
      <c r="B283" s="13"/>
      <c r="C283" s="13"/>
    </row>
    <row r="284" spans="1:3" ht="13" x14ac:dyDescent="0.15">
      <c r="A284" s="10"/>
      <c r="B284" s="13"/>
      <c r="C284" s="13"/>
    </row>
    <row r="285" spans="1:3" ht="13" x14ac:dyDescent="0.15">
      <c r="A285" s="10"/>
      <c r="B285" s="13"/>
      <c r="C285" s="13"/>
    </row>
    <row r="286" spans="1:3" ht="13" x14ac:dyDescent="0.15">
      <c r="A286" s="10"/>
      <c r="B286" s="13"/>
      <c r="C286" s="13"/>
    </row>
    <row r="287" spans="1:3" ht="13" x14ac:dyDescent="0.15">
      <c r="A287" s="10"/>
      <c r="B287" s="13"/>
      <c r="C287" s="13"/>
    </row>
    <row r="288" spans="1:3" ht="13" x14ac:dyDescent="0.15">
      <c r="A288" s="10"/>
      <c r="B288" s="13"/>
      <c r="C288" s="13"/>
    </row>
    <row r="289" spans="1:3" ht="13" x14ac:dyDescent="0.15">
      <c r="A289" s="10"/>
      <c r="B289" s="13"/>
      <c r="C289" s="13"/>
    </row>
    <row r="290" spans="1:3" ht="13" x14ac:dyDescent="0.15">
      <c r="A290" s="10"/>
      <c r="B290" s="13"/>
      <c r="C290" s="13"/>
    </row>
    <row r="291" spans="1:3" ht="13" x14ac:dyDescent="0.15">
      <c r="A291" s="10"/>
      <c r="B291" s="13"/>
      <c r="C291" s="13"/>
    </row>
    <row r="292" spans="1:3" ht="13" x14ac:dyDescent="0.15">
      <c r="A292" s="10"/>
      <c r="B292" s="13"/>
      <c r="C292" s="13"/>
    </row>
    <row r="293" spans="1:3" ht="13" x14ac:dyDescent="0.15">
      <c r="A293" s="10"/>
      <c r="B293" s="13"/>
      <c r="C293" s="13"/>
    </row>
    <row r="294" spans="1:3" ht="13" x14ac:dyDescent="0.15">
      <c r="A294" s="10"/>
      <c r="B294" s="13"/>
      <c r="C294" s="13"/>
    </row>
    <row r="295" spans="1:3" ht="13" x14ac:dyDescent="0.15">
      <c r="A295" s="10"/>
      <c r="B295" s="13"/>
      <c r="C295" s="13"/>
    </row>
    <row r="296" spans="1:3" ht="13" x14ac:dyDescent="0.15">
      <c r="A296" s="10"/>
      <c r="B296" s="13"/>
      <c r="C296" s="13"/>
    </row>
    <row r="297" spans="1:3" ht="13" x14ac:dyDescent="0.15">
      <c r="A297" s="10"/>
      <c r="B297" s="13"/>
      <c r="C297" s="13"/>
    </row>
    <row r="298" spans="1:3" ht="13" x14ac:dyDescent="0.15">
      <c r="A298" s="10"/>
      <c r="B298" s="13"/>
      <c r="C298" s="13"/>
    </row>
    <row r="299" spans="1:3" ht="13" x14ac:dyDescent="0.15">
      <c r="A299" s="10"/>
      <c r="B299" s="13"/>
      <c r="C299" s="13"/>
    </row>
    <row r="300" spans="1:3" ht="13" x14ac:dyDescent="0.15">
      <c r="A300" s="10"/>
      <c r="B300" s="13"/>
      <c r="C300" s="13"/>
    </row>
    <row r="301" spans="1:3" ht="13" x14ac:dyDescent="0.15">
      <c r="A301" s="10"/>
      <c r="B301" s="13"/>
      <c r="C301" s="13"/>
    </row>
    <row r="302" spans="1:3" ht="13" x14ac:dyDescent="0.15">
      <c r="A302" s="10"/>
      <c r="B302" s="13"/>
      <c r="C302" s="13"/>
    </row>
    <row r="303" spans="1:3" ht="13" x14ac:dyDescent="0.15">
      <c r="A303" s="10"/>
      <c r="B303" s="13"/>
      <c r="C303" s="13"/>
    </row>
    <row r="304" spans="1:3" ht="13" x14ac:dyDescent="0.15">
      <c r="A304" s="10"/>
      <c r="B304" s="13"/>
      <c r="C304" s="13"/>
    </row>
    <row r="305" spans="1:3" ht="13" x14ac:dyDescent="0.15">
      <c r="A305" s="10"/>
      <c r="B305" s="13"/>
      <c r="C305" s="13"/>
    </row>
    <row r="306" spans="1:3" ht="13" x14ac:dyDescent="0.15">
      <c r="A306" s="10"/>
      <c r="B306" s="13"/>
      <c r="C306" s="13"/>
    </row>
    <row r="307" spans="1:3" ht="13" x14ac:dyDescent="0.15">
      <c r="A307" s="10"/>
      <c r="B307" s="13"/>
      <c r="C307" s="13"/>
    </row>
    <row r="308" spans="1:3" ht="13" x14ac:dyDescent="0.15">
      <c r="A308" s="10"/>
      <c r="B308" s="13"/>
      <c r="C308" s="13"/>
    </row>
    <row r="309" spans="1:3" ht="13" x14ac:dyDescent="0.15">
      <c r="A309" s="10"/>
      <c r="B309" s="13"/>
      <c r="C309" s="13"/>
    </row>
    <row r="310" spans="1:3" ht="13" x14ac:dyDescent="0.15">
      <c r="A310" s="10"/>
      <c r="B310" s="13"/>
      <c r="C310" s="13"/>
    </row>
    <row r="311" spans="1:3" ht="13" x14ac:dyDescent="0.15">
      <c r="A311" s="10"/>
      <c r="B311" s="13"/>
      <c r="C311" s="13"/>
    </row>
    <row r="312" spans="1:3" ht="13" x14ac:dyDescent="0.15">
      <c r="A312" s="10"/>
      <c r="B312" s="13"/>
      <c r="C312" s="13"/>
    </row>
    <row r="313" spans="1:3" ht="13" x14ac:dyDescent="0.15">
      <c r="A313" s="10"/>
      <c r="B313" s="13"/>
      <c r="C313" s="13"/>
    </row>
    <row r="314" spans="1:3" ht="13" x14ac:dyDescent="0.15">
      <c r="A314" s="10"/>
      <c r="B314" s="13"/>
      <c r="C314" s="13"/>
    </row>
    <row r="315" spans="1:3" ht="13" x14ac:dyDescent="0.15">
      <c r="A315" s="10"/>
      <c r="B315" s="13"/>
      <c r="C315" s="13"/>
    </row>
    <row r="316" spans="1:3" ht="13" x14ac:dyDescent="0.15">
      <c r="A316" s="10"/>
      <c r="B316" s="13"/>
      <c r="C316" s="13"/>
    </row>
    <row r="317" spans="1:3" ht="13" x14ac:dyDescent="0.15">
      <c r="A317" s="10"/>
      <c r="B317" s="13"/>
      <c r="C317" s="13"/>
    </row>
    <row r="318" spans="1:3" ht="13" x14ac:dyDescent="0.15">
      <c r="A318" s="10"/>
      <c r="B318" s="13"/>
      <c r="C318" s="13"/>
    </row>
    <row r="319" spans="1:3" ht="13" x14ac:dyDescent="0.15">
      <c r="A319" s="10"/>
      <c r="B319" s="13"/>
      <c r="C319" s="13"/>
    </row>
    <row r="320" spans="1:3" ht="13" x14ac:dyDescent="0.15">
      <c r="A320" s="10"/>
      <c r="B320" s="13"/>
      <c r="C320" s="13"/>
    </row>
    <row r="321" spans="1:3" ht="13" x14ac:dyDescent="0.15">
      <c r="A321" s="10"/>
      <c r="B321" s="13"/>
      <c r="C321" s="13"/>
    </row>
    <row r="322" spans="1:3" ht="13" x14ac:dyDescent="0.15">
      <c r="A322" s="10"/>
      <c r="B322" s="13"/>
      <c r="C322" s="13"/>
    </row>
    <row r="323" spans="1:3" ht="13" x14ac:dyDescent="0.15">
      <c r="A323" s="10"/>
      <c r="B323" s="13"/>
      <c r="C323" s="13"/>
    </row>
    <row r="324" spans="1:3" ht="13" x14ac:dyDescent="0.15">
      <c r="A324" s="10"/>
      <c r="B324" s="13"/>
      <c r="C324" s="13"/>
    </row>
    <row r="325" spans="1:3" ht="13" x14ac:dyDescent="0.15">
      <c r="A325" s="10"/>
      <c r="B325" s="13"/>
      <c r="C325" s="13"/>
    </row>
    <row r="326" spans="1:3" ht="13" x14ac:dyDescent="0.15">
      <c r="A326" s="10"/>
      <c r="B326" s="13"/>
      <c r="C326" s="13"/>
    </row>
    <row r="327" spans="1:3" ht="13" x14ac:dyDescent="0.15">
      <c r="A327" s="10"/>
      <c r="B327" s="13"/>
      <c r="C327" s="13"/>
    </row>
    <row r="328" spans="1:3" ht="13" x14ac:dyDescent="0.15">
      <c r="A328" s="10"/>
      <c r="B328" s="13"/>
      <c r="C328" s="13"/>
    </row>
    <row r="329" spans="1:3" ht="13" x14ac:dyDescent="0.15">
      <c r="A329" s="10"/>
      <c r="B329" s="13"/>
      <c r="C329" s="13"/>
    </row>
    <row r="330" spans="1:3" ht="13" x14ac:dyDescent="0.15">
      <c r="A330" s="10"/>
      <c r="B330" s="13"/>
      <c r="C330" s="13"/>
    </row>
    <row r="331" spans="1:3" ht="13" x14ac:dyDescent="0.15">
      <c r="A331" s="10"/>
      <c r="B331" s="13"/>
      <c r="C331" s="13"/>
    </row>
    <row r="332" spans="1:3" ht="13" x14ac:dyDescent="0.15">
      <c r="A332" s="10"/>
      <c r="B332" s="13"/>
      <c r="C332" s="13"/>
    </row>
    <row r="333" spans="1:3" ht="13" x14ac:dyDescent="0.15">
      <c r="A333" s="10"/>
      <c r="B333" s="13"/>
      <c r="C333" s="13"/>
    </row>
    <row r="334" spans="1:3" ht="13" x14ac:dyDescent="0.15">
      <c r="A334" s="10"/>
      <c r="B334" s="13"/>
      <c r="C334" s="13"/>
    </row>
    <row r="335" spans="1:3" ht="13" x14ac:dyDescent="0.15">
      <c r="A335" s="10"/>
      <c r="B335" s="13"/>
      <c r="C335" s="13"/>
    </row>
    <row r="336" spans="1:3" ht="13" x14ac:dyDescent="0.15">
      <c r="A336" s="10"/>
      <c r="B336" s="13"/>
      <c r="C336" s="13"/>
    </row>
    <row r="337" spans="1:3" ht="13" x14ac:dyDescent="0.15">
      <c r="A337" s="10"/>
      <c r="B337" s="13"/>
      <c r="C337" s="13"/>
    </row>
    <row r="338" spans="1:3" ht="13" x14ac:dyDescent="0.15">
      <c r="A338" s="10"/>
      <c r="B338" s="13"/>
      <c r="C338" s="13"/>
    </row>
    <row r="339" spans="1:3" ht="13" x14ac:dyDescent="0.15">
      <c r="A339" s="10"/>
      <c r="B339" s="13"/>
      <c r="C339" s="13"/>
    </row>
    <row r="340" spans="1:3" ht="13" x14ac:dyDescent="0.15">
      <c r="A340" s="10"/>
      <c r="B340" s="13"/>
      <c r="C340" s="13"/>
    </row>
    <row r="341" spans="1:3" ht="13" x14ac:dyDescent="0.15">
      <c r="A341" s="10"/>
      <c r="B341" s="13"/>
      <c r="C341" s="13"/>
    </row>
    <row r="342" spans="1:3" ht="13" x14ac:dyDescent="0.15">
      <c r="A342" s="10"/>
      <c r="B342" s="13"/>
      <c r="C342" s="13"/>
    </row>
    <row r="343" spans="1:3" ht="13" x14ac:dyDescent="0.15">
      <c r="A343" s="10"/>
      <c r="B343" s="13"/>
      <c r="C343" s="13"/>
    </row>
    <row r="344" spans="1:3" ht="13" x14ac:dyDescent="0.15">
      <c r="A344" s="10"/>
      <c r="B344" s="13"/>
      <c r="C344" s="13"/>
    </row>
    <row r="345" spans="1:3" ht="13" x14ac:dyDescent="0.15">
      <c r="A345" s="10"/>
      <c r="B345" s="13"/>
      <c r="C345" s="13"/>
    </row>
    <row r="346" spans="1:3" ht="13" x14ac:dyDescent="0.15">
      <c r="A346" s="10"/>
      <c r="B346" s="13"/>
      <c r="C346" s="13"/>
    </row>
    <row r="347" spans="1:3" ht="13" x14ac:dyDescent="0.15">
      <c r="A347" s="10"/>
      <c r="B347" s="13"/>
      <c r="C347" s="13"/>
    </row>
    <row r="348" spans="1:3" ht="13" x14ac:dyDescent="0.15">
      <c r="A348" s="10"/>
      <c r="B348" s="13"/>
      <c r="C348" s="13"/>
    </row>
    <row r="349" spans="1:3" ht="13" x14ac:dyDescent="0.15">
      <c r="A349" s="10"/>
      <c r="B349" s="13"/>
      <c r="C349" s="13"/>
    </row>
    <row r="350" spans="1:3" ht="13" x14ac:dyDescent="0.15">
      <c r="A350" s="10"/>
      <c r="B350" s="13"/>
      <c r="C350" s="13"/>
    </row>
    <row r="351" spans="1:3" ht="13" x14ac:dyDescent="0.15">
      <c r="A351" s="10"/>
      <c r="B351" s="13"/>
      <c r="C351" s="13"/>
    </row>
    <row r="352" spans="1:3" ht="13" x14ac:dyDescent="0.15">
      <c r="A352" s="10"/>
      <c r="B352" s="13"/>
      <c r="C352" s="13"/>
    </row>
    <row r="353" spans="1:3" ht="13" x14ac:dyDescent="0.15">
      <c r="A353" s="10"/>
      <c r="B353" s="13"/>
      <c r="C353" s="13"/>
    </row>
    <row r="354" spans="1:3" ht="13" x14ac:dyDescent="0.15">
      <c r="A354" s="10"/>
      <c r="B354" s="13"/>
      <c r="C354" s="13"/>
    </row>
    <row r="355" spans="1:3" ht="13" x14ac:dyDescent="0.15">
      <c r="A355" s="10"/>
      <c r="B355" s="13"/>
      <c r="C355" s="13"/>
    </row>
    <row r="356" spans="1:3" ht="13" x14ac:dyDescent="0.15">
      <c r="A356" s="10"/>
      <c r="B356" s="13"/>
      <c r="C356" s="13"/>
    </row>
    <row r="357" spans="1:3" ht="13" x14ac:dyDescent="0.15">
      <c r="A357" s="10"/>
      <c r="B357" s="13"/>
      <c r="C357" s="13"/>
    </row>
    <row r="358" spans="1:3" ht="13" x14ac:dyDescent="0.15">
      <c r="A358" s="10"/>
      <c r="B358" s="13"/>
      <c r="C358" s="13"/>
    </row>
    <row r="359" spans="1:3" ht="13" x14ac:dyDescent="0.15">
      <c r="A359" s="10"/>
      <c r="B359" s="13"/>
      <c r="C359" s="13"/>
    </row>
    <row r="360" spans="1:3" ht="13" x14ac:dyDescent="0.15">
      <c r="A360" s="10"/>
      <c r="B360" s="13"/>
      <c r="C360" s="13"/>
    </row>
    <row r="361" spans="1:3" ht="13" x14ac:dyDescent="0.15">
      <c r="A361" s="10"/>
      <c r="B361" s="13"/>
      <c r="C361" s="13"/>
    </row>
    <row r="362" spans="1:3" ht="13" x14ac:dyDescent="0.15">
      <c r="A362" s="10"/>
      <c r="B362" s="13"/>
      <c r="C362" s="13"/>
    </row>
    <row r="363" spans="1:3" ht="13" x14ac:dyDescent="0.15">
      <c r="A363" s="10"/>
      <c r="B363" s="13"/>
      <c r="C363" s="13"/>
    </row>
    <row r="364" spans="1:3" ht="13" x14ac:dyDescent="0.15">
      <c r="A364" s="10"/>
      <c r="B364" s="13"/>
      <c r="C364" s="13"/>
    </row>
    <row r="365" spans="1:3" ht="13" x14ac:dyDescent="0.15">
      <c r="A365" s="10"/>
      <c r="B365" s="13"/>
      <c r="C365" s="13"/>
    </row>
    <row r="366" spans="1:3" ht="13" x14ac:dyDescent="0.15">
      <c r="A366" s="10"/>
      <c r="B366" s="13"/>
      <c r="C366" s="13"/>
    </row>
    <row r="367" spans="1:3" ht="13" x14ac:dyDescent="0.15">
      <c r="A367" s="10"/>
      <c r="B367" s="13"/>
      <c r="C367" s="13"/>
    </row>
    <row r="368" spans="1:3" ht="13" x14ac:dyDescent="0.15">
      <c r="A368" s="10"/>
      <c r="B368" s="13"/>
      <c r="C368" s="13"/>
    </row>
    <row r="369" spans="1:3" ht="13" x14ac:dyDescent="0.15">
      <c r="A369" s="10"/>
      <c r="B369" s="13"/>
      <c r="C369" s="13"/>
    </row>
    <row r="370" spans="1:3" ht="13" x14ac:dyDescent="0.15">
      <c r="A370" s="10"/>
      <c r="B370" s="13"/>
      <c r="C370" s="13"/>
    </row>
    <row r="371" spans="1:3" ht="13" x14ac:dyDescent="0.15">
      <c r="A371" s="10"/>
      <c r="B371" s="13"/>
      <c r="C371" s="13"/>
    </row>
    <row r="372" spans="1:3" ht="13" x14ac:dyDescent="0.15">
      <c r="A372" s="10"/>
      <c r="B372" s="13"/>
      <c r="C372" s="13"/>
    </row>
    <row r="373" spans="1:3" ht="13" x14ac:dyDescent="0.15">
      <c r="A373" s="10"/>
      <c r="B373" s="13"/>
      <c r="C373" s="13"/>
    </row>
    <row r="374" spans="1:3" ht="13" x14ac:dyDescent="0.15">
      <c r="A374" s="10"/>
      <c r="B374" s="13"/>
      <c r="C374" s="13"/>
    </row>
    <row r="375" spans="1:3" ht="13" x14ac:dyDescent="0.15">
      <c r="A375" s="10"/>
      <c r="B375" s="13"/>
      <c r="C375" s="13"/>
    </row>
    <row r="376" spans="1:3" ht="13" x14ac:dyDescent="0.15">
      <c r="A376" s="10"/>
      <c r="B376" s="13"/>
      <c r="C376" s="13"/>
    </row>
    <row r="377" spans="1:3" ht="13" x14ac:dyDescent="0.15">
      <c r="A377" s="10"/>
      <c r="B377" s="13"/>
      <c r="C377" s="13"/>
    </row>
    <row r="378" spans="1:3" ht="13" x14ac:dyDescent="0.15">
      <c r="A378" s="10"/>
      <c r="B378" s="13"/>
      <c r="C378" s="13"/>
    </row>
    <row r="379" spans="1:3" ht="13" x14ac:dyDescent="0.15">
      <c r="A379" s="10"/>
      <c r="B379" s="13"/>
      <c r="C379" s="13"/>
    </row>
    <row r="380" spans="1:3" ht="13" x14ac:dyDescent="0.15">
      <c r="A380" s="10"/>
      <c r="B380" s="13"/>
      <c r="C380" s="13"/>
    </row>
    <row r="381" spans="1:3" ht="13" x14ac:dyDescent="0.15">
      <c r="A381" s="10"/>
      <c r="B381" s="13"/>
      <c r="C381" s="13"/>
    </row>
    <row r="382" spans="1:3" ht="13" x14ac:dyDescent="0.15">
      <c r="A382" s="10"/>
      <c r="B382" s="13"/>
      <c r="C382" s="13"/>
    </row>
    <row r="383" spans="1:3" ht="13" x14ac:dyDescent="0.15">
      <c r="A383" s="10"/>
      <c r="B383" s="13"/>
      <c r="C383" s="13"/>
    </row>
    <row r="384" spans="1:3" ht="13" x14ac:dyDescent="0.15">
      <c r="A384" s="10"/>
      <c r="B384" s="13"/>
      <c r="C384" s="13"/>
    </row>
    <row r="385" spans="1:3" ht="13" x14ac:dyDescent="0.15">
      <c r="A385" s="10"/>
      <c r="B385" s="13"/>
      <c r="C385" s="13"/>
    </row>
    <row r="386" spans="1:3" ht="13" x14ac:dyDescent="0.15">
      <c r="A386" s="10"/>
      <c r="B386" s="13"/>
      <c r="C386" s="13"/>
    </row>
    <row r="387" spans="1:3" ht="13" x14ac:dyDescent="0.15">
      <c r="A387" s="10"/>
      <c r="B387" s="13"/>
      <c r="C387" s="13"/>
    </row>
    <row r="388" spans="1:3" ht="13" x14ac:dyDescent="0.15">
      <c r="A388" s="10"/>
      <c r="B388" s="13"/>
      <c r="C388" s="13"/>
    </row>
    <row r="389" spans="1:3" ht="13" x14ac:dyDescent="0.15">
      <c r="A389" s="10"/>
      <c r="B389" s="13"/>
      <c r="C389" s="13"/>
    </row>
    <row r="390" spans="1:3" ht="13" x14ac:dyDescent="0.15">
      <c r="A390" s="10"/>
      <c r="B390" s="13"/>
      <c r="C390" s="13"/>
    </row>
    <row r="391" spans="1:3" ht="13" x14ac:dyDescent="0.15">
      <c r="A391" s="10"/>
      <c r="B391" s="13"/>
      <c r="C391" s="13"/>
    </row>
    <row r="392" spans="1:3" ht="13" x14ac:dyDescent="0.15">
      <c r="A392" s="10"/>
      <c r="B392" s="13"/>
      <c r="C392" s="13"/>
    </row>
    <row r="393" spans="1:3" ht="13" x14ac:dyDescent="0.15">
      <c r="A393" s="10"/>
      <c r="B393" s="13"/>
      <c r="C393" s="13"/>
    </row>
    <row r="394" spans="1:3" ht="13" x14ac:dyDescent="0.15">
      <c r="A394" s="10"/>
      <c r="B394" s="13"/>
      <c r="C394" s="13"/>
    </row>
    <row r="395" spans="1:3" ht="13" x14ac:dyDescent="0.15">
      <c r="A395" s="10"/>
      <c r="B395" s="13"/>
      <c r="C395" s="13"/>
    </row>
    <row r="396" spans="1:3" ht="13" x14ac:dyDescent="0.15">
      <c r="A396" s="10"/>
      <c r="B396" s="13"/>
      <c r="C396" s="13"/>
    </row>
    <row r="397" spans="1:3" ht="13" x14ac:dyDescent="0.15">
      <c r="A397" s="10"/>
      <c r="B397" s="13"/>
      <c r="C397" s="13"/>
    </row>
    <row r="398" spans="1:3" ht="13" x14ac:dyDescent="0.15">
      <c r="A398" s="10"/>
      <c r="B398" s="13"/>
      <c r="C398" s="13"/>
    </row>
    <row r="399" spans="1:3" ht="13" x14ac:dyDescent="0.15">
      <c r="A399" s="10"/>
      <c r="B399" s="13"/>
      <c r="C399" s="13"/>
    </row>
    <row r="400" spans="1:3" ht="13" x14ac:dyDescent="0.15">
      <c r="A400" s="10"/>
      <c r="B400" s="13"/>
      <c r="C400" s="13"/>
    </row>
    <row r="401" spans="1:3" ht="13" x14ac:dyDescent="0.15">
      <c r="A401" s="10"/>
      <c r="B401" s="13"/>
      <c r="C401" s="13"/>
    </row>
    <row r="402" spans="1:3" ht="13" x14ac:dyDescent="0.15">
      <c r="A402" s="10"/>
      <c r="B402" s="13"/>
      <c r="C402" s="13"/>
    </row>
    <row r="403" spans="1:3" ht="13" x14ac:dyDescent="0.15">
      <c r="A403" s="10"/>
      <c r="B403" s="13"/>
      <c r="C403" s="13"/>
    </row>
    <row r="404" spans="1:3" ht="13" x14ac:dyDescent="0.15">
      <c r="A404" s="10"/>
      <c r="B404" s="13"/>
      <c r="C404" s="13"/>
    </row>
    <row r="405" spans="1:3" ht="13" x14ac:dyDescent="0.15">
      <c r="A405" s="10"/>
      <c r="B405" s="13"/>
      <c r="C405" s="13"/>
    </row>
    <row r="406" spans="1:3" ht="13" x14ac:dyDescent="0.15">
      <c r="A406" s="10"/>
      <c r="B406" s="13"/>
      <c r="C406" s="13"/>
    </row>
    <row r="407" spans="1:3" ht="13" x14ac:dyDescent="0.15">
      <c r="A407" s="10"/>
      <c r="B407" s="13"/>
      <c r="C407" s="13"/>
    </row>
    <row r="408" spans="1:3" ht="13" x14ac:dyDescent="0.15">
      <c r="A408" s="10"/>
      <c r="B408" s="13"/>
      <c r="C408" s="13"/>
    </row>
    <row r="409" spans="1:3" ht="13" x14ac:dyDescent="0.15">
      <c r="A409" s="10"/>
      <c r="B409" s="13"/>
      <c r="C409" s="13"/>
    </row>
    <row r="410" spans="1:3" ht="13" x14ac:dyDescent="0.15">
      <c r="A410" s="10"/>
      <c r="B410" s="13"/>
      <c r="C410" s="13"/>
    </row>
    <row r="411" spans="1:3" ht="13" x14ac:dyDescent="0.15">
      <c r="A411" s="10"/>
      <c r="B411" s="13"/>
      <c r="C411" s="13"/>
    </row>
    <row r="412" spans="1:3" ht="13" x14ac:dyDescent="0.15">
      <c r="A412" s="10"/>
      <c r="B412" s="13"/>
      <c r="C412" s="13"/>
    </row>
    <row r="413" spans="1:3" ht="13" x14ac:dyDescent="0.15">
      <c r="A413" s="10"/>
      <c r="B413" s="13"/>
      <c r="C413" s="13"/>
    </row>
    <row r="414" spans="1:3" ht="13" x14ac:dyDescent="0.15">
      <c r="A414" s="10"/>
      <c r="B414" s="13"/>
      <c r="C414" s="13"/>
    </row>
    <row r="415" spans="1:3" ht="13" x14ac:dyDescent="0.15">
      <c r="A415" s="10"/>
      <c r="B415" s="13"/>
      <c r="C415" s="13"/>
    </row>
    <row r="416" spans="1:3" ht="13" x14ac:dyDescent="0.15">
      <c r="A416" s="10"/>
      <c r="B416" s="13"/>
      <c r="C416" s="13"/>
    </row>
    <row r="417" spans="1:3" ht="13" x14ac:dyDescent="0.15">
      <c r="A417" s="10"/>
      <c r="B417" s="13"/>
      <c r="C417" s="13"/>
    </row>
    <row r="418" spans="1:3" ht="13" x14ac:dyDescent="0.15">
      <c r="A418" s="10"/>
      <c r="B418" s="13"/>
      <c r="C418" s="13"/>
    </row>
    <row r="419" spans="1:3" ht="13" x14ac:dyDescent="0.15">
      <c r="A419" s="10"/>
      <c r="B419" s="13"/>
      <c r="C419" s="13"/>
    </row>
    <row r="420" spans="1:3" ht="13" x14ac:dyDescent="0.15">
      <c r="A420" s="10"/>
      <c r="B420" s="13"/>
      <c r="C420" s="13"/>
    </row>
    <row r="421" spans="1:3" ht="13" x14ac:dyDescent="0.15">
      <c r="A421" s="10"/>
      <c r="B421" s="13"/>
      <c r="C421" s="13"/>
    </row>
    <row r="422" spans="1:3" ht="13" x14ac:dyDescent="0.15">
      <c r="A422" s="10"/>
      <c r="B422" s="13"/>
      <c r="C422" s="13"/>
    </row>
    <row r="423" spans="1:3" ht="13" x14ac:dyDescent="0.15">
      <c r="A423" s="10"/>
      <c r="B423" s="13"/>
      <c r="C423" s="13"/>
    </row>
    <row r="424" spans="1:3" ht="13" x14ac:dyDescent="0.15">
      <c r="A424" s="10"/>
      <c r="B424" s="13"/>
      <c r="C424" s="13"/>
    </row>
    <row r="425" spans="1:3" ht="13" x14ac:dyDescent="0.15">
      <c r="A425" s="10"/>
      <c r="B425" s="13"/>
      <c r="C425" s="13"/>
    </row>
    <row r="426" spans="1:3" ht="13" x14ac:dyDescent="0.15">
      <c r="A426" s="10"/>
      <c r="B426" s="13"/>
      <c r="C426" s="13"/>
    </row>
    <row r="427" spans="1:3" ht="13" x14ac:dyDescent="0.15">
      <c r="A427" s="10"/>
      <c r="B427" s="13"/>
      <c r="C427" s="13"/>
    </row>
    <row r="428" spans="1:3" ht="13" x14ac:dyDescent="0.15">
      <c r="A428" s="10"/>
      <c r="B428" s="13"/>
      <c r="C428" s="13"/>
    </row>
    <row r="429" spans="1:3" ht="13" x14ac:dyDescent="0.15">
      <c r="A429" s="10"/>
      <c r="B429" s="13"/>
      <c r="C429" s="13"/>
    </row>
    <row r="430" spans="1:3" ht="13" x14ac:dyDescent="0.15">
      <c r="A430" s="10"/>
      <c r="B430" s="13"/>
      <c r="C430" s="13"/>
    </row>
    <row r="431" spans="1:3" ht="13" x14ac:dyDescent="0.15">
      <c r="A431" s="10"/>
      <c r="B431" s="13"/>
      <c r="C431" s="13"/>
    </row>
    <row r="432" spans="1:3" ht="13" x14ac:dyDescent="0.15">
      <c r="A432" s="10"/>
      <c r="B432" s="13"/>
      <c r="C432" s="13"/>
    </row>
    <row r="433" spans="1:3" ht="13" x14ac:dyDescent="0.15">
      <c r="A433" s="10"/>
      <c r="B433" s="13"/>
      <c r="C433" s="13"/>
    </row>
    <row r="434" spans="1:3" ht="13" x14ac:dyDescent="0.15">
      <c r="A434" s="10"/>
      <c r="B434" s="13"/>
      <c r="C434" s="13"/>
    </row>
    <row r="435" spans="1:3" ht="13" x14ac:dyDescent="0.15">
      <c r="A435" s="10"/>
      <c r="B435" s="13"/>
      <c r="C435" s="13"/>
    </row>
    <row r="436" spans="1:3" ht="13" x14ac:dyDescent="0.15">
      <c r="A436" s="10"/>
      <c r="B436" s="13"/>
      <c r="C436" s="13"/>
    </row>
    <row r="437" spans="1:3" ht="13" x14ac:dyDescent="0.15">
      <c r="A437" s="10"/>
      <c r="B437" s="13"/>
      <c r="C437" s="13"/>
    </row>
    <row r="438" spans="1:3" ht="13" x14ac:dyDescent="0.15">
      <c r="A438" s="10"/>
      <c r="B438" s="13"/>
      <c r="C438" s="13"/>
    </row>
    <row r="439" spans="1:3" ht="13" x14ac:dyDescent="0.15">
      <c r="A439" s="10"/>
      <c r="B439" s="13"/>
      <c r="C439" s="13"/>
    </row>
    <row r="440" spans="1:3" ht="13" x14ac:dyDescent="0.15">
      <c r="A440" s="10"/>
      <c r="B440" s="13"/>
      <c r="C440" s="13"/>
    </row>
    <row r="441" spans="1:3" ht="13" x14ac:dyDescent="0.15">
      <c r="A441" s="10"/>
      <c r="B441" s="13"/>
      <c r="C441" s="13"/>
    </row>
    <row r="442" spans="1:3" ht="13" x14ac:dyDescent="0.15">
      <c r="A442" s="10"/>
      <c r="B442" s="13"/>
      <c r="C442" s="13"/>
    </row>
    <row r="443" spans="1:3" ht="13" x14ac:dyDescent="0.15">
      <c r="A443" s="10"/>
      <c r="B443" s="13"/>
      <c r="C443" s="13"/>
    </row>
    <row r="444" spans="1:3" ht="13" x14ac:dyDescent="0.15">
      <c r="A444" s="10"/>
      <c r="B444" s="13"/>
      <c r="C444" s="13"/>
    </row>
    <row r="445" spans="1:3" ht="13" x14ac:dyDescent="0.15">
      <c r="A445" s="10"/>
      <c r="B445" s="13"/>
      <c r="C445" s="13"/>
    </row>
    <row r="446" spans="1:3" ht="13" x14ac:dyDescent="0.15">
      <c r="A446" s="10"/>
      <c r="B446" s="13"/>
      <c r="C446" s="13"/>
    </row>
    <row r="447" spans="1:3" ht="13" x14ac:dyDescent="0.15">
      <c r="A447" s="10"/>
      <c r="B447" s="13"/>
      <c r="C447" s="13"/>
    </row>
    <row r="448" spans="1:3" ht="13" x14ac:dyDescent="0.15">
      <c r="A448" s="10"/>
      <c r="B448" s="13"/>
      <c r="C448" s="13"/>
    </row>
    <row r="449" spans="1:3" ht="13" x14ac:dyDescent="0.15">
      <c r="A449" s="10"/>
      <c r="B449" s="13"/>
      <c r="C449" s="13"/>
    </row>
    <row r="450" spans="1:3" ht="13" x14ac:dyDescent="0.15">
      <c r="A450" s="10"/>
      <c r="B450" s="13"/>
      <c r="C450" s="13"/>
    </row>
    <row r="451" spans="1:3" ht="13" x14ac:dyDescent="0.15">
      <c r="A451" s="10"/>
      <c r="B451" s="13"/>
      <c r="C451" s="13"/>
    </row>
    <row r="452" spans="1:3" ht="13" x14ac:dyDescent="0.15">
      <c r="A452" s="10"/>
      <c r="B452" s="13"/>
      <c r="C452" s="13"/>
    </row>
    <row r="453" spans="1:3" ht="13" x14ac:dyDescent="0.15">
      <c r="A453" s="10"/>
      <c r="B453" s="13"/>
      <c r="C453" s="13"/>
    </row>
    <row r="454" spans="1:3" ht="13" x14ac:dyDescent="0.15">
      <c r="A454" s="10"/>
      <c r="B454" s="13"/>
      <c r="C454" s="13"/>
    </row>
    <row r="455" spans="1:3" ht="13" x14ac:dyDescent="0.15">
      <c r="A455" s="10"/>
      <c r="B455" s="13"/>
      <c r="C455" s="13"/>
    </row>
    <row r="456" spans="1:3" ht="13" x14ac:dyDescent="0.15">
      <c r="A456" s="10"/>
      <c r="B456" s="13"/>
      <c r="C456" s="13"/>
    </row>
    <row r="457" spans="1:3" ht="13" x14ac:dyDescent="0.15">
      <c r="A457" s="10"/>
      <c r="B457" s="13"/>
      <c r="C457" s="13"/>
    </row>
    <row r="458" spans="1:3" ht="13" x14ac:dyDescent="0.15">
      <c r="A458" s="10"/>
      <c r="B458" s="13"/>
      <c r="C458" s="13"/>
    </row>
    <row r="459" spans="1:3" ht="13" x14ac:dyDescent="0.15">
      <c r="A459" s="10"/>
      <c r="B459" s="13"/>
      <c r="C459" s="13"/>
    </row>
    <row r="460" spans="1:3" ht="13" x14ac:dyDescent="0.15">
      <c r="A460" s="10"/>
      <c r="B460" s="13"/>
      <c r="C460" s="13"/>
    </row>
    <row r="461" spans="1:3" ht="13" x14ac:dyDescent="0.15">
      <c r="A461" s="10"/>
      <c r="B461" s="13"/>
      <c r="C461" s="13"/>
    </row>
    <row r="462" spans="1:3" ht="13" x14ac:dyDescent="0.15">
      <c r="A462" s="10"/>
      <c r="B462" s="13"/>
      <c r="C462" s="13"/>
    </row>
    <row r="463" spans="1:3" ht="13" x14ac:dyDescent="0.15">
      <c r="A463" s="10"/>
      <c r="B463" s="13"/>
      <c r="C463" s="13"/>
    </row>
    <row r="464" spans="1:3" ht="13" x14ac:dyDescent="0.15">
      <c r="A464" s="10"/>
      <c r="B464" s="13"/>
      <c r="C464" s="13"/>
    </row>
    <row r="465" spans="1:3" ht="13" x14ac:dyDescent="0.15">
      <c r="A465" s="10"/>
      <c r="B465" s="13"/>
      <c r="C465" s="13"/>
    </row>
    <row r="466" spans="1:3" ht="13" x14ac:dyDescent="0.15">
      <c r="A466" s="10"/>
      <c r="B466" s="13"/>
      <c r="C466" s="13"/>
    </row>
    <row r="467" spans="1:3" ht="13" x14ac:dyDescent="0.15">
      <c r="A467" s="10"/>
      <c r="B467" s="13"/>
      <c r="C467" s="13"/>
    </row>
    <row r="468" spans="1:3" ht="13" x14ac:dyDescent="0.15">
      <c r="A468" s="10"/>
      <c r="B468" s="13"/>
      <c r="C468" s="13"/>
    </row>
    <row r="469" spans="1:3" ht="13" x14ac:dyDescent="0.15">
      <c r="A469" s="10"/>
      <c r="B469" s="13"/>
      <c r="C469" s="13"/>
    </row>
    <row r="470" spans="1:3" ht="13" x14ac:dyDescent="0.15">
      <c r="A470" s="10"/>
      <c r="B470" s="13"/>
      <c r="C470" s="13"/>
    </row>
    <row r="471" spans="1:3" ht="13" x14ac:dyDescent="0.15">
      <c r="A471" s="10"/>
      <c r="B471" s="13"/>
      <c r="C471" s="13"/>
    </row>
    <row r="472" spans="1:3" ht="13" x14ac:dyDescent="0.15">
      <c r="A472" s="10"/>
      <c r="B472" s="13"/>
      <c r="C472" s="13"/>
    </row>
    <row r="473" spans="1:3" ht="13" x14ac:dyDescent="0.15">
      <c r="A473" s="10"/>
      <c r="B473" s="13"/>
      <c r="C473" s="13"/>
    </row>
    <row r="474" spans="1:3" ht="13" x14ac:dyDescent="0.15">
      <c r="A474" s="10"/>
      <c r="B474" s="13"/>
      <c r="C474" s="13"/>
    </row>
    <row r="475" spans="1:3" ht="13" x14ac:dyDescent="0.15">
      <c r="A475" s="10"/>
      <c r="B475" s="13"/>
      <c r="C475" s="13"/>
    </row>
    <row r="476" spans="1:3" ht="13" x14ac:dyDescent="0.15">
      <c r="A476" s="10"/>
      <c r="B476" s="13"/>
      <c r="C476" s="13"/>
    </row>
    <row r="477" spans="1:3" ht="13" x14ac:dyDescent="0.15">
      <c r="A477" s="10"/>
      <c r="B477" s="13"/>
      <c r="C477" s="13"/>
    </row>
    <row r="478" spans="1:3" ht="13" x14ac:dyDescent="0.15">
      <c r="A478" s="10"/>
      <c r="B478" s="13"/>
      <c r="C478" s="13"/>
    </row>
    <row r="479" spans="1:3" ht="13" x14ac:dyDescent="0.15">
      <c r="A479" s="10"/>
      <c r="B479" s="13"/>
      <c r="C479" s="13"/>
    </row>
    <row r="480" spans="1:3" ht="13" x14ac:dyDescent="0.15">
      <c r="A480" s="10"/>
      <c r="B480" s="13"/>
      <c r="C480" s="13"/>
    </row>
    <row r="481" spans="1:3" ht="13" x14ac:dyDescent="0.15">
      <c r="A481" s="10"/>
      <c r="B481" s="13"/>
      <c r="C481" s="13"/>
    </row>
    <row r="482" spans="1:3" ht="13" x14ac:dyDescent="0.15">
      <c r="A482" s="10"/>
      <c r="B482" s="13"/>
      <c r="C482" s="13"/>
    </row>
    <row r="483" spans="1:3" ht="13" x14ac:dyDescent="0.15">
      <c r="A483" s="10"/>
      <c r="B483" s="13"/>
      <c r="C483" s="13"/>
    </row>
    <row r="484" spans="1:3" ht="13" x14ac:dyDescent="0.15">
      <c r="A484" s="10"/>
      <c r="B484" s="13"/>
      <c r="C484" s="13"/>
    </row>
    <row r="485" spans="1:3" ht="13" x14ac:dyDescent="0.15">
      <c r="A485" s="10"/>
      <c r="B485" s="13"/>
      <c r="C485" s="13"/>
    </row>
    <row r="486" spans="1:3" ht="13" x14ac:dyDescent="0.15">
      <c r="A486" s="10"/>
      <c r="B486" s="13"/>
      <c r="C486" s="13"/>
    </row>
    <row r="487" spans="1:3" ht="13" x14ac:dyDescent="0.15">
      <c r="A487" s="10"/>
      <c r="B487" s="13"/>
      <c r="C487" s="13"/>
    </row>
    <row r="488" spans="1:3" ht="13" x14ac:dyDescent="0.15">
      <c r="A488" s="10"/>
      <c r="B488" s="13"/>
      <c r="C488" s="13"/>
    </row>
    <row r="489" spans="1:3" ht="13" x14ac:dyDescent="0.15">
      <c r="A489" s="10"/>
      <c r="B489" s="13"/>
      <c r="C489" s="13"/>
    </row>
    <row r="490" spans="1:3" ht="13" x14ac:dyDescent="0.15">
      <c r="A490" s="10"/>
      <c r="B490" s="13"/>
      <c r="C490" s="13"/>
    </row>
    <row r="491" spans="1:3" ht="13" x14ac:dyDescent="0.15">
      <c r="A491" s="10"/>
      <c r="B491" s="13"/>
      <c r="C491" s="13"/>
    </row>
    <row r="492" spans="1:3" ht="13" x14ac:dyDescent="0.15">
      <c r="A492" s="10"/>
      <c r="B492" s="13"/>
      <c r="C492" s="13"/>
    </row>
    <row r="493" spans="1:3" ht="13" x14ac:dyDescent="0.15">
      <c r="A493" s="10"/>
      <c r="B493" s="13"/>
      <c r="C493" s="13"/>
    </row>
    <row r="494" spans="1:3" ht="13" x14ac:dyDescent="0.15">
      <c r="A494" s="10"/>
      <c r="B494" s="13"/>
      <c r="C494" s="13"/>
    </row>
    <row r="495" spans="1:3" ht="13" x14ac:dyDescent="0.15">
      <c r="A495" s="10"/>
      <c r="B495" s="13"/>
      <c r="C495" s="13"/>
    </row>
    <row r="496" spans="1:3" ht="13" x14ac:dyDescent="0.15">
      <c r="A496" s="10"/>
      <c r="B496" s="13"/>
      <c r="C496" s="13"/>
    </row>
    <row r="497" spans="1:3" ht="13" x14ac:dyDescent="0.15">
      <c r="A497" s="10"/>
      <c r="B497" s="13"/>
      <c r="C497" s="13"/>
    </row>
    <row r="498" spans="1:3" ht="13" x14ac:dyDescent="0.15">
      <c r="A498" s="10"/>
      <c r="B498" s="13"/>
      <c r="C498" s="13"/>
    </row>
    <row r="499" spans="1:3" ht="13" x14ac:dyDescent="0.15">
      <c r="A499" s="10"/>
      <c r="B499" s="13"/>
      <c r="C499" s="13"/>
    </row>
    <row r="500" spans="1:3" ht="13" x14ac:dyDescent="0.15">
      <c r="A500" s="10"/>
      <c r="B500" s="13"/>
      <c r="C500" s="13"/>
    </row>
    <row r="501" spans="1:3" ht="13" x14ac:dyDescent="0.15">
      <c r="A501" s="10"/>
      <c r="B501" s="13"/>
      <c r="C501" s="13"/>
    </row>
    <row r="502" spans="1:3" ht="13" x14ac:dyDescent="0.15">
      <c r="A502" s="10"/>
      <c r="B502" s="13"/>
      <c r="C502" s="13"/>
    </row>
    <row r="503" spans="1:3" ht="13" x14ac:dyDescent="0.15">
      <c r="A503" s="10"/>
      <c r="B503" s="13"/>
      <c r="C503" s="13"/>
    </row>
    <row r="504" spans="1:3" ht="13" x14ac:dyDescent="0.15">
      <c r="A504" s="10"/>
      <c r="B504" s="13"/>
      <c r="C504" s="13"/>
    </row>
    <row r="505" spans="1:3" ht="13" x14ac:dyDescent="0.15">
      <c r="A505" s="10"/>
      <c r="B505" s="13"/>
      <c r="C505" s="13"/>
    </row>
    <row r="506" spans="1:3" ht="13" x14ac:dyDescent="0.15">
      <c r="A506" s="10"/>
      <c r="B506" s="13"/>
      <c r="C506" s="13"/>
    </row>
    <row r="507" spans="1:3" ht="13" x14ac:dyDescent="0.15">
      <c r="A507" s="10"/>
      <c r="B507" s="13"/>
      <c r="C507" s="13"/>
    </row>
    <row r="508" spans="1:3" ht="13" x14ac:dyDescent="0.15">
      <c r="A508" s="10"/>
      <c r="B508" s="13"/>
      <c r="C508" s="13"/>
    </row>
    <row r="509" spans="1:3" ht="13" x14ac:dyDescent="0.15">
      <c r="A509" s="10"/>
      <c r="B509" s="13"/>
      <c r="C509" s="13"/>
    </row>
    <row r="510" spans="1:3" ht="13" x14ac:dyDescent="0.15">
      <c r="A510" s="10"/>
      <c r="B510" s="13"/>
      <c r="C510" s="13"/>
    </row>
    <row r="511" spans="1:3" ht="13" x14ac:dyDescent="0.15">
      <c r="A511" s="10"/>
      <c r="B511" s="13"/>
      <c r="C511" s="13"/>
    </row>
    <row r="512" spans="1:3" ht="13" x14ac:dyDescent="0.15">
      <c r="A512" s="10"/>
      <c r="B512" s="13"/>
      <c r="C512" s="13"/>
    </row>
    <row r="513" spans="1:3" ht="13" x14ac:dyDescent="0.15">
      <c r="A513" s="10"/>
      <c r="B513" s="13"/>
      <c r="C513" s="13"/>
    </row>
    <row r="514" spans="1:3" ht="13" x14ac:dyDescent="0.15">
      <c r="A514" s="10"/>
      <c r="B514" s="13"/>
      <c r="C514" s="13"/>
    </row>
    <row r="515" spans="1:3" ht="13" x14ac:dyDescent="0.15">
      <c r="A515" s="10"/>
      <c r="B515" s="13"/>
      <c r="C515" s="13"/>
    </row>
    <row r="516" spans="1:3" ht="13" x14ac:dyDescent="0.15">
      <c r="A516" s="10"/>
      <c r="B516" s="13"/>
      <c r="C516" s="13"/>
    </row>
    <row r="517" spans="1:3" ht="13" x14ac:dyDescent="0.15">
      <c r="A517" s="10"/>
      <c r="B517" s="13"/>
      <c r="C517" s="13"/>
    </row>
    <row r="518" spans="1:3" ht="13" x14ac:dyDescent="0.15">
      <c r="A518" s="10"/>
      <c r="B518" s="13"/>
      <c r="C518" s="13"/>
    </row>
    <row r="519" spans="1:3" ht="13" x14ac:dyDescent="0.15">
      <c r="A519" s="10"/>
      <c r="B519" s="13"/>
      <c r="C519" s="13"/>
    </row>
    <row r="520" spans="1:3" ht="13" x14ac:dyDescent="0.15">
      <c r="A520" s="10"/>
      <c r="B520" s="13"/>
      <c r="C520" s="13"/>
    </row>
    <row r="521" spans="1:3" ht="13" x14ac:dyDescent="0.15">
      <c r="A521" s="10"/>
      <c r="B521" s="13"/>
      <c r="C521" s="13"/>
    </row>
    <row r="522" spans="1:3" ht="13" x14ac:dyDescent="0.15">
      <c r="A522" s="10"/>
      <c r="B522" s="13"/>
      <c r="C522" s="13"/>
    </row>
    <row r="523" spans="1:3" ht="13" x14ac:dyDescent="0.15">
      <c r="A523" s="10"/>
      <c r="B523" s="13"/>
      <c r="C523" s="13"/>
    </row>
    <row r="524" spans="1:3" ht="13" x14ac:dyDescent="0.15">
      <c r="A524" s="10"/>
      <c r="B524" s="13"/>
      <c r="C524" s="13"/>
    </row>
    <row r="525" spans="1:3" ht="13" x14ac:dyDescent="0.15">
      <c r="A525" s="10"/>
      <c r="B525" s="13"/>
      <c r="C525" s="13"/>
    </row>
    <row r="526" spans="1:3" ht="13" x14ac:dyDescent="0.15">
      <c r="A526" s="10"/>
      <c r="B526" s="13"/>
      <c r="C526" s="13"/>
    </row>
    <row r="527" spans="1:3" ht="13" x14ac:dyDescent="0.15">
      <c r="A527" s="10"/>
      <c r="B527" s="13"/>
      <c r="C527" s="13"/>
    </row>
    <row r="528" spans="1:3" ht="13" x14ac:dyDescent="0.15">
      <c r="A528" s="10"/>
      <c r="B528" s="13"/>
      <c r="C528" s="13"/>
    </row>
    <row r="529" spans="1:3" ht="13" x14ac:dyDescent="0.15">
      <c r="A529" s="10"/>
      <c r="B529" s="13"/>
      <c r="C529" s="13"/>
    </row>
    <row r="530" spans="1:3" ht="13" x14ac:dyDescent="0.15">
      <c r="A530" s="10"/>
      <c r="B530" s="13"/>
      <c r="C530" s="13"/>
    </row>
    <row r="531" spans="1:3" ht="13" x14ac:dyDescent="0.15">
      <c r="A531" s="10"/>
      <c r="B531" s="13"/>
      <c r="C531" s="13"/>
    </row>
    <row r="532" spans="1:3" ht="13" x14ac:dyDescent="0.15">
      <c r="A532" s="10"/>
      <c r="B532" s="13"/>
      <c r="C532" s="13"/>
    </row>
    <row r="533" spans="1:3" ht="13" x14ac:dyDescent="0.15">
      <c r="A533" s="10"/>
      <c r="B533" s="13"/>
      <c r="C533" s="13"/>
    </row>
    <row r="534" spans="1:3" ht="13" x14ac:dyDescent="0.15">
      <c r="A534" s="10"/>
      <c r="B534" s="13"/>
      <c r="C534" s="13"/>
    </row>
    <row r="535" spans="1:3" ht="13" x14ac:dyDescent="0.15">
      <c r="A535" s="10"/>
      <c r="B535" s="13"/>
      <c r="C535" s="13"/>
    </row>
    <row r="536" spans="1:3" ht="13" x14ac:dyDescent="0.15">
      <c r="A536" s="10"/>
      <c r="B536" s="13"/>
      <c r="C536" s="13"/>
    </row>
    <row r="537" spans="1:3" ht="13" x14ac:dyDescent="0.15">
      <c r="A537" s="10"/>
      <c r="B537" s="13"/>
      <c r="C537" s="13"/>
    </row>
    <row r="538" spans="1:3" ht="13" x14ac:dyDescent="0.15">
      <c r="A538" s="10"/>
      <c r="B538" s="13"/>
      <c r="C538" s="13"/>
    </row>
    <row r="539" spans="1:3" ht="13" x14ac:dyDescent="0.15">
      <c r="A539" s="10"/>
      <c r="B539" s="13"/>
      <c r="C539" s="13"/>
    </row>
    <row r="540" spans="1:3" ht="13" x14ac:dyDescent="0.15">
      <c r="A540" s="10"/>
      <c r="B540" s="13"/>
      <c r="C540" s="13"/>
    </row>
    <row r="541" spans="1:3" ht="13" x14ac:dyDescent="0.15">
      <c r="A541" s="10"/>
      <c r="B541" s="13"/>
      <c r="C541" s="13"/>
    </row>
    <row r="542" spans="1:3" ht="13" x14ac:dyDescent="0.15">
      <c r="A542" s="10"/>
      <c r="B542" s="13"/>
      <c r="C542" s="13"/>
    </row>
    <row r="543" spans="1:3" ht="13" x14ac:dyDescent="0.15">
      <c r="A543" s="10"/>
      <c r="B543" s="13"/>
      <c r="C543" s="13"/>
    </row>
    <row r="544" spans="1:3" ht="13" x14ac:dyDescent="0.15">
      <c r="A544" s="10"/>
      <c r="B544" s="13"/>
      <c r="C544" s="13"/>
    </row>
    <row r="545" spans="1:3" ht="13" x14ac:dyDescent="0.15">
      <c r="A545" s="10"/>
      <c r="B545" s="13"/>
      <c r="C545" s="13"/>
    </row>
    <row r="546" spans="1:3" ht="13" x14ac:dyDescent="0.15">
      <c r="A546" s="10"/>
      <c r="B546" s="13"/>
      <c r="C546" s="13"/>
    </row>
    <row r="547" spans="1:3" ht="13" x14ac:dyDescent="0.15">
      <c r="A547" s="10"/>
      <c r="B547" s="13"/>
      <c r="C547" s="13"/>
    </row>
    <row r="548" spans="1:3" ht="13" x14ac:dyDescent="0.15">
      <c r="A548" s="10"/>
      <c r="B548" s="13"/>
      <c r="C548" s="13"/>
    </row>
    <row r="549" spans="1:3" ht="13" x14ac:dyDescent="0.15">
      <c r="A549" s="10"/>
      <c r="B549" s="13"/>
      <c r="C549" s="13"/>
    </row>
    <row r="550" spans="1:3" ht="13" x14ac:dyDescent="0.15">
      <c r="A550" s="10"/>
      <c r="B550" s="13"/>
      <c r="C550" s="13"/>
    </row>
    <row r="551" spans="1:3" ht="13" x14ac:dyDescent="0.15">
      <c r="A551" s="10"/>
      <c r="B551" s="13"/>
      <c r="C551" s="13"/>
    </row>
    <row r="552" spans="1:3" ht="13" x14ac:dyDescent="0.15">
      <c r="A552" s="10"/>
      <c r="B552" s="13"/>
      <c r="C552" s="13"/>
    </row>
    <row r="553" spans="1:3" ht="13" x14ac:dyDescent="0.15">
      <c r="A553" s="10"/>
      <c r="B553" s="13"/>
      <c r="C553" s="13"/>
    </row>
    <row r="554" spans="1:3" ht="13" x14ac:dyDescent="0.15">
      <c r="A554" s="10"/>
      <c r="B554" s="13"/>
      <c r="C554" s="13"/>
    </row>
    <row r="555" spans="1:3" ht="13" x14ac:dyDescent="0.15">
      <c r="A555" s="10"/>
      <c r="B555" s="13"/>
      <c r="C555" s="13"/>
    </row>
    <row r="556" spans="1:3" ht="13" x14ac:dyDescent="0.15">
      <c r="A556" s="10"/>
      <c r="B556" s="13"/>
      <c r="C556" s="13"/>
    </row>
    <row r="557" spans="1:3" ht="13" x14ac:dyDescent="0.15">
      <c r="A557" s="10"/>
      <c r="B557" s="13"/>
      <c r="C557" s="13"/>
    </row>
    <row r="558" spans="1:3" ht="13" x14ac:dyDescent="0.15">
      <c r="A558" s="10"/>
      <c r="B558" s="13"/>
      <c r="C558" s="13"/>
    </row>
    <row r="559" spans="1:3" ht="13" x14ac:dyDescent="0.15">
      <c r="A559" s="10"/>
      <c r="B559" s="13"/>
      <c r="C559" s="13"/>
    </row>
    <row r="560" spans="1:3" ht="13" x14ac:dyDescent="0.15">
      <c r="A560" s="10"/>
      <c r="B560" s="13"/>
      <c r="C560" s="13"/>
    </row>
    <row r="561" spans="1:3" ht="13" x14ac:dyDescent="0.15">
      <c r="A561" s="10"/>
      <c r="B561" s="13"/>
      <c r="C561" s="13"/>
    </row>
    <row r="562" spans="1:3" ht="13" x14ac:dyDescent="0.15">
      <c r="A562" s="10"/>
      <c r="B562" s="13"/>
      <c r="C562" s="13"/>
    </row>
    <row r="563" spans="1:3" ht="13" x14ac:dyDescent="0.15">
      <c r="A563" s="10"/>
      <c r="B563" s="13"/>
      <c r="C563" s="13"/>
    </row>
    <row r="564" spans="1:3" ht="13" x14ac:dyDescent="0.15">
      <c r="A564" s="10"/>
      <c r="B564" s="13"/>
      <c r="C564" s="13"/>
    </row>
    <row r="565" spans="1:3" ht="13" x14ac:dyDescent="0.15">
      <c r="A565" s="10"/>
      <c r="B565" s="13"/>
      <c r="C565" s="13"/>
    </row>
    <row r="566" spans="1:3" ht="13" x14ac:dyDescent="0.15">
      <c r="A566" s="10"/>
      <c r="B566" s="13"/>
      <c r="C566" s="13"/>
    </row>
    <row r="567" spans="1:3" ht="13" x14ac:dyDescent="0.15">
      <c r="A567" s="10"/>
      <c r="B567" s="13"/>
      <c r="C567" s="13"/>
    </row>
    <row r="568" spans="1:3" ht="13" x14ac:dyDescent="0.15">
      <c r="A568" s="10"/>
      <c r="B568" s="13"/>
      <c r="C568" s="13"/>
    </row>
    <row r="569" spans="1:3" ht="13" x14ac:dyDescent="0.15">
      <c r="A569" s="10"/>
      <c r="B569" s="13"/>
      <c r="C569" s="13"/>
    </row>
    <row r="570" spans="1:3" ht="13" x14ac:dyDescent="0.15">
      <c r="A570" s="10"/>
      <c r="B570" s="13"/>
      <c r="C570" s="13"/>
    </row>
    <row r="571" spans="1:3" ht="13" x14ac:dyDescent="0.15">
      <c r="A571" s="10"/>
      <c r="B571" s="13"/>
      <c r="C571" s="13"/>
    </row>
    <row r="572" spans="1:3" ht="13" x14ac:dyDescent="0.15">
      <c r="A572" s="10"/>
      <c r="B572" s="13"/>
      <c r="C572" s="13"/>
    </row>
    <row r="573" spans="1:3" ht="13" x14ac:dyDescent="0.15">
      <c r="A573" s="10"/>
      <c r="B573" s="13"/>
      <c r="C573" s="13"/>
    </row>
    <row r="574" spans="1:3" ht="13" x14ac:dyDescent="0.15">
      <c r="A574" s="10"/>
      <c r="B574" s="13"/>
      <c r="C574" s="13"/>
    </row>
    <row r="575" spans="1:3" ht="13" x14ac:dyDescent="0.15">
      <c r="A575" s="10"/>
      <c r="B575" s="13"/>
      <c r="C575" s="13"/>
    </row>
    <row r="576" spans="1:3" ht="13" x14ac:dyDescent="0.15">
      <c r="A576" s="10"/>
      <c r="B576" s="13"/>
      <c r="C576" s="13"/>
    </row>
    <row r="577" spans="1:3" ht="13" x14ac:dyDescent="0.15">
      <c r="A577" s="10"/>
      <c r="B577" s="13"/>
      <c r="C577" s="13"/>
    </row>
    <row r="578" spans="1:3" ht="13" x14ac:dyDescent="0.15">
      <c r="A578" s="10"/>
      <c r="B578" s="13"/>
      <c r="C578" s="13"/>
    </row>
    <row r="579" spans="1:3" ht="13" x14ac:dyDescent="0.15">
      <c r="A579" s="10"/>
      <c r="B579" s="13"/>
      <c r="C579" s="13"/>
    </row>
    <row r="580" spans="1:3" ht="13" x14ac:dyDescent="0.15">
      <c r="A580" s="10"/>
      <c r="B580" s="13"/>
      <c r="C580" s="13"/>
    </row>
    <row r="581" spans="1:3" ht="13" x14ac:dyDescent="0.15">
      <c r="A581" s="10"/>
      <c r="B581" s="13"/>
      <c r="C581" s="13"/>
    </row>
    <row r="582" spans="1:3" ht="13" x14ac:dyDescent="0.15">
      <c r="A582" s="10"/>
      <c r="B582" s="13"/>
      <c r="C582" s="13"/>
    </row>
    <row r="583" spans="1:3" ht="13" x14ac:dyDescent="0.15">
      <c r="A583" s="10"/>
      <c r="B583" s="13"/>
      <c r="C583" s="13"/>
    </row>
    <row r="584" spans="1:3" ht="13" x14ac:dyDescent="0.15">
      <c r="A584" s="10"/>
      <c r="B584" s="13"/>
      <c r="C584" s="13"/>
    </row>
    <row r="585" spans="1:3" ht="13" x14ac:dyDescent="0.15">
      <c r="A585" s="10"/>
      <c r="B585" s="13"/>
      <c r="C585" s="13"/>
    </row>
    <row r="586" spans="1:3" ht="13" x14ac:dyDescent="0.15">
      <c r="A586" s="10"/>
      <c r="B586" s="13"/>
      <c r="C586" s="13"/>
    </row>
    <row r="587" spans="1:3" ht="13" x14ac:dyDescent="0.15">
      <c r="A587" s="10"/>
      <c r="B587" s="13"/>
      <c r="C587" s="13"/>
    </row>
    <row r="588" spans="1:3" ht="13" x14ac:dyDescent="0.15">
      <c r="A588" s="10"/>
      <c r="B588" s="13"/>
      <c r="C588" s="13"/>
    </row>
    <row r="589" spans="1:3" ht="13" x14ac:dyDescent="0.15">
      <c r="A589" s="10"/>
      <c r="B589" s="13"/>
      <c r="C589" s="13"/>
    </row>
    <row r="590" spans="1:3" ht="13" x14ac:dyDescent="0.15">
      <c r="A590" s="10"/>
      <c r="B590" s="13"/>
      <c r="C590" s="13"/>
    </row>
    <row r="591" spans="1:3" ht="13" x14ac:dyDescent="0.15">
      <c r="A591" s="10"/>
      <c r="B591" s="13"/>
      <c r="C591" s="13"/>
    </row>
    <row r="592" spans="1:3" ht="13" x14ac:dyDescent="0.15">
      <c r="A592" s="10"/>
      <c r="B592" s="13"/>
      <c r="C592" s="13"/>
    </row>
    <row r="593" spans="1:3" ht="13" x14ac:dyDescent="0.15">
      <c r="A593" s="10"/>
      <c r="B593" s="13"/>
      <c r="C593" s="13"/>
    </row>
    <row r="594" spans="1:3" ht="13" x14ac:dyDescent="0.15">
      <c r="A594" s="10"/>
      <c r="B594" s="13"/>
      <c r="C594" s="13"/>
    </row>
    <row r="595" spans="1:3" ht="13" x14ac:dyDescent="0.15">
      <c r="A595" s="10"/>
      <c r="B595" s="13"/>
      <c r="C595" s="13"/>
    </row>
    <row r="596" spans="1:3" ht="13" x14ac:dyDescent="0.15">
      <c r="A596" s="10"/>
      <c r="B596" s="13"/>
      <c r="C596" s="13"/>
    </row>
    <row r="597" spans="1:3" ht="13" x14ac:dyDescent="0.15">
      <c r="A597" s="10"/>
      <c r="B597" s="13"/>
      <c r="C597" s="13"/>
    </row>
    <row r="598" spans="1:3" ht="13" x14ac:dyDescent="0.15">
      <c r="A598" s="10"/>
      <c r="B598" s="13"/>
      <c r="C598" s="13"/>
    </row>
    <row r="599" spans="1:3" ht="13" x14ac:dyDescent="0.15">
      <c r="A599" s="10"/>
      <c r="B599" s="13"/>
      <c r="C599" s="13"/>
    </row>
    <row r="600" spans="1:3" ht="13" x14ac:dyDescent="0.15">
      <c r="A600" s="10"/>
      <c r="B600" s="13"/>
      <c r="C600" s="13"/>
    </row>
    <row r="601" spans="1:3" ht="13" x14ac:dyDescent="0.15">
      <c r="A601" s="10"/>
      <c r="B601" s="13"/>
      <c r="C601" s="13"/>
    </row>
    <row r="602" spans="1:3" ht="13" x14ac:dyDescent="0.15">
      <c r="A602" s="10"/>
      <c r="B602" s="13"/>
      <c r="C602" s="13"/>
    </row>
    <row r="603" spans="1:3" ht="13" x14ac:dyDescent="0.15">
      <c r="A603" s="10"/>
      <c r="B603" s="13"/>
      <c r="C603" s="13"/>
    </row>
    <row r="604" spans="1:3" ht="13" x14ac:dyDescent="0.15">
      <c r="A604" s="10"/>
      <c r="B604" s="13"/>
      <c r="C604" s="13"/>
    </row>
    <row r="605" spans="1:3" ht="13" x14ac:dyDescent="0.15">
      <c r="A605" s="10"/>
      <c r="B605" s="13"/>
      <c r="C605" s="13"/>
    </row>
    <row r="606" spans="1:3" ht="13" x14ac:dyDescent="0.15">
      <c r="A606" s="10"/>
      <c r="B606" s="13"/>
      <c r="C606" s="13"/>
    </row>
    <row r="607" spans="1:3" ht="13" x14ac:dyDescent="0.15">
      <c r="A607" s="10"/>
      <c r="B607" s="13"/>
      <c r="C607" s="13"/>
    </row>
    <row r="608" spans="1:3" ht="13" x14ac:dyDescent="0.15">
      <c r="A608" s="10"/>
      <c r="B608" s="13"/>
      <c r="C608" s="13"/>
    </row>
    <row r="609" spans="1:3" ht="13" x14ac:dyDescent="0.15">
      <c r="A609" s="10"/>
      <c r="B609" s="13"/>
      <c r="C609" s="13"/>
    </row>
    <row r="610" spans="1:3" ht="13" x14ac:dyDescent="0.15">
      <c r="A610" s="10"/>
      <c r="B610" s="13"/>
      <c r="C610" s="13"/>
    </row>
    <row r="611" spans="1:3" ht="13" x14ac:dyDescent="0.15">
      <c r="A611" s="10"/>
      <c r="B611" s="13"/>
      <c r="C611" s="13"/>
    </row>
    <row r="612" spans="1:3" ht="13" x14ac:dyDescent="0.15">
      <c r="A612" s="10"/>
      <c r="B612" s="13"/>
      <c r="C612" s="13"/>
    </row>
    <row r="613" spans="1:3" ht="13" x14ac:dyDescent="0.15">
      <c r="A613" s="10"/>
      <c r="B613" s="13"/>
      <c r="C613" s="13"/>
    </row>
    <row r="614" spans="1:3" ht="13" x14ac:dyDescent="0.15">
      <c r="A614" s="10"/>
      <c r="B614" s="13"/>
      <c r="C614" s="13"/>
    </row>
    <row r="615" spans="1:3" ht="13" x14ac:dyDescent="0.15">
      <c r="A615" s="10"/>
      <c r="B615" s="13"/>
      <c r="C615" s="13"/>
    </row>
    <row r="616" spans="1:3" ht="13" x14ac:dyDescent="0.15">
      <c r="A616" s="10"/>
      <c r="B616" s="13"/>
      <c r="C616" s="13"/>
    </row>
    <row r="617" spans="1:3" ht="13" x14ac:dyDescent="0.15">
      <c r="A617" s="10"/>
      <c r="B617" s="13"/>
      <c r="C617" s="13"/>
    </row>
    <row r="618" spans="1:3" ht="13" x14ac:dyDescent="0.15">
      <c r="A618" s="10"/>
      <c r="B618" s="13"/>
      <c r="C618" s="13"/>
    </row>
    <row r="619" spans="1:3" ht="13" x14ac:dyDescent="0.15">
      <c r="A619" s="10"/>
      <c r="B619" s="13"/>
      <c r="C619" s="13"/>
    </row>
    <row r="620" spans="1:3" ht="13" x14ac:dyDescent="0.15">
      <c r="A620" s="10"/>
      <c r="B620" s="13"/>
      <c r="C620" s="13"/>
    </row>
    <row r="621" spans="1:3" ht="13" x14ac:dyDescent="0.15">
      <c r="A621" s="10"/>
      <c r="B621" s="13"/>
      <c r="C621" s="13"/>
    </row>
    <row r="622" spans="1:3" ht="13" x14ac:dyDescent="0.15">
      <c r="A622" s="10"/>
      <c r="B622" s="13"/>
      <c r="C622" s="13"/>
    </row>
    <row r="623" spans="1:3" ht="13" x14ac:dyDescent="0.15">
      <c r="A623" s="10"/>
      <c r="B623" s="13"/>
      <c r="C623" s="13"/>
    </row>
    <row r="624" spans="1:3" ht="13" x14ac:dyDescent="0.15">
      <c r="A624" s="10"/>
      <c r="B624" s="13"/>
      <c r="C624" s="13"/>
    </row>
    <row r="625" spans="1:3" ht="13" x14ac:dyDescent="0.15">
      <c r="A625" s="10"/>
      <c r="B625" s="13"/>
      <c r="C625" s="13"/>
    </row>
    <row r="626" spans="1:3" ht="13" x14ac:dyDescent="0.15">
      <c r="A626" s="10"/>
      <c r="B626" s="13"/>
      <c r="C626" s="13"/>
    </row>
    <row r="627" spans="1:3" ht="13" x14ac:dyDescent="0.15">
      <c r="A627" s="10"/>
      <c r="B627" s="13"/>
      <c r="C627" s="13"/>
    </row>
    <row r="628" spans="1:3" ht="13" x14ac:dyDescent="0.15">
      <c r="A628" s="10"/>
      <c r="B628" s="13"/>
      <c r="C628" s="13"/>
    </row>
    <row r="629" spans="1:3" ht="13" x14ac:dyDescent="0.15">
      <c r="A629" s="10"/>
      <c r="B629" s="13"/>
      <c r="C629" s="13"/>
    </row>
    <row r="630" spans="1:3" ht="13" x14ac:dyDescent="0.15">
      <c r="A630" s="10"/>
      <c r="B630" s="13"/>
      <c r="C630" s="13"/>
    </row>
    <row r="631" spans="1:3" ht="13" x14ac:dyDescent="0.15">
      <c r="A631" s="10"/>
      <c r="B631" s="13"/>
      <c r="C631" s="13"/>
    </row>
    <row r="632" spans="1:3" ht="13" x14ac:dyDescent="0.15">
      <c r="A632" s="10"/>
      <c r="B632" s="13"/>
      <c r="C632" s="13"/>
    </row>
    <row r="633" spans="1:3" ht="13" x14ac:dyDescent="0.15">
      <c r="A633" s="10"/>
      <c r="B633" s="13"/>
      <c r="C633" s="13"/>
    </row>
    <row r="634" spans="1:3" ht="13" x14ac:dyDescent="0.15">
      <c r="A634" s="10"/>
      <c r="B634" s="13"/>
      <c r="C634" s="13"/>
    </row>
    <row r="635" spans="1:3" ht="13" x14ac:dyDescent="0.15">
      <c r="A635" s="10"/>
      <c r="B635" s="13"/>
      <c r="C635" s="13"/>
    </row>
    <row r="636" spans="1:3" ht="13" x14ac:dyDescent="0.15">
      <c r="A636" s="10"/>
      <c r="B636" s="13"/>
      <c r="C636" s="13"/>
    </row>
    <row r="637" spans="1:3" ht="13" x14ac:dyDescent="0.15">
      <c r="A637" s="10"/>
      <c r="B637" s="13"/>
      <c r="C637" s="13"/>
    </row>
    <row r="638" spans="1:3" ht="13" x14ac:dyDescent="0.15">
      <c r="A638" s="10"/>
      <c r="B638" s="13"/>
      <c r="C638" s="13"/>
    </row>
    <row r="639" spans="1:3" ht="13" x14ac:dyDescent="0.15">
      <c r="A639" s="10"/>
      <c r="B639" s="13"/>
      <c r="C639" s="13"/>
    </row>
    <row r="640" spans="1:3" ht="13" x14ac:dyDescent="0.15">
      <c r="A640" s="10"/>
      <c r="B640" s="13"/>
      <c r="C640" s="13"/>
    </row>
    <row r="641" spans="1:3" ht="13" x14ac:dyDescent="0.15">
      <c r="A641" s="10"/>
      <c r="B641" s="13"/>
      <c r="C641" s="13"/>
    </row>
    <row r="642" spans="1:3" ht="13" x14ac:dyDescent="0.15">
      <c r="A642" s="10"/>
      <c r="B642" s="13"/>
      <c r="C642" s="13"/>
    </row>
    <row r="643" spans="1:3" ht="13" x14ac:dyDescent="0.15">
      <c r="A643" s="10"/>
      <c r="B643" s="13"/>
      <c r="C643" s="13"/>
    </row>
    <row r="644" spans="1:3" ht="13" x14ac:dyDescent="0.15">
      <c r="A644" s="10"/>
      <c r="B644" s="13"/>
      <c r="C644" s="13"/>
    </row>
    <row r="645" spans="1:3" ht="13" x14ac:dyDescent="0.15">
      <c r="A645" s="10"/>
      <c r="B645" s="13"/>
      <c r="C645" s="13"/>
    </row>
    <row r="646" spans="1:3" ht="13" x14ac:dyDescent="0.15">
      <c r="A646" s="10"/>
      <c r="B646" s="13"/>
      <c r="C646" s="13"/>
    </row>
    <row r="647" spans="1:3" ht="13" x14ac:dyDescent="0.15">
      <c r="A647" s="10"/>
      <c r="B647" s="13"/>
      <c r="C647" s="13"/>
    </row>
    <row r="648" spans="1:3" ht="13" x14ac:dyDescent="0.15">
      <c r="A648" s="10"/>
      <c r="B648" s="13"/>
      <c r="C648" s="13"/>
    </row>
    <row r="649" spans="1:3" ht="13" x14ac:dyDescent="0.15">
      <c r="A649" s="10"/>
      <c r="B649" s="13"/>
      <c r="C649" s="13"/>
    </row>
    <row r="650" spans="1:3" ht="13" x14ac:dyDescent="0.15">
      <c r="A650" s="10"/>
      <c r="B650" s="13"/>
      <c r="C650" s="13"/>
    </row>
    <row r="651" spans="1:3" ht="13" x14ac:dyDescent="0.15">
      <c r="A651" s="10"/>
      <c r="B651" s="13"/>
      <c r="C651" s="13"/>
    </row>
    <row r="652" spans="1:3" ht="13" x14ac:dyDescent="0.15">
      <c r="A652" s="10"/>
      <c r="B652" s="13"/>
      <c r="C652" s="13"/>
    </row>
    <row r="653" spans="1:3" ht="13" x14ac:dyDescent="0.15">
      <c r="A653" s="10"/>
      <c r="B653" s="13"/>
      <c r="C653" s="13"/>
    </row>
    <row r="654" spans="1:3" ht="13" x14ac:dyDescent="0.15">
      <c r="A654" s="10"/>
      <c r="B654" s="13"/>
      <c r="C654" s="13"/>
    </row>
    <row r="655" spans="1:3" ht="13" x14ac:dyDescent="0.15">
      <c r="A655" s="10"/>
      <c r="B655" s="13"/>
      <c r="C655" s="13"/>
    </row>
    <row r="656" spans="1:3" ht="13" x14ac:dyDescent="0.15">
      <c r="A656" s="10"/>
      <c r="B656" s="13"/>
      <c r="C656" s="13"/>
    </row>
    <row r="657" spans="1:3" ht="13" x14ac:dyDescent="0.15">
      <c r="A657" s="10"/>
      <c r="B657" s="13"/>
      <c r="C657" s="13"/>
    </row>
    <row r="658" spans="1:3" ht="13" x14ac:dyDescent="0.15">
      <c r="A658" s="10"/>
      <c r="B658" s="13"/>
      <c r="C658" s="13"/>
    </row>
    <row r="659" spans="1:3" ht="13" x14ac:dyDescent="0.15">
      <c r="A659" s="10"/>
      <c r="B659" s="13"/>
      <c r="C659" s="13"/>
    </row>
    <row r="660" spans="1:3" ht="13" x14ac:dyDescent="0.15">
      <c r="A660" s="10"/>
      <c r="B660" s="13"/>
      <c r="C660" s="13"/>
    </row>
    <row r="661" spans="1:3" ht="13" x14ac:dyDescent="0.15">
      <c r="A661" s="10"/>
      <c r="B661" s="13"/>
      <c r="C661" s="13"/>
    </row>
    <row r="662" spans="1:3" ht="13" x14ac:dyDescent="0.15">
      <c r="A662" s="10"/>
      <c r="B662" s="13"/>
      <c r="C662" s="13"/>
    </row>
    <row r="663" spans="1:3" ht="13" x14ac:dyDescent="0.15">
      <c r="A663" s="10"/>
      <c r="B663" s="13"/>
      <c r="C663" s="13"/>
    </row>
    <row r="664" spans="1:3" ht="13" x14ac:dyDescent="0.15">
      <c r="A664" s="10"/>
      <c r="B664" s="13"/>
      <c r="C664" s="13"/>
    </row>
    <row r="665" spans="1:3" ht="13" x14ac:dyDescent="0.15">
      <c r="A665" s="10"/>
      <c r="B665" s="13"/>
      <c r="C665" s="13"/>
    </row>
    <row r="666" spans="1:3" ht="13" x14ac:dyDescent="0.15">
      <c r="A666" s="10"/>
      <c r="B666" s="13"/>
      <c r="C666" s="13"/>
    </row>
    <row r="667" spans="1:3" ht="13" x14ac:dyDescent="0.15">
      <c r="A667" s="10"/>
      <c r="B667" s="13"/>
      <c r="C667" s="13"/>
    </row>
    <row r="668" spans="1:3" ht="13" x14ac:dyDescent="0.15">
      <c r="A668" s="10"/>
      <c r="B668" s="13"/>
      <c r="C668" s="13"/>
    </row>
    <row r="669" spans="1:3" ht="13" x14ac:dyDescent="0.15">
      <c r="A669" s="10"/>
      <c r="B669" s="13"/>
      <c r="C669" s="13"/>
    </row>
    <row r="670" spans="1:3" ht="13" x14ac:dyDescent="0.15">
      <c r="A670" s="10"/>
      <c r="B670" s="13"/>
      <c r="C670" s="13"/>
    </row>
    <row r="671" spans="1:3" ht="13" x14ac:dyDescent="0.15">
      <c r="A671" s="10"/>
      <c r="B671" s="13"/>
      <c r="C671" s="13"/>
    </row>
    <row r="672" spans="1:3" ht="13" x14ac:dyDescent="0.15">
      <c r="A672" s="10"/>
      <c r="B672" s="13"/>
      <c r="C672" s="13"/>
    </row>
    <row r="673" spans="1:3" ht="13" x14ac:dyDescent="0.15">
      <c r="A673" s="10"/>
      <c r="B673" s="13"/>
      <c r="C673" s="13"/>
    </row>
    <row r="674" spans="1:3" ht="13" x14ac:dyDescent="0.15">
      <c r="A674" s="10"/>
      <c r="B674" s="13"/>
      <c r="C674" s="13"/>
    </row>
    <row r="675" spans="1:3" ht="13" x14ac:dyDescent="0.15">
      <c r="A675" s="10"/>
      <c r="B675" s="13"/>
      <c r="C675" s="13"/>
    </row>
    <row r="676" spans="1:3" ht="13" x14ac:dyDescent="0.15">
      <c r="A676" s="10"/>
      <c r="B676" s="13"/>
      <c r="C676" s="13"/>
    </row>
    <row r="677" spans="1:3" ht="13" x14ac:dyDescent="0.15">
      <c r="A677" s="10"/>
      <c r="B677" s="13"/>
      <c r="C677" s="13"/>
    </row>
    <row r="678" spans="1:3" ht="13" x14ac:dyDescent="0.15">
      <c r="A678" s="10"/>
      <c r="B678" s="13"/>
      <c r="C678" s="13"/>
    </row>
    <row r="679" spans="1:3" ht="13" x14ac:dyDescent="0.15">
      <c r="A679" s="10"/>
      <c r="B679" s="13"/>
      <c r="C679" s="13"/>
    </row>
    <row r="680" spans="1:3" ht="13" x14ac:dyDescent="0.15">
      <c r="A680" s="10"/>
      <c r="B680" s="13"/>
      <c r="C680" s="13"/>
    </row>
    <row r="681" spans="1:3" ht="13" x14ac:dyDescent="0.15">
      <c r="A681" s="10"/>
      <c r="B681" s="13"/>
      <c r="C681" s="13"/>
    </row>
    <row r="682" spans="1:3" ht="13" x14ac:dyDescent="0.15">
      <c r="A682" s="10"/>
      <c r="B682" s="13"/>
      <c r="C682" s="13"/>
    </row>
    <row r="683" spans="1:3" ht="13" x14ac:dyDescent="0.15">
      <c r="A683" s="10"/>
      <c r="B683" s="13"/>
      <c r="C683" s="13"/>
    </row>
    <row r="684" spans="1:3" ht="13" x14ac:dyDescent="0.15">
      <c r="A684" s="10"/>
      <c r="B684" s="13"/>
      <c r="C684" s="13"/>
    </row>
    <row r="685" spans="1:3" ht="13" x14ac:dyDescent="0.15">
      <c r="A685" s="10"/>
      <c r="B685" s="13"/>
      <c r="C685" s="13"/>
    </row>
    <row r="686" spans="1:3" ht="13" x14ac:dyDescent="0.15">
      <c r="A686" s="10"/>
      <c r="B686" s="13"/>
      <c r="C686" s="13"/>
    </row>
    <row r="687" spans="1:3" ht="13" x14ac:dyDescent="0.15">
      <c r="A687" s="10"/>
      <c r="B687" s="13"/>
      <c r="C687" s="13"/>
    </row>
    <row r="688" spans="1:3" ht="13" x14ac:dyDescent="0.15">
      <c r="A688" s="10"/>
      <c r="B688" s="13"/>
      <c r="C688" s="13"/>
    </row>
    <row r="689" spans="1:3" ht="13" x14ac:dyDescent="0.15">
      <c r="A689" s="10"/>
      <c r="B689" s="13"/>
      <c r="C689" s="13"/>
    </row>
    <row r="690" spans="1:3" ht="13" x14ac:dyDescent="0.15">
      <c r="A690" s="10"/>
      <c r="B690" s="13"/>
      <c r="C690" s="13"/>
    </row>
    <row r="691" spans="1:3" ht="13" x14ac:dyDescent="0.15">
      <c r="A691" s="10"/>
      <c r="B691" s="13"/>
      <c r="C691" s="13"/>
    </row>
    <row r="692" spans="1:3" ht="13" x14ac:dyDescent="0.15">
      <c r="A692" s="10"/>
      <c r="B692" s="13"/>
      <c r="C692" s="13"/>
    </row>
    <row r="693" spans="1:3" ht="13" x14ac:dyDescent="0.15">
      <c r="A693" s="10"/>
      <c r="B693" s="13"/>
      <c r="C693" s="13"/>
    </row>
    <row r="694" spans="1:3" ht="13" x14ac:dyDescent="0.15">
      <c r="A694" s="10"/>
      <c r="B694" s="13"/>
      <c r="C694" s="13"/>
    </row>
    <row r="695" spans="1:3" ht="13" x14ac:dyDescent="0.15">
      <c r="A695" s="10"/>
      <c r="B695" s="13"/>
      <c r="C695" s="13"/>
    </row>
    <row r="696" spans="1:3" ht="13" x14ac:dyDescent="0.15">
      <c r="A696" s="10"/>
      <c r="B696" s="13"/>
      <c r="C696" s="13"/>
    </row>
    <row r="697" spans="1:3" ht="13" x14ac:dyDescent="0.15">
      <c r="A697" s="10"/>
      <c r="B697" s="13"/>
      <c r="C697" s="13"/>
    </row>
    <row r="698" spans="1:3" ht="13" x14ac:dyDescent="0.15">
      <c r="A698" s="10"/>
      <c r="B698" s="13"/>
      <c r="C698" s="13"/>
    </row>
    <row r="699" spans="1:3" ht="13" x14ac:dyDescent="0.15">
      <c r="A699" s="10"/>
      <c r="B699" s="13"/>
      <c r="C699" s="13"/>
    </row>
    <row r="700" spans="1:3" ht="13" x14ac:dyDescent="0.15">
      <c r="A700" s="10"/>
      <c r="B700" s="13"/>
      <c r="C700" s="13"/>
    </row>
    <row r="701" spans="1:3" ht="13" x14ac:dyDescent="0.15">
      <c r="A701" s="10"/>
      <c r="B701" s="13"/>
      <c r="C701" s="13"/>
    </row>
    <row r="702" spans="1:3" ht="13" x14ac:dyDescent="0.15">
      <c r="A702" s="10"/>
      <c r="B702" s="13"/>
      <c r="C702" s="13"/>
    </row>
    <row r="703" spans="1:3" ht="13" x14ac:dyDescent="0.15">
      <c r="A703" s="10"/>
      <c r="B703" s="13"/>
      <c r="C703" s="13"/>
    </row>
    <row r="704" spans="1:3" ht="13" x14ac:dyDescent="0.15">
      <c r="A704" s="10"/>
      <c r="B704" s="13"/>
      <c r="C704" s="13"/>
    </row>
    <row r="705" spans="1:3" ht="13" x14ac:dyDescent="0.15">
      <c r="A705" s="10"/>
      <c r="B705" s="13"/>
      <c r="C705" s="13"/>
    </row>
    <row r="706" spans="1:3" ht="13" x14ac:dyDescent="0.15">
      <c r="A706" s="10"/>
      <c r="B706" s="13"/>
      <c r="C706" s="13"/>
    </row>
    <row r="707" spans="1:3" ht="13" x14ac:dyDescent="0.15">
      <c r="A707" s="10"/>
      <c r="B707" s="13"/>
      <c r="C707" s="13"/>
    </row>
    <row r="708" spans="1:3" ht="13" x14ac:dyDescent="0.15">
      <c r="A708" s="10"/>
      <c r="B708" s="13"/>
      <c r="C708" s="13"/>
    </row>
    <row r="709" spans="1:3" ht="13" x14ac:dyDescent="0.15">
      <c r="A709" s="10"/>
      <c r="B709" s="13"/>
      <c r="C709" s="13"/>
    </row>
    <row r="710" spans="1:3" ht="13" x14ac:dyDescent="0.15">
      <c r="A710" s="10"/>
      <c r="B710" s="13"/>
      <c r="C710" s="13"/>
    </row>
    <row r="711" spans="1:3" ht="13" x14ac:dyDescent="0.15">
      <c r="A711" s="10"/>
      <c r="B711" s="13"/>
      <c r="C711" s="13"/>
    </row>
    <row r="712" spans="1:3" ht="13" x14ac:dyDescent="0.15">
      <c r="A712" s="10"/>
      <c r="B712" s="13"/>
      <c r="C712" s="13"/>
    </row>
    <row r="713" spans="1:3" ht="13" x14ac:dyDescent="0.15">
      <c r="A713" s="10"/>
      <c r="B713" s="13"/>
      <c r="C713" s="13"/>
    </row>
    <row r="714" spans="1:3" ht="13" x14ac:dyDescent="0.15">
      <c r="A714" s="10"/>
      <c r="B714" s="13"/>
      <c r="C714" s="13"/>
    </row>
    <row r="715" spans="1:3" ht="13" x14ac:dyDescent="0.15">
      <c r="A715" s="10"/>
      <c r="B715" s="13"/>
      <c r="C715" s="13"/>
    </row>
    <row r="716" spans="1:3" ht="13" x14ac:dyDescent="0.15">
      <c r="A716" s="10"/>
      <c r="B716" s="13"/>
      <c r="C716" s="13"/>
    </row>
    <row r="717" spans="1:3" ht="13" x14ac:dyDescent="0.15">
      <c r="A717" s="10"/>
      <c r="B717" s="13"/>
      <c r="C717" s="13"/>
    </row>
    <row r="718" spans="1:3" ht="13" x14ac:dyDescent="0.15">
      <c r="A718" s="10"/>
      <c r="B718" s="13"/>
      <c r="C718" s="13"/>
    </row>
    <row r="719" spans="1:3" ht="13" x14ac:dyDescent="0.15">
      <c r="A719" s="10"/>
      <c r="B719" s="13"/>
      <c r="C719" s="13"/>
    </row>
    <row r="720" spans="1:3" ht="13" x14ac:dyDescent="0.15">
      <c r="A720" s="10"/>
      <c r="B720" s="13"/>
      <c r="C720" s="13"/>
    </row>
    <row r="721" spans="1:3" ht="13" x14ac:dyDescent="0.15">
      <c r="A721" s="10"/>
      <c r="B721" s="13"/>
      <c r="C721" s="13"/>
    </row>
    <row r="722" spans="1:3" ht="13" x14ac:dyDescent="0.15">
      <c r="A722" s="10"/>
      <c r="B722" s="13"/>
      <c r="C722" s="13"/>
    </row>
    <row r="723" spans="1:3" ht="13" x14ac:dyDescent="0.15">
      <c r="A723" s="10"/>
      <c r="B723" s="13"/>
      <c r="C723" s="13"/>
    </row>
    <row r="724" spans="1:3" ht="13" x14ac:dyDescent="0.15">
      <c r="A724" s="10"/>
      <c r="B724" s="13"/>
      <c r="C724" s="13"/>
    </row>
    <row r="725" spans="1:3" ht="13" x14ac:dyDescent="0.15">
      <c r="A725" s="10"/>
      <c r="B725" s="13"/>
      <c r="C725" s="13"/>
    </row>
    <row r="726" spans="1:3" ht="13" x14ac:dyDescent="0.15">
      <c r="A726" s="10"/>
      <c r="B726" s="13"/>
      <c r="C726" s="13"/>
    </row>
    <row r="727" spans="1:3" ht="13" x14ac:dyDescent="0.15">
      <c r="A727" s="10"/>
      <c r="B727" s="13"/>
      <c r="C727" s="13"/>
    </row>
    <row r="728" spans="1:3" ht="13" x14ac:dyDescent="0.15">
      <c r="A728" s="10"/>
      <c r="B728" s="13"/>
      <c r="C728" s="13"/>
    </row>
    <row r="729" spans="1:3" ht="13" x14ac:dyDescent="0.15">
      <c r="A729" s="10"/>
      <c r="B729" s="13"/>
      <c r="C729" s="13"/>
    </row>
    <row r="730" spans="1:3" ht="13" x14ac:dyDescent="0.15">
      <c r="A730" s="10"/>
      <c r="B730" s="13"/>
      <c r="C730" s="13"/>
    </row>
    <row r="731" spans="1:3" ht="13" x14ac:dyDescent="0.15">
      <c r="A731" s="10"/>
      <c r="B731" s="13"/>
      <c r="C731" s="13"/>
    </row>
    <row r="732" spans="1:3" ht="13" x14ac:dyDescent="0.15">
      <c r="A732" s="10"/>
      <c r="B732" s="13"/>
      <c r="C732" s="13"/>
    </row>
    <row r="733" spans="1:3" ht="13" x14ac:dyDescent="0.15">
      <c r="A733" s="10"/>
      <c r="B733" s="13"/>
      <c r="C733" s="13"/>
    </row>
    <row r="734" spans="1:3" ht="13" x14ac:dyDescent="0.15">
      <c r="A734" s="10"/>
      <c r="B734" s="13"/>
      <c r="C734" s="13"/>
    </row>
    <row r="735" spans="1:3" ht="13" x14ac:dyDescent="0.15">
      <c r="A735" s="10"/>
      <c r="B735" s="13"/>
      <c r="C735" s="13"/>
    </row>
    <row r="736" spans="1:3" ht="13" x14ac:dyDescent="0.15">
      <c r="A736" s="10"/>
      <c r="B736" s="13"/>
      <c r="C736" s="13"/>
    </row>
    <row r="737" spans="1:3" ht="13" x14ac:dyDescent="0.15">
      <c r="A737" s="10"/>
      <c r="B737" s="13"/>
      <c r="C737" s="13"/>
    </row>
    <row r="738" spans="1:3" ht="13" x14ac:dyDescent="0.15">
      <c r="A738" s="10"/>
      <c r="B738" s="13"/>
      <c r="C738" s="13"/>
    </row>
    <row r="739" spans="1:3" ht="13" x14ac:dyDescent="0.15">
      <c r="A739" s="10"/>
      <c r="B739" s="13"/>
      <c r="C739" s="13"/>
    </row>
    <row r="740" spans="1:3" ht="13" x14ac:dyDescent="0.15">
      <c r="A740" s="10"/>
      <c r="B740" s="13"/>
      <c r="C740" s="13"/>
    </row>
    <row r="741" spans="1:3" ht="13" x14ac:dyDescent="0.15">
      <c r="A741" s="10"/>
      <c r="B741" s="13"/>
      <c r="C741" s="13"/>
    </row>
    <row r="742" spans="1:3" ht="13" x14ac:dyDescent="0.15">
      <c r="A742" s="10"/>
      <c r="B742" s="13"/>
      <c r="C742" s="13"/>
    </row>
    <row r="743" spans="1:3" ht="13" x14ac:dyDescent="0.15">
      <c r="A743" s="10"/>
      <c r="B743" s="13"/>
      <c r="C743" s="13"/>
    </row>
    <row r="744" spans="1:3" ht="13" x14ac:dyDescent="0.15">
      <c r="A744" s="10"/>
      <c r="B744" s="13"/>
      <c r="C744" s="13"/>
    </row>
    <row r="745" spans="1:3" ht="13" x14ac:dyDescent="0.15">
      <c r="A745" s="10"/>
      <c r="B745" s="13"/>
      <c r="C745" s="13"/>
    </row>
    <row r="746" spans="1:3" ht="13" x14ac:dyDescent="0.15">
      <c r="A746" s="10"/>
      <c r="B746" s="13"/>
      <c r="C746" s="13"/>
    </row>
    <row r="747" spans="1:3" ht="13" x14ac:dyDescent="0.15">
      <c r="A747" s="10"/>
      <c r="B747" s="13"/>
      <c r="C747" s="13"/>
    </row>
    <row r="748" spans="1:3" ht="13" x14ac:dyDescent="0.15">
      <c r="A748" s="10"/>
      <c r="B748" s="13"/>
      <c r="C748" s="13"/>
    </row>
    <row r="749" spans="1:3" ht="13" x14ac:dyDescent="0.15">
      <c r="A749" s="10"/>
      <c r="B749" s="13"/>
      <c r="C749" s="13"/>
    </row>
    <row r="750" spans="1:3" ht="13" x14ac:dyDescent="0.15">
      <c r="A750" s="10"/>
      <c r="B750" s="13"/>
      <c r="C750" s="13"/>
    </row>
    <row r="751" spans="1:3" ht="13" x14ac:dyDescent="0.15">
      <c r="A751" s="10"/>
      <c r="B751" s="13"/>
      <c r="C751" s="13"/>
    </row>
    <row r="752" spans="1:3" ht="13" x14ac:dyDescent="0.15">
      <c r="A752" s="10"/>
      <c r="B752" s="13"/>
      <c r="C752" s="13"/>
    </row>
    <row r="753" spans="1:3" ht="13" x14ac:dyDescent="0.15">
      <c r="A753" s="10"/>
      <c r="B753" s="13"/>
      <c r="C753" s="13"/>
    </row>
    <row r="754" spans="1:3" ht="13" x14ac:dyDescent="0.15">
      <c r="A754" s="10"/>
      <c r="B754" s="13"/>
      <c r="C754" s="13"/>
    </row>
    <row r="755" spans="1:3" ht="13" x14ac:dyDescent="0.15">
      <c r="A755" s="10"/>
      <c r="B755" s="13"/>
      <c r="C755" s="13"/>
    </row>
    <row r="756" spans="1:3" ht="13" x14ac:dyDescent="0.15">
      <c r="A756" s="10"/>
      <c r="B756" s="13"/>
      <c r="C756" s="13"/>
    </row>
    <row r="757" spans="1:3" ht="13" x14ac:dyDescent="0.15">
      <c r="A757" s="10"/>
      <c r="B757" s="13"/>
      <c r="C757" s="13"/>
    </row>
    <row r="758" spans="1:3" ht="13" x14ac:dyDescent="0.15">
      <c r="A758" s="10"/>
      <c r="B758" s="13"/>
      <c r="C758" s="13"/>
    </row>
    <row r="759" spans="1:3" ht="13" x14ac:dyDescent="0.15">
      <c r="A759" s="10"/>
      <c r="B759" s="13"/>
      <c r="C759" s="13"/>
    </row>
    <row r="760" spans="1:3" ht="13" x14ac:dyDescent="0.15">
      <c r="A760" s="10"/>
      <c r="B760" s="13"/>
      <c r="C760" s="13"/>
    </row>
    <row r="761" spans="1:3" ht="13" x14ac:dyDescent="0.15">
      <c r="A761" s="10"/>
      <c r="B761" s="13"/>
      <c r="C761" s="13"/>
    </row>
    <row r="762" spans="1:3" ht="13" x14ac:dyDescent="0.15">
      <c r="A762" s="10"/>
      <c r="B762" s="13"/>
      <c r="C762" s="13"/>
    </row>
    <row r="763" spans="1:3" ht="13" x14ac:dyDescent="0.15">
      <c r="A763" s="10"/>
      <c r="B763" s="13"/>
      <c r="C763" s="13"/>
    </row>
    <row r="764" spans="1:3" ht="13" x14ac:dyDescent="0.15">
      <c r="A764" s="10"/>
      <c r="B764" s="13"/>
      <c r="C764" s="13"/>
    </row>
    <row r="765" spans="1:3" ht="13" x14ac:dyDescent="0.15">
      <c r="A765" s="10"/>
      <c r="B765" s="13"/>
      <c r="C765" s="13"/>
    </row>
    <row r="766" spans="1:3" ht="13" x14ac:dyDescent="0.15">
      <c r="A766" s="10"/>
      <c r="B766" s="13"/>
      <c r="C766" s="13"/>
    </row>
    <row r="767" spans="1:3" ht="13" x14ac:dyDescent="0.15">
      <c r="A767" s="10"/>
      <c r="B767" s="13"/>
      <c r="C767" s="13"/>
    </row>
    <row r="768" spans="1:3" ht="13" x14ac:dyDescent="0.15">
      <c r="A768" s="10"/>
      <c r="B768" s="13"/>
      <c r="C768" s="13"/>
    </row>
    <row r="769" spans="1:3" ht="13" x14ac:dyDescent="0.15">
      <c r="A769" s="10"/>
      <c r="B769" s="13"/>
      <c r="C769" s="13"/>
    </row>
    <row r="770" spans="1:3" ht="13" x14ac:dyDescent="0.15">
      <c r="A770" s="10"/>
      <c r="B770" s="13"/>
      <c r="C770" s="13"/>
    </row>
    <row r="771" spans="1:3" ht="13" x14ac:dyDescent="0.15">
      <c r="A771" s="10"/>
      <c r="B771" s="13"/>
      <c r="C771" s="13"/>
    </row>
    <row r="772" spans="1:3" ht="13" x14ac:dyDescent="0.15">
      <c r="A772" s="10"/>
      <c r="B772" s="13"/>
      <c r="C772" s="13"/>
    </row>
    <row r="773" spans="1:3" ht="13" x14ac:dyDescent="0.15">
      <c r="A773" s="10"/>
      <c r="B773" s="13"/>
      <c r="C773" s="13"/>
    </row>
    <row r="774" spans="1:3" ht="13" x14ac:dyDescent="0.15">
      <c r="A774" s="10"/>
      <c r="B774" s="13"/>
      <c r="C774" s="13"/>
    </row>
    <row r="775" spans="1:3" ht="13" x14ac:dyDescent="0.15">
      <c r="A775" s="10"/>
      <c r="B775" s="13"/>
      <c r="C775" s="13"/>
    </row>
    <row r="776" spans="1:3" ht="13" x14ac:dyDescent="0.15">
      <c r="A776" s="10"/>
      <c r="B776" s="13"/>
      <c r="C776" s="13"/>
    </row>
    <row r="777" spans="1:3" ht="13" x14ac:dyDescent="0.15">
      <c r="A777" s="10"/>
      <c r="B777" s="13"/>
      <c r="C777" s="13"/>
    </row>
    <row r="778" spans="1:3" ht="13" x14ac:dyDescent="0.15">
      <c r="A778" s="10"/>
      <c r="B778" s="13"/>
      <c r="C778" s="13"/>
    </row>
    <row r="779" spans="1:3" ht="13" x14ac:dyDescent="0.15">
      <c r="A779" s="10"/>
      <c r="B779" s="13"/>
      <c r="C779" s="13"/>
    </row>
    <row r="780" spans="1:3" ht="13" x14ac:dyDescent="0.15">
      <c r="A780" s="10"/>
      <c r="B780" s="13"/>
      <c r="C780" s="13"/>
    </row>
    <row r="781" spans="1:3" ht="13" x14ac:dyDescent="0.15">
      <c r="A781" s="10"/>
      <c r="B781" s="13"/>
      <c r="C781" s="13"/>
    </row>
    <row r="782" spans="1:3" ht="13" x14ac:dyDescent="0.15">
      <c r="A782" s="10"/>
      <c r="B782" s="13"/>
      <c r="C782" s="13"/>
    </row>
    <row r="783" spans="1:3" ht="13" x14ac:dyDescent="0.15">
      <c r="A783" s="10"/>
      <c r="B783" s="13"/>
      <c r="C783" s="13"/>
    </row>
    <row r="784" spans="1:3" ht="13" x14ac:dyDescent="0.15">
      <c r="A784" s="10"/>
      <c r="B784" s="13"/>
      <c r="C784" s="13"/>
    </row>
    <row r="785" spans="1:3" ht="13" x14ac:dyDescent="0.15">
      <c r="A785" s="10"/>
      <c r="B785" s="13"/>
      <c r="C785" s="13"/>
    </row>
    <row r="786" spans="1:3" ht="13" x14ac:dyDescent="0.15">
      <c r="A786" s="10"/>
      <c r="B786" s="13"/>
      <c r="C786" s="13"/>
    </row>
    <row r="787" spans="1:3" ht="13" x14ac:dyDescent="0.15">
      <c r="A787" s="10"/>
      <c r="B787" s="13"/>
      <c r="C787" s="13"/>
    </row>
    <row r="788" spans="1:3" ht="13" x14ac:dyDescent="0.15">
      <c r="A788" s="10"/>
      <c r="B788" s="13"/>
      <c r="C788" s="13"/>
    </row>
    <row r="789" spans="1:3" ht="13" x14ac:dyDescent="0.15">
      <c r="A789" s="10"/>
      <c r="B789" s="13"/>
      <c r="C789" s="13"/>
    </row>
    <row r="790" spans="1:3" ht="13" x14ac:dyDescent="0.15">
      <c r="A790" s="10"/>
      <c r="B790" s="13"/>
      <c r="C790" s="13"/>
    </row>
    <row r="791" spans="1:3" ht="13" x14ac:dyDescent="0.15">
      <c r="A791" s="10"/>
      <c r="B791" s="13"/>
      <c r="C791" s="13"/>
    </row>
    <row r="792" spans="1:3" ht="13" x14ac:dyDescent="0.15">
      <c r="A792" s="10"/>
      <c r="B792" s="13"/>
      <c r="C792" s="13"/>
    </row>
    <row r="793" spans="1:3" ht="13" x14ac:dyDescent="0.15">
      <c r="A793" s="10"/>
      <c r="B793" s="13"/>
      <c r="C793" s="13"/>
    </row>
    <row r="794" spans="1:3" ht="13" x14ac:dyDescent="0.15">
      <c r="A794" s="10"/>
      <c r="B794" s="13"/>
      <c r="C794" s="13"/>
    </row>
    <row r="795" spans="1:3" ht="13" x14ac:dyDescent="0.15">
      <c r="A795" s="10"/>
      <c r="B795" s="13"/>
      <c r="C795" s="13"/>
    </row>
    <row r="796" spans="1:3" ht="13" x14ac:dyDescent="0.15">
      <c r="A796" s="10"/>
      <c r="B796" s="13"/>
      <c r="C796" s="13"/>
    </row>
    <row r="797" spans="1:3" ht="13" x14ac:dyDescent="0.15">
      <c r="A797" s="10"/>
      <c r="B797" s="13"/>
      <c r="C797" s="13"/>
    </row>
    <row r="798" spans="1:3" ht="13" x14ac:dyDescent="0.15">
      <c r="A798" s="10"/>
      <c r="B798" s="13"/>
      <c r="C798" s="13"/>
    </row>
    <row r="799" spans="1:3" ht="13" x14ac:dyDescent="0.15">
      <c r="A799" s="10"/>
      <c r="B799" s="13"/>
      <c r="C799" s="13"/>
    </row>
    <row r="800" spans="1:3" ht="13" x14ac:dyDescent="0.15">
      <c r="A800" s="10"/>
      <c r="B800" s="13"/>
      <c r="C800" s="13"/>
    </row>
    <row r="801" spans="1:3" ht="13" x14ac:dyDescent="0.15">
      <c r="A801" s="10"/>
      <c r="B801" s="13"/>
      <c r="C801" s="13"/>
    </row>
    <row r="802" spans="1:3" ht="13" x14ac:dyDescent="0.15">
      <c r="A802" s="10"/>
      <c r="B802" s="13"/>
      <c r="C802" s="13"/>
    </row>
    <row r="803" spans="1:3" ht="13" x14ac:dyDescent="0.15">
      <c r="A803" s="10"/>
      <c r="B803" s="13"/>
      <c r="C803" s="13"/>
    </row>
    <row r="804" spans="1:3" ht="13" x14ac:dyDescent="0.15">
      <c r="A804" s="10"/>
      <c r="B804" s="13"/>
      <c r="C804" s="13"/>
    </row>
    <row r="805" spans="1:3" ht="13" x14ac:dyDescent="0.15">
      <c r="A805" s="10"/>
      <c r="B805" s="13"/>
      <c r="C805" s="13"/>
    </row>
    <row r="806" spans="1:3" ht="13" x14ac:dyDescent="0.15">
      <c r="A806" s="10"/>
      <c r="B806" s="13"/>
      <c r="C806" s="13"/>
    </row>
    <row r="807" spans="1:3" ht="13" x14ac:dyDescent="0.15">
      <c r="A807" s="10"/>
      <c r="B807" s="13"/>
      <c r="C807" s="13"/>
    </row>
    <row r="808" spans="1:3" ht="13" x14ac:dyDescent="0.15">
      <c r="A808" s="10"/>
      <c r="B808" s="13"/>
      <c r="C808" s="13"/>
    </row>
    <row r="809" spans="1:3" ht="13" x14ac:dyDescent="0.15">
      <c r="A809" s="10"/>
      <c r="B809" s="13"/>
      <c r="C809" s="13"/>
    </row>
    <row r="810" spans="1:3" ht="13" x14ac:dyDescent="0.15">
      <c r="A810" s="10"/>
      <c r="B810" s="13"/>
      <c r="C810" s="13"/>
    </row>
    <row r="811" spans="1:3" ht="13" x14ac:dyDescent="0.15">
      <c r="A811" s="10"/>
      <c r="B811" s="13"/>
      <c r="C811" s="13"/>
    </row>
    <row r="812" spans="1:3" ht="13" x14ac:dyDescent="0.15">
      <c r="A812" s="10"/>
      <c r="B812" s="13"/>
      <c r="C812" s="13"/>
    </row>
    <row r="813" spans="1:3" ht="13" x14ac:dyDescent="0.15">
      <c r="A813" s="10"/>
      <c r="B813" s="13"/>
      <c r="C813" s="13"/>
    </row>
    <row r="814" spans="1:3" ht="13" x14ac:dyDescent="0.15">
      <c r="A814" s="10"/>
      <c r="B814" s="13"/>
      <c r="C814" s="13"/>
    </row>
    <row r="815" spans="1:3" ht="13" x14ac:dyDescent="0.15">
      <c r="A815" s="10"/>
      <c r="B815" s="13"/>
      <c r="C815" s="13"/>
    </row>
    <row r="816" spans="1:3" ht="13" x14ac:dyDescent="0.15">
      <c r="A816" s="10"/>
      <c r="B816" s="13"/>
      <c r="C816" s="13"/>
    </row>
    <row r="817" spans="1:3" ht="13" x14ac:dyDescent="0.15">
      <c r="A817" s="10"/>
      <c r="B817" s="13"/>
      <c r="C817" s="13"/>
    </row>
    <row r="818" spans="1:3" ht="13" x14ac:dyDescent="0.15">
      <c r="A818" s="10"/>
      <c r="B818" s="13"/>
      <c r="C818" s="13"/>
    </row>
    <row r="819" spans="1:3" ht="13" x14ac:dyDescent="0.15">
      <c r="A819" s="10"/>
      <c r="B819" s="13"/>
      <c r="C819" s="13"/>
    </row>
    <row r="820" spans="1:3" ht="13" x14ac:dyDescent="0.15">
      <c r="A820" s="10"/>
      <c r="B820" s="13"/>
      <c r="C820" s="13"/>
    </row>
    <row r="821" spans="1:3" ht="13" x14ac:dyDescent="0.15">
      <c r="A821" s="10"/>
      <c r="B821" s="13"/>
      <c r="C821" s="13"/>
    </row>
    <row r="822" spans="1:3" ht="13" x14ac:dyDescent="0.15">
      <c r="A822" s="10"/>
      <c r="B822" s="13"/>
      <c r="C822" s="13"/>
    </row>
    <row r="823" spans="1:3" ht="13" x14ac:dyDescent="0.15">
      <c r="A823" s="10"/>
      <c r="B823" s="13"/>
      <c r="C823" s="13"/>
    </row>
    <row r="824" spans="1:3" ht="13" x14ac:dyDescent="0.15">
      <c r="A824" s="10"/>
      <c r="B824" s="13"/>
      <c r="C824" s="13"/>
    </row>
    <row r="825" spans="1:3" ht="13" x14ac:dyDescent="0.15">
      <c r="A825" s="10"/>
      <c r="B825" s="13"/>
      <c r="C825" s="13"/>
    </row>
    <row r="826" spans="1:3" ht="13" x14ac:dyDescent="0.15">
      <c r="A826" s="10"/>
      <c r="B826" s="13"/>
      <c r="C826" s="13"/>
    </row>
    <row r="827" spans="1:3" ht="13" x14ac:dyDescent="0.15">
      <c r="A827" s="10"/>
      <c r="B827" s="13"/>
      <c r="C827" s="13"/>
    </row>
    <row r="828" spans="1:3" ht="13" x14ac:dyDescent="0.15">
      <c r="A828" s="10"/>
      <c r="B828" s="13"/>
      <c r="C828" s="13"/>
    </row>
    <row r="829" spans="1:3" ht="13" x14ac:dyDescent="0.15">
      <c r="A829" s="10"/>
      <c r="B829" s="13"/>
      <c r="C829" s="13"/>
    </row>
    <row r="830" spans="1:3" ht="13" x14ac:dyDescent="0.15">
      <c r="A830" s="10"/>
      <c r="B830" s="13"/>
      <c r="C830" s="13"/>
    </row>
    <row r="831" spans="1:3" ht="13" x14ac:dyDescent="0.15">
      <c r="A831" s="10"/>
      <c r="B831" s="13"/>
      <c r="C831" s="13"/>
    </row>
    <row r="832" spans="1:3" ht="13" x14ac:dyDescent="0.15">
      <c r="A832" s="10"/>
      <c r="B832" s="13"/>
      <c r="C832" s="13"/>
    </row>
    <row r="833" spans="1:3" ht="13" x14ac:dyDescent="0.15">
      <c r="A833" s="10"/>
      <c r="B833" s="13"/>
      <c r="C833" s="13"/>
    </row>
    <row r="834" spans="1:3" ht="13" x14ac:dyDescent="0.15">
      <c r="A834" s="10"/>
      <c r="B834" s="13"/>
      <c r="C834" s="13"/>
    </row>
    <row r="835" spans="1:3" ht="13" x14ac:dyDescent="0.15">
      <c r="A835" s="10"/>
      <c r="B835" s="13"/>
      <c r="C835" s="13"/>
    </row>
    <row r="836" spans="1:3" ht="13" x14ac:dyDescent="0.15">
      <c r="A836" s="10"/>
      <c r="B836" s="13"/>
      <c r="C836" s="13"/>
    </row>
    <row r="837" spans="1:3" ht="13" x14ac:dyDescent="0.15">
      <c r="A837" s="10"/>
      <c r="B837" s="13"/>
      <c r="C837" s="13"/>
    </row>
    <row r="838" spans="1:3" ht="13" x14ac:dyDescent="0.15">
      <c r="A838" s="10"/>
      <c r="B838" s="13"/>
      <c r="C838" s="13"/>
    </row>
    <row r="839" spans="1:3" ht="13" x14ac:dyDescent="0.15">
      <c r="A839" s="10"/>
      <c r="B839" s="13"/>
      <c r="C839" s="13"/>
    </row>
    <row r="840" spans="1:3" ht="13" x14ac:dyDescent="0.15">
      <c r="A840" s="10"/>
      <c r="B840" s="13"/>
      <c r="C840" s="13"/>
    </row>
    <row r="841" spans="1:3" ht="13" x14ac:dyDescent="0.15">
      <c r="A841" s="10"/>
      <c r="B841" s="13"/>
      <c r="C841" s="13"/>
    </row>
    <row r="842" spans="1:3" ht="13" x14ac:dyDescent="0.15">
      <c r="A842" s="10"/>
      <c r="B842" s="13"/>
      <c r="C842" s="13"/>
    </row>
    <row r="843" spans="1:3" ht="13" x14ac:dyDescent="0.15">
      <c r="A843" s="10"/>
      <c r="B843" s="13"/>
      <c r="C843" s="13"/>
    </row>
    <row r="844" spans="1:3" ht="13" x14ac:dyDescent="0.15">
      <c r="A844" s="10"/>
      <c r="B844" s="13"/>
      <c r="C844" s="13"/>
    </row>
    <row r="845" spans="1:3" ht="13" x14ac:dyDescent="0.15">
      <c r="A845" s="10"/>
      <c r="B845" s="13"/>
      <c r="C845" s="13"/>
    </row>
    <row r="846" spans="1:3" ht="13" x14ac:dyDescent="0.15">
      <c r="A846" s="10"/>
      <c r="B846" s="13"/>
      <c r="C846" s="13"/>
    </row>
    <row r="847" spans="1:3" ht="13" x14ac:dyDescent="0.15">
      <c r="A847" s="10"/>
      <c r="B847" s="13"/>
      <c r="C847" s="13"/>
    </row>
    <row r="848" spans="1:3" ht="13" x14ac:dyDescent="0.15">
      <c r="A848" s="10"/>
      <c r="B848" s="13"/>
      <c r="C848" s="13"/>
    </row>
    <row r="849" spans="1:3" ht="13" x14ac:dyDescent="0.15">
      <c r="A849" s="10"/>
      <c r="B849" s="13"/>
      <c r="C849" s="13"/>
    </row>
    <row r="850" spans="1:3" ht="13" x14ac:dyDescent="0.15">
      <c r="A850" s="10"/>
      <c r="B850" s="13"/>
      <c r="C850" s="13"/>
    </row>
    <row r="851" spans="1:3" ht="13" x14ac:dyDescent="0.15">
      <c r="A851" s="10"/>
      <c r="B851" s="13"/>
      <c r="C851" s="13"/>
    </row>
    <row r="852" spans="1:3" ht="13" x14ac:dyDescent="0.15">
      <c r="A852" s="10"/>
      <c r="B852" s="13"/>
      <c r="C852" s="13"/>
    </row>
    <row r="853" spans="1:3" ht="13" x14ac:dyDescent="0.15">
      <c r="A853" s="10"/>
      <c r="B853" s="13"/>
      <c r="C853" s="13"/>
    </row>
    <row r="854" spans="1:3" ht="13" x14ac:dyDescent="0.15">
      <c r="A854" s="10"/>
      <c r="B854" s="13"/>
      <c r="C854" s="13"/>
    </row>
    <row r="855" spans="1:3" ht="13" x14ac:dyDescent="0.15">
      <c r="A855" s="10"/>
      <c r="B855" s="13"/>
      <c r="C855" s="13"/>
    </row>
    <row r="856" spans="1:3" ht="13" x14ac:dyDescent="0.15">
      <c r="A856" s="10"/>
      <c r="B856" s="13"/>
      <c r="C856" s="13"/>
    </row>
    <row r="857" spans="1:3" ht="13" x14ac:dyDescent="0.15">
      <c r="A857" s="10"/>
      <c r="B857" s="13"/>
      <c r="C857" s="13"/>
    </row>
    <row r="858" spans="1:3" ht="13" x14ac:dyDescent="0.15">
      <c r="A858" s="10"/>
      <c r="B858" s="13"/>
      <c r="C858" s="13"/>
    </row>
    <row r="859" spans="1:3" ht="13" x14ac:dyDescent="0.15">
      <c r="A859" s="10"/>
      <c r="B859" s="13"/>
      <c r="C859" s="13"/>
    </row>
    <row r="860" spans="1:3" ht="13" x14ac:dyDescent="0.15">
      <c r="A860" s="10"/>
      <c r="B860" s="13"/>
      <c r="C860" s="13"/>
    </row>
    <row r="861" spans="1:3" ht="13" x14ac:dyDescent="0.15">
      <c r="A861" s="10"/>
      <c r="B861" s="13"/>
      <c r="C861" s="13"/>
    </row>
    <row r="862" spans="1:3" ht="13" x14ac:dyDescent="0.15">
      <c r="A862" s="10"/>
      <c r="B862" s="13"/>
      <c r="C862" s="13"/>
    </row>
    <row r="863" spans="1:3" ht="13" x14ac:dyDescent="0.15">
      <c r="A863" s="10"/>
      <c r="B863" s="13"/>
      <c r="C863" s="13"/>
    </row>
    <row r="864" spans="1:3" ht="13" x14ac:dyDescent="0.15">
      <c r="A864" s="10"/>
      <c r="B864" s="13"/>
      <c r="C864" s="13"/>
    </row>
    <row r="865" spans="1:3" ht="13" x14ac:dyDescent="0.15">
      <c r="A865" s="10"/>
      <c r="B865" s="13"/>
      <c r="C865" s="13"/>
    </row>
    <row r="866" spans="1:3" ht="13" x14ac:dyDescent="0.15">
      <c r="A866" s="10"/>
      <c r="B866" s="13"/>
      <c r="C866" s="13"/>
    </row>
    <row r="867" spans="1:3" ht="13" x14ac:dyDescent="0.15">
      <c r="A867" s="10"/>
      <c r="B867" s="13"/>
      <c r="C867" s="13"/>
    </row>
    <row r="868" spans="1:3" ht="13" x14ac:dyDescent="0.15">
      <c r="A868" s="10"/>
      <c r="B868" s="13"/>
      <c r="C868" s="13"/>
    </row>
    <row r="869" spans="1:3" ht="13" x14ac:dyDescent="0.15">
      <c r="A869" s="10"/>
      <c r="B869" s="13"/>
      <c r="C869" s="13"/>
    </row>
    <row r="870" spans="1:3" ht="13" x14ac:dyDescent="0.15">
      <c r="A870" s="10"/>
      <c r="B870" s="13"/>
      <c r="C870" s="13"/>
    </row>
    <row r="871" spans="1:3" ht="13" x14ac:dyDescent="0.15">
      <c r="A871" s="10"/>
      <c r="B871" s="13"/>
      <c r="C871" s="13"/>
    </row>
    <row r="872" spans="1:3" ht="13" x14ac:dyDescent="0.15">
      <c r="A872" s="10"/>
      <c r="B872" s="13"/>
      <c r="C872" s="13"/>
    </row>
    <row r="873" spans="1:3" ht="13" x14ac:dyDescent="0.15">
      <c r="A873" s="10"/>
      <c r="B873" s="13"/>
      <c r="C873" s="13"/>
    </row>
    <row r="874" spans="1:3" ht="13" x14ac:dyDescent="0.15">
      <c r="A874" s="10"/>
      <c r="B874" s="13"/>
      <c r="C874" s="13"/>
    </row>
    <row r="875" spans="1:3" ht="13" x14ac:dyDescent="0.15">
      <c r="A875" s="10"/>
      <c r="B875" s="13"/>
      <c r="C875" s="13"/>
    </row>
    <row r="876" spans="1:3" ht="13" x14ac:dyDescent="0.15">
      <c r="A876" s="10"/>
      <c r="B876" s="13"/>
      <c r="C876" s="13"/>
    </row>
    <row r="877" spans="1:3" ht="13" x14ac:dyDescent="0.15">
      <c r="A877" s="10"/>
      <c r="B877" s="13"/>
      <c r="C877" s="13"/>
    </row>
    <row r="878" spans="1:3" ht="13" x14ac:dyDescent="0.15">
      <c r="A878" s="10"/>
      <c r="B878" s="13"/>
      <c r="C878" s="13"/>
    </row>
    <row r="879" spans="1:3" ht="13" x14ac:dyDescent="0.15">
      <c r="A879" s="10"/>
      <c r="B879" s="13"/>
      <c r="C879" s="13"/>
    </row>
    <row r="880" spans="1:3" ht="13" x14ac:dyDescent="0.15">
      <c r="A880" s="10"/>
      <c r="B880" s="13"/>
      <c r="C880" s="13"/>
    </row>
    <row r="881" spans="1:3" ht="13" x14ac:dyDescent="0.15">
      <c r="A881" s="10"/>
      <c r="B881" s="13"/>
      <c r="C881" s="13"/>
    </row>
    <row r="882" spans="1:3" ht="13" x14ac:dyDescent="0.15">
      <c r="A882" s="10"/>
      <c r="B882" s="13"/>
      <c r="C882" s="13"/>
    </row>
    <row r="883" spans="1:3" ht="13" x14ac:dyDescent="0.15">
      <c r="A883" s="10"/>
      <c r="B883" s="13"/>
      <c r="C883" s="13"/>
    </row>
    <row r="884" spans="1:3" ht="13" x14ac:dyDescent="0.15">
      <c r="A884" s="10"/>
      <c r="B884" s="13"/>
      <c r="C884" s="13"/>
    </row>
    <row r="885" spans="1:3" ht="13" x14ac:dyDescent="0.15">
      <c r="A885" s="10"/>
      <c r="B885" s="13"/>
      <c r="C885" s="13"/>
    </row>
    <row r="886" spans="1:3" ht="13" x14ac:dyDescent="0.15">
      <c r="A886" s="10"/>
      <c r="B886" s="13"/>
      <c r="C886" s="13"/>
    </row>
    <row r="887" spans="1:3" ht="13" x14ac:dyDescent="0.15">
      <c r="A887" s="10"/>
      <c r="B887" s="13"/>
      <c r="C887" s="13"/>
    </row>
    <row r="888" spans="1:3" ht="13" x14ac:dyDescent="0.15">
      <c r="A888" s="10"/>
      <c r="B888" s="13"/>
      <c r="C888" s="13"/>
    </row>
    <row r="889" spans="1:3" ht="13" x14ac:dyDescent="0.15">
      <c r="A889" s="10"/>
      <c r="B889" s="13"/>
      <c r="C889" s="13"/>
    </row>
    <row r="890" spans="1:3" ht="13" x14ac:dyDescent="0.15">
      <c r="A890" s="10"/>
      <c r="B890" s="13"/>
      <c r="C890" s="13"/>
    </row>
    <row r="891" spans="1:3" ht="13" x14ac:dyDescent="0.15">
      <c r="A891" s="10"/>
      <c r="B891" s="13"/>
      <c r="C891" s="13"/>
    </row>
    <row r="892" spans="1:3" ht="13" x14ac:dyDescent="0.15">
      <c r="A892" s="10"/>
      <c r="B892" s="13"/>
      <c r="C892" s="13"/>
    </row>
    <row r="893" spans="1:3" ht="13" x14ac:dyDescent="0.15">
      <c r="A893" s="10"/>
      <c r="B893" s="13"/>
      <c r="C893" s="13"/>
    </row>
    <row r="894" spans="1:3" ht="13" x14ac:dyDescent="0.15">
      <c r="A894" s="10"/>
      <c r="B894" s="13"/>
      <c r="C894" s="13"/>
    </row>
    <row r="895" spans="1:3" ht="13" x14ac:dyDescent="0.15">
      <c r="A895" s="10"/>
      <c r="B895" s="13"/>
      <c r="C895" s="13"/>
    </row>
    <row r="896" spans="1:3" ht="13" x14ac:dyDescent="0.15">
      <c r="A896" s="10"/>
      <c r="B896" s="13"/>
      <c r="C896" s="13"/>
    </row>
    <row r="897" spans="1:3" ht="13" x14ac:dyDescent="0.15">
      <c r="A897" s="10"/>
      <c r="B897" s="13"/>
      <c r="C897" s="13"/>
    </row>
    <row r="898" spans="1:3" ht="13" x14ac:dyDescent="0.15">
      <c r="A898" s="10"/>
      <c r="B898" s="13"/>
      <c r="C898" s="13"/>
    </row>
    <row r="899" spans="1:3" ht="13" x14ac:dyDescent="0.15">
      <c r="A899" s="10"/>
      <c r="B899" s="13"/>
      <c r="C899" s="13"/>
    </row>
    <row r="900" spans="1:3" ht="13" x14ac:dyDescent="0.15">
      <c r="A900" s="10"/>
      <c r="B900" s="13"/>
      <c r="C900" s="13"/>
    </row>
    <row r="901" spans="1:3" ht="13" x14ac:dyDescent="0.15">
      <c r="A901" s="10"/>
      <c r="B901" s="13"/>
      <c r="C901" s="13"/>
    </row>
    <row r="902" spans="1:3" ht="13" x14ac:dyDescent="0.15">
      <c r="A902" s="10"/>
      <c r="B902" s="13"/>
      <c r="C902" s="13"/>
    </row>
    <row r="903" spans="1:3" ht="13" x14ac:dyDescent="0.15">
      <c r="A903" s="10"/>
      <c r="B903" s="13"/>
      <c r="C903" s="13"/>
    </row>
    <row r="904" spans="1:3" ht="13" x14ac:dyDescent="0.15">
      <c r="A904" s="10"/>
      <c r="B904" s="13"/>
      <c r="C904" s="13"/>
    </row>
    <row r="905" spans="1:3" ht="13" x14ac:dyDescent="0.15">
      <c r="A905" s="10"/>
      <c r="B905" s="13"/>
      <c r="C905" s="13"/>
    </row>
    <row r="906" spans="1:3" ht="13" x14ac:dyDescent="0.15">
      <c r="A906" s="10"/>
      <c r="B906" s="13"/>
      <c r="C906" s="13"/>
    </row>
    <row r="907" spans="1:3" ht="13" x14ac:dyDescent="0.15">
      <c r="A907" s="10"/>
      <c r="B907" s="13"/>
      <c r="C907" s="13"/>
    </row>
    <row r="908" spans="1:3" ht="13" x14ac:dyDescent="0.15">
      <c r="A908" s="10"/>
      <c r="B908" s="13"/>
      <c r="C908" s="13"/>
    </row>
    <row r="909" spans="1:3" ht="13" x14ac:dyDescent="0.15">
      <c r="A909" s="10"/>
      <c r="B909" s="13"/>
      <c r="C909" s="13"/>
    </row>
    <row r="910" spans="1:3" ht="13" x14ac:dyDescent="0.15">
      <c r="A910" s="10"/>
      <c r="B910" s="13"/>
      <c r="C910" s="13"/>
    </row>
    <row r="911" spans="1:3" ht="13" x14ac:dyDescent="0.15">
      <c r="A911" s="10"/>
      <c r="B911" s="13"/>
      <c r="C911" s="13"/>
    </row>
    <row r="912" spans="1:3" ht="13" x14ac:dyDescent="0.15">
      <c r="A912" s="10"/>
      <c r="B912" s="13"/>
      <c r="C912" s="13"/>
    </row>
    <row r="913" spans="1:3" ht="13" x14ac:dyDescent="0.15">
      <c r="A913" s="10"/>
      <c r="B913" s="13"/>
      <c r="C913" s="13"/>
    </row>
    <row r="914" spans="1:3" ht="13" x14ac:dyDescent="0.15">
      <c r="A914" s="10"/>
      <c r="B914" s="13"/>
      <c r="C914" s="13"/>
    </row>
    <row r="915" spans="1:3" ht="13" x14ac:dyDescent="0.15">
      <c r="A915" s="10"/>
      <c r="B915" s="13"/>
      <c r="C915" s="13"/>
    </row>
    <row r="916" spans="1:3" ht="13" x14ac:dyDescent="0.15">
      <c r="A916" s="10"/>
      <c r="B916" s="13"/>
      <c r="C916" s="13"/>
    </row>
    <row r="917" spans="1:3" ht="13" x14ac:dyDescent="0.15">
      <c r="A917" s="10"/>
      <c r="B917" s="13"/>
      <c r="C917" s="13"/>
    </row>
    <row r="918" spans="1:3" ht="13" x14ac:dyDescent="0.15">
      <c r="A918" s="10"/>
      <c r="B918" s="13"/>
      <c r="C918" s="13"/>
    </row>
    <row r="919" spans="1:3" ht="13" x14ac:dyDescent="0.15">
      <c r="A919" s="10"/>
      <c r="B919" s="13"/>
      <c r="C919" s="13"/>
    </row>
    <row r="920" spans="1:3" ht="13" x14ac:dyDescent="0.15">
      <c r="A920" s="10"/>
      <c r="B920" s="13"/>
      <c r="C920" s="13"/>
    </row>
    <row r="921" spans="1:3" ht="13" x14ac:dyDescent="0.15">
      <c r="A921" s="10"/>
      <c r="B921" s="13"/>
      <c r="C921" s="13"/>
    </row>
    <row r="922" spans="1:3" ht="13" x14ac:dyDescent="0.15">
      <c r="A922" s="10"/>
      <c r="B922" s="13"/>
      <c r="C922" s="13"/>
    </row>
    <row r="923" spans="1:3" ht="13" x14ac:dyDescent="0.15">
      <c r="A923" s="10"/>
      <c r="B923" s="13"/>
      <c r="C923" s="13"/>
    </row>
    <row r="924" spans="1:3" ht="13" x14ac:dyDescent="0.15">
      <c r="A924" s="10"/>
      <c r="B924" s="13"/>
      <c r="C924" s="13"/>
    </row>
    <row r="925" spans="1:3" ht="13" x14ac:dyDescent="0.15">
      <c r="A925" s="10"/>
      <c r="B925" s="13"/>
      <c r="C925" s="13"/>
    </row>
    <row r="926" spans="1:3" ht="13" x14ac:dyDescent="0.15">
      <c r="A926" s="10"/>
      <c r="B926" s="13"/>
      <c r="C926" s="13"/>
    </row>
    <row r="927" spans="1:3" ht="13" x14ac:dyDescent="0.15">
      <c r="A927" s="10"/>
      <c r="B927" s="13"/>
      <c r="C927" s="13"/>
    </row>
    <row r="928" spans="1:3" ht="13" x14ac:dyDescent="0.15">
      <c r="A928" s="10"/>
      <c r="B928" s="13"/>
      <c r="C928" s="13"/>
    </row>
    <row r="929" spans="1:3" ht="13" x14ac:dyDescent="0.15">
      <c r="A929" s="10"/>
      <c r="B929" s="13"/>
      <c r="C929" s="13"/>
    </row>
    <row r="930" spans="1:3" ht="13" x14ac:dyDescent="0.15">
      <c r="A930" s="10"/>
      <c r="B930" s="13"/>
      <c r="C930" s="13"/>
    </row>
    <row r="931" spans="1:3" ht="13" x14ac:dyDescent="0.15">
      <c r="A931" s="10"/>
      <c r="B931" s="13"/>
      <c r="C931" s="13"/>
    </row>
    <row r="932" spans="1:3" ht="13" x14ac:dyDescent="0.15">
      <c r="A932" s="10"/>
      <c r="B932" s="13"/>
      <c r="C932" s="13"/>
    </row>
    <row r="933" spans="1:3" ht="13" x14ac:dyDescent="0.15">
      <c r="A933" s="10"/>
      <c r="B933" s="13"/>
      <c r="C933" s="13"/>
    </row>
    <row r="934" spans="1:3" ht="13" x14ac:dyDescent="0.15">
      <c r="A934" s="10"/>
      <c r="B934" s="13"/>
      <c r="C934" s="13"/>
    </row>
    <row r="935" spans="1:3" ht="13" x14ac:dyDescent="0.15">
      <c r="A935" s="10"/>
      <c r="B935" s="13"/>
      <c r="C935" s="13"/>
    </row>
    <row r="936" spans="1:3" ht="13" x14ac:dyDescent="0.15">
      <c r="A936" s="10"/>
      <c r="B936" s="13"/>
      <c r="C936" s="13"/>
    </row>
    <row r="937" spans="1:3" ht="13" x14ac:dyDescent="0.15">
      <c r="A937" s="10"/>
      <c r="B937" s="13"/>
      <c r="C937" s="13"/>
    </row>
    <row r="938" spans="1:3" ht="13" x14ac:dyDescent="0.15">
      <c r="A938" s="10"/>
      <c r="B938" s="13"/>
      <c r="C938" s="13"/>
    </row>
    <row r="939" spans="1:3" ht="13" x14ac:dyDescent="0.15">
      <c r="A939" s="10"/>
      <c r="B939" s="13"/>
      <c r="C939" s="13"/>
    </row>
    <row r="940" spans="1:3" ht="13" x14ac:dyDescent="0.15">
      <c r="A940" s="10"/>
      <c r="B940" s="13"/>
      <c r="C940" s="13"/>
    </row>
    <row r="941" spans="1:3" ht="13" x14ac:dyDescent="0.15">
      <c r="A941" s="10"/>
      <c r="B941" s="13"/>
      <c r="C941" s="13"/>
    </row>
    <row r="942" spans="1:3" ht="13" x14ac:dyDescent="0.15">
      <c r="A942" s="10"/>
      <c r="B942" s="13"/>
      <c r="C942" s="13"/>
    </row>
    <row r="943" spans="1:3" ht="13" x14ac:dyDescent="0.15">
      <c r="A943" s="10"/>
      <c r="B943" s="13"/>
      <c r="C943" s="13"/>
    </row>
    <row r="944" spans="1:3" ht="13" x14ac:dyDescent="0.15">
      <c r="A944" s="10"/>
      <c r="B944" s="13"/>
      <c r="C944" s="13"/>
    </row>
    <row r="945" spans="1:3" ht="13" x14ac:dyDescent="0.15">
      <c r="A945" s="10"/>
      <c r="B945" s="13"/>
      <c r="C945" s="13"/>
    </row>
    <row r="946" spans="1:3" ht="13" x14ac:dyDescent="0.15">
      <c r="A946" s="10"/>
      <c r="B946" s="13"/>
      <c r="C946" s="13"/>
    </row>
    <row r="947" spans="1:3" ht="13" x14ac:dyDescent="0.15">
      <c r="A947" s="10"/>
      <c r="B947" s="13"/>
      <c r="C947" s="13"/>
    </row>
    <row r="948" spans="1:3" ht="13" x14ac:dyDescent="0.15">
      <c r="A948" s="10"/>
      <c r="B948" s="13"/>
      <c r="C948" s="13"/>
    </row>
    <row r="949" spans="1:3" ht="13" x14ac:dyDescent="0.15">
      <c r="A949" s="10"/>
      <c r="B949" s="13"/>
      <c r="C949" s="13"/>
    </row>
    <row r="950" spans="1:3" ht="13" x14ac:dyDescent="0.15">
      <c r="A950" s="10"/>
      <c r="B950" s="13"/>
      <c r="C950" s="13"/>
    </row>
    <row r="951" spans="1:3" ht="13" x14ac:dyDescent="0.15">
      <c r="A951" s="10"/>
      <c r="B951" s="13"/>
      <c r="C951" s="13"/>
    </row>
    <row r="952" spans="1:3" ht="13" x14ac:dyDescent="0.15">
      <c r="A952" s="10"/>
      <c r="B952" s="13"/>
      <c r="C952" s="13"/>
    </row>
    <row r="953" spans="1:3" ht="13" x14ac:dyDescent="0.15">
      <c r="A953" s="10"/>
      <c r="B953" s="13"/>
      <c r="C953" s="13"/>
    </row>
    <row r="954" spans="1:3" ht="13" x14ac:dyDescent="0.15">
      <c r="A954" s="10"/>
      <c r="B954" s="13"/>
      <c r="C954" s="13"/>
    </row>
    <row r="955" spans="1:3" ht="13" x14ac:dyDescent="0.15">
      <c r="A955" s="10"/>
      <c r="B955" s="13"/>
      <c r="C955" s="13"/>
    </row>
    <row r="956" spans="1:3" ht="13" x14ac:dyDescent="0.15">
      <c r="A956" s="10"/>
      <c r="B956" s="13"/>
      <c r="C956" s="13"/>
    </row>
    <row r="957" spans="1:3" ht="13" x14ac:dyDescent="0.15">
      <c r="A957" s="10"/>
      <c r="B957" s="13"/>
      <c r="C957" s="13"/>
    </row>
    <row r="958" spans="1:3" ht="13" x14ac:dyDescent="0.15">
      <c r="A958" s="10"/>
      <c r="B958" s="13"/>
      <c r="C958" s="13"/>
    </row>
    <row r="959" spans="1:3" ht="13" x14ac:dyDescent="0.15">
      <c r="A959" s="10"/>
      <c r="B959" s="13"/>
      <c r="C959" s="13"/>
    </row>
    <row r="960" spans="1:3" ht="13" x14ac:dyDescent="0.15">
      <c r="A960" s="10"/>
      <c r="B960" s="13"/>
      <c r="C960" s="13"/>
    </row>
    <row r="961" spans="1:3" ht="13" x14ac:dyDescent="0.15">
      <c r="A961" s="10"/>
      <c r="B961" s="13"/>
      <c r="C961" s="13"/>
    </row>
    <row r="962" spans="1:3" ht="13" x14ac:dyDescent="0.15">
      <c r="A962" s="10"/>
      <c r="B962" s="13"/>
      <c r="C962" s="13"/>
    </row>
    <row r="963" spans="1:3" ht="13" x14ac:dyDescent="0.15">
      <c r="A963" s="10"/>
      <c r="B963" s="13"/>
      <c r="C963" s="13"/>
    </row>
    <row r="964" spans="1:3" ht="13" x14ac:dyDescent="0.15">
      <c r="A964" s="10"/>
      <c r="B964" s="13"/>
      <c r="C964" s="13"/>
    </row>
    <row r="965" spans="1:3" ht="13" x14ac:dyDescent="0.15">
      <c r="A965" s="10"/>
      <c r="B965" s="13"/>
      <c r="C965" s="13"/>
    </row>
    <row r="966" spans="1:3" ht="13" x14ac:dyDescent="0.15">
      <c r="A966" s="10"/>
      <c r="B966" s="13"/>
      <c r="C966" s="13"/>
    </row>
    <row r="967" spans="1:3" ht="13" x14ac:dyDescent="0.15">
      <c r="A967" s="10"/>
      <c r="B967" s="13"/>
      <c r="C967" s="13"/>
    </row>
    <row r="968" spans="1:3" ht="13" x14ac:dyDescent="0.15">
      <c r="A968" s="10"/>
      <c r="B968" s="13"/>
      <c r="C968" s="13"/>
    </row>
    <row r="969" spans="1:3" ht="13" x14ac:dyDescent="0.15">
      <c r="A969" s="10"/>
      <c r="B969" s="13"/>
      <c r="C969" s="13"/>
    </row>
    <row r="970" spans="1:3" ht="13" x14ac:dyDescent="0.15">
      <c r="A970" s="10"/>
      <c r="B970" s="13"/>
      <c r="C970" s="13"/>
    </row>
    <row r="971" spans="1:3" ht="13" x14ac:dyDescent="0.15">
      <c r="A971" s="10"/>
      <c r="B971" s="13"/>
      <c r="C971" s="13"/>
    </row>
    <row r="972" spans="1:3" ht="13" x14ac:dyDescent="0.15">
      <c r="A972" s="10"/>
      <c r="B972" s="13"/>
      <c r="C972" s="13"/>
    </row>
    <row r="973" spans="1:3" ht="13" x14ac:dyDescent="0.15">
      <c r="A973" s="10"/>
      <c r="B973" s="13"/>
      <c r="C973" s="13"/>
    </row>
    <row r="974" spans="1:3" ht="13" x14ac:dyDescent="0.15">
      <c r="A974" s="10"/>
      <c r="B974" s="13"/>
      <c r="C974" s="13"/>
    </row>
    <row r="975" spans="1:3" ht="13" x14ac:dyDescent="0.15">
      <c r="A975" s="10"/>
      <c r="B975" s="13"/>
      <c r="C975" s="13"/>
    </row>
    <row r="976" spans="1:3" ht="13" x14ac:dyDescent="0.15">
      <c r="A976" s="10"/>
      <c r="B976" s="13"/>
      <c r="C976" s="13"/>
    </row>
    <row r="977" spans="1:3" ht="13" x14ac:dyDescent="0.15">
      <c r="A977" s="10"/>
      <c r="B977" s="13"/>
      <c r="C977" s="13"/>
    </row>
    <row r="978" spans="1:3" ht="13" x14ac:dyDescent="0.15">
      <c r="A978" s="10"/>
      <c r="B978" s="13"/>
      <c r="C978" s="13"/>
    </row>
    <row r="979" spans="1:3" ht="13" x14ac:dyDescent="0.15">
      <c r="A979" s="10"/>
      <c r="B979" s="13"/>
      <c r="C979" s="13"/>
    </row>
    <row r="980" spans="1:3" ht="13" x14ac:dyDescent="0.15">
      <c r="A980" s="10"/>
      <c r="B980" s="13"/>
      <c r="C980" s="13"/>
    </row>
    <row r="981" spans="1:3" ht="13" x14ac:dyDescent="0.15">
      <c r="A981" s="10"/>
      <c r="B981" s="13"/>
      <c r="C981" s="13"/>
    </row>
    <row r="982" spans="1:3" ht="13" x14ac:dyDescent="0.15">
      <c r="A982" s="10"/>
      <c r="B982" s="13"/>
      <c r="C982" s="13"/>
    </row>
    <row r="983" spans="1:3" ht="13" x14ac:dyDescent="0.15">
      <c r="A983" s="10"/>
      <c r="B983" s="13"/>
      <c r="C983" s="13"/>
    </row>
    <row r="984" spans="1:3" ht="13" x14ac:dyDescent="0.15">
      <c r="A984" s="10"/>
      <c r="B984" s="13"/>
      <c r="C984" s="13"/>
    </row>
    <row r="985" spans="1:3" ht="13" x14ac:dyDescent="0.15">
      <c r="A985" s="10"/>
      <c r="B985" s="13"/>
      <c r="C985" s="13"/>
    </row>
    <row r="986" spans="1:3" ht="13" x14ac:dyDescent="0.15">
      <c r="A986" s="10"/>
      <c r="B986" s="13"/>
      <c r="C986" s="13"/>
    </row>
    <row r="987" spans="1:3" ht="13" x14ac:dyDescent="0.15">
      <c r="A987" s="10"/>
      <c r="B987" s="13"/>
      <c r="C987" s="13"/>
    </row>
    <row r="988" spans="1:3" ht="13" x14ac:dyDescent="0.15">
      <c r="A988" s="10"/>
      <c r="B988" s="13"/>
      <c r="C988" s="13"/>
    </row>
    <row r="989" spans="1:3" ht="13" x14ac:dyDescent="0.15">
      <c r="A989" s="10"/>
      <c r="B989" s="13"/>
      <c r="C989" s="13"/>
    </row>
    <row r="990" spans="1:3" ht="13" x14ac:dyDescent="0.15">
      <c r="A990" s="10"/>
      <c r="B990" s="13"/>
      <c r="C990" s="13"/>
    </row>
    <row r="991" spans="1:3" ht="13" x14ac:dyDescent="0.15">
      <c r="A991" s="10"/>
      <c r="B991" s="13"/>
      <c r="C991" s="13"/>
    </row>
    <row r="992" spans="1:3" ht="13" x14ac:dyDescent="0.15">
      <c r="A992" s="10"/>
      <c r="B992" s="13"/>
      <c r="C992" s="13"/>
    </row>
    <row r="993" spans="1:3" ht="13" x14ac:dyDescent="0.15">
      <c r="A993" s="10"/>
      <c r="B993" s="13"/>
      <c r="C993" s="13"/>
    </row>
    <row r="994" spans="1:3" ht="13" x14ac:dyDescent="0.15">
      <c r="A994" s="10"/>
      <c r="B994" s="13"/>
      <c r="C994" s="13"/>
    </row>
    <row r="995" spans="1:3" ht="13" x14ac:dyDescent="0.15">
      <c r="A995" s="10"/>
      <c r="B995" s="13"/>
      <c r="C995" s="13"/>
    </row>
    <row r="996" spans="1:3" ht="13" x14ac:dyDescent="0.15">
      <c r="A996" s="10"/>
      <c r="B996" s="13"/>
      <c r="C996" s="13"/>
    </row>
    <row r="997" spans="1:3" ht="13" x14ac:dyDescent="0.15">
      <c r="A997" s="10"/>
      <c r="B997" s="13"/>
      <c r="C997" s="13"/>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D997"/>
  <sheetViews>
    <sheetView workbookViewId="0">
      <selection activeCell="A20" sqref="A20"/>
    </sheetView>
  </sheetViews>
  <sheetFormatPr baseColWidth="10" defaultColWidth="12.6640625" defaultRowHeight="15.75" customHeight="1" x14ac:dyDescent="0.15"/>
  <cols>
    <col min="1" max="1" width="71.5" customWidth="1"/>
    <col min="2" max="4" width="37.6640625" customWidth="1"/>
  </cols>
  <sheetData>
    <row r="1" spans="1:4" x14ac:dyDescent="0.2">
      <c r="A1" s="11"/>
      <c r="B1" s="12" t="str">
        <f ca="1">IFERROR(__xludf.DUMMYFUNCTION("IMPORTRANGE(""https://docs.google.com/spreadsheets/d/13SmE7eku7nG0PwUe_FIOCUfCnXVjPMNZ0Q_x8FW6s5I"",""A3!B1:B22"")"),"Josiah Bolton")</f>
        <v>Josiah Bolton</v>
      </c>
      <c r="C1" s="22" t="str">
        <f ca="1">IFERROR(__xludf.DUMMYFUNCTION("IMPORTRANGE(""https://docs.google.com/spreadsheets/u/0/d/1sbndBsfP-ncTtF1jluZBfKAuQh8_1k-En4z9g6Xyks0"", ""A3!B1:B22"")"),"Josh Ladner")</f>
        <v>Josh Ladner</v>
      </c>
      <c r="D1" s="12" t="s">
        <v>1</v>
      </c>
    </row>
    <row r="2" spans="1:4" ht="15.75" customHeight="1" x14ac:dyDescent="0.15">
      <c r="A2" s="14" t="s">
        <v>2</v>
      </c>
      <c r="B2" s="15" t="str">
        <f ca="1">IFERROR(__xludf.DUMMYFUNCTION("""COMPUTED_VALUE"""),"1790-3145 FOR")</f>
        <v>1790-3145 FOR</v>
      </c>
      <c r="C2" s="15" t="str">
        <f ca="1">IFERROR(__xludf.DUMMYFUNCTION("""COMPUTED_VALUE"""),"Start/Stop:1790-3145 FOR")</f>
        <v>Start/Stop:1790-3145 FOR</v>
      </c>
      <c r="D2" s="15"/>
    </row>
    <row r="3" spans="1:4" ht="15.75" customHeight="1" x14ac:dyDescent="0.15">
      <c r="A3" s="16" t="s">
        <v>3</v>
      </c>
      <c r="B3" s="17" t="str">
        <f ca="1">IFERROR(__xludf.DUMMYFUNCTION("""COMPUTED_VALUE"""),"BBoth call gene 3 at 1790-3145")</f>
        <v>BBoth call gene 3 at 1790-3145</v>
      </c>
      <c r="C3" s="17" t="str">
        <f ca="1">IFERROR(__xludf.DUMMYFUNCTION("""COMPUTED_VALUE"""),"PhagesDB: 3 DNAM: 3 Phamerator: 3")</f>
        <v>PhagesDB: 3 DNAM: 3 Phamerator: 3</v>
      </c>
      <c r="D3" s="17"/>
    </row>
    <row r="4" spans="1:4" ht="15.75" customHeight="1" x14ac:dyDescent="0.15">
      <c r="A4" s="16" t="s">
        <v>4</v>
      </c>
      <c r="B4" s="17" t="str">
        <f ca="1">IFERROR(__xludf.DUMMYFUNCTION("""COMPUTED_VALUE"""),"199504 2/25/25")</f>
        <v>199504 2/25/25</v>
      </c>
      <c r="C4" s="17" t="str">
        <f ca="1">IFERROR(__xludf.DUMMYFUNCTION("""COMPUTED_VALUE"""),"199,504 on 2/26/25")</f>
        <v>199,504 on 2/26/25</v>
      </c>
      <c r="D4" s="17"/>
    </row>
    <row r="5" spans="1:4" ht="15.75" customHeight="1" x14ac:dyDescent="0.15">
      <c r="A5" s="16" t="s">
        <v>5</v>
      </c>
      <c r="B5" s="17" t="str">
        <f ca="1">IFERROR(__xludf.DUMMYFUNCTION("""COMPUTED_VALUE"""),"Kovu 4 ")</f>
        <v xml:space="preserve">Kovu 4 </v>
      </c>
      <c r="C5" s="17" t="str">
        <f ca="1">IFERROR(__xludf.DUMMYFUNCTION("""COMPUTED_VALUE"""),"Kovu_4")</f>
        <v>Kovu_4</v>
      </c>
      <c r="D5" s="17"/>
    </row>
    <row r="6" spans="1:4" ht="15.75" customHeight="1" x14ac:dyDescent="0.15">
      <c r="A6" s="16" t="s">
        <v>6</v>
      </c>
      <c r="B6" s="17" t="str">
        <f ca="1">IFERROR(__xludf.DUMMYFUNCTION("""COMPUTED_VALUE"""),"Both programs call this gene.")</f>
        <v>Both programs call this gene.</v>
      </c>
      <c r="C6" s="17" t="str">
        <f ca="1">IFERROR(__xludf.DUMMYFUNCTION("""COMPUTED_VALUE"""),"Glimmer called at 1790 (strength 14.38)")</f>
        <v>Glimmer called at 1790 (strength 14.38)</v>
      </c>
      <c r="D6" s="17"/>
    </row>
    <row r="7" spans="1:4" ht="15.75" customHeight="1" x14ac:dyDescent="0.15">
      <c r="A7" s="16" t="s">
        <v>7</v>
      </c>
      <c r="B7" s="17" t="str">
        <f ca="1">IFERROR(__xludf.DUMMYFUNCTION("""COMPUTED_VALUE"""),"Has good coding potential includes all cding
potential")</f>
        <v>Has good coding potential includes all cding
potential</v>
      </c>
      <c r="C7" s="17" t="str">
        <f ca="1">IFERROR(__xludf.DUMMYFUNCTION("""COMPUTED_VALUE"""),"Good coding potential")</f>
        <v>Good coding potential</v>
      </c>
      <c r="D7" s="17"/>
    </row>
    <row r="8" spans="1:4" ht="15.75" customHeight="1" x14ac:dyDescent="0.15">
      <c r="A8" s="16" t="s">
        <v>8</v>
      </c>
      <c r="B8" s="17" t="str">
        <f ca="1">IFERROR(__xludf.DUMMYFUNCTION("""COMPUTED_VALUE"""),"Yes")</f>
        <v>Yes</v>
      </c>
      <c r="C8" s="17" t="str">
        <f ca="1">IFERROR(__xludf.DUMMYFUNCTION("""COMPUTED_VALUE"""),"Yes, longest ORF")</f>
        <v>Yes, longest ORF</v>
      </c>
      <c r="D8" s="17"/>
    </row>
    <row r="9" spans="1:4" ht="15.75" customHeight="1" x14ac:dyDescent="0.15">
      <c r="A9" s="16" t="s">
        <v>9</v>
      </c>
      <c r="B9" s="17" t="str">
        <f ca="1">IFERROR(__xludf.DUMMYFUNCTION("""COMPUTED_VALUE"""),"About an 80 nucleotide gap")</f>
        <v>About an 80 nucleotide gap</v>
      </c>
      <c r="C9" s="17" t="str">
        <f ca="1">IFERROR(__xludf.DUMMYFUNCTION("""COMPUTED_VALUE"""),"77nt gap from gene 2 to 3                  37 nt gap from gene 3 to 4")</f>
        <v>77nt gap from gene 2 to 3                  37 nt gap from gene 3 to 4</v>
      </c>
      <c r="D9" s="17"/>
    </row>
    <row r="10" spans="1:4" ht="15.75" customHeight="1" x14ac:dyDescent="0.15">
      <c r="A10" s="16" t="s">
        <v>10</v>
      </c>
      <c r="B10" s="17" t="str">
        <f ca="1">IFERROR(__xludf.DUMMYFUNCTION("""COMPUTED_VALUE"""),"Great Z-score all others are not great")</f>
        <v>Great Z-score all others are not great</v>
      </c>
      <c r="C10" s="17" t="str">
        <f ca="1">IFERROR(__xludf.DUMMYFUNCTION("""COMPUTED_VALUE"""),"yes, original start has best score of 2.713")</f>
        <v>yes, original start has best score of 2.713</v>
      </c>
      <c r="D10" s="17"/>
    </row>
    <row r="11" spans="1:4" ht="15.75" customHeight="1" x14ac:dyDescent="0.15">
      <c r="A11" s="16" t="s">
        <v>11</v>
      </c>
      <c r="B11" s="17" t="str">
        <f ca="1">IFERROR(__xludf.DUMMYFUNCTION("""COMPUTED_VALUE"""),"Kovu 4 %identity 60.65 e-value 0.0e0 
S query 1-450 S target 1-459")</f>
        <v>Kovu 4 %identity 60.65 e-value 0.0e0 
S query 1-450 S target 1-459</v>
      </c>
      <c r="C11" s="17" t="str">
        <f ca="1">IFERROR(__xludf.DUMMYFUNCTION("""COMPUTED_VALUE"""),"Kovu_4 Identity:%62                    E-value: ")</f>
        <v xml:space="preserve">Kovu_4 Identity:%62                    E-value: </v>
      </c>
      <c r="D11" s="17"/>
    </row>
    <row r="12" spans="1:4" ht="15.75" customHeight="1" x14ac:dyDescent="0.15">
      <c r="A12" s="16" t="s">
        <v>12</v>
      </c>
      <c r="B12" s="17" t="str">
        <f ca="1">IFERROR(__xludf.DUMMYFUNCTION("""COMPUTED_VALUE"""),"Yes in Kovu 4 100.0% called when present")</f>
        <v>Yes in Kovu 4 100.0% called when present</v>
      </c>
      <c r="C12" s="17" t="str">
        <f ca="1">IFERROR(__xludf.DUMMYFUNCTION("""COMPUTED_VALUE"""),"Yes this start (start 1) is used in both phages in the pham, %100")</f>
        <v>Yes this start (start 1) is used in both phages in the pham, %100</v>
      </c>
      <c r="D12" s="17"/>
    </row>
    <row r="13" spans="1:4" ht="15.75" customHeight="1" x14ac:dyDescent="0.15">
      <c r="A13" s="16" t="s">
        <v>13</v>
      </c>
      <c r="B13" s="17" t="str">
        <f ca="1">IFERROR(__xludf.DUMMYFUNCTION("""COMPUTED_VALUE"""),"No start change  nothing to change to.")</f>
        <v>No start change  nothing to change to.</v>
      </c>
      <c r="C13" s="17" t="str">
        <f ca="1">IFERROR(__xludf.DUMMYFUNCTION("""COMPUTED_VALUE"""),"no, no supporting evidence")</f>
        <v>no, no supporting evidence</v>
      </c>
      <c r="D13" s="17"/>
    </row>
    <row r="14" spans="1:4" ht="15.75" customHeight="1" x14ac:dyDescent="0.15">
      <c r="A14" s="16" t="s">
        <v>14</v>
      </c>
      <c r="B14" s="17" t="str">
        <f ca="1">IFERROR(__xludf.DUMMYFUNCTION("""COMPUTED_VALUE"""),"Kovu 4 e-157")</f>
        <v>Kovu 4 e-157</v>
      </c>
      <c r="C14" s="17" t="str">
        <f ca="1">IFERROR(__xludf.DUMMYFUNCTION("""COMPUTED_VALUE"""),"Kovu_4, E-value: E-157")</f>
        <v>Kovu_4, E-value: E-157</v>
      </c>
      <c r="D14" s="17"/>
    </row>
    <row r="15" spans="1:4" ht="15.75" customHeight="1" x14ac:dyDescent="0.15">
      <c r="A15" s="16" t="s">
        <v>15</v>
      </c>
      <c r="B15" s="17" t="str">
        <f ca="1">IFERROR(__xludf.DUMMYFUNCTION("""COMPUTED_VALUE"""),"Unknown Function Kovu 4")</f>
        <v>Unknown Function Kovu 4</v>
      </c>
      <c r="C15" s="17" t="str">
        <f ca="1">IFERROR(__xludf.DUMMYFUNCTION("""COMPUTED_VALUE"""),"Unknown or uncharacterized (hypothetical protein)")</f>
        <v>Unknown or uncharacterized (hypothetical protein)</v>
      </c>
      <c r="D15" s="17"/>
    </row>
    <row r="16" spans="1:4" ht="15.75" customHeight="1" x14ac:dyDescent="0.15">
      <c r="A16" s="16" t="s">
        <v>16</v>
      </c>
      <c r="B16" s="17" t="str">
        <f ca="1">IFERROR(__xludf.DUMMYFUNCTION("""COMPUTED_VALUE"""),"Yes this would be expected.")</f>
        <v>Yes this would be expected.</v>
      </c>
      <c r="C16" s="17" t="str">
        <f ca="1">IFERROR(__xludf.DUMMYFUNCTION("""COMPUTED_VALUE"""),"In a similar spot to Kovu_4. One gene ahead")</f>
        <v>In a similar spot to Kovu_4. One gene ahead</v>
      </c>
      <c r="D16" s="17"/>
    </row>
    <row r="17" spans="1:4" ht="15.75" customHeight="1" x14ac:dyDescent="0.15">
      <c r="A17" s="16" t="s">
        <v>17</v>
      </c>
      <c r="B17" s="17" t="str">
        <f ca="1">IFERROR(__xludf.DUMMYFUNCTION("""COMPUTED_VALUE"""),"3HNW_B uncharacterized protein; coiled-coil, Structural Genomics, PSI-2, Protein Structure Initiative, Midwest Center for Structural Genomics, MCSG, unknown function; HET: GOL, MSE; 2.196A {Eubacterium eligens} Probability 88.6% Query alignment 19% T alig"&amp;"nment 62% Yes functional domain in alignment Not great match")</f>
        <v>3HNW_B uncharacterized protein; coiled-coil, Structural Genomics, PSI-2, Protein Structure Initiative, Midwest Center for Structural Genomics, MCSG, unknown function; HET: GOL, MSE; 2.196A {Eubacterium eligens} Probability 88.6% Query alignment 19% T alignment 62% Yes functional domain in alignment Not great match</v>
      </c>
      <c r="C17" s="17" t="str">
        <f ca="1">IFERROR(__xludf.DUMMYFUNCTION("""COMPUTED_VALUE"""),"uncharacterized protein; coiled-coil, Structural Genomics, PSI-2, Protein Structure Initiative, Midwest Center for Structural Genomics, MCSG, unknown function; HET: GOL, MSE; 2.196A {Eubacterium eligens}                                                    "&amp;"   Probability: 88.6                                                                          Alignment of Query:%23                                                  Alignment of Target: %82                                                      Yes, functi"&amp;"onal domain in target part of alignment")</f>
        <v>uncharacterized protein; coiled-coil, Structural Genomics, PSI-2, Protein Structure Initiative, Midwest Center for Structural Genomics, MCSG, unknown function; HET: GOL, MSE; 2.196A {Eubacterium eligens}                                                       Probability: 88.6                                                                          Alignment of Query:%23                                                  Alignment of Target: %82                                                      Yes, functional domain in target part of alignment</v>
      </c>
      <c r="D17" s="17"/>
    </row>
    <row r="18" spans="1:4" ht="15.75" customHeight="1" x14ac:dyDescent="0.15">
      <c r="A18" s="16" t="s">
        <v>18</v>
      </c>
      <c r="B18" s="17" t="str">
        <f ca="1">IFERROR(__xludf.DUMMYFUNCTION("""COMPUTED_VALUE"""),"Unknown")</f>
        <v>Unknown</v>
      </c>
      <c r="C18" s="17" t="str">
        <f ca="1">IFERROR(__xludf.DUMMYFUNCTION("""COMPUTED_VALUE"""),"No, not identified")</f>
        <v>No, not identified</v>
      </c>
      <c r="D18" s="17"/>
    </row>
    <row r="19" spans="1:4" ht="15.75" customHeight="1" x14ac:dyDescent="0.15">
      <c r="A19" s="16" t="s">
        <v>19</v>
      </c>
      <c r="B19" s="17" t="str">
        <f ca="1">IFERROR(__xludf.DUMMYFUNCTION("""COMPUTED_VALUE"""),"None")</f>
        <v>None</v>
      </c>
      <c r="C19" s="17"/>
      <c r="D19" s="17"/>
    </row>
    <row r="20" spans="1:4" ht="15.75" customHeight="1" x14ac:dyDescent="0.15">
      <c r="A20" s="16" t="s">
        <v>20</v>
      </c>
      <c r="B20" s="17" t="str">
        <f ca="1">IFERROR(__xludf.DUMMYFUNCTION("""COMPUTED_VALUE"""),"Hypothetical Protein because not a great match from Phages Db and HHPred to provide enough evidence for another function.")</f>
        <v>Hypothetical Protein because not a great match from Phages Db and HHPred to provide enough evidence for another function.</v>
      </c>
      <c r="C20" s="17"/>
      <c r="D20" s="17"/>
    </row>
    <row r="21" spans="1:4" x14ac:dyDescent="0.2">
      <c r="A21" s="7"/>
      <c r="B21" s="19"/>
      <c r="C21" s="19"/>
      <c r="D21" s="8"/>
    </row>
    <row r="22" spans="1:4" ht="15.75" customHeight="1" x14ac:dyDescent="0.15">
      <c r="A22" s="9" t="s">
        <v>21</v>
      </c>
      <c r="B22" s="19"/>
      <c r="C22" s="19"/>
      <c r="D22" s="8"/>
    </row>
    <row r="23" spans="1:4" ht="15.75" customHeight="1" x14ac:dyDescent="0.15">
      <c r="A23" s="10"/>
      <c r="B23" s="13"/>
      <c r="C23" s="13"/>
    </row>
    <row r="24" spans="1:4" ht="15.75" customHeight="1" x14ac:dyDescent="0.15">
      <c r="A24" s="10"/>
      <c r="B24" s="13"/>
      <c r="C24" s="13"/>
    </row>
    <row r="25" spans="1:4" ht="15.75" customHeight="1" x14ac:dyDescent="0.15">
      <c r="A25" s="10"/>
      <c r="B25" s="13"/>
      <c r="C25" s="13"/>
    </row>
    <row r="26" spans="1:4" ht="15.75" customHeight="1" x14ac:dyDescent="0.15">
      <c r="A26" s="10"/>
      <c r="B26" s="13"/>
      <c r="C26" s="13"/>
    </row>
    <row r="27" spans="1:4" ht="15.75" customHeight="1" x14ac:dyDescent="0.15">
      <c r="A27" s="10"/>
      <c r="B27" s="13"/>
      <c r="C27" s="13"/>
    </row>
    <row r="28" spans="1:4" ht="15.75" customHeight="1" x14ac:dyDescent="0.15">
      <c r="A28" s="10"/>
      <c r="B28" s="13"/>
      <c r="C28" s="13"/>
    </row>
    <row r="29" spans="1:4" ht="15.75" customHeight="1" x14ac:dyDescent="0.15">
      <c r="A29" s="10"/>
      <c r="B29" s="13"/>
      <c r="C29" s="13"/>
    </row>
    <row r="30" spans="1:4" ht="15.75" customHeight="1" x14ac:dyDescent="0.15">
      <c r="A30" s="10"/>
      <c r="B30" s="13"/>
      <c r="C30" s="13"/>
    </row>
    <row r="31" spans="1:4" ht="15.75" customHeight="1" x14ac:dyDescent="0.15">
      <c r="A31" s="10"/>
      <c r="B31" s="13"/>
      <c r="C31" s="13"/>
    </row>
    <row r="32" spans="1:4" ht="15.75" customHeight="1" x14ac:dyDescent="0.15">
      <c r="A32" s="10"/>
      <c r="B32" s="13"/>
      <c r="C32" s="13"/>
    </row>
    <row r="33" spans="1:3" ht="15.75" customHeight="1" x14ac:dyDescent="0.15">
      <c r="A33" s="10"/>
      <c r="B33" s="13"/>
      <c r="C33" s="13"/>
    </row>
    <row r="34" spans="1:3" ht="15.75" customHeight="1" x14ac:dyDescent="0.15">
      <c r="A34" s="10"/>
      <c r="B34" s="13"/>
      <c r="C34" s="13"/>
    </row>
    <row r="35" spans="1:3" ht="15.75" customHeight="1" x14ac:dyDescent="0.15">
      <c r="A35" s="10"/>
      <c r="B35" s="13"/>
      <c r="C35" s="13"/>
    </row>
    <row r="36" spans="1:3" ht="15.75" customHeight="1" x14ac:dyDescent="0.15">
      <c r="A36" s="10"/>
      <c r="B36" s="13"/>
      <c r="C36" s="13"/>
    </row>
    <row r="37" spans="1:3" ht="15.75" customHeight="1" x14ac:dyDescent="0.15">
      <c r="A37" s="10"/>
      <c r="B37" s="13"/>
      <c r="C37" s="13"/>
    </row>
    <row r="38" spans="1:3" ht="15.75" customHeight="1" x14ac:dyDescent="0.15">
      <c r="A38" s="10"/>
      <c r="B38" s="13"/>
      <c r="C38" s="13"/>
    </row>
    <row r="39" spans="1:3" ht="13" x14ac:dyDescent="0.15">
      <c r="A39" s="10"/>
      <c r="B39" s="13"/>
      <c r="C39" s="13"/>
    </row>
    <row r="40" spans="1:3" ht="13" x14ac:dyDescent="0.15">
      <c r="A40" s="10"/>
      <c r="B40" s="13"/>
      <c r="C40" s="13"/>
    </row>
    <row r="41" spans="1:3" ht="13" x14ac:dyDescent="0.15">
      <c r="A41" s="10"/>
      <c r="B41" s="13"/>
      <c r="C41" s="13"/>
    </row>
    <row r="42" spans="1:3" ht="13" x14ac:dyDescent="0.15">
      <c r="A42" s="10"/>
      <c r="B42" s="13"/>
      <c r="C42" s="13"/>
    </row>
    <row r="43" spans="1:3" ht="13" x14ac:dyDescent="0.15">
      <c r="A43" s="10"/>
      <c r="B43" s="13"/>
      <c r="C43" s="13"/>
    </row>
    <row r="44" spans="1:3" ht="13" x14ac:dyDescent="0.15">
      <c r="A44" s="10"/>
      <c r="B44" s="13"/>
      <c r="C44" s="13"/>
    </row>
    <row r="45" spans="1:3" ht="13" x14ac:dyDescent="0.15">
      <c r="A45" s="10"/>
      <c r="B45" s="13"/>
      <c r="C45" s="13"/>
    </row>
    <row r="46" spans="1:3" ht="13" x14ac:dyDescent="0.15">
      <c r="A46" s="10"/>
      <c r="B46" s="13"/>
      <c r="C46" s="13"/>
    </row>
    <row r="47" spans="1:3" ht="13" x14ac:dyDescent="0.15">
      <c r="A47" s="10"/>
      <c r="B47" s="13"/>
      <c r="C47" s="13"/>
    </row>
    <row r="48" spans="1:3" ht="13" x14ac:dyDescent="0.15">
      <c r="A48" s="10"/>
      <c r="B48" s="13"/>
      <c r="C48" s="13"/>
    </row>
    <row r="49" spans="1:3" ht="13" x14ac:dyDescent="0.15">
      <c r="A49" s="10"/>
      <c r="B49" s="13"/>
      <c r="C49" s="13"/>
    </row>
    <row r="50" spans="1:3" ht="13" x14ac:dyDescent="0.15">
      <c r="A50" s="10"/>
      <c r="B50" s="13"/>
      <c r="C50" s="13"/>
    </row>
    <row r="51" spans="1:3" ht="13" x14ac:dyDescent="0.15">
      <c r="A51" s="10"/>
      <c r="B51" s="13"/>
      <c r="C51" s="13"/>
    </row>
    <row r="52" spans="1:3" ht="13" x14ac:dyDescent="0.15">
      <c r="A52" s="10"/>
      <c r="B52" s="13"/>
      <c r="C52" s="13"/>
    </row>
    <row r="53" spans="1:3" ht="13" x14ac:dyDescent="0.15">
      <c r="A53" s="10"/>
      <c r="B53" s="13"/>
      <c r="C53" s="13"/>
    </row>
    <row r="54" spans="1:3" ht="13" x14ac:dyDescent="0.15">
      <c r="A54" s="10"/>
      <c r="B54" s="13"/>
      <c r="C54" s="13"/>
    </row>
    <row r="55" spans="1:3" ht="13" x14ac:dyDescent="0.15">
      <c r="A55" s="10"/>
      <c r="B55" s="13"/>
      <c r="C55" s="13"/>
    </row>
    <row r="56" spans="1:3" ht="13" x14ac:dyDescent="0.15">
      <c r="A56" s="10"/>
      <c r="B56" s="13"/>
      <c r="C56" s="13"/>
    </row>
    <row r="57" spans="1:3" ht="13" x14ac:dyDescent="0.15">
      <c r="A57" s="10"/>
      <c r="B57" s="13"/>
      <c r="C57" s="13"/>
    </row>
    <row r="58" spans="1:3" ht="13" x14ac:dyDescent="0.15">
      <c r="A58" s="10"/>
      <c r="B58" s="13"/>
      <c r="C58" s="13"/>
    </row>
    <row r="59" spans="1:3" ht="13" x14ac:dyDescent="0.15">
      <c r="A59" s="10"/>
      <c r="B59" s="13"/>
      <c r="C59" s="13"/>
    </row>
    <row r="60" spans="1:3" ht="13" x14ac:dyDescent="0.15">
      <c r="A60" s="10"/>
      <c r="B60" s="13"/>
      <c r="C60" s="13"/>
    </row>
    <row r="61" spans="1:3" ht="13" x14ac:dyDescent="0.15">
      <c r="A61" s="10"/>
      <c r="B61" s="13"/>
      <c r="C61" s="13"/>
    </row>
    <row r="62" spans="1:3" ht="13" x14ac:dyDescent="0.15">
      <c r="A62" s="10"/>
      <c r="B62" s="13"/>
      <c r="C62" s="13"/>
    </row>
    <row r="63" spans="1:3" ht="13" x14ac:dyDescent="0.15">
      <c r="A63" s="10"/>
      <c r="B63" s="13"/>
      <c r="C63" s="13"/>
    </row>
    <row r="64" spans="1:3" ht="13" x14ac:dyDescent="0.15">
      <c r="A64" s="10"/>
      <c r="B64" s="13"/>
      <c r="C64" s="13"/>
    </row>
    <row r="65" spans="1:3" ht="13" x14ac:dyDescent="0.15">
      <c r="A65" s="10"/>
      <c r="B65" s="13"/>
      <c r="C65" s="13"/>
    </row>
    <row r="66" spans="1:3" ht="13" x14ac:dyDescent="0.15">
      <c r="A66" s="10"/>
      <c r="B66" s="13"/>
      <c r="C66" s="13"/>
    </row>
    <row r="67" spans="1:3" ht="13" x14ac:dyDescent="0.15">
      <c r="A67" s="10"/>
      <c r="B67" s="13"/>
      <c r="C67" s="13"/>
    </row>
    <row r="68" spans="1:3" ht="13" x14ac:dyDescent="0.15">
      <c r="A68" s="10"/>
      <c r="B68" s="13"/>
      <c r="C68" s="13"/>
    </row>
    <row r="69" spans="1:3" ht="13" x14ac:dyDescent="0.15">
      <c r="A69" s="10"/>
      <c r="B69" s="13"/>
      <c r="C69" s="13"/>
    </row>
    <row r="70" spans="1:3" ht="13" x14ac:dyDescent="0.15">
      <c r="A70" s="10"/>
      <c r="B70" s="13"/>
      <c r="C70" s="13"/>
    </row>
    <row r="71" spans="1:3" ht="13" x14ac:dyDescent="0.15">
      <c r="A71" s="10"/>
      <c r="B71" s="13"/>
      <c r="C71" s="13"/>
    </row>
    <row r="72" spans="1:3" ht="13" x14ac:dyDescent="0.15">
      <c r="A72" s="10"/>
      <c r="B72" s="13"/>
      <c r="C72" s="13"/>
    </row>
    <row r="73" spans="1:3" ht="13" x14ac:dyDescent="0.15">
      <c r="A73" s="10"/>
      <c r="B73" s="13"/>
      <c r="C73" s="13"/>
    </row>
    <row r="74" spans="1:3" ht="13" x14ac:dyDescent="0.15">
      <c r="A74" s="10"/>
      <c r="B74" s="13"/>
      <c r="C74" s="13"/>
    </row>
    <row r="75" spans="1:3" ht="13" x14ac:dyDescent="0.15">
      <c r="A75" s="10"/>
      <c r="B75" s="13"/>
      <c r="C75" s="13"/>
    </row>
    <row r="76" spans="1:3" ht="13" x14ac:dyDescent="0.15">
      <c r="A76" s="10"/>
      <c r="B76" s="13"/>
      <c r="C76" s="13"/>
    </row>
    <row r="77" spans="1:3" ht="13" x14ac:dyDescent="0.15">
      <c r="A77" s="10"/>
      <c r="B77" s="13"/>
      <c r="C77" s="13"/>
    </row>
    <row r="78" spans="1:3" ht="13" x14ac:dyDescent="0.15">
      <c r="A78" s="10"/>
      <c r="B78" s="13"/>
      <c r="C78" s="13"/>
    </row>
    <row r="79" spans="1:3" ht="13" x14ac:dyDescent="0.15">
      <c r="A79" s="10"/>
      <c r="B79" s="13"/>
      <c r="C79" s="13"/>
    </row>
    <row r="80" spans="1:3" ht="13" x14ac:dyDescent="0.15">
      <c r="A80" s="10"/>
      <c r="B80" s="13"/>
      <c r="C80" s="13"/>
    </row>
    <row r="81" spans="1:3" ht="13" x14ac:dyDescent="0.15">
      <c r="A81" s="10"/>
      <c r="B81" s="13"/>
      <c r="C81" s="13"/>
    </row>
    <row r="82" spans="1:3" ht="13" x14ac:dyDescent="0.15">
      <c r="A82" s="10"/>
      <c r="B82" s="13"/>
      <c r="C82" s="13"/>
    </row>
    <row r="83" spans="1:3" ht="13" x14ac:dyDescent="0.15">
      <c r="A83" s="10"/>
      <c r="B83" s="13"/>
      <c r="C83" s="13"/>
    </row>
    <row r="84" spans="1:3" ht="13" x14ac:dyDescent="0.15">
      <c r="A84" s="10"/>
      <c r="B84" s="13"/>
      <c r="C84" s="13"/>
    </row>
    <row r="85" spans="1:3" ht="13" x14ac:dyDescent="0.15">
      <c r="A85" s="10"/>
      <c r="B85" s="13"/>
      <c r="C85" s="13"/>
    </row>
    <row r="86" spans="1:3" ht="13" x14ac:dyDescent="0.15">
      <c r="A86" s="10"/>
      <c r="B86" s="13"/>
      <c r="C86" s="13"/>
    </row>
    <row r="87" spans="1:3" ht="13" x14ac:dyDescent="0.15">
      <c r="A87" s="10"/>
      <c r="B87" s="13"/>
      <c r="C87" s="13"/>
    </row>
    <row r="88" spans="1:3" ht="13" x14ac:dyDescent="0.15">
      <c r="A88" s="10"/>
      <c r="B88" s="13"/>
      <c r="C88" s="13"/>
    </row>
    <row r="89" spans="1:3" ht="13" x14ac:dyDescent="0.15">
      <c r="A89" s="10"/>
      <c r="B89" s="13"/>
      <c r="C89" s="13"/>
    </row>
    <row r="90" spans="1:3" ht="13" x14ac:dyDescent="0.15">
      <c r="A90" s="10"/>
      <c r="B90" s="13"/>
      <c r="C90" s="13"/>
    </row>
    <row r="91" spans="1:3" ht="13" x14ac:dyDescent="0.15">
      <c r="A91" s="10"/>
      <c r="B91" s="13"/>
      <c r="C91" s="13"/>
    </row>
    <row r="92" spans="1:3" ht="13" x14ac:dyDescent="0.15">
      <c r="A92" s="10"/>
      <c r="B92" s="13"/>
      <c r="C92" s="13"/>
    </row>
    <row r="93" spans="1:3" ht="13" x14ac:dyDescent="0.15">
      <c r="A93" s="10"/>
      <c r="B93" s="13"/>
      <c r="C93" s="13"/>
    </row>
    <row r="94" spans="1:3" ht="13" x14ac:dyDescent="0.15">
      <c r="A94" s="10"/>
      <c r="B94" s="13"/>
      <c r="C94" s="13"/>
    </row>
    <row r="95" spans="1:3" ht="13" x14ac:dyDescent="0.15">
      <c r="A95" s="10"/>
      <c r="B95" s="13"/>
      <c r="C95" s="13"/>
    </row>
    <row r="96" spans="1:3" ht="13" x14ac:dyDescent="0.15">
      <c r="A96" s="10"/>
      <c r="B96" s="13"/>
      <c r="C96" s="13"/>
    </row>
    <row r="97" spans="1:3" ht="13" x14ac:dyDescent="0.15">
      <c r="A97" s="10"/>
      <c r="B97" s="13"/>
      <c r="C97" s="13"/>
    </row>
    <row r="98" spans="1:3" ht="13" x14ac:dyDescent="0.15">
      <c r="A98" s="10"/>
      <c r="B98" s="13"/>
      <c r="C98" s="13"/>
    </row>
    <row r="99" spans="1:3" ht="13" x14ac:dyDescent="0.15">
      <c r="A99" s="10"/>
      <c r="B99" s="13"/>
      <c r="C99" s="13"/>
    </row>
    <row r="100" spans="1:3" ht="13" x14ac:dyDescent="0.15">
      <c r="A100" s="10"/>
      <c r="B100" s="13"/>
      <c r="C100" s="13"/>
    </row>
    <row r="101" spans="1:3" ht="13" x14ac:dyDescent="0.15">
      <c r="A101" s="10"/>
      <c r="B101" s="13"/>
      <c r="C101" s="13"/>
    </row>
    <row r="102" spans="1:3" ht="13" x14ac:dyDescent="0.15">
      <c r="A102" s="10"/>
      <c r="B102" s="13"/>
      <c r="C102" s="13"/>
    </row>
    <row r="103" spans="1:3" ht="13" x14ac:dyDescent="0.15">
      <c r="A103" s="10"/>
      <c r="B103" s="13"/>
      <c r="C103" s="13"/>
    </row>
    <row r="104" spans="1:3" ht="13" x14ac:dyDescent="0.15">
      <c r="A104" s="10"/>
      <c r="B104" s="13"/>
      <c r="C104" s="13"/>
    </row>
    <row r="105" spans="1:3" ht="13" x14ac:dyDescent="0.15">
      <c r="A105" s="10"/>
      <c r="B105" s="13"/>
      <c r="C105" s="13"/>
    </row>
    <row r="106" spans="1:3" ht="13" x14ac:dyDescent="0.15">
      <c r="A106" s="10"/>
      <c r="B106" s="13"/>
      <c r="C106" s="13"/>
    </row>
    <row r="107" spans="1:3" ht="13" x14ac:dyDescent="0.15">
      <c r="A107" s="10"/>
      <c r="B107" s="13"/>
      <c r="C107" s="13"/>
    </row>
    <row r="108" spans="1:3" ht="13" x14ac:dyDescent="0.15">
      <c r="A108" s="10"/>
      <c r="B108" s="13"/>
      <c r="C108" s="13"/>
    </row>
    <row r="109" spans="1:3" ht="13" x14ac:dyDescent="0.15">
      <c r="A109" s="10"/>
      <c r="B109" s="13"/>
      <c r="C109" s="13"/>
    </row>
    <row r="110" spans="1:3" ht="13" x14ac:dyDescent="0.15">
      <c r="A110" s="10"/>
      <c r="B110" s="13"/>
      <c r="C110" s="13"/>
    </row>
    <row r="111" spans="1:3" ht="13" x14ac:dyDescent="0.15">
      <c r="A111" s="10"/>
      <c r="B111" s="13"/>
      <c r="C111" s="13"/>
    </row>
    <row r="112" spans="1:3" ht="13" x14ac:dyDescent="0.15">
      <c r="A112" s="10"/>
      <c r="B112" s="13"/>
      <c r="C112" s="13"/>
    </row>
    <row r="113" spans="1:3" ht="13" x14ac:dyDescent="0.15">
      <c r="A113" s="10"/>
      <c r="B113" s="13"/>
      <c r="C113" s="13"/>
    </row>
    <row r="114" spans="1:3" ht="13" x14ac:dyDescent="0.15">
      <c r="A114" s="10"/>
      <c r="B114" s="13"/>
      <c r="C114" s="13"/>
    </row>
    <row r="115" spans="1:3" ht="13" x14ac:dyDescent="0.15">
      <c r="A115" s="10"/>
      <c r="B115" s="13"/>
      <c r="C115" s="13"/>
    </row>
    <row r="116" spans="1:3" ht="13" x14ac:dyDescent="0.15">
      <c r="A116" s="10"/>
      <c r="B116" s="13"/>
      <c r="C116" s="13"/>
    </row>
    <row r="117" spans="1:3" ht="13" x14ac:dyDescent="0.15">
      <c r="A117" s="10"/>
      <c r="B117" s="13"/>
      <c r="C117" s="13"/>
    </row>
    <row r="118" spans="1:3" ht="13" x14ac:dyDescent="0.15">
      <c r="A118" s="10"/>
      <c r="B118" s="13"/>
      <c r="C118" s="13"/>
    </row>
    <row r="119" spans="1:3" ht="13" x14ac:dyDescent="0.15">
      <c r="A119" s="10"/>
      <c r="B119" s="13"/>
      <c r="C119" s="13"/>
    </row>
    <row r="120" spans="1:3" ht="13" x14ac:dyDescent="0.15">
      <c r="A120" s="10"/>
      <c r="B120" s="13"/>
      <c r="C120" s="13"/>
    </row>
    <row r="121" spans="1:3" ht="13" x14ac:dyDescent="0.15">
      <c r="A121" s="10"/>
      <c r="B121" s="13"/>
      <c r="C121" s="13"/>
    </row>
    <row r="122" spans="1:3" ht="13" x14ac:dyDescent="0.15">
      <c r="A122" s="10"/>
      <c r="B122" s="13"/>
      <c r="C122" s="13"/>
    </row>
    <row r="123" spans="1:3" ht="13" x14ac:dyDescent="0.15">
      <c r="A123" s="10"/>
      <c r="B123" s="13"/>
      <c r="C123" s="13"/>
    </row>
    <row r="124" spans="1:3" ht="13" x14ac:dyDescent="0.15">
      <c r="A124" s="10"/>
      <c r="B124" s="13"/>
      <c r="C124" s="13"/>
    </row>
    <row r="125" spans="1:3" ht="13" x14ac:dyDescent="0.15">
      <c r="A125" s="10"/>
      <c r="B125" s="13"/>
      <c r="C125" s="13"/>
    </row>
    <row r="126" spans="1:3" ht="13" x14ac:dyDescent="0.15">
      <c r="A126" s="10"/>
      <c r="B126" s="13"/>
      <c r="C126" s="13"/>
    </row>
    <row r="127" spans="1:3" ht="13" x14ac:dyDescent="0.15">
      <c r="A127" s="10"/>
      <c r="B127" s="13"/>
      <c r="C127" s="13"/>
    </row>
    <row r="128" spans="1:3" ht="13" x14ac:dyDescent="0.15">
      <c r="A128" s="10"/>
      <c r="B128" s="13"/>
      <c r="C128" s="13"/>
    </row>
    <row r="129" spans="1:3" ht="13" x14ac:dyDescent="0.15">
      <c r="A129" s="10"/>
      <c r="B129" s="13"/>
      <c r="C129" s="13"/>
    </row>
    <row r="130" spans="1:3" ht="13" x14ac:dyDescent="0.15">
      <c r="A130" s="10"/>
      <c r="B130" s="13"/>
      <c r="C130" s="13"/>
    </row>
    <row r="131" spans="1:3" ht="13" x14ac:dyDescent="0.15">
      <c r="A131" s="10"/>
      <c r="B131" s="13"/>
      <c r="C131" s="13"/>
    </row>
    <row r="132" spans="1:3" ht="13" x14ac:dyDescent="0.15">
      <c r="A132" s="10"/>
      <c r="B132" s="13"/>
      <c r="C132" s="13"/>
    </row>
    <row r="133" spans="1:3" ht="13" x14ac:dyDescent="0.15">
      <c r="A133" s="10"/>
      <c r="B133" s="13"/>
      <c r="C133" s="13"/>
    </row>
    <row r="134" spans="1:3" ht="13" x14ac:dyDescent="0.15">
      <c r="A134" s="10"/>
      <c r="B134" s="13"/>
      <c r="C134" s="13"/>
    </row>
    <row r="135" spans="1:3" ht="13" x14ac:dyDescent="0.15">
      <c r="A135" s="10"/>
      <c r="B135" s="13"/>
      <c r="C135" s="13"/>
    </row>
    <row r="136" spans="1:3" ht="13" x14ac:dyDescent="0.15">
      <c r="A136" s="10"/>
      <c r="B136" s="13"/>
      <c r="C136" s="13"/>
    </row>
    <row r="137" spans="1:3" ht="13" x14ac:dyDescent="0.15">
      <c r="A137" s="10"/>
      <c r="B137" s="13"/>
      <c r="C137" s="13"/>
    </row>
    <row r="138" spans="1:3" ht="13" x14ac:dyDescent="0.15">
      <c r="A138" s="10"/>
      <c r="B138" s="13"/>
      <c r="C138" s="13"/>
    </row>
    <row r="139" spans="1:3" ht="13" x14ac:dyDescent="0.15">
      <c r="A139" s="10"/>
      <c r="B139" s="13"/>
      <c r="C139" s="13"/>
    </row>
    <row r="140" spans="1:3" ht="13" x14ac:dyDescent="0.15">
      <c r="A140" s="10"/>
      <c r="B140" s="13"/>
      <c r="C140" s="13"/>
    </row>
    <row r="141" spans="1:3" ht="13" x14ac:dyDescent="0.15">
      <c r="A141" s="10"/>
      <c r="B141" s="13"/>
      <c r="C141" s="13"/>
    </row>
    <row r="142" spans="1:3" ht="13" x14ac:dyDescent="0.15">
      <c r="A142" s="10"/>
      <c r="B142" s="13"/>
      <c r="C142" s="13"/>
    </row>
    <row r="143" spans="1:3" ht="13" x14ac:dyDescent="0.15">
      <c r="A143" s="10"/>
      <c r="B143" s="13"/>
      <c r="C143" s="13"/>
    </row>
    <row r="144" spans="1:3" ht="13" x14ac:dyDescent="0.15">
      <c r="A144" s="10"/>
      <c r="B144" s="13"/>
      <c r="C144" s="13"/>
    </row>
    <row r="145" spans="1:3" ht="13" x14ac:dyDescent="0.15">
      <c r="A145" s="10"/>
      <c r="B145" s="13"/>
      <c r="C145" s="13"/>
    </row>
    <row r="146" spans="1:3" ht="13" x14ac:dyDescent="0.15">
      <c r="A146" s="10"/>
      <c r="B146" s="13"/>
      <c r="C146" s="13"/>
    </row>
    <row r="147" spans="1:3" ht="13" x14ac:dyDescent="0.15">
      <c r="A147" s="10"/>
      <c r="B147" s="13"/>
      <c r="C147" s="13"/>
    </row>
    <row r="148" spans="1:3" ht="13" x14ac:dyDescent="0.15">
      <c r="A148" s="10"/>
      <c r="B148" s="13"/>
      <c r="C148" s="13"/>
    </row>
    <row r="149" spans="1:3" ht="13" x14ac:dyDescent="0.15">
      <c r="A149" s="10"/>
      <c r="B149" s="13"/>
      <c r="C149" s="13"/>
    </row>
    <row r="150" spans="1:3" ht="13" x14ac:dyDescent="0.15">
      <c r="A150" s="10"/>
      <c r="B150" s="13"/>
      <c r="C150" s="13"/>
    </row>
    <row r="151" spans="1:3" ht="13" x14ac:dyDescent="0.15">
      <c r="A151" s="10"/>
      <c r="B151" s="13"/>
      <c r="C151" s="13"/>
    </row>
    <row r="152" spans="1:3" ht="13" x14ac:dyDescent="0.15">
      <c r="A152" s="10"/>
      <c r="B152" s="13"/>
      <c r="C152" s="13"/>
    </row>
    <row r="153" spans="1:3" ht="13" x14ac:dyDescent="0.15">
      <c r="A153" s="10"/>
      <c r="B153" s="13"/>
      <c r="C153" s="13"/>
    </row>
    <row r="154" spans="1:3" ht="13" x14ac:dyDescent="0.15">
      <c r="A154" s="10"/>
      <c r="B154" s="13"/>
      <c r="C154" s="13"/>
    </row>
    <row r="155" spans="1:3" ht="13" x14ac:dyDescent="0.15">
      <c r="A155" s="10"/>
      <c r="B155" s="13"/>
      <c r="C155" s="13"/>
    </row>
    <row r="156" spans="1:3" ht="13" x14ac:dyDescent="0.15">
      <c r="A156" s="10"/>
      <c r="B156" s="13"/>
      <c r="C156" s="13"/>
    </row>
    <row r="157" spans="1:3" ht="13" x14ac:dyDescent="0.15">
      <c r="A157" s="10"/>
      <c r="B157" s="13"/>
      <c r="C157" s="13"/>
    </row>
    <row r="158" spans="1:3" ht="13" x14ac:dyDescent="0.15">
      <c r="A158" s="10"/>
      <c r="B158" s="13"/>
      <c r="C158" s="13"/>
    </row>
    <row r="159" spans="1:3" ht="13" x14ac:dyDescent="0.15">
      <c r="A159" s="10"/>
      <c r="B159" s="13"/>
      <c r="C159" s="13"/>
    </row>
    <row r="160" spans="1:3" ht="13" x14ac:dyDescent="0.15">
      <c r="A160" s="10"/>
      <c r="B160" s="13"/>
      <c r="C160" s="13"/>
    </row>
    <row r="161" spans="1:3" ht="13" x14ac:dyDescent="0.15">
      <c r="A161" s="10"/>
      <c r="B161" s="13"/>
      <c r="C161" s="13"/>
    </row>
    <row r="162" spans="1:3" ht="13" x14ac:dyDescent="0.15">
      <c r="A162" s="10"/>
      <c r="B162" s="13"/>
      <c r="C162" s="13"/>
    </row>
    <row r="163" spans="1:3" ht="13" x14ac:dyDescent="0.15">
      <c r="A163" s="10"/>
      <c r="B163" s="13"/>
      <c r="C163" s="13"/>
    </row>
    <row r="164" spans="1:3" ht="13" x14ac:dyDescent="0.15">
      <c r="A164" s="10"/>
      <c r="B164" s="13"/>
      <c r="C164" s="13"/>
    </row>
    <row r="165" spans="1:3" ht="13" x14ac:dyDescent="0.15">
      <c r="A165" s="10"/>
      <c r="B165" s="13"/>
      <c r="C165" s="13"/>
    </row>
    <row r="166" spans="1:3" ht="13" x14ac:dyDescent="0.15">
      <c r="A166" s="10"/>
      <c r="B166" s="13"/>
      <c r="C166" s="13"/>
    </row>
    <row r="167" spans="1:3" ht="13" x14ac:dyDescent="0.15">
      <c r="A167" s="10"/>
      <c r="B167" s="13"/>
      <c r="C167" s="13"/>
    </row>
    <row r="168" spans="1:3" ht="13" x14ac:dyDescent="0.15">
      <c r="A168" s="10"/>
      <c r="B168" s="13"/>
      <c r="C168" s="13"/>
    </row>
    <row r="169" spans="1:3" ht="13" x14ac:dyDescent="0.15">
      <c r="A169" s="10"/>
      <c r="B169" s="13"/>
      <c r="C169" s="13"/>
    </row>
    <row r="170" spans="1:3" ht="13" x14ac:dyDescent="0.15">
      <c r="A170" s="10"/>
      <c r="B170" s="13"/>
      <c r="C170" s="13"/>
    </row>
    <row r="171" spans="1:3" ht="13" x14ac:dyDescent="0.15">
      <c r="A171" s="10"/>
      <c r="B171" s="13"/>
      <c r="C171" s="13"/>
    </row>
    <row r="172" spans="1:3" ht="13" x14ac:dyDescent="0.15">
      <c r="A172" s="10"/>
      <c r="B172" s="13"/>
      <c r="C172" s="13"/>
    </row>
    <row r="173" spans="1:3" ht="13" x14ac:dyDescent="0.15">
      <c r="A173" s="10"/>
      <c r="B173" s="13"/>
      <c r="C173" s="13"/>
    </row>
    <row r="174" spans="1:3" ht="13" x14ac:dyDescent="0.15">
      <c r="A174" s="10"/>
      <c r="B174" s="13"/>
      <c r="C174" s="13"/>
    </row>
    <row r="175" spans="1:3" ht="13" x14ac:dyDescent="0.15">
      <c r="A175" s="10"/>
      <c r="B175" s="13"/>
      <c r="C175" s="13"/>
    </row>
    <row r="176" spans="1:3" ht="13" x14ac:dyDescent="0.15">
      <c r="A176" s="10"/>
      <c r="B176" s="13"/>
      <c r="C176" s="13"/>
    </row>
    <row r="177" spans="1:3" ht="13" x14ac:dyDescent="0.15">
      <c r="A177" s="10"/>
      <c r="B177" s="13"/>
      <c r="C177" s="13"/>
    </row>
    <row r="178" spans="1:3" ht="13" x14ac:dyDescent="0.15">
      <c r="A178" s="10"/>
      <c r="B178" s="13"/>
      <c r="C178" s="13"/>
    </row>
    <row r="179" spans="1:3" ht="13" x14ac:dyDescent="0.15">
      <c r="A179" s="10"/>
      <c r="B179" s="13"/>
      <c r="C179" s="13"/>
    </row>
    <row r="180" spans="1:3" ht="13" x14ac:dyDescent="0.15">
      <c r="A180" s="10"/>
      <c r="B180" s="13"/>
      <c r="C180" s="13"/>
    </row>
    <row r="181" spans="1:3" ht="13" x14ac:dyDescent="0.15">
      <c r="A181" s="10"/>
      <c r="B181" s="13"/>
      <c r="C181" s="13"/>
    </row>
    <row r="182" spans="1:3" ht="13" x14ac:dyDescent="0.15">
      <c r="A182" s="10"/>
      <c r="B182" s="13"/>
      <c r="C182" s="13"/>
    </row>
    <row r="183" spans="1:3" ht="13" x14ac:dyDescent="0.15">
      <c r="A183" s="10"/>
      <c r="B183" s="13"/>
      <c r="C183" s="13"/>
    </row>
    <row r="184" spans="1:3" ht="13" x14ac:dyDescent="0.15">
      <c r="A184" s="10"/>
      <c r="B184" s="13"/>
      <c r="C184" s="13"/>
    </row>
    <row r="185" spans="1:3" ht="13" x14ac:dyDescent="0.15">
      <c r="A185" s="10"/>
      <c r="B185" s="13"/>
      <c r="C185" s="13"/>
    </row>
    <row r="186" spans="1:3" ht="13" x14ac:dyDescent="0.15">
      <c r="A186" s="10"/>
      <c r="B186" s="13"/>
      <c r="C186" s="13"/>
    </row>
    <row r="187" spans="1:3" ht="13" x14ac:dyDescent="0.15">
      <c r="A187" s="10"/>
      <c r="B187" s="13"/>
      <c r="C187" s="13"/>
    </row>
    <row r="188" spans="1:3" ht="13" x14ac:dyDescent="0.15">
      <c r="A188" s="10"/>
      <c r="B188" s="13"/>
      <c r="C188" s="13"/>
    </row>
    <row r="189" spans="1:3" ht="13" x14ac:dyDescent="0.15">
      <c r="A189" s="10"/>
      <c r="B189" s="13"/>
      <c r="C189" s="13"/>
    </row>
    <row r="190" spans="1:3" ht="13" x14ac:dyDescent="0.15">
      <c r="A190" s="10"/>
      <c r="B190" s="13"/>
      <c r="C190" s="13"/>
    </row>
    <row r="191" spans="1:3" ht="13" x14ac:dyDescent="0.15">
      <c r="A191" s="10"/>
      <c r="B191" s="13"/>
      <c r="C191" s="13"/>
    </row>
    <row r="192" spans="1:3" ht="13" x14ac:dyDescent="0.15">
      <c r="A192" s="10"/>
      <c r="B192" s="13"/>
      <c r="C192" s="13"/>
    </row>
    <row r="193" spans="1:3" ht="13" x14ac:dyDescent="0.15">
      <c r="A193" s="10"/>
      <c r="B193" s="13"/>
      <c r="C193" s="13"/>
    </row>
    <row r="194" spans="1:3" ht="13" x14ac:dyDescent="0.15">
      <c r="A194" s="10"/>
      <c r="B194" s="13"/>
      <c r="C194" s="13"/>
    </row>
    <row r="195" spans="1:3" ht="13" x14ac:dyDescent="0.15">
      <c r="A195" s="10"/>
      <c r="B195" s="13"/>
      <c r="C195" s="13"/>
    </row>
    <row r="196" spans="1:3" ht="13" x14ac:dyDescent="0.15">
      <c r="A196" s="10"/>
      <c r="B196" s="13"/>
      <c r="C196" s="13"/>
    </row>
    <row r="197" spans="1:3" ht="13" x14ac:dyDescent="0.15">
      <c r="A197" s="10"/>
      <c r="B197" s="13"/>
      <c r="C197" s="13"/>
    </row>
    <row r="198" spans="1:3" ht="13" x14ac:dyDescent="0.15">
      <c r="A198" s="10"/>
      <c r="B198" s="13"/>
      <c r="C198" s="13"/>
    </row>
    <row r="199" spans="1:3" ht="13" x14ac:dyDescent="0.15">
      <c r="A199" s="10"/>
      <c r="B199" s="13"/>
      <c r="C199" s="13"/>
    </row>
    <row r="200" spans="1:3" ht="13" x14ac:dyDescent="0.15">
      <c r="A200" s="10"/>
      <c r="B200" s="13"/>
      <c r="C200" s="13"/>
    </row>
    <row r="201" spans="1:3" ht="13" x14ac:dyDescent="0.15">
      <c r="A201" s="10"/>
      <c r="B201" s="13"/>
      <c r="C201" s="13"/>
    </row>
    <row r="202" spans="1:3" ht="13" x14ac:dyDescent="0.15">
      <c r="A202" s="10"/>
      <c r="B202" s="13"/>
      <c r="C202" s="13"/>
    </row>
    <row r="203" spans="1:3" ht="13" x14ac:dyDescent="0.15">
      <c r="A203" s="10"/>
      <c r="B203" s="13"/>
      <c r="C203" s="13"/>
    </row>
    <row r="204" spans="1:3" ht="13" x14ac:dyDescent="0.15">
      <c r="A204" s="10"/>
      <c r="B204" s="13"/>
      <c r="C204" s="13"/>
    </row>
    <row r="205" spans="1:3" ht="13" x14ac:dyDescent="0.15">
      <c r="A205" s="10"/>
      <c r="B205" s="13"/>
      <c r="C205" s="13"/>
    </row>
    <row r="206" spans="1:3" ht="13" x14ac:dyDescent="0.15">
      <c r="A206" s="10"/>
      <c r="B206" s="13"/>
      <c r="C206" s="13"/>
    </row>
    <row r="207" spans="1:3" ht="13" x14ac:dyDescent="0.15">
      <c r="A207" s="10"/>
      <c r="B207" s="13"/>
      <c r="C207" s="13"/>
    </row>
    <row r="208" spans="1:3" ht="13" x14ac:dyDescent="0.15">
      <c r="A208" s="10"/>
      <c r="B208" s="13"/>
      <c r="C208" s="13"/>
    </row>
    <row r="209" spans="1:3" ht="13" x14ac:dyDescent="0.15">
      <c r="A209" s="10"/>
      <c r="B209" s="13"/>
      <c r="C209" s="13"/>
    </row>
    <row r="210" spans="1:3" ht="13" x14ac:dyDescent="0.15">
      <c r="A210" s="10"/>
      <c r="B210" s="13"/>
      <c r="C210" s="13"/>
    </row>
    <row r="211" spans="1:3" ht="13" x14ac:dyDescent="0.15">
      <c r="A211" s="10"/>
      <c r="B211" s="13"/>
      <c r="C211" s="13"/>
    </row>
    <row r="212" spans="1:3" ht="13" x14ac:dyDescent="0.15">
      <c r="A212" s="10"/>
      <c r="B212" s="13"/>
      <c r="C212" s="13"/>
    </row>
    <row r="213" spans="1:3" ht="13" x14ac:dyDescent="0.15">
      <c r="A213" s="10"/>
      <c r="B213" s="13"/>
      <c r="C213" s="13"/>
    </row>
    <row r="214" spans="1:3" ht="13" x14ac:dyDescent="0.15">
      <c r="A214" s="10"/>
      <c r="B214" s="13"/>
      <c r="C214" s="13"/>
    </row>
    <row r="215" spans="1:3" ht="13" x14ac:dyDescent="0.15">
      <c r="A215" s="10"/>
      <c r="B215" s="13"/>
      <c r="C215" s="13"/>
    </row>
    <row r="216" spans="1:3" ht="13" x14ac:dyDescent="0.15">
      <c r="A216" s="10"/>
      <c r="B216" s="13"/>
      <c r="C216" s="13"/>
    </row>
    <row r="217" spans="1:3" ht="13" x14ac:dyDescent="0.15">
      <c r="A217" s="10"/>
      <c r="B217" s="13"/>
      <c r="C217" s="13"/>
    </row>
    <row r="218" spans="1:3" ht="13" x14ac:dyDescent="0.15">
      <c r="A218" s="10"/>
      <c r="B218" s="13"/>
      <c r="C218" s="13"/>
    </row>
    <row r="219" spans="1:3" ht="13" x14ac:dyDescent="0.15">
      <c r="A219" s="10"/>
      <c r="B219" s="13"/>
      <c r="C219" s="13"/>
    </row>
    <row r="220" spans="1:3" ht="13" x14ac:dyDescent="0.15">
      <c r="A220" s="10"/>
      <c r="B220" s="13"/>
      <c r="C220" s="13"/>
    </row>
    <row r="221" spans="1:3" ht="13" x14ac:dyDescent="0.15">
      <c r="A221" s="10"/>
      <c r="B221" s="13"/>
      <c r="C221" s="13"/>
    </row>
    <row r="222" spans="1:3" ht="13" x14ac:dyDescent="0.15">
      <c r="A222" s="10"/>
      <c r="B222" s="13"/>
      <c r="C222" s="13"/>
    </row>
    <row r="223" spans="1:3" ht="13" x14ac:dyDescent="0.15">
      <c r="A223" s="10"/>
      <c r="B223" s="13"/>
      <c r="C223" s="13"/>
    </row>
    <row r="224" spans="1:3" ht="13" x14ac:dyDescent="0.15">
      <c r="A224" s="10"/>
      <c r="B224" s="13"/>
      <c r="C224" s="13"/>
    </row>
    <row r="225" spans="1:3" ht="13" x14ac:dyDescent="0.15">
      <c r="A225" s="10"/>
      <c r="B225" s="13"/>
      <c r="C225" s="13"/>
    </row>
    <row r="226" spans="1:3" ht="13" x14ac:dyDescent="0.15">
      <c r="A226" s="10"/>
      <c r="B226" s="13"/>
      <c r="C226" s="13"/>
    </row>
    <row r="227" spans="1:3" ht="13" x14ac:dyDescent="0.15">
      <c r="A227" s="10"/>
      <c r="B227" s="13"/>
      <c r="C227" s="13"/>
    </row>
    <row r="228" spans="1:3" ht="13" x14ac:dyDescent="0.15">
      <c r="A228" s="10"/>
      <c r="B228" s="13"/>
      <c r="C228" s="13"/>
    </row>
    <row r="229" spans="1:3" ht="13" x14ac:dyDescent="0.15">
      <c r="A229" s="10"/>
      <c r="B229" s="13"/>
      <c r="C229" s="13"/>
    </row>
    <row r="230" spans="1:3" ht="13" x14ac:dyDescent="0.15">
      <c r="A230" s="10"/>
      <c r="B230" s="13"/>
      <c r="C230" s="13"/>
    </row>
    <row r="231" spans="1:3" ht="13" x14ac:dyDescent="0.15">
      <c r="A231" s="10"/>
      <c r="B231" s="13"/>
      <c r="C231" s="13"/>
    </row>
    <row r="232" spans="1:3" ht="13" x14ac:dyDescent="0.15">
      <c r="A232" s="10"/>
      <c r="B232" s="13"/>
      <c r="C232" s="13"/>
    </row>
    <row r="233" spans="1:3" ht="13" x14ac:dyDescent="0.15">
      <c r="A233" s="10"/>
      <c r="B233" s="13"/>
      <c r="C233" s="13"/>
    </row>
    <row r="234" spans="1:3" ht="13" x14ac:dyDescent="0.15">
      <c r="A234" s="10"/>
      <c r="B234" s="13"/>
      <c r="C234" s="13"/>
    </row>
    <row r="235" spans="1:3" ht="13" x14ac:dyDescent="0.15">
      <c r="A235" s="10"/>
      <c r="B235" s="13"/>
      <c r="C235" s="13"/>
    </row>
    <row r="236" spans="1:3" ht="13" x14ac:dyDescent="0.15">
      <c r="A236" s="10"/>
      <c r="B236" s="13"/>
      <c r="C236" s="13"/>
    </row>
    <row r="237" spans="1:3" ht="13" x14ac:dyDescent="0.15">
      <c r="A237" s="10"/>
      <c r="B237" s="13"/>
      <c r="C237" s="13"/>
    </row>
    <row r="238" spans="1:3" ht="13" x14ac:dyDescent="0.15">
      <c r="A238" s="10"/>
      <c r="B238" s="13"/>
      <c r="C238" s="13"/>
    </row>
    <row r="239" spans="1:3" ht="13" x14ac:dyDescent="0.15">
      <c r="A239" s="10"/>
      <c r="B239" s="13"/>
      <c r="C239" s="13"/>
    </row>
    <row r="240" spans="1:3" ht="13" x14ac:dyDescent="0.15">
      <c r="A240" s="10"/>
      <c r="B240" s="13"/>
      <c r="C240" s="13"/>
    </row>
    <row r="241" spans="1:3" ht="13" x14ac:dyDescent="0.15">
      <c r="A241" s="10"/>
      <c r="B241" s="13"/>
      <c r="C241" s="13"/>
    </row>
    <row r="242" spans="1:3" ht="13" x14ac:dyDescent="0.15">
      <c r="A242" s="10"/>
      <c r="B242" s="13"/>
      <c r="C242" s="13"/>
    </row>
    <row r="243" spans="1:3" ht="13" x14ac:dyDescent="0.15">
      <c r="A243" s="10"/>
      <c r="B243" s="13"/>
      <c r="C243" s="13"/>
    </row>
    <row r="244" spans="1:3" ht="13" x14ac:dyDescent="0.15">
      <c r="A244" s="10"/>
      <c r="B244" s="13"/>
      <c r="C244" s="13"/>
    </row>
    <row r="245" spans="1:3" ht="13" x14ac:dyDescent="0.15">
      <c r="A245" s="10"/>
      <c r="B245" s="13"/>
      <c r="C245" s="13"/>
    </row>
    <row r="246" spans="1:3" ht="13" x14ac:dyDescent="0.15">
      <c r="A246" s="10"/>
      <c r="B246" s="13"/>
      <c r="C246" s="13"/>
    </row>
    <row r="247" spans="1:3" ht="13" x14ac:dyDescent="0.15">
      <c r="A247" s="10"/>
      <c r="B247" s="13"/>
      <c r="C247" s="13"/>
    </row>
    <row r="248" spans="1:3" ht="13" x14ac:dyDescent="0.15">
      <c r="A248" s="10"/>
      <c r="B248" s="13"/>
      <c r="C248" s="13"/>
    </row>
    <row r="249" spans="1:3" ht="13" x14ac:dyDescent="0.15">
      <c r="A249" s="10"/>
      <c r="B249" s="13"/>
      <c r="C249" s="13"/>
    </row>
    <row r="250" spans="1:3" ht="13" x14ac:dyDescent="0.15">
      <c r="A250" s="10"/>
      <c r="B250" s="13"/>
      <c r="C250" s="13"/>
    </row>
    <row r="251" spans="1:3" ht="13" x14ac:dyDescent="0.15">
      <c r="A251" s="10"/>
      <c r="B251" s="13"/>
      <c r="C251" s="13"/>
    </row>
    <row r="252" spans="1:3" ht="13" x14ac:dyDescent="0.15">
      <c r="A252" s="10"/>
      <c r="B252" s="13"/>
      <c r="C252" s="13"/>
    </row>
    <row r="253" spans="1:3" ht="13" x14ac:dyDescent="0.15">
      <c r="A253" s="10"/>
      <c r="B253" s="13"/>
      <c r="C253" s="13"/>
    </row>
    <row r="254" spans="1:3" ht="13" x14ac:dyDescent="0.15">
      <c r="A254" s="10"/>
      <c r="B254" s="13"/>
      <c r="C254" s="13"/>
    </row>
    <row r="255" spans="1:3" ht="13" x14ac:dyDescent="0.15">
      <c r="A255" s="10"/>
      <c r="B255" s="13"/>
      <c r="C255" s="13"/>
    </row>
    <row r="256" spans="1:3" ht="13" x14ac:dyDescent="0.15">
      <c r="A256" s="10"/>
      <c r="B256" s="13"/>
      <c r="C256" s="13"/>
    </row>
    <row r="257" spans="1:3" ht="13" x14ac:dyDescent="0.15">
      <c r="A257" s="10"/>
      <c r="B257" s="13"/>
      <c r="C257" s="13"/>
    </row>
    <row r="258" spans="1:3" ht="13" x14ac:dyDescent="0.15">
      <c r="A258" s="10"/>
      <c r="B258" s="13"/>
      <c r="C258" s="13"/>
    </row>
    <row r="259" spans="1:3" ht="13" x14ac:dyDescent="0.15">
      <c r="A259" s="10"/>
      <c r="B259" s="13"/>
      <c r="C259" s="13"/>
    </row>
    <row r="260" spans="1:3" ht="13" x14ac:dyDescent="0.15">
      <c r="A260" s="10"/>
      <c r="B260" s="13"/>
      <c r="C260" s="13"/>
    </row>
    <row r="261" spans="1:3" ht="13" x14ac:dyDescent="0.15">
      <c r="A261" s="10"/>
      <c r="B261" s="13"/>
      <c r="C261" s="13"/>
    </row>
    <row r="262" spans="1:3" ht="13" x14ac:dyDescent="0.15">
      <c r="A262" s="10"/>
      <c r="B262" s="13"/>
      <c r="C262" s="13"/>
    </row>
    <row r="263" spans="1:3" ht="13" x14ac:dyDescent="0.15">
      <c r="A263" s="10"/>
      <c r="B263" s="13"/>
      <c r="C263" s="13"/>
    </row>
    <row r="264" spans="1:3" ht="13" x14ac:dyDescent="0.15">
      <c r="A264" s="10"/>
      <c r="B264" s="13"/>
      <c r="C264" s="13"/>
    </row>
    <row r="265" spans="1:3" ht="13" x14ac:dyDescent="0.15">
      <c r="A265" s="10"/>
      <c r="B265" s="13"/>
      <c r="C265" s="13"/>
    </row>
    <row r="266" spans="1:3" ht="13" x14ac:dyDescent="0.15">
      <c r="A266" s="10"/>
      <c r="B266" s="13"/>
      <c r="C266" s="13"/>
    </row>
    <row r="267" spans="1:3" ht="13" x14ac:dyDescent="0.15">
      <c r="A267" s="10"/>
      <c r="B267" s="13"/>
      <c r="C267" s="13"/>
    </row>
    <row r="268" spans="1:3" ht="13" x14ac:dyDescent="0.15">
      <c r="A268" s="10"/>
      <c r="B268" s="13"/>
      <c r="C268" s="13"/>
    </row>
    <row r="269" spans="1:3" ht="13" x14ac:dyDescent="0.15">
      <c r="A269" s="10"/>
      <c r="B269" s="13"/>
      <c r="C269" s="13"/>
    </row>
    <row r="270" spans="1:3" ht="13" x14ac:dyDescent="0.15">
      <c r="A270" s="10"/>
      <c r="B270" s="13"/>
      <c r="C270" s="13"/>
    </row>
    <row r="271" spans="1:3" ht="13" x14ac:dyDescent="0.15">
      <c r="A271" s="10"/>
      <c r="B271" s="13"/>
      <c r="C271" s="13"/>
    </row>
    <row r="272" spans="1:3" ht="13" x14ac:dyDescent="0.15">
      <c r="A272" s="10"/>
      <c r="B272" s="13"/>
      <c r="C272" s="13"/>
    </row>
    <row r="273" spans="1:3" ht="13" x14ac:dyDescent="0.15">
      <c r="A273" s="10"/>
      <c r="B273" s="13"/>
      <c r="C273" s="13"/>
    </row>
    <row r="274" spans="1:3" ht="13" x14ac:dyDescent="0.15">
      <c r="A274" s="10"/>
      <c r="B274" s="13"/>
      <c r="C274" s="13"/>
    </row>
    <row r="275" spans="1:3" ht="13" x14ac:dyDescent="0.15">
      <c r="A275" s="10"/>
      <c r="B275" s="13"/>
      <c r="C275" s="13"/>
    </row>
    <row r="276" spans="1:3" ht="13" x14ac:dyDescent="0.15">
      <c r="A276" s="10"/>
      <c r="B276" s="13"/>
      <c r="C276" s="13"/>
    </row>
    <row r="277" spans="1:3" ht="13" x14ac:dyDescent="0.15">
      <c r="A277" s="10"/>
      <c r="B277" s="13"/>
      <c r="C277" s="13"/>
    </row>
    <row r="278" spans="1:3" ht="13" x14ac:dyDescent="0.15">
      <c r="A278" s="10"/>
      <c r="B278" s="13"/>
      <c r="C278" s="13"/>
    </row>
    <row r="279" spans="1:3" ht="13" x14ac:dyDescent="0.15">
      <c r="A279" s="10"/>
      <c r="B279" s="13"/>
      <c r="C279" s="13"/>
    </row>
    <row r="280" spans="1:3" ht="13" x14ac:dyDescent="0.15">
      <c r="A280" s="10"/>
      <c r="B280" s="13"/>
      <c r="C280" s="13"/>
    </row>
    <row r="281" spans="1:3" ht="13" x14ac:dyDescent="0.15">
      <c r="A281" s="10"/>
      <c r="B281" s="13"/>
      <c r="C281" s="13"/>
    </row>
    <row r="282" spans="1:3" ht="13" x14ac:dyDescent="0.15">
      <c r="A282" s="10"/>
      <c r="B282" s="13"/>
      <c r="C282" s="13"/>
    </row>
    <row r="283" spans="1:3" ht="13" x14ac:dyDescent="0.15">
      <c r="A283" s="10"/>
      <c r="B283" s="13"/>
      <c r="C283" s="13"/>
    </row>
    <row r="284" spans="1:3" ht="13" x14ac:dyDescent="0.15">
      <c r="A284" s="10"/>
      <c r="B284" s="13"/>
      <c r="C284" s="13"/>
    </row>
    <row r="285" spans="1:3" ht="13" x14ac:dyDescent="0.15">
      <c r="A285" s="10"/>
      <c r="B285" s="13"/>
      <c r="C285" s="13"/>
    </row>
    <row r="286" spans="1:3" ht="13" x14ac:dyDescent="0.15">
      <c r="A286" s="10"/>
      <c r="B286" s="13"/>
      <c r="C286" s="13"/>
    </row>
    <row r="287" spans="1:3" ht="13" x14ac:dyDescent="0.15">
      <c r="A287" s="10"/>
      <c r="B287" s="13"/>
      <c r="C287" s="13"/>
    </row>
    <row r="288" spans="1:3" ht="13" x14ac:dyDescent="0.15">
      <c r="A288" s="10"/>
      <c r="B288" s="13"/>
      <c r="C288" s="13"/>
    </row>
    <row r="289" spans="1:3" ht="13" x14ac:dyDescent="0.15">
      <c r="A289" s="10"/>
      <c r="B289" s="13"/>
      <c r="C289" s="13"/>
    </row>
    <row r="290" spans="1:3" ht="13" x14ac:dyDescent="0.15">
      <c r="A290" s="10"/>
      <c r="B290" s="13"/>
      <c r="C290" s="13"/>
    </row>
    <row r="291" spans="1:3" ht="13" x14ac:dyDescent="0.15">
      <c r="A291" s="10"/>
      <c r="B291" s="13"/>
      <c r="C291" s="13"/>
    </row>
    <row r="292" spans="1:3" ht="13" x14ac:dyDescent="0.15">
      <c r="A292" s="10"/>
      <c r="B292" s="13"/>
      <c r="C292" s="13"/>
    </row>
    <row r="293" spans="1:3" ht="13" x14ac:dyDescent="0.15">
      <c r="A293" s="10"/>
      <c r="B293" s="13"/>
      <c r="C293" s="13"/>
    </row>
    <row r="294" spans="1:3" ht="13" x14ac:dyDescent="0.15">
      <c r="A294" s="10"/>
      <c r="B294" s="13"/>
      <c r="C294" s="13"/>
    </row>
    <row r="295" spans="1:3" ht="13" x14ac:dyDescent="0.15">
      <c r="A295" s="10"/>
      <c r="B295" s="13"/>
      <c r="C295" s="13"/>
    </row>
    <row r="296" spans="1:3" ht="13" x14ac:dyDescent="0.15">
      <c r="A296" s="10"/>
      <c r="B296" s="13"/>
      <c r="C296" s="13"/>
    </row>
    <row r="297" spans="1:3" ht="13" x14ac:dyDescent="0.15">
      <c r="A297" s="10"/>
      <c r="B297" s="13"/>
      <c r="C297" s="13"/>
    </row>
    <row r="298" spans="1:3" ht="13" x14ac:dyDescent="0.15">
      <c r="A298" s="10"/>
      <c r="B298" s="13"/>
      <c r="C298" s="13"/>
    </row>
    <row r="299" spans="1:3" ht="13" x14ac:dyDescent="0.15">
      <c r="A299" s="10"/>
      <c r="B299" s="13"/>
      <c r="C299" s="13"/>
    </row>
    <row r="300" spans="1:3" ht="13" x14ac:dyDescent="0.15">
      <c r="A300" s="10"/>
      <c r="B300" s="13"/>
      <c r="C300" s="13"/>
    </row>
    <row r="301" spans="1:3" ht="13" x14ac:dyDescent="0.15">
      <c r="A301" s="10"/>
      <c r="B301" s="13"/>
      <c r="C301" s="13"/>
    </row>
    <row r="302" spans="1:3" ht="13" x14ac:dyDescent="0.15">
      <c r="A302" s="10"/>
      <c r="B302" s="13"/>
      <c r="C302" s="13"/>
    </row>
    <row r="303" spans="1:3" ht="13" x14ac:dyDescent="0.15">
      <c r="A303" s="10"/>
      <c r="B303" s="13"/>
      <c r="C303" s="13"/>
    </row>
    <row r="304" spans="1:3" ht="13" x14ac:dyDescent="0.15">
      <c r="A304" s="10"/>
      <c r="B304" s="13"/>
      <c r="C304" s="13"/>
    </row>
    <row r="305" spans="1:3" ht="13" x14ac:dyDescent="0.15">
      <c r="A305" s="10"/>
      <c r="B305" s="13"/>
      <c r="C305" s="13"/>
    </row>
    <row r="306" spans="1:3" ht="13" x14ac:dyDescent="0.15">
      <c r="A306" s="10"/>
      <c r="B306" s="13"/>
      <c r="C306" s="13"/>
    </row>
    <row r="307" spans="1:3" ht="13" x14ac:dyDescent="0.15">
      <c r="A307" s="10"/>
      <c r="B307" s="13"/>
      <c r="C307" s="13"/>
    </row>
    <row r="308" spans="1:3" ht="13" x14ac:dyDescent="0.15">
      <c r="A308" s="10"/>
      <c r="B308" s="13"/>
      <c r="C308" s="13"/>
    </row>
    <row r="309" spans="1:3" ht="13" x14ac:dyDescent="0.15">
      <c r="A309" s="10"/>
      <c r="B309" s="13"/>
      <c r="C309" s="13"/>
    </row>
    <row r="310" spans="1:3" ht="13" x14ac:dyDescent="0.15">
      <c r="A310" s="10"/>
      <c r="B310" s="13"/>
      <c r="C310" s="13"/>
    </row>
    <row r="311" spans="1:3" ht="13" x14ac:dyDescent="0.15">
      <c r="A311" s="10"/>
      <c r="B311" s="13"/>
      <c r="C311" s="13"/>
    </row>
    <row r="312" spans="1:3" ht="13" x14ac:dyDescent="0.15">
      <c r="A312" s="10"/>
      <c r="B312" s="13"/>
      <c r="C312" s="13"/>
    </row>
    <row r="313" spans="1:3" ht="13" x14ac:dyDescent="0.15">
      <c r="A313" s="10"/>
      <c r="B313" s="13"/>
      <c r="C313" s="13"/>
    </row>
    <row r="314" spans="1:3" ht="13" x14ac:dyDescent="0.15">
      <c r="A314" s="10"/>
      <c r="B314" s="13"/>
      <c r="C314" s="13"/>
    </row>
    <row r="315" spans="1:3" ht="13" x14ac:dyDescent="0.15">
      <c r="A315" s="10"/>
      <c r="B315" s="13"/>
      <c r="C315" s="13"/>
    </row>
    <row r="316" spans="1:3" ht="13" x14ac:dyDescent="0.15">
      <c r="A316" s="10"/>
      <c r="B316" s="13"/>
      <c r="C316" s="13"/>
    </row>
    <row r="317" spans="1:3" ht="13" x14ac:dyDescent="0.15">
      <c r="A317" s="10"/>
      <c r="B317" s="13"/>
      <c r="C317" s="13"/>
    </row>
    <row r="318" spans="1:3" ht="13" x14ac:dyDescent="0.15">
      <c r="A318" s="10"/>
      <c r="B318" s="13"/>
      <c r="C318" s="13"/>
    </row>
    <row r="319" spans="1:3" ht="13" x14ac:dyDescent="0.15">
      <c r="A319" s="10"/>
      <c r="B319" s="13"/>
      <c r="C319" s="13"/>
    </row>
    <row r="320" spans="1:3" ht="13" x14ac:dyDescent="0.15">
      <c r="A320" s="10"/>
      <c r="B320" s="13"/>
      <c r="C320" s="13"/>
    </row>
    <row r="321" spans="1:3" ht="13" x14ac:dyDescent="0.15">
      <c r="A321" s="10"/>
      <c r="B321" s="13"/>
      <c r="C321" s="13"/>
    </row>
    <row r="322" spans="1:3" ht="13" x14ac:dyDescent="0.15">
      <c r="A322" s="10"/>
      <c r="B322" s="13"/>
      <c r="C322" s="13"/>
    </row>
    <row r="323" spans="1:3" ht="13" x14ac:dyDescent="0.15">
      <c r="A323" s="10"/>
      <c r="B323" s="13"/>
      <c r="C323" s="13"/>
    </row>
    <row r="324" spans="1:3" ht="13" x14ac:dyDescent="0.15">
      <c r="A324" s="10"/>
      <c r="B324" s="13"/>
      <c r="C324" s="13"/>
    </row>
    <row r="325" spans="1:3" ht="13" x14ac:dyDescent="0.15">
      <c r="A325" s="10"/>
      <c r="B325" s="13"/>
      <c r="C325" s="13"/>
    </row>
    <row r="326" spans="1:3" ht="13" x14ac:dyDescent="0.15">
      <c r="A326" s="10"/>
      <c r="B326" s="13"/>
      <c r="C326" s="13"/>
    </row>
    <row r="327" spans="1:3" ht="13" x14ac:dyDescent="0.15">
      <c r="A327" s="10"/>
      <c r="B327" s="13"/>
      <c r="C327" s="13"/>
    </row>
    <row r="328" spans="1:3" ht="13" x14ac:dyDescent="0.15">
      <c r="A328" s="10"/>
      <c r="B328" s="13"/>
      <c r="C328" s="13"/>
    </row>
    <row r="329" spans="1:3" ht="13" x14ac:dyDescent="0.15">
      <c r="A329" s="10"/>
      <c r="B329" s="13"/>
      <c r="C329" s="13"/>
    </row>
    <row r="330" spans="1:3" ht="13" x14ac:dyDescent="0.15">
      <c r="A330" s="10"/>
      <c r="B330" s="13"/>
      <c r="C330" s="13"/>
    </row>
    <row r="331" spans="1:3" ht="13" x14ac:dyDescent="0.15">
      <c r="A331" s="10"/>
      <c r="B331" s="13"/>
      <c r="C331" s="13"/>
    </row>
    <row r="332" spans="1:3" ht="13" x14ac:dyDescent="0.15">
      <c r="A332" s="10"/>
      <c r="B332" s="13"/>
      <c r="C332" s="13"/>
    </row>
    <row r="333" spans="1:3" ht="13" x14ac:dyDescent="0.15">
      <c r="A333" s="10"/>
      <c r="B333" s="13"/>
      <c r="C333" s="13"/>
    </row>
    <row r="334" spans="1:3" ht="13" x14ac:dyDescent="0.15">
      <c r="A334" s="10"/>
      <c r="B334" s="13"/>
      <c r="C334" s="13"/>
    </row>
    <row r="335" spans="1:3" ht="13" x14ac:dyDescent="0.15">
      <c r="A335" s="10"/>
      <c r="B335" s="13"/>
      <c r="C335" s="13"/>
    </row>
    <row r="336" spans="1:3" ht="13" x14ac:dyDescent="0.15">
      <c r="A336" s="10"/>
      <c r="B336" s="13"/>
      <c r="C336" s="13"/>
    </row>
    <row r="337" spans="1:3" ht="13" x14ac:dyDescent="0.15">
      <c r="A337" s="10"/>
      <c r="B337" s="13"/>
      <c r="C337" s="13"/>
    </row>
    <row r="338" spans="1:3" ht="13" x14ac:dyDescent="0.15">
      <c r="A338" s="10"/>
      <c r="B338" s="13"/>
      <c r="C338" s="13"/>
    </row>
    <row r="339" spans="1:3" ht="13" x14ac:dyDescent="0.15">
      <c r="A339" s="10"/>
      <c r="B339" s="13"/>
      <c r="C339" s="13"/>
    </row>
    <row r="340" spans="1:3" ht="13" x14ac:dyDescent="0.15">
      <c r="A340" s="10"/>
      <c r="B340" s="13"/>
      <c r="C340" s="13"/>
    </row>
    <row r="341" spans="1:3" ht="13" x14ac:dyDescent="0.15">
      <c r="A341" s="10"/>
      <c r="B341" s="13"/>
      <c r="C341" s="13"/>
    </row>
    <row r="342" spans="1:3" ht="13" x14ac:dyDescent="0.15">
      <c r="A342" s="10"/>
      <c r="B342" s="13"/>
      <c r="C342" s="13"/>
    </row>
    <row r="343" spans="1:3" ht="13" x14ac:dyDescent="0.15">
      <c r="A343" s="10"/>
      <c r="B343" s="13"/>
      <c r="C343" s="13"/>
    </row>
    <row r="344" spans="1:3" ht="13" x14ac:dyDescent="0.15">
      <c r="A344" s="10"/>
      <c r="B344" s="13"/>
      <c r="C344" s="13"/>
    </row>
    <row r="345" spans="1:3" ht="13" x14ac:dyDescent="0.15">
      <c r="A345" s="10"/>
      <c r="B345" s="13"/>
      <c r="C345" s="13"/>
    </row>
    <row r="346" spans="1:3" ht="13" x14ac:dyDescent="0.15">
      <c r="A346" s="10"/>
      <c r="B346" s="13"/>
      <c r="C346" s="13"/>
    </row>
    <row r="347" spans="1:3" ht="13" x14ac:dyDescent="0.15">
      <c r="A347" s="10"/>
      <c r="B347" s="13"/>
      <c r="C347" s="13"/>
    </row>
    <row r="348" spans="1:3" ht="13" x14ac:dyDescent="0.15">
      <c r="A348" s="10"/>
      <c r="B348" s="13"/>
      <c r="C348" s="13"/>
    </row>
    <row r="349" spans="1:3" ht="13" x14ac:dyDescent="0.15">
      <c r="A349" s="10"/>
      <c r="B349" s="13"/>
      <c r="C349" s="13"/>
    </row>
    <row r="350" spans="1:3" ht="13" x14ac:dyDescent="0.15">
      <c r="A350" s="10"/>
      <c r="B350" s="13"/>
      <c r="C350" s="13"/>
    </row>
    <row r="351" spans="1:3" ht="13" x14ac:dyDescent="0.15">
      <c r="A351" s="10"/>
      <c r="B351" s="13"/>
      <c r="C351" s="13"/>
    </row>
    <row r="352" spans="1:3" ht="13" x14ac:dyDescent="0.15">
      <c r="A352" s="10"/>
      <c r="B352" s="13"/>
      <c r="C352" s="13"/>
    </row>
    <row r="353" spans="1:3" ht="13" x14ac:dyDescent="0.15">
      <c r="A353" s="10"/>
      <c r="B353" s="13"/>
      <c r="C353" s="13"/>
    </row>
    <row r="354" spans="1:3" ht="13" x14ac:dyDescent="0.15">
      <c r="A354" s="10"/>
      <c r="B354" s="13"/>
      <c r="C354" s="13"/>
    </row>
    <row r="355" spans="1:3" ht="13" x14ac:dyDescent="0.15">
      <c r="A355" s="10"/>
      <c r="B355" s="13"/>
      <c r="C355" s="13"/>
    </row>
    <row r="356" spans="1:3" ht="13" x14ac:dyDescent="0.15">
      <c r="A356" s="10"/>
      <c r="B356" s="13"/>
      <c r="C356" s="13"/>
    </row>
    <row r="357" spans="1:3" ht="13" x14ac:dyDescent="0.15">
      <c r="A357" s="10"/>
      <c r="B357" s="13"/>
      <c r="C357" s="13"/>
    </row>
    <row r="358" spans="1:3" ht="13" x14ac:dyDescent="0.15">
      <c r="A358" s="10"/>
      <c r="B358" s="13"/>
      <c r="C358" s="13"/>
    </row>
    <row r="359" spans="1:3" ht="13" x14ac:dyDescent="0.15">
      <c r="A359" s="10"/>
      <c r="B359" s="13"/>
      <c r="C359" s="13"/>
    </row>
    <row r="360" spans="1:3" ht="13" x14ac:dyDescent="0.15">
      <c r="A360" s="10"/>
      <c r="B360" s="13"/>
      <c r="C360" s="13"/>
    </row>
    <row r="361" spans="1:3" ht="13" x14ac:dyDescent="0.15">
      <c r="A361" s="10"/>
      <c r="B361" s="13"/>
      <c r="C361" s="13"/>
    </row>
    <row r="362" spans="1:3" ht="13" x14ac:dyDescent="0.15">
      <c r="A362" s="10"/>
      <c r="B362" s="13"/>
      <c r="C362" s="13"/>
    </row>
    <row r="363" spans="1:3" ht="13" x14ac:dyDescent="0.15">
      <c r="A363" s="10"/>
      <c r="B363" s="13"/>
      <c r="C363" s="13"/>
    </row>
    <row r="364" spans="1:3" ht="13" x14ac:dyDescent="0.15">
      <c r="A364" s="10"/>
      <c r="B364" s="13"/>
      <c r="C364" s="13"/>
    </row>
    <row r="365" spans="1:3" ht="13" x14ac:dyDescent="0.15">
      <c r="A365" s="10"/>
      <c r="B365" s="13"/>
      <c r="C365" s="13"/>
    </row>
    <row r="366" spans="1:3" ht="13" x14ac:dyDescent="0.15">
      <c r="A366" s="10"/>
      <c r="B366" s="13"/>
      <c r="C366" s="13"/>
    </row>
    <row r="367" spans="1:3" ht="13" x14ac:dyDescent="0.15">
      <c r="A367" s="10"/>
      <c r="B367" s="13"/>
      <c r="C367" s="13"/>
    </row>
    <row r="368" spans="1:3" ht="13" x14ac:dyDescent="0.15">
      <c r="A368" s="10"/>
      <c r="B368" s="13"/>
      <c r="C368" s="13"/>
    </row>
    <row r="369" spans="1:3" ht="13" x14ac:dyDescent="0.15">
      <c r="A369" s="10"/>
      <c r="B369" s="13"/>
      <c r="C369" s="13"/>
    </row>
    <row r="370" spans="1:3" ht="13" x14ac:dyDescent="0.15">
      <c r="A370" s="10"/>
      <c r="B370" s="13"/>
      <c r="C370" s="13"/>
    </row>
    <row r="371" spans="1:3" ht="13" x14ac:dyDescent="0.15">
      <c r="A371" s="10"/>
      <c r="B371" s="13"/>
      <c r="C371" s="13"/>
    </row>
    <row r="372" spans="1:3" ht="13" x14ac:dyDescent="0.15">
      <c r="A372" s="10"/>
      <c r="B372" s="13"/>
      <c r="C372" s="13"/>
    </row>
    <row r="373" spans="1:3" ht="13" x14ac:dyDescent="0.15">
      <c r="A373" s="10"/>
      <c r="B373" s="13"/>
      <c r="C373" s="13"/>
    </row>
    <row r="374" spans="1:3" ht="13" x14ac:dyDescent="0.15">
      <c r="A374" s="10"/>
      <c r="B374" s="13"/>
      <c r="C374" s="13"/>
    </row>
    <row r="375" spans="1:3" ht="13" x14ac:dyDescent="0.15">
      <c r="A375" s="10"/>
      <c r="B375" s="13"/>
      <c r="C375" s="13"/>
    </row>
    <row r="376" spans="1:3" ht="13" x14ac:dyDescent="0.15">
      <c r="A376" s="10"/>
      <c r="B376" s="13"/>
      <c r="C376" s="13"/>
    </row>
    <row r="377" spans="1:3" ht="13" x14ac:dyDescent="0.15">
      <c r="A377" s="10"/>
      <c r="B377" s="13"/>
      <c r="C377" s="13"/>
    </row>
    <row r="378" spans="1:3" ht="13" x14ac:dyDescent="0.15">
      <c r="A378" s="10"/>
      <c r="B378" s="13"/>
      <c r="C378" s="13"/>
    </row>
    <row r="379" spans="1:3" ht="13" x14ac:dyDescent="0.15">
      <c r="A379" s="10"/>
      <c r="B379" s="13"/>
      <c r="C379" s="13"/>
    </row>
    <row r="380" spans="1:3" ht="13" x14ac:dyDescent="0.15">
      <c r="A380" s="10"/>
      <c r="B380" s="13"/>
      <c r="C380" s="13"/>
    </row>
    <row r="381" spans="1:3" ht="13" x14ac:dyDescent="0.15">
      <c r="A381" s="10"/>
      <c r="B381" s="13"/>
      <c r="C381" s="13"/>
    </row>
    <row r="382" spans="1:3" ht="13" x14ac:dyDescent="0.15">
      <c r="A382" s="10"/>
      <c r="B382" s="13"/>
      <c r="C382" s="13"/>
    </row>
    <row r="383" spans="1:3" ht="13" x14ac:dyDescent="0.15">
      <c r="A383" s="10"/>
      <c r="B383" s="13"/>
      <c r="C383" s="13"/>
    </row>
    <row r="384" spans="1:3" ht="13" x14ac:dyDescent="0.15">
      <c r="A384" s="10"/>
      <c r="B384" s="13"/>
      <c r="C384" s="13"/>
    </row>
    <row r="385" spans="1:3" ht="13" x14ac:dyDescent="0.15">
      <c r="A385" s="10"/>
      <c r="B385" s="13"/>
      <c r="C385" s="13"/>
    </row>
    <row r="386" spans="1:3" ht="13" x14ac:dyDescent="0.15">
      <c r="A386" s="10"/>
      <c r="B386" s="13"/>
      <c r="C386" s="13"/>
    </row>
    <row r="387" spans="1:3" ht="13" x14ac:dyDescent="0.15">
      <c r="A387" s="10"/>
      <c r="B387" s="13"/>
      <c r="C387" s="13"/>
    </row>
    <row r="388" spans="1:3" ht="13" x14ac:dyDescent="0.15">
      <c r="A388" s="10"/>
      <c r="B388" s="13"/>
      <c r="C388" s="13"/>
    </row>
    <row r="389" spans="1:3" ht="13" x14ac:dyDescent="0.15">
      <c r="A389" s="10"/>
      <c r="B389" s="13"/>
      <c r="C389" s="13"/>
    </row>
    <row r="390" spans="1:3" ht="13" x14ac:dyDescent="0.15">
      <c r="A390" s="10"/>
      <c r="B390" s="13"/>
      <c r="C390" s="13"/>
    </row>
    <row r="391" spans="1:3" ht="13" x14ac:dyDescent="0.15">
      <c r="A391" s="10"/>
      <c r="B391" s="13"/>
      <c r="C391" s="13"/>
    </row>
    <row r="392" spans="1:3" ht="13" x14ac:dyDescent="0.15">
      <c r="A392" s="10"/>
      <c r="B392" s="13"/>
      <c r="C392" s="13"/>
    </row>
    <row r="393" spans="1:3" ht="13" x14ac:dyDescent="0.15">
      <c r="A393" s="10"/>
      <c r="B393" s="13"/>
      <c r="C393" s="13"/>
    </row>
    <row r="394" spans="1:3" ht="13" x14ac:dyDescent="0.15">
      <c r="A394" s="10"/>
      <c r="B394" s="13"/>
      <c r="C394" s="13"/>
    </row>
    <row r="395" spans="1:3" ht="13" x14ac:dyDescent="0.15">
      <c r="A395" s="10"/>
      <c r="B395" s="13"/>
      <c r="C395" s="13"/>
    </row>
    <row r="396" spans="1:3" ht="13" x14ac:dyDescent="0.15">
      <c r="A396" s="10"/>
      <c r="B396" s="13"/>
      <c r="C396" s="13"/>
    </row>
    <row r="397" spans="1:3" ht="13" x14ac:dyDescent="0.15">
      <c r="A397" s="10"/>
      <c r="B397" s="13"/>
      <c r="C397" s="13"/>
    </row>
    <row r="398" spans="1:3" ht="13" x14ac:dyDescent="0.15">
      <c r="A398" s="10"/>
      <c r="B398" s="13"/>
      <c r="C398" s="13"/>
    </row>
    <row r="399" spans="1:3" ht="13" x14ac:dyDescent="0.15">
      <c r="A399" s="10"/>
      <c r="B399" s="13"/>
      <c r="C399" s="13"/>
    </row>
    <row r="400" spans="1:3" ht="13" x14ac:dyDescent="0.15">
      <c r="A400" s="10"/>
      <c r="B400" s="13"/>
      <c r="C400" s="13"/>
    </row>
    <row r="401" spans="1:3" ht="13" x14ac:dyDescent="0.15">
      <c r="A401" s="10"/>
      <c r="B401" s="13"/>
      <c r="C401" s="13"/>
    </row>
    <row r="402" spans="1:3" ht="13" x14ac:dyDescent="0.15">
      <c r="A402" s="10"/>
      <c r="B402" s="13"/>
      <c r="C402" s="13"/>
    </row>
    <row r="403" spans="1:3" ht="13" x14ac:dyDescent="0.15">
      <c r="A403" s="10"/>
      <c r="B403" s="13"/>
      <c r="C403" s="13"/>
    </row>
    <row r="404" spans="1:3" ht="13" x14ac:dyDescent="0.15">
      <c r="A404" s="10"/>
      <c r="B404" s="13"/>
      <c r="C404" s="13"/>
    </row>
    <row r="405" spans="1:3" ht="13" x14ac:dyDescent="0.15">
      <c r="A405" s="10"/>
      <c r="B405" s="13"/>
      <c r="C405" s="13"/>
    </row>
    <row r="406" spans="1:3" ht="13" x14ac:dyDescent="0.15">
      <c r="A406" s="10"/>
      <c r="B406" s="13"/>
      <c r="C406" s="13"/>
    </row>
    <row r="407" spans="1:3" ht="13" x14ac:dyDescent="0.15">
      <c r="A407" s="10"/>
      <c r="B407" s="13"/>
      <c r="C407" s="13"/>
    </row>
    <row r="408" spans="1:3" ht="13" x14ac:dyDescent="0.15">
      <c r="A408" s="10"/>
      <c r="B408" s="13"/>
      <c r="C408" s="13"/>
    </row>
    <row r="409" spans="1:3" ht="13" x14ac:dyDescent="0.15">
      <c r="A409" s="10"/>
      <c r="B409" s="13"/>
      <c r="C409" s="13"/>
    </row>
    <row r="410" spans="1:3" ht="13" x14ac:dyDescent="0.15">
      <c r="A410" s="10"/>
      <c r="B410" s="13"/>
      <c r="C410" s="13"/>
    </row>
    <row r="411" spans="1:3" ht="13" x14ac:dyDescent="0.15">
      <c r="A411" s="10"/>
      <c r="B411" s="13"/>
      <c r="C411" s="13"/>
    </row>
    <row r="412" spans="1:3" ht="13" x14ac:dyDescent="0.15">
      <c r="A412" s="10"/>
      <c r="B412" s="13"/>
      <c r="C412" s="13"/>
    </row>
    <row r="413" spans="1:3" ht="13" x14ac:dyDescent="0.15">
      <c r="A413" s="10"/>
      <c r="B413" s="13"/>
      <c r="C413" s="13"/>
    </row>
    <row r="414" spans="1:3" ht="13" x14ac:dyDescent="0.15">
      <c r="A414" s="10"/>
      <c r="B414" s="13"/>
      <c r="C414" s="13"/>
    </row>
    <row r="415" spans="1:3" ht="13" x14ac:dyDescent="0.15">
      <c r="A415" s="10"/>
      <c r="B415" s="13"/>
      <c r="C415" s="13"/>
    </row>
    <row r="416" spans="1:3" ht="13" x14ac:dyDescent="0.15">
      <c r="A416" s="10"/>
      <c r="B416" s="13"/>
      <c r="C416" s="13"/>
    </row>
    <row r="417" spans="1:3" ht="13" x14ac:dyDescent="0.15">
      <c r="A417" s="10"/>
      <c r="B417" s="13"/>
      <c r="C417" s="13"/>
    </row>
    <row r="418" spans="1:3" ht="13" x14ac:dyDescent="0.15">
      <c r="A418" s="10"/>
      <c r="B418" s="13"/>
      <c r="C418" s="13"/>
    </row>
    <row r="419" spans="1:3" ht="13" x14ac:dyDescent="0.15">
      <c r="A419" s="10"/>
      <c r="B419" s="13"/>
      <c r="C419" s="13"/>
    </row>
    <row r="420" spans="1:3" ht="13" x14ac:dyDescent="0.15">
      <c r="A420" s="10"/>
      <c r="B420" s="13"/>
      <c r="C420" s="13"/>
    </row>
    <row r="421" spans="1:3" ht="13" x14ac:dyDescent="0.15">
      <c r="A421" s="10"/>
      <c r="B421" s="13"/>
      <c r="C421" s="13"/>
    </row>
    <row r="422" spans="1:3" ht="13" x14ac:dyDescent="0.15">
      <c r="A422" s="10"/>
      <c r="B422" s="13"/>
      <c r="C422" s="13"/>
    </row>
    <row r="423" spans="1:3" ht="13" x14ac:dyDescent="0.15">
      <c r="A423" s="10"/>
      <c r="B423" s="13"/>
      <c r="C423" s="13"/>
    </row>
    <row r="424" spans="1:3" ht="13" x14ac:dyDescent="0.15">
      <c r="A424" s="10"/>
      <c r="B424" s="13"/>
      <c r="C424" s="13"/>
    </row>
    <row r="425" spans="1:3" ht="13" x14ac:dyDescent="0.15">
      <c r="A425" s="10"/>
      <c r="B425" s="13"/>
      <c r="C425" s="13"/>
    </row>
    <row r="426" spans="1:3" ht="13" x14ac:dyDescent="0.15">
      <c r="A426" s="10"/>
      <c r="B426" s="13"/>
      <c r="C426" s="13"/>
    </row>
    <row r="427" spans="1:3" ht="13" x14ac:dyDescent="0.15">
      <c r="A427" s="10"/>
      <c r="B427" s="13"/>
      <c r="C427" s="13"/>
    </row>
    <row r="428" spans="1:3" ht="13" x14ac:dyDescent="0.15">
      <c r="A428" s="10"/>
      <c r="B428" s="13"/>
      <c r="C428" s="13"/>
    </row>
    <row r="429" spans="1:3" ht="13" x14ac:dyDescent="0.15">
      <c r="A429" s="10"/>
      <c r="B429" s="13"/>
      <c r="C429" s="13"/>
    </row>
    <row r="430" spans="1:3" ht="13" x14ac:dyDescent="0.15">
      <c r="A430" s="10"/>
      <c r="B430" s="13"/>
      <c r="C430" s="13"/>
    </row>
    <row r="431" spans="1:3" ht="13" x14ac:dyDescent="0.15">
      <c r="A431" s="10"/>
      <c r="B431" s="13"/>
      <c r="C431" s="13"/>
    </row>
    <row r="432" spans="1:3" ht="13" x14ac:dyDescent="0.15">
      <c r="A432" s="10"/>
      <c r="B432" s="13"/>
      <c r="C432" s="13"/>
    </row>
    <row r="433" spans="1:3" ht="13" x14ac:dyDescent="0.15">
      <c r="A433" s="10"/>
      <c r="B433" s="13"/>
      <c r="C433" s="13"/>
    </row>
    <row r="434" spans="1:3" ht="13" x14ac:dyDescent="0.15">
      <c r="A434" s="10"/>
      <c r="B434" s="13"/>
      <c r="C434" s="13"/>
    </row>
    <row r="435" spans="1:3" ht="13" x14ac:dyDescent="0.15">
      <c r="A435" s="10"/>
      <c r="B435" s="13"/>
      <c r="C435" s="13"/>
    </row>
    <row r="436" spans="1:3" ht="13" x14ac:dyDescent="0.15">
      <c r="A436" s="10"/>
      <c r="B436" s="13"/>
      <c r="C436" s="13"/>
    </row>
    <row r="437" spans="1:3" ht="13" x14ac:dyDescent="0.15">
      <c r="A437" s="10"/>
      <c r="B437" s="13"/>
      <c r="C437" s="13"/>
    </row>
    <row r="438" spans="1:3" ht="13" x14ac:dyDescent="0.15">
      <c r="A438" s="10"/>
      <c r="B438" s="13"/>
      <c r="C438" s="13"/>
    </row>
    <row r="439" spans="1:3" ht="13" x14ac:dyDescent="0.15">
      <c r="A439" s="10"/>
      <c r="B439" s="13"/>
      <c r="C439" s="13"/>
    </row>
    <row r="440" spans="1:3" ht="13" x14ac:dyDescent="0.15">
      <c r="A440" s="10"/>
      <c r="B440" s="13"/>
      <c r="C440" s="13"/>
    </row>
    <row r="441" spans="1:3" ht="13" x14ac:dyDescent="0.15">
      <c r="A441" s="10"/>
      <c r="B441" s="13"/>
      <c r="C441" s="13"/>
    </row>
    <row r="442" spans="1:3" ht="13" x14ac:dyDescent="0.15">
      <c r="A442" s="10"/>
      <c r="B442" s="13"/>
      <c r="C442" s="13"/>
    </row>
    <row r="443" spans="1:3" ht="13" x14ac:dyDescent="0.15">
      <c r="A443" s="10"/>
      <c r="B443" s="13"/>
      <c r="C443" s="13"/>
    </row>
    <row r="444" spans="1:3" ht="13" x14ac:dyDescent="0.15">
      <c r="A444" s="10"/>
      <c r="B444" s="13"/>
      <c r="C444" s="13"/>
    </row>
    <row r="445" spans="1:3" ht="13" x14ac:dyDescent="0.15">
      <c r="A445" s="10"/>
      <c r="B445" s="13"/>
      <c r="C445" s="13"/>
    </row>
    <row r="446" spans="1:3" ht="13" x14ac:dyDescent="0.15">
      <c r="A446" s="10"/>
      <c r="B446" s="13"/>
      <c r="C446" s="13"/>
    </row>
    <row r="447" spans="1:3" ht="13" x14ac:dyDescent="0.15">
      <c r="A447" s="10"/>
      <c r="B447" s="13"/>
      <c r="C447" s="13"/>
    </row>
    <row r="448" spans="1:3" ht="13" x14ac:dyDescent="0.15">
      <c r="A448" s="10"/>
      <c r="B448" s="13"/>
      <c r="C448" s="13"/>
    </row>
    <row r="449" spans="1:3" ht="13" x14ac:dyDescent="0.15">
      <c r="A449" s="10"/>
      <c r="B449" s="13"/>
      <c r="C449" s="13"/>
    </row>
    <row r="450" spans="1:3" ht="13" x14ac:dyDescent="0.15">
      <c r="A450" s="10"/>
      <c r="B450" s="13"/>
      <c r="C450" s="13"/>
    </row>
    <row r="451" spans="1:3" ht="13" x14ac:dyDescent="0.15">
      <c r="A451" s="10"/>
      <c r="B451" s="13"/>
      <c r="C451" s="13"/>
    </row>
    <row r="452" spans="1:3" ht="13" x14ac:dyDescent="0.15">
      <c r="A452" s="10"/>
      <c r="B452" s="13"/>
      <c r="C452" s="13"/>
    </row>
    <row r="453" spans="1:3" ht="13" x14ac:dyDescent="0.15">
      <c r="A453" s="10"/>
      <c r="B453" s="13"/>
      <c r="C453" s="13"/>
    </row>
    <row r="454" spans="1:3" ht="13" x14ac:dyDescent="0.15">
      <c r="A454" s="10"/>
      <c r="B454" s="13"/>
      <c r="C454" s="13"/>
    </row>
    <row r="455" spans="1:3" ht="13" x14ac:dyDescent="0.15">
      <c r="A455" s="10"/>
      <c r="B455" s="13"/>
      <c r="C455" s="13"/>
    </row>
    <row r="456" spans="1:3" ht="13" x14ac:dyDescent="0.15">
      <c r="A456" s="10"/>
      <c r="B456" s="13"/>
      <c r="C456" s="13"/>
    </row>
    <row r="457" spans="1:3" ht="13" x14ac:dyDescent="0.15">
      <c r="A457" s="10"/>
      <c r="B457" s="13"/>
      <c r="C457" s="13"/>
    </row>
    <row r="458" spans="1:3" ht="13" x14ac:dyDescent="0.15">
      <c r="A458" s="10"/>
      <c r="B458" s="13"/>
      <c r="C458" s="13"/>
    </row>
    <row r="459" spans="1:3" ht="13" x14ac:dyDescent="0.15">
      <c r="A459" s="10"/>
      <c r="B459" s="13"/>
      <c r="C459" s="13"/>
    </row>
    <row r="460" spans="1:3" ht="13" x14ac:dyDescent="0.15">
      <c r="A460" s="10"/>
      <c r="B460" s="13"/>
      <c r="C460" s="13"/>
    </row>
    <row r="461" spans="1:3" ht="13" x14ac:dyDescent="0.15">
      <c r="A461" s="10"/>
      <c r="B461" s="13"/>
      <c r="C461" s="13"/>
    </row>
    <row r="462" spans="1:3" ht="13" x14ac:dyDescent="0.15">
      <c r="A462" s="10"/>
      <c r="B462" s="13"/>
      <c r="C462" s="13"/>
    </row>
    <row r="463" spans="1:3" ht="13" x14ac:dyDescent="0.15">
      <c r="A463" s="10"/>
      <c r="B463" s="13"/>
      <c r="C463" s="13"/>
    </row>
    <row r="464" spans="1:3" ht="13" x14ac:dyDescent="0.15">
      <c r="A464" s="10"/>
      <c r="B464" s="13"/>
      <c r="C464" s="13"/>
    </row>
    <row r="465" spans="1:3" ht="13" x14ac:dyDescent="0.15">
      <c r="A465" s="10"/>
      <c r="B465" s="13"/>
      <c r="C465" s="13"/>
    </row>
    <row r="466" spans="1:3" ht="13" x14ac:dyDescent="0.15">
      <c r="A466" s="10"/>
      <c r="B466" s="13"/>
      <c r="C466" s="13"/>
    </row>
    <row r="467" spans="1:3" ht="13" x14ac:dyDescent="0.15">
      <c r="A467" s="10"/>
      <c r="B467" s="13"/>
      <c r="C467" s="13"/>
    </row>
    <row r="468" spans="1:3" ht="13" x14ac:dyDescent="0.15">
      <c r="A468" s="10"/>
      <c r="B468" s="13"/>
      <c r="C468" s="13"/>
    </row>
    <row r="469" spans="1:3" ht="13" x14ac:dyDescent="0.15">
      <c r="A469" s="10"/>
      <c r="B469" s="13"/>
      <c r="C469" s="13"/>
    </row>
    <row r="470" spans="1:3" ht="13" x14ac:dyDescent="0.15">
      <c r="A470" s="10"/>
      <c r="B470" s="13"/>
      <c r="C470" s="13"/>
    </row>
    <row r="471" spans="1:3" ht="13" x14ac:dyDescent="0.15">
      <c r="A471" s="10"/>
      <c r="B471" s="13"/>
      <c r="C471" s="13"/>
    </row>
    <row r="472" spans="1:3" ht="13" x14ac:dyDescent="0.15">
      <c r="A472" s="10"/>
      <c r="B472" s="13"/>
      <c r="C472" s="13"/>
    </row>
    <row r="473" spans="1:3" ht="13" x14ac:dyDescent="0.15">
      <c r="A473" s="10"/>
      <c r="B473" s="13"/>
      <c r="C473" s="13"/>
    </row>
    <row r="474" spans="1:3" ht="13" x14ac:dyDescent="0.15">
      <c r="A474" s="10"/>
      <c r="B474" s="13"/>
      <c r="C474" s="13"/>
    </row>
    <row r="475" spans="1:3" ht="13" x14ac:dyDescent="0.15">
      <c r="A475" s="10"/>
      <c r="B475" s="13"/>
      <c r="C475" s="13"/>
    </row>
    <row r="476" spans="1:3" ht="13" x14ac:dyDescent="0.15">
      <c r="A476" s="10"/>
      <c r="B476" s="13"/>
      <c r="C476" s="13"/>
    </row>
    <row r="477" spans="1:3" ht="13" x14ac:dyDescent="0.15">
      <c r="A477" s="10"/>
      <c r="B477" s="13"/>
      <c r="C477" s="13"/>
    </row>
    <row r="478" spans="1:3" ht="13" x14ac:dyDescent="0.15">
      <c r="A478" s="10"/>
      <c r="B478" s="13"/>
      <c r="C478" s="13"/>
    </row>
    <row r="479" spans="1:3" ht="13" x14ac:dyDescent="0.15">
      <c r="A479" s="10"/>
      <c r="B479" s="13"/>
      <c r="C479" s="13"/>
    </row>
    <row r="480" spans="1:3" ht="13" x14ac:dyDescent="0.15">
      <c r="A480" s="10"/>
      <c r="B480" s="13"/>
      <c r="C480" s="13"/>
    </row>
    <row r="481" spans="1:3" ht="13" x14ac:dyDescent="0.15">
      <c r="A481" s="10"/>
      <c r="B481" s="13"/>
      <c r="C481" s="13"/>
    </row>
    <row r="482" spans="1:3" ht="13" x14ac:dyDescent="0.15">
      <c r="A482" s="10"/>
      <c r="B482" s="13"/>
      <c r="C482" s="13"/>
    </row>
    <row r="483" spans="1:3" ht="13" x14ac:dyDescent="0.15">
      <c r="A483" s="10"/>
      <c r="B483" s="13"/>
      <c r="C483" s="13"/>
    </row>
    <row r="484" spans="1:3" ht="13" x14ac:dyDescent="0.15">
      <c r="A484" s="10"/>
      <c r="B484" s="13"/>
      <c r="C484" s="13"/>
    </row>
    <row r="485" spans="1:3" ht="13" x14ac:dyDescent="0.15">
      <c r="A485" s="10"/>
      <c r="B485" s="13"/>
      <c r="C485" s="13"/>
    </row>
    <row r="486" spans="1:3" ht="13" x14ac:dyDescent="0.15">
      <c r="A486" s="10"/>
      <c r="B486" s="13"/>
      <c r="C486" s="13"/>
    </row>
    <row r="487" spans="1:3" ht="13" x14ac:dyDescent="0.15">
      <c r="A487" s="10"/>
      <c r="B487" s="13"/>
      <c r="C487" s="13"/>
    </row>
    <row r="488" spans="1:3" ht="13" x14ac:dyDescent="0.15">
      <c r="A488" s="10"/>
      <c r="B488" s="13"/>
      <c r="C488" s="13"/>
    </row>
    <row r="489" spans="1:3" ht="13" x14ac:dyDescent="0.15">
      <c r="A489" s="10"/>
      <c r="B489" s="13"/>
      <c r="C489" s="13"/>
    </row>
    <row r="490" spans="1:3" ht="13" x14ac:dyDescent="0.15">
      <c r="A490" s="10"/>
      <c r="B490" s="13"/>
      <c r="C490" s="13"/>
    </row>
    <row r="491" spans="1:3" ht="13" x14ac:dyDescent="0.15">
      <c r="A491" s="10"/>
      <c r="B491" s="13"/>
      <c r="C491" s="13"/>
    </row>
    <row r="492" spans="1:3" ht="13" x14ac:dyDescent="0.15">
      <c r="A492" s="10"/>
      <c r="B492" s="13"/>
      <c r="C492" s="13"/>
    </row>
    <row r="493" spans="1:3" ht="13" x14ac:dyDescent="0.15">
      <c r="A493" s="10"/>
      <c r="B493" s="13"/>
      <c r="C493" s="13"/>
    </row>
    <row r="494" spans="1:3" ht="13" x14ac:dyDescent="0.15">
      <c r="A494" s="10"/>
      <c r="B494" s="13"/>
      <c r="C494" s="13"/>
    </row>
    <row r="495" spans="1:3" ht="13" x14ac:dyDescent="0.15">
      <c r="A495" s="10"/>
      <c r="B495" s="13"/>
      <c r="C495" s="13"/>
    </row>
    <row r="496" spans="1:3" ht="13" x14ac:dyDescent="0.15">
      <c r="A496" s="10"/>
      <c r="B496" s="13"/>
      <c r="C496" s="13"/>
    </row>
    <row r="497" spans="1:3" ht="13" x14ac:dyDescent="0.15">
      <c r="A497" s="10"/>
      <c r="B497" s="13"/>
      <c r="C497" s="13"/>
    </row>
    <row r="498" spans="1:3" ht="13" x14ac:dyDescent="0.15">
      <c r="A498" s="10"/>
      <c r="B498" s="13"/>
      <c r="C498" s="13"/>
    </row>
    <row r="499" spans="1:3" ht="13" x14ac:dyDescent="0.15">
      <c r="A499" s="10"/>
      <c r="B499" s="13"/>
      <c r="C499" s="13"/>
    </row>
    <row r="500" spans="1:3" ht="13" x14ac:dyDescent="0.15">
      <c r="A500" s="10"/>
      <c r="B500" s="13"/>
      <c r="C500" s="13"/>
    </row>
    <row r="501" spans="1:3" ht="13" x14ac:dyDescent="0.15">
      <c r="A501" s="10"/>
      <c r="B501" s="13"/>
      <c r="C501" s="13"/>
    </row>
    <row r="502" spans="1:3" ht="13" x14ac:dyDescent="0.15">
      <c r="A502" s="10"/>
      <c r="B502" s="13"/>
      <c r="C502" s="13"/>
    </row>
    <row r="503" spans="1:3" ht="13" x14ac:dyDescent="0.15">
      <c r="A503" s="10"/>
      <c r="B503" s="13"/>
      <c r="C503" s="13"/>
    </row>
    <row r="504" spans="1:3" ht="13" x14ac:dyDescent="0.15">
      <c r="A504" s="10"/>
      <c r="B504" s="13"/>
      <c r="C504" s="13"/>
    </row>
    <row r="505" spans="1:3" ht="13" x14ac:dyDescent="0.15">
      <c r="A505" s="10"/>
      <c r="B505" s="13"/>
      <c r="C505" s="13"/>
    </row>
    <row r="506" spans="1:3" ht="13" x14ac:dyDescent="0.15">
      <c r="A506" s="10"/>
      <c r="B506" s="13"/>
      <c r="C506" s="13"/>
    </row>
    <row r="507" spans="1:3" ht="13" x14ac:dyDescent="0.15">
      <c r="A507" s="10"/>
      <c r="B507" s="13"/>
      <c r="C507" s="13"/>
    </row>
    <row r="508" spans="1:3" ht="13" x14ac:dyDescent="0.15">
      <c r="A508" s="10"/>
      <c r="B508" s="13"/>
      <c r="C508" s="13"/>
    </row>
    <row r="509" spans="1:3" ht="13" x14ac:dyDescent="0.15">
      <c r="A509" s="10"/>
      <c r="B509" s="13"/>
      <c r="C509" s="13"/>
    </row>
    <row r="510" spans="1:3" ht="13" x14ac:dyDescent="0.15">
      <c r="A510" s="10"/>
      <c r="B510" s="13"/>
      <c r="C510" s="13"/>
    </row>
    <row r="511" spans="1:3" ht="13" x14ac:dyDescent="0.15">
      <c r="A511" s="10"/>
      <c r="B511" s="13"/>
      <c r="C511" s="13"/>
    </row>
    <row r="512" spans="1:3" ht="13" x14ac:dyDescent="0.15">
      <c r="A512" s="10"/>
      <c r="B512" s="13"/>
      <c r="C512" s="13"/>
    </row>
    <row r="513" spans="1:3" ht="13" x14ac:dyDescent="0.15">
      <c r="A513" s="10"/>
      <c r="B513" s="13"/>
      <c r="C513" s="13"/>
    </row>
    <row r="514" spans="1:3" ht="13" x14ac:dyDescent="0.15">
      <c r="A514" s="10"/>
      <c r="B514" s="13"/>
      <c r="C514" s="13"/>
    </row>
    <row r="515" spans="1:3" ht="13" x14ac:dyDescent="0.15">
      <c r="A515" s="10"/>
      <c r="B515" s="13"/>
      <c r="C515" s="13"/>
    </row>
    <row r="516" spans="1:3" ht="13" x14ac:dyDescent="0.15">
      <c r="A516" s="10"/>
      <c r="B516" s="13"/>
      <c r="C516" s="13"/>
    </row>
    <row r="517" spans="1:3" ht="13" x14ac:dyDescent="0.15">
      <c r="A517" s="10"/>
      <c r="B517" s="13"/>
      <c r="C517" s="13"/>
    </row>
    <row r="518" spans="1:3" ht="13" x14ac:dyDescent="0.15">
      <c r="A518" s="10"/>
      <c r="B518" s="13"/>
      <c r="C518" s="13"/>
    </row>
    <row r="519" spans="1:3" ht="13" x14ac:dyDescent="0.15">
      <c r="A519" s="10"/>
      <c r="B519" s="13"/>
      <c r="C519" s="13"/>
    </row>
    <row r="520" spans="1:3" ht="13" x14ac:dyDescent="0.15">
      <c r="A520" s="10"/>
      <c r="B520" s="13"/>
      <c r="C520" s="13"/>
    </row>
    <row r="521" spans="1:3" ht="13" x14ac:dyDescent="0.15">
      <c r="A521" s="10"/>
      <c r="B521" s="13"/>
      <c r="C521" s="13"/>
    </row>
    <row r="522" spans="1:3" ht="13" x14ac:dyDescent="0.15">
      <c r="A522" s="10"/>
      <c r="B522" s="13"/>
      <c r="C522" s="13"/>
    </row>
    <row r="523" spans="1:3" ht="13" x14ac:dyDescent="0.15">
      <c r="A523" s="10"/>
      <c r="B523" s="13"/>
      <c r="C523" s="13"/>
    </row>
    <row r="524" spans="1:3" ht="13" x14ac:dyDescent="0.15">
      <c r="A524" s="10"/>
      <c r="B524" s="13"/>
      <c r="C524" s="13"/>
    </row>
    <row r="525" spans="1:3" ht="13" x14ac:dyDescent="0.15">
      <c r="A525" s="10"/>
      <c r="B525" s="13"/>
      <c r="C525" s="13"/>
    </row>
    <row r="526" spans="1:3" ht="13" x14ac:dyDescent="0.15">
      <c r="A526" s="10"/>
      <c r="B526" s="13"/>
      <c r="C526" s="13"/>
    </row>
    <row r="527" spans="1:3" ht="13" x14ac:dyDescent="0.15">
      <c r="A527" s="10"/>
      <c r="B527" s="13"/>
      <c r="C527" s="13"/>
    </row>
    <row r="528" spans="1:3" ht="13" x14ac:dyDescent="0.15">
      <c r="A528" s="10"/>
      <c r="B528" s="13"/>
      <c r="C528" s="13"/>
    </row>
    <row r="529" spans="1:3" ht="13" x14ac:dyDescent="0.15">
      <c r="A529" s="10"/>
      <c r="B529" s="13"/>
      <c r="C529" s="13"/>
    </row>
    <row r="530" spans="1:3" ht="13" x14ac:dyDescent="0.15">
      <c r="A530" s="10"/>
      <c r="B530" s="13"/>
      <c r="C530" s="13"/>
    </row>
    <row r="531" spans="1:3" ht="13" x14ac:dyDescent="0.15">
      <c r="A531" s="10"/>
      <c r="B531" s="13"/>
      <c r="C531" s="13"/>
    </row>
    <row r="532" spans="1:3" ht="13" x14ac:dyDescent="0.15">
      <c r="A532" s="10"/>
      <c r="B532" s="13"/>
      <c r="C532" s="13"/>
    </row>
    <row r="533" spans="1:3" ht="13" x14ac:dyDescent="0.15">
      <c r="A533" s="10"/>
      <c r="B533" s="13"/>
      <c r="C533" s="13"/>
    </row>
    <row r="534" spans="1:3" ht="13" x14ac:dyDescent="0.15">
      <c r="A534" s="10"/>
      <c r="B534" s="13"/>
      <c r="C534" s="13"/>
    </row>
    <row r="535" spans="1:3" ht="13" x14ac:dyDescent="0.15">
      <c r="A535" s="10"/>
      <c r="B535" s="13"/>
      <c r="C535" s="13"/>
    </row>
    <row r="536" spans="1:3" ht="13" x14ac:dyDescent="0.15">
      <c r="A536" s="10"/>
      <c r="B536" s="13"/>
      <c r="C536" s="13"/>
    </row>
    <row r="537" spans="1:3" ht="13" x14ac:dyDescent="0.15">
      <c r="A537" s="10"/>
      <c r="B537" s="13"/>
      <c r="C537" s="13"/>
    </row>
    <row r="538" spans="1:3" ht="13" x14ac:dyDescent="0.15">
      <c r="A538" s="10"/>
      <c r="B538" s="13"/>
      <c r="C538" s="13"/>
    </row>
    <row r="539" spans="1:3" ht="13" x14ac:dyDescent="0.15">
      <c r="A539" s="10"/>
      <c r="B539" s="13"/>
      <c r="C539" s="13"/>
    </row>
    <row r="540" spans="1:3" ht="13" x14ac:dyDescent="0.15">
      <c r="A540" s="10"/>
      <c r="B540" s="13"/>
      <c r="C540" s="13"/>
    </row>
    <row r="541" spans="1:3" ht="13" x14ac:dyDescent="0.15">
      <c r="A541" s="10"/>
      <c r="B541" s="13"/>
      <c r="C541" s="13"/>
    </row>
    <row r="542" spans="1:3" ht="13" x14ac:dyDescent="0.15">
      <c r="A542" s="10"/>
      <c r="B542" s="13"/>
      <c r="C542" s="13"/>
    </row>
    <row r="543" spans="1:3" ht="13" x14ac:dyDescent="0.15">
      <c r="A543" s="10"/>
      <c r="B543" s="13"/>
      <c r="C543" s="13"/>
    </row>
    <row r="544" spans="1:3" ht="13" x14ac:dyDescent="0.15">
      <c r="A544" s="10"/>
      <c r="B544" s="13"/>
      <c r="C544" s="13"/>
    </row>
    <row r="545" spans="1:3" ht="13" x14ac:dyDescent="0.15">
      <c r="A545" s="10"/>
      <c r="B545" s="13"/>
      <c r="C545" s="13"/>
    </row>
    <row r="546" spans="1:3" ht="13" x14ac:dyDescent="0.15">
      <c r="A546" s="10"/>
      <c r="B546" s="13"/>
      <c r="C546" s="13"/>
    </row>
    <row r="547" spans="1:3" ht="13" x14ac:dyDescent="0.15">
      <c r="A547" s="10"/>
      <c r="B547" s="13"/>
      <c r="C547" s="13"/>
    </row>
    <row r="548" spans="1:3" ht="13" x14ac:dyDescent="0.15">
      <c r="A548" s="10"/>
      <c r="B548" s="13"/>
      <c r="C548" s="13"/>
    </row>
    <row r="549" spans="1:3" ht="13" x14ac:dyDescent="0.15">
      <c r="A549" s="10"/>
      <c r="B549" s="13"/>
      <c r="C549" s="13"/>
    </row>
    <row r="550" spans="1:3" ht="13" x14ac:dyDescent="0.15">
      <c r="A550" s="10"/>
      <c r="B550" s="13"/>
      <c r="C550" s="13"/>
    </row>
    <row r="551" spans="1:3" ht="13" x14ac:dyDescent="0.15">
      <c r="A551" s="10"/>
      <c r="B551" s="13"/>
      <c r="C551" s="13"/>
    </row>
    <row r="552" spans="1:3" ht="13" x14ac:dyDescent="0.15">
      <c r="A552" s="10"/>
      <c r="B552" s="13"/>
      <c r="C552" s="13"/>
    </row>
    <row r="553" spans="1:3" ht="13" x14ac:dyDescent="0.15">
      <c r="A553" s="10"/>
      <c r="B553" s="13"/>
      <c r="C553" s="13"/>
    </row>
    <row r="554" spans="1:3" ht="13" x14ac:dyDescent="0.15">
      <c r="A554" s="10"/>
      <c r="B554" s="13"/>
      <c r="C554" s="13"/>
    </row>
    <row r="555" spans="1:3" ht="13" x14ac:dyDescent="0.15">
      <c r="A555" s="10"/>
      <c r="B555" s="13"/>
      <c r="C555" s="13"/>
    </row>
    <row r="556" spans="1:3" ht="13" x14ac:dyDescent="0.15">
      <c r="A556" s="10"/>
      <c r="B556" s="13"/>
      <c r="C556" s="13"/>
    </row>
    <row r="557" spans="1:3" ht="13" x14ac:dyDescent="0.15">
      <c r="A557" s="10"/>
      <c r="B557" s="13"/>
      <c r="C557" s="13"/>
    </row>
    <row r="558" spans="1:3" ht="13" x14ac:dyDescent="0.15">
      <c r="A558" s="10"/>
      <c r="B558" s="13"/>
      <c r="C558" s="13"/>
    </row>
    <row r="559" spans="1:3" ht="13" x14ac:dyDescent="0.15">
      <c r="A559" s="10"/>
      <c r="B559" s="13"/>
      <c r="C559" s="13"/>
    </row>
    <row r="560" spans="1:3" ht="13" x14ac:dyDescent="0.15">
      <c r="A560" s="10"/>
      <c r="B560" s="13"/>
      <c r="C560" s="13"/>
    </row>
    <row r="561" spans="1:3" ht="13" x14ac:dyDescent="0.15">
      <c r="A561" s="10"/>
      <c r="B561" s="13"/>
      <c r="C561" s="13"/>
    </row>
    <row r="562" spans="1:3" ht="13" x14ac:dyDescent="0.15">
      <c r="A562" s="10"/>
      <c r="B562" s="13"/>
      <c r="C562" s="13"/>
    </row>
    <row r="563" spans="1:3" ht="13" x14ac:dyDescent="0.15">
      <c r="A563" s="10"/>
      <c r="B563" s="13"/>
      <c r="C563" s="13"/>
    </row>
    <row r="564" spans="1:3" ht="13" x14ac:dyDescent="0.15">
      <c r="A564" s="10"/>
      <c r="B564" s="13"/>
      <c r="C564" s="13"/>
    </row>
    <row r="565" spans="1:3" ht="13" x14ac:dyDescent="0.15">
      <c r="A565" s="10"/>
      <c r="B565" s="13"/>
      <c r="C565" s="13"/>
    </row>
    <row r="566" spans="1:3" ht="13" x14ac:dyDescent="0.15">
      <c r="A566" s="10"/>
      <c r="B566" s="13"/>
      <c r="C566" s="13"/>
    </row>
    <row r="567" spans="1:3" ht="13" x14ac:dyDescent="0.15">
      <c r="A567" s="10"/>
      <c r="B567" s="13"/>
      <c r="C567" s="13"/>
    </row>
    <row r="568" spans="1:3" ht="13" x14ac:dyDescent="0.15">
      <c r="A568" s="10"/>
      <c r="B568" s="13"/>
      <c r="C568" s="13"/>
    </row>
    <row r="569" spans="1:3" ht="13" x14ac:dyDescent="0.15">
      <c r="A569" s="10"/>
      <c r="B569" s="13"/>
      <c r="C569" s="13"/>
    </row>
    <row r="570" spans="1:3" ht="13" x14ac:dyDescent="0.15">
      <c r="A570" s="10"/>
      <c r="B570" s="13"/>
      <c r="C570" s="13"/>
    </row>
    <row r="571" spans="1:3" ht="13" x14ac:dyDescent="0.15">
      <c r="A571" s="10"/>
      <c r="B571" s="13"/>
      <c r="C571" s="13"/>
    </row>
    <row r="572" spans="1:3" ht="13" x14ac:dyDescent="0.15">
      <c r="A572" s="10"/>
      <c r="B572" s="13"/>
      <c r="C572" s="13"/>
    </row>
    <row r="573" spans="1:3" ht="13" x14ac:dyDescent="0.15">
      <c r="A573" s="10"/>
      <c r="B573" s="13"/>
      <c r="C573" s="13"/>
    </row>
    <row r="574" spans="1:3" ht="13" x14ac:dyDescent="0.15">
      <c r="A574" s="10"/>
      <c r="B574" s="13"/>
      <c r="C574" s="13"/>
    </row>
    <row r="575" spans="1:3" ht="13" x14ac:dyDescent="0.15">
      <c r="A575" s="10"/>
      <c r="B575" s="13"/>
      <c r="C575" s="13"/>
    </row>
    <row r="576" spans="1:3" ht="13" x14ac:dyDescent="0.15">
      <c r="A576" s="10"/>
      <c r="B576" s="13"/>
      <c r="C576" s="13"/>
    </row>
    <row r="577" spans="1:3" ht="13" x14ac:dyDescent="0.15">
      <c r="A577" s="10"/>
      <c r="B577" s="13"/>
      <c r="C577" s="13"/>
    </row>
    <row r="578" spans="1:3" ht="13" x14ac:dyDescent="0.15">
      <c r="A578" s="10"/>
      <c r="B578" s="13"/>
      <c r="C578" s="13"/>
    </row>
    <row r="579" spans="1:3" ht="13" x14ac:dyDescent="0.15">
      <c r="A579" s="10"/>
      <c r="B579" s="13"/>
      <c r="C579" s="13"/>
    </row>
    <row r="580" spans="1:3" ht="13" x14ac:dyDescent="0.15">
      <c r="A580" s="10"/>
      <c r="B580" s="13"/>
      <c r="C580" s="13"/>
    </row>
    <row r="581" spans="1:3" ht="13" x14ac:dyDescent="0.15">
      <c r="A581" s="10"/>
      <c r="B581" s="13"/>
      <c r="C581" s="13"/>
    </row>
    <row r="582" spans="1:3" ht="13" x14ac:dyDescent="0.15">
      <c r="A582" s="10"/>
      <c r="B582" s="13"/>
      <c r="C582" s="13"/>
    </row>
    <row r="583" spans="1:3" ht="13" x14ac:dyDescent="0.15">
      <c r="A583" s="10"/>
      <c r="B583" s="13"/>
      <c r="C583" s="13"/>
    </row>
    <row r="584" spans="1:3" ht="13" x14ac:dyDescent="0.15">
      <c r="A584" s="10"/>
      <c r="B584" s="13"/>
      <c r="C584" s="13"/>
    </row>
    <row r="585" spans="1:3" ht="13" x14ac:dyDescent="0.15">
      <c r="A585" s="10"/>
      <c r="B585" s="13"/>
      <c r="C585" s="13"/>
    </row>
    <row r="586" spans="1:3" ht="13" x14ac:dyDescent="0.15">
      <c r="A586" s="10"/>
      <c r="B586" s="13"/>
      <c r="C586" s="13"/>
    </row>
    <row r="587" spans="1:3" ht="13" x14ac:dyDescent="0.15">
      <c r="A587" s="10"/>
      <c r="B587" s="13"/>
      <c r="C587" s="13"/>
    </row>
    <row r="588" spans="1:3" ht="13" x14ac:dyDescent="0.15">
      <c r="A588" s="10"/>
      <c r="B588" s="13"/>
      <c r="C588" s="13"/>
    </row>
    <row r="589" spans="1:3" ht="13" x14ac:dyDescent="0.15">
      <c r="A589" s="10"/>
      <c r="B589" s="13"/>
      <c r="C589" s="13"/>
    </row>
    <row r="590" spans="1:3" ht="13" x14ac:dyDescent="0.15">
      <c r="A590" s="10"/>
      <c r="B590" s="13"/>
      <c r="C590" s="13"/>
    </row>
    <row r="591" spans="1:3" ht="13" x14ac:dyDescent="0.15">
      <c r="A591" s="10"/>
      <c r="B591" s="13"/>
      <c r="C591" s="13"/>
    </row>
    <row r="592" spans="1:3" ht="13" x14ac:dyDescent="0.15">
      <c r="A592" s="10"/>
      <c r="B592" s="13"/>
      <c r="C592" s="13"/>
    </row>
    <row r="593" spans="1:3" ht="13" x14ac:dyDescent="0.15">
      <c r="A593" s="10"/>
      <c r="B593" s="13"/>
      <c r="C593" s="13"/>
    </row>
    <row r="594" spans="1:3" ht="13" x14ac:dyDescent="0.15">
      <c r="A594" s="10"/>
      <c r="B594" s="13"/>
      <c r="C594" s="13"/>
    </row>
    <row r="595" spans="1:3" ht="13" x14ac:dyDescent="0.15">
      <c r="A595" s="10"/>
      <c r="B595" s="13"/>
      <c r="C595" s="13"/>
    </row>
    <row r="596" spans="1:3" ht="13" x14ac:dyDescent="0.15">
      <c r="A596" s="10"/>
      <c r="B596" s="13"/>
      <c r="C596" s="13"/>
    </row>
    <row r="597" spans="1:3" ht="13" x14ac:dyDescent="0.15">
      <c r="A597" s="10"/>
      <c r="B597" s="13"/>
      <c r="C597" s="13"/>
    </row>
    <row r="598" spans="1:3" ht="13" x14ac:dyDescent="0.15">
      <c r="A598" s="10"/>
      <c r="B598" s="13"/>
      <c r="C598" s="13"/>
    </row>
    <row r="599" spans="1:3" ht="13" x14ac:dyDescent="0.15">
      <c r="A599" s="10"/>
      <c r="B599" s="13"/>
      <c r="C599" s="13"/>
    </row>
    <row r="600" spans="1:3" ht="13" x14ac:dyDescent="0.15">
      <c r="A600" s="10"/>
      <c r="B600" s="13"/>
      <c r="C600" s="13"/>
    </row>
    <row r="601" spans="1:3" ht="13" x14ac:dyDescent="0.15">
      <c r="A601" s="10"/>
      <c r="B601" s="13"/>
      <c r="C601" s="13"/>
    </row>
    <row r="602" spans="1:3" ht="13" x14ac:dyDescent="0.15">
      <c r="A602" s="10"/>
      <c r="B602" s="13"/>
      <c r="C602" s="13"/>
    </row>
    <row r="603" spans="1:3" ht="13" x14ac:dyDescent="0.15">
      <c r="A603" s="10"/>
      <c r="B603" s="13"/>
      <c r="C603" s="13"/>
    </row>
    <row r="604" spans="1:3" ht="13" x14ac:dyDescent="0.15">
      <c r="A604" s="10"/>
      <c r="B604" s="13"/>
      <c r="C604" s="13"/>
    </row>
    <row r="605" spans="1:3" ht="13" x14ac:dyDescent="0.15">
      <c r="A605" s="10"/>
      <c r="B605" s="13"/>
      <c r="C605" s="13"/>
    </row>
    <row r="606" spans="1:3" ht="13" x14ac:dyDescent="0.15">
      <c r="A606" s="10"/>
      <c r="B606" s="13"/>
      <c r="C606" s="13"/>
    </row>
    <row r="607" spans="1:3" ht="13" x14ac:dyDescent="0.15">
      <c r="A607" s="10"/>
      <c r="B607" s="13"/>
      <c r="C607" s="13"/>
    </row>
    <row r="608" spans="1:3" ht="13" x14ac:dyDescent="0.15">
      <c r="A608" s="10"/>
      <c r="B608" s="13"/>
      <c r="C608" s="13"/>
    </row>
    <row r="609" spans="1:3" ht="13" x14ac:dyDescent="0.15">
      <c r="A609" s="10"/>
      <c r="B609" s="13"/>
      <c r="C609" s="13"/>
    </row>
    <row r="610" spans="1:3" ht="13" x14ac:dyDescent="0.15">
      <c r="A610" s="10"/>
      <c r="B610" s="13"/>
      <c r="C610" s="13"/>
    </row>
    <row r="611" spans="1:3" ht="13" x14ac:dyDescent="0.15">
      <c r="A611" s="10"/>
      <c r="B611" s="13"/>
      <c r="C611" s="13"/>
    </row>
    <row r="612" spans="1:3" ht="13" x14ac:dyDescent="0.15">
      <c r="A612" s="10"/>
      <c r="B612" s="13"/>
      <c r="C612" s="13"/>
    </row>
    <row r="613" spans="1:3" ht="13" x14ac:dyDescent="0.15">
      <c r="A613" s="10"/>
      <c r="B613" s="13"/>
      <c r="C613" s="13"/>
    </row>
    <row r="614" spans="1:3" ht="13" x14ac:dyDescent="0.15">
      <c r="A614" s="10"/>
      <c r="B614" s="13"/>
      <c r="C614" s="13"/>
    </row>
    <row r="615" spans="1:3" ht="13" x14ac:dyDescent="0.15">
      <c r="A615" s="10"/>
      <c r="B615" s="13"/>
      <c r="C615" s="13"/>
    </row>
    <row r="616" spans="1:3" ht="13" x14ac:dyDescent="0.15">
      <c r="A616" s="10"/>
      <c r="B616" s="13"/>
      <c r="C616" s="13"/>
    </row>
    <row r="617" spans="1:3" ht="13" x14ac:dyDescent="0.15">
      <c r="A617" s="10"/>
      <c r="B617" s="13"/>
      <c r="C617" s="13"/>
    </row>
    <row r="618" spans="1:3" ht="13" x14ac:dyDescent="0.15">
      <c r="A618" s="10"/>
      <c r="B618" s="13"/>
      <c r="C618" s="13"/>
    </row>
    <row r="619" spans="1:3" ht="13" x14ac:dyDescent="0.15">
      <c r="A619" s="10"/>
      <c r="B619" s="13"/>
      <c r="C619" s="13"/>
    </row>
    <row r="620" spans="1:3" ht="13" x14ac:dyDescent="0.15">
      <c r="A620" s="10"/>
      <c r="B620" s="13"/>
      <c r="C620" s="13"/>
    </row>
    <row r="621" spans="1:3" ht="13" x14ac:dyDescent="0.15">
      <c r="A621" s="10"/>
      <c r="B621" s="13"/>
      <c r="C621" s="13"/>
    </row>
    <row r="622" spans="1:3" ht="13" x14ac:dyDescent="0.15">
      <c r="A622" s="10"/>
      <c r="B622" s="13"/>
      <c r="C622" s="13"/>
    </row>
    <row r="623" spans="1:3" ht="13" x14ac:dyDescent="0.15">
      <c r="A623" s="10"/>
      <c r="B623" s="13"/>
      <c r="C623" s="13"/>
    </row>
    <row r="624" spans="1:3" ht="13" x14ac:dyDescent="0.15">
      <c r="A624" s="10"/>
      <c r="B624" s="13"/>
      <c r="C624" s="13"/>
    </row>
    <row r="625" spans="1:3" ht="13" x14ac:dyDescent="0.15">
      <c r="A625" s="10"/>
      <c r="B625" s="13"/>
      <c r="C625" s="13"/>
    </row>
    <row r="626" spans="1:3" ht="13" x14ac:dyDescent="0.15">
      <c r="A626" s="10"/>
      <c r="B626" s="13"/>
      <c r="C626" s="13"/>
    </row>
    <row r="627" spans="1:3" ht="13" x14ac:dyDescent="0.15">
      <c r="A627" s="10"/>
      <c r="B627" s="13"/>
      <c r="C627" s="13"/>
    </row>
    <row r="628" spans="1:3" ht="13" x14ac:dyDescent="0.15">
      <c r="A628" s="10"/>
      <c r="B628" s="13"/>
      <c r="C628" s="13"/>
    </row>
    <row r="629" spans="1:3" ht="13" x14ac:dyDescent="0.15">
      <c r="A629" s="10"/>
      <c r="B629" s="13"/>
      <c r="C629" s="13"/>
    </row>
    <row r="630" spans="1:3" ht="13" x14ac:dyDescent="0.15">
      <c r="A630" s="10"/>
      <c r="B630" s="13"/>
      <c r="C630" s="13"/>
    </row>
    <row r="631" spans="1:3" ht="13" x14ac:dyDescent="0.15">
      <c r="A631" s="10"/>
      <c r="B631" s="13"/>
      <c r="C631" s="13"/>
    </row>
    <row r="632" spans="1:3" ht="13" x14ac:dyDescent="0.15">
      <c r="A632" s="10"/>
      <c r="B632" s="13"/>
      <c r="C632" s="13"/>
    </row>
    <row r="633" spans="1:3" ht="13" x14ac:dyDescent="0.15">
      <c r="A633" s="10"/>
      <c r="B633" s="13"/>
      <c r="C633" s="13"/>
    </row>
    <row r="634" spans="1:3" ht="13" x14ac:dyDescent="0.15">
      <c r="A634" s="10"/>
      <c r="B634" s="13"/>
      <c r="C634" s="13"/>
    </row>
    <row r="635" spans="1:3" ht="13" x14ac:dyDescent="0.15">
      <c r="A635" s="10"/>
      <c r="B635" s="13"/>
      <c r="C635" s="13"/>
    </row>
    <row r="636" spans="1:3" ht="13" x14ac:dyDescent="0.15">
      <c r="A636" s="10"/>
      <c r="B636" s="13"/>
      <c r="C636" s="13"/>
    </row>
    <row r="637" spans="1:3" ht="13" x14ac:dyDescent="0.15">
      <c r="A637" s="10"/>
      <c r="B637" s="13"/>
      <c r="C637" s="13"/>
    </row>
    <row r="638" spans="1:3" ht="13" x14ac:dyDescent="0.15">
      <c r="A638" s="10"/>
      <c r="B638" s="13"/>
      <c r="C638" s="13"/>
    </row>
    <row r="639" spans="1:3" ht="13" x14ac:dyDescent="0.15">
      <c r="A639" s="10"/>
      <c r="B639" s="13"/>
      <c r="C639" s="13"/>
    </row>
    <row r="640" spans="1:3" ht="13" x14ac:dyDescent="0.15">
      <c r="A640" s="10"/>
      <c r="B640" s="13"/>
      <c r="C640" s="13"/>
    </row>
    <row r="641" spans="1:3" ht="13" x14ac:dyDescent="0.15">
      <c r="A641" s="10"/>
      <c r="B641" s="13"/>
      <c r="C641" s="13"/>
    </row>
    <row r="642" spans="1:3" ht="13" x14ac:dyDescent="0.15">
      <c r="A642" s="10"/>
      <c r="B642" s="13"/>
      <c r="C642" s="13"/>
    </row>
    <row r="643" spans="1:3" ht="13" x14ac:dyDescent="0.15">
      <c r="A643" s="10"/>
      <c r="B643" s="13"/>
      <c r="C643" s="13"/>
    </row>
    <row r="644" spans="1:3" ht="13" x14ac:dyDescent="0.15">
      <c r="A644" s="10"/>
      <c r="B644" s="13"/>
      <c r="C644" s="13"/>
    </row>
    <row r="645" spans="1:3" ht="13" x14ac:dyDescent="0.15">
      <c r="A645" s="10"/>
      <c r="B645" s="13"/>
      <c r="C645" s="13"/>
    </row>
    <row r="646" spans="1:3" ht="13" x14ac:dyDescent="0.15">
      <c r="A646" s="10"/>
      <c r="B646" s="13"/>
      <c r="C646" s="13"/>
    </row>
    <row r="647" spans="1:3" ht="13" x14ac:dyDescent="0.15">
      <c r="A647" s="10"/>
      <c r="B647" s="13"/>
      <c r="C647" s="13"/>
    </row>
    <row r="648" spans="1:3" ht="13" x14ac:dyDescent="0.15">
      <c r="A648" s="10"/>
      <c r="B648" s="13"/>
      <c r="C648" s="13"/>
    </row>
    <row r="649" spans="1:3" ht="13" x14ac:dyDescent="0.15">
      <c r="A649" s="10"/>
      <c r="B649" s="13"/>
      <c r="C649" s="13"/>
    </row>
    <row r="650" spans="1:3" ht="13" x14ac:dyDescent="0.15">
      <c r="A650" s="10"/>
      <c r="B650" s="13"/>
      <c r="C650" s="13"/>
    </row>
    <row r="651" spans="1:3" ht="13" x14ac:dyDescent="0.15">
      <c r="A651" s="10"/>
      <c r="B651" s="13"/>
      <c r="C651" s="13"/>
    </row>
    <row r="652" spans="1:3" ht="13" x14ac:dyDescent="0.15">
      <c r="A652" s="10"/>
      <c r="B652" s="13"/>
      <c r="C652" s="13"/>
    </row>
    <row r="653" spans="1:3" ht="13" x14ac:dyDescent="0.15">
      <c r="A653" s="10"/>
      <c r="B653" s="13"/>
      <c r="C653" s="13"/>
    </row>
    <row r="654" spans="1:3" ht="13" x14ac:dyDescent="0.15">
      <c r="A654" s="10"/>
      <c r="B654" s="13"/>
      <c r="C654" s="13"/>
    </row>
    <row r="655" spans="1:3" ht="13" x14ac:dyDescent="0.15">
      <c r="A655" s="10"/>
      <c r="B655" s="13"/>
      <c r="C655" s="13"/>
    </row>
    <row r="656" spans="1:3" ht="13" x14ac:dyDescent="0.15">
      <c r="A656" s="10"/>
      <c r="B656" s="13"/>
      <c r="C656" s="13"/>
    </row>
    <row r="657" spans="1:3" ht="13" x14ac:dyDescent="0.15">
      <c r="A657" s="10"/>
      <c r="B657" s="13"/>
      <c r="C657" s="13"/>
    </row>
    <row r="658" spans="1:3" ht="13" x14ac:dyDescent="0.15">
      <c r="A658" s="10"/>
      <c r="B658" s="13"/>
      <c r="C658" s="13"/>
    </row>
    <row r="659" spans="1:3" ht="13" x14ac:dyDescent="0.15">
      <c r="A659" s="10"/>
      <c r="B659" s="13"/>
      <c r="C659" s="13"/>
    </row>
    <row r="660" spans="1:3" ht="13" x14ac:dyDescent="0.15">
      <c r="A660" s="10"/>
      <c r="B660" s="13"/>
      <c r="C660" s="13"/>
    </row>
    <row r="661" spans="1:3" ht="13" x14ac:dyDescent="0.15">
      <c r="A661" s="10"/>
      <c r="B661" s="13"/>
      <c r="C661" s="13"/>
    </row>
    <row r="662" spans="1:3" ht="13" x14ac:dyDescent="0.15">
      <c r="A662" s="10"/>
      <c r="B662" s="13"/>
      <c r="C662" s="13"/>
    </row>
    <row r="663" spans="1:3" ht="13" x14ac:dyDescent="0.15">
      <c r="A663" s="10"/>
      <c r="B663" s="13"/>
      <c r="C663" s="13"/>
    </row>
    <row r="664" spans="1:3" ht="13" x14ac:dyDescent="0.15">
      <c r="A664" s="10"/>
      <c r="B664" s="13"/>
      <c r="C664" s="13"/>
    </row>
    <row r="665" spans="1:3" ht="13" x14ac:dyDescent="0.15">
      <c r="A665" s="10"/>
      <c r="B665" s="13"/>
      <c r="C665" s="13"/>
    </row>
    <row r="666" spans="1:3" ht="13" x14ac:dyDescent="0.15">
      <c r="A666" s="10"/>
      <c r="B666" s="13"/>
      <c r="C666" s="13"/>
    </row>
    <row r="667" spans="1:3" ht="13" x14ac:dyDescent="0.15">
      <c r="A667" s="10"/>
      <c r="B667" s="13"/>
      <c r="C667" s="13"/>
    </row>
    <row r="668" spans="1:3" ht="13" x14ac:dyDescent="0.15">
      <c r="A668" s="10"/>
      <c r="B668" s="13"/>
      <c r="C668" s="13"/>
    </row>
    <row r="669" spans="1:3" ht="13" x14ac:dyDescent="0.15">
      <c r="A669" s="10"/>
      <c r="B669" s="13"/>
      <c r="C669" s="13"/>
    </row>
    <row r="670" spans="1:3" ht="13" x14ac:dyDescent="0.15">
      <c r="A670" s="10"/>
      <c r="B670" s="13"/>
      <c r="C670" s="13"/>
    </row>
    <row r="671" spans="1:3" ht="13" x14ac:dyDescent="0.15">
      <c r="A671" s="10"/>
      <c r="B671" s="13"/>
      <c r="C671" s="13"/>
    </row>
    <row r="672" spans="1:3" ht="13" x14ac:dyDescent="0.15">
      <c r="A672" s="10"/>
      <c r="B672" s="13"/>
      <c r="C672" s="13"/>
    </row>
    <row r="673" spans="1:3" ht="13" x14ac:dyDescent="0.15">
      <c r="A673" s="10"/>
      <c r="B673" s="13"/>
      <c r="C673" s="13"/>
    </row>
    <row r="674" spans="1:3" ht="13" x14ac:dyDescent="0.15">
      <c r="A674" s="10"/>
      <c r="B674" s="13"/>
      <c r="C674" s="13"/>
    </row>
    <row r="675" spans="1:3" ht="13" x14ac:dyDescent="0.15">
      <c r="A675" s="10"/>
      <c r="B675" s="13"/>
      <c r="C675" s="13"/>
    </row>
    <row r="676" spans="1:3" ht="13" x14ac:dyDescent="0.15">
      <c r="A676" s="10"/>
      <c r="B676" s="13"/>
      <c r="C676" s="13"/>
    </row>
    <row r="677" spans="1:3" ht="13" x14ac:dyDescent="0.15">
      <c r="A677" s="10"/>
      <c r="B677" s="13"/>
      <c r="C677" s="13"/>
    </row>
    <row r="678" spans="1:3" ht="13" x14ac:dyDescent="0.15">
      <c r="A678" s="10"/>
      <c r="B678" s="13"/>
      <c r="C678" s="13"/>
    </row>
    <row r="679" spans="1:3" ht="13" x14ac:dyDescent="0.15">
      <c r="A679" s="10"/>
      <c r="B679" s="13"/>
      <c r="C679" s="13"/>
    </row>
    <row r="680" spans="1:3" ht="13" x14ac:dyDescent="0.15">
      <c r="A680" s="10"/>
      <c r="B680" s="13"/>
      <c r="C680" s="13"/>
    </row>
    <row r="681" spans="1:3" ht="13" x14ac:dyDescent="0.15">
      <c r="A681" s="10"/>
      <c r="B681" s="13"/>
      <c r="C681" s="13"/>
    </row>
    <row r="682" spans="1:3" ht="13" x14ac:dyDescent="0.15">
      <c r="A682" s="10"/>
      <c r="B682" s="13"/>
      <c r="C682" s="13"/>
    </row>
    <row r="683" spans="1:3" ht="13" x14ac:dyDescent="0.15">
      <c r="A683" s="10"/>
      <c r="B683" s="13"/>
      <c r="C683" s="13"/>
    </row>
    <row r="684" spans="1:3" ht="13" x14ac:dyDescent="0.15">
      <c r="A684" s="10"/>
      <c r="B684" s="13"/>
      <c r="C684" s="13"/>
    </row>
    <row r="685" spans="1:3" ht="13" x14ac:dyDescent="0.15">
      <c r="A685" s="10"/>
      <c r="B685" s="13"/>
      <c r="C685" s="13"/>
    </row>
    <row r="686" spans="1:3" ht="13" x14ac:dyDescent="0.15">
      <c r="A686" s="10"/>
      <c r="B686" s="13"/>
      <c r="C686" s="13"/>
    </row>
    <row r="687" spans="1:3" ht="13" x14ac:dyDescent="0.15">
      <c r="A687" s="10"/>
      <c r="B687" s="13"/>
      <c r="C687" s="13"/>
    </row>
    <row r="688" spans="1:3" ht="13" x14ac:dyDescent="0.15">
      <c r="A688" s="10"/>
      <c r="B688" s="13"/>
      <c r="C688" s="13"/>
    </row>
    <row r="689" spans="1:3" ht="13" x14ac:dyDescent="0.15">
      <c r="A689" s="10"/>
      <c r="B689" s="13"/>
      <c r="C689" s="13"/>
    </row>
    <row r="690" spans="1:3" ht="13" x14ac:dyDescent="0.15">
      <c r="A690" s="10"/>
      <c r="B690" s="13"/>
      <c r="C690" s="13"/>
    </row>
    <row r="691" spans="1:3" ht="13" x14ac:dyDescent="0.15">
      <c r="A691" s="10"/>
      <c r="B691" s="13"/>
      <c r="C691" s="13"/>
    </row>
    <row r="692" spans="1:3" ht="13" x14ac:dyDescent="0.15">
      <c r="A692" s="10"/>
      <c r="B692" s="13"/>
      <c r="C692" s="13"/>
    </row>
    <row r="693" spans="1:3" ht="13" x14ac:dyDescent="0.15">
      <c r="A693" s="10"/>
      <c r="B693" s="13"/>
      <c r="C693" s="13"/>
    </row>
    <row r="694" spans="1:3" ht="13" x14ac:dyDescent="0.15">
      <c r="A694" s="10"/>
      <c r="B694" s="13"/>
      <c r="C694" s="13"/>
    </row>
    <row r="695" spans="1:3" ht="13" x14ac:dyDescent="0.15">
      <c r="A695" s="10"/>
      <c r="B695" s="13"/>
      <c r="C695" s="13"/>
    </row>
    <row r="696" spans="1:3" ht="13" x14ac:dyDescent="0.15">
      <c r="A696" s="10"/>
      <c r="B696" s="13"/>
      <c r="C696" s="13"/>
    </row>
    <row r="697" spans="1:3" ht="13" x14ac:dyDescent="0.15">
      <c r="A697" s="10"/>
      <c r="B697" s="13"/>
      <c r="C697" s="13"/>
    </row>
    <row r="698" spans="1:3" ht="13" x14ac:dyDescent="0.15">
      <c r="A698" s="10"/>
      <c r="B698" s="13"/>
      <c r="C698" s="13"/>
    </row>
    <row r="699" spans="1:3" ht="13" x14ac:dyDescent="0.15">
      <c r="A699" s="10"/>
      <c r="B699" s="13"/>
      <c r="C699" s="13"/>
    </row>
    <row r="700" spans="1:3" ht="13" x14ac:dyDescent="0.15">
      <c r="A700" s="10"/>
      <c r="B700" s="13"/>
      <c r="C700" s="13"/>
    </row>
    <row r="701" spans="1:3" ht="13" x14ac:dyDescent="0.15">
      <c r="A701" s="10"/>
      <c r="B701" s="13"/>
      <c r="C701" s="13"/>
    </row>
    <row r="702" spans="1:3" ht="13" x14ac:dyDescent="0.15">
      <c r="A702" s="10"/>
      <c r="B702" s="13"/>
      <c r="C702" s="13"/>
    </row>
    <row r="703" spans="1:3" ht="13" x14ac:dyDescent="0.15">
      <c r="A703" s="10"/>
      <c r="B703" s="13"/>
      <c r="C703" s="13"/>
    </row>
    <row r="704" spans="1:3" ht="13" x14ac:dyDescent="0.15">
      <c r="A704" s="10"/>
      <c r="B704" s="13"/>
      <c r="C704" s="13"/>
    </row>
    <row r="705" spans="1:3" ht="13" x14ac:dyDescent="0.15">
      <c r="A705" s="10"/>
      <c r="B705" s="13"/>
      <c r="C705" s="13"/>
    </row>
    <row r="706" spans="1:3" ht="13" x14ac:dyDescent="0.15">
      <c r="A706" s="10"/>
      <c r="B706" s="13"/>
      <c r="C706" s="13"/>
    </row>
    <row r="707" spans="1:3" ht="13" x14ac:dyDescent="0.15">
      <c r="A707" s="10"/>
      <c r="B707" s="13"/>
      <c r="C707" s="13"/>
    </row>
    <row r="708" spans="1:3" ht="13" x14ac:dyDescent="0.15">
      <c r="A708" s="10"/>
      <c r="B708" s="13"/>
      <c r="C708" s="13"/>
    </row>
    <row r="709" spans="1:3" ht="13" x14ac:dyDescent="0.15">
      <c r="A709" s="10"/>
      <c r="B709" s="13"/>
      <c r="C709" s="13"/>
    </row>
    <row r="710" spans="1:3" ht="13" x14ac:dyDescent="0.15">
      <c r="A710" s="10"/>
      <c r="B710" s="13"/>
      <c r="C710" s="13"/>
    </row>
    <row r="711" spans="1:3" ht="13" x14ac:dyDescent="0.15">
      <c r="A711" s="10"/>
      <c r="B711" s="13"/>
      <c r="C711" s="13"/>
    </row>
    <row r="712" spans="1:3" ht="13" x14ac:dyDescent="0.15">
      <c r="A712" s="10"/>
      <c r="B712" s="13"/>
      <c r="C712" s="13"/>
    </row>
    <row r="713" spans="1:3" ht="13" x14ac:dyDescent="0.15">
      <c r="A713" s="10"/>
      <c r="B713" s="13"/>
      <c r="C713" s="13"/>
    </row>
    <row r="714" spans="1:3" ht="13" x14ac:dyDescent="0.15">
      <c r="A714" s="10"/>
      <c r="B714" s="13"/>
      <c r="C714" s="13"/>
    </row>
    <row r="715" spans="1:3" ht="13" x14ac:dyDescent="0.15">
      <c r="A715" s="10"/>
      <c r="B715" s="13"/>
      <c r="C715" s="13"/>
    </row>
    <row r="716" spans="1:3" ht="13" x14ac:dyDescent="0.15">
      <c r="A716" s="10"/>
      <c r="B716" s="13"/>
      <c r="C716" s="13"/>
    </row>
    <row r="717" spans="1:3" ht="13" x14ac:dyDescent="0.15">
      <c r="A717" s="10"/>
      <c r="B717" s="13"/>
      <c r="C717" s="13"/>
    </row>
    <row r="718" spans="1:3" ht="13" x14ac:dyDescent="0.15">
      <c r="A718" s="10"/>
      <c r="B718" s="13"/>
      <c r="C718" s="13"/>
    </row>
    <row r="719" spans="1:3" ht="13" x14ac:dyDescent="0.15">
      <c r="A719" s="10"/>
      <c r="B719" s="13"/>
      <c r="C719" s="13"/>
    </row>
    <row r="720" spans="1:3" ht="13" x14ac:dyDescent="0.15">
      <c r="A720" s="10"/>
      <c r="B720" s="13"/>
      <c r="C720" s="13"/>
    </row>
    <row r="721" spans="1:3" ht="13" x14ac:dyDescent="0.15">
      <c r="A721" s="10"/>
      <c r="B721" s="13"/>
      <c r="C721" s="13"/>
    </row>
    <row r="722" spans="1:3" ht="13" x14ac:dyDescent="0.15">
      <c r="A722" s="10"/>
      <c r="B722" s="13"/>
      <c r="C722" s="13"/>
    </row>
    <row r="723" spans="1:3" ht="13" x14ac:dyDescent="0.15">
      <c r="A723" s="10"/>
      <c r="B723" s="13"/>
      <c r="C723" s="13"/>
    </row>
    <row r="724" spans="1:3" ht="13" x14ac:dyDescent="0.15">
      <c r="A724" s="10"/>
      <c r="B724" s="13"/>
      <c r="C724" s="13"/>
    </row>
    <row r="725" spans="1:3" ht="13" x14ac:dyDescent="0.15">
      <c r="A725" s="10"/>
      <c r="B725" s="13"/>
      <c r="C725" s="13"/>
    </row>
    <row r="726" spans="1:3" ht="13" x14ac:dyDescent="0.15">
      <c r="A726" s="10"/>
      <c r="B726" s="13"/>
      <c r="C726" s="13"/>
    </row>
    <row r="727" spans="1:3" ht="13" x14ac:dyDescent="0.15">
      <c r="A727" s="10"/>
      <c r="B727" s="13"/>
      <c r="C727" s="13"/>
    </row>
    <row r="728" spans="1:3" ht="13" x14ac:dyDescent="0.15">
      <c r="A728" s="10"/>
      <c r="B728" s="13"/>
      <c r="C728" s="13"/>
    </row>
    <row r="729" spans="1:3" ht="13" x14ac:dyDescent="0.15">
      <c r="A729" s="10"/>
      <c r="B729" s="13"/>
      <c r="C729" s="13"/>
    </row>
    <row r="730" spans="1:3" ht="13" x14ac:dyDescent="0.15">
      <c r="A730" s="10"/>
      <c r="B730" s="13"/>
      <c r="C730" s="13"/>
    </row>
    <row r="731" spans="1:3" ht="13" x14ac:dyDescent="0.15">
      <c r="A731" s="10"/>
      <c r="B731" s="13"/>
      <c r="C731" s="13"/>
    </row>
    <row r="732" spans="1:3" ht="13" x14ac:dyDescent="0.15">
      <c r="A732" s="10"/>
      <c r="B732" s="13"/>
      <c r="C732" s="13"/>
    </row>
    <row r="733" spans="1:3" ht="13" x14ac:dyDescent="0.15">
      <c r="A733" s="10"/>
      <c r="B733" s="13"/>
      <c r="C733" s="13"/>
    </row>
    <row r="734" spans="1:3" ht="13" x14ac:dyDescent="0.15">
      <c r="A734" s="10"/>
      <c r="B734" s="13"/>
      <c r="C734" s="13"/>
    </row>
    <row r="735" spans="1:3" ht="13" x14ac:dyDescent="0.15">
      <c r="A735" s="10"/>
      <c r="B735" s="13"/>
      <c r="C735" s="13"/>
    </row>
    <row r="736" spans="1:3" ht="13" x14ac:dyDescent="0.15">
      <c r="A736" s="10"/>
      <c r="B736" s="13"/>
      <c r="C736" s="13"/>
    </row>
    <row r="737" spans="1:3" ht="13" x14ac:dyDescent="0.15">
      <c r="A737" s="10"/>
      <c r="B737" s="13"/>
      <c r="C737" s="13"/>
    </row>
    <row r="738" spans="1:3" ht="13" x14ac:dyDescent="0.15">
      <c r="A738" s="10"/>
      <c r="B738" s="13"/>
      <c r="C738" s="13"/>
    </row>
    <row r="739" spans="1:3" ht="13" x14ac:dyDescent="0.15">
      <c r="A739" s="10"/>
      <c r="B739" s="13"/>
      <c r="C739" s="13"/>
    </row>
    <row r="740" spans="1:3" ht="13" x14ac:dyDescent="0.15">
      <c r="A740" s="10"/>
      <c r="B740" s="13"/>
      <c r="C740" s="13"/>
    </row>
    <row r="741" spans="1:3" ht="13" x14ac:dyDescent="0.15">
      <c r="A741" s="10"/>
      <c r="B741" s="13"/>
      <c r="C741" s="13"/>
    </row>
    <row r="742" spans="1:3" ht="13" x14ac:dyDescent="0.15">
      <c r="A742" s="10"/>
      <c r="B742" s="13"/>
      <c r="C742" s="13"/>
    </row>
    <row r="743" spans="1:3" ht="13" x14ac:dyDescent="0.15">
      <c r="A743" s="10"/>
      <c r="B743" s="13"/>
      <c r="C743" s="13"/>
    </row>
    <row r="744" spans="1:3" ht="13" x14ac:dyDescent="0.15">
      <c r="A744" s="10"/>
      <c r="B744" s="13"/>
      <c r="C744" s="13"/>
    </row>
    <row r="745" spans="1:3" ht="13" x14ac:dyDescent="0.15">
      <c r="A745" s="10"/>
      <c r="B745" s="13"/>
      <c r="C745" s="13"/>
    </row>
    <row r="746" spans="1:3" ht="13" x14ac:dyDescent="0.15">
      <c r="A746" s="10"/>
      <c r="B746" s="13"/>
      <c r="C746" s="13"/>
    </row>
    <row r="747" spans="1:3" ht="13" x14ac:dyDescent="0.15">
      <c r="A747" s="10"/>
      <c r="B747" s="13"/>
      <c r="C747" s="13"/>
    </row>
    <row r="748" spans="1:3" ht="13" x14ac:dyDescent="0.15">
      <c r="A748" s="10"/>
      <c r="B748" s="13"/>
      <c r="C748" s="13"/>
    </row>
    <row r="749" spans="1:3" ht="13" x14ac:dyDescent="0.15">
      <c r="A749" s="10"/>
      <c r="B749" s="13"/>
      <c r="C749" s="13"/>
    </row>
    <row r="750" spans="1:3" ht="13" x14ac:dyDescent="0.15">
      <c r="A750" s="10"/>
      <c r="B750" s="13"/>
      <c r="C750" s="13"/>
    </row>
    <row r="751" spans="1:3" ht="13" x14ac:dyDescent="0.15">
      <c r="A751" s="10"/>
      <c r="B751" s="13"/>
      <c r="C751" s="13"/>
    </row>
    <row r="752" spans="1:3" ht="13" x14ac:dyDescent="0.15">
      <c r="A752" s="10"/>
      <c r="B752" s="13"/>
      <c r="C752" s="13"/>
    </row>
    <row r="753" spans="1:3" ht="13" x14ac:dyDescent="0.15">
      <c r="A753" s="10"/>
      <c r="B753" s="13"/>
      <c r="C753" s="13"/>
    </row>
    <row r="754" spans="1:3" ht="13" x14ac:dyDescent="0.15">
      <c r="A754" s="10"/>
      <c r="B754" s="13"/>
      <c r="C754" s="13"/>
    </row>
    <row r="755" spans="1:3" ht="13" x14ac:dyDescent="0.15">
      <c r="A755" s="10"/>
      <c r="B755" s="13"/>
      <c r="C755" s="13"/>
    </row>
    <row r="756" spans="1:3" ht="13" x14ac:dyDescent="0.15">
      <c r="A756" s="10"/>
      <c r="B756" s="13"/>
      <c r="C756" s="13"/>
    </row>
    <row r="757" spans="1:3" ht="13" x14ac:dyDescent="0.15">
      <c r="A757" s="10"/>
      <c r="B757" s="13"/>
      <c r="C757" s="13"/>
    </row>
    <row r="758" spans="1:3" ht="13" x14ac:dyDescent="0.15">
      <c r="A758" s="10"/>
      <c r="B758" s="13"/>
      <c r="C758" s="13"/>
    </row>
    <row r="759" spans="1:3" ht="13" x14ac:dyDescent="0.15">
      <c r="A759" s="10"/>
      <c r="B759" s="13"/>
      <c r="C759" s="13"/>
    </row>
    <row r="760" spans="1:3" ht="13" x14ac:dyDescent="0.15">
      <c r="A760" s="10"/>
      <c r="B760" s="13"/>
      <c r="C760" s="13"/>
    </row>
    <row r="761" spans="1:3" ht="13" x14ac:dyDescent="0.15">
      <c r="A761" s="10"/>
      <c r="B761" s="13"/>
      <c r="C761" s="13"/>
    </row>
    <row r="762" spans="1:3" ht="13" x14ac:dyDescent="0.15">
      <c r="A762" s="10"/>
      <c r="B762" s="13"/>
      <c r="C762" s="13"/>
    </row>
    <row r="763" spans="1:3" ht="13" x14ac:dyDescent="0.15">
      <c r="A763" s="10"/>
      <c r="B763" s="13"/>
      <c r="C763" s="13"/>
    </row>
    <row r="764" spans="1:3" ht="13" x14ac:dyDescent="0.15">
      <c r="A764" s="10"/>
      <c r="B764" s="13"/>
      <c r="C764" s="13"/>
    </row>
    <row r="765" spans="1:3" ht="13" x14ac:dyDescent="0.15">
      <c r="A765" s="10"/>
      <c r="B765" s="13"/>
      <c r="C765" s="13"/>
    </row>
    <row r="766" spans="1:3" ht="13" x14ac:dyDescent="0.15">
      <c r="A766" s="10"/>
      <c r="B766" s="13"/>
      <c r="C766" s="13"/>
    </row>
    <row r="767" spans="1:3" ht="13" x14ac:dyDescent="0.15">
      <c r="A767" s="10"/>
      <c r="B767" s="13"/>
      <c r="C767" s="13"/>
    </row>
    <row r="768" spans="1:3" ht="13" x14ac:dyDescent="0.15">
      <c r="A768" s="10"/>
      <c r="B768" s="13"/>
      <c r="C768" s="13"/>
    </row>
    <row r="769" spans="1:3" ht="13" x14ac:dyDescent="0.15">
      <c r="A769" s="10"/>
      <c r="B769" s="13"/>
      <c r="C769" s="13"/>
    </row>
    <row r="770" spans="1:3" ht="13" x14ac:dyDescent="0.15">
      <c r="A770" s="10"/>
      <c r="B770" s="13"/>
      <c r="C770" s="13"/>
    </row>
    <row r="771" spans="1:3" ht="13" x14ac:dyDescent="0.15">
      <c r="A771" s="10"/>
      <c r="B771" s="13"/>
      <c r="C771" s="13"/>
    </row>
    <row r="772" spans="1:3" ht="13" x14ac:dyDescent="0.15">
      <c r="A772" s="10"/>
      <c r="B772" s="13"/>
      <c r="C772" s="13"/>
    </row>
    <row r="773" spans="1:3" ht="13" x14ac:dyDescent="0.15">
      <c r="A773" s="10"/>
      <c r="B773" s="13"/>
      <c r="C773" s="13"/>
    </row>
    <row r="774" spans="1:3" ht="13" x14ac:dyDescent="0.15">
      <c r="A774" s="10"/>
      <c r="B774" s="13"/>
      <c r="C774" s="13"/>
    </row>
    <row r="775" spans="1:3" ht="13" x14ac:dyDescent="0.15">
      <c r="A775" s="10"/>
      <c r="B775" s="13"/>
      <c r="C775" s="13"/>
    </row>
    <row r="776" spans="1:3" ht="13" x14ac:dyDescent="0.15">
      <c r="A776" s="10"/>
      <c r="B776" s="13"/>
      <c r="C776" s="13"/>
    </row>
    <row r="777" spans="1:3" ht="13" x14ac:dyDescent="0.15">
      <c r="A777" s="10"/>
      <c r="B777" s="13"/>
      <c r="C777" s="13"/>
    </row>
    <row r="778" spans="1:3" ht="13" x14ac:dyDescent="0.15">
      <c r="A778" s="10"/>
      <c r="B778" s="13"/>
      <c r="C778" s="13"/>
    </row>
    <row r="779" spans="1:3" ht="13" x14ac:dyDescent="0.15">
      <c r="A779" s="10"/>
      <c r="B779" s="13"/>
      <c r="C779" s="13"/>
    </row>
    <row r="780" spans="1:3" ht="13" x14ac:dyDescent="0.15">
      <c r="A780" s="10"/>
      <c r="B780" s="13"/>
      <c r="C780" s="13"/>
    </row>
    <row r="781" spans="1:3" ht="13" x14ac:dyDescent="0.15">
      <c r="A781" s="10"/>
      <c r="B781" s="13"/>
      <c r="C781" s="13"/>
    </row>
    <row r="782" spans="1:3" ht="13" x14ac:dyDescent="0.15">
      <c r="A782" s="10"/>
      <c r="B782" s="13"/>
      <c r="C782" s="13"/>
    </row>
    <row r="783" spans="1:3" ht="13" x14ac:dyDescent="0.15">
      <c r="A783" s="10"/>
      <c r="B783" s="13"/>
      <c r="C783" s="13"/>
    </row>
    <row r="784" spans="1:3" ht="13" x14ac:dyDescent="0.15">
      <c r="A784" s="10"/>
      <c r="B784" s="13"/>
      <c r="C784" s="13"/>
    </row>
    <row r="785" spans="1:3" ht="13" x14ac:dyDescent="0.15">
      <c r="A785" s="10"/>
      <c r="B785" s="13"/>
      <c r="C785" s="13"/>
    </row>
    <row r="786" spans="1:3" ht="13" x14ac:dyDescent="0.15">
      <c r="A786" s="10"/>
      <c r="B786" s="13"/>
      <c r="C786" s="13"/>
    </row>
    <row r="787" spans="1:3" ht="13" x14ac:dyDescent="0.15">
      <c r="A787" s="10"/>
      <c r="B787" s="13"/>
      <c r="C787" s="13"/>
    </row>
    <row r="788" spans="1:3" ht="13" x14ac:dyDescent="0.15">
      <c r="A788" s="10"/>
      <c r="B788" s="13"/>
      <c r="C788" s="13"/>
    </row>
    <row r="789" spans="1:3" ht="13" x14ac:dyDescent="0.15">
      <c r="A789" s="10"/>
      <c r="B789" s="13"/>
      <c r="C789" s="13"/>
    </row>
    <row r="790" spans="1:3" ht="13" x14ac:dyDescent="0.15">
      <c r="A790" s="10"/>
      <c r="B790" s="13"/>
      <c r="C790" s="13"/>
    </row>
    <row r="791" spans="1:3" ht="13" x14ac:dyDescent="0.15">
      <c r="A791" s="10"/>
      <c r="B791" s="13"/>
      <c r="C791" s="13"/>
    </row>
    <row r="792" spans="1:3" ht="13" x14ac:dyDescent="0.15">
      <c r="A792" s="10"/>
      <c r="B792" s="13"/>
      <c r="C792" s="13"/>
    </row>
    <row r="793" spans="1:3" ht="13" x14ac:dyDescent="0.15">
      <c r="A793" s="10"/>
      <c r="B793" s="13"/>
      <c r="C793" s="13"/>
    </row>
    <row r="794" spans="1:3" ht="13" x14ac:dyDescent="0.15">
      <c r="A794" s="10"/>
      <c r="B794" s="13"/>
      <c r="C794" s="13"/>
    </row>
    <row r="795" spans="1:3" ht="13" x14ac:dyDescent="0.15">
      <c r="A795" s="10"/>
      <c r="B795" s="13"/>
      <c r="C795" s="13"/>
    </row>
    <row r="796" spans="1:3" ht="13" x14ac:dyDescent="0.15">
      <c r="A796" s="10"/>
      <c r="B796" s="13"/>
      <c r="C796" s="13"/>
    </row>
    <row r="797" spans="1:3" ht="13" x14ac:dyDescent="0.15">
      <c r="A797" s="10"/>
      <c r="B797" s="13"/>
      <c r="C797" s="13"/>
    </row>
    <row r="798" spans="1:3" ht="13" x14ac:dyDescent="0.15">
      <c r="A798" s="10"/>
      <c r="B798" s="13"/>
      <c r="C798" s="13"/>
    </row>
    <row r="799" spans="1:3" ht="13" x14ac:dyDescent="0.15">
      <c r="A799" s="10"/>
      <c r="B799" s="13"/>
      <c r="C799" s="13"/>
    </row>
    <row r="800" spans="1:3" ht="13" x14ac:dyDescent="0.15">
      <c r="A800" s="10"/>
      <c r="B800" s="13"/>
      <c r="C800" s="13"/>
    </row>
    <row r="801" spans="1:3" ht="13" x14ac:dyDescent="0.15">
      <c r="A801" s="10"/>
      <c r="B801" s="13"/>
      <c r="C801" s="13"/>
    </row>
    <row r="802" spans="1:3" ht="13" x14ac:dyDescent="0.15">
      <c r="A802" s="10"/>
      <c r="B802" s="13"/>
      <c r="C802" s="13"/>
    </row>
    <row r="803" spans="1:3" ht="13" x14ac:dyDescent="0.15">
      <c r="A803" s="10"/>
      <c r="B803" s="13"/>
      <c r="C803" s="13"/>
    </row>
    <row r="804" spans="1:3" ht="13" x14ac:dyDescent="0.15">
      <c r="A804" s="10"/>
      <c r="B804" s="13"/>
      <c r="C804" s="13"/>
    </row>
    <row r="805" spans="1:3" ht="13" x14ac:dyDescent="0.15">
      <c r="A805" s="10"/>
      <c r="B805" s="13"/>
      <c r="C805" s="13"/>
    </row>
    <row r="806" spans="1:3" ht="13" x14ac:dyDescent="0.15">
      <c r="A806" s="10"/>
      <c r="B806" s="13"/>
      <c r="C806" s="13"/>
    </row>
    <row r="807" spans="1:3" ht="13" x14ac:dyDescent="0.15">
      <c r="A807" s="10"/>
      <c r="B807" s="13"/>
      <c r="C807" s="13"/>
    </row>
    <row r="808" spans="1:3" ht="13" x14ac:dyDescent="0.15">
      <c r="A808" s="10"/>
      <c r="B808" s="13"/>
      <c r="C808" s="13"/>
    </row>
    <row r="809" spans="1:3" ht="13" x14ac:dyDescent="0.15">
      <c r="A809" s="10"/>
      <c r="B809" s="13"/>
      <c r="C809" s="13"/>
    </row>
    <row r="810" spans="1:3" ht="13" x14ac:dyDescent="0.15">
      <c r="A810" s="10"/>
      <c r="B810" s="13"/>
      <c r="C810" s="13"/>
    </row>
    <row r="811" spans="1:3" ht="13" x14ac:dyDescent="0.15">
      <c r="A811" s="10"/>
      <c r="B811" s="13"/>
      <c r="C811" s="13"/>
    </row>
    <row r="812" spans="1:3" ht="13" x14ac:dyDescent="0.15">
      <c r="A812" s="10"/>
      <c r="B812" s="13"/>
      <c r="C812" s="13"/>
    </row>
    <row r="813" spans="1:3" ht="13" x14ac:dyDescent="0.15">
      <c r="A813" s="10"/>
      <c r="B813" s="13"/>
      <c r="C813" s="13"/>
    </row>
    <row r="814" spans="1:3" ht="13" x14ac:dyDescent="0.15">
      <c r="A814" s="10"/>
      <c r="B814" s="13"/>
      <c r="C814" s="13"/>
    </row>
    <row r="815" spans="1:3" ht="13" x14ac:dyDescent="0.15">
      <c r="A815" s="10"/>
      <c r="B815" s="13"/>
      <c r="C815" s="13"/>
    </row>
    <row r="816" spans="1:3" ht="13" x14ac:dyDescent="0.15">
      <c r="A816" s="10"/>
      <c r="B816" s="13"/>
      <c r="C816" s="13"/>
    </row>
    <row r="817" spans="1:3" ht="13" x14ac:dyDescent="0.15">
      <c r="A817" s="10"/>
      <c r="B817" s="13"/>
      <c r="C817" s="13"/>
    </row>
    <row r="818" spans="1:3" ht="13" x14ac:dyDescent="0.15">
      <c r="A818" s="10"/>
      <c r="B818" s="13"/>
      <c r="C818" s="13"/>
    </row>
    <row r="819" spans="1:3" ht="13" x14ac:dyDescent="0.15">
      <c r="A819" s="10"/>
      <c r="B819" s="13"/>
      <c r="C819" s="13"/>
    </row>
    <row r="820" spans="1:3" ht="13" x14ac:dyDescent="0.15">
      <c r="A820" s="10"/>
      <c r="B820" s="13"/>
      <c r="C820" s="13"/>
    </row>
    <row r="821" spans="1:3" ht="13" x14ac:dyDescent="0.15">
      <c r="A821" s="10"/>
      <c r="B821" s="13"/>
      <c r="C821" s="13"/>
    </row>
    <row r="822" spans="1:3" ht="13" x14ac:dyDescent="0.15">
      <c r="A822" s="10"/>
      <c r="B822" s="13"/>
      <c r="C822" s="13"/>
    </row>
    <row r="823" spans="1:3" ht="13" x14ac:dyDescent="0.15">
      <c r="A823" s="10"/>
      <c r="B823" s="13"/>
      <c r="C823" s="13"/>
    </row>
    <row r="824" spans="1:3" ht="13" x14ac:dyDescent="0.15">
      <c r="A824" s="10"/>
      <c r="B824" s="13"/>
      <c r="C824" s="13"/>
    </row>
    <row r="825" spans="1:3" ht="13" x14ac:dyDescent="0.15">
      <c r="A825" s="10"/>
      <c r="B825" s="13"/>
      <c r="C825" s="13"/>
    </row>
    <row r="826" spans="1:3" ht="13" x14ac:dyDescent="0.15">
      <c r="A826" s="10"/>
      <c r="B826" s="13"/>
      <c r="C826" s="13"/>
    </row>
    <row r="827" spans="1:3" ht="13" x14ac:dyDescent="0.15">
      <c r="A827" s="10"/>
      <c r="B827" s="13"/>
      <c r="C827" s="13"/>
    </row>
    <row r="828" spans="1:3" ht="13" x14ac:dyDescent="0.15">
      <c r="A828" s="10"/>
      <c r="B828" s="13"/>
      <c r="C828" s="13"/>
    </row>
    <row r="829" spans="1:3" ht="13" x14ac:dyDescent="0.15">
      <c r="A829" s="10"/>
      <c r="B829" s="13"/>
      <c r="C829" s="13"/>
    </row>
    <row r="830" spans="1:3" ht="13" x14ac:dyDescent="0.15">
      <c r="A830" s="10"/>
      <c r="B830" s="13"/>
      <c r="C830" s="13"/>
    </row>
    <row r="831" spans="1:3" ht="13" x14ac:dyDescent="0.15">
      <c r="A831" s="10"/>
      <c r="B831" s="13"/>
      <c r="C831" s="13"/>
    </row>
    <row r="832" spans="1:3" ht="13" x14ac:dyDescent="0.15">
      <c r="A832" s="10"/>
      <c r="B832" s="13"/>
      <c r="C832" s="13"/>
    </row>
    <row r="833" spans="1:3" ht="13" x14ac:dyDescent="0.15">
      <c r="A833" s="10"/>
      <c r="B833" s="13"/>
      <c r="C833" s="13"/>
    </row>
    <row r="834" spans="1:3" ht="13" x14ac:dyDescent="0.15">
      <c r="A834" s="10"/>
      <c r="B834" s="13"/>
      <c r="C834" s="13"/>
    </row>
    <row r="835" spans="1:3" ht="13" x14ac:dyDescent="0.15">
      <c r="A835" s="10"/>
      <c r="B835" s="13"/>
      <c r="C835" s="13"/>
    </row>
    <row r="836" spans="1:3" ht="13" x14ac:dyDescent="0.15">
      <c r="A836" s="10"/>
      <c r="B836" s="13"/>
      <c r="C836" s="13"/>
    </row>
    <row r="837" spans="1:3" ht="13" x14ac:dyDescent="0.15">
      <c r="A837" s="10"/>
      <c r="B837" s="13"/>
      <c r="C837" s="13"/>
    </row>
    <row r="838" spans="1:3" ht="13" x14ac:dyDescent="0.15">
      <c r="A838" s="10"/>
      <c r="B838" s="13"/>
      <c r="C838" s="13"/>
    </row>
    <row r="839" spans="1:3" ht="13" x14ac:dyDescent="0.15">
      <c r="A839" s="10"/>
      <c r="B839" s="13"/>
      <c r="C839" s="13"/>
    </row>
    <row r="840" spans="1:3" ht="13" x14ac:dyDescent="0.15">
      <c r="A840" s="10"/>
      <c r="B840" s="13"/>
      <c r="C840" s="13"/>
    </row>
    <row r="841" spans="1:3" ht="13" x14ac:dyDescent="0.15">
      <c r="A841" s="10"/>
      <c r="B841" s="13"/>
      <c r="C841" s="13"/>
    </row>
    <row r="842" spans="1:3" ht="13" x14ac:dyDescent="0.15">
      <c r="A842" s="10"/>
      <c r="B842" s="13"/>
      <c r="C842" s="13"/>
    </row>
    <row r="843" spans="1:3" ht="13" x14ac:dyDescent="0.15">
      <c r="A843" s="10"/>
      <c r="B843" s="13"/>
      <c r="C843" s="13"/>
    </row>
    <row r="844" spans="1:3" ht="13" x14ac:dyDescent="0.15">
      <c r="A844" s="10"/>
      <c r="B844" s="13"/>
      <c r="C844" s="13"/>
    </row>
    <row r="845" spans="1:3" ht="13" x14ac:dyDescent="0.15">
      <c r="A845" s="10"/>
      <c r="B845" s="13"/>
      <c r="C845" s="13"/>
    </row>
    <row r="846" spans="1:3" ht="13" x14ac:dyDescent="0.15">
      <c r="A846" s="10"/>
      <c r="B846" s="13"/>
      <c r="C846" s="13"/>
    </row>
    <row r="847" spans="1:3" ht="13" x14ac:dyDescent="0.15">
      <c r="A847" s="10"/>
      <c r="B847" s="13"/>
      <c r="C847" s="13"/>
    </row>
    <row r="848" spans="1:3" ht="13" x14ac:dyDescent="0.15">
      <c r="A848" s="10"/>
      <c r="B848" s="13"/>
      <c r="C848" s="13"/>
    </row>
    <row r="849" spans="1:3" ht="13" x14ac:dyDescent="0.15">
      <c r="A849" s="10"/>
      <c r="B849" s="13"/>
      <c r="C849" s="13"/>
    </row>
    <row r="850" spans="1:3" ht="13" x14ac:dyDescent="0.15">
      <c r="A850" s="10"/>
      <c r="B850" s="13"/>
      <c r="C850" s="13"/>
    </row>
    <row r="851" spans="1:3" ht="13" x14ac:dyDescent="0.15">
      <c r="A851" s="10"/>
      <c r="B851" s="13"/>
      <c r="C851" s="13"/>
    </row>
    <row r="852" spans="1:3" ht="13" x14ac:dyDescent="0.15">
      <c r="A852" s="10"/>
      <c r="B852" s="13"/>
      <c r="C852" s="13"/>
    </row>
    <row r="853" spans="1:3" ht="13" x14ac:dyDescent="0.15">
      <c r="A853" s="10"/>
      <c r="B853" s="13"/>
      <c r="C853" s="13"/>
    </row>
    <row r="854" spans="1:3" ht="13" x14ac:dyDescent="0.15">
      <c r="A854" s="10"/>
      <c r="B854" s="13"/>
      <c r="C854" s="13"/>
    </row>
    <row r="855" spans="1:3" ht="13" x14ac:dyDescent="0.15">
      <c r="A855" s="10"/>
      <c r="B855" s="13"/>
      <c r="C855" s="13"/>
    </row>
    <row r="856" spans="1:3" ht="13" x14ac:dyDescent="0.15">
      <c r="A856" s="10"/>
      <c r="B856" s="13"/>
      <c r="C856" s="13"/>
    </row>
    <row r="857" spans="1:3" ht="13" x14ac:dyDescent="0.15">
      <c r="A857" s="10"/>
      <c r="B857" s="13"/>
      <c r="C857" s="13"/>
    </row>
    <row r="858" spans="1:3" ht="13" x14ac:dyDescent="0.15">
      <c r="A858" s="10"/>
      <c r="B858" s="13"/>
      <c r="C858" s="13"/>
    </row>
    <row r="859" spans="1:3" ht="13" x14ac:dyDescent="0.15">
      <c r="A859" s="10"/>
      <c r="B859" s="13"/>
      <c r="C859" s="13"/>
    </row>
    <row r="860" spans="1:3" ht="13" x14ac:dyDescent="0.15">
      <c r="A860" s="10"/>
      <c r="B860" s="13"/>
      <c r="C860" s="13"/>
    </row>
    <row r="861" spans="1:3" ht="13" x14ac:dyDescent="0.15">
      <c r="A861" s="10"/>
      <c r="B861" s="13"/>
      <c r="C861" s="13"/>
    </row>
    <row r="862" spans="1:3" ht="13" x14ac:dyDescent="0.15">
      <c r="A862" s="10"/>
      <c r="B862" s="13"/>
      <c r="C862" s="13"/>
    </row>
    <row r="863" spans="1:3" ht="13" x14ac:dyDescent="0.15">
      <c r="A863" s="10"/>
      <c r="B863" s="13"/>
      <c r="C863" s="13"/>
    </row>
    <row r="864" spans="1:3" ht="13" x14ac:dyDescent="0.15">
      <c r="A864" s="10"/>
      <c r="B864" s="13"/>
      <c r="C864" s="13"/>
    </row>
    <row r="865" spans="1:3" ht="13" x14ac:dyDescent="0.15">
      <c r="A865" s="10"/>
      <c r="B865" s="13"/>
      <c r="C865" s="13"/>
    </row>
    <row r="866" spans="1:3" ht="13" x14ac:dyDescent="0.15">
      <c r="A866" s="10"/>
      <c r="B866" s="13"/>
      <c r="C866" s="13"/>
    </row>
    <row r="867" spans="1:3" ht="13" x14ac:dyDescent="0.15">
      <c r="A867" s="10"/>
      <c r="B867" s="13"/>
      <c r="C867" s="13"/>
    </row>
    <row r="868" spans="1:3" ht="13" x14ac:dyDescent="0.15">
      <c r="A868" s="10"/>
      <c r="B868" s="13"/>
      <c r="C868" s="13"/>
    </row>
    <row r="869" spans="1:3" ht="13" x14ac:dyDescent="0.15">
      <c r="A869" s="10"/>
      <c r="B869" s="13"/>
      <c r="C869" s="13"/>
    </row>
    <row r="870" spans="1:3" ht="13" x14ac:dyDescent="0.15">
      <c r="A870" s="10"/>
      <c r="B870" s="13"/>
      <c r="C870" s="13"/>
    </row>
    <row r="871" spans="1:3" ht="13" x14ac:dyDescent="0.15">
      <c r="A871" s="10"/>
      <c r="B871" s="13"/>
      <c r="C871" s="13"/>
    </row>
    <row r="872" spans="1:3" ht="13" x14ac:dyDescent="0.15">
      <c r="A872" s="10"/>
      <c r="B872" s="13"/>
      <c r="C872" s="13"/>
    </row>
    <row r="873" spans="1:3" ht="13" x14ac:dyDescent="0.15">
      <c r="A873" s="10"/>
      <c r="B873" s="13"/>
      <c r="C873" s="13"/>
    </row>
    <row r="874" spans="1:3" ht="13" x14ac:dyDescent="0.15">
      <c r="A874" s="10"/>
      <c r="B874" s="13"/>
      <c r="C874" s="13"/>
    </row>
    <row r="875" spans="1:3" ht="13" x14ac:dyDescent="0.15">
      <c r="A875" s="10"/>
      <c r="B875" s="13"/>
      <c r="C875" s="13"/>
    </row>
    <row r="876" spans="1:3" ht="13" x14ac:dyDescent="0.15">
      <c r="A876" s="10"/>
      <c r="B876" s="13"/>
      <c r="C876" s="13"/>
    </row>
    <row r="877" spans="1:3" ht="13" x14ac:dyDescent="0.15">
      <c r="A877" s="10"/>
      <c r="B877" s="13"/>
      <c r="C877" s="13"/>
    </row>
    <row r="878" spans="1:3" ht="13" x14ac:dyDescent="0.15">
      <c r="A878" s="10"/>
      <c r="B878" s="13"/>
      <c r="C878" s="13"/>
    </row>
    <row r="879" spans="1:3" ht="13" x14ac:dyDescent="0.15">
      <c r="A879" s="10"/>
      <c r="B879" s="13"/>
      <c r="C879" s="13"/>
    </row>
    <row r="880" spans="1:3" ht="13" x14ac:dyDescent="0.15">
      <c r="A880" s="10"/>
      <c r="B880" s="13"/>
      <c r="C880" s="13"/>
    </row>
    <row r="881" spans="1:3" ht="13" x14ac:dyDescent="0.15">
      <c r="A881" s="10"/>
      <c r="B881" s="13"/>
      <c r="C881" s="13"/>
    </row>
    <row r="882" spans="1:3" ht="13" x14ac:dyDescent="0.15">
      <c r="A882" s="10"/>
      <c r="B882" s="13"/>
      <c r="C882" s="13"/>
    </row>
    <row r="883" spans="1:3" ht="13" x14ac:dyDescent="0.15">
      <c r="A883" s="10"/>
      <c r="B883" s="13"/>
      <c r="C883" s="13"/>
    </row>
    <row r="884" spans="1:3" ht="13" x14ac:dyDescent="0.15">
      <c r="A884" s="10"/>
      <c r="B884" s="13"/>
      <c r="C884" s="13"/>
    </row>
    <row r="885" spans="1:3" ht="13" x14ac:dyDescent="0.15">
      <c r="A885" s="10"/>
      <c r="B885" s="13"/>
      <c r="C885" s="13"/>
    </row>
    <row r="886" spans="1:3" ht="13" x14ac:dyDescent="0.15">
      <c r="A886" s="10"/>
      <c r="B886" s="13"/>
      <c r="C886" s="13"/>
    </row>
    <row r="887" spans="1:3" ht="13" x14ac:dyDescent="0.15">
      <c r="A887" s="10"/>
      <c r="B887" s="13"/>
      <c r="C887" s="13"/>
    </row>
    <row r="888" spans="1:3" ht="13" x14ac:dyDescent="0.15">
      <c r="A888" s="10"/>
      <c r="B888" s="13"/>
      <c r="C888" s="13"/>
    </row>
    <row r="889" spans="1:3" ht="13" x14ac:dyDescent="0.15">
      <c r="A889" s="10"/>
      <c r="B889" s="13"/>
      <c r="C889" s="13"/>
    </row>
    <row r="890" spans="1:3" ht="13" x14ac:dyDescent="0.15">
      <c r="A890" s="10"/>
      <c r="B890" s="13"/>
      <c r="C890" s="13"/>
    </row>
    <row r="891" spans="1:3" ht="13" x14ac:dyDescent="0.15">
      <c r="A891" s="10"/>
      <c r="B891" s="13"/>
      <c r="C891" s="13"/>
    </row>
    <row r="892" spans="1:3" ht="13" x14ac:dyDescent="0.15">
      <c r="A892" s="10"/>
      <c r="B892" s="13"/>
      <c r="C892" s="13"/>
    </row>
    <row r="893" spans="1:3" ht="13" x14ac:dyDescent="0.15">
      <c r="A893" s="10"/>
      <c r="B893" s="13"/>
      <c r="C893" s="13"/>
    </row>
    <row r="894" spans="1:3" ht="13" x14ac:dyDescent="0.15">
      <c r="A894" s="10"/>
      <c r="B894" s="13"/>
      <c r="C894" s="13"/>
    </row>
    <row r="895" spans="1:3" ht="13" x14ac:dyDescent="0.15">
      <c r="A895" s="10"/>
      <c r="B895" s="13"/>
      <c r="C895" s="13"/>
    </row>
    <row r="896" spans="1:3" ht="13" x14ac:dyDescent="0.15">
      <c r="A896" s="10"/>
      <c r="B896" s="13"/>
      <c r="C896" s="13"/>
    </row>
    <row r="897" spans="1:3" ht="13" x14ac:dyDescent="0.15">
      <c r="A897" s="10"/>
      <c r="B897" s="13"/>
      <c r="C897" s="13"/>
    </row>
    <row r="898" spans="1:3" ht="13" x14ac:dyDescent="0.15">
      <c r="A898" s="10"/>
      <c r="B898" s="13"/>
      <c r="C898" s="13"/>
    </row>
    <row r="899" spans="1:3" ht="13" x14ac:dyDescent="0.15">
      <c r="A899" s="10"/>
      <c r="B899" s="13"/>
      <c r="C899" s="13"/>
    </row>
    <row r="900" spans="1:3" ht="13" x14ac:dyDescent="0.15">
      <c r="A900" s="10"/>
      <c r="B900" s="13"/>
      <c r="C900" s="13"/>
    </row>
    <row r="901" spans="1:3" ht="13" x14ac:dyDescent="0.15">
      <c r="A901" s="10"/>
      <c r="B901" s="13"/>
      <c r="C901" s="13"/>
    </row>
    <row r="902" spans="1:3" ht="13" x14ac:dyDescent="0.15">
      <c r="A902" s="10"/>
      <c r="B902" s="13"/>
      <c r="C902" s="13"/>
    </row>
    <row r="903" spans="1:3" ht="13" x14ac:dyDescent="0.15">
      <c r="A903" s="10"/>
      <c r="B903" s="13"/>
      <c r="C903" s="13"/>
    </row>
    <row r="904" spans="1:3" ht="13" x14ac:dyDescent="0.15">
      <c r="A904" s="10"/>
      <c r="B904" s="13"/>
      <c r="C904" s="13"/>
    </row>
    <row r="905" spans="1:3" ht="13" x14ac:dyDescent="0.15">
      <c r="A905" s="10"/>
      <c r="B905" s="13"/>
      <c r="C905" s="13"/>
    </row>
    <row r="906" spans="1:3" ht="13" x14ac:dyDescent="0.15">
      <c r="A906" s="10"/>
      <c r="B906" s="13"/>
      <c r="C906" s="13"/>
    </row>
    <row r="907" spans="1:3" ht="13" x14ac:dyDescent="0.15">
      <c r="A907" s="10"/>
      <c r="B907" s="13"/>
      <c r="C907" s="13"/>
    </row>
    <row r="908" spans="1:3" ht="13" x14ac:dyDescent="0.15">
      <c r="A908" s="10"/>
      <c r="B908" s="13"/>
      <c r="C908" s="13"/>
    </row>
    <row r="909" spans="1:3" ht="13" x14ac:dyDescent="0.15">
      <c r="A909" s="10"/>
      <c r="B909" s="13"/>
      <c r="C909" s="13"/>
    </row>
    <row r="910" spans="1:3" ht="13" x14ac:dyDescent="0.15">
      <c r="A910" s="10"/>
      <c r="B910" s="13"/>
      <c r="C910" s="13"/>
    </row>
    <row r="911" spans="1:3" ht="13" x14ac:dyDescent="0.15">
      <c r="A911" s="10"/>
      <c r="B911" s="13"/>
      <c r="C911" s="13"/>
    </row>
    <row r="912" spans="1:3" ht="13" x14ac:dyDescent="0.15">
      <c r="A912" s="10"/>
      <c r="B912" s="13"/>
      <c r="C912" s="13"/>
    </row>
    <row r="913" spans="1:3" ht="13" x14ac:dyDescent="0.15">
      <c r="A913" s="10"/>
      <c r="B913" s="13"/>
      <c r="C913" s="13"/>
    </row>
    <row r="914" spans="1:3" ht="13" x14ac:dyDescent="0.15">
      <c r="A914" s="10"/>
      <c r="B914" s="13"/>
      <c r="C914" s="13"/>
    </row>
    <row r="915" spans="1:3" ht="13" x14ac:dyDescent="0.15">
      <c r="A915" s="10"/>
      <c r="B915" s="13"/>
      <c r="C915" s="13"/>
    </row>
    <row r="916" spans="1:3" ht="13" x14ac:dyDescent="0.15">
      <c r="A916" s="10"/>
      <c r="B916" s="13"/>
      <c r="C916" s="13"/>
    </row>
    <row r="917" spans="1:3" ht="13" x14ac:dyDescent="0.15">
      <c r="A917" s="10"/>
      <c r="B917" s="13"/>
      <c r="C917" s="13"/>
    </row>
    <row r="918" spans="1:3" ht="13" x14ac:dyDescent="0.15">
      <c r="A918" s="10"/>
      <c r="B918" s="13"/>
      <c r="C918" s="13"/>
    </row>
    <row r="919" spans="1:3" ht="13" x14ac:dyDescent="0.15">
      <c r="A919" s="10"/>
      <c r="B919" s="13"/>
      <c r="C919" s="13"/>
    </row>
    <row r="920" spans="1:3" ht="13" x14ac:dyDescent="0.15">
      <c r="A920" s="10"/>
      <c r="B920" s="13"/>
      <c r="C920" s="13"/>
    </row>
    <row r="921" spans="1:3" ht="13" x14ac:dyDescent="0.15">
      <c r="A921" s="10"/>
      <c r="B921" s="13"/>
      <c r="C921" s="13"/>
    </row>
    <row r="922" spans="1:3" ht="13" x14ac:dyDescent="0.15">
      <c r="A922" s="10"/>
      <c r="B922" s="13"/>
      <c r="C922" s="13"/>
    </row>
    <row r="923" spans="1:3" ht="13" x14ac:dyDescent="0.15">
      <c r="A923" s="10"/>
      <c r="B923" s="13"/>
      <c r="C923" s="13"/>
    </row>
    <row r="924" spans="1:3" ht="13" x14ac:dyDescent="0.15">
      <c r="A924" s="10"/>
      <c r="B924" s="13"/>
      <c r="C924" s="13"/>
    </row>
    <row r="925" spans="1:3" ht="13" x14ac:dyDescent="0.15">
      <c r="A925" s="10"/>
      <c r="B925" s="13"/>
      <c r="C925" s="13"/>
    </row>
    <row r="926" spans="1:3" ht="13" x14ac:dyDescent="0.15">
      <c r="A926" s="10"/>
      <c r="B926" s="13"/>
      <c r="C926" s="13"/>
    </row>
    <row r="927" spans="1:3" ht="13" x14ac:dyDescent="0.15">
      <c r="A927" s="10"/>
      <c r="B927" s="13"/>
      <c r="C927" s="13"/>
    </row>
    <row r="928" spans="1:3" ht="13" x14ac:dyDescent="0.15">
      <c r="A928" s="10"/>
      <c r="B928" s="13"/>
      <c r="C928" s="13"/>
    </row>
    <row r="929" spans="1:3" ht="13" x14ac:dyDescent="0.15">
      <c r="A929" s="10"/>
      <c r="B929" s="13"/>
      <c r="C929" s="13"/>
    </row>
    <row r="930" spans="1:3" ht="13" x14ac:dyDescent="0.15">
      <c r="A930" s="10"/>
      <c r="B930" s="13"/>
      <c r="C930" s="13"/>
    </row>
    <row r="931" spans="1:3" ht="13" x14ac:dyDescent="0.15">
      <c r="A931" s="10"/>
      <c r="B931" s="13"/>
      <c r="C931" s="13"/>
    </row>
    <row r="932" spans="1:3" ht="13" x14ac:dyDescent="0.15">
      <c r="A932" s="10"/>
      <c r="B932" s="13"/>
      <c r="C932" s="13"/>
    </row>
    <row r="933" spans="1:3" ht="13" x14ac:dyDescent="0.15">
      <c r="A933" s="10"/>
      <c r="B933" s="13"/>
      <c r="C933" s="13"/>
    </row>
    <row r="934" spans="1:3" ht="13" x14ac:dyDescent="0.15">
      <c r="A934" s="10"/>
      <c r="B934" s="13"/>
      <c r="C934" s="13"/>
    </row>
    <row r="935" spans="1:3" ht="13" x14ac:dyDescent="0.15">
      <c r="A935" s="10"/>
      <c r="B935" s="13"/>
      <c r="C935" s="13"/>
    </row>
    <row r="936" spans="1:3" ht="13" x14ac:dyDescent="0.15">
      <c r="A936" s="10"/>
      <c r="B936" s="13"/>
      <c r="C936" s="13"/>
    </row>
    <row r="937" spans="1:3" ht="13" x14ac:dyDescent="0.15">
      <c r="A937" s="10"/>
      <c r="B937" s="13"/>
      <c r="C937" s="13"/>
    </row>
    <row r="938" spans="1:3" ht="13" x14ac:dyDescent="0.15">
      <c r="A938" s="10"/>
      <c r="B938" s="13"/>
      <c r="C938" s="13"/>
    </row>
    <row r="939" spans="1:3" ht="13" x14ac:dyDescent="0.15">
      <c r="A939" s="10"/>
      <c r="B939" s="13"/>
      <c r="C939" s="13"/>
    </row>
    <row r="940" spans="1:3" ht="13" x14ac:dyDescent="0.15">
      <c r="A940" s="10"/>
      <c r="B940" s="13"/>
      <c r="C940" s="13"/>
    </row>
    <row r="941" spans="1:3" ht="13" x14ac:dyDescent="0.15">
      <c r="A941" s="10"/>
      <c r="B941" s="13"/>
      <c r="C941" s="13"/>
    </row>
    <row r="942" spans="1:3" ht="13" x14ac:dyDescent="0.15">
      <c r="A942" s="10"/>
      <c r="B942" s="13"/>
      <c r="C942" s="13"/>
    </row>
    <row r="943" spans="1:3" ht="13" x14ac:dyDescent="0.15">
      <c r="A943" s="10"/>
      <c r="B943" s="13"/>
      <c r="C943" s="13"/>
    </row>
    <row r="944" spans="1:3" ht="13" x14ac:dyDescent="0.15">
      <c r="A944" s="10"/>
      <c r="B944" s="13"/>
      <c r="C944" s="13"/>
    </row>
    <row r="945" spans="1:3" ht="13" x14ac:dyDescent="0.15">
      <c r="A945" s="10"/>
      <c r="B945" s="13"/>
      <c r="C945" s="13"/>
    </row>
    <row r="946" spans="1:3" ht="13" x14ac:dyDescent="0.15">
      <c r="A946" s="10"/>
      <c r="B946" s="13"/>
      <c r="C946" s="13"/>
    </row>
    <row r="947" spans="1:3" ht="13" x14ac:dyDescent="0.15">
      <c r="A947" s="10"/>
      <c r="B947" s="13"/>
      <c r="C947" s="13"/>
    </row>
    <row r="948" spans="1:3" ht="13" x14ac:dyDescent="0.15">
      <c r="A948" s="10"/>
      <c r="B948" s="13"/>
      <c r="C948" s="13"/>
    </row>
    <row r="949" spans="1:3" ht="13" x14ac:dyDescent="0.15">
      <c r="A949" s="10"/>
      <c r="B949" s="13"/>
      <c r="C949" s="13"/>
    </row>
    <row r="950" spans="1:3" ht="13" x14ac:dyDescent="0.15">
      <c r="A950" s="10"/>
      <c r="B950" s="13"/>
      <c r="C950" s="13"/>
    </row>
    <row r="951" spans="1:3" ht="13" x14ac:dyDescent="0.15">
      <c r="A951" s="10"/>
      <c r="B951" s="13"/>
      <c r="C951" s="13"/>
    </row>
    <row r="952" spans="1:3" ht="13" x14ac:dyDescent="0.15">
      <c r="A952" s="10"/>
      <c r="B952" s="13"/>
      <c r="C952" s="13"/>
    </row>
    <row r="953" spans="1:3" ht="13" x14ac:dyDescent="0.15">
      <c r="A953" s="10"/>
      <c r="B953" s="13"/>
      <c r="C953" s="13"/>
    </row>
    <row r="954" spans="1:3" ht="13" x14ac:dyDescent="0.15">
      <c r="A954" s="10"/>
      <c r="B954" s="13"/>
      <c r="C954" s="13"/>
    </row>
    <row r="955" spans="1:3" ht="13" x14ac:dyDescent="0.15">
      <c r="A955" s="10"/>
      <c r="B955" s="13"/>
      <c r="C955" s="13"/>
    </row>
    <row r="956" spans="1:3" ht="13" x14ac:dyDescent="0.15">
      <c r="A956" s="10"/>
      <c r="B956" s="13"/>
      <c r="C956" s="13"/>
    </row>
    <row r="957" spans="1:3" ht="13" x14ac:dyDescent="0.15">
      <c r="A957" s="10"/>
      <c r="B957" s="13"/>
      <c r="C957" s="13"/>
    </row>
    <row r="958" spans="1:3" ht="13" x14ac:dyDescent="0.15">
      <c r="A958" s="10"/>
      <c r="B958" s="13"/>
      <c r="C958" s="13"/>
    </row>
    <row r="959" spans="1:3" ht="13" x14ac:dyDescent="0.15">
      <c r="A959" s="10"/>
      <c r="B959" s="13"/>
      <c r="C959" s="13"/>
    </row>
    <row r="960" spans="1:3" ht="13" x14ac:dyDescent="0.15">
      <c r="A960" s="10"/>
      <c r="B960" s="13"/>
      <c r="C960" s="13"/>
    </row>
    <row r="961" spans="1:3" ht="13" x14ac:dyDescent="0.15">
      <c r="A961" s="10"/>
      <c r="B961" s="13"/>
      <c r="C961" s="13"/>
    </row>
    <row r="962" spans="1:3" ht="13" x14ac:dyDescent="0.15">
      <c r="A962" s="10"/>
      <c r="B962" s="13"/>
      <c r="C962" s="13"/>
    </row>
    <row r="963" spans="1:3" ht="13" x14ac:dyDescent="0.15">
      <c r="A963" s="10"/>
      <c r="B963" s="13"/>
      <c r="C963" s="13"/>
    </row>
    <row r="964" spans="1:3" ht="13" x14ac:dyDescent="0.15">
      <c r="A964" s="10"/>
      <c r="B964" s="13"/>
      <c r="C964" s="13"/>
    </row>
    <row r="965" spans="1:3" ht="13" x14ac:dyDescent="0.15">
      <c r="A965" s="10"/>
      <c r="B965" s="13"/>
      <c r="C965" s="13"/>
    </row>
    <row r="966" spans="1:3" ht="13" x14ac:dyDescent="0.15">
      <c r="A966" s="10"/>
      <c r="B966" s="13"/>
      <c r="C966" s="13"/>
    </row>
    <row r="967" spans="1:3" ht="13" x14ac:dyDescent="0.15">
      <c r="A967" s="10"/>
      <c r="B967" s="13"/>
      <c r="C967" s="13"/>
    </row>
    <row r="968" spans="1:3" ht="13" x14ac:dyDescent="0.15">
      <c r="A968" s="10"/>
      <c r="B968" s="13"/>
      <c r="C968" s="13"/>
    </row>
    <row r="969" spans="1:3" ht="13" x14ac:dyDescent="0.15">
      <c r="A969" s="10"/>
      <c r="B969" s="13"/>
      <c r="C969" s="13"/>
    </row>
    <row r="970" spans="1:3" ht="13" x14ac:dyDescent="0.15">
      <c r="A970" s="10"/>
      <c r="B970" s="13"/>
      <c r="C970" s="13"/>
    </row>
    <row r="971" spans="1:3" ht="13" x14ac:dyDescent="0.15">
      <c r="A971" s="10"/>
      <c r="B971" s="13"/>
      <c r="C971" s="13"/>
    </row>
    <row r="972" spans="1:3" ht="13" x14ac:dyDescent="0.15">
      <c r="A972" s="10"/>
      <c r="B972" s="13"/>
      <c r="C972" s="13"/>
    </row>
    <row r="973" spans="1:3" ht="13" x14ac:dyDescent="0.15">
      <c r="A973" s="10"/>
      <c r="B973" s="13"/>
      <c r="C973" s="13"/>
    </row>
    <row r="974" spans="1:3" ht="13" x14ac:dyDescent="0.15">
      <c r="A974" s="10"/>
      <c r="B974" s="13"/>
      <c r="C974" s="13"/>
    </row>
    <row r="975" spans="1:3" ht="13" x14ac:dyDescent="0.15">
      <c r="A975" s="10"/>
      <c r="B975" s="13"/>
      <c r="C975" s="13"/>
    </row>
    <row r="976" spans="1:3" ht="13" x14ac:dyDescent="0.15">
      <c r="A976" s="10"/>
      <c r="B976" s="13"/>
      <c r="C976" s="13"/>
    </row>
    <row r="977" spans="1:3" ht="13" x14ac:dyDescent="0.15">
      <c r="A977" s="10"/>
      <c r="B977" s="13"/>
      <c r="C977" s="13"/>
    </row>
    <row r="978" spans="1:3" ht="13" x14ac:dyDescent="0.15">
      <c r="A978" s="10"/>
      <c r="B978" s="13"/>
      <c r="C978" s="13"/>
    </row>
    <row r="979" spans="1:3" ht="13" x14ac:dyDescent="0.15">
      <c r="A979" s="10"/>
      <c r="B979" s="13"/>
      <c r="C979" s="13"/>
    </row>
    <row r="980" spans="1:3" ht="13" x14ac:dyDescent="0.15">
      <c r="A980" s="10"/>
      <c r="B980" s="13"/>
      <c r="C980" s="13"/>
    </row>
    <row r="981" spans="1:3" ht="13" x14ac:dyDescent="0.15">
      <c r="A981" s="10"/>
      <c r="B981" s="13"/>
      <c r="C981" s="13"/>
    </row>
    <row r="982" spans="1:3" ht="13" x14ac:dyDescent="0.15">
      <c r="A982" s="10"/>
      <c r="B982" s="13"/>
      <c r="C982" s="13"/>
    </row>
    <row r="983" spans="1:3" ht="13" x14ac:dyDescent="0.15">
      <c r="A983" s="10"/>
      <c r="B983" s="13"/>
      <c r="C983" s="13"/>
    </row>
    <row r="984" spans="1:3" ht="13" x14ac:dyDescent="0.15">
      <c r="A984" s="10"/>
      <c r="B984" s="13"/>
      <c r="C984" s="13"/>
    </row>
    <row r="985" spans="1:3" ht="13" x14ac:dyDescent="0.15">
      <c r="A985" s="10"/>
      <c r="B985" s="13"/>
      <c r="C985" s="13"/>
    </row>
    <row r="986" spans="1:3" ht="13" x14ac:dyDescent="0.15">
      <c r="A986" s="10"/>
      <c r="B986" s="13"/>
      <c r="C986" s="13"/>
    </row>
    <row r="987" spans="1:3" ht="13" x14ac:dyDescent="0.15">
      <c r="A987" s="10"/>
      <c r="B987" s="13"/>
      <c r="C987" s="13"/>
    </row>
    <row r="988" spans="1:3" ht="13" x14ac:dyDescent="0.15">
      <c r="A988" s="10"/>
      <c r="B988" s="13"/>
      <c r="C988" s="13"/>
    </row>
    <row r="989" spans="1:3" ht="13" x14ac:dyDescent="0.15">
      <c r="A989" s="10"/>
      <c r="B989" s="13"/>
      <c r="C989" s="13"/>
    </row>
    <row r="990" spans="1:3" ht="13" x14ac:dyDescent="0.15">
      <c r="A990" s="10"/>
      <c r="B990" s="13"/>
      <c r="C990" s="13"/>
    </row>
    <row r="991" spans="1:3" ht="13" x14ac:dyDescent="0.15">
      <c r="A991" s="10"/>
      <c r="B991" s="13"/>
      <c r="C991" s="13"/>
    </row>
    <row r="992" spans="1:3" ht="13" x14ac:dyDescent="0.15">
      <c r="A992" s="10"/>
      <c r="B992" s="13"/>
      <c r="C992" s="13"/>
    </row>
    <row r="993" spans="1:3" ht="13" x14ac:dyDescent="0.15">
      <c r="A993" s="10"/>
      <c r="B993" s="13"/>
      <c r="C993" s="13"/>
    </row>
    <row r="994" spans="1:3" ht="13" x14ac:dyDescent="0.15">
      <c r="A994" s="10"/>
      <c r="B994" s="13"/>
      <c r="C994" s="13"/>
    </row>
    <row r="995" spans="1:3" ht="13" x14ac:dyDescent="0.15">
      <c r="A995" s="10"/>
      <c r="B995" s="13"/>
      <c r="C995" s="13"/>
    </row>
    <row r="996" spans="1:3" ht="13" x14ac:dyDescent="0.15">
      <c r="A996" s="10"/>
      <c r="B996" s="13"/>
      <c r="C996" s="13"/>
    </row>
    <row r="997" spans="1:3" ht="13" x14ac:dyDescent="0.15">
      <c r="A997" s="10"/>
      <c r="B997" s="13"/>
      <c r="C997" s="13"/>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outlinePr summaryBelow="0" summaryRight="0"/>
  </sheetPr>
  <dimension ref="A1:D997"/>
  <sheetViews>
    <sheetView workbookViewId="0"/>
  </sheetViews>
  <sheetFormatPr baseColWidth="10" defaultColWidth="12.6640625" defaultRowHeight="15.75" customHeight="1" x14ac:dyDescent="0.15"/>
  <cols>
    <col min="1" max="1" width="71.5" customWidth="1"/>
    <col min="2" max="4" width="37.6640625" customWidth="1"/>
  </cols>
  <sheetData>
    <row r="1" spans="1:4" ht="15.75" customHeight="1" x14ac:dyDescent="0.15">
      <c r="A1" s="1"/>
      <c r="B1" s="10" t="str">
        <f ca="1">IFERROR(__xludf.DUMMYFUNCTION("IMPORTRANGE(""https://docs.google.com/spreadsheets/u/0/d/1v3alDV9sI-Ng7OoZouCf4a0CI5tv_Xg2T3WprxxRGRs"", ""A30!B1:B22"")"),"Tyler")</f>
        <v>Tyler</v>
      </c>
      <c r="C1" s="10" t="str">
        <f ca="1">IFERROR(__xludf.DUMMYFUNCTION("IMPORTRANGE(""https://docs.google.com/spreadsheets/u/0/d/1Rfwd61p8X8kU1VBE4PFTeYG7-2eZzi6BYhKfon6XtRs"", ""A30!B1:B22"")"),"Korie Hall")</f>
        <v>Korie Hall</v>
      </c>
      <c r="D1" s="2" t="s">
        <v>1</v>
      </c>
    </row>
    <row r="2" spans="1:4" ht="15.75" customHeight="1" x14ac:dyDescent="0.15">
      <c r="A2" s="3" t="s">
        <v>2</v>
      </c>
      <c r="B2" s="15" t="str">
        <f ca="1">IFERROR(__xludf.DUMMYFUNCTION("""COMPUTED_VALUE"""),"19883-22186
FOW
")</f>
        <v xml:space="preserve">19883-22186
FOW
</v>
      </c>
      <c r="C2" s="15" t="str">
        <f ca="1">IFERROR(__xludf.DUMMYFUNCTION("""COMPUTED_VALUE"""),"Start: 19883")</f>
        <v>Start: 19883</v>
      </c>
      <c r="D2" s="4"/>
    </row>
    <row r="3" spans="1:4" ht="15.75" customHeight="1" x14ac:dyDescent="0.15">
      <c r="A3" s="5" t="s">
        <v>3</v>
      </c>
      <c r="B3" s="17" t="str">
        <f ca="1">IFERROR(__xludf.DUMMYFUNCTION("""COMPUTED_VALUE"""),"30-phamerator 
29-DNA Master
")</f>
        <v xml:space="preserve">30-phamerator 
29-DNA Master
</v>
      </c>
      <c r="C3" s="17" t="str">
        <f ca="1">IFERROR(__xludf.DUMMYFUNCTION("""COMPUTED_VALUE"""),"DNA Master: Gene 29")</f>
        <v>DNA Master: Gene 29</v>
      </c>
      <c r="D3" s="6"/>
    </row>
    <row r="4" spans="1:4" ht="15.75" customHeight="1" x14ac:dyDescent="0.15">
      <c r="A4" s="5" t="s">
        <v>4</v>
      </c>
      <c r="B4" s="17" t="str">
        <f ca="1">IFERROR(__xludf.DUMMYFUNCTION("""COMPUTED_VALUE"""),"pham 9333 3/3/25")</f>
        <v>pham 9333 3/3/25</v>
      </c>
      <c r="C4" s="17">
        <f ca="1">IFERROR(__xludf.DUMMYFUNCTION("""COMPUTED_VALUE"""),9333)</f>
        <v>9333</v>
      </c>
      <c r="D4" s="6"/>
    </row>
    <row r="5" spans="1:4" ht="15.75" customHeight="1" x14ac:dyDescent="0.15">
      <c r="A5" s="5" t="s">
        <v>5</v>
      </c>
      <c r="B5" s="17" t="str">
        <f ca="1">IFERROR(__xludf.DUMMYFUNCTION("""COMPUTED_VALUE"""),"Kovu_31
Audell_4
")</f>
        <v xml:space="preserve">Kovu_31
Audell_4
</v>
      </c>
      <c r="C5" s="17" t="str">
        <f ca="1">IFERROR(__xludf.DUMMYFUNCTION("""COMPUTED_VALUE"""),"Kovu_31")</f>
        <v>Kovu_31</v>
      </c>
      <c r="D5" s="6"/>
    </row>
    <row r="6" spans="1:4" ht="15.75" customHeight="1" x14ac:dyDescent="0.15">
      <c r="A6" s="5" t="s">
        <v>6</v>
      </c>
      <c r="B6" s="17" t="str">
        <f ca="1">IFERROR(__xludf.DUMMYFUNCTION("""COMPUTED_VALUE"""),"both call @bp 19883, strength 15.72")</f>
        <v>both call @bp 19883, strength 15.72</v>
      </c>
      <c r="C6" s="17" t="str">
        <f ca="1">IFERROR(__xludf.DUMMYFUNCTION("""COMPUTED_VALUE"""),"Glimmer and GeneMark call the gene")</f>
        <v>Glimmer and GeneMark call the gene</v>
      </c>
      <c r="D6" s="6"/>
    </row>
    <row r="7" spans="1:4" ht="15.75" customHeight="1" x14ac:dyDescent="0.15">
      <c r="A7" s="5" t="s">
        <v>7</v>
      </c>
      <c r="B7" s="17" t="str">
        <f ca="1">IFERROR(__xludf.DUMMYFUNCTION("""COMPUTED_VALUE"""),"yes, all included ")</f>
        <v xml:space="preserve">yes, all included </v>
      </c>
      <c r="C7" s="17" t="str">
        <f ca="1">IFERROR(__xludf.DUMMYFUNCTION("""COMPUTED_VALUE"""),"All coding potential is included in the start")</f>
        <v>All coding potential is included in the start</v>
      </c>
      <c r="D7" s="6"/>
    </row>
    <row r="8" spans="1:4" ht="15.75" customHeight="1" x14ac:dyDescent="0.15">
      <c r="A8" s="5" t="s">
        <v>8</v>
      </c>
      <c r="B8" s="17" t="str">
        <f ca="1">IFERROR(__xludf.DUMMYFUNCTION("""COMPUTED_VALUE"""),"Yes")</f>
        <v>Yes</v>
      </c>
      <c r="C8" s="17" t="str">
        <f ca="1">IFERROR(__xludf.DUMMYFUNCTION("""COMPUTED_VALUE"""),"Yes")</f>
        <v>Yes</v>
      </c>
      <c r="D8" s="6"/>
    </row>
    <row r="9" spans="1:4" ht="15.75" customHeight="1" x14ac:dyDescent="0.15">
      <c r="A9" s="5" t="s">
        <v>9</v>
      </c>
      <c r="B9" s="17" t="str">
        <f ca="1">IFERROR(__xludf.DUMMYFUNCTION("""COMPUTED_VALUE"""),"1 nt overlap ")</f>
        <v xml:space="preserve">1 nt overlap </v>
      </c>
      <c r="C9" s="17" t="str">
        <f ca="1">IFERROR(__xludf.DUMMYFUNCTION("""COMPUTED_VALUE"""),"3 bp overlap between the stop codon of gene 30 and the start codon of gene 31")</f>
        <v>3 bp overlap between the stop codon of gene 30 and the start codon of gene 31</v>
      </c>
      <c r="D9" s="6"/>
    </row>
    <row r="10" spans="1:4" ht="15.75" customHeight="1" x14ac:dyDescent="0.15">
      <c r="A10" s="5" t="s">
        <v>10</v>
      </c>
      <c r="B10" s="17" t="str">
        <f ca="1">IFERROR(__xludf.DUMMYFUNCTION("""COMPUTED_VALUE"""),"current start has best Z score; 2.957")</f>
        <v>current start has best Z score; 2.957</v>
      </c>
      <c r="C10" s="17" t="str">
        <f ca="1">IFERROR(__xludf.DUMMYFUNCTION("""COMPUTED_VALUE"""),"Z-score: 2.957")</f>
        <v>Z-score: 2.957</v>
      </c>
      <c r="D10" s="6"/>
    </row>
    <row r="11" spans="1:4" ht="15.75" customHeight="1" x14ac:dyDescent="0.15">
      <c r="A11" s="5" t="s">
        <v>11</v>
      </c>
      <c r="B11" s="17" t="str">
        <f ca="1">IFERROR(__xludf.DUMMYFUNCTION("""COMPUTED_VALUE"""),"Kovu_31; % identity 88.79%; E-Value 0.0E0; Q1:T1
Kharcho_102; % identity 70.53; E-Value 0.0E0; Q3:T2
Sonali_26; % identity 61.34; E-Value 0.0E0; Q3:T86
")</f>
        <v xml:space="preserve">Kovu_31; % identity 88.79%; E-Value 0.0E0; Q1:T1
Kharcho_102; % identity 70.53; E-Value 0.0E0; Q3:T2
Sonali_26; % identity 61.34; E-Value 0.0E0; Q3:T86
</v>
      </c>
      <c r="C11" s="17" t="str">
        <f ca="1">IFERROR(__xludf.DUMMYFUNCTION("""COMPUTED_VALUE"""),"Kovu_31 - % identity: 89% / e-value: 0.0 / q1:s1")</f>
        <v>Kovu_31 - % identity: 89% / e-value: 0.0 / q1:s1</v>
      </c>
      <c r="D11" s="6"/>
    </row>
    <row r="12" spans="1:4" ht="15.75" customHeight="1" x14ac:dyDescent="0.15">
      <c r="A12" s="5" t="s">
        <v>12</v>
      </c>
      <c r="B12" s="17" t="str">
        <f ca="1">IFERROR(__xludf.DUMMYFUNCTION("""COMPUTED_VALUE"""),"not conserved
called 3 out of 5 times
all genes that have it call it 
")</f>
        <v xml:space="preserve">not conserved
called 3 out of 5 times
all genes that have it call it 
</v>
      </c>
      <c r="C12" s="17" t="str">
        <f ca="1">IFERROR(__xludf.DUMMYFUNCTION("""COMPUTED_VALUE"""),"No, only 4 of 16 members called the start codon")</f>
        <v>No, only 4 of 16 members called the start codon</v>
      </c>
      <c r="D12" s="6"/>
    </row>
    <row r="13" spans="1:4" ht="15.75" customHeight="1" x14ac:dyDescent="0.15">
      <c r="A13" s="5" t="s">
        <v>13</v>
      </c>
      <c r="B13" s="17" t="str">
        <f ca="1">IFERROR(__xludf.DUMMYFUNCTION("""COMPUTED_VALUE"""),"No, there is no evidence to change start; all genes that have it call it, Z score is good. ")</f>
        <v xml:space="preserve">No, there is no evidence to change start; all genes that have it call it, Z score is good. </v>
      </c>
      <c r="C13" s="17" t="str">
        <f ca="1">IFERROR(__xludf.DUMMYFUNCTION("""COMPUTED_VALUE"""),"No, the start is supported well")</f>
        <v>No, the start is supported well</v>
      </c>
      <c r="D13" s="6"/>
    </row>
    <row r="14" spans="1:4" ht="15.75" customHeight="1" x14ac:dyDescent="0.15">
      <c r="A14" s="5" t="s">
        <v>14</v>
      </c>
      <c r="B14" s="17" t="str">
        <f ca="1">IFERROR(__xludf.DUMMYFUNCTION("""COMPUTED_VALUE"""),"Kovu_31 0.0E0
Kharcho_102 0.0E0
Sonali_26 0.0E0
")</f>
        <v xml:space="preserve">Kovu_31 0.0E0
Kharcho_102 0.0E0
Sonali_26 0.0E0
</v>
      </c>
      <c r="C14" s="17" t="str">
        <f ca="1">IFERROR(__xludf.DUMMYFUNCTION("""COMPUTED_VALUE"""),"Kovu_31 - e-value: 0.0")</f>
        <v>Kovu_31 - e-value: 0.0</v>
      </c>
      <c r="D14" s="6"/>
    </row>
    <row r="15" spans="1:4" ht="15.75" customHeight="1" x14ac:dyDescent="0.15">
      <c r="A15" s="5" t="s">
        <v>15</v>
      </c>
      <c r="B15" s="17" t="str">
        <f ca="1">IFERROR(__xludf.DUMMYFUNCTION("""COMPUTED_VALUE"""),"hypothetical protein 
hypothetical protein
virion structural protein 
")</f>
        <v xml:space="preserve">hypothetical protein 
hypothetical protein
virion structural protein 
</v>
      </c>
      <c r="C15" s="17" t="str">
        <f ca="1">IFERROR(__xludf.DUMMYFUNCTION("""COMPUTED_VALUE"""),"Kovu_31 - function unknown")</f>
        <v>Kovu_31 - function unknown</v>
      </c>
      <c r="D15" s="6"/>
    </row>
    <row r="16" spans="1:4" ht="15.75" customHeight="1" x14ac:dyDescent="0.15">
      <c r="A16" s="5" t="s">
        <v>16</v>
      </c>
      <c r="B16" s="17" t="str">
        <f ca="1">IFERROR(__xludf.DUMMYFUNCTION("""COMPUTED_VALUE"""),"Genetic environment is most similar to Kovu
")</f>
        <v xml:space="preserve">Genetic environment is most similar to Kovu
</v>
      </c>
      <c r="C16" s="17" t="str">
        <f ca="1">IFERROR(__xludf.DUMMYFUNCTION("""COMPUTED_VALUE"""),"Gene is as expected to be in genome / adjacent to Kovu_31")</f>
        <v>Gene is as expected to be in genome / adjacent to Kovu_31</v>
      </c>
      <c r="D16" s="6"/>
    </row>
    <row r="17" spans="1:4" ht="15.75" customHeight="1" x14ac:dyDescent="0.15">
      <c r="A17" s="5" t="s">
        <v>17</v>
      </c>
      <c r="B17" s="17" t="str">
        <f ca="1">IFERROR(__xludf.DUMMYFUNCTION("""COMPUTED_VALUE"""),"Phage-like element PBSX protein XepA; lytic system, prophage, CM binding, pentamer, VIRAL PROTEIN
Probability: 94.36%
% alignment of Q: 26.85%
% alignment of T: 73.83% 
Yes
")</f>
        <v xml:space="preserve">Phage-like element PBSX protein XepA; lytic system, prophage, CM binding, pentamer, VIRAL PROTEIN
Probability: 94.36%
% alignment of Q: 26.85%
% alignment of T: 73.83% 
Yes
</v>
      </c>
      <c r="C17" s="17" t="str">
        <f ca="1">IFERROR(__xludf.DUMMYFUNCTION("""COMPUTED_VALUE"""),"End_beta_barrel; Beta barrel domain of bacteriophage endosialidase")</f>
        <v>End_beta_barrel; Beta barrel domain of bacteriophage endosialidase</v>
      </c>
      <c r="D17" s="6"/>
    </row>
    <row r="18" spans="1:4" ht="15.75" customHeight="1" x14ac:dyDescent="0.15">
      <c r="A18" s="5" t="s">
        <v>18</v>
      </c>
      <c r="B18" s="17" t="str">
        <f ca="1">IFERROR(__xludf.DUMMYFUNCTION("""COMPUTED_VALUE"""),"No")</f>
        <v>No</v>
      </c>
      <c r="C18" s="17" t="str">
        <f ca="1">IFERROR(__xludf.DUMMYFUNCTION("""COMPUTED_VALUE"""),"No conserved domain identified")</f>
        <v>No conserved domain identified</v>
      </c>
      <c r="D18" s="6"/>
    </row>
    <row r="19" spans="1:4" ht="15.75" customHeight="1" x14ac:dyDescent="0.15">
      <c r="A19" s="5" t="s">
        <v>19</v>
      </c>
      <c r="B19" s="17" t="str">
        <f ca="1">IFERROR(__xludf.DUMMYFUNCTION("""COMPUTED_VALUE"""),"No")</f>
        <v>No</v>
      </c>
      <c r="C19" s="17" t="str">
        <f ca="1">IFERROR(__xludf.DUMMYFUNCTION("""COMPUTED_VALUE"""),"No membrane identified")</f>
        <v>No membrane identified</v>
      </c>
      <c r="D19" s="6"/>
    </row>
    <row r="20" spans="1:4" ht="15.75" customHeight="1" x14ac:dyDescent="0.15">
      <c r="A20" s="5" t="s">
        <v>20</v>
      </c>
      <c r="B20" s="17" t="str">
        <f ca="1">IFERROR(__xludf.DUMMYFUNCTION("""COMPUTED_VALUE"""),"hypothetical protein, Genemark and Glimmer both think this is a gene however there is not enough evidence to conclude its exact function. 
")</f>
        <v xml:space="preserve">hypothetical protein, Genemark and Glimmer both think this is a gene however there is not enough evidence to conclude its exact function. 
</v>
      </c>
      <c r="C20" s="17" t="str">
        <f ca="1">IFERROR(__xludf.DUMMYFUNCTION("""COMPUTED_VALUE"""),"Hypothetical protein ( Rationale: There is not enough solid evidence to call a function on this gene )")</f>
        <v>Hypothetical protein ( Rationale: There is not enough solid evidence to call a function on this gene )</v>
      </c>
      <c r="D20" s="6"/>
    </row>
    <row r="21" spans="1:4" x14ac:dyDescent="0.2">
      <c r="A21" s="7"/>
      <c r="B21" s="19"/>
      <c r="C21" s="19"/>
      <c r="D21" s="8"/>
    </row>
    <row r="22" spans="1:4" ht="15.75" customHeight="1" x14ac:dyDescent="0.15">
      <c r="A22" s="9" t="s">
        <v>21</v>
      </c>
      <c r="B22" s="19"/>
      <c r="C22" s="19"/>
      <c r="D22" s="8"/>
    </row>
    <row r="23" spans="1:4" ht="15.75" customHeight="1" x14ac:dyDescent="0.15">
      <c r="A23" s="10"/>
      <c r="B23" s="13"/>
      <c r="C23" s="13"/>
    </row>
    <row r="24" spans="1:4" ht="15.75" customHeight="1" x14ac:dyDescent="0.15">
      <c r="A24" s="10"/>
      <c r="B24" s="13"/>
      <c r="C24" s="13"/>
    </row>
    <row r="25" spans="1:4" ht="15.75" customHeight="1" x14ac:dyDescent="0.15">
      <c r="A25" s="10"/>
      <c r="B25" s="13"/>
      <c r="C25" s="13"/>
    </row>
    <row r="26" spans="1:4" ht="15.75" customHeight="1" x14ac:dyDescent="0.15">
      <c r="A26" s="10"/>
      <c r="B26" s="13"/>
      <c r="C26" s="13"/>
    </row>
    <row r="27" spans="1:4" ht="15.75" customHeight="1" x14ac:dyDescent="0.15">
      <c r="A27" s="10"/>
      <c r="B27" s="13"/>
      <c r="C27" s="13"/>
    </row>
    <row r="28" spans="1:4" ht="15.75" customHeight="1" x14ac:dyDescent="0.15">
      <c r="A28" s="10"/>
      <c r="B28" s="13"/>
      <c r="C28" s="13"/>
    </row>
    <row r="29" spans="1:4" ht="15.75" customHeight="1" x14ac:dyDescent="0.15">
      <c r="A29" s="10"/>
      <c r="B29" s="13"/>
      <c r="C29" s="13"/>
    </row>
    <row r="30" spans="1:4" ht="15.75" customHeight="1" x14ac:dyDescent="0.15">
      <c r="A30" s="10"/>
      <c r="B30" s="13"/>
      <c r="C30" s="13"/>
    </row>
    <row r="31" spans="1:4" ht="15.75" customHeight="1" x14ac:dyDescent="0.15">
      <c r="A31" s="10"/>
      <c r="B31" s="13"/>
      <c r="C31" s="13"/>
    </row>
    <row r="32" spans="1:4" ht="15.75" customHeight="1" x14ac:dyDescent="0.15">
      <c r="A32" s="10"/>
      <c r="B32" s="13"/>
      <c r="C32" s="13"/>
    </row>
    <row r="33" spans="1:3" ht="15.75" customHeight="1" x14ac:dyDescent="0.15">
      <c r="A33" s="10"/>
      <c r="B33" s="13"/>
      <c r="C33" s="13"/>
    </row>
    <row r="34" spans="1:3" ht="15.75" customHeight="1" x14ac:dyDescent="0.15">
      <c r="A34" s="10"/>
      <c r="B34" s="13"/>
      <c r="C34" s="13"/>
    </row>
    <row r="35" spans="1:3" ht="15.75" customHeight="1" x14ac:dyDescent="0.15">
      <c r="A35" s="10"/>
      <c r="B35" s="13"/>
      <c r="C35" s="13"/>
    </row>
    <row r="36" spans="1:3" ht="15.75" customHeight="1" x14ac:dyDescent="0.15">
      <c r="A36" s="10"/>
      <c r="B36" s="13"/>
      <c r="C36" s="13"/>
    </row>
    <row r="37" spans="1:3" ht="15.75" customHeight="1" x14ac:dyDescent="0.15">
      <c r="A37" s="10"/>
      <c r="B37" s="13"/>
      <c r="C37" s="13"/>
    </row>
    <row r="38" spans="1:3" ht="15.75" customHeight="1" x14ac:dyDescent="0.15">
      <c r="A38" s="10"/>
      <c r="B38" s="13"/>
      <c r="C38" s="13"/>
    </row>
    <row r="39" spans="1:3" ht="13" x14ac:dyDescent="0.15">
      <c r="A39" s="10"/>
      <c r="B39" s="13"/>
      <c r="C39" s="13"/>
    </row>
    <row r="40" spans="1:3" ht="13" x14ac:dyDescent="0.15">
      <c r="A40" s="10"/>
      <c r="B40" s="13"/>
      <c r="C40" s="13"/>
    </row>
    <row r="41" spans="1:3" ht="13" x14ac:dyDescent="0.15">
      <c r="A41" s="10"/>
      <c r="B41" s="13"/>
      <c r="C41" s="13"/>
    </row>
    <row r="42" spans="1:3" ht="13" x14ac:dyDescent="0.15">
      <c r="A42" s="10"/>
      <c r="B42" s="13"/>
      <c r="C42" s="13"/>
    </row>
    <row r="43" spans="1:3" ht="13" x14ac:dyDescent="0.15">
      <c r="A43" s="10"/>
      <c r="B43" s="13"/>
      <c r="C43" s="13"/>
    </row>
    <row r="44" spans="1:3" ht="13" x14ac:dyDescent="0.15">
      <c r="A44" s="10"/>
      <c r="B44" s="13"/>
      <c r="C44" s="13"/>
    </row>
    <row r="45" spans="1:3" ht="13" x14ac:dyDescent="0.15">
      <c r="A45" s="10"/>
      <c r="B45" s="13"/>
      <c r="C45" s="13"/>
    </row>
    <row r="46" spans="1:3" ht="13" x14ac:dyDescent="0.15">
      <c r="A46" s="10"/>
      <c r="B46" s="13"/>
      <c r="C46" s="13"/>
    </row>
    <row r="47" spans="1:3" ht="13" x14ac:dyDescent="0.15">
      <c r="A47" s="10"/>
      <c r="B47" s="13"/>
      <c r="C47" s="13"/>
    </row>
    <row r="48" spans="1:3" ht="13" x14ac:dyDescent="0.15">
      <c r="A48" s="10"/>
      <c r="B48" s="13"/>
      <c r="C48" s="13"/>
    </row>
    <row r="49" spans="1:3" ht="13" x14ac:dyDescent="0.15">
      <c r="A49" s="10"/>
      <c r="B49" s="13"/>
      <c r="C49" s="13"/>
    </row>
    <row r="50" spans="1:3" ht="13" x14ac:dyDescent="0.15">
      <c r="A50" s="10"/>
      <c r="B50" s="13"/>
      <c r="C50" s="13"/>
    </row>
    <row r="51" spans="1:3" ht="13" x14ac:dyDescent="0.15">
      <c r="A51" s="10"/>
      <c r="B51" s="13"/>
      <c r="C51" s="13"/>
    </row>
    <row r="52" spans="1:3" ht="13" x14ac:dyDescent="0.15">
      <c r="A52" s="10"/>
      <c r="B52" s="13"/>
      <c r="C52" s="13"/>
    </row>
    <row r="53" spans="1:3" ht="13" x14ac:dyDescent="0.15">
      <c r="A53" s="10"/>
      <c r="B53" s="13"/>
      <c r="C53" s="13"/>
    </row>
    <row r="54" spans="1:3" ht="13" x14ac:dyDescent="0.15">
      <c r="A54" s="10"/>
      <c r="B54" s="13"/>
      <c r="C54" s="13"/>
    </row>
    <row r="55" spans="1:3" ht="13" x14ac:dyDescent="0.15">
      <c r="A55" s="10"/>
      <c r="B55" s="13"/>
      <c r="C55" s="13"/>
    </row>
    <row r="56" spans="1:3" ht="13" x14ac:dyDescent="0.15">
      <c r="A56" s="10"/>
      <c r="B56" s="13"/>
      <c r="C56" s="13"/>
    </row>
    <row r="57" spans="1:3" ht="13" x14ac:dyDescent="0.15">
      <c r="A57" s="10"/>
      <c r="B57" s="13"/>
      <c r="C57" s="13"/>
    </row>
    <row r="58" spans="1:3" ht="13" x14ac:dyDescent="0.15">
      <c r="A58" s="10"/>
      <c r="B58" s="13"/>
      <c r="C58" s="13"/>
    </row>
    <row r="59" spans="1:3" ht="13" x14ac:dyDescent="0.15">
      <c r="A59" s="10"/>
      <c r="B59" s="13"/>
      <c r="C59" s="13"/>
    </row>
    <row r="60" spans="1:3" ht="13" x14ac:dyDescent="0.15">
      <c r="A60" s="10"/>
      <c r="B60" s="13"/>
      <c r="C60" s="13"/>
    </row>
    <row r="61" spans="1:3" ht="13" x14ac:dyDescent="0.15">
      <c r="A61" s="10"/>
      <c r="B61" s="13"/>
      <c r="C61" s="13"/>
    </row>
    <row r="62" spans="1:3" ht="13" x14ac:dyDescent="0.15">
      <c r="A62" s="10"/>
      <c r="B62" s="13"/>
      <c r="C62" s="13"/>
    </row>
    <row r="63" spans="1:3" ht="13" x14ac:dyDescent="0.15">
      <c r="A63" s="10"/>
      <c r="B63" s="13"/>
      <c r="C63" s="13"/>
    </row>
    <row r="64" spans="1:3" ht="13" x14ac:dyDescent="0.15">
      <c r="A64" s="10"/>
      <c r="B64" s="13"/>
      <c r="C64" s="13"/>
    </row>
    <row r="65" spans="1:3" ht="13" x14ac:dyDescent="0.15">
      <c r="A65" s="10"/>
      <c r="B65" s="13"/>
      <c r="C65" s="13"/>
    </row>
    <row r="66" spans="1:3" ht="13" x14ac:dyDescent="0.15">
      <c r="A66" s="10"/>
      <c r="B66" s="13"/>
      <c r="C66" s="13"/>
    </row>
    <row r="67" spans="1:3" ht="13" x14ac:dyDescent="0.15">
      <c r="A67" s="10"/>
      <c r="B67" s="13"/>
      <c r="C67" s="13"/>
    </row>
    <row r="68" spans="1:3" ht="13" x14ac:dyDescent="0.15">
      <c r="A68" s="10"/>
      <c r="B68" s="13"/>
      <c r="C68" s="13"/>
    </row>
    <row r="69" spans="1:3" ht="13" x14ac:dyDescent="0.15">
      <c r="A69" s="10"/>
      <c r="B69" s="13"/>
      <c r="C69" s="13"/>
    </row>
    <row r="70" spans="1:3" ht="13" x14ac:dyDescent="0.15">
      <c r="A70" s="10"/>
      <c r="B70" s="13"/>
      <c r="C70" s="13"/>
    </row>
    <row r="71" spans="1:3" ht="13" x14ac:dyDescent="0.15">
      <c r="A71" s="10"/>
      <c r="B71" s="13"/>
      <c r="C71" s="13"/>
    </row>
    <row r="72" spans="1:3" ht="13" x14ac:dyDescent="0.15">
      <c r="A72" s="10"/>
      <c r="B72" s="13"/>
      <c r="C72" s="13"/>
    </row>
    <row r="73" spans="1:3" ht="13" x14ac:dyDescent="0.15">
      <c r="A73" s="10"/>
      <c r="B73" s="13"/>
      <c r="C73" s="13"/>
    </row>
    <row r="74" spans="1:3" ht="13" x14ac:dyDescent="0.15">
      <c r="A74" s="10"/>
      <c r="B74" s="13"/>
      <c r="C74" s="13"/>
    </row>
    <row r="75" spans="1:3" ht="13" x14ac:dyDescent="0.15">
      <c r="A75" s="10"/>
      <c r="B75" s="13"/>
      <c r="C75" s="13"/>
    </row>
    <row r="76" spans="1:3" ht="13" x14ac:dyDescent="0.15">
      <c r="A76" s="10"/>
      <c r="B76" s="13"/>
      <c r="C76" s="13"/>
    </row>
    <row r="77" spans="1:3" ht="13" x14ac:dyDescent="0.15">
      <c r="A77" s="10"/>
      <c r="B77" s="13"/>
      <c r="C77" s="13"/>
    </row>
    <row r="78" spans="1:3" ht="13" x14ac:dyDescent="0.15">
      <c r="A78" s="10"/>
      <c r="B78" s="13"/>
      <c r="C78" s="13"/>
    </row>
    <row r="79" spans="1:3" ht="13" x14ac:dyDescent="0.15">
      <c r="A79" s="10"/>
      <c r="B79" s="13"/>
      <c r="C79" s="13"/>
    </row>
    <row r="80" spans="1:3" ht="13" x14ac:dyDescent="0.15">
      <c r="A80" s="10"/>
      <c r="B80" s="13"/>
      <c r="C80" s="13"/>
    </row>
    <row r="81" spans="1:3" ht="13" x14ac:dyDescent="0.15">
      <c r="A81" s="10"/>
      <c r="B81" s="13"/>
      <c r="C81" s="13"/>
    </row>
    <row r="82" spans="1:3" ht="13" x14ac:dyDescent="0.15">
      <c r="A82" s="10"/>
      <c r="B82" s="13"/>
      <c r="C82" s="13"/>
    </row>
    <row r="83" spans="1:3" ht="13" x14ac:dyDescent="0.15">
      <c r="A83" s="10"/>
      <c r="B83" s="13"/>
      <c r="C83" s="13"/>
    </row>
    <row r="84" spans="1:3" ht="13" x14ac:dyDescent="0.15">
      <c r="A84" s="10"/>
      <c r="B84" s="13"/>
      <c r="C84" s="13"/>
    </row>
    <row r="85" spans="1:3" ht="13" x14ac:dyDescent="0.15">
      <c r="A85" s="10"/>
      <c r="B85" s="13"/>
      <c r="C85" s="13"/>
    </row>
    <row r="86" spans="1:3" ht="13" x14ac:dyDescent="0.15">
      <c r="A86" s="10"/>
      <c r="B86" s="13"/>
      <c r="C86" s="13"/>
    </row>
    <row r="87" spans="1:3" ht="13" x14ac:dyDescent="0.15">
      <c r="A87" s="10"/>
      <c r="B87" s="13"/>
      <c r="C87" s="13"/>
    </row>
    <row r="88" spans="1:3" ht="13" x14ac:dyDescent="0.15">
      <c r="A88" s="10"/>
      <c r="B88" s="13"/>
      <c r="C88" s="13"/>
    </row>
    <row r="89" spans="1:3" ht="13" x14ac:dyDescent="0.15">
      <c r="A89" s="10"/>
      <c r="B89" s="13"/>
      <c r="C89" s="13"/>
    </row>
    <row r="90" spans="1:3" ht="13" x14ac:dyDescent="0.15">
      <c r="A90" s="10"/>
      <c r="B90" s="13"/>
      <c r="C90" s="13"/>
    </row>
    <row r="91" spans="1:3" ht="13" x14ac:dyDescent="0.15">
      <c r="A91" s="10"/>
      <c r="B91" s="13"/>
      <c r="C91" s="13"/>
    </row>
    <row r="92" spans="1:3" ht="13" x14ac:dyDescent="0.15">
      <c r="A92" s="10"/>
      <c r="B92" s="13"/>
      <c r="C92" s="13"/>
    </row>
    <row r="93" spans="1:3" ht="13" x14ac:dyDescent="0.15">
      <c r="A93" s="10"/>
      <c r="B93" s="13"/>
      <c r="C93" s="13"/>
    </row>
    <row r="94" spans="1:3" ht="13" x14ac:dyDescent="0.15">
      <c r="A94" s="10"/>
      <c r="B94" s="13"/>
      <c r="C94" s="13"/>
    </row>
    <row r="95" spans="1:3" ht="13" x14ac:dyDescent="0.15">
      <c r="A95" s="10"/>
      <c r="B95" s="13"/>
      <c r="C95" s="13"/>
    </row>
    <row r="96" spans="1:3" ht="13" x14ac:dyDescent="0.15">
      <c r="A96" s="10"/>
      <c r="B96" s="13"/>
      <c r="C96" s="13"/>
    </row>
    <row r="97" spans="1:3" ht="13" x14ac:dyDescent="0.15">
      <c r="A97" s="10"/>
      <c r="B97" s="13"/>
      <c r="C97" s="13"/>
    </row>
    <row r="98" spans="1:3" ht="13" x14ac:dyDescent="0.15">
      <c r="A98" s="10"/>
      <c r="B98" s="13"/>
      <c r="C98" s="13"/>
    </row>
    <row r="99" spans="1:3" ht="13" x14ac:dyDescent="0.15">
      <c r="A99" s="10"/>
      <c r="B99" s="13"/>
      <c r="C99" s="13"/>
    </row>
    <row r="100" spans="1:3" ht="13" x14ac:dyDescent="0.15">
      <c r="A100" s="10"/>
      <c r="B100" s="13"/>
      <c r="C100" s="13"/>
    </row>
    <row r="101" spans="1:3" ht="13" x14ac:dyDescent="0.15">
      <c r="A101" s="10"/>
      <c r="B101" s="13"/>
      <c r="C101" s="13"/>
    </row>
    <row r="102" spans="1:3" ht="13" x14ac:dyDescent="0.15">
      <c r="A102" s="10"/>
      <c r="B102" s="13"/>
      <c r="C102" s="13"/>
    </row>
    <row r="103" spans="1:3" ht="13" x14ac:dyDescent="0.15">
      <c r="A103" s="10"/>
      <c r="B103" s="13"/>
      <c r="C103" s="13"/>
    </row>
    <row r="104" spans="1:3" ht="13" x14ac:dyDescent="0.15">
      <c r="A104" s="10"/>
      <c r="B104" s="13"/>
      <c r="C104" s="13"/>
    </row>
    <row r="105" spans="1:3" ht="13" x14ac:dyDescent="0.15">
      <c r="A105" s="10"/>
      <c r="B105" s="13"/>
      <c r="C105" s="13"/>
    </row>
    <row r="106" spans="1:3" ht="13" x14ac:dyDescent="0.15">
      <c r="A106" s="10"/>
      <c r="B106" s="13"/>
      <c r="C106" s="13"/>
    </row>
    <row r="107" spans="1:3" ht="13" x14ac:dyDescent="0.15">
      <c r="A107" s="10"/>
      <c r="B107" s="13"/>
      <c r="C107" s="13"/>
    </row>
    <row r="108" spans="1:3" ht="13" x14ac:dyDescent="0.15">
      <c r="A108" s="10"/>
      <c r="B108" s="13"/>
      <c r="C108" s="13"/>
    </row>
    <row r="109" spans="1:3" ht="13" x14ac:dyDescent="0.15">
      <c r="A109" s="10"/>
      <c r="B109" s="13"/>
      <c r="C109" s="13"/>
    </row>
    <row r="110" spans="1:3" ht="13" x14ac:dyDescent="0.15">
      <c r="A110" s="10"/>
      <c r="B110" s="13"/>
      <c r="C110" s="13"/>
    </row>
    <row r="111" spans="1:3" ht="13" x14ac:dyDescent="0.15">
      <c r="A111" s="10"/>
      <c r="B111" s="13"/>
      <c r="C111" s="13"/>
    </row>
    <row r="112" spans="1:3" ht="13" x14ac:dyDescent="0.15">
      <c r="A112" s="10"/>
      <c r="B112" s="13"/>
      <c r="C112" s="13"/>
    </row>
    <row r="113" spans="1:3" ht="13" x14ac:dyDescent="0.15">
      <c r="A113" s="10"/>
      <c r="B113" s="13"/>
      <c r="C113" s="13"/>
    </row>
    <row r="114" spans="1:3" ht="13" x14ac:dyDescent="0.15">
      <c r="A114" s="10"/>
      <c r="B114" s="13"/>
      <c r="C114" s="13"/>
    </row>
    <row r="115" spans="1:3" ht="13" x14ac:dyDescent="0.15">
      <c r="A115" s="10"/>
      <c r="B115" s="13"/>
      <c r="C115" s="13"/>
    </row>
    <row r="116" spans="1:3" ht="13" x14ac:dyDescent="0.15">
      <c r="A116" s="10"/>
      <c r="B116" s="13"/>
      <c r="C116" s="13"/>
    </row>
    <row r="117" spans="1:3" ht="13" x14ac:dyDescent="0.15">
      <c r="A117" s="10"/>
      <c r="B117" s="13"/>
      <c r="C117" s="13"/>
    </row>
    <row r="118" spans="1:3" ht="13" x14ac:dyDescent="0.15">
      <c r="A118" s="10"/>
      <c r="B118" s="13"/>
      <c r="C118" s="13"/>
    </row>
    <row r="119" spans="1:3" ht="13" x14ac:dyDescent="0.15">
      <c r="A119" s="10"/>
      <c r="B119" s="13"/>
      <c r="C119" s="13"/>
    </row>
    <row r="120" spans="1:3" ht="13" x14ac:dyDescent="0.15">
      <c r="A120" s="10"/>
      <c r="B120" s="13"/>
      <c r="C120" s="13"/>
    </row>
    <row r="121" spans="1:3" ht="13" x14ac:dyDescent="0.15">
      <c r="A121" s="10"/>
      <c r="B121" s="13"/>
      <c r="C121" s="13"/>
    </row>
    <row r="122" spans="1:3" ht="13" x14ac:dyDescent="0.15">
      <c r="A122" s="10"/>
      <c r="B122" s="13"/>
      <c r="C122" s="13"/>
    </row>
    <row r="123" spans="1:3" ht="13" x14ac:dyDescent="0.15">
      <c r="A123" s="10"/>
      <c r="B123" s="13"/>
      <c r="C123" s="13"/>
    </row>
    <row r="124" spans="1:3" ht="13" x14ac:dyDescent="0.15">
      <c r="A124" s="10"/>
      <c r="B124" s="13"/>
      <c r="C124" s="13"/>
    </row>
    <row r="125" spans="1:3" ht="13" x14ac:dyDescent="0.15">
      <c r="A125" s="10"/>
      <c r="B125" s="13"/>
      <c r="C125" s="13"/>
    </row>
    <row r="126" spans="1:3" ht="13" x14ac:dyDescent="0.15">
      <c r="A126" s="10"/>
      <c r="B126" s="13"/>
      <c r="C126" s="13"/>
    </row>
    <row r="127" spans="1:3" ht="13" x14ac:dyDescent="0.15">
      <c r="A127" s="10"/>
      <c r="B127" s="13"/>
      <c r="C127" s="13"/>
    </row>
    <row r="128" spans="1:3" ht="13" x14ac:dyDescent="0.15">
      <c r="A128" s="10"/>
      <c r="B128" s="13"/>
      <c r="C128" s="13"/>
    </row>
    <row r="129" spans="1:3" ht="13" x14ac:dyDescent="0.15">
      <c r="A129" s="10"/>
      <c r="B129" s="13"/>
      <c r="C129" s="13"/>
    </row>
    <row r="130" spans="1:3" ht="13" x14ac:dyDescent="0.15">
      <c r="A130" s="10"/>
      <c r="B130" s="13"/>
      <c r="C130" s="13"/>
    </row>
    <row r="131" spans="1:3" ht="13" x14ac:dyDescent="0.15">
      <c r="A131" s="10"/>
      <c r="B131" s="13"/>
      <c r="C131" s="13"/>
    </row>
    <row r="132" spans="1:3" ht="13" x14ac:dyDescent="0.15">
      <c r="A132" s="10"/>
      <c r="B132" s="13"/>
      <c r="C132" s="13"/>
    </row>
    <row r="133" spans="1:3" ht="13" x14ac:dyDescent="0.15">
      <c r="A133" s="10"/>
      <c r="B133" s="13"/>
      <c r="C133" s="13"/>
    </row>
    <row r="134" spans="1:3" ht="13" x14ac:dyDescent="0.15">
      <c r="A134" s="10"/>
      <c r="B134" s="13"/>
      <c r="C134" s="13"/>
    </row>
    <row r="135" spans="1:3" ht="13" x14ac:dyDescent="0.15">
      <c r="A135" s="10"/>
      <c r="B135" s="13"/>
      <c r="C135" s="13"/>
    </row>
    <row r="136" spans="1:3" ht="13" x14ac:dyDescent="0.15">
      <c r="A136" s="10"/>
      <c r="B136" s="13"/>
      <c r="C136" s="13"/>
    </row>
    <row r="137" spans="1:3" ht="13" x14ac:dyDescent="0.15">
      <c r="A137" s="10"/>
      <c r="B137" s="13"/>
      <c r="C137" s="13"/>
    </row>
    <row r="138" spans="1:3" ht="13" x14ac:dyDescent="0.15">
      <c r="A138" s="10"/>
      <c r="B138" s="13"/>
      <c r="C138" s="13"/>
    </row>
    <row r="139" spans="1:3" ht="13" x14ac:dyDescent="0.15">
      <c r="A139" s="10"/>
      <c r="B139" s="13"/>
      <c r="C139" s="13"/>
    </row>
    <row r="140" spans="1:3" ht="13" x14ac:dyDescent="0.15">
      <c r="A140" s="10"/>
      <c r="B140" s="13"/>
      <c r="C140" s="13"/>
    </row>
    <row r="141" spans="1:3" ht="13" x14ac:dyDescent="0.15">
      <c r="A141" s="10"/>
      <c r="B141" s="13"/>
      <c r="C141" s="13"/>
    </row>
    <row r="142" spans="1:3" ht="13" x14ac:dyDescent="0.15">
      <c r="A142" s="10"/>
      <c r="B142" s="13"/>
      <c r="C142" s="13"/>
    </row>
    <row r="143" spans="1:3" ht="13" x14ac:dyDescent="0.15">
      <c r="A143" s="10"/>
      <c r="B143" s="13"/>
      <c r="C143" s="13"/>
    </row>
    <row r="144" spans="1:3" ht="13" x14ac:dyDescent="0.15">
      <c r="A144" s="10"/>
      <c r="B144" s="13"/>
      <c r="C144" s="13"/>
    </row>
    <row r="145" spans="1:3" ht="13" x14ac:dyDescent="0.15">
      <c r="A145" s="10"/>
      <c r="B145" s="13"/>
      <c r="C145" s="13"/>
    </row>
    <row r="146" spans="1:3" ht="13" x14ac:dyDescent="0.15">
      <c r="A146" s="10"/>
      <c r="B146" s="13"/>
      <c r="C146" s="13"/>
    </row>
    <row r="147" spans="1:3" ht="13" x14ac:dyDescent="0.15">
      <c r="A147" s="10"/>
      <c r="B147" s="13"/>
      <c r="C147" s="13"/>
    </row>
    <row r="148" spans="1:3" ht="13" x14ac:dyDescent="0.15">
      <c r="A148" s="10"/>
      <c r="B148" s="13"/>
      <c r="C148" s="13"/>
    </row>
    <row r="149" spans="1:3" ht="13" x14ac:dyDescent="0.15">
      <c r="A149" s="10"/>
      <c r="B149" s="13"/>
      <c r="C149" s="13"/>
    </row>
    <row r="150" spans="1:3" ht="13" x14ac:dyDescent="0.15">
      <c r="A150" s="10"/>
      <c r="B150" s="13"/>
      <c r="C150" s="13"/>
    </row>
    <row r="151" spans="1:3" ht="13" x14ac:dyDescent="0.15">
      <c r="A151" s="10"/>
      <c r="B151" s="13"/>
      <c r="C151" s="13"/>
    </row>
    <row r="152" spans="1:3" ht="13" x14ac:dyDescent="0.15">
      <c r="A152" s="10"/>
      <c r="B152" s="13"/>
      <c r="C152" s="13"/>
    </row>
    <row r="153" spans="1:3" ht="13" x14ac:dyDescent="0.15">
      <c r="A153" s="10"/>
      <c r="B153" s="13"/>
      <c r="C153" s="13"/>
    </row>
    <row r="154" spans="1:3" ht="13" x14ac:dyDescent="0.15">
      <c r="A154" s="10"/>
      <c r="B154" s="13"/>
      <c r="C154" s="13"/>
    </row>
    <row r="155" spans="1:3" ht="13" x14ac:dyDescent="0.15">
      <c r="A155" s="10"/>
      <c r="B155" s="13"/>
      <c r="C155" s="13"/>
    </row>
    <row r="156" spans="1:3" ht="13" x14ac:dyDescent="0.15">
      <c r="A156" s="10"/>
      <c r="B156" s="13"/>
      <c r="C156" s="13"/>
    </row>
    <row r="157" spans="1:3" ht="13" x14ac:dyDescent="0.15">
      <c r="A157" s="10"/>
      <c r="B157" s="13"/>
      <c r="C157" s="13"/>
    </row>
    <row r="158" spans="1:3" ht="13" x14ac:dyDescent="0.15">
      <c r="A158" s="10"/>
      <c r="B158" s="13"/>
      <c r="C158" s="13"/>
    </row>
    <row r="159" spans="1:3" ht="13" x14ac:dyDescent="0.15">
      <c r="A159" s="10"/>
      <c r="B159" s="13"/>
      <c r="C159" s="13"/>
    </row>
    <row r="160" spans="1:3" ht="13" x14ac:dyDescent="0.15">
      <c r="A160" s="10"/>
      <c r="B160" s="13"/>
      <c r="C160" s="13"/>
    </row>
    <row r="161" spans="1:3" ht="13" x14ac:dyDescent="0.15">
      <c r="A161" s="10"/>
      <c r="B161" s="13"/>
      <c r="C161" s="13"/>
    </row>
    <row r="162" spans="1:3" ht="13" x14ac:dyDescent="0.15">
      <c r="A162" s="10"/>
      <c r="B162" s="13"/>
      <c r="C162" s="13"/>
    </row>
    <row r="163" spans="1:3" ht="13" x14ac:dyDescent="0.15">
      <c r="A163" s="10"/>
      <c r="B163" s="13"/>
      <c r="C163" s="13"/>
    </row>
    <row r="164" spans="1:3" ht="13" x14ac:dyDescent="0.15">
      <c r="A164" s="10"/>
      <c r="B164" s="13"/>
      <c r="C164" s="13"/>
    </row>
    <row r="165" spans="1:3" ht="13" x14ac:dyDescent="0.15">
      <c r="A165" s="10"/>
      <c r="B165" s="13"/>
      <c r="C165" s="13"/>
    </row>
    <row r="166" spans="1:3" ht="13" x14ac:dyDescent="0.15">
      <c r="A166" s="10"/>
      <c r="B166" s="13"/>
      <c r="C166" s="13"/>
    </row>
    <row r="167" spans="1:3" ht="13" x14ac:dyDescent="0.15">
      <c r="A167" s="10"/>
      <c r="B167" s="13"/>
      <c r="C167" s="13"/>
    </row>
    <row r="168" spans="1:3" ht="13" x14ac:dyDescent="0.15">
      <c r="A168" s="10"/>
      <c r="B168" s="13"/>
      <c r="C168" s="13"/>
    </row>
    <row r="169" spans="1:3" ht="13" x14ac:dyDescent="0.15">
      <c r="A169" s="10"/>
      <c r="B169" s="13"/>
      <c r="C169" s="13"/>
    </row>
    <row r="170" spans="1:3" ht="13" x14ac:dyDescent="0.15">
      <c r="A170" s="10"/>
      <c r="B170" s="13"/>
      <c r="C170" s="13"/>
    </row>
    <row r="171" spans="1:3" ht="13" x14ac:dyDescent="0.15">
      <c r="A171" s="10"/>
      <c r="B171" s="13"/>
      <c r="C171" s="13"/>
    </row>
    <row r="172" spans="1:3" ht="13" x14ac:dyDescent="0.15">
      <c r="A172" s="10"/>
      <c r="B172" s="13"/>
      <c r="C172" s="13"/>
    </row>
    <row r="173" spans="1:3" ht="13" x14ac:dyDescent="0.15">
      <c r="A173" s="10"/>
      <c r="B173" s="13"/>
      <c r="C173" s="13"/>
    </row>
    <row r="174" spans="1:3" ht="13" x14ac:dyDescent="0.15">
      <c r="A174" s="10"/>
      <c r="B174" s="13"/>
      <c r="C174" s="13"/>
    </row>
    <row r="175" spans="1:3" ht="13" x14ac:dyDescent="0.15">
      <c r="A175" s="10"/>
      <c r="B175" s="13"/>
      <c r="C175" s="13"/>
    </row>
    <row r="176" spans="1:3" ht="13" x14ac:dyDescent="0.15">
      <c r="A176" s="10"/>
      <c r="B176" s="13"/>
      <c r="C176" s="13"/>
    </row>
    <row r="177" spans="1:3" ht="13" x14ac:dyDescent="0.15">
      <c r="A177" s="10"/>
      <c r="B177" s="13"/>
      <c r="C177" s="13"/>
    </row>
    <row r="178" spans="1:3" ht="13" x14ac:dyDescent="0.15">
      <c r="A178" s="10"/>
      <c r="B178" s="13"/>
      <c r="C178" s="13"/>
    </row>
    <row r="179" spans="1:3" ht="13" x14ac:dyDescent="0.15">
      <c r="A179" s="10"/>
      <c r="B179" s="13"/>
      <c r="C179" s="13"/>
    </row>
    <row r="180" spans="1:3" ht="13" x14ac:dyDescent="0.15">
      <c r="A180" s="10"/>
      <c r="B180" s="13"/>
      <c r="C180" s="13"/>
    </row>
    <row r="181" spans="1:3" ht="13" x14ac:dyDescent="0.15">
      <c r="A181" s="10"/>
      <c r="B181" s="13"/>
      <c r="C181" s="13"/>
    </row>
    <row r="182" spans="1:3" ht="13" x14ac:dyDescent="0.15">
      <c r="A182" s="10"/>
      <c r="B182" s="13"/>
      <c r="C182" s="13"/>
    </row>
    <row r="183" spans="1:3" ht="13" x14ac:dyDescent="0.15">
      <c r="A183" s="10"/>
      <c r="B183" s="13"/>
      <c r="C183" s="13"/>
    </row>
    <row r="184" spans="1:3" ht="13" x14ac:dyDescent="0.15">
      <c r="A184" s="10"/>
      <c r="B184" s="13"/>
      <c r="C184" s="13"/>
    </row>
    <row r="185" spans="1:3" ht="13" x14ac:dyDescent="0.15">
      <c r="A185" s="10"/>
      <c r="B185" s="13"/>
      <c r="C185" s="13"/>
    </row>
    <row r="186" spans="1:3" ht="13" x14ac:dyDescent="0.15">
      <c r="A186" s="10"/>
      <c r="B186" s="13"/>
      <c r="C186" s="13"/>
    </row>
    <row r="187" spans="1:3" ht="13" x14ac:dyDescent="0.15">
      <c r="A187" s="10"/>
      <c r="B187" s="13"/>
      <c r="C187" s="13"/>
    </row>
    <row r="188" spans="1:3" ht="13" x14ac:dyDescent="0.15">
      <c r="A188" s="10"/>
      <c r="B188" s="13"/>
      <c r="C188" s="13"/>
    </row>
    <row r="189" spans="1:3" ht="13" x14ac:dyDescent="0.15">
      <c r="A189" s="10"/>
      <c r="B189" s="13"/>
      <c r="C189" s="13"/>
    </row>
    <row r="190" spans="1:3" ht="13" x14ac:dyDescent="0.15">
      <c r="A190" s="10"/>
      <c r="B190" s="13"/>
      <c r="C190" s="13"/>
    </row>
    <row r="191" spans="1:3" ht="13" x14ac:dyDescent="0.15">
      <c r="A191" s="10"/>
      <c r="B191" s="13"/>
      <c r="C191" s="13"/>
    </row>
    <row r="192" spans="1:3" ht="13" x14ac:dyDescent="0.15">
      <c r="A192" s="10"/>
      <c r="B192" s="13"/>
      <c r="C192" s="13"/>
    </row>
    <row r="193" spans="1:3" ht="13" x14ac:dyDescent="0.15">
      <c r="A193" s="10"/>
      <c r="B193" s="13"/>
      <c r="C193" s="13"/>
    </row>
    <row r="194" spans="1:3" ht="13" x14ac:dyDescent="0.15">
      <c r="A194" s="10"/>
      <c r="B194" s="13"/>
      <c r="C194" s="13"/>
    </row>
    <row r="195" spans="1:3" ht="13" x14ac:dyDescent="0.15">
      <c r="A195" s="10"/>
      <c r="B195" s="13"/>
      <c r="C195" s="13"/>
    </row>
    <row r="196" spans="1:3" ht="13" x14ac:dyDescent="0.15">
      <c r="A196" s="10"/>
      <c r="B196" s="13"/>
      <c r="C196" s="13"/>
    </row>
    <row r="197" spans="1:3" ht="13" x14ac:dyDescent="0.15">
      <c r="A197" s="10"/>
      <c r="B197" s="13"/>
      <c r="C197" s="13"/>
    </row>
    <row r="198" spans="1:3" ht="13" x14ac:dyDescent="0.15">
      <c r="A198" s="10"/>
      <c r="B198" s="13"/>
      <c r="C198" s="13"/>
    </row>
    <row r="199" spans="1:3" ht="13" x14ac:dyDescent="0.15">
      <c r="A199" s="10"/>
      <c r="B199" s="13"/>
      <c r="C199" s="13"/>
    </row>
    <row r="200" spans="1:3" ht="13" x14ac:dyDescent="0.15">
      <c r="A200" s="10"/>
      <c r="B200" s="13"/>
      <c r="C200" s="13"/>
    </row>
    <row r="201" spans="1:3" ht="13" x14ac:dyDescent="0.15">
      <c r="A201" s="10"/>
      <c r="B201" s="13"/>
      <c r="C201" s="13"/>
    </row>
    <row r="202" spans="1:3" ht="13" x14ac:dyDescent="0.15">
      <c r="A202" s="10"/>
      <c r="B202" s="13"/>
      <c r="C202" s="13"/>
    </row>
    <row r="203" spans="1:3" ht="13" x14ac:dyDescent="0.15">
      <c r="A203" s="10"/>
      <c r="B203" s="13"/>
      <c r="C203" s="13"/>
    </row>
    <row r="204" spans="1:3" ht="13" x14ac:dyDescent="0.15">
      <c r="A204" s="10"/>
      <c r="B204" s="13"/>
      <c r="C204" s="13"/>
    </row>
    <row r="205" spans="1:3" ht="13" x14ac:dyDescent="0.15">
      <c r="A205" s="10"/>
      <c r="B205" s="13"/>
      <c r="C205" s="13"/>
    </row>
    <row r="206" spans="1:3" ht="13" x14ac:dyDescent="0.15">
      <c r="A206" s="10"/>
      <c r="B206" s="13"/>
      <c r="C206" s="13"/>
    </row>
    <row r="207" spans="1:3" ht="13" x14ac:dyDescent="0.15">
      <c r="A207" s="10"/>
      <c r="B207" s="13"/>
      <c r="C207" s="13"/>
    </row>
    <row r="208" spans="1:3" ht="13" x14ac:dyDescent="0.15">
      <c r="A208" s="10"/>
      <c r="B208" s="13"/>
      <c r="C208" s="13"/>
    </row>
    <row r="209" spans="1:3" ht="13" x14ac:dyDescent="0.15">
      <c r="A209" s="10"/>
      <c r="B209" s="13"/>
      <c r="C209" s="13"/>
    </row>
    <row r="210" spans="1:3" ht="13" x14ac:dyDescent="0.15">
      <c r="A210" s="10"/>
      <c r="B210" s="13"/>
      <c r="C210" s="13"/>
    </row>
    <row r="211" spans="1:3" ht="13" x14ac:dyDescent="0.15">
      <c r="A211" s="10"/>
      <c r="B211" s="13"/>
      <c r="C211" s="13"/>
    </row>
    <row r="212" spans="1:3" ht="13" x14ac:dyDescent="0.15">
      <c r="A212" s="10"/>
      <c r="B212" s="13"/>
      <c r="C212" s="13"/>
    </row>
    <row r="213" spans="1:3" ht="13" x14ac:dyDescent="0.15">
      <c r="A213" s="10"/>
      <c r="B213" s="13"/>
      <c r="C213" s="13"/>
    </row>
    <row r="214" spans="1:3" ht="13" x14ac:dyDescent="0.15">
      <c r="A214" s="10"/>
      <c r="B214" s="13"/>
      <c r="C214" s="13"/>
    </row>
    <row r="215" spans="1:3" ht="13" x14ac:dyDescent="0.15">
      <c r="A215" s="10"/>
      <c r="B215" s="13"/>
      <c r="C215" s="13"/>
    </row>
    <row r="216" spans="1:3" ht="13" x14ac:dyDescent="0.15">
      <c r="A216" s="10"/>
      <c r="B216" s="13"/>
      <c r="C216" s="13"/>
    </row>
    <row r="217" spans="1:3" ht="13" x14ac:dyDescent="0.15">
      <c r="A217" s="10"/>
      <c r="B217" s="13"/>
      <c r="C217" s="13"/>
    </row>
    <row r="218" spans="1:3" ht="13" x14ac:dyDescent="0.15">
      <c r="A218" s="10"/>
      <c r="B218" s="13"/>
      <c r="C218" s="13"/>
    </row>
    <row r="219" spans="1:3" ht="13" x14ac:dyDescent="0.15">
      <c r="A219" s="10"/>
      <c r="B219" s="13"/>
      <c r="C219" s="13"/>
    </row>
    <row r="220" spans="1:3" ht="13" x14ac:dyDescent="0.15">
      <c r="A220" s="10"/>
      <c r="B220" s="13"/>
      <c r="C220" s="13"/>
    </row>
    <row r="221" spans="1:3" ht="13" x14ac:dyDescent="0.15">
      <c r="A221" s="10"/>
      <c r="B221" s="13"/>
      <c r="C221" s="13"/>
    </row>
    <row r="222" spans="1:3" ht="13" x14ac:dyDescent="0.15">
      <c r="A222" s="10"/>
      <c r="B222" s="13"/>
      <c r="C222" s="13"/>
    </row>
    <row r="223" spans="1:3" ht="13" x14ac:dyDescent="0.15">
      <c r="A223" s="10"/>
      <c r="B223" s="13"/>
      <c r="C223" s="13"/>
    </row>
    <row r="224" spans="1:3" ht="13" x14ac:dyDescent="0.15">
      <c r="A224" s="10"/>
      <c r="B224" s="13"/>
      <c r="C224" s="13"/>
    </row>
    <row r="225" spans="1:3" ht="13" x14ac:dyDescent="0.15">
      <c r="A225" s="10"/>
      <c r="B225" s="13"/>
      <c r="C225" s="13"/>
    </row>
    <row r="226" spans="1:3" ht="13" x14ac:dyDescent="0.15">
      <c r="A226" s="10"/>
      <c r="B226" s="13"/>
      <c r="C226" s="13"/>
    </row>
    <row r="227" spans="1:3" ht="13" x14ac:dyDescent="0.15">
      <c r="A227" s="10"/>
      <c r="B227" s="13"/>
      <c r="C227" s="13"/>
    </row>
    <row r="228" spans="1:3" ht="13" x14ac:dyDescent="0.15">
      <c r="A228" s="10"/>
      <c r="B228" s="13"/>
      <c r="C228" s="13"/>
    </row>
    <row r="229" spans="1:3" ht="13" x14ac:dyDescent="0.15">
      <c r="A229" s="10"/>
      <c r="B229" s="13"/>
      <c r="C229" s="13"/>
    </row>
    <row r="230" spans="1:3" ht="13" x14ac:dyDescent="0.15">
      <c r="A230" s="10"/>
      <c r="B230" s="13"/>
      <c r="C230" s="13"/>
    </row>
    <row r="231" spans="1:3" ht="13" x14ac:dyDescent="0.15">
      <c r="A231" s="10"/>
      <c r="B231" s="13"/>
      <c r="C231" s="13"/>
    </row>
    <row r="232" spans="1:3" ht="13" x14ac:dyDescent="0.15">
      <c r="A232" s="10"/>
      <c r="B232" s="13"/>
      <c r="C232" s="13"/>
    </row>
    <row r="233" spans="1:3" ht="13" x14ac:dyDescent="0.15">
      <c r="A233" s="10"/>
      <c r="B233" s="13"/>
      <c r="C233" s="13"/>
    </row>
    <row r="234" spans="1:3" ht="13" x14ac:dyDescent="0.15">
      <c r="A234" s="10"/>
      <c r="B234" s="13"/>
      <c r="C234" s="13"/>
    </row>
    <row r="235" spans="1:3" ht="13" x14ac:dyDescent="0.15">
      <c r="A235" s="10"/>
      <c r="B235" s="13"/>
      <c r="C235" s="13"/>
    </row>
    <row r="236" spans="1:3" ht="13" x14ac:dyDescent="0.15">
      <c r="A236" s="10"/>
      <c r="B236" s="13"/>
      <c r="C236" s="13"/>
    </row>
    <row r="237" spans="1:3" ht="13" x14ac:dyDescent="0.15">
      <c r="A237" s="10"/>
      <c r="B237" s="13"/>
      <c r="C237" s="13"/>
    </row>
    <row r="238" spans="1:3" ht="13" x14ac:dyDescent="0.15">
      <c r="A238" s="10"/>
      <c r="B238" s="13"/>
      <c r="C238" s="13"/>
    </row>
    <row r="239" spans="1:3" ht="13" x14ac:dyDescent="0.15">
      <c r="A239" s="10"/>
      <c r="B239" s="13"/>
      <c r="C239" s="13"/>
    </row>
    <row r="240" spans="1:3" ht="13" x14ac:dyDescent="0.15">
      <c r="A240" s="10"/>
      <c r="B240" s="13"/>
      <c r="C240" s="13"/>
    </row>
    <row r="241" spans="1:3" ht="13" x14ac:dyDescent="0.15">
      <c r="A241" s="10"/>
      <c r="B241" s="13"/>
      <c r="C241" s="13"/>
    </row>
    <row r="242" spans="1:3" ht="13" x14ac:dyDescent="0.15">
      <c r="A242" s="10"/>
      <c r="B242" s="13"/>
      <c r="C242" s="13"/>
    </row>
    <row r="243" spans="1:3" ht="13" x14ac:dyDescent="0.15">
      <c r="A243" s="10"/>
      <c r="B243" s="13"/>
      <c r="C243" s="13"/>
    </row>
    <row r="244" spans="1:3" ht="13" x14ac:dyDescent="0.15">
      <c r="A244" s="10"/>
      <c r="B244" s="13"/>
      <c r="C244" s="13"/>
    </row>
    <row r="245" spans="1:3" ht="13" x14ac:dyDescent="0.15">
      <c r="A245" s="10"/>
      <c r="B245" s="13"/>
      <c r="C245" s="13"/>
    </row>
    <row r="246" spans="1:3" ht="13" x14ac:dyDescent="0.15">
      <c r="A246" s="10"/>
      <c r="B246" s="13"/>
      <c r="C246" s="13"/>
    </row>
    <row r="247" spans="1:3" ht="13" x14ac:dyDescent="0.15">
      <c r="A247" s="10"/>
      <c r="B247" s="13"/>
      <c r="C247" s="13"/>
    </row>
    <row r="248" spans="1:3" ht="13" x14ac:dyDescent="0.15">
      <c r="A248" s="10"/>
      <c r="B248" s="13"/>
      <c r="C248" s="13"/>
    </row>
    <row r="249" spans="1:3" ht="13" x14ac:dyDescent="0.15">
      <c r="A249" s="10"/>
      <c r="B249" s="13"/>
      <c r="C249" s="13"/>
    </row>
    <row r="250" spans="1:3" ht="13" x14ac:dyDescent="0.15">
      <c r="A250" s="10"/>
      <c r="B250" s="13"/>
      <c r="C250" s="13"/>
    </row>
    <row r="251" spans="1:3" ht="13" x14ac:dyDescent="0.15">
      <c r="A251" s="10"/>
      <c r="B251" s="13"/>
      <c r="C251" s="13"/>
    </row>
    <row r="252" spans="1:3" ht="13" x14ac:dyDescent="0.15">
      <c r="A252" s="10"/>
      <c r="B252" s="13"/>
      <c r="C252" s="13"/>
    </row>
    <row r="253" spans="1:3" ht="13" x14ac:dyDescent="0.15">
      <c r="A253" s="10"/>
      <c r="B253" s="13"/>
      <c r="C253" s="13"/>
    </row>
    <row r="254" spans="1:3" ht="13" x14ac:dyDescent="0.15">
      <c r="A254" s="10"/>
      <c r="B254" s="13"/>
      <c r="C254" s="13"/>
    </row>
    <row r="255" spans="1:3" ht="13" x14ac:dyDescent="0.15">
      <c r="A255" s="10"/>
      <c r="B255" s="13"/>
      <c r="C255" s="13"/>
    </row>
    <row r="256" spans="1:3" ht="13" x14ac:dyDescent="0.15">
      <c r="A256" s="10"/>
      <c r="B256" s="13"/>
      <c r="C256" s="13"/>
    </row>
    <row r="257" spans="1:3" ht="13" x14ac:dyDescent="0.15">
      <c r="A257" s="10"/>
      <c r="B257" s="13"/>
      <c r="C257" s="13"/>
    </row>
    <row r="258" spans="1:3" ht="13" x14ac:dyDescent="0.15">
      <c r="A258" s="10"/>
      <c r="B258" s="13"/>
      <c r="C258" s="13"/>
    </row>
    <row r="259" spans="1:3" ht="13" x14ac:dyDescent="0.15">
      <c r="A259" s="10"/>
      <c r="B259" s="13"/>
      <c r="C259" s="13"/>
    </row>
    <row r="260" spans="1:3" ht="13" x14ac:dyDescent="0.15">
      <c r="A260" s="10"/>
      <c r="B260" s="13"/>
      <c r="C260" s="13"/>
    </row>
    <row r="261" spans="1:3" ht="13" x14ac:dyDescent="0.15">
      <c r="A261" s="10"/>
      <c r="B261" s="13"/>
      <c r="C261" s="13"/>
    </row>
    <row r="262" spans="1:3" ht="13" x14ac:dyDescent="0.15">
      <c r="A262" s="10"/>
      <c r="B262" s="13"/>
      <c r="C262" s="13"/>
    </row>
    <row r="263" spans="1:3" ht="13" x14ac:dyDescent="0.15">
      <c r="A263" s="10"/>
      <c r="B263" s="13"/>
      <c r="C263" s="13"/>
    </row>
    <row r="264" spans="1:3" ht="13" x14ac:dyDescent="0.15">
      <c r="A264" s="10"/>
      <c r="B264" s="13"/>
      <c r="C264" s="13"/>
    </row>
    <row r="265" spans="1:3" ht="13" x14ac:dyDescent="0.15">
      <c r="A265" s="10"/>
      <c r="B265" s="13"/>
      <c r="C265" s="13"/>
    </row>
    <row r="266" spans="1:3" ht="13" x14ac:dyDescent="0.15">
      <c r="A266" s="10"/>
      <c r="B266" s="13"/>
      <c r="C266" s="13"/>
    </row>
    <row r="267" spans="1:3" ht="13" x14ac:dyDescent="0.15">
      <c r="A267" s="10"/>
      <c r="B267" s="13"/>
      <c r="C267" s="13"/>
    </row>
    <row r="268" spans="1:3" ht="13" x14ac:dyDescent="0.15">
      <c r="A268" s="10"/>
      <c r="B268" s="13"/>
      <c r="C268" s="13"/>
    </row>
    <row r="269" spans="1:3" ht="13" x14ac:dyDescent="0.15">
      <c r="A269" s="10"/>
      <c r="B269" s="13"/>
      <c r="C269" s="13"/>
    </row>
    <row r="270" spans="1:3" ht="13" x14ac:dyDescent="0.15">
      <c r="A270" s="10"/>
      <c r="B270" s="13"/>
      <c r="C270" s="13"/>
    </row>
    <row r="271" spans="1:3" ht="13" x14ac:dyDescent="0.15">
      <c r="A271" s="10"/>
      <c r="B271" s="13"/>
      <c r="C271" s="13"/>
    </row>
    <row r="272" spans="1:3" ht="13" x14ac:dyDescent="0.15">
      <c r="A272" s="10"/>
      <c r="B272" s="13"/>
      <c r="C272" s="13"/>
    </row>
    <row r="273" spans="1:3" ht="13" x14ac:dyDescent="0.15">
      <c r="A273" s="10"/>
      <c r="B273" s="13"/>
      <c r="C273" s="13"/>
    </row>
    <row r="274" spans="1:3" ht="13" x14ac:dyDescent="0.15">
      <c r="A274" s="10"/>
      <c r="B274" s="13"/>
      <c r="C274" s="13"/>
    </row>
    <row r="275" spans="1:3" ht="13" x14ac:dyDescent="0.15">
      <c r="A275" s="10"/>
      <c r="B275" s="13"/>
      <c r="C275" s="13"/>
    </row>
    <row r="276" spans="1:3" ht="13" x14ac:dyDescent="0.15">
      <c r="A276" s="10"/>
      <c r="B276" s="13"/>
      <c r="C276" s="13"/>
    </row>
    <row r="277" spans="1:3" ht="13" x14ac:dyDescent="0.15">
      <c r="A277" s="10"/>
      <c r="B277" s="13"/>
      <c r="C277" s="13"/>
    </row>
    <row r="278" spans="1:3" ht="13" x14ac:dyDescent="0.15">
      <c r="A278" s="10"/>
      <c r="B278" s="13"/>
      <c r="C278" s="13"/>
    </row>
    <row r="279" spans="1:3" ht="13" x14ac:dyDescent="0.15">
      <c r="A279" s="10"/>
      <c r="B279" s="13"/>
      <c r="C279" s="13"/>
    </row>
    <row r="280" spans="1:3" ht="13" x14ac:dyDescent="0.15">
      <c r="A280" s="10"/>
      <c r="B280" s="13"/>
      <c r="C280" s="13"/>
    </row>
    <row r="281" spans="1:3" ht="13" x14ac:dyDescent="0.15">
      <c r="A281" s="10"/>
      <c r="B281" s="13"/>
      <c r="C281" s="13"/>
    </row>
    <row r="282" spans="1:3" ht="13" x14ac:dyDescent="0.15">
      <c r="A282" s="10"/>
      <c r="B282" s="13"/>
      <c r="C282" s="13"/>
    </row>
    <row r="283" spans="1:3" ht="13" x14ac:dyDescent="0.15">
      <c r="A283" s="10"/>
      <c r="B283" s="13"/>
      <c r="C283" s="13"/>
    </row>
    <row r="284" spans="1:3" ht="13" x14ac:dyDescent="0.15">
      <c r="A284" s="10"/>
      <c r="B284" s="13"/>
      <c r="C284" s="13"/>
    </row>
    <row r="285" spans="1:3" ht="13" x14ac:dyDescent="0.15">
      <c r="A285" s="10"/>
      <c r="B285" s="13"/>
      <c r="C285" s="13"/>
    </row>
    <row r="286" spans="1:3" ht="13" x14ac:dyDescent="0.15">
      <c r="A286" s="10"/>
      <c r="B286" s="13"/>
      <c r="C286" s="13"/>
    </row>
    <row r="287" spans="1:3" ht="13" x14ac:dyDescent="0.15">
      <c r="A287" s="10"/>
      <c r="B287" s="13"/>
      <c r="C287" s="13"/>
    </row>
    <row r="288" spans="1:3" ht="13" x14ac:dyDescent="0.15">
      <c r="A288" s="10"/>
      <c r="B288" s="13"/>
      <c r="C288" s="13"/>
    </row>
    <row r="289" spans="1:3" ht="13" x14ac:dyDescent="0.15">
      <c r="A289" s="10"/>
      <c r="B289" s="13"/>
      <c r="C289" s="13"/>
    </row>
    <row r="290" spans="1:3" ht="13" x14ac:dyDescent="0.15">
      <c r="A290" s="10"/>
      <c r="B290" s="13"/>
      <c r="C290" s="13"/>
    </row>
    <row r="291" spans="1:3" ht="13" x14ac:dyDescent="0.15">
      <c r="A291" s="10"/>
      <c r="B291" s="13"/>
      <c r="C291" s="13"/>
    </row>
    <row r="292" spans="1:3" ht="13" x14ac:dyDescent="0.15">
      <c r="A292" s="10"/>
      <c r="B292" s="13"/>
      <c r="C292" s="13"/>
    </row>
    <row r="293" spans="1:3" ht="13" x14ac:dyDescent="0.15">
      <c r="A293" s="10"/>
      <c r="B293" s="13"/>
      <c r="C293" s="13"/>
    </row>
    <row r="294" spans="1:3" ht="13" x14ac:dyDescent="0.15">
      <c r="A294" s="10"/>
      <c r="B294" s="13"/>
      <c r="C294" s="13"/>
    </row>
    <row r="295" spans="1:3" ht="13" x14ac:dyDescent="0.15">
      <c r="A295" s="10"/>
      <c r="B295" s="13"/>
      <c r="C295" s="13"/>
    </row>
    <row r="296" spans="1:3" ht="13" x14ac:dyDescent="0.15">
      <c r="A296" s="10"/>
      <c r="B296" s="13"/>
      <c r="C296" s="13"/>
    </row>
    <row r="297" spans="1:3" ht="13" x14ac:dyDescent="0.15">
      <c r="A297" s="10"/>
      <c r="B297" s="13"/>
      <c r="C297" s="13"/>
    </row>
    <row r="298" spans="1:3" ht="13" x14ac:dyDescent="0.15">
      <c r="A298" s="10"/>
      <c r="B298" s="13"/>
      <c r="C298" s="13"/>
    </row>
    <row r="299" spans="1:3" ht="13" x14ac:dyDescent="0.15">
      <c r="A299" s="10"/>
      <c r="B299" s="13"/>
      <c r="C299" s="13"/>
    </row>
    <row r="300" spans="1:3" ht="13" x14ac:dyDescent="0.15">
      <c r="A300" s="10"/>
      <c r="B300" s="13"/>
      <c r="C300" s="13"/>
    </row>
    <row r="301" spans="1:3" ht="13" x14ac:dyDescent="0.15">
      <c r="A301" s="10"/>
      <c r="B301" s="13"/>
      <c r="C301" s="13"/>
    </row>
    <row r="302" spans="1:3" ht="13" x14ac:dyDescent="0.15">
      <c r="A302" s="10"/>
      <c r="B302" s="13"/>
      <c r="C302" s="13"/>
    </row>
    <row r="303" spans="1:3" ht="13" x14ac:dyDescent="0.15">
      <c r="A303" s="10"/>
      <c r="B303" s="13"/>
      <c r="C303" s="13"/>
    </row>
    <row r="304" spans="1:3" ht="13" x14ac:dyDescent="0.15">
      <c r="A304" s="10"/>
      <c r="B304" s="13"/>
      <c r="C304" s="13"/>
    </row>
    <row r="305" spans="1:3" ht="13" x14ac:dyDescent="0.15">
      <c r="A305" s="10"/>
      <c r="B305" s="13"/>
      <c r="C305" s="13"/>
    </row>
    <row r="306" spans="1:3" ht="13" x14ac:dyDescent="0.15">
      <c r="A306" s="10"/>
      <c r="B306" s="13"/>
      <c r="C306" s="13"/>
    </row>
    <row r="307" spans="1:3" ht="13" x14ac:dyDescent="0.15">
      <c r="A307" s="10"/>
      <c r="B307" s="13"/>
      <c r="C307" s="13"/>
    </row>
    <row r="308" spans="1:3" ht="13" x14ac:dyDescent="0.15">
      <c r="A308" s="10"/>
      <c r="B308" s="13"/>
      <c r="C308" s="13"/>
    </row>
    <row r="309" spans="1:3" ht="13" x14ac:dyDescent="0.15">
      <c r="A309" s="10"/>
      <c r="B309" s="13"/>
      <c r="C309" s="13"/>
    </row>
    <row r="310" spans="1:3" ht="13" x14ac:dyDescent="0.15">
      <c r="A310" s="10"/>
      <c r="B310" s="13"/>
      <c r="C310" s="13"/>
    </row>
    <row r="311" spans="1:3" ht="13" x14ac:dyDescent="0.15">
      <c r="A311" s="10"/>
      <c r="B311" s="13"/>
      <c r="C311" s="13"/>
    </row>
    <row r="312" spans="1:3" ht="13" x14ac:dyDescent="0.15">
      <c r="A312" s="10"/>
      <c r="B312" s="13"/>
      <c r="C312" s="13"/>
    </row>
    <row r="313" spans="1:3" ht="13" x14ac:dyDescent="0.15">
      <c r="A313" s="10"/>
      <c r="B313" s="13"/>
      <c r="C313" s="13"/>
    </row>
    <row r="314" spans="1:3" ht="13" x14ac:dyDescent="0.15">
      <c r="A314" s="10"/>
      <c r="B314" s="13"/>
      <c r="C314" s="13"/>
    </row>
    <row r="315" spans="1:3" ht="13" x14ac:dyDescent="0.15">
      <c r="A315" s="10"/>
      <c r="B315" s="13"/>
      <c r="C315" s="13"/>
    </row>
    <row r="316" spans="1:3" ht="13" x14ac:dyDescent="0.15">
      <c r="A316" s="10"/>
      <c r="B316" s="13"/>
      <c r="C316" s="13"/>
    </row>
    <row r="317" spans="1:3" ht="13" x14ac:dyDescent="0.15">
      <c r="A317" s="10"/>
      <c r="B317" s="13"/>
      <c r="C317" s="13"/>
    </row>
    <row r="318" spans="1:3" ht="13" x14ac:dyDescent="0.15">
      <c r="A318" s="10"/>
      <c r="B318" s="13"/>
      <c r="C318" s="13"/>
    </row>
    <row r="319" spans="1:3" ht="13" x14ac:dyDescent="0.15">
      <c r="A319" s="10"/>
      <c r="B319" s="13"/>
      <c r="C319" s="13"/>
    </row>
    <row r="320" spans="1:3" ht="13" x14ac:dyDescent="0.15">
      <c r="A320" s="10"/>
      <c r="B320" s="13"/>
      <c r="C320" s="13"/>
    </row>
    <row r="321" spans="1:3" ht="13" x14ac:dyDescent="0.15">
      <c r="A321" s="10"/>
      <c r="B321" s="13"/>
      <c r="C321" s="13"/>
    </row>
    <row r="322" spans="1:3" ht="13" x14ac:dyDescent="0.15">
      <c r="A322" s="10"/>
      <c r="B322" s="13"/>
      <c r="C322" s="13"/>
    </row>
    <row r="323" spans="1:3" ht="13" x14ac:dyDescent="0.15">
      <c r="A323" s="10"/>
      <c r="B323" s="13"/>
      <c r="C323" s="13"/>
    </row>
    <row r="324" spans="1:3" ht="13" x14ac:dyDescent="0.15">
      <c r="A324" s="10"/>
      <c r="B324" s="13"/>
      <c r="C324" s="13"/>
    </row>
    <row r="325" spans="1:3" ht="13" x14ac:dyDescent="0.15">
      <c r="A325" s="10"/>
      <c r="B325" s="13"/>
      <c r="C325" s="13"/>
    </row>
    <row r="326" spans="1:3" ht="13" x14ac:dyDescent="0.15">
      <c r="A326" s="10"/>
      <c r="B326" s="13"/>
      <c r="C326" s="13"/>
    </row>
    <row r="327" spans="1:3" ht="13" x14ac:dyDescent="0.15">
      <c r="A327" s="10"/>
      <c r="B327" s="13"/>
      <c r="C327" s="13"/>
    </row>
    <row r="328" spans="1:3" ht="13" x14ac:dyDescent="0.15">
      <c r="A328" s="10"/>
      <c r="B328" s="13"/>
      <c r="C328" s="13"/>
    </row>
    <row r="329" spans="1:3" ht="13" x14ac:dyDescent="0.15">
      <c r="A329" s="10"/>
      <c r="B329" s="13"/>
      <c r="C329" s="13"/>
    </row>
    <row r="330" spans="1:3" ht="13" x14ac:dyDescent="0.15">
      <c r="A330" s="10"/>
      <c r="B330" s="13"/>
      <c r="C330" s="13"/>
    </row>
    <row r="331" spans="1:3" ht="13" x14ac:dyDescent="0.15">
      <c r="A331" s="10"/>
      <c r="B331" s="13"/>
      <c r="C331" s="13"/>
    </row>
    <row r="332" spans="1:3" ht="13" x14ac:dyDescent="0.15">
      <c r="A332" s="10"/>
      <c r="B332" s="13"/>
      <c r="C332" s="13"/>
    </row>
    <row r="333" spans="1:3" ht="13" x14ac:dyDescent="0.15">
      <c r="A333" s="10"/>
      <c r="B333" s="13"/>
      <c r="C333" s="13"/>
    </row>
    <row r="334" spans="1:3" ht="13" x14ac:dyDescent="0.15">
      <c r="A334" s="10"/>
      <c r="B334" s="13"/>
      <c r="C334" s="13"/>
    </row>
    <row r="335" spans="1:3" ht="13" x14ac:dyDescent="0.15">
      <c r="A335" s="10"/>
      <c r="B335" s="13"/>
      <c r="C335" s="13"/>
    </row>
    <row r="336" spans="1:3" ht="13" x14ac:dyDescent="0.15">
      <c r="A336" s="10"/>
      <c r="B336" s="13"/>
      <c r="C336" s="13"/>
    </row>
    <row r="337" spans="1:3" ht="13" x14ac:dyDescent="0.15">
      <c r="A337" s="10"/>
      <c r="B337" s="13"/>
      <c r="C337" s="13"/>
    </row>
    <row r="338" spans="1:3" ht="13" x14ac:dyDescent="0.15">
      <c r="A338" s="10"/>
      <c r="B338" s="13"/>
      <c r="C338" s="13"/>
    </row>
    <row r="339" spans="1:3" ht="13" x14ac:dyDescent="0.15">
      <c r="A339" s="10"/>
      <c r="B339" s="13"/>
      <c r="C339" s="13"/>
    </row>
    <row r="340" spans="1:3" ht="13" x14ac:dyDescent="0.15">
      <c r="A340" s="10"/>
      <c r="B340" s="13"/>
      <c r="C340" s="13"/>
    </row>
    <row r="341" spans="1:3" ht="13" x14ac:dyDescent="0.15">
      <c r="A341" s="10"/>
      <c r="B341" s="13"/>
      <c r="C341" s="13"/>
    </row>
    <row r="342" spans="1:3" ht="13" x14ac:dyDescent="0.15">
      <c r="A342" s="10"/>
      <c r="B342" s="13"/>
      <c r="C342" s="13"/>
    </row>
    <row r="343" spans="1:3" ht="13" x14ac:dyDescent="0.15">
      <c r="A343" s="10"/>
      <c r="B343" s="13"/>
      <c r="C343" s="13"/>
    </row>
    <row r="344" spans="1:3" ht="13" x14ac:dyDescent="0.15">
      <c r="A344" s="10"/>
      <c r="B344" s="13"/>
      <c r="C344" s="13"/>
    </row>
    <row r="345" spans="1:3" ht="13" x14ac:dyDescent="0.15">
      <c r="A345" s="10"/>
      <c r="B345" s="13"/>
      <c r="C345" s="13"/>
    </row>
    <row r="346" spans="1:3" ht="13" x14ac:dyDescent="0.15">
      <c r="A346" s="10"/>
      <c r="B346" s="13"/>
      <c r="C346" s="13"/>
    </row>
    <row r="347" spans="1:3" ht="13" x14ac:dyDescent="0.15">
      <c r="A347" s="10"/>
      <c r="B347" s="13"/>
      <c r="C347" s="13"/>
    </row>
    <row r="348" spans="1:3" ht="13" x14ac:dyDescent="0.15">
      <c r="A348" s="10"/>
      <c r="B348" s="13"/>
      <c r="C348" s="13"/>
    </row>
    <row r="349" spans="1:3" ht="13" x14ac:dyDescent="0.15">
      <c r="A349" s="10"/>
      <c r="B349" s="13"/>
      <c r="C349" s="13"/>
    </row>
    <row r="350" spans="1:3" ht="13" x14ac:dyDescent="0.15">
      <c r="A350" s="10"/>
      <c r="B350" s="13"/>
      <c r="C350" s="13"/>
    </row>
    <row r="351" spans="1:3" ht="13" x14ac:dyDescent="0.15">
      <c r="A351" s="10"/>
      <c r="B351" s="13"/>
      <c r="C351" s="13"/>
    </row>
    <row r="352" spans="1:3" ht="13" x14ac:dyDescent="0.15">
      <c r="A352" s="10"/>
      <c r="B352" s="13"/>
      <c r="C352" s="13"/>
    </row>
    <row r="353" spans="1:3" ht="13" x14ac:dyDescent="0.15">
      <c r="A353" s="10"/>
      <c r="B353" s="13"/>
      <c r="C353" s="13"/>
    </row>
    <row r="354" spans="1:3" ht="13" x14ac:dyDescent="0.15">
      <c r="A354" s="10"/>
      <c r="B354" s="13"/>
      <c r="C354" s="13"/>
    </row>
    <row r="355" spans="1:3" ht="13" x14ac:dyDescent="0.15">
      <c r="A355" s="10"/>
      <c r="B355" s="13"/>
      <c r="C355" s="13"/>
    </row>
    <row r="356" spans="1:3" ht="13" x14ac:dyDescent="0.15">
      <c r="A356" s="10"/>
      <c r="B356" s="13"/>
      <c r="C356" s="13"/>
    </row>
    <row r="357" spans="1:3" ht="13" x14ac:dyDescent="0.15">
      <c r="A357" s="10"/>
      <c r="B357" s="13"/>
      <c r="C357" s="13"/>
    </row>
    <row r="358" spans="1:3" ht="13" x14ac:dyDescent="0.15">
      <c r="A358" s="10"/>
      <c r="B358" s="13"/>
      <c r="C358" s="13"/>
    </row>
    <row r="359" spans="1:3" ht="13" x14ac:dyDescent="0.15">
      <c r="A359" s="10"/>
      <c r="B359" s="13"/>
      <c r="C359" s="13"/>
    </row>
    <row r="360" spans="1:3" ht="13" x14ac:dyDescent="0.15">
      <c r="A360" s="10"/>
      <c r="B360" s="13"/>
      <c r="C360" s="13"/>
    </row>
    <row r="361" spans="1:3" ht="13" x14ac:dyDescent="0.15">
      <c r="A361" s="10"/>
      <c r="B361" s="13"/>
      <c r="C361" s="13"/>
    </row>
    <row r="362" spans="1:3" ht="13" x14ac:dyDescent="0.15">
      <c r="A362" s="10"/>
      <c r="B362" s="13"/>
      <c r="C362" s="13"/>
    </row>
    <row r="363" spans="1:3" ht="13" x14ac:dyDescent="0.15">
      <c r="A363" s="10"/>
      <c r="B363" s="13"/>
      <c r="C363" s="13"/>
    </row>
    <row r="364" spans="1:3" ht="13" x14ac:dyDescent="0.15">
      <c r="A364" s="10"/>
      <c r="B364" s="13"/>
      <c r="C364" s="13"/>
    </row>
    <row r="365" spans="1:3" ht="13" x14ac:dyDescent="0.15">
      <c r="A365" s="10"/>
      <c r="B365" s="13"/>
      <c r="C365" s="13"/>
    </row>
    <row r="366" spans="1:3" ht="13" x14ac:dyDescent="0.15">
      <c r="A366" s="10"/>
      <c r="B366" s="13"/>
      <c r="C366" s="13"/>
    </row>
    <row r="367" spans="1:3" ht="13" x14ac:dyDescent="0.15">
      <c r="A367" s="10"/>
      <c r="B367" s="13"/>
      <c r="C367" s="13"/>
    </row>
    <row r="368" spans="1:3" ht="13" x14ac:dyDescent="0.15">
      <c r="A368" s="10"/>
      <c r="B368" s="13"/>
      <c r="C368" s="13"/>
    </row>
    <row r="369" spans="1:3" ht="13" x14ac:dyDescent="0.15">
      <c r="A369" s="10"/>
      <c r="B369" s="13"/>
      <c r="C369" s="13"/>
    </row>
    <row r="370" spans="1:3" ht="13" x14ac:dyDescent="0.15">
      <c r="A370" s="10"/>
      <c r="B370" s="13"/>
      <c r="C370" s="13"/>
    </row>
    <row r="371" spans="1:3" ht="13" x14ac:dyDescent="0.15">
      <c r="A371" s="10"/>
      <c r="B371" s="13"/>
      <c r="C371" s="13"/>
    </row>
    <row r="372" spans="1:3" ht="13" x14ac:dyDescent="0.15">
      <c r="A372" s="10"/>
      <c r="B372" s="13"/>
      <c r="C372" s="13"/>
    </row>
    <row r="373" spans="1:3" ht="13" x14ac:dyDescent="0.15">
      <c r="A373" s="10"/>
      <c r="B373" s="13"/>
      <c r="C373" s="13"/>
    </row>
    <row r="374" spans="1:3" ht="13" x14ac:dyDescent="0.15">
      <c r="A374" s="10"/>
      <c r="B374" s="13"/>
      <c r="C374" s="13"/>
    </row>
    <row r="375" spans="1:3" ht="13" x14ac:dyDescent="0.15">
      <c r="A375" s="10"/>
      <c r="B375" s="13"/>
      <c r="C375" s="13"/>
    </row>
    <row r="376" spans="1:3" ht="13" x14ac:dyDescent="0.15">
      <c r="A376" s="10"/>
      <c r="B376" s="13"/>
      <c r="C376" s="13"/>
    </row>
    <row r="377" spans="1:3" ht="13" x14ac:dyDescent="0.15">
      <c r="A377" s="10"/>
      <c r="B377" s="13"/>
      <c r="C377" s="13"/>
    </row>
    <row r="378" spans="1:3" ht="13" x14ac:dyDescent="0.15">
      <c r="A378" s="10"/>
      <c r="B378" s="13"/>
      <c r="C378" s="13"/>
    </row>
    <row r="379" spans="1:3" ht="13" x14ac:dyDescent="0.15">
      <c r="A379" s="10"/>
      <c r="B379" s="13"/>
      <c r="C379" s="13"/>
    </row>
    <row r="380" spans="1:3" ht="13" x14ac:dyDescent="0.15">
      <c r="A380" s="10"/>
      <c r="B380" s="13"/>
      <c r="C380" s="13"/>
    </row>
    <row r="381" spans="1:3" ht="13" x14ac:dyDescent="0.15">
      <c r="A381" s="10"/>
      <c r="B381" s="13"/>
      <c r="C381" s="13"/>
    </row>
    <row r="382" spans="1:3" ht="13" x14ac:dyDescent="0.15">
      <c r="A382" s="10"/>
      <c r="B382" s="13"/>
      <c r="C382" s="13"/>
    </row>
    <row r="383" spans="1:3" ht="13" x14ac:dyDescent="0.15">
      <c r="A383" s="10"/>
      <c r="B383" s="13"/>
      <c r="C383" s="13"/>
    </row>
    <row r="384" spans="1:3" ht="13" x14ac:dyDescent="0.15">
      <c r="A384" s="10"/>
      <c r="B384" s="13"/>
      <c r="C384" s="13"/>
    </row>
    <row r="385" spans="1:3" ht="13" x14ac:dyDescent="0.15">
      <c r="A385" s="10"/>
      <c r="B385" s="13"/>
      <c r="C385" s="13"/>
    </row>
    <row r="386" spans="1:3" ht="13" x14ac:dyDescent="0.15">
      <c r="A386" s="10"/>
      <c r="B386" s="13"/>
      <c r="C386" s="13"/>
    </row>
    <row r="387" spans="1:3" ht="13" x14ac:dyDescent="0.15">
      <c r="A387" s="10"/>
      <c r="B387" s="13"/>
      <c r="C387" s="13"/>
    </row>
    <row r="388" spans="1:3" ht="13" x14ac:dyDescent="0.15">
      <c r="A388" s="10"/>
      <c r="B388" s="13"/>
      <c r="C388" s="13"/>
    </row>
    <row r="389" spans="1:3" ht="13" x14ac:dyDescent="0.15">
      <c r="A389" s="10"/>
      <c r="B389" s="13"/>
      <c r="C389" s="13"/>
    </row>
    <row r="390" spans="1:3" ht="13" x14ac:dyDescent="0.15">
      <c r="A390" s="10"/>
      <c r="B390" s="13"/>
      <c r="C390" s="13"/>
    </row>
    <row r="391" spans="1:3" ht="13" x14ac:dyDescent="0.15">
      <c r="A391" s="10"/>
      <c r="B391" s="13"/>
      <c r="C391" s="13"/>
    </row>
    <row r="392" spans="1:3" ht="13" x14ac:dyDescent="0.15">
      <c r="A392" s="10"/>
      <c r="B392" s="13"/>
      <c r="C392" s="13"/>
    </row>
    <row r="393" spans="1:3" ht="13" x14ac:dyDescent="0.15">
      <c r="A393" s="10"/>
      <c r="B393" s="13"/>
      <c r="C393" s="13"/>
    </row>
    <row r="394" spans="1:3" ht="13" x14ac:dyDescent="0.15">
      <c r="A394" s="10"/>
      <c r="B394" s="13"/>
      <c r="C394" s="13"/>
    </row>
    <row r="395" spans="1:3" ht="13" x14ac:dyDescent="0.15">
      <c r="A395" s="10"/>
      <c r="B395" s="13"/>
      <c r="C395" s="13"/>
    </row>
    <row r="396" spans="1:3" ht="13" x14ac:dyDescent="0.15">
      <c r="A396" s="10"/>
      <c r="B396" s="13"/>
      <c r="C396" s="13"/>
    </row>
    <row r="397" spans="1:3" ht="13" x14ac:dyDescent="0.15">
      <c r="A397" s="10"/>
      <c r="B397" s="13"/>
      <c r="C397" s="13"/>
    </row>
    <row r="398" spans="1:3" ht="13" x14ac:dyDescent="0.15">
      <c r="A398" s="10"/>
      <c r="B398" s="13"/>
      <c r="C398" s="13"/>
    </row>
    <row r="399" spans="1:3" ht="13" x14ac:dyDescent="0.15">
      <c r="A399" s="10"/>
      <c r="B399" s="13"/>
      <c r="C399" s="13"/>
    </row>
    <row r="400" spans="1:3" ht="13" x14ac:dyDescent="0.15">
      <c r="A400" s="10"/>
      <c r="B400" s="13"/>
      <c r="C400" s="13"/>
    </row>
    <row r="401" spans="1:3" ht="13" x14ac:dyDescent="0.15">
      <c r="A401" s="10"/>
      <c r="B401" s="13"/>
      <c r="C401" s="13"/>
    </row>
    <row r="402" spans="1:3" ht="13" x14ac:dyDescent="0.15">
      <c r="A402" s="10"/>
      <c r="B402" s="13"/>
      <c r="C402" s="13"/>
    </row>
    <row r="403" spans="1:3" ht="13" x14ac:dyDescent="0.15">
      <c r="A403" s="10"/>
      <c r="B403" s="13"/>
      <c r="C403" s="13"/>
    </row>
    <row r="404" spans="1:3" ht="13" x14ac:dyDescent="0.15">
      <c r="A404" s="10"/>
      <c r="B404" s="13"/>
      <c r="C404" s="13"/>
    </row>
    <row r="405" spans="1:3" ht="13" x14ac:dyDescent="0.15">
      <c r="A405" s="10"/>
      <c r="B405" s="13"/>
      <c r="C405" s="13"/>
    </row>
    <row r="406" spans="1:3" ht="13" x14ac:dyDescent="0.15">
      <c r="A406" s="10"/>
      <c r="B406" s="13"/>
      <c r="C406" s="13"/>
    </row>
    <row r="407" spans="1:3" ht="13" x14ac:dyDescent="0.15">
      <c r="A407" s="10"/>
      <c r="B407" s="13"/>
      <c r="C407" s="13"/>
    </row>
    <row r="408" spans="1:3" ht="13" x14ac:dyDescent="0.15">
      <c r="A408" s="10"/>
      <c r="B408" s="13"/>
      <c r="C408" s="13"/>
    </row>
    <row r="409" spans="1:3" ht="13" x14ac:dyDescent="0.15">
      <c r="A409" s="10"/>
      <c r="B409" s="13"/>
      <c r="C409" s="13"/>
    </row>
    <row r="410" spans="1:3" ht="13" x14ac:dyDescent="0.15">
      <c r="A410" s="10"/>
      <c r="B410" s="13"/>
      <c r="C410" s="13"/>
    </row>
    <row r="411" spans="1:3" ht="13" x14ac:dyDescent="0.15">
      <c r="A411" s="10"/>
      <c r="B411" s="13"/>
      <c r="C411" s="13"/>
    </row>
    <row r="412" spans="1:3" ht="13" x14ac:dyDescent="0.15">
      <c r="A412" s="10"/>
      <c r="B412" s="13"/>
      <c r="C412" s="13"/>
    </row>
    <row r="413" spans="1:3" ht="13" x14ac:dyDescent="0.15">
      <c r="A413" s="10"/>
      <c r="B413" s="13"/>
      <c r="C413" s="13"/>
    </row>
    <row r="414" spans="1:3" ht="13" x14ac:dyDescent="0.15">
      <c r="A414" s="10"/>
      <c r="B414" s="13"/>
      <c r="C414" s="13"/>
    </row>
    <row r="415" spans="1:3" ht="13" x14ac:dyDescent="0.15">
      <c r="A415" s="10"/>
      <c r="B415" s="13"/>
      <c r="C415" s="13"/>
    </row>
    <row r="416" spans="1:3" ht="13" x14ac:dyDescent="0.15">
      <c r="A416" s="10"/>
      <c r="B416" s="13"/>
      <c r="C416" s="13"/>
    </row>
    <row r="417" spans="1:3" ht="13" x14ac:dyDescent="0.15">
      <c r="A417" s="10"/>
      <c r="B417" s="13"/>
      <c r="C417" s="13"/>
    </row>
    <row r="418" spans="1:3" ht="13" x14ac:dyDescent="0.15">
      <c r="A418" s="10"/>
      <c r="B418" s="13"/>
      <c r="C418" s="13"/>
    </row>
    <row r="419" spans="1:3" ht="13" x14ac:dyDescent="0.15">
      <c r="A419" s="10"/>
      <c r="B419" s="13"/>
      <c r="C419" s="13"/>
    </row>
    <row r="420" spans="1:3" ht="13" x14ac:dyDescent="0.15">
      <c r="A420" s="10"/>
      <c r="B420" s="13"/>
      <c r="C420" s="13"/>
    </row>
    <row r="421" spans="1:3" ht="13" x14ac:dyDescent="0.15">
      <c r="A421" s="10"/>
      <c r="B421" s="13"/>
      <c r="C421" s="13"/>
    </row>
    <row r="422" spans="1:3" ht="13" x14ac:dyDescent="0.15">
      <c r="A422" s="10"/>
      <c r="B422" s="13"/>
      <c r="C422" s="13"/>
    </row>
    <row r="423" spans="1:3" ht="13" x14ac:dyDescent="0.15">
      <c r="A423" s="10"/>
      <c r="B423" s="13"/>
      <c r="C423" s="13"/>
    </row>
    <row r="424" spans="1:3" ht="13" x14ac:dyDescent="0.15">
      <c r="A424" s="10"/>
      <c r="B424" s="13"/>
      <c r="C424" s="13"/>
    </row>
    <row r="425" spans="1:3" ht="13" x14ac:dyDescent="0.15">
      <c r="A425" s="10"/>
      <c r="B425" s="13"/>
      <c r="C425" s="13"/>
    </row>
    <row r="426" spans="1:3" ht="13" x14ac:dyDescent="0.15">
      <c r="A426" s="10"/>
      <c r="B426" s="13"/>
      <c r="C426" s="13"/>
    </row>
    <row r="427" spans="1:3" ht="13" x14ac:dyDescent="0.15">
      <c r="A427" s="10"/>
      <c r="B427" s="13"/>
      <c r="C427" s="13"/>
    </row>
    <row r="428" spans="1:3" ht="13" x14ac:dyDescent="0.15">
      <c r="A428" s="10"/>
      <c r="B428" s="13"/>
      <c r="C428" s="13"/>
    </row>
    <row r="429" spans="1:3" ht="13" x14ac:dyDescent="0.15">
      <c r="A429" s="10"/>
      <c r="B429" s="13"/>
      <c r="C429" s="13"/>
    </row>
    <row r="430" spans="1:3" ht="13" x14ac:dyDescent="0.15">
      <c r="A430" s="10"/>
      <c r="B430" s="13"/>
      <c r="C430" s="13"/>
    </row>
    <row r="431" spans="1:3" ht="13" x14ac:dyDescent="0.15">
      <c r="A431" s="10"/>
      <c r="B431" s="13"/>
      <c r="C431" s="13"/>
    </row>
    <row r="432" spans="1:3" ht="13" x14ac:dyDescent="0.15">
      <c r="A432" s="10"/>
      <c r="B432" s="13"/>
      <c r="C432" s="13"/>
    </row>
    <row r="433" spans="1:3" ht="13" x14ac:dyDescent="0.15">
      <c r="A433" s="10"/>
      <c r="B433" s="13"/>
      <c r="C433" s="13"/>
    </row>
    <row r="434" spans="1:3" ht="13" x14ac:dyDescent="0.15">
      <c r="A434" s="10"/>
      <c r="B434" s="13"/>
      <c r="C434" s="13"/>
    </row>
    <row r="435" spans="1:3" ht="13" x14ac:dyDescent="0.15">
      <c r="A435" s="10"/>
      <c r="B435" s="13"/>
      <c r="C435" s="13"/>
    </row>
    <row r="436" spans="1:3" ht="13" x14ac:dyDescent="0.15">
      <c r="A436" s="10"/>
      <c r="B436" s="13"/>
      <c r="C436" s="13"/>
    </row>
    <row r="437" spans="1:3" ht="13" x14ac:dyDescent="0.15">
      <c r="A437" s="10"/>
      <c r="B437" s="13"/>
      <c r="C437" s="13"/>
    </row>
    <row r="438" spans="1:3" ht="13" x14ac:dyDescent="0.15">
      <c r="A438" s="10"/>
      <c r="B438" s="13"/>
      <c r="C438" s="13"/>
    </row>
    <row r="439" spans="1:3" ht="13" x14ac:dyDescent="0.15">
      <c r="A439" s="10"/>
      <c r="B439" s="13"/>
      <c r="C439" s="13"/>
    </row>
    <row r="440" spans="1:3" ht="13" x14ac:dyDescent="0.15">
      <c r="A440" s="10"/>
      <c r="B440" s="13"/>
      <c r="C440" s="13"/>
    </row>
    <row r="441" spans="1:3" ht="13" x14ac:dyDescent="0.15">
      <c r="A441" s="10"/>
      <c r="B441" s="13"/>
      <c r="C441" s="13"/>
    </row>
    <row r="442" spans="1:3" ht="13" x14ac:dyDescent="0.15">
      <c r="A442" s="10"/>
      <c r="B442" s="13"/>
      <c r="C442" s="13"/>
    </row>
    <row r="443" spans="1:3" ht="13" x14ac:dyDescent="0.15">
      <c r="A443" s="10"/>
      <c r="B443" s="13"/>
      <c r="C443" s="13"/>
    </row>
    <row r="444" spans="1:3" ht="13" x14ac:dyDescent="0.15">
      <c r="A444" s="10"/>
      <c r="B444" s="13"/>
      <c r="C444" s="13"/>
    </row>
    <row r="445" spans="1:3" ht="13" x14ac:dyDescent="0.15">
      <c r="A445" s="10"/>
      <c r="B445" s="13"/>
      <c r="C445" s="13"/>
    </row>
    <row r="446" spans="1:3" ht="13" x14ac:dyDescent="0.15">
      <c r="A446" s="10"/>
      <c r="B446" s="13"/>
      <c r="C446" s="13"/>
    </row>
    <row r="447" spans="1:3" ht="13" x14ac:dyDescent="0.15">
      <c r="A447" s="10"/>
      <c r="B447" s="13"/>
      <c r="C447" s="13"/>
    </row>
    <row r="448" spans="1:3" ht="13" x14ac:dyDescent="0.15">
      <c r="A448" s="10"/>
      <c r="B448" s="13"/>
      <c r="C448" s="13"/>
    </row>
    <row r="449" spans="1:3" ht="13" x14ac:dyDescent="0.15">
      <c r="A449" s="10"/>
      <c r="B449" s="13"/>
      <c r="C449" s="13"/>
    </row>
    <row r="450" spans="1:3" ht="13" x14ac:dyDescent="0.15">
      <c r="A450" s="10"/>
      <c r="B450" s="13"/>
      <c r="C450" s="13"/>
    </row>
    <row r="451" spans="1:3" ht="13" x14ac:dyDescent="0.15">
      <c r="A451" s="10"/>
      <c r="B451" s="13"/>
      <c r="C451" s="13"/>
    </row>
    <row r="452" spans="1:3" ht="13" x14ac:dyDescent="0.15">
      <c r="A452" s="10"/>
      <c r="B452" s="13"/>
      <c r="C452" s="13"/>
    </row>
    <row r="453" spans="1:3" ht="13" x14ac:dyDescent="0.15">
      <c r="A453" s="10"/>
      <c r="B453" s="13"/>
      <c r="C453" s="13"/>
    </row>
    <row r="454" spans="1:3" ht="13" x14ac:dyDescent="0.15">
      <c r="A454" s="10"/>
      <c r="B454" s="13"/>
      <c r="C454" s="13"/>
    </row>
    <row r="455" spans="1:3" ht="13" x14ac:dyDescent="0.15">
      <c r="A455" s="10"/>
      <c r="B455" s="13"/>
      <c r="C455" s="13"/>
    </row>
    <row r="456" spans="1:3" ht="13" x14ac:dyDescent="0.15">
      <c r="A456" s="10"/>
      <c r="B456" s="13"/>
      <c r="C456" s="13"/>
    </row>
    <row r="457" spans="1:3" ht="13" x14ac:dyDescent="0.15">
      <c r="A457" s="10"/>
      <c r="B457" s="13"/>
      <c r="C457" s="13"/>
    </row>
    <row r="458" spans="1:3" ht="13" x14ac:dyDescent="0.15">
      <c r="A458" s="10"/>
      <c r="B458" s="13"/>
      <c r="C458" s="13"/>
    </row>
    <row r="459" spans="1:3" ht="13" x14ac:dyDescent="0.15">
      <c r="A459" s="10"/>
      <c r="B459" s="13"/>
      <c r="C459" s="13"/>
    </row>
    <row r="460" spans="1:3" ht="13" x14ac:dyDescent="0.15">
      <c r="A460" s="10"/>
      <c r="B460" s="13"/>
      <c r="C460" s="13"/>
    </row>
    <row r="461" spans="1:3" ht="13" x14ac:dyDescent="0.15">
      <c r="A461" s="10"/>
      <c r="B461" s="13"/>
      <c r="C461" s="13"/>
    </row>
    <row r="462" spans="1:3" ht="13" x14ac:dyDescent="0.15">
      <c r="A462" s="10"/>
      <c r="B462" s="13"/>
      <c r="C462" s="13"/>
    </row>
    <row r="463" spans="1:3" ht="13" x14ac:dyDescent="0.15">
      <c r="A463" s="10"/>
      <c r="B463" s="13"/>
      <c r="C463" s="13"/>
    </row>
    <row r="464" spans="1:3" ht="13" x14ac:dyDescent="0.15">
      <c r="A464" s="10"/>
      <c r="B464" s="13"/>
      <c r="C464" s="13"/>
    </row>
    <row r="465" spans="1:3" ht="13" x14ac:dyDescent="0.15">
      <c r="A465" s="10"/>
      <c r="B465" s="13"/>
      <c r="C465" s="13"/>
    </row>
    <row r="466" spans="1:3" ht="13" x14ac:dyDescent="0.15">
      <c r="A466" s="10"/>
      <c r="B466" s="13"/>
      <c r="C466" s="13"/>
    </row>
    <row r="467" spans="1:3" ht="13" x14ac:dyDescent="0.15">
      <c r="A467" s="10"/>
      <c r="B467" s="13"/>
      <c r="C467" s="13"/>
    </row>
    <row r="468" spans="1:3" ht="13" x14ac:dyDescent="0.15">
      <c r="A468" s="10"/>
      <c r="B468" s="13"/>
      <c r="C468" s="13"/>
    </row>
    <row r="469" spans="1:3" ht="13" x14ac:dyDescent="0.15">
      <c r="A469" s="10"/>
      <c r="B469" s="13"/>
      <c r="C469" s="13"/>
    </row>
    <row r="470" spans="1:3" ht="13" x14ac:dyDescent="0.15">
      <c r="A470" s="10"/>
      <c r="B470" s="13"/>
      <c r="C470" s="13"/>
    </row>
    <row r="471" spans="1:3" ht="13" x14ac:dyDescent="0.15">
      <c r="A471" s="10"/>
      <c r="B471" s="13"/>
      <c r="C471" s="13"/>
    </row>
    <row r="472" spans="1:3" ht="13" x14ac:dyDescent="0.15">
      <c r="A472" s="10"/>
      <c r="B472" s="13"/>
      <c r="C472" s="13"/>
    </row>
    <row r="473" spans="1:3" ht="13" x14ac:dyDescent="0.15">
      <c r="A473" s="10"/>
      <c r="B473" s="13"/>
      <c r="C473" s="13"/>
    </row>
    <row r="474" spans="1:3" ht="13" x14ac:dyDescent="0.15">
      <c r="A474" s="10"/>
      <c r="B474" s="13"/>
      <c r="C474" s="13"/>
    </row>
    <row r="475" spans="1:3" ht="13" x14ac:dyDescent="0.15">
      <c r="A475" s="10"/>
      <c r="B475" s="13"/>
      <c r="C475" s="13"/>
    </row>
    <row r="476" spans="1:3" ht="13" x14ac:dyDescent="0.15">
      <c r="A476" s="10"/>
      <c r="B476" s="13"/>
      <c r="C476" s="13"/>
    </row>
    <row r="477" spans="1:3" ht="13" x14ac:dyDescent="0.15">
      <c r="A477" s="10"/>
      <c r="B477" s="13"/>
      <c r="C477" s="13"/>
    </row>
    <row r="478" spans="1:3" ht="13" x14ac:dyDescent="0.15">
      <c r="A478" s="10"/>
      <c r="B478" s="13"/>
      <c r="C478" s="13"/>
    </row>
    <row r="479" spans="1:3" ht="13" x14ac:dyDescent="0.15">
      <c r="A479" s="10"/>
      <c r="B479" s="13"/>
      <c r="C479" s="13"/>
    </row>
    <row r="480" spans="1:3" ht="13" x14ac:dyDescent="0.15">
      <c r="A480" s="10"/>
      <c r="B480" s="13"/>
      <c r="C480" s="13"/>
    </row>
    <row r="481" spans="1:3" ht="13" x14ac:dyDescent="0.15">
      <c r="A481" s="10"/>
      <c r="B481" s="13"/>
      <c r="C481" s="13"/>
    </row>
    <row r="482" spans="1:3" ht="13" x14ac:dyDescent="0.15">
      <c r="A482" s="10"/>
      <c r="B482" s="13"/>
      <c r="C482" s="13"/>
    </row>
    <row r="483" spans="1:3" ht="13" x14ac:dyDescent="0.15">
      <c r="A483" s="10"/>
      <c r="B483" s="13"/>
      <c r="C483" s="13"/>
    </row>
    <row r="484" spans="1:3" ht="13" x14ac:dyDescent="0.15">
      <c r="A484" s="10"/>
      <c r="B484" s="13"/>
      <c r="C484" s="13"/>
    </row>
    <row r="485" spans="1:3" ht="13" x14ac:dyDescent="0.15">
      <c r="A485" s="10"/>
      <c r="B485" s="13"/>
      <c r="C485" s="13"/>
    </row>
    <row r="486" spans="1:3" ht="13" x14ac:dyDescent="0.15">
      <c r="A486" s="10"/>
      <c r="B486" s="13"/>
      <c r="C486" s="13"/>
    </row>
    <row r="487" spans="1:3" ht="13" x14ac:dyDescent="0.15">
      <c r="A487" s="10"/>
      <c r="B487" s="13"/>
      <c r="C487" s="13"/>
    </row>
    <row r="488" spans="1:3" ht="13" x14ac:dyDescent="0.15">
      <c r="A488" s="10"/>
      <c r="B488" s="13"/>
      <c r="C488" s="13"/>
    </row>
    <row r="489" spans="1:3" ht="13" x14ac:dyDescent="0.15">
      <c r="A489" s="10"/>
      <c r="B489" s="13"/>
      <c r="C489" s="13"/>
    </row>
    <row r="490" spans="1:3" ht="13" x14ac:dyDescent="0.15">
      <c r="A490" s="10"/>
      <c r="B490" s="13"/>
      <c r="C490" s="13"/>
    </row>
    <row r="491" spans="1:3" ht="13" x14ac:dyDescent="0.15">
      <c r="A491" s="10"/>
      <c r="B491" s="13"/>
      <c r="C491" s="13"/>
    </row>
    <row r="492" spans="1:3" ht="13" x14ac:dyDescent="0.15">
      <c r="A492" s="10"/>
      <c r="B492" s="13"/>
      <c r="C492" s="13"/>
    </row>
    <row r="493" spans="1:3" ht="13" x14ac:dyDescent="0.15">
      <c r="A493" s="10"/>
      <c r="B493" s="13"/>
      <c r="C493" s="13"/>
    </row>
    <row r="494" spans="1:3" ht="13" x14ac:dyDescent="0.15">
      <c r="A494" s="10"/>
      <c r="B494" s="13"/>
      <c r="C494" s="13"/>
    </row>
    <row r="495" spans="1:3" ht="13" x14ac:dyDescent="0.15">
      <c r="A495" s="10"/>
      <c r="B495" s="13"/>
      <c r="C495" s="13"/>
    </row>
    <row r="496" spans="1:3" ht="13" x14ac:dyDescent="0.15">
      <c r="A496" s="10"/>
      <c r="B496" s="13"/>
      <c r="C496" s="13"/>
    </row>
    <row r="497" spans="1:3" ht="13" x14ac:dyDescent="0.15">
      <c r="A497" s="10"/>
      <c r="B497" s="13"/>
      <c r="C497" s="13"/>
    </row>
    <row r="498" spans="1:3" ht="13" x14ac:dyDescent="0.15">
      <c r="A498" s="10"/>
      <c r="B498" s="13"/>
      <c r="C498" s="13"/>
    </row>
    <row r="499" spans="1:3" ht="13" x14ac:dyDescent="0.15">
      <c r="A499" s="10"/>
      <c r="B499" s="13"/>
      <c r="C499" s="13"/>
    </row>
    <row r="500" spans="1:3" ht="13" x14ac:dyDescent="0.15">
      <c r="A500" s="10"/>
      <c r="B500" s="13"/>
      <c r="C500" s="13"/>
    </row>
    <row r="501" spans="1:3" ht="13" x14ac:dyDescent="0.15">
      <c r="A501" s="10"/>
      <c r="B501" s="13"/>
      <c r="C501" s="13"/>
    </row>
    <row r="502" spans="1:3" ht="13" x14ac:dyDescent="0.15">
      <c r="A502" s="10"/>
      <c r="B502" s="13"/>
      <c r="C502" s="13"/>
    </row>
    <row r="503" spans="1:3" ht="13" x14ac:dyDescent="0.15">
      <c r="A503" s="10"/>
      <c r="B503" s="13"/>
      <c r="C503" s="13"/>
    </row>
    <row r="504" spans="1:3" ht="13" x14ac:dyDescent="0.15">
      <c r="A504" s="10"/>
      <c r="B504" s="13"/>
      <c r="C504" s="13"/>
    </row>
    <row r="505" spans="1:3" ht="13" x14ac:dyDescent="0.15">
      <c r="A505" s="10"/>
      <c r="B505" s="13"/>
      <c r="C505" s="13"/>
    </row>
    <row r="506" spans="1:3" ht="13" x14ac:dyDescent="0.15">
      <c r="A506" s="10"/>
      <c r="B506" s="13"/>
      <c r="C506" s="13"/>
    </row>
    <row r="507" spans="1:3" ht="13" x14ac:dyDescent="0.15">
      <c r="A507" s="10"/>
      <c r="B507" s="13"/>
      <c r="C507" s="13"/>
    </row>
    <row r="508" spans="1:3" ht="13" x14ac:dyDescent="0.15">
      <c r="A508" s="10"/>
      <c r="B508" s="13"/>
      <c r="C508" s="13"/>
    </row>
    <row r="509" spans="1:3" ht="13" x14ac:dyDescent="0.15">
      <c r="A509" s="10"/>
      <c r="B509" s="13"/>
      <c r="C509" s="13"/>
    </row>
    <row r="510" spans="1:3" ht="13" x14ac:dyDescent="0.15">
      <c r="A510" s="10"/>
      <c r="B510" s="13"/>
      <c r="C510" s="13"/>
    </row>
    <row r="511" spans="1:3" ht="13" x14ac:dyDescent="0.15">
      <c r="A511" s="10"/>
      <c r="B511" s="13"/>
      <c r="C511" s="13"/>
    </row>
    <row r="512" spans="1:3" ht="13" x14ac:dyDescent="0.15">
      <c r="A512" s="10"/>
      <c r="B512" s="13"/>
      <c r="C512" s="13"/>
    </row>
    <row r="513" spans="1:3" ht="13" x14ac:dyDescent="0.15">
      <c r="A513" s="10"/>
      <c r="B513" s="13"/>
      <c r="C513" s="13"/>
    </row>
    <row r="514" spans="1:3" ht="13" x14ac:dyDescent="0.15">
      <c r="A514" s="10"/>
      <c r="B514" s="13"/>
      <c r="C514" s="13"/>
    </row>
    <row r="515" spans="1:3" ht="13" x14ac:dyDescent="0.15">
      <c r="A515" s="10"/>
      <c r="B515" s="13"/>
      <c r="C515" s="13"/>
    </row>
    <row r="516" spans="1:3" ht="13" x14ac:dyDescent="0.15">
      <c r="A516" s="10"/>
      <c r="B516" s="13"/>
      <c r="C516" s="13"/>
    </row>
    <row r="517" spans="1:3" ht="13" x14ac:dyDescent="0.15">
      <c r="A517" s="10"/>
      <c r="B517" s="13"/>
      <c r="C517" s="13"/>
    </row>
    <row r="518" spans="1:3" ht="13" x14ac:dyDescent="0.15">
      <c r="A518" s="10"/>
      <c r="B518" s="13"/>
      <c r="C518" s="13"/>
    </row>
    <row r="519" spans="1:3" ht="13" x14ac:dyDescent="0.15">
      <c r="A519" s="10"/>
      <c r="B519" s="13"/>
      <c r="C519" s="13"/>
    </row>
    <row r="520" spans="1:3" ht="13" x14ac:dyDescent="0.15">
      <c r="A520" s="10"/>
      <c r="B520" s="13"/>
      <c r="C520" s="13"/>
    </row>
    <row r="521" spans="1:3" ht="13" x14ac:dyDescent="0.15">
      <c r="A521" s="10"/>
      <c r="B521" s="13"/>
      <c r="C521" s="13"/>
    </row>
    <row r="522" spans="1:3" ht="13" x14ac:dyDescent="0.15">
      <c r="A522" s="10"/>
      <c r="B522" s="13"/>
      <c r="C522" s="13"/>
    </row>
    <row r="523" spans="1:3" ht="13" x14ac:dyDescent="0.15">
      <c r="A523" s="10"/>
      <c r="B523" s="13"/>
      <c r="C523" s="13"/>
    </row>
    <row r="524" spans="1:3" ht="13" x14ac:dyDescent="0.15">
      <c r="A524" s="10"/>
      <c r="B524" s="13"/>
      <c r="C524" s="13"/>
    </row>
    <row r="525" spans="1:3" ht="13" x14ac:dyDescent="0.15">
      <c r="A525" s="10"/>
      <c r="B525" s="13"/>
      <c r="C525" s="13"/>
    </row>
    <row r="526" spans="1:3" ht="13" x14ac:dyDescent="0.15">
      <c r="A526" s="10"/>
      <c r="B526" s="13"/>
      <c r="C526" s="13"/>
    </row>
    <row r="527" spans="1:3" ht="13" x14ac:dyDescent="0.15">
      <c r="A527" s="10"/>
      <c r="B527" s="13"/>
      <c r="C527" s="13"/>
    </row>
    <row r="528" spans="1:3" ht="13" x14ac:dyDescent="0.15">
      <c r="A528" s="10"/>
      <c r="B528" s="13"/>
      <c r="C528" s="13"/>
    </row>
    <row r="529" spans="1:3" ht="13" x14ac:dyDescent="0.15">
      <c r="A529" s="10"/>
      <c r="B529" s="13"/>
      <c r="C529" s="13"/>
    </row>
    <row r="530" spans="1:3" ht="13" x14ac:dyDescent="0.15">
      <c r="A530" s="10"/>
      <c r="B530" s="13"/>
      <c r="C530" s="13"/>
    </row>
    <row r="531" spans="1:3" ht="13" x14ac:dyDescent="0.15">
      <c r="A531" s="10"/>
      <c r="B531" s="13"/>
      <c r="C531" s="13"/>
    </row>
    <row r="532" spans="1:3" ht="13" x14ac:dyDescent="0.15">
      <c r="A532" s="10"/>
      <c r="B532" s="13"/>
      <c r="C532" s="13"/>
    </row>
    <row r="533" spans="1:3" ht="13" x14ac:dyDescent="0.15">
      <c r="A533" s="10"/>
      <c r="B533" s="13"/>
      <c r="C533" s="13"/>
    </row>
    <row r="534" spans="1:3" ht="13" x14ac:dyDescent="0.15">
      <c r="A534" s="10"/>
      <c r="B534" s="13"/>
      <c r="C534" s="13"/>
    </row>
    <row r="535" spans="1:3" ht="13" x14ac:dyDescent="0.15">
      <c r="A535" s="10"/>
      <c r="B535" s="13"/>
      <c r="C535" s="13"/>
    </row>
    <row r="536" spans="1:3" ht="13" x14ac:dyDescent="0.15">
      <c r="A536" s="10"/>
      <c r="B536" s="13"/>
      <c r="C536" s="13"/>
    </row>
    <row r="537" spans="1:3" ht="13" x14ac:dyDescent="0.15">
      <c r="A537" s="10"/>
      <c r="B537" s="13"/>
      <c r="C537" s="13"/>
    </row>
    <row r="538" spans="1:3" ht="13" x14ac:dyDescent="0.15">
      <c r="A538" s="10"/>
      <c r="B538" s="13"/>
      <c r="C538" s="13"/>
    </row>
    <row r="539" spans="1:3" ht="13" x14ac:dyDescent="0.15">
      <c r="A539" s="10"/>
      <c r="B539" s="13"/>
      <c r="C539" s="13"/>
    </row>
    <row r="540" spans="1:3" ht="13" x14ac:dyDescent="0.15">
      <c r="A540" s="10"/>
      <c r="B540" s="13"/>
      <c r="C540" s="13"/>
    </row>
    <row r="541" spans="1:3" ht="13" x14ac:dyDescent="0.15">
      <c r="A541" s="10"/>
      <c r="B541" s="13"/>
      <c r="C541" s="13"/>
    </row>
    <row r="542" spans="1:3" ht="13" x14ac:dyDescent="0.15">
      <c r="A542" s="10"/>
      <c r="B542" s="13"/>
      <c r="C542" s="13"/>
    </row>
    <row r="543" spans="1:3" ht="13" x14ac:dyDescent="0.15">
      <c r="A543" s="10"/>
      <c r="B543" s="13"/>
      <c r="C543" s="13"/>
    </row>
    <row r="544" spans="1:3" ht="13" x14ac:dyDescent="0.15">
      <c r="A544" s="10"/>
      <c r="B544" s="13"/>
      <c r="C544" s="13"/>
    </row>
    <row r="545" spans="1:3" ht="13" x14ac:dyDescent="0.15">
      <c r="A545" s="10"/>
      <c r="B545" s="13"/>
      <c r="C545" s="13"/>
    </row>
    <row r="546" spans="1:3" ht="13" x14ac:dyDescent="0.15">
      <c r="A546" s="10"/>
      <c r="B546" s="13"/>
      <c r="C546" s="13"/>
    </row>
    <row r="547" spans="1:3" ht="13" x14ac:dyDescent="0.15">
      <c r="A547" s="10"/>
      <c r="B547" s="13"/>
      <c r="C547" s="13"/>
    </row>
    <row r="548" spans="1:3" ht="13" x14ac:dyDescent="0.15">
      <c r="A548" s="10"/>
      <c r="B548" s="13"/>
      <c r="C548" s="13"/>
    </row>
    <row r="549" spans="1:3" ht="13" x14ac:dyDescent="0.15">
      <c r="A549" s="10"/>
      <c r="B549" s="13"/>
      <c r="C549" s="13"/>
    </row>
    <row r="550" spans="1:3" ht="13" x14ac:dyDescent="0.15">
      <c r="A550" s="10"/>
      <c r="B550" s="13"/>
      <c r="C550" s="13"/>
    </row>
    <row r="551" spans="1:3" ht="13" x14ac:dyDescent="0.15">
      <c r="A551" s="10"/>
      <c r="B551" s="13"/>
      <c r="C551" s="13"/>
    </row>
    <row r="552" spans="1:3" ht="13" x14ac:dyDescent="0.15">
      <c r="A552" s="10"/>
      <c r="B552" s="13"/>
      <c r="C552" s="13"/>
    </row>
    <row r="553" spans="1:3" ht="13" x14ac:dyDescent="0.15">
      <c r="A553" s="10"/>
      <c r="B553" s="13"/>
      <c r="C553" s="13"/>
    </row>
    <row r="554" spans="1:3" ht="13" x14ac:dyDescent="0.15">
      <c r="A554" s="10"/>
      <c r="B554" s="13"/>
      <c r="C554" s="13"/>
    </row>
    <row r="555" spans="1:3" ht="13" x14ac:dyDescent="0.15">
      <c r="A555" s="10"/>
      <c r="B555" s="13"/>
      <c r="C555" s="13"/>
    </row>
    <row r="556" spans="1:3" ht="13" x14ac:dyDescent="0.15">
      <c r="A556" s="10"/>
      <c r="B556" s="13"/>
      <c r="C556" s="13"/>
    </row>
    <row r="557" spans="1:3" ht="13" x14ac:dyDescent="0.15">
      <c r="A557" s="10"/>
      <c r="B557" s="13"/>
      <c r="C557" s="13"/>
    </row>
    <row r="558" spans="1:3" ht="13" x14ac:dyDescent="0.15">
      <c r="A558" s="10"/>
      <c r="B558" s="13"/>
      <c r="C558" s="13"/>
    </row>
    <row r="559" spans="1:3" ht="13" x14ac:dyDescent="0.15">
      <c r="A559" s="10"/>
      <c r="B559" s="13"/>
      <c r="C559" s="13"/>
    </row>
    <row r="560" spans="1:3" ht="13" x14ac:dyDescent="0.15">
      <c r="A560" s="10"/>
      <c r="B560" s="13"/>
      <c r="C560" s="13"/>
    </row>
    <row r="561" spans="1:3" ht="13" x14ac:dyDescent="0.15">
      <c r="A561" s="10"/>
      <c r="B561" s="13"/>
      <c r="C561" s="13"/>
    </row>
    <row r="562" spans="1:3" ht="13" x14ac:dyDescent="0.15">
      <c r="A562" s="10"/>
      <c r="B562" s="13"/>
      <c r="C562" s="13"/>
    </row>
    <row r="563" spans="1:3" ht="13" x14ac:dyDescent="0.15">
      <c r="A563" s="10"/>
      <c r="B563" s="13"/>
      <c r="C563" s="13"/>
    </row>
    <row r="564" spans="1:3" ht="13" x14ac:dyDescent="0.15">
      <c r="A564" s="10"/>
      <c r="B564" s="13"/>
      <c r="C564" s="13"/>
    </row>
    <row r="565" spans="1:3" ht="13" x14ac:dyDescent="0.15">
      <c r="A565" s="10"/>
      <c r="B565" s="13"/>
      <c r="C565" s="13"/>
    </row>
    <row r="566" spans="1:3" ht="13" x14ac:dyDescent="0.15">
      <c r="A566" s="10"/>
      <c r="B566" s="13"/>
      <c r="C566" s="13"/>
    </row>
    <row r="567" spans="1:3" ht="13" x14ac:dyDescent="0.15">
      <c r="A567" s="10"/>
      <c r="B567" s="13"/>
      <c r="C567" s="13"/>
    </row>
    <row r="568" spans="1:3" ht="13" x14ac:dyDescent="0.15">
      <c r="A568" s="10"/>
      <c r="B568" s="13"/>
      <c r="C568" s="13"/>
    </row>
    <row r="569" spans="1:3" ht="13" x14ac:dyDescent="0.15">
      <c r="A569" s="10"/>
      <c r="B569" s="13"/>
      <c r="C569" s="13"/>
    </row>
    <row r="570" spans="1:3" ht="13" x14ac:dyDescent="0.15">
      <c r="A570" s="10"/>
      <c r="B570" s="13"/>
      <c r="C570" s="13"/>
    </row>
    <row r="571" spans="1:3" ht="13" x14ac:dyDescent="0.15">
      <c r="A571" s="10"/>
      <c r="B571" s="13"/>
      <c r="C571" s="13"/>
    </row>
    <row r="572" spans="1:3" ht="13" x14ac:dyDescent="0.15">
      <c r="A572" s="10"/>
      <c r="B572" s="13"/>
      <c r="C572" s="13"/>
    </row>
    <row r="573" spans="1:3" ht="13" x14ac:dyDescent="0.15">
      <c r="A573" s="10"/>
      <c r="B573" s="13"/>
      <c r="C573" s="13"/>
    </row>
    <row r="574" spans="1:3" ht="13" x14ac:dyDescent="0.15">
      <c r="A574" s="10"/>
      <c r="B574" s="13"/>
      <c r="C574" s="13"/>
    </row>
    <row r="575" spans="1:3" ht="13" x14ac:dyDescent="0.15">
      <c r="A575" s="10"/>
      <c r="B575" s="13"/>
      <c r="C575" s="13"/>
    </row>
    <row r="576" spans="1:3" ht="13" x14ac:dyDescent="0.15">
      <c r="A576" s="10"/>
      <c r="B576" s="13"/>
      <c r="C576" s="13"/>
    </row>
    <row r="577" spans="1:3" ht="13" x14ac:dyDescent="0.15">
      <c r="A577" s="10"/>
      <c r="B577" s="13"/>
      <c r="C577" s="13"/>
    </row>
    <row r="578" spans="1:3" ht="13" x14ac:dyDescent="0.15">
      <c r="A578" s="10"/>
      <c r="B578" s="13"/>
      <c r="C578" s="13"/>
    </row>
    <row r="579" spans="1:3" ht="13" x14ac:dyDescent="0.15">
      <c r="A579" s="10"/>
      <c r="B579" s="13"/>
      <c r="C579" s="13"/>
    </row>
    <row r="580" spans="1:3" ht="13" x14ac:dyDescent="0.15">
      <c r="A580" s="10"/>
      <c r="B580" s="13"/>
      <c r="C580" s="13"/>
    </row>
    <row r="581" spans="1:3" ht="13" x14ac:dyDescent="0.15">
      <c r="A581" s="10"/>
      <c r="B581" s="13"/>
      <c r="C581" s="13"/>
    </row>
    <row r="582" spans="1:3" ht="13" x14ac:dyDescent="0.15">
      <c r="A582" s="10"/>
      <c r="B582" s="13"/>
      <c r="C582" s="13"/>
    </row>
    <row r="583" spans="1:3" ht="13" x14ac:dyDescent="0.15">
      <c r="A583" s="10"/>
      <c r="B583" s="13"/>
      <c r="C583" s="13"/>
    </row>
    <row r="584" spans="1:3" ht="13" x14ac:dyDescent="0.15">
      <c r="A584" s="10"/>
      <c r="B584" s="13"/>
      <c r="C584" s="13"/>
    </row>
    <row r="585" spans="1:3" ht="13" x14ac:dyDescent="0.15">
      <c r="A585" s="10"/>
      <c r="B585" s="13"/>
      <c r="C585" s="13"/>
    </row>
    <row r="586" spans="1:3" ht="13" x14ac:dyDescent="0.15">
      <c r="A586" s="10"/>
      <c r="B586" s="13"/>
      <c r="C586" s="13"/>
    </row>
    <row r="587" spans="1:3" ht="13" x14ac:dyDescent="0.15">
      <c r="A587" s="10"/>
      <c r="B587" s="13"/>
      <c r="C587" s="13"/>
    </row>
    <row r="588" spans="1:3" ht="13" x14ac:dyDescent="0.15">
      <c r="A588" s="10"/>
      <c r="B588" s="13"/>
      <c r="C588" s="13"/>
    </row>
    <row r="589" spans="1:3" ht="13" x14ac:dyDescent="0.15">
      <c r="A589" s="10"/>
      <c r="B589" s="13"/>
      <c r="C589" s="13"/>
    </row>
    <row r="590" spans="1:3" ht="13" x14ac:dyDescent="0.15">
      <c r="A590" s="10"/>
      <c r="B590" s="13"/>
      <c r="C590" s="13"/>
    </row>
    <row r="591" spans="1:3" ht="13" x14ac:dyDescent="0.15">
      <c r="A591" s="10"/>
      <c r="B591" s="13"/>
      <c r="C591" s="13"/>
    </row>
    <row r="592" spans="1:3" ht="13" x14ac:dyDescent="0.15">
      <c r="A592" s="10"/>
      <c r="B592" s="13"/>
      <c r="C592" s="13"/>
    </row>
    <row r="593" spans="1:3" ht="13" x14ac:dyDescent="0.15">
      <c r="A593" s="10"/>
      <c r="B593" s="13"/>
      <c r="C593" s="13"/>
    </row>
    <row r="594" spans="1:3" ht="13" x14ac:dyDescent="0.15">
      <c r="A594" s="10"/>
      <c r="B594" s="13"/>
      <c r="C594" s="13"/>
    </row>
    <row r="595" spans="1:3" ht="13" x14ac:dyDescent="0.15">
      <c r="A595" s="10"/>
      <c r="B595" s="13"/>
      <c r="C595" s="13"/>
    </row>
    <row r="596" spans="1:3" ht="13" x14ac:dyDescent="0.15">
      <c r="A596" s="10"/>
      <c r="B596" s="13"/>
      <c r="C596" s="13"/>
    </row>
    <row r="597" spans="1:3" ht="13" x14ac:dyDescent="0.15">
      <c r="A597" s="10"/>
      <c r="B597" s="13"/>
      <c r="C597" s="13"/>
    </row>
    <row r="598" spans="1:3" ht="13" x14ac:dyDescent="0.15">
      <c r="A598" s="10"/>
      <c r="B598" s="13"/>
      <c r="C598" s="13"/>
    </row>
    <row r="599" spans="1:3" ht="13" x14ac:dyDescent="0.15">
      <c r="A599" s="10"/>
      <c r="B599" s="13"/>
      <c r="C599" s="13"/>
    </row>
    <row r="600" spans="1:3" ht="13" x14ac:dyDescent="0.15">
      <c r="A600" s="10"/>
      <c r="B600" s="13"/>
      <c r="C600" s="13"/>
    </row>
    <row r="601" spans="1:3" ht="13" x14ac:dyDescent="0.15">
      <c r="A601" s="10"/>
      <c r="B601" s="13"/>
      <c r="C601" s="13"/>
    </row>
    <row r="602" spans="1:3" ht="13" x14ac:dyDescent="0.15">
      <c r="A602" s="10"/>
      <c r="B602" s="13"/>
      <c r="C602" s="13"/>
    </row>
    <row r="603" spans="1:3" ht="13" x14ac:dyDescent="0.15">
      <c r="A603" s="10"/>
      <c r="B603" s="13"/>
      <c r="C603" s="13"/>
    </row>
    <row r="604" spans="1:3" ht="13" x14ac:dyDescent="0.15">
      <c r="A604" s="10"/>
      <c r="B604" s="13"/>
      <c r="C604" s="13"/>
    </row>
    <row r="605" spans="1:3" ht="13" x14ac:dyDescent="0.15">
      <c r="A605" s="10"/>
      <c r="B605" s="13"/>
      <c r="C605" s="13"/>
    </row>
    <row r="606" spans="1:3" ht="13" x14ac:dyDescent="0.15">
      <c r="A606" s="10"/>
      <c r="B606" s="13"/>
      <c r="C606" s="13"/>
    </row>
    <row r="607" spans="1:3" ht="13" x14ac:dyDescent="0.15">
      <c r="A607" s="10"/>
      <c r="B607" s="13"/>
      <c r="C607" s="13"/>
    </row>
    <row r="608" spans="1:3" ht="13" x14ac:dyDescent="0.15">
      <c r="A608" s="10"/>
      <c r="B608" s="13"/>
      <c r="C608" s="13"/>
    </row>
    <row r="609" spans="1:3" ht="13" x14ac:dyDescent="0.15">
      <c r="A609" s="10"/>
      <c r="B609" s="13"/>
      <c r="C609" s="13"/>
    </row>
    <row r="610" spans="1:3" ht="13" x14ac:dyDescent="0.15">
      <c r="A610" s="10"/>
      <c r="B610" s="13"/>
      <c r="C610" s="13"/>
    </row>
    <row r="611" spans="1:3" ht="13" x14ac:dyDescent="0.15">
      <c r="A611" s="10"/>
      <c r="B611" s="13"/>
      <c r="C611" s="13"/>
    </row>
    <row r="612" spans="1:3" ht="13" x14ac:dyDescent="0.15">
      <c r="A612" s="10"/>
      <c r="B612" s="13"/>
      <c r="C612" s="13"/>
    </row>
    <row r="613" spans="1:3" ht="13" x14ac:dyDescent="0.15">
      <c r="A613" s="10"/>
      <c r="B613" s="13"/>
      <c r="C613" s="13"/>
    </row>
    <row r="614" spans="1:3" ht="13" x14ac:dyDescent="0.15">
      <c r="A614" s="10"/>
      <c r="B614" s="13"/>
      <c r="C614" s="13"/>
    </row>
    <row r="615" spans="1:3" ht="13" x14ac:dyDescent="0.15">
      <c r="A615" s="10"/>
      <c r="B615" s="13"/>
      <c r="C615" s="13"/>
    </row>
    <row r="616" spans="1:3" ht="13" x14ac:dyDescent="0.15">
      <c r="A616" s="10"/>
      <c r="B616" s="13"/>
      <c r="C616" s="13"/>
    </row>
    <row r="617" spans="1:3" ht="13" x14ac:dyDescent="0.15">
      <c r="A617" s="10"/>
      <c r="B617" s="13"/>
      <c r="C617" s="13"/>
    </row>
    <row r="618" spans="1:3" ht="13" x14ac:dyDescent="0.15">
      <c r="A618" s="10"/>
      <c r="B618" s="13"/>
      <c r="C618" s="13"/>
    </row>
    <row r="619" spans="1:3" ht="13" x14ac:dyDescent="0.15">
      <c r="A619" s="10"/>
      <c r="B619" s="13"/>
      <c r="C619" s="13"/>
    </row>
    <row r="620" spans="1:3" ht="13" x14ac:dyDescent="0.15">
      <c r="A620" s="10"/>
      <c r="B620" s="13"/>
      <c r="C620" s="13"/>
    </row>
    <row r="621" spans="1:3" ht="13" x14ac:dyDescent="0.15">
      <c r="A621" s="10"/>
      <c r="B621" s="13"/>
      <c r="C621" s="13"/>
    </row>
    <row r="622" spans="1:3" ht="13" x14ac:dyDescent="0.15">
      <c r="A622" s="10"/>
      <c r="B622" s="13"/>
      <c r="C622" s="13"/>
    </row>
    <row r="623" spans="1:3" ht="13" x14ac:dyDescent="0.15">
      <c r="A623" s="10"/>
      <c r="B623" s="13"/>
      <c r="C623" s="13"/>
    </row>
    <row r="624" spans="1:3" ht="13" x14ac:dyDescent="0.15">
      <c r="A624" s="10"/>
      <c r="B624" s="13"/>
      <c r="C624" s="13"/>
    </row>
    <row r="625" spans="1:3" ht="13" x14ac:dyDescent="0.15">
      <c r="A625" s="10"/>
      <c r="B625" s="13"/>
      <c r="C625" s="13"/>
    </row>
    <row r="626" spans="1:3" ht="13" x14ac:dyDescent="0.15">
      <c r="A626" s="10"/>
      <c r="B626" s="13"/>
      <c r="C626" s="13"/>
    </row>
    <row r="627" spans="1:3" ht="13" x14ac:dyDescent="0.15">
      <c r="A627" s="10"/>
      <c r="B627" s="13"/>
      <c r="C627" s="13"/>
    </row>
    <row r="628" spans="1:3" ht="13" x14ac:dyDescent="0.15">
      <c r="A628" s="10"/>
      <c r="B628" s="13"/>
      <c r="C628" s="13"/>
    </row>
    <row r="629" spans="1:3" ht="13" x14ac:dyDescent="0.15">
      <c r="A629" s="10"/>
      <c r="B629" s="13"/>
      <c r="C629" s="13"/>
    </row>
    <row r="630" spans="1:3" ht="13" x14ac:dyDescent="0.15">
      <c r="A630" s="10"/>
      <c r="B630" s="13"/>
      <c r="C630" s="13"/>
    </row>
    <row r="631" spans="1:3" ht="13" x14ac:dyDescent="0.15">
      <c r="A631" s="10"/>
      <c r="B631" s="13"/>
      <c r="C631" s="13"/>
    </row>
    <row r="632" spans="1:3" ht="13" x14ac:dyDescent="0.15">
      <c r="A632" s="10"/>
      <c r="B632" s="13"/>
      <c r="C632" s="13"/>
    </row>
    <row r="633" spans="1:3" ht="13" x14ac:dyDescent="0.15">
      <c r="A633" s="10"/>
      <c r="B633" s="13"/>
      <c r="C633" s="13"/>
    </row>
    <row r="634" spans="1:3" ht="13" x14ac:dyDescent="0.15">
      <c r="A634" s="10"/>
      <c r="B634" s="13"/>
      <c r="C634" s="13"/>
    </row>
    <row r="635" spans="1:3" ht="13" x14ac:dyDescent="0.15">
      <c r="A635" s="10"/>
      <c r="B635" s="13"/>
      <c r="C635" s="13"/>
    </row>
    <row r="636" spans="1:3" ht="13" x14ac:dyDescent="0.15">
      <c r="A636" s="10"/>
      <c r="B636" s="13"/>
      <c r="C636" s="13"/>
    </row>
    <row r="637" spans="1:3" ht="13" x14ac:dyDescent="0.15">
      <c r="A637" s="10"/>
      <c r="B637" s="13"/>
      <c r="C637" s="13"/>
    </row>
    <row r="638" spans="1:3" ht="13" x14ac:dyDescent="0.15">
      <c r="A638" s="10"/>
      <c r="B638" s="13"/>
      <c r="C638" s="13"/>
    </row>
    <row r="639" spans="1:3" ht="13" x14ac:dyDescent="0.15">
      <c r="A639" s="10"/>
      <c r="B639" s="13"/>
      <c r="C639" s="13"/>
    </row>
    <row r="640" spans="1:3" ht="13" x14ac:dyDescent="0.15">
      <c r="A640" s="10"/>
      <c r="B640" s="13"/>
      <c r="C640" s="13"/>
    </row>
    <row r="641" spans="1:3" ht="13" x14ac:dyDescent="0.15">
      <c r="A641" s="10"/>
      <c r="B641" s="13"/>
      <c r="C641" s="13"/>
    </row>
    <row r="642" spans="1:3" ht="13" x14ac:dyDescent="0.15">
      <c r="A642" s="10"/>
      <c r="B642" s="13"/>
      <c r="C642" s="13"/>
    </row>
    <row r="643" spans="1:3" ht="13" x14ac:dyDescent="0.15">
      <c r="A643" s="10"/>
      <c r="B643" s="13"/>
      <c r="C643" s="13"/>
    </row>
    <row r="644" spans="1:3" ht="13" x14ac:dyDescent="0.15">
      <c r="A644" s="10"/>
      <c r="B644" s="13"/>
      <c r="C644" s="13"/>
    </row>
    <row r="645" spans="1:3" ht="13" x14ac:dyDescent="0.15">
      <c r="A645" s="10"/>
      <c r="B645" s="13"/>
      <c r="C645" s="13"/>
    </row>
    <row r="646" spans="1:3" ht="13" x14ac:dyDescent="0.15">
      <c r="A646" s="10"/>
      <c r="B646" s="13"/>
      <c r="C646" s="13"/>
    </row>
    <row r="647" spans="1:3" ht="13" x14ac:dyDescent="0.15">
      <c r="A647" s="10"/>
      <c r="B647" s="13"/>
      <c r="C647" s="13"/>
    </row>
    <row r="648" spans="1:3" ht="13" x14ac:dyDescent="0.15">
      <c r="A648" s="10"/>
      <c r="B648" s="13"/>
      <c r="C648" s="13"/>
    </row>
    <row r="649" spans="1:3" ht="13" x14ac:dyDescent="0.15">
      <c r="A649" s="10"/>
      <c r="B649" s="13"/>
      <c r="C649" s="13"/>
    </row>
    <row r="650" spans="1:3" ht="13" x14ac:dyDescent="0.15">
      <c r="A650" s="10"/>
      <c r="B650" s="13"/>
      <c r="C650" s="13"/>
    </row>
    <row r="651" spans="1:3" ht="13" x14ac:dyDescent="0.15">
      <c r="A651" s="10"/>
      <c r="B651" s="13"/>
      <c r="C651" s="13"/>
    </row>
    <row r="652" spans="1:3" ht="13" x14ac:dyDescent="0.15">
      <c r="A652" s="10"/>
      <c r="B652" s="13"/>
      <c r="C652" s="13"/>
    </row>
    <row r="653" spans="1:3" ht="13" x14ac:dyDescent="0.15">
      <c r="A653" s="10"/>
      <c r="B653" s="13"/>
      <c r="C653" s="13"/>
    </row>
    <row r="654" spans="1:3" ht="13" x14ac:dyDescent="0.15">
      <c r="A654" s="10"/>
      <c r="B654" s="13"/>
      <c r="C654" s="13"/>
    </row>
    <row r="655" spans="1:3" ht="13" x14ac:dyDescent="0.15">
      <c r="A655" s="10"/>
      <c r="B655" s="13"/>
      <c r="C655" s="13"/>
    </row>
    <row r="656" spans="1:3" ht="13" x14ac:dyDescent="0.15">
      <c r="A656" s="10"/>
      <c r="B656" s="13"/>
      <c r="C656" s="13"/>
    </row>
    <row r="657" spans="1:3" ht="13" x14ac:dyDescent="0.15">
      <c r="A657" s="10"/>
      <c r="B657" s="13"/>
      <c r="C657" s="13"/>
    </row>
    <row r="658" spans="1:3" ht="13" x14ac:dyDescent="0.15">
      <c r="A658" s="10"/>
      <c r="B658" s="13"/>
      <c r="C658" s="13"/>
    </row>
    <row r="659" spans="1:3" ht="13" x14ac:dyDescent="0.15">
      <c r="A659" s="10"/>
      <c r="B659" s="13"/>
      <c r="C659" s="13"/>
    </row>
    <row r="660" spans="1:3" ht="13" x14ac:dyDescent="0.15">
      <c r="A660" s="10"/>
      <c r="B660" s="13"/>
      <c r="C660" s="13"/>
    </row>
    <row r="661" spans="1:3" ht="13" x14ac:dyDescent="0.15">
      <c r="A661" s="10"/>
      <c r="B661" s="13"/>
      <c r="C661" s="13"/>
    </row>
    <row r="662" spans="1:3" ht="13" x14ac:dyDescent="0.15">
      <c r="A662" s="10"/>
      <c r="B662" s="13"/>
      <c r="C662" s="13"/>
    </row>
    <row r="663" spans="1:3" ht="13" x14ac:dyDescent="0.15">
      <c r="A663" s="10"/>
      <c r="B663" s="13"/>
      <c r="C663" s="13"/>
    </row>
    <row r="664" spans="1:3" ht="13" x14ac:dyDescent="0.15">
      <c r="A664" s="10"/>
      <c r="B664" s="13"/>
      <c r="C664" s="13"/>
    </row>
    <row r="665" spans="1:3" ht="13" x14ac:dyDescent="0.15">
      <c r="A665" s="10"/>
      <c r="B665" s="13"/>
      <c r="C665" s="13"/>
    </row>
    <row r="666" spans="1:3" ht="13" x14ac:dyDescent="0.15">
      <c r="A666" s="10"/>
      <c r="B666" s="13"/>
      <c r="C666" s="13"/>
    </row>
    <row r="667" spans="1:3" ht="13" x14ac:dyDescent="0.15">
      <c r="A667" s="10"/>
      <c r="B667" s="13"/>
      <c r="C667" s="13"/>
    </row>
    <row r="668" spans="1:3" ht="13" x14ac:dyDescent="0.15">
      <c r="A668" s="10"/>
      <c r="B668" s="13"/>
      <c r="C668" s="13"/>
    </row>
    <row r="669" spans="1:3" ht="13" x14ac:dyDescent="0.15">
      <c r="A669" s="10"/>
      <c r="B669" s="13"/>
      <c r="C669" s="13"/>
    </row>
    <row r="670" spans="1:3" ht="13" x14ac:dyDescent="0.15">
      <c r="A670" s="10"/>
      <c r="B670" s="13"/>
      <c r="C670" s="13"/>
    </row>
    <row r="671" spans="1:3" ht="13" x14ac:dyDescent="0.15">
      <c r="A671" s="10"/>
      <c r="B671" s="13"/>
      <c r="C671" s="13"/>
    </row>
    <row r="672" spans="1:3" ht="13" x14ac:dyDescent="0.15">
      <c r="A672" s="10"/>
      <c r="B672" s="13"/>
      <c r="C672" s="13"/>
    </row>
    <row r="673" spans="1:3" ht="13" x14ac:dyDescent="0.15">
      <c r="A673" s="10"/>
      <c r="B673" s="13"/>
      <c r="C673" s="13"/>
    </row>
    <row r="674" spans="1:3" ht="13" x14ac:dyDescent="0.15">
      <c r="A674" s="10"/>
      <c r="B674" s="13"/>
      <c r="C674" s="13"/>
    </row>
    <row r="675" spans="1:3" ht="13" x14ac:dyDescent="0.15">
      <c r="A675" s="10"/>
      <c r="B675" s="13"/>
      <c r="C675" s="13"/>
    </row>
    <row r="676" spans="1:3" ht="13" x14ac:dyDescent="0.15">
      <c r="A676" s="10"/>
      <c r="B676" s="13"/>
      <c r="C676" s="13"/>
    </row>
    <row r="677" spans="1:3" ht="13" x14ac:dyDescent="0.15">
      <c r="A677" s="10"/>
      <c r="B677" s="13"/>
      <c r="C677" s="13"/>
    </row>
    <row r="678" spans="1:3" ht="13" x14ac:dyDescent="0.15">
      <c r="A678" s="10"/>
      <c r="B678" s="13"/>
      <c r="C678" s="13"/>
    </row>
    <row r="679" spans="1:3" ht="13" x14ac:dyDescent="0.15">
      <c r="A679" s="10"/>
      <c r="B679" s="13"/>
      <c r="C679" s="13"/>
    </row>
    <row r="680" spans="1:3" ht="13" x14ac:dyDescent="0.15">
      <c r="A680" s="10"/>
      <c r="B680" s="13"/>
      <c r="C680" s="13"/>
    </row>
    <row r="681" spans="1:3" ht="13" x14ac:dyDescent="0.15">
      <c r="A681" s="10"/>
      <c r="B681" s="13"/>
      <c r="C681" s="13"/>
    </row>
    <row r="682" spans="1:3" ht="13" x14ac:dyDescent="0.15">
      <c r="A682" s="10"/>
      <c r="B682" s="13"/>
      <c r="C682" s="13"/>
    </row>
    <row r="683" spans="1:3" ht="13" x14ac:dyDescent="0.15">
      <c r="A683" s="10"/>
      <c r="B683" s="13"/>
      <c r="C683" s="13"/>
    </row>
    <row r="684" spans="1:3" ht="13" x14ac:dyDescent="0.15">
      <c r="A684" s="10"/>
      <c r="B684" s="13"/>
      <c r="C684" s="13"/>
    </row>
    <row r="685" spans="1:3" ht="13" x14ac:dyDescent="0.15">
      <c r="A685" s="10"/>
      <c r="B685" s="13"/>
      <c r="C685" s="13"/>
    </row>
    <row r="686" spans="1:3" ht="13" x14ac:dyDescent="0.15">
      <c r="A686" s="10"/>
      <c r="B686" s="13"/>
      <c r="C686" s="13"/>
    </row>
    <row r="687" spans="1:3" ht="13" x14ac:dyDescent="0.15">
      <c r="A687" s="10"/>
      <c r="B687" s="13"/>
      <c r="C687" s="13"/>
    </row>
    <row r="688" spans="1:3" ht="13" x14ac:dyDescent="0.15">
      <c r="A688" s="10"/>
      <c r="B688" s="13"/>
      <c r="C688" s="13"/>
    </row>
    <row r="689" spans="1:3" ht="13" x14ac:dyDescent="0.15">
      <c r="A689" s="10"/>
      <c r="B689" s="13"/>
      <c r="C689" s="13"/>
    </row>
    <row r="690" spans="1:3" ht="13" x14ac:dyDescent="0.15">
      <c r="A690" s="10"/>
      <c r="B690" s="13"/>
      <c r="C690" s="13"/>
    </row>
    <row r="691" spans="1:3" ht="13" x14ac:dyDescent="0.15">
      <c r="A691" s="10"/>
      <c r="B691" s="13"/>
      <c r="C691" s="13"/>
    </row>
    <row r="692" spans="1:3" ht="13" x14ac:dyDescent="0.15">
      <c r="A692" s="10"/>
      <c r="B692" s="13"/>
      <c r="C692" s="13"/>
    </row>
    <row r="693" spans="1:3" ht="13" x14ac:dyDescent="0.15">
      <c r="A693" s="10"/>
      <c r="B693" s="13"/>
      <c r="C693" s="13"/>
    </row>
    <row r="694" spans="1:3" ht="13" x14ac:dyDescent="0.15">
      <c r="A694" s="10"/>
      <c r="B694" s="13"/>
      <c r="C694" s="13"/>
    </row>
    <row r="695" spans="1:3" ht="13" x14ac:dyDescent="0.15">
      <c r="A695" s="10"/>
      <c r="B695" s="13"/>
      <c r="C695" s="13"/>
    </row>
    <row r="696" spans="1:3" ht="13" x14ac:dyDescent="0.15">
      <c r="A696" s="10"/>
      <c r="B696" s="13"/>
      <c r="C696" s="13"/>
    </row>
    <row r="697" spans="1:3" ht="13" x14ac:dyDescent="0.15">
      <c r="A697" s="10"/>
      <c r="B697" s="13"/>
      <c r="C697" s="13"/>
    </row>
    <row r="698" spans="1:3" ht="13" x14ac:dyDescent="0.15">
      <c r="A698" s="10"/>
      <c r="B698" s="13"/>
      <c r="C698" s="13"/>
    </row>
    <row r="699" spans="1:3" ht="13" x14ac:dyDescent="0.15">
      <c r="A699" s="10"/>
      <c r="B699" s="13"/>
      <c r="C699" s="13"/>
    </row>
    <row r="700" spans="1:3" ht="13" x14ac:dyDescent="0.15">
      <c r="A700" s="10"/>
      <c r="B700" s="13"/>
      <c r="C700" s="13"/>
    </row>
    <row r="701" spans="1:3" ht="13" x14ac:dyDescent="0.15">
      <c r="A701" s="10"/>
      <c r="B701" s="13"/>
      <c r="C701" s="13"/>
    </row>
    <row r="702" spans="1:3" ht="13" x14ac:dyDescent="0.15">
      <c r="A702" s="10"/>
      <c r="B702" s="13"/>
      <c r="C702" s="13"/>
    </row>
    <row r="703" spans="1:3" ht="13" x14ac:dyDescent="0.15">
      <c r="A703" s="10"/>
      <c r="B703" s="13"/>
      <c r="C703" s="13"/>
    </row>
    <row r="704" spans="1:3" ht="13" x14ac:dyDescent="0.15">
      <c r="A704" s="10"/>
      <c r="B704" s="13"/>
      <c r="C704" s="13"/>
    </row>
    <row r="705" spans="1:3" ht="13" x14ac:dyDescent="0.15">
      <c r="A705" s="10"/>
      <c r="B705" s="13"/>
      <c r="C705" s="13"/>
    </row>
    <row r="706" spans="1:3" ht="13" x14ac:dyDescent="0.15">
      <c r="A706" s="10"/>
      <c r="B706" s="13"/>
      <c r="C706" s="13"/>
    </row>
    <row r="707" spans="1:3" ht="13" x14ac:dyDescent="0.15">
      <c r="A707" s="10"/>
      <c r="B707" s="13"/>
      <c r="C707" s="13"/>
    </row>
    <row r="708" spans="1:3" ht="13" x14ac:dyDescent="0.15">
      <c r="A708" s="10"/>
      <c r="B708" s="13"/>
      <c r="C708" s="13"/>
    </row>
    <row r="709" spans="1:3" ht="13" x14ac:dyDescent="0.15">
      <c r="A709" s="10"/>
      <c r="B709" s="13"/>
      <c r="C709" s="13"/>
    </row>
    <row r="710" spans="1:3" ht="13" x14ac:dyDescent="0.15">
      <c r="A710" s="10"/>
      <c r="B710" s="13"/>
      <c r="C710" s="13"/>
    </row>
    <row r="711" spans="1:3" ht="13" x14ac:dyDescent="0.15">
      <c r="A711" s="10"/>
      <c r="B711" s="13"/>
      <c r="C711" s="13"/>
    </row>
    <row r="712" spans="1:3" ht="13" x14ac:dyDescent="0.15">
      <c r="A712" s="10"/>
      <c r="B712" s="13"/>
      <c r="C712" s="13"/>
    </row>
    <row r="713" spans="1:3" ht="13" x14ac:dyDescent="0.15">
      <c r="A713" s="10"/>
      <c r="B713" s="13"/>
      <c r="C713" s="13"/>
    </row>
    <row r="714" spans="1:3" ht="13" x14ac:dyDescent="0.15">
      <c r="A714" s="10"/>
      <c r="B714" s="13"/>
      <c r="C714" s="13"/>
    </row>
    <row r="715" spans="1:3" ht="13" x14ac:dyDescent="0.15">
      <c r="A715" s="10"/>
      <c r="B715" s="13"/>
      <c r="C715" s="13"/>
    </row>
    <row r="716" spans="1:3" ht="13" x14ac:dyDescent="0.15">
      <c r="A716" s="10"/>
      <c r="B716" s="13"/>
      <c r="C716" s="13"/>
    </row>
    <row r="717" spans="1:3" ht="13" x14ac:dyDescent="0.15">
      <c r="A717" s="10"/>
      <c r="B717" s="13"/>
      <c r="C717" s="13"/>
    </row>
    <row r="718" spans="1:3" ht="13" x14ac:dyDescent="0.15">
      <c r="A718" s="10"/>
      <c r="B718" s="13"/>
      <c r="C718" s="13"/>
    </row>
    <row r="719" spans="1:3" ht="13" x14ac:dyDescent="0.15">
      <c r="A719" s="10"/>
      <c r="B719" s="13"/>
      <c r="C719" s="13"/>
    </row>
    <row r="720" spans="1:3" ht="13" x14ac:dyDescent="0.15">
      <c r="A720" s="10"/>
      <c r="B720" s="13"/>
      <c r="C720" s="13"/>
    </row>
    <row r="721" spans="1:3" ht="13" x14ac:dyDescent="0.15">
      <c r="A721" s="10"/>
      <c r="B721" s="13"/>
      <c r="C721" s="13"/>
    </row>
    <row r="722" spans="1:3" ht="13" x14ac:dyDescent="0.15">
      <c r="A722" s="10"/>
      <c r="B722" s="13"/>
      <c r="C722" s="13"/>
    </row>
    <row r="723" spans="1:3" ht="13" x14ac:dyDescent="0.15">
      <c r="A723" s="10"/>
      <c r="B723" s="13"/>
      <c r="C723" s="13"/>
    </row>
    <row r="724" spans="1:3" ht="13" x14ac:dyDescent="0.15">
      <c r="A724" s="10"/>
      <c r="B724" s="13"/>
      <c r="C724" s="13"/>
    </row>
    <row r="725" spans="1:3" ht="13" x14ac:dyDescent="0.15">
      <c r="A725" s="10"/>
      <c r="B725" s="13"/>
      <c r="C725" s="13"/>
    </row>
    <row r="726" spans="1:3" ht="13" x14ac:dyDescent="0.15">
      <c r="A726" s="10"/>
      <c r="B726" s="13"/>
      <c r="C726" s="13"/>
    </row>
    <row r="727" spans="1:3" ht="13" x14ac:dyDescent="0.15">
      <c r="A727" s="10"/>
      <c r="B727" s="13"/>
      <c r="C727" s="13"/>
    </row>
    <row r="728" spans="1:3" ht="13" x14ac:dyDescent="0.15">
      <c r="A728" s="10"/>
      <c r="B728" s="13"/>
      <c r="C728" s="13"/>
    </row>
    <row r="729" spans="1:3" ht="13" x14ac:dyDescent="0.15">
      <c r="A729" s="10"/>
      <c r="B729" s="13"/>
      <c r="C729" s="13"/>
    </row>
    <row r="730" spans="1:3" ht="13" x14ac:dyDescent="0.15">
      <c r="A730" s="10"/>
      <c r="B730" s="13"/>
      <c r="C730" s="13"/>
    </row>
    <row r="731" spans="1:3" ht="13" x14ac:dyDescent="0.15">
      <c r="A731" s="10"/>
      <c r="B731" s="13"/>
      <c r="C731" s="13"/>
    </row>
    <row r="732" spans="1:3" ht="13" x14ac:dyDescent="0.15">
      <c r="A732" s="10"/>
      <c r="B732" s="13"/>
      <c r="C732" s="13"/>
    </row>
    <row r="733" spans="1:3" ht="13" x14ac:dyDescent="0.15">
      <c r="A733" s="10"/>
      <c r="B733" s="13"/>
      <c r="C733" s="13"/>
    </row>
    <row r="734" spans="1:3" ht="13" x14ac:dyDescent="0.15">
      <c r="A734" s="10"/>
      <c r="B734" s="13"/>
      <c r="C734" s="13"/>
    </row>
    <row r="735" spans="1:3" ht="13" x14ac:dyDescent="0.15">
      <c r="A735" s="10"/>
      <c r="B735" s="13"/>
      <c r="C735" s="13"/>
    </row>
    <row r="736" spans="1:3" ht="13" x14ac:dyDescent="0.15">
      <c r="A736" s="10"/>
      <c r="B736" s="13"/>
      <c r="C736" s="13"/>
    </row>
    <row r="737" spans="1:3" ht="13" x14ac:dyDescent="0.15">
      <c r="A737" s="10"/>
      <c r="B737" s="13"/>
      <c r="C737" s="13"/>
    </row>
    <row r="738" spans="1:3" ht="13" x14ac:dyDescent="0.15">
      <c r="A738" s="10"/>
      <c r="B738" s="13"/>
      <c r="C738" s="13"/>
    </row>
    <row r="739" spans="1:3" ht="13" x14ac:dyDescent="0.15">
      <c r="A739" s="10"/>
      <c r="B739" s="13"/>
      <c r="C739" s="13"/>
    </row>
    <row r="740" spans="1:3" ht="13" x14ac:dyDescent="0.15">
      <c r="A740" s="10"/>
      <c r="B740" s="13"/>
      <c r="C740" s="13"/>
    </row>
    <row r="741" spans="1:3" ht="13" x14ac:dyDescent="0.15">
      <c r="A741" s="10"/>
      <c r="B741" s="13"/>
      <c r="C741" s="13"/>
    </row>
    <row r="742" spans="1:3" ht="13" x14ac:dyDescent="0.15">
      <c r="A742" s="10"/>
      <c r="B742" s="13"/>
      <c r="C742" s="13"/>
    </row>
    <row r="743" spans="1:3" ht="13" x14ac:dyDescent="0.15">
      <c r="A743" s="10"/>
      <c r="B743" s="13"/>
      <c r="C743" s="13"/>
    </row>
    <row r="744" spans="1:3" ht="13" x14ac:dyDescent="0.15">
      <c r="A744" s="10"/>
      <c r="B744" s="13"/>
      <c r="C744" s="13"/>
    </row>
    <row r="745" spans="1:3" ht="13" x14ac:dyDescent="0.15">
      <c r="A745" s="10"/>
      <c r="B745" s="13"/>
      <c r="C745" s="13"/>
    </row>
    <row r="746" spans="1:3" ht="13" x14ac:dyDescent="0.15">
      <c r="A746" s="10"/>
      <c r="B746" s="13"/>
      <c r="C746" s="13"/>
    </row>
    <row r="747" spans="1:3" ht="13" x14ac:dyDescent="0.15">
      <c r="A747" s="10"/>
      <c r="B747" s="13"/>
      <c r="C747" s="13"/>
    </row>
    <row r="748" spans="1:3" ht="13" x14ac:dyDescent="0.15">
      <c r="A748" s="10"/>
      <c r="B748" s="13"/>
      <c r="C748" s="13"/>
    </row>
    <row r="749" spans="1:3" ht="13" x14ac:dyDescent="0.15">
      <c r="A749" s="10"/>
      <c r="B749" s="13"/>
      <c r="C749" s="13"/>
    </row>
    <row r="750" spans="1:3" ht="13" x14ac:dyDescent="0.15">
      <c r="A750" s="10"/>
      <c r="B750" s="13"/>
      <c r="C750" s="13"/>
    </row>
    <row r="751" spans="1:3" ht="13" x14ac:dyDescent="0.15">
      <c r="A751" s="10"/>
      <c r="B751" s="13"/>
      <c r="C751" s="13"/>
    </row>
    <row r="752" spans="1:3" ht="13" x14ac:dyDescent="0.15">
      <c r="A752" s="10"/>
      <c r="B752" s="13"/>
      <c r="C752" s="13"/>
    </row>
    <row r="753" spans="1:3" ht="13" x14ac:dyDescent="0.15">
      <c r="A753" s="10"/>
      <c r="B753" s="13"/>
      <c r="C753" s="13"/>
    </row>
    <row r="754" spans="1:3" ht="13" x14ac:dyDescent="0.15">
      <c r="A754" s="10"/>
      <c r="B754" s="13"/>
      <c r="C754" s="13"/>
    </row>
    <row r="755" spans="1:3" ht="13" x14ac:dyDescent="0.15">
      <c r="A755" s="10"/>
      <c r="B755" s="13"/>
      <c r="C755" s="13"/>
    </row>
    <row r="756" spans="1:3" ht="13" x14ac:dyDescent="0.15">
      <c r="A756" s="10"/>
      <c r="B756" s="13"/>
      <c r="C756" s="13"/>
    </row>
    <row r="757" spans="1:3" ht="13" x14ac:dyDescent="0.15">
      <c r="A757" s="10"/>
      <c r="B757" s="13"/>
      <c r="C757" s="13"/>
    </row>
    <row r="758" spans="1:3" ht="13" x14ac:dyDescent="0.15">
      <c r="A758" s="10"/>
      <c r="B758" s="13"/>
      <c r="C758" s="13"/>
    </row>
    <row r="759" spans="1:3" ht="13" x14ac:dyDescent="0.15">
      <c r="A759" s="10"/>
      <c r="B759" s="13"/>
      <c r="C759" s="13"/>
    </row>
    <row r="760" spans="1:3" ht="13" x14ac:dyDescent="0.15">
      <c r="A760" s="10"/>
      <c r="B760" s="13"/>
      <c r="C760" s="13"/>
    </row>
    <row r="761" spans="1:3" ht="13" x14ac:dyDescent="0.15">
      <c r="A761" s="10"/>
      <c r="B761" s="13"/>
      <c r="C761" s="13"/>
    </row>
    <row r="762" spans="1:3" ht="13" x14ac:dyDescent="0.15">
      <c r="A762" s="10"/>
      <c r="B762" s="13"/>
      <c r="C762" s="13"/>
    </row>
    <row r="763" spans="1:3" ht="13" x14ac:dyDescent="0.15">
      <c r="A763" s="10"/>
      <c r="B763" s="13"/>
      <c r="C763" s="13"/>
    </row>
    <row r="764" spans="1:3" ht="13" x14ac:dyDescent="0.15">
      <c r="A764" s="10"/>
      <c r="B764" s="13"/>
      <c r="C764" s="13"/>
    </row>
    <row r="765" spans="1:3" ht="13" x14ac:dyDescent="0.15">
      <c r="A765" s="10"/>
      <c r="B765" s="13"/>
      <c r="C765" s="13"/>
    </row>
    <row r="766" spans="1:3" ht="13" x14ac:dyDescent="0.15">
      <c r="A766" s="10"/>
      <c r="B766" s="13"/>
      <c r="C766" s="13"/>
    </row>
    <row r="767" spans="1:3" ht="13" x14ac:dyDescent="0.15">
      <c r="A767" s="10"/>
      <c r="B767" s="13"/>
      <c r="C767" s="13"/>
    </row>
    <row r="768" spans="1:3" ht="13" x14ac:dyDescent="0.15">
      <c r="A768" s="10"/>
      <c r="B768" s="13"/>
      <c r="C768" s="13"/>
    </row>
    <row r="769" spans="1:3" ht="13" x14ac:dyDescent="0.15">
      <c r="A769" s="10"/>
      <c r="B769" s="13"/>
      <c r="C769" s="13"/>
    </row>
    <row r="770" spans="1:3" ht="13" x14ac:dyDescent="0.15">
      <c r="A770" s="10"/>
      <c r="B770" s="13"/>
      <c r="C770" s="13"/>
    </row>
    <row r="771" spans="1:3" ht="13" x14ac:dyDescent="0.15">
      <c r="A771" s="10"/>
      <c r="B771" s="13"/>
      <c r="C771" s="13"/>
    </row>
    <row r="772" spans="1:3" ht="13" x14ac:dyDescent="0.15">
      <c r="A772" s="10"/>
      <c r="B772" s="13"/>
      <c r="C772" s="13"/>
    </row>
    <row r="773" spans="1:3" ht="13" x14ac:dyDescent="0.15">
      <c r="A773" s="10"/>
      <c r="B773" s="13"/>
      <c r="C773" s="13"/>
    </row>
    <row r="774" spans="1:3" ht="13" x14ac:dyDescent="0.15">
      <c r="A774" s="10"/>
      <c r="B774" s="13"/>
      <c r="C774" s="13"/>
    </row>
    <row r="775" spans="1:3" ht="13" x14ac:dyDescent="0.15">
      <c r="A775" s="10"/>
      <c r="B775" s="13"/>
      <c r="C775" s="13"/>
    </row>
    <row r="776" spans="1:3" ht="13" x14ac:dyDescent="0.15">
      <c r="A776" s="10"/>
      <c r="B776" s="13"/>
      <c r="C776" s="13"/>
    </row>
    <row r="777" spans="1:3" ht="13" x14ac:dyDescent="0.15">
      <c r="A777" s="10"/>
      <c r="B777" s="13"/>
      <c r="C777" s="13"/>
    </row>
    <row r="778" spans="1:3" ht="13" x14ac:dyDescent="0.15">
      <c r="A778" s="10"/>
      <c r="B778" s="13"/>
      <c r="C778" s="13"/>
    </row>
    <row r="779" spans="1:3" ht="13" x14ac:dyDescent="0.15">
      <c r="A779" s="10"/>
      <c r="B779" s="13"/>
      <c r="C779" s="13"/>
    </row>
    <row r="780" spans="1:3" ht="13" x14ac:dyDescent="0.15">
      <c r="A780" s="10"/>
      <c r="B780" s="13"/>
      <c r="C780" s="13"/>
    </row>
    <row r="781" spans="1:3" ht="13" x14ac:dyDescent="0.15">
      <c r="A781" s="10"/>
      <c r="B781" s="13"/>
      <c r="C781" s="13"/>
    </row>
    <row r="782" spans="1:3" ht="13" x14ac:dyDescent="0.15">
      <c r="A782" s="10"/>
      <c r="B782" s="13"/>
      <c r="C782" s="13"/>
    </row>
    <row r="783" spans="1:3" ht="13" x14ac:dyDescent="0.15">
      <c r="A783" s="10"/>
      <c r="B783" s="13"/>
      <c r="C783" s="13"/>
    </row>
    <row r="784" spans="1:3" ht="13" x14ac:dyDescent="0.15">
      <c r="A784" s="10"/>
      <c r="B784" s="13"/>
      <c r="C784" s="13"/>
    </row>
    <row r="785" spans="1:3" ht="13" x14ac:dyDescent="0.15">
      <c r="A785" s="10"/>
      <c r="B785" s="13"/>
      <c r="C785" s="13"/>
    </row>
    <row r="786" spans="1:3" ht="13" x14ac:dyDescent="0.15">
      <c r="A786" s="10"/>
      <c r="B786" s="13"/>
      <c r="C786" s="13"/>
    </row>
    <row r="787" spans="1:3" ht="13" x14ac:dyDescent="0.15">
      <c r="A787" s="10"/>
      <c r="B787" s="13"/>
      <c r="C787" s="13"/>
    </row>
    <row r="788" spans="1:3" ht="13" x14ac:dyDescent="0.15">
      <c r="A788" s="10"/>
      <c r="B788" s="13"/>
      <c r="C788" s="13"/>
    </row>
    <row r="789" spans="1:3" ht="13" x14ac:dyDescent="0.15">
      <c r="A789" s="10"/>
      <c r="B789" s="13"/>
      <c r="C789" s="13"/>
    </row>
    <row r="790" spans="1:3" ht="13" x14ac:dyDescent="0.15">
      <c r="A790" s="10"/>
      <c r="B790" s="13"/>
      <c r="C790" s="13"/>
    </row>
    <row r="791" spans="1:3" ht="13" x14ac:dyDescent="0.15">
      <c r="A791" s="10"/>
      <c r="B791" s="13"/>
      <c r="C791" s="13"/>
    </row>
    <row r="792" spans="1:3" ht="13" x14ac:dyDescent="0.15">
      <c r="A792" s="10"/>
      <c r="B792" s="13"/>
      <c r="C792" s="13"/>
    </row>
    <row r="793" spans="1:3" ht="13" x14ac:dyDescent="0.15">
      <c r="A793" s="10"/>
      <c r="B793" s="13"/>
      <c r="C793" s="13"/>
    </row>
    <row r="794" spans="1:3" ht="13" x14ac:dyDescent="0.15">
      <c r="A794" s="10"/>
      <c r="B794" s="13"/>
      <c r="C794" s="13"/>
    </row>
    <row r="795" spans="1:3" ht="13" x14ac:dyDescent="0.15">
      <c r="A795" s="10"/>
      <c r="B795" s="13"/>
      <c r="C795" s="13"/>
    </row>
    <row r="796" spans="1:3" ht="13" x14ac:dyDescent="0.15">
      <c r="A796" s="10"/>
      <c r="B796" s="13"/>
      <c r="C796" s="13"/>
    </row>
    <row r="797" spans="1:3" ht="13" x14ac:dyDescent="0.15">
      <c r="A797" s="10"/>
      <c r="B797" s="13"/>
      <c r="C797" s="13"/>
    </row>
    <row r="798" spans="1:3" ht="13" x14ac:dyDescent="0.15">
      <c r="A798" s="10"/>
      <c r="B798" s="13"/>
      <c r="C798" s="13"/>
    </row>
    <row r="799" spans="1:3" ht="13" x14ac:dyDescent="0.15">
      <c r="A799" s="10"/>
      <c r="B799" s="13"/>
      <c r="C799" s="13"/>
    </row>
    <row r="800" spans="1:3" ht="13" x14ac:dyDescent="0.15">
      <c r="A800" s="10"/>
      <c r="B800" s="13"/>
      <c r="C800" s="13"/>
    </row>
    <row r="801" spans="1:3" ht="13" x14ac:dyDescent="0.15">
      <c r="A801" s="10"/>
      <c r="B801" s="13"/>
      <c r="C801" s="13"/>
    </row>
    <row r="802" spans="1:3" ht="13" x14ac:dyDescent="0.15">
      <c r="A802" s="10"/>
      <c r="B802" s="13"/>
      <c r="C802" s="13"/>
    </row>
    <row r="803" spans="1:3" ht="13" x14ac:dyDescent="0.15">
      <c r="A803" s="10"/>
      <c r="B803" s="13"/>
      <c r="C803" s="13"/>
    </row>
    <row r="804" spans="1:3" ht="13" x14ac:dyDescent="0.15">
      <c r="A804" s="10"/>
      <c r="B804" s="13"/>
      <c r="C804" s="13"/>
    </row>
    <row r="805" spans="1:3" ht="13" x14ac:dyDescent="0.15">
      <c r="A805" s="10"/>
      <c r="B805" s="13"/>
      <c r="C805" s="13"/>
    </row>
    <row r="806" spans="1:3" ht="13" x14ac:dyDescent="0.15">
      <c r="A806" s="10"/>
      <c r="B806" s="13"/>
      <c r="C806" s="13"/>
    </row>
    <row r="807" spans="1:3" ht="13" x14ac:dyDescent="0.15">
      <c r="A807" s="10"/>
      <c r="B807" s="13"/>
      <c r="C807" s="13"/>
    </row>
    <row r="808" spans="1:3" ht="13" x14ac:dyDescent="0.15">
      <c r="A808" s="10"/>
      <c r="B808" s="13"/>
      <c r="C808" s="13"/>
    </row>
    <row r="809" spans="1:3" ht="13" x14ac:dyDescent="0.15">
      <c r="A809" s="10"/>
      <c r="B809" s="13"/>
      <c r="C809" s="13"/>
    </row>
    <row r="810" spans="1:3" ht="13" x14ac:dyDescent="0.15">
      <c r="A810" s="10"/>
      <c r="B810" s="13"/>
      <c r="C810" s="13"/>
    </row>
    <row r="811" spans="1:3" ht="13" x14ac:dyDescent="0.15">
      <c r="A811" s="10"/>
      <c r="B811" s="13"/>
      <c r="C811" s="13"/>
    </row>
    <row r="812" spans="1:3" ht="13" x14ac:dyDescent="0.15">
      <c r="A812" s="10"/>
      <c r="B812" s="13"/>
      <c r="C812" s="13"/>
    </row>
    <row r="813" spans="1:3" ht="13" x14ac:dyDescent="0.15">
      <c r="A813" s="10"/>
      <c r="B813" s="13"/>
      <c r="C813" s="13"/>
    </row>
    <row r="814" spans="1:3" ht="13" x14ac:dyDescent="0.15">
      <c r="A814" s="10"/>
      <c r="B814" s="13"/>
      <c r="C814" s="13"/>
    </row>
    <row r="815" spans="1:3" ht="13" x14ac:dyDescent="0.15">
      <c r="A815" s="10"/>
      <c r="B815" s="13"/>
      <c r="C815" s="13"/>
    </row>
    <row r="816" spans="1:3" ht="13" x14ac:dyDescent="0.15">
      <c r="A816" s="10"/>
      <c r="B816" s="13"/>
      <c r="C816" s="13"/>
    </row>
    <row r="817" spans="1:3" ht="13" x14ac:dyDescent="0.15">
      <c r="A817" s="10"/>
      <c r="B817" s="13"/>
      <c r="C817" s="13"/>
    </row>
    <row r="818" spans="1:3" ht="13" x14ac:dyDescent="0.15">
      <c r="A818" s="10"/>
      <c r="B818" s="13"/>
      <c r="C818" s="13"/>
    </row>
    <row r="819" spans="1:3" ht="13" x14ac:dyDescent="0.15">
      <c r="A819" s="10"/>
      <c r="B819" s="13"/>
      <c r="C819" s="13"/>
    </row>
    <row r="820" spans="1:3" ht="13" x14ac:dyDescent="0.15">
      <c r="A820" s="10"/>
      <c r="B820" s="13"/>
      <c r="C820" s="13"/>
    </row>
    <row r="821" spans="1:3" ht="13" x14ac:dyDescent="0.15">
      <c r="A821" s="10"/>
      <c r="B821" s="13"/>
      <c r="C821" s="13"/>
    </row>
    <row r="822" spans="1:3" ht="13" x14ac:dyDescent="0.15">
      <c r="A822" s="10"/>
      <c r="B822" s="13"/>
      <c r="C822" s="13"/>
    </row>
    <row r="823" spans="1:3" ht="13" x14ac:dyDescent="0.15">
      <c r="A823" s="10"/>
      <c r="B823" s="13"/>
      <c r="C823" s="13"/>
    </row>
    <row r="824" spans="1:3" ht="13" x14ac:dyDescent="0.15">
      <c r="A824" s="10"/>
      <c r="B824" s="13"/>
      <c r="C824" s="13"/>
    </row>
    <row r="825" spans="1:3" ht="13" x14ac:dyDescent="0.15">
      <c r="A825" s="10"/>
      <c r="B825" s="13"/>
      <c r="C825" s="13"/>
    </row>
    <row r="826" spans="1:3" ht="13" x14ac:dyDescent="0.15">
      <c r="A826" s="10"/>
      <c r="B826" s="13"/>
      <c r="C826" s="13"/>
    </row>
    <row r="827" spans="1:3" ht="13" x14ac:dyDescent="0.15">
      <c r="A827" s="10"/>
      <c r="B827" s="13"/>
      <c r="C827" s="13"/>
    </row>
    <row r="828" spans="1:3" ht="13" x14ac:dyDescent="0.15">
      <c r="A828" s="10"/>
      <c r="B828" s="13"/>
      <c r="C828" s="13"/>
    </row>
    <row r="829" spans="1:3" ht="13" x14ac:dyDescent="0.15">
      <c r="A829" s="10"/>
      <c r="B829" s="13"/>
      <c r="C829" s="13"/>
    </row>
    <row r="830" spans="1:3" ht="13" x14ac:dyDescent="0.15">
      <c r="A830" s="10"/>
      <c r="B830" s="13"/>
      <c r="C830" s="13"/>
    </row>
    <row r="831" spans="1:3" ht="13" x14ac:dyDescent="0.15">
      <c r="A831" s="10"/>
      <c r="B831" s="13"/>
      <c r="C831" s="13"/>
    </row>
    <row r="832" spans="1:3" ht="13" x14ac:dyDescent="0.15">
      <c r="A832" s="10"/>
      <c r="B832" s="13"/>
      <c r="C832" s="13"/>
    </row>
    <row r="833" spans="1:3" ht="13" x14ac:dyDescent="0.15">
      <c r="A833" s="10"/>
      <c r="B833" s="13"/>
      <c r="C833" s="13"/>
    </row>
    <row r="834" spans="1:3" ht="13" x14ac:dyDescent="0.15">
      <c r="A834" s="10"/>
      <c r="B834" s="13"/>
      <c r="C834" s="13"/>
    </row>
    <row r="835" spans="1:3" ht="13" x14ac:dyDescent="0.15">
      <c r="A835" s="10"/>
      <c r="B835" s="13"/>
      <c r="C835" s="13"/>
    </row>
    <row r="836" spans="1:3" ht="13" x14ac:dyDescent="0.15">
      <c r="A836" s="10"/>
      <c r="B836" s="13"/>
      <c r="C836" s="13"/>
    </row>
    <row r="837" spans="1:3" ht="13" x14ac:dyDescent="0.15">
      <c r="A837" s="10"/>
      <c r="B837" s="13"/>
      <c r="C837" s="13"/>
    </row>
    <row r="838" spans="1:3" ht="13" x14ac:dyDescent="0.15">
      <c r="A838" s="10"/>
      <c r="B838" s="13"/>
      <c r="C838" s="13"/>
    </row>
    <row r="839" spans="1:3" ht="13" x14ac:dyDescent="0.15">
      <c r="A839" s="10"/>
      <c r="B839" s="13"/>
      <c r="C839" s="13"/>
    </row>
    <row r="840" spans="1:3" ht="13" x14ac:dyDescent="0.15">
      <c r="A840" s="10"/>
      <c r="B840" s="13"/>
      <c r="C840" s="13"/>
    </row>
    <row r="841" spans="1:3" ht="13" x14ac:dyDescent="0.15">
      <c r="A841" s="10"/>
      <c r="B841" s="13"/>
      <c r="C841" s="13"/>
    </row>
    <row r="842" spans="1:3" ht="13" x14ac:dyDescent="0.15">
      <c r="A842" s="10"/>
      <c r="B842" s="13"/>
      <c r="C842" s="13"/>
    </row>
    <row r="843" spans="1:3" ht="13" x14ac:dyDescent="0.15">
      <c r="A843" s="10"/>
      <c r="B843" s="13"/>
      <c r="C843" s="13"/>
    </row>
    <row r="844" spans="1:3" ht="13" x14ac:dyDescent="0.15">
      <c r="A844" s="10"/>
      <c r="B844" s="13"/>
      <c r="C844" s="13"/>
    </row>
    <row r="845" spans="1:3" ht="13" x14ac:dyDescent="0.15">
      <c r="A845" s="10"/>
      <c r="B845" s="13"/>
      <c r="C845" s="13"/>
    </row>
    <row r="846" spans="1:3" ht="13" x14ac:dyDescent="0.15">
      <c r="A846" s="10"/>
      <c r="B846" s="13"/>
      <c r="C846" s="13"/>
    </row>
    <row r="847" spans="1:3" ht="13" x14ac:dyDescent="0.15">
      <c r="A847" s="10"/>
      <c r="B847" s="13"/>
      <c r="C847" s="13"/>
    </row>
    <row r="848" spans="1:3" ht="13" x14ac:dyDescent="0.15">
      <c r="A848" s="10"/>
      <c r="B848" s="13"/>
      <c r="C848" s="13"/>
    </row>
    <row r="849" spans="1:3" ht="13" x14ac:dyDescent="0.15">
      <c r="A849" s="10"/>
      <c r="B849" s="13"/>
      <c r="C849" s="13"/>
    </row>
    <row r="850" spans="1:3" ht="13" x14ac:dyDescent="0.15">
      <c r="A850" s="10"/>
      <c r="B850" s="13"/>
      <c r="C850" s="13"/>
    </row>
    <row r="851" spans="1:3" ht="13" x14ac:dyDescent="0.15">
      <c r="A851" s="10"/>
      <c r="B851" s="13"/>
      <c r="C851" s="13"/>
    </row>
    <row r="852" spans="1:3" ht="13" x14ac:dyDescent="0.15">
      <c r="A852" s="10"/>
      <c r="B852" s="13"/>
      <c r="C852" s="13"/>
    </row>
    <row r="853" spans="1:3" ht="13" x14ac:dyDescent="0.15">
      <c r="A853" s="10"/>
      <c r="B853" s="13"/>
      <c r="C853" s="13"/>
    </row>
    <row r="854" spans="1:3" ht="13" x14ac:dyDescent="0.15">
      <c r="A854" s="10"/>
      <c r="B854" s="13"/>
      <c r="C854" s="13"/>
    </row>
    <row r="855" spans="1:3" ht="13" x14ac:dyDescent="0.15">
      <c r="A855" s="10"/>
      <c r="B855" s="13"/>
      <c r="C855" s="13"/>
    </row>
    <row r="856" spans="1:3" ht="13" x14ac:dyDescent="0.15">
      <c r="A856" s="10"/>
      <c r="B856" s="13"/>
      <c r="C856" s="13"/>
    </row>
    <row r="857" spans="1:3" ht="13" x14ac:dyDescent="0.15">
      <c r="A857" s="10"/>
      <c r="B857" s="13"/>
      <c r="C857" s="13"/>
    </row>
    <row r="858" spans="1:3" ht="13" x14ac:dyDescent="0.15">
      <c r="A858" s="10"/>
      <c r="B858" s="13"/>
      <c r="C858" s="13"/>
    </row>
    <row r="859" spans="1:3" ht="13" x14ac:dyDescent="0.15">
      <c r="A859" s="10"/>
      <c r="B859" s="13"/>
      <c r="C859" s="13"/>
    </row>
    <row r="860" spans="1:3" ht="13" x14ac:dyDescent="0.15">
      <c r="A860" s="10"/>
      <c r="B860" s="13"/>
      <c r="C860" s="13"/>
    </row>
    <row r="861" spans="1:3" ht="13" x14ac:dyDescent="0.15">
      <c r="A861" s="10"/>
      <c r="B861" s="13"/>
      <c r="C861" s="13"/>
    </row>
    <row r="862" spans="1:3" ht="13" x14ac:dyDescent="0.15">
      <c r="A862" s="10"/>
      <c r="B862" s="13"/>
      <c r="C862" s="13"/>
    </row>
    <row r="863" spans="1:3" ht="13" x14ac:dyDescent="0.15">
      <c r="A863" s="10"/>
      <c r="B863" s="13"/>
      <c r="C863" s="13"/>
    </row>
    <row r="864" spans="1:3" ht="13" x14ac:dyDescent="0.15">
      <c r="A864" s="10"/>
      <c r="B864" s="13"/>
      <c r="C864" s="13"/>
    </row>
    <row r="865" spans="1:3" ht="13" x14ac:dyDescent="0.15">
      <c r="A865" s="10"/>
      <c r="B865" s="13"/>
      <c r="C865" s="13"/>
    </row>
    <row r="866" spans="1:3" ht="13" x14ac:dyDescent="0.15">
      <c r="A866" s="10"/>
      <c r="B866" s="13"/>
      <c r="C866" s="13"/>
    </row>
    <row r="867" spans="1:3" ht="13" x14ac:dyDescent="0.15">
      <c r="A867" s="10"/>
      <c r="B867" s="13"/>
      <c r="C867" s="13"/>
    </row>
    <row r="868" spans="1:3" ht="13" x14ac:dyDescent="0.15">
      <c r="A868" s="10"/>
      <c r="B868" s="13"/>
      <c r="C868" s="13"/>
    </row>
    <row r="869" spans="1:3" ht="13" x14ac:dyDescent="0.15">
      <c r="A869" s="10"/>
      <c r="B869" s="13"/>
      <c r="C869" s="13"/>
    </row>
    <row r="870" spans="1:3" ht="13" x14ac:dyDescent="0.15">
      <c r="A870" s="10"/>
      <c r="B870" s="13"/>
      <c r="C870" s="13"/>
    </row>
    <row r="871" spans="1:3" ht="13" x14ac:dyDescent="0.15">
      <c r="A871" s="10"/>
      <c r="B871" s="13"/>
      <c r="C871" s="13"/>
    </row>
    <row r="872" spans="1:3" ht="13" x14ac:dyDescent="0.15">
      <c r="A872" s="10"/>
      <c r="B872" s="13"/>
      <c r="C872" s="13"/>
    </row>
    <row r="873" spans="1:3" ht="13" x14ac:dyDescent="0.15">
      <c r="A873" s="10"/>
      <c r="B873" s="13"/>
      <c r="C873" s="13"/>
    </row>
    <row r="874" spans="1:3" ht="13" x14ac:dyDescent="0.15">
      <c r="A874" s="10"/>
      <c r="B874" s="13"/>
      <c r="C874" s="13"/>
    </row>
    <row r="875" spans="1:3" ht="13" x14ac:dyDescent="0.15">
      <c r="A875" s="10"/>
      <c r="B875" s="13"/>
      <c r="C875" s="13"/>
    </row>
    <row r="876" spans="1:3" ht="13" x14ac:dyDescent="0.15">
      <c r="A876" s="10"/>
      <c r="B876" s="13"/>
      <c r="C876" s="13"/>
    </row>
    <row r="877" spans="1:3" ht="13" x14ac:dyDescent="0.15">
      <c r="A877" s="10"/>
      <c r="B877" s="13"/>
      <c r="C877" s="13"/>
    </row>
    <row r="878" spans="1:3" ht="13" x14ac:dyDescent="0.15">
      <c r="A878" s="10"/>
      <c r="B878" s="13"/>
      <c r="C878" s="13"/>
    </row>
    <row r="879" spans="1:3" ht="13" x14ac:dyDescent="0.15">
      <c r="A879" s="10"/>
      <c r="B879" s="13"/>
      <c r="C879" s="13"/>
    </row>
    <row r="880" spans="1:3" ht="13" x14ac:dyDescent="0.15">
      <c r="A880" s="10"/>
      <c r="B880" s="13"/>
      <c r="C880" s="13"/>
    </row>
    <row r="881" spans="1:3" ht="13" x14ac:dyDescent="0.15">
      <c r="A881" s="10"/>
      <c r="B881" s="13"/>
      <c r="C881" s="13"/>
    </row>
    <row r="882" spans="1:3" ht="13" x14ac:dyDescent="0.15">
      <c r="A882" s="10"/>
      <c r="B882" s="13"/>
      <c r="C882" s="13"/>
    </row>
    <row r="883" spans="1:3" ht="13" x14ac:dyDescent="0.15">
      <c r="A883" s="10"/>
      <c r="B883" s="13"/>
      <c r="C883" s="13"/>
    </row>
    <row r="884" spans="1:3" ht="13" x14ac:dyDescent="0.15">
      <c r="A884" s="10"/>
      <c r="B884" s="13"/>
      <c r="C884" s="13"/>
    </row>
    <row r="885" spans="1:3" ht="13" x14ac:dyDescent="0.15">
      <c r="A885" s="10"/>
      <c r="B885" s="13"/>
      <c r="C885" s="13"/>
    </row>
    <row r="886" spans="1:3" ht="13" x14ac:dyDescent="0.15">
      <c r="A886" s="10"/>
      <c r="B886" s="13"/>
      <c r="C886" s="13"/>
    </row>
    <row r="887" spans="1:3" ht="13" x14ac:dyDescent="0.15">
      <c r="A887" s="10"/>
      <c r="B887" s="13"/>
      <c r="C887" s="13"/>
    </row>
    <row r="888" spans="1:3" ht="13" x14ac:dyDescent="0.15">
      <c r="A888" s="10"/>
      <c r="B888" s="13"/>
      <c r="C888" s="13"/>
    </row>
    <row r="889" spans="1:3" ht="13" x14ac:dyDescent="0.15">
      <c r="A889" s="10"/>
      <c r="B889" s="13"/>
      <c r="C889" s="13"/>
    </row>
    <row r="890" spans="1:3" ht="13" x14ac:dyDescent="0.15">
      <c r="A890" s="10"/>
      <c r="B890" s="13"/>
      <c r="C890" s="13"/>
    </row>
    <row r="891" spans="1:3" ht="13" x14ac:dyDescent="0.15">
      <c r="A891" s="10"/>
      <c r="B891" s="13"/>
      <c r="C891" s="13"/>
    </row>
    <row r="892" spans="1:3" ht="13" x14ac:dyDescent="0.15">
      <c r="A892" s="10"/>
      <c r="B892" s="13"/>
      <c r="C892" s="13"/>
    </row>
    <row r="893" spans="1:3" ht="13" x14ac:dyDescent="0.15">
      <c r="A893" s="10"/>
      <c r="B893" s="13"/>
      <c r="C893" s="13"/>
    </row>
    <row r="894" spans="1:3" ht="13" x14ac:dyDescent="0.15">
      <c r="A894" s="10"/>
      <c r="B894" s="13"/>
      <c r="C894" s="13"/>
    </row>
    <row r="895" spans="1:3" ht="13" x14ac:dyDescent="0.15">
      <c r="A895" s="10"/>
      <c r="B895" s="13"/>
      <c r="C895" s="13"/>
    </row>
    <row r="896" spans="1:3" ht="13" x14ac:dyDescent="0.15">
      <c r="A896" s="10"/>
      <c r="B896" s="13"/>
      <c r="C896" s="13"/>
    </row>
    <row r="897" spans="1:3" ht="13" x14ac:dyDescent="0.15">
      <c r="A897" s="10"/>
      <c r="B897" s="13"/>
      <c r="C897" s="13"/>
    </row>
    <row r="898" spans="1:3" ht="13" x14ac:dyDescent="0.15">
      <c r="A898" s="10"/>
      <c r="B898" s="13"/>
      <c r="C898" s="13"/>
    </row>
    <row r="899" spans="1:3" ht="13" x14ac:dyDescent="0.15">
      <c r="A899" s="10"/>
      <c r="B899" s="13"/>
      <c r="C899" s="13"/>
    </row>
    <row r="900" spans="1:3" ht="13" x14ac:dyDescent="0.15">
      <c r="A900" s="10"/>
      <c r="B900" s="13"/>
      <c r="C900" s="13"/>
    </row>
    <row r="901" spans="1:3" ht="13" x14ac:dyDescent="0.15">
      <c r="A901" s="10"/>
      <c r="B901" s="13"/>
      <c r="C901" s="13"/>
    </row>
    <row r="902" spans="1:3" ht="13" x14ac:dyDescent="0.15">
      <c r="A902" s="10"/>
      <c r="B902" s="13"/>
      <c r="C902" s="13"/>
    </row>
    <row r="903" spans="1:3" ht="13" x14ac:dyDescent="0.15">
      <c r="A903" s="10"/>
      <c r="B903" s="13"/>
      <c r="C903" s="13"/>
    </row>
    <row r="904" spans="1:3" ht="13" x14ac:dyDescent="0.15">
      <c r="A904" s="10"/>
      <c r="B904" s="13"/>
      <c r="C904" s="13"/>
    </row>
    <row r="905" spans="1:3" ht="13" x14ac:dyDescent="0.15">
      <c r="A905" s="10"/>
      <c r="B905" s="13"/>
      <c r="C905" s="13"/>
    </row>
    <row r="906" spans="1:3" ht="13" x14ac:dyDescent="0.15">
      <c r="A906" s="10"/>
      <c r="B906" s="13"/>
      <c r="C906" s="13"/>
    </row>
    <row r="907" spans="1:3" ht="13" x14ac:dyDescent="0.15">
      <c r="A907" s="10"/>
      <c r="B907" s="13"/>
      <c r="C907" s="13"/>
    </row>
    <row r="908" spans="1:3" ht="13" x14ac:dyDescent="0.15">
      <c r="A908" s="10"/>
      <c r="B908" s="13"/>
      <c r="C908" s="13"/>
    </row>
    <row r="909" spans="1:3" ht="13" x14ac:dyDescent="0.15">
      <c r="A909" s="10"/>
      <c r="B909" s="13"/>
      <c r="C909" s="13"/>
    </row>
    <row r="910" spans="1:3" ht="13" x14ac:dyDescent="0.15">
      <c r="A910" s="10"/>
      <c r="B910" s="13"/>
      <c r="C910" s="13"/>
    </row>
    <row r="911" spans="1:3" ht="13" x14ac:dyDescent="0.15">
      <c r="A911" s="10"/>
      <c r="B911" s="13"/>
      <c r="C911" s="13"/>
    </row>
    <row r="912" spans="1:3" ht="13" x14ac:dyDescent="0.15">
      <c r="A912" s="10"/>
      <c r="B912" s="13"/>
      <c r="C912" s="13"/>
    </row>
    <row r="913" spans="1:3" ht="13" x14ac:dyDescent="0.15">
      <c r="A913" s="10"/>
      <c r="B913" s="13"/>
      <c r="C913" s="13"/>
    </row>
    <row r="914" spans="1:3" ht="13" x14ac:dyDescent="0.15">
      <c r="A914" s="10"/>
      <c r="B914" s="13"/>
      <c r="C914" s="13"/>
    </row>
    <row r="915" spans="1:3" ht="13" x14ac:dyDescent="0.15">
      <c r="A915" s="10"/>
      <c r="B915" s="13"/>
      <c r="C915" s="13"/>
    </row>
    <row r="916" spans="1:3" ht="13" x14ac:dyDescent="0.15">
      <c r="A916" s="10"/>
      <c r="B916" s="13"/>
      <c r="C916" s="13"/>
    </row>
    <row r="917" spans="1:3" ht="13" x14ac:dyDescent="0.15">
      <c r="A917" s="10"/>
      <c r="B917" s="13"/>
      <c r="C917" s="13"/>
    </row>
    <row r="918" spans="1:3" ht="13" x14ac:dyDescent="0.15">
      <c r="A918" s="10"/>
      <c r="B918" s="13"/>
      <c r="C918" s="13"/>
    </row>
    <row r="919" spans="1:3" ht="13" x14ac:dyDescent="0.15">
      <c r="A919" s="10"/>
      <c r="B919" s="13"/>
      <c r="C919" s="13"/>
    </row>
    <row r="920" spans="1:3" ht="13" x14ac:dyDescent="0.15">
      <c r="A920" s="10"/>
      <c r="B920" s="13"/>
      <c r="C920" s="13"/>
    </row>
    <row r="921" spans="1:3" ht="13" x14ac:dyDescent="0.15">
      <c r="A921" s="10"/>
      <c r="B921" s="13"/>
      <c r="C921" s="13"/>
    </row>
    <row r="922" spans="1:3" ht="13" x14ac:dyDescent="0.15">
      <c r="A922" s="10"/>
      <c r="B922" s="13"/>
      <c r="C922" s="13"/>
    </row>
    <row r="923" spans="1:3" ht="13" x14ac:dyDescent="0.15">
      <c r="A923" s="10"/>
      <c r="B923" s="13"/>
      <c r="C923" s="13"/>
    </row>
    <row r="924" spans="1:3" ht="13" x14ac:dyDescent="0.15">
      <c r="A924" s="10"/>
      <c r="B924" s="13"/>
      <c r="C924" s="13"/>
    </row>
    <row r="925" spans="1:3" ht="13" x14ac:dyDescent="0.15">
      <c r="A925" s="10"/>
      <c r="B925" s="13"/>
      <c r="C925" s="13"/>
    </row>
    <row r="926" spans="1:3" ht="13" x14ac:dyDescent="0.15">
      <c r="A926" s="10"/>
      <c r="B926" s="13"/>
      <c r="C926" s="13"/>
    </row>
    <row r="927" spans="1:3" ht="13" x14ac:dyDescent="0.15">
      <c r="A927" s="10"/>
      <c r="B927" s="13"/>
      <c r="C927" s="13"/>
    </row>
    <row r="928" spans="1:3" ht="13" x14ac:dyDescent="0.15">
      <c r="A928" s="10"/>
      <c r="B928" s="13"/>
      <c r="C928" s="13"/>
    </row>
    <row r="929" spans="1:3" ht="13" x14ac:dyDescent="0.15">
      <c r="A929" s="10"/>
      <c r="B929" s="13"/>
      <c r="C929" s="13"/>
    </row>
    <row r="930" spans="1:3" ht="13" x14ac:dyDescent="0.15">
      <c r="A930" s="10"/>
      <c r="B930" s="13"/>
      <c r="C930" s="13"/>
    </row>
    <row r="931" spans="1:3" ht="13" x14ac:dyDescent="0.15">
      <c r="A931" s="10"/>
      <c r="B931" s="13"/>
      <c r="C931" s="13"/>
    </row>
    <row r="932" spans="1:3" ht="13" x14ac:dyDescent="0.15">
      <c r="A932" s="10"/>
      <c r="B932" s="13"/>
      <c r="C932" s="13"/>
    </row>
    <row r="933" spans="1:3" ht="13" x14ac:dyDescent="0.15">
      <c r="A933" s="10"/>
      <c r="B933" s="13"/>
      <c r="C933" s="13"/>
    </row>
    <row r="934" spans="1:3" ht="13" x14ac:dyDescent="0.15">
      <c r="A934" s="10"/>
      <c r="B934" s="13"/>
      <c r="C934" s="13"/>
    </row>
    <row r="935" spans="1:3" ht="13" x14ac:dyDescent="0.15">
      <c r="A935" s="10"/>
      <c r="B935" s="13"/>
      <c r="C935" s="13"/>
    </row>
    <row r="936" spans="1:3" ht="13" x14ac:dyDescent="0.15">
      <c r="A936" s="10"/>
      <c r="B936" s="13"/>
      <c r="C936" s="13"/>
    </row>
    <row r="937" spans="1:3" ht="13" x14ac:dyDescent="0.15">
      <c r="A937" s="10"/>
      <c r="B937" s="13"/>
      <c r="C937" s="13"/>
    </row>
    <row r="938" spans="1:3" ht="13" x14ac:dyDescent="0.15">
      <c r="A938" s="10"/>
      <c r="B938" s="13"/>
      <c r="C938" s="13"/>
    </row>
    <row r="939" spans="1:3" ht="13" x14ac:dyDescent="0.15">
      <c r="A939" s="10"/>
      <c r="B939" s="13"/>
      <c r="C939" s="13"/>
    </row>
    <row r="940" spans="1:3" ht="13" x14ac:dyDescent="0.15">
      <c r="A940" s="10"/>
      <c r="B940" s="13"/>
      <c r="C940" s="13"/>
    </row>
    <row r="941" spans="1:3" ht="13" x14ac:dyDescent="0.15">
      <c r="A941" s="10"/>
      <c r="B941" s="13"/>
      <c r="C941" s="13"/>
    </row>
    <row r="942" spans="1:3" ht="13" x14ac:dyDescent="0.15">
      <c r="A942" s="10"/>
      <c r="B942" s="13"/>
      <c r="C942" s="13"/>
    </row>
    <row r="943" spans="1:3" ht="13" x14ac:dyDescent="0.15">
      <c r="A943" s="10"/>
      <c r="B943" s="13"/>
      <c r="C943" s="13"/>
    </row>
    <row r="944" spans="1:3" ht="13" x14ac:dyDescent="0.15">
      <c r="A944" s="10"/>
      <c r="B944" s="13"/>
      <c r="C944" s="13"/>
    </row>
    <row r="945" spans="1:3" ht="13" x14ac:dyDescent="0.15">
      <c r="A945" s="10"/>
      <c r="B945" s="13"/>
      <c r="C945" s="13"/>
    </row>
    <row r="946" spans="1:3" ht="13" x14ac:dyDescent="0.15">
      <c r="A946" s="10"/>
      <c r="B946" s="13"/>
      <c r="C946" s="13"/>
    </row>
    <row r="947" spans="1:3" ht="13" x14ac:dyDescent="0.15">
      <c r="A947" s="10"/>
      <c r="B947" s="13"/>
      <c r="C947" s="13"/>
    </row>
    <row r="948" spans="1:3" ht="13" x14ac:dyDescent="0.15">
      <c r="A948" s="10"/>
      <c r="B948" s="13"/>
      <c r="C948" s="13"/>
    </row>
    <row r="949" spans="1:3" ht="13" x14ac:dyDescent="0.15">
      <c r="A949" s="10"/>
      <c r="B949" s="13"/>
      <c r="C949" s="13"/>
    </row>
    <row r="950" spans="1:3" ht="13" x14ac:dyDescent="0.15">
      <c r="A950" s="10"/>
      <c r="B950" s="13"/>
      <c r="C950" s="13"/>
    </row>
    <row r="951" spans="1:3" ht="13" x14ac:dyDescent="0.15">
      <c r="A951" s="10"/>
      <c r="B951" s="13"/>
      <c r="C951" s="13"/>
    </row>
    <row r="952" spans="1:3" ht="13" x14ac:dyDescent="0.15">
      <c r="A952" s="10"/>
      <c r="B952" s="13"/>
      <c r="C952" s="13"/>
    </row>
    <row r="953" spans="1:3" ht="13" x14ac:dyDescent="0.15">
      <c r="A953" s="10"/>
      <c r="B953" s="13"/>
      <c r="C953" s="13"/>
    </row>
    <row r="954" spans="1:3" ht="13" x14ac:dyDescent="0.15">
      <c r="A954" s="10"/>
      <c r="B954" s="13"/>
      <c r="C954" s="13"/>
    </row>
    <row r="955" spans="1:3" ht="13" x14ac:dyDescent="0.15">
      <c r="A955" s="10"/>
      <c r="B955" s="13"/>
      <c r="C955" s="13"/>
    </row>
    <row r="956" spans="1:3" ht="13" x14ac:dyDescent="0.15">
      <c r="A956" s="10"/>
      <c r="B956" s="13"/>
      <c r="C956" s="13"/>
    </row>
    <row r="957" spans="1:3" ht="13" x14ac:dyDescent="0.15">
      <c r="A957" s="10"/>
      <c r="B957" s="13"/>
      <c r="C957" s="13"/>
    </row>
    <row r="958" spans="1:3" ht="13" x14ac:dyDescent="0.15">
      <c r="A958" s="10"/>
      <c r="B958" s="13"/>
      <c r="C958" s="13"/>
    </row>
    <row r="959" spans="1:3" ht="13" x14ac:dyDescent="0.15">
      <c r="A959" s="10"/>
      <c r="B959" s="13"/>
      <c r="C959" s="13"/>
    </row>
    <row r="960" spans="1:3" ht="13" x14ac:dyDescent="0.15">
      <c r="A960" s="10"/>
      <c r="B960" s="13"/>
      <c r="C960" s="13"/>
    </row>
    <row r="961" spans="1:3" ht="13" x14ac:dyDescent="0.15">
      <c r="A961" s="10"/>
      <c r="B961" s="13"/>
      <c r="C961" s="13"/>
    </row>
    <row r="962" spans="1:3" ht="13" x14ac:dyDescent="0.15">
      <c r="A962" s="10"/>
      <c r="B962" s="13"/>
      <c r="C962" s="13"/>
    </row>
    <row r="963" spans="1:3" ht="13" x14ac:dyDescent="0.15">
      <c r="A963" s="10"/>
      <c r="B963" s="13"/>
      <c r="C963" s="13"/>
    </row>
    <row r="964" spans="1:3" ht="13" x14ac:dyDescent="0.15">
      <c r="A964" s="10"/>
      <c r="B964" s="13"/>
      <c r="C964" s="13"/>
    </row>
    <row r="965" spans="1:3" ht="13" x14ac:dyDescent="0.15">
      <c r="A965" s="10"/>
      <c r="B965" s="13"/>
      <c r="C965" s="13"/>
    </row>
    <row r="966" spans="1:3" ht="13" x14ac:dyDescent="0.15">
      <c r="A966" s="10"/>
      <c r="B966" s="13"/>
      <c r="C966" s="13"/>
    </row>
    <row r="967" spans="1:3" ht="13" x14ac:dyDescent="0.15">
      <c r="A967" s="10"/>
      <c r="B967" s="13"/>
      <c r="C967" s="13"/>
    </row>
    <row r="968" spans="1:3" ht="13" x14ac:dyDescent="0.15">
      <c r="A968" s="10"/>
      <c r="B968" s="13"/>
      <c r="C968" s="13"/>
    </row>
    <row r="969" spans="1:3" ht="13" x14ac:dyDescent="0.15">
      <c r="A969" s="10"/>
      <c r="B969" s="13"/>
      <c r="C969" s="13"/>
    </row>
    <row r="970" spans="1:3" ht="13" x14ac:dyDescent="0.15">
      <c r="A970" s="10"/>
      <c r="B970" s="13"/>
      <c r="C970" s="13"/>
    </row>
    <row r="971" spans="1:3" ht="13" x14ac:dyDescent="0.15">
      <c r="A971" s="10"/>
      <c r="B971" s="13"/>
      <c r="C971" s="13"/>
    </row>
    <row r="972" spans="1:3" ht="13" x14ac:dyDescent="0.15">
      <c r="A972" s="10"/>
      <c r="B972" s="13"/>
      <c r="C972" s="13"/>
    </row>
    <row r="973" spans="1:3" ht="13" x14ac:dyDescent="0.15">
      <c r="A973" s="10"/>
      <c r="B973" s="13"/>
      <c r="C973" s="13"/>
    </row>
    <row r="974" spans="1:3" ht="13" x14ac:dyDescent="0.15">
      <c r="A974" s="10"/>
      <c r="B974" s="13"/>
      <c r="C974" s="13"/>
    </row>
    <row r="975" spans="1:3" ht="13" x14ac:dyDescent="0.15">
      <c r="A975" s="10"/>
      <c r="B975" s="13"/>
      <c r="C975" s="13"/>
    </row>
    <row r="976" spans="1:3" ht="13" x14ac:dyDescent="0.15">
      <c r="A976" s="10"/>
      <c r="B976" s="13"/>
      <c r="C976" s="13"/>
    </row>
    <row r="977" spans="1:3" ht="13" x14ac:dyDescent="0.15">
      <c r="A977" s="10"/>
      <c r="B977" s="13"/>
      <c r="C977" s="13"/>
    </row>
    <row r="978" spans="1:3" ht="13" x14ac:dyDescent="0.15">
      <c r="A978" s="10"/>
      <c r="B978" s="13"/>
      <c r="C978" s="13"/>
    </row>
    <row r="979" spans="1:3" ht="13" x14ac:dyDescent="0.15">
      <c r="A979" s="10"/>
      <c r="B979" s="13"/>
      <c r="C979" s="13"/>
    </row>
    <row r="980" spans="1:3" ht="13" x14ac:dyDescent="0.15">
      <c r="A980" s="10"/>
      <c r="B980" s="13"/>
      <c r="C980" s="13"/>
    </row>
    <row r="981" spans="1:3" ht="13" x14ac:dyDescent="0.15">
      <c r="A981" s="10"/>
      <c r="B981" s="13"/>
      <c r="C981" s="13"/>
    </row>
    <row r="982" spans="1:3" ht="13" x14ac:dyDescent="0.15">
      <c r="A982" s="10"/>
      <c r="B982" s="13"/>
      <c r="C982" s="13"/>
    </row>
    <row r="983" spans="1:3" ht="13" x14ac:dyDescent="0.15">
      <c r="A983" s="10"/>
      <c r="B983" s="13"/>
      <c r="C983" s="13"/>
    </row>
    <row r="984" spans="1:3" ht="13" x14ac:dyDescent="0.15">
      <c r="A984" s="10"/>
      <c r="B984" s="13"/>
      <c r="C984" s="13"/>
    </row>
    <row r="985" spans="1:3" ht="13" x14ac:dyDescent="0.15">
      <c r="A985" s="10"/>
      <c r="B985" s="13"/>
      <c r="C985" s="13"/>
    </row>
    <row r="986" spans="1:3" ht="13" x14ac:dyDescent="0.15">
      <c r="A986" s="10"/>
      <c r="B986" s="13"/>
      <c r="C986" s="13"/>
    </row>
    <row r="987" spans="1:3" ht="13" x14ac:dyDescent="0.15">
      <c r="A987" s="10"/>
      <c r="B987" s="13"/>
      <c r="C987" s="13"/>
    </row>
    <row r="988" spans="1:3" ht="13" x14ac:dyDescent="0.15">
      <c r="A988" s="10"/>
      <c r="B988" s="13"/>
      <c r="C988" s="13"/>
    </row>
    <row r="989" spans="1:3" ht="13" x14ac:dyDescent="0.15">
      <c r="A989" s="10"/>
      <c r="B989" s="13"/>
      <c r="C989" s="13"/>
    </row>
    <row r="990" spans="1:3" ht="13" x14ac:dyDescent="0.15">
      <c r="A990" s="10"/>
      <c r="B990" s="13"/>
      <c r="C990" s="13"/>
    </row>
    <row r="991" spans="1:3" ht="13" x14ac:dyDescent="0.15">
      <c r="A991" s="10"/>
      <c r="B991" s="13"/>
      <c r="C991" s="13"/>
    </row>
    <row r="992" spans="1:3" ht="13" x14ac:dyDescent="0.15">
      <c r="A992" s="10"/>
      <c r="B992" s="13"/>
      <c r="C992" s="13"/>
    </row>
    <row r="993" spans="1:3" ht="13" x14ac:dyDescent="0.15">
      <c r="A993" s="10"/>
      <c r="B993" s="13"/>
      <c r="C993" s="13"/>
    </row>
    <row r="994" spans="1:3" ht="13" x14ac:dyDescent="0.15">
      <c r="A994" s="10"/>
      <c r="B994" s="13"/>
      <c r="C994" s="13"/>
    </row>
    <row r="995" spans="1:3" ht="13" x14ac:dyDescent="0.15">
      <c r="A995" s="10"/>
      <c r="B995" s="13"/>
      <c r="C995" s="13"/>
    </row>
    <row r="996" spans="1:3" ht="13" x14ac:dyDescent="0.15">
      <c r="A996" s="10"/>
      <c r="B996" s="13"/>
      <c r="C996" s="13"/>
    </row>
    <row r="997" spans="1:3" ht="13" x14ac:dyDescent="0.15">
      <c r="A997" s="10"/>
      <c r="B997" s="13"/>
      <c r="C997" s="13"/>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outlinePr summaryBelow="0" summaryRight="0"/>
  </sheetPr>
  <dimension ref="A1:D997"/>
  <sheetViews>
    <sheetView workbookViewId="0"/>
  </sheetViews>
  <sheetFormatPr baseColWidth="10" defaultColWidth="12.6640625" defaultRowHeight="15.75" customHeight="1" x14ac:dyDescent="0.15"/>
  <cols>
    <col min="1" max="1" width="71.5" customWidth="1"/>
    <col min="2" max="4" width="37.6640625" customWidth="1"/>
  </cols>
  <sheetData>
    <row r="1" spans="1:4" ht="15.75" customHeight="1" x14ac:dyDescent="0.15">
      <c r="A1" s="1"/>
      <c r="B1" s="10" t="str">
        <f ca="1">IFERROR(__xludf.DUMMYFUNCTION("IMPORTRANGE(""https://docs.google.com/spreadsheets/u/0/d/1etLQb97lMSNWG4ebq9e4mMf5V6Y_IPpBxMswZpIG47E"", ""A31!B1:B22"")"),"Erin Loudermilk")</f>
        <v>Erin Loudermilk</v>
      </c>
      <c r="C1" s="10" t="str">
        <f ca="1">IFERROR(__xludf.DUMMYFUNCTION("IMPORTRANGE(""https://docs.google.com/spreadsheets/u/0/d/1DTeUShR903oScgwuFGuA8V8JqIoXmME8W-T3lNP0oHM"", ""A31!B1:B22"")"),"McKinzie Novak")</f>
        <v>McKinzie Novak</v>
      </c>
      <c r="D1" s="2" t="s">
        <v>1</v>
      </c>
    </row>
    <row r="2" spans="1:4" ht="15.75" customHeight="1" x14ac:dyDescent="0.15">
      <c r="A2" s="3" t="s">
        <v>2</v>
      </c>
      <c r="B2" s="15" t="str">
        <f ca="1">IFERROR(__xludf.DUMMYFUNCTION("""COMPUTED_VALUE"""),"22189 - 22602 FOR")</f>
        <v>22189 - 22602 FOR</v>
      </c>
      <c r="C2" s="15" t="str">
        <f ca="1">IFERROR(__xludf.DUMMYFUNCTION("""COMPUTED_VALUE"""),"START: 22189
STOP: 22602
FORWARD")</f>
        <v>START: 22189
STOP: 22602
FORWARD</v>
      </c>
      <c r="D2" s="4"/>
    </row>
    <row r="3" spans="1:4" ht="15.75" customHeight="1" x14ac:dyDescent="0.15">
      <c r="A3" s="5" t="s">
        <v>3</v>
      </c>
      <c r="B3" s="17" t="str">
        <f ca="1">IFERROR(__xludf.DUMMYFUNCTION("""COMPUTED_VALUE"""),"DNA: 30. Pham: 31")</f>
        <v>DNA: 30. Pham: 31</v>
      </c>
      <c r="C3" s="17" t="str">
        <f ca="1">IFERROR(__xludf.DUMMYFUNCTION("""COMPUTED_VALUE"""),"DNAM: 30
PHAM: 31
Phagesdb: 31")</f>
        <v>DNAM: 30
PHAM: 31
Phagesdb: 31</v>
      </c>
      <c r="D3" s="6"/>
    </row>
    <row r="4" spans="1:4" ht="15.75" customHeight="1" x14ac:dyDescent="0.15">
      <c r="A4" s="5" t="s">
        <v>4</v>
      </c>
      <c r="B4" s="17" t="str">
        <f ca="1">IFERROR(__xludf.DUMMYFUNCTION("""COMPUTED_VALUE"""),"5568 (3/12/25)")</f>
        <v>5568 (3/12/25)</v>
      </c>
      <c r="C4" s="17" t="str">
        <f ca="1">IFERROR(__xludf.DUMMYFUNCTION("""COMPUTED_VALUE"""),"#5568  3/5/25")</f>
        <v>#5568  3/5/25</v>
      </c>
      <c r="D4" s="6"/>
    </row>
    <row r="5" spans="1:4" ht="15.75" customHeight="1" x14ac:dyDescent="0.15">
      <c r="A5" s="5" t="s">
        <v>5</v>
      </c>
      <c r="B5" s="17" t="str">
        <f ca="1">IFERROR(__xludf.DUMMYFUNCTION("""COMPUTED_VALUE"""),"Kovu_32, Edmundo_30")</f>
        <v>Kovu_32, Edmundo_30</v>
      </c>
      <c r="C5" s="17" t="str">
        <f ca="1">IFERROR(__xludf.DUMMYFUNCTION("""COMPUTED_VALUE"""),"Kovu #32 &amp; Laroye #31")</f>
        <v>Kovu #32 &amp; Laroye #31</v>
      </c>
      <c r="D5" s="6"/>
    </row>
    <row r="6" spans="1:4" ht="15.75" customHeight="1" x14ac:dyDescent="0.15">
      <c r="A6" s="5" t="s">
        <v>6</v>
      </c>
      <c r="B6" s="17" t="str">
        <f ca="1">IFERROR(__xludf.DUMMYFUNCTION("""COMPUTED_VALUE"""),"Both call @ 22189")</f>
        <v>Both call @ 22189</v>
      </c>
      <c r="C6" s="17" t="str">
        <f ca="1">IFERROR(__xludf.DUMMYFUNCTION("""COMPUTED_VALUE"""),"Glimmer and GeneMark both call the start 22189")</f>
        <v>Glimmer and GeneMark both call the start 22189</v>
      </c>
      <c r="D6" s="6"/>
    </row>
    <row r="7" spans="1:4" ht="15.75" customHeight="1" x14ac:dyDescent="0.15">
      <c r="A7" s="5" t="s">
        <v>7</v>
      </c>
      <c r="B7" s="17" t="str">
        <f ca="1">IFERROR(__xludf.DUMMYFUNCTION("""COMPUTED_VALUE"""),"Has good coding potential, all coding potential included with the start")</f>
        <v>Has good coding potential, all coding potential included with the start</v>
      </c>
      <c r="C7" s="17" t="str">
        <f ca="1">IFERROR(__xludf.DUMMYFUNCTION("""COMPUTED_VALUE"""),"Yes the gene has good coding potential, with the called start, all coding potential is caught. ")</f>
        <v xml:space="preserve">Yes the gene has good coding potential, with the called start, all coding potential is caught. </v>
      </c>
      <c r="D7" s="6"/>
    </row>
    <row r="8" spans="1:4" ht="15.75" customHeight="1" x14ac:dyDescent="0.15">
      <c r="A8" s="5" t="s">
        <v>8</v>
      </c>
      <c r="B8" s="17" t="str">
        <f ca="1">IFERROR(__xludf.DUMMYFUNCTION("""COMPUTED_VALUE"""),"Yes")</f>
        <v>Yes</v>
      </c>
      <c r="C8" s="17" t="str">
        <f ca="1">IFERROR(__xludf.DUMMYFUNCTION("""COMPUTED_VALUE"""),"Yes, this start is the longest open reading frame")</f>
        <v>Yes, this start is the longest open reading frame</v>
      </c>
      <c r="D8" s="6"/>
    </row>
    <row r="9" spans="1:4" ht="15.75" customHeight="1" x14ac:dyDescent="0.15">
      <c r="A9" s="5" t="s">
        <v>9</v>
      </c>
      <c r="B9" s="17" t="str">
        <f ca="1">IFERROR(__xludf.DUMMYFUNCTION("""COMPUTED_VALUE"""),"3 nucleotide gap")</f>
        <v>3 nucleotide gap</v>
      </c>
      <c r="C9" s="17" t="str">
        <f ca="1">IFERROR(__xludf.DUMMYFUNCTION("""COMPUTED_VALUE"""),"There is a 3 base pair gap with this start; small and reasonable")</f>
        <v>There is a 3 base pair gap with this start; small and reasonable</v>
      </c>
      <c r="D9" s="6"/>
    </row>
    <row r="10" spans="1:4" ht="15.75" customHeight="1" x14ac:dyDescent="0.15">
      <c r="A10" s="5" t="s">
        <v>10</v>
      </c>
      <c r="B10" s="17" t="str">
        <f ca="1">IFERROR(__xludf.DUMMYFUNCTION("""COMPUTED_VALUE"""),"1.256 z-score. Start 22225 has best z-score of 1.362")</f>
        <v>1.256 z-score. Start 22225 has best z-score of 1.362</v>
      </c>
      <c r="C10" s="17" t="str">
        <f ca="1">IFERROR(__xludf.DUMMYFUNCTION("""COMPUTED_VALUE"""),"Start:  22189  z-score:  1.256   RBS: -6.101 ; not the greatest but pushing forward will cut out gene potential.")</f>
        <v>Start:  22189  z-score:  1.256   RBS: -6.101 ; not the greatest but pushing forward will cut out gene potential.</v>
      </c>
      <c r="D10" s="6"/>
    </row>
    <row r="11" spans="1:4" ht="15.75" customHeight="1" x14ac:dyDescent="0.15">
      <c r="A11" s="5" t="s">
        <v>11</v>
      </c>
      <c r="B11" s="17" t="str">
        <f ca="1">IFERROR(__xludf.DUMMYFUNCTION("""COMPUTED_VALUE"""),"Kovu_32, 84.67% identity, q:137, s:137")</f>
        <v>Kovu_32, 84.67% identity, q:137, s:137</v>
      </c>
      <c r="C11" s="17" t="str">
        <f ca="1">IFERROR(__xludf.DUMMYFUNCTION("""COMPUTED_VALUE"""),"Kovu #32 - %ID: 84.6 e-val: 0.0E0
Q:1 - T:1
Laroye #31-%ID: 59 e-val: 3.2E-37
Q: 1 T: 1")</f>
        <v>Kovu #32 - %ID: 84.6 e-val: 0.0E0
Q:1 - T:1
Laroye #31-%ID: 59 e-val: 3.2E-37
Q: 1 T: 1</v>
      </c>
      <c r="D11" s="6"/>
    </row>
    <row r="12" spans="1:4" ht="15.75" customHeight="1" x14ac:dyDescent="0.15">
      <c r="A12" s="5" t="s">
        <v>12</v>
      </c>
      <c r="B12" s="17" t="str">
        <f ca="1">IFERROR(__xludf.DUMMYFUNCTION("""COMPUTED_VALUE"""),"Start is conserved in all 11 members, 100% called when present")</f>
        <v>Start is conserved in all 11 members, 100% called when present</v>
      </c>
      <c r="C12" s="17" t="str">
        <f ca="1">IFERROR(__xludf.DUMMYFUNCTION("""COMPUTED_VALUE"""),"Every single phage calls this start 100% of the time - It is available and highly conserved")</f>
        <v>Every single phage calls this start 100% of the time - It is available and highly conserved</v>
      </c>
      <c r="D12" s="6"/>
    </row>
    <row r="13" spans="1:4" ht="15.75" customHeight="1" x14ac:dyDescent="0.15">
      <c r="A13" s="5" t="s">
        <v>13</v>
      </c>
      <c r="B13" s="17" t="str">
        <f ca="1">IFERROR(__xludf.DUMMYFUNCTION("""COMPUTED_VALUE"""),"No")</f>
        <v>No</v>
      </c>
      <c r="C13" s="17" t="str">
        <f ca="1">IFERROR(__xludf.DUMMYFUNCTION("""COMPUTED_VALUE"""),"No, this is a good probable start with the large support from starterator")</f>
        <v>No, this is a good probable start with the large support from starterator</v>
      </c>
      <c r="D13" s="6"/>
    </row>
    <row r="14" spans="1:4" ht="15.75" customHeight="1" x14ac:dyDescent="0.15">
      <c r="A14" s="5" t="s">
        <v>14</v>
      </c>
      <c r="B14" s="17" t="str">
        <f ca="1">IFERROR(__xludf.DUMMYFUNCTION("""COMPUTED_VALUE"""),"Kovu_32, 2e-62")</f>
        <v>Kovu_32, 2e-62</v>
      </c>
      <c r="C14" s="17" t="str">
        <f ca="1">IFERROR(__xludf.DUMMYFUNCTION("""COMPUTED_VALUE"""),"Kovu #32 e-val: 0.0E0 &amp; 
Laroye #31 e-val: 3.2E-37")</f>
        <v>Kovu #32 e-val: 0.0E0 &amp; 
Laroye #31 e-val: 3.2E-37</v>
      </c>
      <c r="D14" s="6"/>
    </row>
    <row r="15" spans="1:4" ht="15.75" customHeight="1" x14ac:dyDescent="0.15">
      <c r="A15" s="5" t="s">
        <v>15</v>
      </c>
      <c r="B15" s="17" t="str">
        <f ca="1">IFERROR(__xludf.DUMMYFUNCTION("""COMPUTED_VALUE"""),"Function unknown")</f>
        <v>Function unknown</v>
      </c>
      <c r="C15" s="17" t="str">
        <f ca="1">IFERROR(__xludf.DUMMYFUNCTION("""COMPUTED_VALUE"""),"Both Kovu and Laroye are hypothetical proteins ")</f>
        <v xml:space="preserve">Both Kovu and Laroye are hypothetical proteins </v>
      </c>
      <c r="D15" s="6"/>
    </row>
    <row r="16" spans="1:4" ht="15.75" customHeight="1" x14ac:dyDescent="0.15">
      <c r="A16" s="5" t="s">
        <v>16</v>
      </c>
      <c r="B16" s="17" t="str">
        <f ca="1">IFERROR(__xludf.DUMMYFUNCTION("""COMPUTED_VALUE"""),"Yes, found in a similar environment in Kovu")</f>
        <v>Yes, found in a similar environment in Kovu</v>
      </c>
      <c r="C16" s="17" t="str">
        <f ca="1">IFERROR(__xludf.DUMMYFUNCTION("""COMPUTED_VALUE"""),"Yes the gene belongs in this genetic environment, there is good alignment with a head to tail stopper protein to the right at 32 and an unknown protein to the left that aligns as well.")</f>
        <v>Yes the gene belongs in this genetic environment, there is good alignment with a head to tail stopper protein to the right at 32 and an unknown protein to the left that aligns as well.</v>
      </c>
      <c r="D16" s="6"/>
    </row>
    <row r="17" spans="1:4" ht="15.75" customHeight="1" x14ac:dyDescent="0.15">
      <c r="A17" s="5" t="s">
        <v>17</v>
      </c>
      <c r="B17" s="17" t="str">
        <f ca="1">IFERROR(__xludf.DUMMYFUNCTION("""COMPUTED_VALUE""")," DUF670 ; Family of unknown function, 84.8% probability, 60.58% query, 71.91% target. Functional domain is in target alignment")</f>
        <v xml:space="preserve"> DUF670 ; Family of unknown function, 84.8% probability, 60.58% query, 71.91% target. Functional domain is in target alignment</v>
      </c>
      <c r="C17" s="17" t="str">
        <f ca="1">IFERROR(__xludf.DUMMYFUNCTION("""COMPUTED_VALUE"""),"DUF6706 ; Family of unknown function (DUF6706)
Prob: 84.8 
%alnQ: 57.7 %alnT: 71.8
Yes, needs furthur exploration it has no known domain.")</f>
        <v>DUF6706 ; Family of unknown function (DUF6706)
Prob: 84.8 
%alnQ: 57.7 %alnT: 71.8
Yes, needs furthur exploration it has no known domain.</v>
      </c>
      <c r="D17" s="6"/>
    </row>
    <row r="18" spans="1:4" ht="15.75" customHeight="1" x14ac:dyDescent="0.15">
      <c r="A18" s="5" t="s">
        <v>18</v>
      </c>
      <c r="B18" s="17" t="str">
        <f ca="1">IFERROR(__xludf.DUMMYFUNCTION("""COMPUTED_VALUE"""),"No")</f>
        <v>No</v>
      </c>
      <c r="C18" s="17" t="str">
        <f ca="1">IFERROR(__xludf.DUMMYFUNCTION("""COMPUTED_VALUE"""),"I don't know because it has a domain of unknown function; so it is hard to tell what needs to be conserved.")</f>
        <v>I don't know because it has a domain of unknown function; so it is hard to tell what needs to be conserved.</v>
      </c>
      <c r="D18" s="6"/>
    </row>
    <row r="19" spans="1:4" ht="15.75" customHeight="1" x14ac:dyDescent="0.15">
      <c r="A19" s="5" t="s">
        <v>19</v>
      </c>
      <c r="B19" s="17" t="str">
        <f ca="1">IFERROR(__xludf.DUMMYFUNCTION("""COMPUTED_VALUE"""),"None")</f>
        <v>None</v>
      </c>
      <c r="C19" s="17" t="str">
        <f ca="1">IFERROR(__xludf.DUMMYFUNCTION("""COMPUTED_VALUE"""),"None")</f>
        <v>None</v>
      </c>
      <c r="D19" s="6"/>
    </row>
    <row r="20" spans="1:4" ht="15.75" customHeight="1" x14ac:dyDescent="0.15">
      <c r="A20" s="5" t="s">
        <v>20</v>
      </c>
      <c r="B20" s="17" t="str">
        <f ca="1">IFERROR(__xludf.DUMMYFUNCTION("""COMPUTED_VALUE"""),"Hypothetical Protein")</f>
        <v>Hypothetical Protein</v>
      </c>
      <c r="C20" s="17" t="str">
        <f ca="1">IFERROR(__xludf.DUMMYFUNCTION("""COMPUTED_VALUE"""),"Hypothetical Protein")</f>
        <v>Hypothetical Protein</v>
      </c>
      <c r="D20" s="6"/>
    </row>
    <row r="21" spans="1:4" x14ac:dyDescent="0.2">
      <c r="A21" s="7"/>
      <c r="B21" s="19"/>
      <c r="C21" s="19"/>
      <c r="D21" s="8"/>
    </row>
    <row r="22" spans="1:4" ht="15.75" customHeight="1" x14ac:dyDescent="0.15">
      <c r="A22" s="9" t="s">
        <v>21</v>
      </c>
      <c r="B22" s="19"/>
      <c r="C22" s="19"/>
      <c r="D22" s="8"/>
    </row>
    <row r="23" spans="1:4" ht="15.75" customHeight="1" x14ac:dyDescent="0.15">
      <c r="A23" s="10"/>
      <c r="B23" s="13"/>
      <c r="C23" s="13"/>
    </row>
    <row r="24" spans="1:4" ht="15.75" customHeight="1" x14ac:dyDescent="0.15">
      <c r="A24" s="10"/>
      <c r="B24" s="13"/>
      <c r="C24" s="13"/>
    </row>
    <row r="25" spans="1:4" ht="15.75" customHeight="1" x14ac:dyDescent="0.15">
      <c r="A25" s="10"/>
      <c r="B25" s="13"/>
      <c r="C25" s="13"/>
    </row>
    <row r="26" spans="1:4" ht="15.75" customHeight="1" x14ac:dyDescent="0.15">
      <c r="A26" s="10"/>
      <c r="B26" s="13"/>
      <c r="C26" s="13"/>
    </row>
    <row r="27" spans="1:4" ht="15.75" customHeight="1" x14ac:dyDescent="0.15">
      <c r="A27" s="10"/>
      <c r="B27" s="13"/>
      <c r="C27" s="13"/>
    </row>
    <row r="28" spans="1:4" ht="15.75" customHeight="1" x14ac:dyDescent="0.15">
      <c r="A28" s="10"/>
      <c r="B28" s="13"/>
      <c r="C28" s="13"/>
    </row>
    <row r="29" spans="1:4" ht="15.75" customHeight="1" x14ac:dyDescent="0.15">
      <c r="A29" s="10"/>
      <c r="B29" s="13"/>
      <c r="C29" s="13"/>
    </row>
    <row r="30" spans="1:4" ht="15.75" customHeight="1" x14ac:dyDescent="0.15">
      <c r="A30" s="10"/>
      <c r="B30" s="13"/>
      <c r="C30" s="13"/>
    </row>
    <row r="31" spans="1:4" ht="15.75" customHeight="1" x14ac:dyDescent="0.15">
      <c r="A31" s="10"/>
      <c r="B31" s="13"/>
      <c r="C31" s="13"/>
    </row>
    <row r="32" spans="1:4" ht="15.75" customHeight="1" x14ac:dyDescent="0.15">
      <c r="A32" s="10"/>
      <c r="B32" s="13"/>
      <c r="C32" s="13"/>
    </row>
    <row r="33" spans="1:3" ht="15.75" customHeight="1" x14ac:dyDescent="0.15">
      <c r="A33" s="10"/>
      <c r="B33" s="13"/>
      <c r="C33" s="13"/>
    </row>
    <row r="34" spans="1:3" ht="15.75" customHeight="1" x14ac:dyDescent="0.15">
      <c r="A34" s="10"/>
      <c r="B34" s="13"/>
      <c r="C34" s="13"/>
    </row>
    <row r="35" spans="1:3" ht="15.75" customHeight="1" x14ac:dyDescent="0.15">
      <c r="A35" s="10"/>
      <c r="B35" s="13"/>
      <c r="C35" s="13"/>
    </row>
    <row r="36" spans="1:3" ht="15.75" customHeight="1" x14ac:dyDescent="0.15">
      <c r="A36" s="10"/>
      <c r="B36" s="13"/>
      <c r="C36" s="13"/>
    </row>
    <row r="37" spans="1:3" ht="15.75" customHeight="1" x14ac:dyDescent="0.15">
      <c r="A37" s="10"/>
      <c r="B37" s="13"/>
      <c r="C37" s="13"/>
    </row>
    <row r="38" spans="1:3" ht="15.75" customHeight="1" x14ac:dyDescent="0.15">
      <c r="A38" s="10"/>
      <c r="B38" s="13"/>
      <c r="C38" s="13"/>
    </row>
    <row r="39" spans="1:3" ht="13" x14ac:dyDescent="0.15">
      <c r="A39" s="10"/>
      <c r="B39" s="13"/>
      <c r="C39" s="13"/>
    </row>
    <row r="40" spans="1:3" ht="13" x14ac:dyDescent="0.15">
      <c r="A40" s="10"/>
      <c r="B40" s="13"/>
      <c r="C40" s="13"/>
    </row>
    <row r="41" spans="1:3" ht="13" x14ac:dyDescent="0.15">
      <c r="A41" s="10"/>
      <c r="B41" s="13"/>
      <c r="C41" s="13"/>
    </row>
    <row r="42" spans="1:3" ht="13" x14ac:dyDescent="0.15">
      <c r="A42" s="10"/>
      <c r="B42" s="13"/>
      <c r="C42" s="13"/>
    </row>
    <row r="43" spans="1:3" ht="13" x14ac:dyDescent="0.15">
      <c r="A43" s="10"/>
      <c r="B43" s="13"/>
      <c r="C43" s="13"/>
    </row>
    <row r="44" spans="1:3" ht="13" x14ac:dyDescent="0.15">
      <c r="A44" s="10"/>
      <c r="B44" s="13"/>
      <c r="C44" s="13"/>
    </row>
    <row r="45" spans="1:3" ht="13" x14ac:dyDescent="0.15">
      <c r="A45" s="10"/>
      <c r="B45" s="13"/>
      <c r="C45" s="13"/>
    </row>
    <row r="46" spans="1:3" ht="13" x14ac:dyDescent="0.15">
      <c r="A46" s="10"/>
      <c r="B46" s="13"/>
      <c r="C46" s="13"/>
    </row>
    <row r="47" spans="1:3" ht="13" x14ac:dyDescent="0.15">
      <c r="A47" s="10"/>
      <c r="B47" s="13"/>
      <c r="C47" s="13"/>
    </row>
    <row r="48" spans="1:3" ht="13" x14ac:dyDescent="0.15">
      <c r="A48" s="10"/>
      <c r="B48" s="13"/>
      <c r="C48" s="13"/>
    </row>
    <row r="49" spans="1:3" ht="13" x14ac:dyDescent="0.15">
      <c r="A49" s="10"/>
      <c r="B49" s="13"/>
      <c r="C49" s="13"/>
    </row>
    <row r="50" spans="1:3" ht="13" x14ac:dyDescent="0.15">
      <c r="A50" s="10"/>
      <c r="B50" s="13"/>
      <c r="C50" s="13"/>
    </row>
    <row r="51" spans="1:3" ht="13" x14ac:dyDescent="0.15">
      <c r="A51" s="10"/>
      <c r="B51" s="13"/>
      <c r="C51" s="13"/>
    </row>
    <row r="52" spans="1:3" ht="13" x14ac:dyDescent="0.15">
      <c r="A52" s="10"/>
      <c r="B52" s="13"/>
      <c r="C52" s="13"/>
    </row>
    <row r="53" spans="1:3" ht="13" x14ac:dyDescent="0.15">
      <c r="A53" s="10"/>
      <c r="B53" s="13"/>
      <c r="C53" s="13"/>
    </row>
    <row r="54" spans="1:3" ht="13" x14ac:dyDescent="0.15">
      <c r="A54" s="10"/>
      <c r="B54" s="13"/>
      <c r="C54" s="13"/>
    </row>
    <row r="55" spans="1:3" ht="13" x14ac:dyDescent="0.15">
      <c r="A55" s="10"/>
      <c r="B55" s="13"/>
      <c r="C55" s="13"/>
    </row>
    <row r="56" spans="1:3" ht="13" x14ac:dyDescent="0.15">
      <c r="A56" s="10"/>
      <c r="B56" s="13"/>
      <c r="C56" s="13"/>
    </row>
    <row r="57" spans="1:3" ht="13" x14ac:dyDescent="0.15">
      <c r="A57" s="10"/>
      <c r="B57" s="13"/>
      <c r="C57" s="13"/>
    </row>
    <row r="58" spans="1:3" ht="13" x14ac:dyDescent="0.15">
      <c r="A58" s="10"/>
      <c r="B58" s="13"/>
      <c r="C58" s="13"/>
    </row>
    <row r="59" spans="1:3" ht="13" x14ac:dyDescent="0.15">
      <c r="A59" s="10"/>
      <c r="B59" s="13"/>
      <c r="C59" s="13"/>
    </row>
    <row r="60" spans="1:3" ht="13" x14ac:dyDescent="0.15">
      <c r="A60" s="10"/>
      <c r="B60" s="13"/>
      <c r="C60" s="13"/>
    </row>
    <row r="61" spans="1:3" ht="13" x14ac:dyDescent="0.15">
      <c r="A61" s="10"/>
      <c r="B61" s="13"/>
      <c r="C61" s="13"/>
    </row>
    <row r="62" spans="1:3" ht="13" x14ac:dyDescent="0.15">
      <c r="A62" s="10"/>
      <c r="B62" s="13"/>
      <c r="C62" s="13"/>
    </row>
    <row r="63" spans="1:3" ht="13" x14ac:dyDescent="0.15">
      <c r="A63" s="10"/>
      <c r="B63" s="13"/>
      <c r="C63" s="13"/>
    </row>
    <row r="64" spans="1:3" ht="13" x14ac:dyDescent="0.15">
      <c r="A64" s="10"/>
      <c r="B64" s="13"/>
      <c r="C64" s="13"/>
    </row>
    <row r="65" spans="1:3" ht="13" x14ac:dyDescent="0.15">
      <c r="A65" s="10"/>
      <c r="B65" s="13"/>
      <c r="C65" s="13"/>
    </row>
    <row r="66" spans="1:3" ht="13" x14ac:dyDescent="0.15">
      <c r="A66" s="10"/>
      <c r="B66" s="13"/>
      <c r="C66" s="13"/>
    </row>
    <row r="67" spans="1:3" ht="13" x14ac:dyDescent="0.15">
      <c r="A67" s="10"/>
      <c r="B67" s="13"/>
      <c r="C67" s="13"/>
    </row>
    <row r="68" spans="1:3" ht="13" x14ac:dyDescent="0.15">
      <c r="A68" s="10"/>
      <c r="B68" s="13"/>
      <c r="C68" s="13"/>
    </row>
    <row r="69" spans="1:3" ht="13" x14ac:dyDescent="0.15">
      <c r="A69" s="10"/>
      <c r="B69" s="13"/>
      <c r="C69" s="13"/>
    </row>
    <row r="70" spans="1:3" ht="13" x14ac:dyDescent="0.15">
      <c r="A70" s="10"/>
      <c r="B70" s="13"/>
      <c r="C70" s="13"/>
    </row>
    <row r="71" spans="1:3" ht="13" x14ac:dyDescent="0.15">
      <c r="A71" s="10"/>
      <c r="B71" s="13"/>
      <c r="C71" s="13"/>
    </row>
    <row r="72" spans="1:3" ht="13" x14ac:dyDescent="0.15">
      <c r="A72" s="10"/>
      <c r="B72" s="13"/>
      <c r="C72" s="13"/>
    </row>
    <row r="73" spans="1:3" ht="13" x14ac:dyDescent="0.15">
      <c r="A73" s="10"/>
      <c r="B73" s="13"/>
      <c r="C73" s="13"/>
    </row>
    <row r="74" spans="1:3" ht="13" x14ac:dyDescent="0.15">
      <c r="A74" s="10"/>
      <c r="B74" s="13"/>
      <c r="C74" s="13"/>
    </row>
    <row r="75" spans="1:3" ht="13" x14ac:dyDescent="0.15">
      <c r="A75" s="10"/>
      <c r="B75" s="13"/>
      <c r="C75" s="13"/>
    </row>
    <row r="76" spans="1:3" ht="13" x14ac:dyDescent="0.15">
      <c r="A76" s="10"/>
      <c r="B76" s="13"/>
      <c r="C76" s="13"/>
    </row>
    <row r="77" spans="1:3" ht="13" x14ac:dyDescent="0.15">
      <c r="A77" s="10"/>
      <c r="B77" s="13"/>
      <c r="C77" s="13"/>
    </row>
    <row r="78" spans="1:3" ht="13" x14ac:dyDescent="0.15">
      <c r="A78" s="10"/>
      <c r="B78" s="13"/>
      <c r="C78" s="13"/>
    </row>
    <row r="79" spans="1:3" ht="13" x14ac:dyDescent="0.15">
      <c r="A79" s="10"/>
      <c r="B79" s="13"/>
      <c r="C79" s="13"/>
    </row>
    <row r="80" spans="1:3" ht="13" x14ac:dyDescent="0.15">
      <c r="A80" s="10"/>
      <c r="B80" s="13"/>
      <c r="C80" s="13"/>
    </row>
    <row r="81" spans="1:3" ht="13" x14ac:dyDescent="0.15">
      <c r="A81" s="10"/>
      <c r="B81" s="13"/>
      <c r="C81" s="13"/>
    </row>
    <row r="82" spans="1:3" ht="13" x14ac:dyDescent="0.15">
      <c r="A82" s="10"/>
      <c r="B82" s="13"/>
      <c r="C82" s="13"/>
    </row>
    <row r="83" spans="1:3" ht="13" x14ac:dyDescent="0.15">
      <c r="A83" s="10"/>
      <c r="B83" s="13"/>
      <c r="C83" s="13"/>
    </row>
    <row r="84" spans="1:3" ht="13" x14ac:dyDescent="0.15">
      <c r="A84" s="10"/>
      <c r="B84" s="13"/>
      <c r="C84" s="13"/>
    </row>
    <row r="85" spans="1:3" ht="13" x14ac:dyDescent="0.15">
      <c r="A85" s="10"/>
      <c r="B85" s="13"/>
      <c r="C85" s="13"/>
    </row>
    <row r="86" spans="1:3" ht="13" x14ac:dyDescent="0.15">
      <c r="A86" s="10"/>
      <c r="B86" s="13"/>
      <c r="C86" s="13"/>
    </row>
    <row r="87" spans="1:3" ht="13" x14ac:dyDescent="0.15">
      <c r="A87" s="10"/>
      <c r="B87" s="13"/>
      <c r="C87" s="13"/>
    </row>
    <row r="88" spans="1:3" ht="13" x14ac:dyDescent="0.15">
      <c r="A88" s="10"/>
      <c r="B88" s="13"/>
      <c r="C88" s="13"/>
    </row>
    <row r="89" spans="1:3" ht="13" x14ac:dyDescent="0.15">
      <c r="A89" s="10"/>
      <c r="B89" s="13"/>
      <c r="C89" s="13"/>
    </row>
    <row r="90" spans="1:3" ht="13" x14ac:dyDescent="0.15">
      <c r="A90" s="10"/>
      <c r="B90" s="13"/>
      <c r="C90" s="13"/>
    </row>
    <row r="91" spans="1:3" ht="13" x14ac:dyDescent="0.15">
      <c r="A91" s="10"/>
      <c r="B91" s="13"/>
      <c r="C91" s="13"/>
    </row>
    <row r="92" spans="1:3" ht="13" x14ac:dyDescent="0.15">
      <c r="A92" s="10"/>
      <c r="B92" s="13"/>
      <c r="C92" s="13"/>
    </row>
    <row r="93" spans="1:3" ht="13" x14ac:dyDescent="0.15">
      <c r="A93" s="10"/>
      <c r="B93" s="13"/>
      <c r="C93" s="13"/>
    </row>
    <row r="94" spans="1:3" ht="13" x14ac:dyDescent="0.15">
      <c r="A94" s="10"/>
      <c r="B94" s="13"/>
      <c r="C94" s="13"/>
    </row>
    <row r="95" spans="1:3" ht="13" x14ac:dyDescent="0.15">
      <c r="A95" s="10"/>
      <c r="B95" s="13"/>
      <c r="C95" s="13"/>
    </row>
    <row r="96" spans="1:3" ht="13" x14ac:dyDescent="0.15">
      <c r="A96" s="10"/>
      <c r="B96" s="13"/>
      <c r="C96" s="13"/>
    </row>
    <row r="97" spans="1:3" ht="13" x14ac:dyDescent="0.15">
      <c r="A97" s="10"/>
      <c r="B97" s="13"/>
      <c r="C97" s="13"/>
    </row>
    <row r="98" spans="1:3" ht="13" x14ac:dyDescent="0.15">
      <c r="A98" s="10"/>
      <c r="B98" s="13"/>
      <c r="C98" s="13"/>
    </row>
    <row r="99" spans="1:3" ht="13" x14ac:dyDescent="0.15">
      <c r="A99" s="10"/>
      <c r="B99" s="13"/>
      <c r="C99" s="13"/>
    </row>
    <row r="100" spans="1:3" ht="13" x14ac:dyDescent="0.15">
      <c r="A100" s="10"/>
      <c r="B100" s="13"/>
      <c r="C100" s="13"/>
    </row>
    <row r="101" spans="1:3" ht="13" x14ac:dyDescent="0.15">
      <c r="A101" s="10"/>
      <c r="B101" s="13"/>
      <c r="C101" s="13"/>
    </row>
    <row r="102" spans="1:3" ht="13" x14ac:dyDescent="0.15">
      <c r="A102" s="10"/>
      <c r="B102" s="13"/>
      <c r="C102" s="13"/>
    </row>
    <row r="103" spans="1:3" ht="13" x14ac:dyDescent="0.15">
      <c r="A103" s="10"/>
      <c r="B103" s="13"/>
      <c r="C103" s="13"/>
    </row>
    <row r="104" spans="1:3" ht="13" x14ac:dyDescent="0.15">
      <c r="A104" s="10"/>
      <c r="B104" s="13"/>
      <c r="C104" s="13"/>
    </row>
    <row r="105" spans="1:3" ht="13" x14ac:dyDescent="0.15">
      <c r="A105" s="10"/>
      <c r="B105" s="13"/>
      <c r="C105" s="13"/>
    </row>
    <row r="106" spans="1:3" ht="13" x14ac:dyDescent="0.15">
      <c r="A106" s="10"/>
      <c r="B106" s="13"/>
      <c r="C106" s="13"/>
    </row>
    <row r="107" spans="1:3" ht="13" x14ac:dyDescent="0.15">
      <c r="A107" s="10"/>
      <c r="B107" s="13"/>
      <c r="C107" s="13"/>
    </row>
    <row r="108" spans="1:3" ht="13" x14ac:dyDescent="0.15">
      <c r="A108" s="10"/>
      <c r="B108" s="13"/>
      <c r="C108" s="13"/>
    </row>
    <row r="109" spans="1:3" ht="13" x14ac:dyDescent="0.15">
      <c r="A109" s="10"/>
      <c r="B109" s="13"/>
      <c r="C109" s="13"/>
    </row>
    <row r="110" spans="1:3" ht="13" x14ac:dyDescent="0.15">
      <c r="A110" s="10"/>
      <c r="B110" s="13"/>
      <c r="C110" s="13"/>
    </row>
    <row r="111" spans="1:3" ht="13" x14ac:dyDescent="0.15">
      <c r="A111" s="10"/>
      <c r="B111" s="13"/>
      <c r="C111" s="13"/>
    </row>
    <row r="112" spans="1:3" ht="13" x14ac:dyDescent="0.15">
      <c r="A112" s="10"/>
      <c r="B112" s="13"/>
      <c r="C112" s="13"/>
    </row>
    <row r="113" spans="1:3" ht="13" x14ac:dyDescent="0.15">
      <c r="A113" s="10"/>
      <c r="B113" s="13"/>
      <c r="C113" s="13"/>
    </row>
    <row r="114" spans="1:3" ht="13" x14ac:dyDescent="0.15">
      <c r="A114" s="10"/>
      <c r="B114" s="13"/>
      <c r="C114" s="13"/>
    </row>
    <row r="115" spans="1:3" ht="13" x14ac:dyDescent="0.15">
      <c r="A115" s="10"/>
      <c r="B115" s="13"/>
      <c r="C115" s="13"/>
    </row>
    <row r="116" spans="1:3" ht="13" x14ac:dyDescent="0.15">
      <c r="A116" s="10"/>
      <c r="B116" s="13"/>
      <c r="C116" s="13"/>
    </row>
    <row r="117" spans="1:3" ht="13" x14ac:dyDescent="0.15">
      <c r="A117" s="10"/>
      <c r="B117" s="13"/>
      <c r="C117" s="13"/>
    </row>
    <row r="118" spans="1:3" ht="13" x14ac:dyDescent="0.15">
      <c r="A118" s="10"/>
      <c r="B118" s="13"/>
      <c r="C118" s="13"/>
    </row>
    <row r="119" spans="1:3" ht="13" x14ac:dyDescent="0.15">
      <c r="A119" s="10"/>
      <c r="B119" s="13"/>
      <c r="C119" s="13"/>
    </row>
    <row r="120" spans="1:3" ht="13" x14ac:dyDescent="0.15">
      <c r="A120" s="10"/>
      <c r="B120" s="13"/>
      <c r="C120" s="13"/>
    </row>
    <row r="121" spans="1:3" ht="13" x14ac:dyDescent="0.15">
      <c r="A121" s="10"/>
      <c r="B121" s="13"/>
      <c r="C121" s="13"/>
    </row>
    <row r="122" spans="1:3" ht="13" x14ac:dyDescent="0.15">
      <c r="A122" s="10"/>
      <c r="B122" s="13"/>
      <c r="C122" s="13"/>
    </row>
    <row r="123" spans="1:3" ht="13" x14ac:dyDescent="0.15">
      <c r="A123" s="10"/>
      <c r="B123" s="13"/>
      <c r="C123" s="13"/>
    </row>
    <row r="124" spans="1:3" ht="13" x14ac:dyDescent="0.15">
      <c r="A124" s="10"/>
      <c r="B124" s="13"/>
      <c r="C124" s="13"/>
    </row>
    <row r="125" spans="1:3" ht="13" x14ac:dyDescent="0.15">
      <c r="A125" s="10"/>
      <c r="B125" s="13"/>
      <c r="C125" s="13"/>
    </row>
    <row r="126" spans="1:3" ht="13" x14ac:dyDescent="0.15">
      <c r="A126" s="10"/>
      <c r="B126" s="13"/>
      <c r="C126" s="13"/>
    </row>
    <row r="127" spans="1:3" ht="13" x14ac:dyDescent="0.15">
      <c r="A127" s="10"/>
      <c r="B127" s="13"/>
      <c r="C127" s="13"/>
    </row>
    <row r="128" spans="1:3" ht="13" x14ac:dyDescent="0.15">
      <c r="A128" s="10"/>
      <c r="B128" s="13"/>
      <c r="C128" s="13"/>
    </row>
    <row r="129" spans="1:3" ht="13" x14ac:dyDescent="0.15">
      <c r="A129" s="10"/>
      <c r="B129" s="13"/>
      <c r="C129" s="13"/>
    </row>
    <row r="130" spans="1:3" ht="13" x14ac:dyDescent="0.15">
      <c r="A130" s="10"/>
      <c r="B130" s="13"/>
      <c r="C130" s="13"/>
    </row>
    <row r="131" spans="1:3" ht="13" x14ac:dyDescent="0.15">
      <c r="A131" s="10"/>
      <c r="B131" s="13"/>
      <c r="C131" s="13"/>
    </row>
    <row r="132" spans="1:3" ht="13" x14ac:dyDescent="0.15">
      <c r="A132" s="10"/>
      <c r="B132" s="13"/>
      <c r="C132" s="13"/>
    </row>
    <row r="133" spans="1:3" ht="13" x14ac:dyDescent="0.15">
      <c r="A133" s="10"/>
      <c r="B133" s="13"/>
      <c r="C133" s="13"/>
    </row>
    <row r="134" spans="1:3" ht="13" x14ac:dyDescent="0.15">
      <c r="A134" s="10"/>
      <c r="B134" s="13"/>
      <c r="C134" s="13"/>
    </row>
    <row r="135" spans="1:3" ht="13" x14ac:dyDescent="0.15">
      <c r="A135" s="10"/>
      <c r="B135" s="13"/>
      <c r="C135" s="13"/>
    </row>
    <row r="136" spans="1:3" ht="13" x14ac:dyDescent="0.15">
      <c r="A136" s="10"/>
      <c r="B136" s="13"/>
      <c r="C136" s="13"/>
    </row>
    <row r="137" spans="1:3" ht="13" x14ac:dyDescent="0.15">
      <c r="A137" s="10"/>
      <c r="B137" s="13"/>
      <c r="C137" s="13"/>
    </row>
    <row r="138" spans="1:3" ht="13" x14ac:dyDescent="0.15">
      <c r="A138" s="10"/>
      <c r="B138" s="13"/>
      <c r="C138" s="13"/>
    </row>
    <row r="139" spans="1:3" ht="13" x14ac:dyDescent="0.15">
      <c r="A139" s="10"/>
      <c r="B139" s="13"/>
      <c r="C139" s="13"/>
    </row>
    <row r="140" spans="1:3" ht="13" x14ac:dyDescent="0.15">
      <c r="A140" s="10"/>
      <c r="B140" s="13"/>
      <c r="C140" s="13"/>
    </row>
    <row r="141" spans="1:3" ht="13" x14ac:dyDescent="0.15">
      <c r="A141" s="10"/>
      <c r="B141" s="13"/>
      <c r="C141" s="13"/>
    </row>
    <row r="142" spans="1:3" ht="13" x14ac:dyDescent="0.15">
      <c r="A142" s="10"/>
      <c r="B142" s="13"/>
      <c r="C142" s="13"/>
    </row>
    <row r="143" spans="1:3" ht="13" x14ac:dyDescent="0.15">
      <c r="A143" s="10"/>
      <c r="B143" s="13"/>
      <c r="C143" s="13"/>
    </row>
    <row r="144" spans="1:3" ht="13" x14ac:dyDescent="0.15">
      <c r="A144" s="10"/>
      <c r="B144" s="13"/>
      <c r="C144" s="13"/>
    </row>
    <row r="145" spans="1:3" ht="13" x14ac:dyDescent="0.15">
      <c r="A145" s="10"/>
      <c r="B145" s="13"/>
      <c r="C145" s="13"/>
    </row>
    <row r="146" spans="1:3" ht="13" x14ac:dyDescent="0.15">
      <c r="A146" s="10"/>
      <c r="B146" s="13"/>
      <c r="C146" s="13"/>
    </row>
    <row r="147" spans="1:3" ht="13" x14ac:dyDescent="0.15">
      <c r="A147" s="10"/>
      <c r="B147" s="13"/>
      <c r="C147" s="13"/>
    </row>
    <row r="148" spans="1:3" ht="13" x14ac:dyDescent="0.15">
      <c r="A148" s="10"/>
      <c r="B148" s="13"/>
      <c r="C148" s="13"/>
    </row>
    <row r="149" spans="1:3" ht="13" x14ac:dyDescent="0.15">
      <c r="A149" s="10"/>
      <c r="B149" s="13"/>
      <c r="C149" s="13"/>
    </row>
    <row r="150" spans="1:3" ht="13" x14ac:dyDescent="0.15">
      <c r="A150" s="10"/>
      <c r="B150" s="13"/>
      <c r="C150" s="13"/>
    </row>
    <row r="151" spans="1:3" ht="13" x14ac:dyDescent="0.15">
      <c r="A151" s="10"/>
      <c r="B151" s="13"/>
      <c r="C151" s="13"/>
    </row>
    <row r="152" spans="1:3" ht="13" x14ac:dyDescent="0.15">
      <c r="A152" s="10"/>
      <c r="B152" s="13"/>
      <c r="C152" s="13"/>
    </row>
    <row r="153" spans="1:3" ht="13" x14ac:dyDescent="0.15">
      <c r="A153" s="10"/>
      <c r="B153" s="13"/>
      <c r="C153" s="13"/>
    </row>
    <row r="154" spans="1:3" ht="13" x14ac:dyDescent="0.15">
      <c r="A154" s="10"/>
      <c r="B154" s="13"/>
      <c r="C154" s="13"/>
    </row>
    <row r="155" spans="1:3" ht="13" x14ac:dyDescent="0.15">
      <c r="A155" s="10"/>
      <c r="B155" s="13"/>
      <c r="C155" s="13"/>
    </row>
    <row r="156" spans="1:3" ht="13" x14ac:dyDescent="0.15">
      <c r="A156" s="10"/>
      <c r="B156" s="13"/>
      <c r="C156" s="13"/>
    </row>
    <row r="157" spans="1:3" ht="13" x14ac:dyDescent="0.15">
      <c r="A157" s="10"/>
      <c r="B157" s="13"/>
      <c r="C157" s="13"/>
    </row>
    <row r="158" spans="1:3" ht="13" x14ac:dyDescent="0.15">
      <c r="A158" s="10"/>
      <c r="B158" s="13"/>
      <c r="C158" s="13"/>
    </row>
    <row r="159" spans="1:3" ht="13" x14ac:dyDescent="0.15">
      <c r="A159" s="10"/>
      <c r="B159" s="13"/>
      <c r="C159" s="13"/>
    </row>
    <row r="160" spans="1:3" ht="13" x14ac:dyDescent="0.15">
      <c r="A160" s="10"/>
      <c r="B160" s="13"/>
      <c r="C160" s="13"/>
    </row>
    <row r="161" spans="1:3" ht="13" x14ac:dyDescent="0.15">
      <c r="A161" s="10"/>
      <c r="B161" s="13"/>
      <c r="C161" s="13"/>
    </row>
    <row r="162" spans="1:3" ht="13" x14ac:dyDescent="0.15">
      <c r="A162" s="10"/>
      <c r="B162" s="13"/>
      <c r="C162" s="13"/>
    </row>
    <row r="163" spans="1:3" ht="13" x14ac:dyDescent="0.15">
      <c r="A163" s="10"/>
      <c r="B163" s="13"/>
      <c r="C163" s="13"/>
    </row>
    <row r="164" spans="1:3" ht="13" x14ac:dyDescent="0.15">
      <c r="A164" s="10"/>
      <c r="B164" s="13"/>
      <c r="C164" s="13"/>
    </row>
    <row r="165" spans="1:3" ht="13" x14ac:dyDescent="0.15">
      <c r="A165" s="10"/>
      <c r="B165" s="13"/>
      <c r="C165" s="13"/>
    </row>
    <row r="166" spans="1:3" ht="13" x14ac:dyDescent="0.15">
      <c r="A166" s="10"/>
      <c r="B166" s="13"/>
      <c r="C166" s="13"/>
    </row>
    <row r="167" spans="1:3" ht="13" x14ac:dyDescent="0.15">
      <c r="A167" s="10"/>
      <c r="B167" s="13"/>
      <c r="C167" s="13"/>
    </row>
    <row r="168" spans="1:3" ht="13" x14ac:dyDescent="0.15">
      <c r="A168" s="10"/>
      <c r="B168" s="13"/>
      <c r="C168" s="13"/>
    </row>
    <row r="169" spans="1:3" ht="13" x14ac:dyDescent="0.15">
      <c r="A169" s="10"/>
      <c r="B169" s="13"/>
      <c r="C169" s="13"/>
    </row>
    <row r="170" spans="1:3" ht="13" x14ac:dyDescent="0.15">
      <c r="A170" s="10"/>
      <c r="B170" s="13"/>
      <c r="C170" s="13"/>
    </row>
    <row r="171" spans="1:3" ht="13" x14ac:dyDescent="0.15">
      <c r="A171" s="10"/>
      <c r="B171" s="13"/>
      <c r="C171" s="13"/>
    </row>
    <row r="172" spans="1:3" ht="13" x14ac:dyDescent="0.15">
      <c r="A172" s="10"/>
      <c r="B172" s="13"/>
      <c r="C172" s="13"/>
    </row>
    <row r="173" spans="1:3" ht="13" x14ac:dyDescent="0.15">
      <c r="A173" s="10"/>
      <c r="B173" s="13"/>
      <c r="C173" s="13"/>
    </row>
    <row r="174" spans="1:3" ht="13" x14ac:dyDescent="0.15">
      <c r="A174" s="10"/>
      <c r="B174" s="13"/>
      <c r="C174" s="13"/>
    </row>
    <row r="175" spans="1:3" ht="13" x14ac:dyDescent="0.15">
      <c r="A175" s="10"/>
      <c r="B175" s="13"/>
      <c r="C175" s="13"/>
    </row>
    <row r="176" spans="1:3" ht="13" x14ac:dyDescent="0.15">
      <c r="A176" s="10"/>
      <c r="B176" s="13"/>
      <c r="C176" s="13"/>
    </row>
    <row r="177" spans="1:3" ht="13" x14ac:dyDescent="0.15">
      <c r="A177" s="10"/>
      <c r="B177" s="13"/>
      <c r="C177" s="13"/>
    </row>
    <row r="178" spans="1:3" ht="13" x14ac:dyDescent="0.15">
      <c r="A178" s="10"/>
      <c r="B178" s="13"/>
      <c r="C178" s="13"/>
    </row>
    <row r="179" spans="1:3" ht="13" x14ac:dyDescent="0.15">
      <c r="A179" s="10"/>
      <c r="B179" s="13"/>
      <c r="C179" s="13"/>
    </row>
    <row r="180" spans="1:3" ht="13" x14ac:dyDescent="0.15">
      <c r="A180" s="10"/>
      <c r="B180" s="13"/>
      <c r="C180" s="13"/>
    </row>
    <row r="181" spans="1:3" ht="13" x14ac:dyDescent="0.15">
      <c r="A181" s="10"/>
      <c r="B181" s="13"/>
      <c r="C181" s="13"/>
    </row>
    <row r="182" spans="1:3" ht="13" x14ac:dyDescent="0.15">
      <c r="A182" s="10"/>
      <c r="B182" s="13"/>
      <c r="C182" s="13"/>
    </row>
    <row r="183" spans="1:3" ht="13" x14ac:dyDescent="0.15">
      <c r="A183" s="10"/>
      <c r="B183" s="13"/>
      <c r="C183" s="13"/>
    </row>
    <row r="184" spans="1:3" ht="13" x14ac:dyDescent="0.15">
      <c r="A184" s="10"/>
      <c r="B184" s="13"/>
      <c r="C184" s="13"/>
    </row>
    <row r="185" spans="1:3" ht="13" x14ac:dyDescent="0.15">
      <c r="A185" s="10"/>
      <c r="B185" s="13"/>
      <c r="C185" s="13"/>
    </row>
    <row r="186" spans="1:3" ht="13" x14ac:dyDescent="0.15">
      <c r="A186" s="10"/>
      <c r="B186" s="13"/>
      <c r="C186" s="13"/>
    </row>
    <row r="187" spans="1:3" ht="13" x14ac:dyDescent="0.15">
      <c r="A187" s="10"/>
      <c r="B187" s="13"/>
      <c r="C187" s="13"/>
    </row>
    <row r="188" spans="1:3" ht="13" x14ac:dyDescent="0.15">
      <c r="A188" s="10"/>
      <c r="B188" s="13"/>
      <c r="C188" s="13"/>
    </row>
    <row r="189" spans="1:3" ht="13" x14ac:dyDescent="0.15">
      <c r="A189" s="10"/>
      <c r="B189" s="13"/>
      <c r="C189" s="13"/>
    </row>
    <row r="190" spans="1:3" ht="13" x14ac:dyDescent="0.15">
      <c r="A190" s="10"/>
      <c r="B190" s="13"/>
      <c r="C190" s="13"/>
    </row>
    <row r="191" spans="1:3" ht="13" x14ac:dyDescent="0.15">
      <c r="A191" s="10"/>
      <c r="B191" s="13"/>
      <c r="C191" s="13"/>
    </row>
    <row r="192" spans="1:3" ht="13" x14ac:dyDescent="0.15">
      <c r="A192" s="10"/>
      <c r="B192" s="13"/>
      <c r="C192" s="13"/>
    </row>
    <row r="193" spans="1:3" ht="13" x14ac:dyDescent="0.15">
      <c r="A193" s="10"/>
      <c r="B193" s="13"/>
      <c r="C193" s="13"/>
    </row>
    <row r="194" spans="1:3" ht="13" x14ac:dyDescent="0.15">
      <c r="A194" s="10"/>
      <c r="B194" s="13"/>
      <c r="C194" s="13"/>
    </row>
    <row r="195" spans="1:3" ht="13" x14ac:dyDescent="0.15">
      <c r="A195" s="10"/>
      <c r="B195" s="13"/>
      <c r="C195" s="13"/>
    </row>
    <row r="196" spans="1:3" ht="13" x14ac:dyDescent="0.15">
      <c r="A196" s="10"/>
      <c r="B196" s="13"/>
      <c r="C196" s="13"/>
    </row>
    <row r="197" spans="1:3" ht="13" x14ac:dyDescent="0.15">
      <c r="A197" s="10"/>
      <c r="B197" s="13"/>
      <c r="C197" s="13"/>
    </row>
    <row r="198" spans="1:3" ht="13" x14ac:dyDescent="0.15">
      <c r="A198" s="10"/>
      <c r="B198" s="13"/>
      <c r="C198" s="13"/>
    </row>
    <row r="199" spans="1:3" ht="13" x14ac:dyDescent="0.15">
      <c r="A199" s="10"/>
      <c r="B199" s="13"/>
      <c r="C199" s="13"/>
    </row>
    <row r="200" spans="1:3" ht="13" x14ac:dyDescent="0.15">
      <c r="A200" s="10"/>
      <c r="B200" s="13"/>
      <c r="C200" s="13"/>
    </row>
    <row r="201" spans="1:3" ht="13" x14ac:dyDescent="0.15">
      <c r="A201" s="10"/>
      <c r="B201" s="13"/>
      <c r="C201" s="13"/>
    </row>
    <row r="202" spans="1:3" ht="13" x14ac:dyDescent="0.15">
      <c r="A202" s="10"/>
      <c r="B202" s="13"/>
      <c r="C202" s="13"/>
    </row>
    <row r="203" spans="1:3" ht="13" x14ac:dyDescent="0.15">
      <c r="A203" s="10"/>
      <c r="B203" s="13"/>
      <c r="C203" s="13"/>
    </row>
    <row r="204" spans="1:3" ht="13" x14ac:dyDescent="0.15">
      <c r="A204" s="10"/>
      <c r="B204" s="13"/>
      <c r="C204" s="13"/>
    </row>
    <row r="205" spans="1:3" ht="13" x14ac:dyDescent="0.15">
      <c r="A205" s="10"/>
      <c r="B205" s="13"/>
      <c r="C205" s="13"/>
    </row>
    <row r="206" spans="1:3" ht="13" x14ac:dyDescent="0.15">
      <c r="A206" s="10"/>
      <c r="B206" s="13"/>
      <c r="C206" s="13"/>
    </row>
    <row r="207" spans="1:3" ht="13" x14ac:dyDescent="0.15">
      <c r="A207" s="10"/>
      <c r="B207" s="13"/>
      <c r="C207" s="13"/>
    </row>
    <row r="208" spans="1:3" ht="13" x14ac:dyDescent="0.15">
      <c r="A208" s="10"/>
      <c r="B208" s="13"/>
      <c r="C208" s="13"/>
    </row>
    <row r="209" spans="1:3" ht="13" x14ac:dyDescent="0.15">
      <c r="A209" s="10"/>
      <c r="B209" s="13"/>
      <c r="C209" s="13"/>
    </row>
    <row r="210" spans="1:3" ht="13" x14ac:dyDescent="0.15">
      <c r="A210" s="10"/>
      <c r="B210" s="13"/>
      <c r="C210" s="13"/>
    </row>
    <row r="211" spans="1:3" ht="13" x14ac:dyDescent="0.15">
      <c r="A211" s="10"/>
      <c r="B211" s="13"/>
      <c r="C211" s="13"/>
    </row>
    <row r="212" spans="1:3" ht="13" x14ac:dyDescent="0.15">
      <c r="A212" s="10"/>
      <c r="B212" s="13"/>
      <c r="C212" s="13"/>
    </row>
    <row r="213" spans="1:3" ht="13" x14ac:dyDescent="0.15">
      <c r="A213" s="10"/>
      <c r="B213" s="13"/>
      <c r="C213" s="13"/>
    </row>
    <row r="214" spans="1:3" ht="13" x14ac:dyDescent="0.15">
      <c r="A214" s="10"/>
      <c r="B214" s="13"/>
      <c r="C214" s="13"/>
    </row>
    <row r="215" spans="1:3" ht="13" x14ac:dyDescent="0.15">
      <c r="A215" s="10"/>
      <c r="B215" s="13"/>
      <c r="C215" s="13"/>
    </row>
    <row r="216" spans="1:3" ht="13" x14ac:dyDescent="0.15">
      <c r="A216" s="10"/>
      <c r="B216" s="13"/>
      <c r="C216" s="13"/>
    </row>
    <row r="217" spans="1:3" ht="13" x14ac:dyDescent="0.15">
      <c r="A217" s="10"/>
      <c r="B217" s="13"/>
      <c r="C217" s="13"/>
    </row>
    <row r="218" spans="1:3" ht="13" x14ac:dyDescent="0.15">
      <c r="A218" s="10"/>
      <c r="B218" s="13"/>
      <c r="C218" s="13"/>
    </row>
    <row r="219" spans="1:3" ht="13" x14ac:dyDescent="0.15">
      <c r="A219" s="10"/>
      <c r="B219" s="13"/>
      <c r="C219" s="13"/>
    </row>
    <row r="220" spans="1:3" ht="13" x14ac:dyDescent="0.15">
      <c r="A220" s="10"/>
      <c r="B220" s="13"/>
      <c r="C220" s="13"/>
    </row>
    <row r="221" spans="1:3" ht="13" x14ac:dyDescent="0.15">
      <c r="A221" s="10"/>
      <c r="B221" s="13"/>
      <c r="C221" s="13"/>
    </row>
    <row r="222" spans="1:3" ht="13" x14ac:dyDescent="0.15">
      <c r="A222" s="10"/>
      <c r="B222" s="13"/>
      <c r="C222" s="13"/>
    </row>
    <row r="223" spans="1:3" ht="13" x14ac:dyDescent="0.15">
      <c r="A223" s="10"/>
      <c r="B223" s="13"/>
      <c r="C223" s="13"/>
    </row>
    <row r="224" spans="1:3" ht="13" x14ac:dyDescent="0.15">
      <c r="A224" s="10"/>
      <c r="B224" s="13"/>
      <c r="C224" s="13"/>
    </row>
    <row r="225" spans="1:3" ht="13" x14ac:dyDescent="0.15">
      <c r="A225" s="10"/>
      <c r="B225" s="13"/>
      <c r="C225" s="13"/>
    </row>
    <row r="226" spans="1:3" ht="13" x14ac:dyDescent="0.15">
      <c r="A226" s="10"/>
      <c r="B226" s="13"/>
      <c r="C226" s="13"/>
    </row>
    <row r="227" spans="1:3" ht="13" x14ac:dyDescent="0.15">
      <c r="A227" s="10"/>
      <c r="B227" s="13"/>
      <c r="C227" s="13"/>
    </row>
    <row r="228" spans="1:3" ht="13" x14ac:dyDescent="0.15">
      <c r="A228" s="10"/>
      <c r="B228" s="13"/>
      <c r="C228" s="13"/>
    </row>
    <row r="229" spans="1:3" ht="13" x14ac:dyDescent="0.15">
      <c r="A229" s="10"/>
      <c r="B229" s="13"/>
      <c r="C229" s="13"/>
    </row>
    <row r="230" spans="1:3" ht="13" x14ac:dyDescent="0.15">
      <c r="A230" s="10"/>
      <c r="B230" s="13"/>
      <c r="C230" s="13"/>
    </row>
    <row r="231" spans="1:3" ht="13" x14ac:dyDescent="0.15">
      <c r="A231" s="10"/>
      <c r="B231" s="13"/>
      <c r="C231" s="13"/>
    </row>
    <row r="232" spans="1:3" ht="13" x14ac:dyDescent="0.15">
      <c r="A232" s="10"/>
      <c r="B232" s="13"/>
      <c r="C232" s="13"/>
    </row>
    <row r="233" spans="1:3" ht="13" x14ac:dyDescent="0.15">
      <c r="A233" s="10"/>
      <c r="B233" s="13"/>
      <c r="C233" s="13"/>
    </row>
    <row r="234" spans="1:3" ht="13" x14ac:dyDescent="0.15">
      <c r="A234" s="10"/>
      <c r="B234" s="13"/>
      <c r="C234" s="13"/>
    </row>
    <row r="235" spans="1:3" ht="13" x14ac:dyDescent="0.15">
      <c r="A235" s="10"/>
      <c r="B235" s="13"/>
      <c r="C235" s="13"/>
    </row>
    <row r="236" spans="1:3" ht="13" x14ac:dyDescent="0.15">
      <c r="A236" s="10"/>
      <c r="B236" s="13"/>
      <c r="C236" s="13"/>
    </row>
    <row r="237" spans="1:3" ht="13" x14ac:dyDescent="0.15">
      <c r="A237" s="10"/>
      <c r="B237" s="13"/>
      <c r="C237" s="13"/>
    </row>
    <row r="238" spans="1:3" ht="13" x14ac:dyDescent="0.15">
      <c r="A238" s="10"/>
      <c r="B238" s="13"/>
      <c r="C238" s="13"/>
    </row>
    <row r="239" spans="1:3" ht="13" x14ac:dyDescent="0.15">
      <c r="A239" s="10"/>
      <c r="B239" s="13"/>
      <c r="C239" s="13"/>
    </row>
    <row r="240" spans="1:3" ht="13" x14ac:dyDescent="0.15">
      <c r="A240" s="10"/>
      <c r="B240" s="13"/>
      <c r="C240" s="13"/>
    </row>
    <row r="241" spans="1:3" ht="13" x14ac:dyDescent="0.15">
      <c r="A241" s="10"/>
      <c r="B241" s="13"/>
      <c r="C241" s="13"/>
    </row>
    <row r="242" spans="1:3" ht="13" x14ac:dyDescent="0.15">
      <c r="A242" s="10"/>
      <c r="B242" s="13"/>
      <c r="C242" s="13"/>
    </row>
    <row r="243" spans="1:3" ht="13" x14ac:dyDescent="0.15">
      <c r="A243" s="10"/>
      <c r="B243" s="13"/>
      <c r="C243" s="13"/>
    </row>
    <row r="244" spans="1:3" ht="13" x14ac:dyDescent="0.15">
      <c r="A244" s="10"/>
      <c r="B244" s="13"/>
      <c r="C244" s="13"/>
    </row>
    <row r="245" spans="1:3" ht="13" x14ac:dyDescent="0.15">
      <c r="A245" s="10"/>
      <c r="B245" s="13"/>
      <c r="C245" s="13"/>
    </row>
    <row r="246" spans="1:3" ht="13" x14ac:dyDescent="0.15">
      <c r="A246" s="10"/>
      <c r="B246" s="13"/>
      <c r="C246" s="13"/>
    </row>
    <row r="247" spans="1:3" ht="13" x14ac:dyDescent="0.15">
      <c r="A247" s="10"/>
      <c r="B247" s="13"/>
      <c r="C247" s="13"/>
    </row>
    <row r="248" spans="1:3" ht="13" x14ac:dyDescent="0.15">
      <c r="A248" s="10"/>
      <c r="B248" s="13"/>
      <c r="C248" s="13"/>
    </row>
    <row r="249" spans="1:3" ht="13" x14ac:dyDescent="0.15">
      <c r="A249" s="10"/>
      <c r="B249" s="13"/>
      <c r="C249" s="13"/>
    </row>
    <row r="250" spans="1:3" ht="13" x14ac:dyDescent="0.15">
      <c r="A250" s="10"/>
      <c r="B250" s="13"/>
      <c r="C250" s="13"/>
    </row>
    <row r="251" spans="1:3" ht="13" x14ac:dyDescent="0.15">
      <c r="A251" s="10"/>
      <c r="B251" s="13"/>
      <c r="C251" s="13"/>
    </row>
    <row r="252" spans="1:3" ht="13" x14ac:dyDescent="0.15">
      <c r="A252" s="10"/>
      <c r="B252" s="13"/>
      <c r="C252" s="13"/>
    </row>
    <row r="253" spans="1:3" ht="13" x14ac:dyDescent="0.15">
      <c r="A253" s="10"/>
      <c r="B253" s="13"/>
      <c r="C253" s="13"/>
    </row>
    <row r="254" spans="1:3" ht="13" x14ac:dyDescent="0.15">
      <c r="A254" s="10"/>
      <c r="B254" s="13"/>
      <c r="C254" s="13"/>
    </row>
    <row r="255" spans="1:3" ht="13" x14ac:dyDescent="0.15">
      <c r="A255" s="10"/>
      <c r="B255" s="13"/>
      <c r="C255" s="13"/>
    </row>
    <row r="256" spans="1:3" ht="13" x14ac:dyDescent="0.15">
      <c r="A256" s="10"/>
      <c r="B256" s="13"/>
      <c r="C256" s="13"/>
    </row>
    <row r="257" spans="1:3" ht="13" x14ac:dyDescent="0.15">
      <c r="A257" s="10"/>
      <c r="B257" s="13"/>
      <c r="C257" s="13"/>
    </row>
    <row r="258" spans="1:3" ht="13" x14ac:dyDescent="0.15">
      <c r="A258" s="10"/>
      <c r="B258" s="13"/>
      <c r="C258" s="13"/>
    </row>
    <row r="259" spans="1:3" ht="13" x14ac:dyDescent="0.15">
      <c r="A259" s="10"/>
      <c r="B259" s="13"/>
      <c r="C259" s="13"/>
    </row>
    <row r="260" spans="1:3" ht="13" x14ac:dyDescent="0.15">
      <c r="A260" s="10"/>
      <c r="B260" s="13"/>
      <c r="C260" s="13"/>
    </row>
    <row r="261" spans="1:3" ht="13" x14ac:dyDescent="0.15">
      <c r="A261" s="10"/>
      <c r="B261" s="13"/>
      <c r="C261" s="13"/>
    </row>
    <row r="262" spans="1:3" ht="13" x14ac:dyDescent="0.15">
      <c r="A262" s="10"/>
      <c r="B262" s="13"/>
      <c r="C262" s="13"/>
    </row>
    <row r="263" spans="1:3" ht="13" x14ac:dyDescent="0.15">
      <c r="A263" s="10"/>
      <c r="B263" s="13"/>
      <c r="C263" s="13"/>
    </row>
    <row r="264" spans="1:3" ht="13" x14ac:dyDescent="0.15">
      <c r="A264" s="10"/>
      <c r="B264" s="13"/>
      <c r="C264" s="13"/>
    </row>
    <row r="265" spans="1:3" ht="13" x14ac:dyDescent="0.15">
      <c r="A265" s="10"/>
      <c r="B265" s="13"/>
      <c r="C265" s="13"/>
    </row>
    <row r="266" spans="1:3" ht="13" x14ac:dyDescent="0.15">
      <c r="A266" s="10"/>
      <c r="B266" s="13"/>
      <c r="C266" s="13"/>
    </row>
    <row r="267" spans="1:3" ht="13" x14ac:dyDescent="0.15">
      <c r="A267" s="10"/>
      <c r="B267" s="13"/>
      <c r="C267" s="13"/>
    </row>
    <row r="268" spans="1:3" ht="13" x14ac:dyDescent="0.15">
      <c r="A268" s="10"/>
      <c r="B268" s="13"/>
      <c r="C268" s="13"/>
    </row>
    <row r="269" spans="1:3" ht="13" x14ac:dyDescent="0.15">
      <c r="A269" s="10"/>
      <c r="B269" s="13"/>
      <c r="C269" s="13"/>
    </row>
    <row r="270" spans="1:3" ht="13" x14ac:dyDescent="0.15">
      <c r="A270" s="10"/>
      <c r="B270" s="13"/>
      <c r="C270" s="13"/>
    </row>
    <row r="271" spans="1:3" ht="13" x14ac:dyDescent="0.15">
      <c r="A271" s="10"/>
      <c r="B271" s="13"/>
      <c r="C271" s="13"/>
    </row>
    <row r="272" spans="1:3" ht="13" x14ac:dyDescent="0.15">
      <c r="A272" s="10"/>
      <c r="B272" s="13"/>
      <c r="C272" s="13"/>
    </row>
    <row r="273" spans="1:3" ht="13" x14ac:dyDescent="0.15">
      <c r="A273" s="10"/>
      <c r="B273" s="13"/>
      <c r="C273" s="13"/>
    </row>
    <row r="274" spans="1:3" ht="13" x14ac:dyDescent="0.15">
      <c r="A274" s="10"/>
      <c r="B274" s="13"/>
      <c r="C274" s="13"/>
    </row>
    <row r="275" spans="1:3" ht="13" x14ac:dyDescent="0.15">
      <c r="A275" s="10"/>
      <c r="B275" s="13"/>
      <c r="C275" s="13"/>
    </row>
    <row r="276" spans="1:3" ht="13" x14ac:dyDescent="0.15">
      <c r="A276" s="10"/>
      <c r="B276" s="13"/>
      <c r="C276" s="13"/>
    </row>
    <row r="277" spans="1:3" ht="13" x14ac:dyDescent="0.15">
      <c r="A277" s="10"/>
      <c r="B277" s="13"/>
      <c r="C277" s="13"/>
    </row>
    <row r="278" spans="1:3" ht="13" x14ac:dyDescent="0.15">
      <c r="A278" s="10"/>
      <c r="B278" s="13"/>
      <c r="C278" s="13"/>
    </row>
    <row r="279" spans="1:3" ht="13" x14ac:dyDescent="0.15">
      <c r="A279" s="10"/>
      <c r="B279" s="13"/>
      <c r="C279" s="13"/>
    </row>
    <row r="280" spans="1:3" ht="13" x14ac:dyDescent="0.15">
      <c r="A280" s="10"/>
      <c r="B280" s="13"/>
      <c r="C280" s="13"/>
    </row>
    <row r="281" spans="1:3" ht="13" x14ac:dyDescent="0.15">
      <c r="A281" s="10"/>
      <c r="B281" s="13"/>
      <c r="C281" s="13"/>
    </row>
    <row r="282" spans="1:3" ht="13" x14ac:dyDescent="0.15">
      <c r="A282" s="10"/>
      <c r="B282" s="13"/>
      <c r="C282" s="13"/>
    </row>
    <row r="283" spans="1:3" ht="13" x14ac:dyDescent="0.15">
      <c r="A283" s="10"/>
      <c r="B283" s="13"/>
      <c r="C283" s="13"/>
    </row>
    <row r="284" spans="1:3" ht="13" x14ac:dyDescent="0.15">
      <c r="A284" s="10"/>
      <c r="B284" s="13"/>
      <c r="C284" s="13"/>
    </row>
    <row r="285" spans="1:3" ht="13" x14ac:dyDescent="0.15">
      <c r="A285" s="10"/>
      <c r="B285" s="13"/>
      <c r="C285" s="13"/>
    </row>
    <row r="286" spans="1:3" ht="13" x14ac:dyDescent="0.15">
      <c r="A286" s="10"/>
      <c r="B286" s="13"/>
      <c r="C286" s="13"/>
    </row>
    <row r="287" spans="1:3" ht="13" x14ac:dyDescent="0.15">
      <c r="A287" s="10"/>
      <c r="B287" s="13"/>
      <c r="C287" s="13"/>
    </row>
    <row r="288" spans="1:3" ht="13" x14ac:dyDescent="0.15">
      <c r="A288" s="10"/>
      <c r="B288" s="13"/>
      <c r="C288" s="13"/>
    </row>
    <row r="289" spans="1:3" ht="13" x14ac:dyDescent="0.15">
      <c r="A289" s="10"/>
      <c r="B289" s="13"/>
      <c r="C289" s="13"/>
    </row>
    <row r="290" spans="1:3" ht="13" x14ac:dyDescent="0.15">
      <c r="A290" s="10"/>
      <c r="B290" s="13"/>
      <c r="C290" s="13"/>
    </row>
    <row r="291" spans="1:3" ht="13" x14ac:dyDescent="0.15">
      <c r="A291" s="10"/>
      <c r="B291" s="13"/>
      <c r="C291" s="13"/>
    </row>
    <row r="292" spans="1:3" ht="13" x14ac:dyDescent="0.15">
      <c r="A292" s="10"/>
      <c r="B292" s="13"/>
      <c r="C292" s="13"/>
    </row>
    <row r="293" spans="1:3" ht="13" x14ac:dyDescent="0.15">
      <c r="A293" s="10"/>
      <c r="B293" s="13"/>
      <c r="C293" s="13"/>
    </row>
    <row r="294" spans="1:3" ht="13" x14ac:dyDescent="0.15">
      <c r="A294" s="10"/>
      <c r="B294" s="13"/>
      <c r="C294" s="13"/>
    </row>
    <row r="295" spans="1:3" ht="13" x14ac:dyDescent="0.15">
      <c r="A295" s="10"/>
      <c r="B295" s="13"/>
      <c r="C295" s="13"/>
    </row>
    <row r="296" spans="1:3" ht="13" x14ac:dyDescent="0.15">
      <c r="A296" s="10"/>
      <c r="B296" s="13"/>
      <c r="C296" s="13"/>
    </row>
    <row r="297" spans="1:3" ht="13" x14ac:dyDescent="0.15">
      <c r="A297" s="10"/>
      <c r="B297" s="13"/>
      <c r="C297" s="13"/>
    </row>
    <row r="298" spans="1:3" ht="13" x14ac:dyDescent="0.15">
      <c r="A298" s="10"/>
      <c r="B298" s="13"/>
      <c r="C298" s="13"/>
    </row>
    <row r="299" spans="1:3" ht="13" x14ac:dyDescent="0.15">
      <c r="A299" s="10"/>
      <c r="B299" s="13"/>
      <c r="C299" s="13"/>
    </row>
    <row r="300" spans="1:3" ht="13" x14ac:dyDescent="0.15">
      <c r="A300" s="10"/>
      <c r="B300" s="13"/>
      <c r="C300" s="13"/>
    </row>
    <row r="301" spans="1:3" ht="13" x14ac:dyDescent="0.15">
      <c r="A301" s="10"/>
      <c r="B301" s="13"/>
      <c r="C301" s="13"/>
    </row>
    <row r="302" spans="1:3" ht="13" x14ac:dyDescent="0.15">
      <c r="A302" s="10"/>
      <c r="B302" s="13"/>
      <c r="C302" s="13"/>
    </row>
    <row r="303" spans="1:3" ht="13" x14ac:dyDescent="0.15">
      <c r="A303" s="10"/>
      <c r="B303" s="13"/>
      <c r="C303" s="13"/>
    </row>
    <row r="304" spans="1:3" ht="13" x14ac:dyDescent="0.15">
      <c r="A304" s="10"/>
      <c r="B304" s="13"/>
      <c r="C304" s="13"/>
    </row>
    <row r="305" spans="1:3" ht="13" x14ac:dyDescent="0.15">
      <c r="A305" s="10"/>
      <c r="B305" s="13"/>
      <c r="C305" s="13"/>
    </row>
    <row r="306" spans="1:3" ht="13" x14ac:dyDescent="0.15">
      <c r="A306" s="10"/>
      <c r="B306" s="13"/>
      <c r="C306" s="13"/>
    </row>
    <row r="307" spans="1:3" ht="13" x14ac:dyDescent="0.15">
      <c r="A307" s="10"/>
      <c r="B307" s="13"/>
      <c r="C307" s="13"/>
    </row>
    <row r="308" spans="1:3" ht="13" x14ac:dyDescent="0.15">
      <c r="A308" s="10"/>
      <c r="B308" s="13"/>
      <c r="C308" s="13"/>
    </row>
    <row r="309" spans="1:3" ht="13" x14ac:dyDescent="0.15">
      <c r="A309" s="10"/>
      <c r="B309" s="13"/>
      <c r="C309" s="13"/>
    </row>
    <row r="310" spans="1:3" ht="13" x14ac:dyDescent="0.15">
      <c r="A310" s="10"/>
      <c r="B310" s="13"/>
      <c r="C310" s="13"/>
    </row>
    <row r="311" spans="1:3" ht="13" x14ac:dyDescent="0.15">
      <c r="A311" s="10"/>
      <c r="B311" s="13"/>
      <c r="C311" s="13"/>
    </row>
    <row r="312" spans="1:3" ht="13" x14ac:dyDescent="0.15">
      <c r="A312" s="10"/>
      <c r="B312" s="13"/>
      <c r="C312" s="13"/>
    </row>
    <row r="313" spans="1:3" ht="13" x14ac:dyDescent="0.15">
      <c r="A313" s="10"/>
      <c r="B313" s="13"/>
      <c r="C313" s="13"/>
    </row>
    <row r="314" spans="1:3" ht="13" x14ac:dyDescent="0.15">
      <c r="A314" s="10"/>
      <c r="B314" s="13"/>
      <c r="C314" s="13"/>
    </row>
    <row r="315" spans="1:3" ht="13" x14ac:dyDescent="0.15">
      <c r="A315" s="10"/>
      <c r="B315" s="13"/>
      <c r="C315" s="13"/>
    </row>
    <row r="316" spans="1:3" ht="13" x14ac:dyDescent="0.15">
      <c r="A316" s="10"/>
      <c r="B316" s="13"/>
      <c r="C316" s="13"/>
    </row>
    <row r="317" spans="1:3" ht="13" x14ac:dyDescent="0.15">
      <c r="A317" s="10"/>
      <c r="B317" s="13"/>
      <c r="C317" s="13"/>
    </row>
    <row r="318" spans="1:3" ht="13" x14ac:dyDescent="0.15">
      <c r="A318" s="10"/>
      <c r="B318" s="13"/>
      <c r="C318" s="13"/>
    </row>
    <row r="319" spans="1:3" ht="13" x14ac:dyDescent="0.15">
      <c r="A319" s="10"/>
      <c r="B319" s="13"/>
      <c r="C319" s="13"/>
    </row>
    <row r="320" spans="1:3" ht="13" x14ac:dyDescent="0.15">
      <c r="A320" s="10"/>
      <c r="B320" s="13"/>
      <c r="C320" s="13"/>
    </row>
    <row r="321" spans="1:3" ht="13" x14ac:dyDescent="0.15">
      <c r="A321" s="10"/>
      <c r="B321" s="13"/>
      <c r="C321" s="13"/>
    </row>
    <row r="322" spans="1:3" ht="13" x14ac:dyDescent="0.15">
      <c r="A322" s="10"/>
      <c r="B322" s="13"/>
      <c r="C322" s="13"/>
    </row>
    <row r="323" spans="1:3" ht="13" x14ac:dyDescent="0.15">
      <c r="A323" s="10"/>
      <c r="B323" s="13"/>
      <c r="C323" s="13"/>
    </row>
    <row r="324" spans="1:3" ht="13" x14ac:dyDescent="0.15">
      <c r="A324" s="10"/>
      <c r="B324" s="13"/>
      <c r="C324" s="13"/>
    </row>
    <row r="325" spans="1:3" ht="13" x14ac:dyDescent="0.15">
      <c r="A325" s="10"/>
      <c r="B325" s="13"/>
      <c r="C325" s="13"/>
    </row>
    <row r="326" spans="1:3" ht="13" x14ac:dyDescent="0.15">
      <c r="A326" s="10"/>
      <c r="B326" s="13"/>
      <c r="C326" s="13"/>
    </row>
    <row r="327" spans="1:3" ht="13" x14ac:dyDescent="0.15">
      <c r="A327" s="10"/>
      <c r="B327" s="13"/>
      <c r="C327" s="13"/>
    </row>
    <row r="328" spans="1:3" ht="13" x14ac:dyDescent="0.15">
      <c r="A328" s="10"/>
      <c r="B328" s="13"/>
      <c r="C328" s="13"/>
    </row>
    <row r="329" spans="1:3" ht="13" x14ac:dyDescent="0.15">
      <c r="A329" s="10"/>
      <c r="B329" s="13"/>
      <c r="C329" s="13"/>
    </row>
    <row r="330" spans="1:3" ht="13" x14ac:dyDescent="0.15">
      <c r="A330" s="10"/>
      <c r="B330" s="13"/>
      <c r="C330" s="13"/>
    </row>
    <row r="331" spans="1:3" ht="13" x14ac:dyDescent="0.15">
      <c r="A331" s="10"/>
      <c r="B331" s="13"/>
      <c r="C331" s="13"/>
    </row>
    <row r="332" spans="1:3" ht="13" x14ac:dyDescent="0.15">
      <c r="A332" s="10"/>
      <c r="B332" s="13"/>
      <c r="C332" s="13"/>
    </row>
    <row r="333" spans="1:3" ht="13" x14ac:dyDescent="0.15">
      <c r="A333" s="10"/>
      <c r="B333" s="13"/>
      <c r="C333" s="13"/>
    </row>
    <row r="334" spans="1:3" ht="13" x14ac:dyDescent="0.15">
      <c r="A334" s="10"/>
      <c r="B334" s="13"/>
      <c r="C334" s="13"/>
    </row>
    <row r="335" spans="1:3" ht="13" x14ac:dyDescent="0.15">
      <c r="A335" s="10"/>
      <c r="B335" s="13"/>
      <c r="C335" s="13"/>
    </row>
    <row r="336" spans="1:3" ht="13" x14ac:dyDescent="0.15">
      <c r="A336" s="10"/>
      <c r="B336" s="13"/>
      <c r="C336" s="13"/>
    </row>
    <row r="337" spans="1:3" ht="13" x14ac:dyDescent="0.15">
      <c r="A337" s="10"/>
      <c r="B337" s="13"/>
      <c r="C337" s="13"/>
    </row>
    <row r="338" spans="1:3" ht="13" x14ac:dyDescent="0.15">
      <c r="A338" s="10"/>
      <c r="B338" s="13"/>
      <c r="C338" s="13"/>
    </row>
    <row r="339" spans="1:3" ht="13" x14ac:dyDescent="0.15">
      <c r="A339" s="10"/>
      <c r="B339" s="13"/>
      <c r="C339" s="13"/>
    </row>
    <row r="340" spans="1:3" ht="13" x14ac:dyDescent="0.15">
      <c r="A340" s="10"/>
      <c r="B340" s="13"/>
      <c r="C340" s="13"/>
    </row>
    <row r="341" spans="1:3" ht="13" x14ac:dyDescent="0.15">
      <c r="A341" s="10"/>
      <c r="B341" s="13"/>
      <c r="C341" s="13"/>
    </row>
    <row r="342" spans="1:3" ht="13" x14ac:dyDescent="0.15">
      <c r="A342" s="10"/>
      <c r="B342" s="13"/>
      <c r="C342" s="13"/>
    </row>
    <row r="343" spans="1:3" ht="13" x14ac:dyDescent="0.15">
      <c r="A343" s="10"/>
      <c r="B343" s="13"/>
      <c r="C343" s="13"/>
    </row>
    <row r="344" spans="1:3" ht="13" x14ac:dyDescent="0.15">
      <c r="A344" s="10"/>
      <c r="B344" s="13"/>
      <c r="C344" s="13"/>
    </row>
    <row r="345" spans="1:3" ht="13" x14ac:dyDescent="0.15">
      <c r="A345" s="10"/>
      <c r="B345" s="13"/>
      <c r="C345" s="13"/>
    </row>
    <row r="346" spans="1:3" ht="13" x14ac:dyDescent="0.15">
      <c r="A346" s="10"/>
      <c r="B346" s="13"/>
      <c r="C346" s="13"/>
    </row>
    <row r="347" spans="1:3" ht="13" x14ac:dyDescent="0.15">
      <c r="A347" s="10"/>
      <c r="B347" s="13"/>
      <c r="C347" s="13"/>
    </row>
    <row r="348" spans="1:3" ht="13" x14ac:dyDescent="0.15">
      <c r="A348" s="10"/>
      <c r="B348" s="13"/>
      <c r="C348" s="13"/>
    </row>
    <row r="349" spans="1:3" ht="13" x14ac:dyDescent="0.15">
      <c r="A349" s="10"/>
      <c r="B349" s="13"/>
      <c r="C349" s="13"/>
    </row>
    <row r="350" spans="1:3" ht="13" x14ac:dyDescent="0.15">
      <c r="A350" s="10"/>
      <c r="B350" s="13"/>
      <c r="C350" s="13"/>
    </row>
    <row r="351" spans="1:3" ht="13" x14ac:dyDescent="0.15">
      <c r="A351" s="10"/>
      <c r="B351" s="13"/>
      <c r="C351" s="13"/>
    </row>
    <row r="352" spans="1:3" ht="13" x14ac:dyDescent="0.15">
      <c r="A352" s="10"/>
      <c r="B352" s="13"/>
      <c r="C352" s="13"/>
    </row>
    <row r="353" spans="1:3" ht="13" x14ac:dyDescent="0.15">
      <c r="A353" s="10"/>
      <c r="B353" s="13"/>
      <c r="C353" s="13"/>
    </row>
    <row r="354" spans="1:3" ht="13" x14ac:dyDescent="0.15">
      <c r="A354" s="10"/>
      <c r="B354" s="13"/>
      <c r="C354" s="13"/>
    </row>
    <row r="355" spans="1:3" ht="13" x14ac:dyDescent="0.15">
      <c r="A355" s="10"/>
      <c r="B355" s="13"/>
      <c r="C355" s="13"/>
    </row>
    <row r="356" spans="1:3" ht="13" x14ac:dyDescent="0.15">
      <c r="A356" s="10"/>
      <c r="B356" s="13"/>
      <c r="C356" s="13"/>
    </row>
    <row r="357" spans="1:3" ht="13" x14ac:dyDescent="0.15">
      <c r="A357" s="10"/>
      <c r="B357" s="13"/>
      <c r="C357" s="13"/>
    </row>
    <row r="358" spans="1:3" ht="13" x14ac:dyDescent="0.15">
      <c r="A358" s="10"/>
      <c r="B358" s="13"/>
      <c r="C358" s="13"/>
    </row>
    <row r="359" spans="1:3" ht="13" x14ac:dyDescent="0.15">
      <c r="A359" s="10"/>
      <c r="B359" s="13"/>
      <c r="C359" s="13"/>
    </row>
    <row r="360" spans="1:3" ht="13" x14ac:dyDescent="0.15">
      <c r="A360" s="10"/>
      <c r="B360" s="13"/>
      <c r="C360" s="13"/>
    </row>
    <row r="361" spans="1:3" ht="13" x14ac:dyDescent="0.15">
      <c r="A361" s="10"/>
      <c r="B361" s="13"/>
      <c r="C361" s="13"/>
    </row>
    <row r="362" spans="1:3" ht="13" x14ac:dyDescent="0.15">
      <c r="A362" s="10"/>
      <c r="B362" s="13"/>
      <c r="C362" s="13"/>
    </row>
    <row r="363" spans="1:3" ht="13" x14ac:dyDescent="0.15">
      <c r="A363" s="10"/>
      <c r="B363" s="13"/>
      <c r="C363" s="13"/>
    </row>
    <row r="364" spans="1:3" ht="13" x14ac:dyDescent="0.15">
      <c r="A364" s="10"/>
      <c r="B364" s="13"/>
      <c r="C364" s="13"/>
    </row>
    <row r="365" spans="1:3" ht="13" x14ac:dyDescent="0.15">
      <c r="A365" s="10"/>
      <c r="B365" s="13"/>
      <c r="C365" s="13"/>
    </row>
    <row r="366" spans="1:3" ht="13" x14ac:dyDescent="0.15">
      <c r="A366" s="10"/>
      <c r="B366" s="13"/>
      <c r="C366" s="13"/>
    </row>
    <row r="367" spans="1:3" ht="13" x14ac:dyDescent="0.15">
      <c r="A367" s="10"/>
      <c r="B367" s="13"/>
      <c r="C367" s="13"/>
    </row>
    <row r="368" spans="1:3" ht="13" x14ac:dyDescent="0.15">
      <c r="A368" s="10"/>
      <c r="B368" s="13"/>
      <c r="C368" s="13"/>
    </row>
    <row r="369" spans="1:3" ht="13" x14ac:dyDescent="0.15">
      <c r="A369" s="10"/>
      <c r="B369" s="13"/>
      <c r="C369" s="13"/>
    </row>
    <row r="370" spans="1:3" ht="13" x14ac:dyDescent="0.15">
      <c r="A370" s="10"/>
      <c r="B370" s="13"/>
      <c r="C370" s="13"/>
    </row>
    <row r="371" spans="1:3" ht="13" x14ac:dyDescent="0.15">
      <c r="A371" s="10"/>
      <c r="B371" s="13"/>
      <c r="C371" s="13"/>
    </row>
    <row r="372" spans="1:3" ht="13" x14ac:dyDescent="0.15">
      <c r="A372" s="10"/>
      <c r="B372" s="13"/>
      <c r="C372" s="13"/>
    </row>
    <row r="373" spans="1:3" ht="13" x14ac:dyDescent="0.15">
      <c r="A373" s="10"/>
      <c r="B373" s="13"/>
      <c r="C373" s="13"/>
    </row>
    <row r="374" spans="1:3" ht="13" x14ac:dyDescent="0.15">
      <c r="A374" s="10"/>
      <c r="B374" s="13"/>
      <c r="C374" s="13"/>
    </row>
    <row r="375" spans="1:3" ht="13" x14ac:dyDescent="0.15">
      <c r="A375" s="10"/>
      <c r="B375" s="13"/>
      <c r="C375" s="13"/>
    </row>
    <row r="376" spans="1:3" ht="13" x14ac:dyDescent="0.15">
      <c r="A376" s="10"/>
      <c r="B376" s="13"/>
      <c r="C376" s="13"/>
    </row>
    <row r="377" spans="1:3" ht="13" x14ac:dyDescent="0.15">
      <c r="A377" s="10"/>
      <c r="B377" s="13"/>
      <c r="C377" s="13"/>
    </row>
    <row r="378" spans="1:3" ht="13" x14ac:dyDescent="0.15">
      <c r="A378" s="10"/>
      <c r="B378" s="13"/>
      <c r="C378" s="13"/>
    </row>
    <row r="379" spans="1:3" ht="13" x14ac:dyDescent="0.15">
      <c r="A379" s="10"/>
      <c r="B379" s="13"/>
      <c r="C379" s="13"/>
    </row>
    <row r="380" spans="1:3" ht="13" x14ac:dyDescent="0.15">
      <c r="A380" s="10"/>
      <c r="B380" s="13"/>
      <c r="C380" s="13"/>
    </row>
    <row r="381" spans="1:3" ht="13" x14ac:dyDescent="0.15">
      <c r="A381" s="10"/>
      <c r="B381" s="13"/>
      <c r="C381" s="13"/>
    </row>
    <row r="382" spans="1:3" ht="13" x14ac:dyDescent="0.15">
      <c r="A382" s="10"/>
      <c r="B382" s="13"/>
      <c r="C382" s="13"/>
    </row>
    <row r="383" spans="1:3" ht="13" x14ac:dyDescent="0.15">
      <c r="A383" s="10"/>
      <c r="B383" s="13"/>
      <c r="C383" s="13"/>
    </row>
    <row r="384" spans="1:3" ht="13" x14ac:dyDescent="0.15">
      <c r="A384" s="10"/>
      <c r="B384" s="13"/>
      <c r="C384" s="13"/>
    </row>
    <row r="385" spans="1:3" ht="13" x14ac:dyDescent="0.15">
      <c r="A385" s="10"/>
      <c r="B385" s="13"/>
      <c r="C385" s="13"/>
    </row>
    <row r="386" spans="1:3" ht="13" x14ac:dyDescent="0.15">
      <c r="A386" s="10"/>
      <c r="B386" s="13"/>
      <c r="C386" s="13"/>
    </row>
    <row r="387" spans="1:3" ht="13" x14ac:dyDescent="0.15">
      <c r="A387" s="10"/>
      <c r="B387" s="13"/>
      <c r="C387" s="13"/>
    </row>
    <row r="388" spans="1:3" ht="13" x14ac:dyDescent="0.15">
      <c r="A388" s="10"/>
      <c r="B388" s="13"/>
      <c r="C388" s="13"/>
    </row>
    <row r="389" spans="1:3" ht="13" x14ac:dyDescent="0.15">
      <c r="A389" s="10"/>
      <c r="B389" s="13"/>
      <c r="C389" s="13"/>
    </row>
    <row r="390" spans="1:3" ht="13" x14ac:dyDescent="0.15">
      <c r="A390" s="10"/>
      <c r="B390" s="13"/>
      <c r="C390" s="13"/>
    </row>
    <row r="391" spans="1:3" ht="13" x14ac:dyDescent="0.15">
      <c r="A391" s="10"/>
      <c r="B391" s="13"/>
      <c r="C391" s="13"/>
    </row>
    <row r="392" spans="1:3" ht="13" x14ac:dyDescent="0.15">
      <c r="A392" s="10"/>
      <c r="B392" s="13"/>
      <c r="C392" s="13"/>
    </row>
    <row r="393" spans="1:3" ht="13" x14ac:dyDescent="0.15">
      <c r="A393" s="10"/>
      <c r="B393" s="13"/>
      <c r="C393" s="13"/>
    </row>
    <row r="394" spans="1:3" ht="13" x14ac:dyDescent="0.15">
      <c r="A394" s="10"/>
      <c r="B394" s="13"/>
      <c r="C394" s="13"/>
    </row>
    <row r="395" spans="1:3" ht="13" x14ac:dyDescent="0.15">
      <c r="A395" s="10"/>
      <c r="B395" s="13"/>
      <c r="C395" s="13"/>
    </row>
    <row r="396" spans="1:3" ht="13" x14ac:dyDescent="0.15">
      <c r="A396" s="10"/>
      <c r="B396" s="13"/>
      <c r="C396" s="13"/>
    </row>
    <row r="397" spans="1:3" ht="13" x14ac:dyDescent="0.15">
      <c r="A397" s="10"/>
      <c r="B397" s="13"/>
      <c r="C397" s="13"/>
    </row>
    <row r="398" spans="1:3" ht="13" x14ac:dyDescent="0.15">
      <c r="A398" s="10"/>
      <c r="B398" s="13"/>
      <c r="C398" s="13"/>
    </row>
    <row r="399" spans="1:3" ht="13" x14ac:dyDescent="0.15">
      <c r="A399" s="10"/>
      <c r="B399" s="13"/>
      <c r="C399" s="13"/>
    </row>
    <row r="400" spans="1:3" ht="13" x14ac:dyDescent="0.15">
      <c r="A400" s="10"/>
      <c r="B400" s="13"/>
      <c r="C400" s="13"/>
    </row>
    <row r="401" spans="1:3" ht="13" x14ac:dyDescent="0.15">
      <c r="A401" s="10"/>
      <c r="B401" s="13"/>
      <c r="C401" s="13"/>
    </row>
    <row r="402" spans="1:3" ht="13" x14ac:dyDescent="0.15">
      <c r="A402" s="10"/>
      <c r="B402" s="13"/>
      <c r="C402" s="13"/>
    </row>
    <row r="403" spans="1:3" ht="13" x14ac:dyDescent="0.15">
      <c r="A403" s="10"/>
      <c r="B403" s="13"/>
      <c r="C403" s="13"/>
    </row>
    <row r="404" spans="1:3" ht="13" x14ac:dyDescent="0.15">
      <c r="A404" s="10"/>
      <c r="B404" s="13"/>
      <c r="C404" s="13"/>
    </row>
    <row r="405" spans="1:3" ht="13" x14ac:dyDescent="0.15">
      <c r="A405" s="10"/>
      <c r="B405" s="13"/>
      <c r="C405" s="13"/>
    </row>
    <row r="406" spans="1:3" ht="13" x14ac:dyDescent="0.15">
      <c r="A406" s="10"/>
      <c r="B406" s="13"/>
      <c r="C406" s="13"/>
    </row>
    <row r="407" spans="1:3" ht="13" x14ac:dyDescent="0.15">
      <c r="A407" s="10"/>
      <c r="B407" s="13"/>
      <c r="C407" s="13"/>
    </row>
    <row r="408" spans="1:3" ht="13" x14ac:dyDescent="0.15">
      <c r="A408" s="10"/>
      <c r="B408" s="13"/>
      <c r="C408" s="13"/>
    </row>
    <row r="409" spans="1:3" ht="13" x14ac:dyDescent="0.15">
      <c r="A409" s="10"/>
      <c r="B409" s="13"/>
      <c r="C409" s="13"/>
    </row>
    <row r="410" spans="1:3" ht="13" x14ac:dyDescent="0.15">
      <c r="A410" s="10"/>
      <c r="B410" s="13"/>
      <c r="C410" s="13"/>
    </row>
    <row r="411" spans="1:3" ht="13" x14ac:dyDescent="0.15">
      <c r="A411" s="10"/>
      <c r="B411" s="13"/>
      <c r="C411" s="13"/>
    </row>
    <row r="412" spans="1:3" ht="13" x14ac:dyDescent="0.15">
      <c r="A412" s="10"/>
      <c r="B412" s="13"/>
      <c r="C412" s="13"/>
    </row>
    <row r="413" spans="1:3" ht="13" x14ac:dyDescent="0.15">
      <c r="A413" s="10"/>
      <c r="B413" s="13"/>
      <c r="C413" s="13"/>
    </row>
    <row r="414" spans="1:3" ht="13" x14ac:dyDescent="0.15">
      <c r="A414" s="10"/>
      <c r="B414" s="13"/>
      <c r="C414" s="13"/>
    </row>
    <row r="415" spans="1:3" ht="13" x14ac:dyDescent="0.15">
      <c r="A415" s="10"/>
      <c r="B415" s="13"/>
      <c r="C415" s="13"/>
    </row>
    <row r="416" spans="1:3" ht="13" x14ac:dyDescent="0.15">
      <c r="A416" s="10"/>
      <c r="B416" s="13"/>
      <c r="C416" s="13"/>
    </row>
    <row r="417" spans="1:3" ht="13" x14ac:dyDescent="0.15">
      <c r="A417" s="10"/>
      <c r="B417" s="13"/>
      <c r="C417" s="13"/>
    </row>
    <row r="418" spans="1:3" ht="13" x14ac:dyDescent="0.15">
      <c r="A418" s="10"/>
      <c r="B418" s="13"/>
      <c r="C418" s="13"/>
    </row>
    <row r="419" spans="1:3" ht="13" x14ac:dyDescent="0.15">
      <c r="A419" s="10"/>
      <c r="B419" s="13"/>
      <c r="C419" s="13"/>
    </row>
    <row r="420" spans="1:3" ht="13" x14ac:dyDescent="0.15">
      <c r="A420" s="10"/>
      <c r="B420" s="13"/>
      <c r="C420" s="13"/>
    </row>
    <row r="421" spans="1:3" ht="13" x14ac:dyDescent="0.15">
      <c r="A421" s="10"/>
      <c r="B421" s="13"/>
      <c r="C421" s="13"/>
    </row>
    <row r="422" spans="1:3" ht="13" x14ac:dyDescent="0.15">
      <c r="A422" s="10"/>
      <c r="B422" s="13"/>
      <c r="C422" s="13"/>
    </row>
    <row r="423" spans="1:3" ht="13" x14ac:dyDescent="0.15">
      <c r="A423" s="10"/>
      <c r="B423" s="13"/>
      <c r="C423" s="13"/>
    </row>
    <row r="424" spans="1:3" ht="13" x14ac:dyDescent="0.15">
      <c r="A424" s="10"/>
      <c r="B424" s="13"/>
      <c r="C424" s="13"/>
    </row>
    <row r="425" spans="1:3" ht="13" x14ac:dyDescent="0.15">
      <c r="A425" s="10"/>
      <c r="B425" s="13"/>
      <c r="C425" s="13"/>
    </row>
    <row r="426" spans="1:3" ht="13" x14ac:dyDescent="0.15">
      <c r="A426" s="10"/>
      <c r="B426" s="13"/>
      <c r="C426" s="13"/>
    </row>
    <row r="427" spans="1:3" ht="13" x14ac:dyDescent="0.15">
      <c r="A427" s="10"/>
      <c r="B427" s="13"/>
      <c r="C427" s="13"/>
    </row>
    <row r="428" spans="1:3" ht="13" x14ac:dyDescent="0.15">
      <c r="A428" s="10"/>
      <c r="B428" s="13"/>
      <c r="C428" s="13"/>
    </row>
    <row r="429" spans="1:3" ht="13" x14ac:dyDescent="0.15">
      <c r="A429" s="10"/>
      <c r="B429" s="13"/>
      <c r="C429" s="13"/>
    </row>
    <row r="430" spans="1:3" ht="13" x14ac:dyDescent="0.15">
      <c r="A430" s="10"/>
      <c r="B430" s="13"/>
      <c r="C430" s="13"/>
    </row>
    <row r="431" spans="1:3" ht="13" x14ac:dyDescent="0.15">
      <c r="A431" s="10"/>
      <c r="B431" s="13"/>
      <c r="C431" s="13"/>
    </row>
    <row r="432" spans="1:3" ht="13" x14ac:dyDescent="0.15">
      <c r="A432" s="10"/>
      <c r="B432" s="13"/>
      <c r="C432" s="13"/>
    </row>
    <row r="433" spans="1:3" ht="13" x14ac:dyDescent="0.15">
      <c r="A433" s="10"/>
      <c r="B433" s="13"/>
      <c r="C433" s="13"/>
    </row>
    <row r="434" spans="1:3" ht="13" x14ac:dyDescent="0.15">
      <c r="A434" s="10"/>
      <c r="B434" s="13"/>
      <c r="C434" s="13"/>
    </row>
    <row r="435" spans="1:3" ht="13" x14ac:dyDescent="0.15">
      <c r="A435" s="10"/>
      <c r="B435" s="13"/>
      <c r="C435" s="13"/>
    </row>
    <row r="436" spans="1:3" ht="13" x14ac:dyDescent="0.15">
      <c r="A436" s="10"/>
      <c r="B436" s="13"/>
      <c r="C436" s="13"/>
    </row>
    <row r="437" spans="1:3" ht="13" x14ac:dyDescent="0.15">
      <c r="A437" s="10"/>
      <c r="B437" s="13"/>
      <c r="C437" s="13"/>
    </row>
    <row r="438" spans="1:3" ht="13" x14ac:dyDescent="0.15">
      <c r="A438" s="10"/>
      <c r="B438" s="13"/>
      <c r="C438" s="13"/>
    </row>
    <row r="439" spans="1:3" ht="13" x14ac:dyDescent="0.15">
      <c r="A439" s="10"/>
      <c r="B439" s="13"/>
      <c r="C439" s="13"/>
    </row>
    <row r="440" spans="1:3" ht="13" x14ac:dyDescent="0.15">
      <c r="A440" s="10"/>
      <c r="B440" s="13"/>
      <c r="C440" s="13"/>
    </row>
    <row r="441" spans="1:3" ht="13" x14ac:dyDescent="0.15">
      <c r="A441" s="10"/>
      <c r="B441" s="13"/>
      <c r="C441" s="13"/>
    </row>
    <row r="442" spans="1:3" ht="13" x14ac:dyDescent="0.15">
      <c r="A442" s="10"/>
      <c r="B442" s="13"/>
      <c r="C442" s="13"/>
    </row>
    <row r="443" spans="1:3" ht="13" x14ac:dyDescent="0.15">
      <c r="A443" s="10"/>
      <c r="B443" s="13"/>
      <c r="C443" s="13"/>
    </row>
    <row r="444" spans="1:3" ht="13" x14ac:dyDescent="0.15">
      <c r="A444" s="10"/>
      <c r="B444" s="13"/>
      <c r="C444" s="13"/>
    </row>
    <row r="445" spans="1:3" ht="13" x14ac:dyDescent="0.15">
      <c r="A445" s="10"/>
      <c r="B445" s="13"/>
      <c r="C445" s="13"/>
    </row>
    <row r="446" spans="1:3" ht="13" x14ac:dyDescent="0.15">
      <c r="A446" s="10"/>
      <c r="B446" s="13"/>
      <c r="C446" s="13"/>
    </row>
    <row r="447" spans="1:3" ht="13" x14ac:dyDescent="0.15">
      <c r="A447" s="10"/>
      <c r="B447" s="13"/>
      <c r="C447" s="13"/>
    </row>
    <row r="448" spans="1:3" ht="13" x14ac:dyDescent="0.15">
      <c r="A448" s="10"/>
      <c r="B448" s="13"/>
      <c r="C448" s="13"/>
    </row>
    <row r="449" spans="1:3" ht="13" x14ac:dyDescent="0.15">
      <c r="A449" s="10"/>
      <c r="B449" s="13"/>
      <c r="C449" s="13"/>
    </row>
    <row r="450" spans="1:3" ht="13" x14ac:dyDescent="0.15">
      <c r="A450" s="10"/>
      <c r="B450" s="13"/>
      <c r="C450" s="13"/>
    </row>
    <row r="451" spans="1:3" ht="13" x14ac:dyDescent="0.15">
      <c r="A451" s="10"/>
      <c r="B451" s="13"/>
      <c r="C451" s="13"/>
    </row>
    <row r="452" spans="1:3" ht="13" x14ac:dyDescent="0.15">
      <c r="A452" s="10"/>
      <c r="B452" s="13"/>
      <c r="C452" s="13"/>
    </row>
    <row r="453" spans="1:3" ht="13" x14ac:dyDescent="0.15">
      <c r="A453" s="10"/>
      <c r="B453" s="13"/>
      <c r="C453" s="13"/>
    </row>
    <row r="454" spans="1:3" ht="13" x14ac:dyDescent="0.15">
      <c r="A454" s="10"/>
      <c r="B454" s="13"/>
      <c r="C454" s="13"/>
    </row>
    <row r="455" spans="1:3" ht="13" x14ac:dyDescent="0.15">
      <c r="A455" s="10"/>
      <c r="B455" s="13"/>
      <c r="C455" s="13"/>
    </row>
    <row r="456" spans="1:3" ht="13" x14ac:dyDescent="0.15">
      <c r="A456" s="10"/>
      <c r="B456" s="13"/>
      <c r="C456" s="13"/>
    </row>
    <row r="457" spans="1:3" ht="13" x14ac:dyDescent="0.15">
      <c r="A457" s="10"/>
      <c r="B457" s="13"/>
      <c r="C457" s="13"/>
    </row>
    <row r="458" spans="1:3" ht="13" x14ac:dyDescent="0.15">
      <c r="A458" s="10"/>
      <c r="B458" s="13"/>
      <c r="C458" s="13"/>
    </row>
    <row r="459" spans="1:3" ht="13" x14ac:dyDescent="0.15">
      <c r="A459" s="10"/>
      <c r="B459" s="13"/>
      <c r="C459" s="13"/>
    </row>
    <row r="460" spans="1:3" ht="13" x14ac:dyDescent="0.15">
      <c r="A460" s="10"/>
      <c r="B460" s="13"/>
      <c r="C460" s="13"/>
    </row>
    <row r="461" spans="1:3" ht="13" x14ac:dyDescent="0.15">
      <c r="A461" s="10"/>
      <c r="B461" s="13"/>
      <c r="C461" s="13"/>
    </row>
    <row r="462" spans="1:3" ht="13" x14ac:dyDescent="0.15">
      <c r="A462" s="10"/>
      <c r="B462" s="13"/>
      <c r="C462" s="13"/>
    </row>
    <row r="463" spans="1:3" ht="13" x14ac:dyDescent="0.15">
      <c r="A463" s="10"/>
      <c r="B463" s="13"/>
      <c r="C463" s="13"/>
    </row>
    <row r="464" spans="1:3" ht="13" x14ac:dyDescent="0.15">
      <c r="A464" s="10"/>
      <c r="B464" s="13"/>
      <c r="C464" s="13"/>
    </row>
    <row r="465" spans="1:3" ht="13" x14ac:dyDescent="0.15">
      <c r="A465" s="10"/>
      <c r="B465" s="13"/>
      <c r="C465" s="13"/>
    </row>
    <row r="466" spans="1:3" ht="13" x14ac:dyDescent="0.15">
      <c r="A466" s="10"/>
      <c r="B466" s="13"/>
      <c r="C466" s="13"/>
    </row>
    <row r="467" spans="1:3" ht="13" x14ac:dyDescent="0.15">
      <c r="A467" s="10"/>
      <c r="B467" s="13"/>
      <c r="C467" s="13"/>
    </row>
    <row r="468" spans="1:3" ht="13" x14ac:dyDescent="0.15">
      <c r="A468" s="10"/>
      <c r="B468" s="13"/>
      <c r="C468" s="13"/>
    </row>
    <row r="469" spans="1:3" ht="13" x14ac:dyDescent="0.15">
      <c r="A469" s="10"/>
      <c r="B469" s="13"/>
      <c r="C469" s="13"/>
    </row>
    <row r="470" spans="1:3" ht="13" x14ac:dyDescent="0.15">
      <c r="A470" s="10"/>
      <c r="B470" s="13"/>
      <c r="C470" s="13"/>
    </row>
    <row r="471" spans="1:3" ht="13" x14ac:dyDescent="0.15">
      <c r="A471" s="10"/>
      <c r="B471" s="13"/>
      <c r="C471" s="13"/>
    </row>
    <row r="472" spans="1:3" ht="13" x14ac:dyDescent="0.15">
      <c r="A472" s="10"/>
      <c r="B472" s="13"/>
      <c r="C472" s="13"/>
    </row>
    <row r="473" spans="1:3" ht="13" x14ac:dyDescent="0.15">
      <c r="A473" s="10"/>
      <c r="B473" s="13"/>
      <c r="C473" s="13"/>
    </row>
    <row r="474" spans="1:3" ht="13" x14ac:dyDescent="0.15">
      <c r="A474" s="10"/>
      <c r="B474" s="13"/>
      <c r="C474" s="13"/>
    </row>
    <row r="475" spans="1:3" ht="13" x14ac:dyDescent="0.15">
      <c r="A475" s="10"/>
      <c r="B475" s="13"/>
      <c r="C475" s="13"/>
    </row>
    <row r="476" spans="1:3" ht="13" x14ac:dyDescent="0.15">
      <c r="A476" s="10"/>
      <c r="B476" s="13"/>
      <c r="C476" s="13"/>
    </row>
    <row r="477" spans="1:3" ht="13" x14ac:dyDescent="0.15">
      <c r="A477" s="10"/>
      <c r="B477" s="13"/>
      <c r="C477" s="13"/>
    </row>
    <row r="478" spans="1:3" ht="13" x14ac:dyDescent="0.15">
      <c r="A478" s="10"/>
      <c r="B478" s="13"/>
      <c r="C478" s="13"/>
    </row>
    <row r="479" spans="1:3" ht="13" x14ac:dyDescent="0.15">
      <c r="A479" s="10"/>
      <c r="B479" s="13"/>
      <c r="C479" s="13"/>
    </row>
    <row r="480" spans="1:3" ht="13" x14ac:dyDescent="0.15">
      <c r="A480" s="10"/>
      <c r="B480" s="13"/>
      <c r="C480" s="13"/>
    </row>
    <row r="481" spans="1:3" ht="13" x14ac:dyDescent="0.15">
      <c r="A481" s="10"/>
      <c r="B481" s="13"/>
      <c r="C481" s="13"/>
    </row>
    <row r="482" spans="1:3" ht="13" x14ac:dyDescent="0.15">
      <c r="A482" s="10"/>
      <c r="B482" s="13"/>
      <c r="C482" s="13"/>
    </row>
    <row r="483" spans="1:3" ht="13" x14ac:dyDescent="0.15">
      <c r="A483" s="10"/>
      <c r="B483" s="13"/>
      <c r="C483" s="13"/>
    </row>
    <row r="484" spans="1:3" ht="13" x14ac:dyDescent="0.15">
      <c r="A484" s="10"/>
      <c r="B484" s="13"/>
      <c r="C484" s="13"/>
    </row>
    <row r="485" spans="1:3" ht="13" x14ac:dyDescent="0.15">
      <c r="A485" s="10"/>
      <c r="B485" s="13"/>
      <c r="C485" s="13"/>
    </row>
    <row r="486" spans="1:3" ht="13" x14ac:dyDescent="0.15">
      <c r="A486" s="10"/>
      <c r="B486" s="13"/>
      <c r="C486" s="13"/>
    </row>
    <row r="487" spans="1:3" ht="13" x14ac:dyDescent="0.15">
      <c r="A487" s="10"/>
      <c r="B487" s="13"/>
      <c r="C487" s="13"/>
    </row>
    <row r="488" spans="1:3" ht="13" x14ac:dyDescent="0.15">
      <c r="A488" s="10"/>
      <c r="B488" s="13"/>
      <c r="C488" s="13"/>
    </row>
    <row r="489" spans="1:3" ht="13" x14ac:dyDescent="0.15">
      <c r="A489" s="10"/>
      <c r="B489" s="13"/>
      <c r="C489" s="13"/>
    </row>
    <row r="490" spans="1:3" ht="13" x14ac:dyDescent="0.15">
      <c r="A490" s="10"/>
      <c r="B490" s="13"/>
      <c r="C490" s="13"/>
    </row>
    <row r="491" spans="1:3" ht="13" x14ac:dyDescent="0.15">
      <c r="A491" s="10"/>
      <c r="B491" s="13"/>
      <c r="C491" s="13"/>
    </row>
    <row r="492" spans="1:3" ht="13" x14ac:dyDescent="0.15">
      <c r="A492" s="10"/>
      <c r="B492" s="13"/>
      <c r="C492" s="13"/>
    </row>
    <row r="493" spans="1:3" ht="13" x14ac:dyDescent="0.15">
      <c r="A493" s="10"/>
      <c r="B493" s="13"/>
      <c r="C493" s="13"/>
    </row>
    <row r="494" spans="1:3" ht="13" x14ac:dyDescent="0.15">
      <c r="A494" s="10"/>
      <c r="B494" s="13"/>
      <c r="C494" s="13"/>
    </row>
    <row r="495" spans="1:3" ht="13" x14ac:dyDescent="0.15">
      <c r="A495" s="10"/>
      <c r="B495" s="13"/>
      <c r="C495" s="13"/>
    </row>
    <row r="496" spans="1:3" ht="13" x14ac:dyDescent="0.15">
      <c r="A496" s="10"/>
      <c r="B496" s="13"/>
      <c r="C496" s="13"/>
    </row>
    <row r="497" spans="1:3" ht="13" x14ac:dyDescent="0.15">
      <c r="A497" s="10"/>
      <c r="B497" s="13"/>
      <c r="C497" s="13"/>
    </row>
    <row r="498" spans="1:3" ht="13" x14ac:dyDescent="0.15">
      <c r="A498" s="10"/>
      <c r="B498" s="13"/>
      <c r="C498" s="13"/>
    </row>
    <row r="499" spans="1:3" ht="13" x14ac:dyDescent="0.15">
      <c r="A499" s="10"/>
      <c r="B499" s="13"/>
      <c r="C499" s="13"/>
    </row>
    <row r="500" spans="1:3" ht="13" x14ac:dyDescent="0.15">
      <c r="A500" s="10"/>
      <c r="B500" s="13"/>
      <c r="C500" s="13"/>
    </row>
    <row r="501" spans="1:3" ht="13" x14ac:dyDescent="0.15">
      <c r="A501" s="10"/>
      <c r="B501" s="13"/>
      <c r="C501" s="13"/>
    </row>
    <row r="502" spans="1:3" ht="13" x14ac:dyDescent="0.15">
      <c r="A502" s="10"/>
      <c r="B502" s="13"/>
      <c r="C502" s="13"/>
    </row>
    <row r="503" spans="1:3" ht="13" x14ac:dyDescent="0.15">
      <c r="A503" s="10"/>
      <c r="B503" s="13"/>
      <c r="C503" s="13"/>
    </row>
    <row r="504" spans="1:3" ht="13" x14ac:dyDescent="0.15">
      <c r="A504" s="10"/>
      <c r="B504" s="13"/>
      <c r="C504" s="13"/>
    </row>
    <row r="505" spans="1:3" ht="13" x14ac:dyDescent="0.15">
      <c r="A505" s="10"/>
      <c r="B505" s="13"/>
      <c r="C505" s="13"/>
    </row>
    <row r="506" spans="1:3" ht="13" x14ac:dyDescent="0.15">
      <c r="A506" s="10"/>
      <c r="B506" s="13"/>
      <c r="C506" s="13"/>
    </row>
    <row r="507" spans="1:3" ht="13" x14ac:dyDescent="0.15">
      <c r="A507" s="10"/>
      <c r="B507" s="13"/>
      <c r="C507" s="13"/>
    </row>
    <row r="508" spans="1:3" ht="13" x14ac:dyDescent="0.15">
      <c r="A508" s="10"/>
      <c r="B508" s="13"/>
      <c r="C508" s="13"/>
    </row>
    <row r="509" spans="1:3" ht="13" x14ac:dyDescent="0.15">
      <c r="A509" s="10"/>
      <c r="B509" s="13"/>
      <c r="C509" s="13"/>
    </row>
    <row r="510" spans="1:3" ht="13" x14ac:dyDescent="0.15">
      <c r="A510" s="10"/>
      <c r="B510" s="13"/>
      <c r="C510" s="13"/>
    </row>
    <row r="511" spans="1:3" ht="13" x14ac:dyDescent="0.15">
      <c r="A511" s="10"/>
      <c r="B511" s="13"/>
      <c r="C511" s="13"/>
    </row>
    <row r="512" spans="1:3" ht="13" x14ac:dyDescent="0.15">
      <c r="A512" s="10"/>
      <c r="B512" s="13"/>
      <c r="C512" s="13"/>
    </row>
    <row r="513" spans="1:3" ht="13" x14ac:dyDescent="0.15">
      <c r="A513" s="10"/>
      <c r="B513" s="13"/>
      <c r="C513" s="13"/>
    </row>
    <row r="514" spans="1:3" ht="13" x14ac:dyDescent="0.15">
      <c r="A514" s="10"/>
      <c r="B514" s="13"/>
      <c r="C514" s="13"/>
    </row>
    <row r="515" spans="1:3" ht="13" x14ac:dyDescent="0.15">
      <c r="A515" s="10"/>
      <c r="B515" s="13"/>
      <c r="C515" s="13"/>
    </row>
    <row r="516" spans="1:3" ht="13" x14ac:dyDescent="0.15">
      <c r="A516" s="10"/>
      <c r="B516" s="13"/>
      <c r="C516" s="13"/>
    </row>
    <row r="517" spans="1:3" ht="13" x14ac:dyDescent="0.15">
      <c r="A517" s="10"/>
      <c r="B517" s="13"/>
      <c r="C517" s="13"/>
    </row>
    <row r="518" spans="1:3" ht="13" x14ac:dyDescent="0.15">
      <c r="A518" s="10"/>
      <c r="B518" s="13"/>
      <c r="C518" s="13"/>
    </row>
    <row r="519" spans="1:3" ht="13" x14ac:dyDescent="0.15">
      <c r="A519" s="10"/>
      <c r="B519" s="13"/>
      <c r="C519" s="13"/>
    </row>
    <row r="520" spans="1:3" ht="13" x14ac:dyDescent="0.15">
      <c r="A520" s="10"/>
      <c r="B520" s="13"/>
      <c r="C520" s="13"/>
    </row>
    <row r="521" spans="1:3" ht="13" x14ac:dyDescent="0.15">
      <c r="A521" s="10"/>
      <c r="B521" s="13"/>
      <c r="C521" s="13"/>
    </row>
    <row r="522" spans="1:3" ht="13" x14ac:dyDescent="0.15">
      <c r="A522" s="10"/>
      <c r="B522" s="13"/>
      <c r="C522" s="13"/>
    </row>
    <row r="523" spans="1:3" ht="13" x14ac:dyDescent="0.15">
      <c r="A523" s="10"/>
      <c r="B523" s="13"/>
      <c r="C523" s="13"/>
    </row>
    <row r="524" spans="1:3" ht="13" x14ac:dyDescent="0.15">
      <c r="A524" s="10"/>
      <c r="B524" s="13"/>
      <c r="C524" s="13"/>
    </row>
    <row r="525" spans="1:3" ht="13" x14ac:dyDescent="0.15">
      <c r="A525" s="10"/>
      <c r="B525" s="13"/>
      <c r="C525" s="13"/>
    </row>
    <row r="526" spans="1:3" ht="13" x14ac:dyDescent="0.15">
      <c r="A526" s="10"/>
      <c r="B526" s="13"/>
      <c r="C526" s="13"/>
    </row>
    <row r="527" spans="1:3" ht="13" x14ac:dyDescent="0.15">
      <c r="A527" s="10"/>
      <c r="B527" s="13"/>
      <c r="C527" s="13"/>
    </row>
    <row r="528" spans="1:3" ht="13" x14ac:dyDescent="0.15">
      <c r="A528" s="10"/>
      <c r="B528" s="13"/>
      <c r="C528" s="13"/>
    </row>
    <row r="529" spans="1:3" ht="13" x14ac:dyDescent="0.15">
      <c r="A529" s="10"/>
      <c r="B529" s="13"/>
      <c r="C529" s="13"/>
    </row>
    <row r="530" spans="1:3" ht="13" x14ac:dyDescent="0.15">
      <c r="A530" s="10"/>
      <c r="B530" s="13"/>
      <c r="C530" s="13"/>
    </row>
    <row r="531" spans="1:3" ht="13" x14ac:dyDescent="0.15">
      <c r="A531" s="10"/>
      <c r="B531" s="13"/>
      <c r="C531" s="13"/>
    </row>
    <row r="532" spans="1:3" ht="13" x14ac:dyDescent="0.15">
      <c r="A532" s="10"/>
      <c r="B532" s="13"/>
      <c r="C532" s="13"/>
    </row>
    <row r="533" spans="1:3" ht="13" x14ac:dyDescent="0.15">
      <c r="A533" s="10"/>
      <c r="B533" s="13"/>
      <c r="C533" s="13"/>
    </row>
    <row r="534" spans="1:3" ht="13" x14ac:dyDescent="0.15">
      <c r="A534" s="10"/>
      <c r="B534" s="13"/>
      <c r="C534" s="13"/>
    </row>
    <row r="535" spans="1:3" ht="13" x14ac:dyDescent="0.15">
      <c r="A535" s="10"/>
      <c r="B535" s="13"/>
      <c r="C535" s="13"/>
    </row>
    <row r="536" spans="1:3" ht="13" x14ac:dyDescent="0.15">
      <c r="A536" s="10"/>
      <c r="B536" s="13"/>
      <c r="C536" s="13"/>
    </row>
    <row r="537" spans="1:3" ht="13" x14ac:dyDescent="0.15">
      <c r="A537" s="10"/>
      <c r="B537" s="13"/>
      <c r="C537" s="13"/>
    </row>
    <row r="538" spans="1:3" ht="13" x14ac:dyDescent="0.15">
      <c r="A538" s="10"/>
      <c r="B538" s="13"/>
      <c r="C538" s="13"/>
    </row>
    <row r="539" spans="1:3" ht="13" x14ac:dyDescent="0.15">
      <c r="A539" s="10"/>
      <c r="B539" s="13"/>
      <c r="C539" s="13"/>
    </row>
    <row r="540" spans="1:3" ht="13" x14ac:dyDescent="0.15">
      <c r="A540" s="10"/>
      <c r="B540" s="13"/>
      <c r="C540" s="13"/>
    </row>
    <row r="541" spans="1:3" ht="13" x14ac:dyDescent="0.15">
      <c r="A541" s="10"/>
      <c r="B541" s="13"/>
      <c r="C541" s="13"/>
    </row>
    <row r="542" spans="1:3" ht="13" x14ac:dyDescent="0.15">
      <c r="A542" s="10"/>
      <c r="B542" s="13"/>
      <c r="C542" s="13"/>
    </row>
    <row r="543" spans="1:3" ht="13" x14ac:dyDescent="0.15">
      <c r="A543" s="10"/>
      <c r="B543" s="13"/>
      <c r="C543" s="13"/>
    </row>
    <row r="544" spans="1:3" ht="13" x14ac:dyDescent="0.15">
      <c r="A544" s="10"/>
      <c r="B544" s="13"/>
      <c r="C544" s="13"/>
    </row>
    <row r="545" spans="1:3" ht="13" x14ac:dyDescent="0.15">
      <c r="A545" s="10"/>
      <c r="B545" s="13"/>
      <c r="C545" s="13"/>
    </row>
    <row r="546" spans="1:3" ht="13" x14ac:dyDescent="0.15">
      <c r="A546" s="10"/>
      <c r="B546" s="13"/>
      <c r="C546" s="13"/>
    </row>
    <row r="547" spans="1:3" ht="13" x14ac:dyDescent="0.15">
      <c r="A547" s="10"/>
      <c r="B547" s="13"/>
      <c r="C547" s="13"/>
    </row>
    <row r="548" spans="1:3" ht="13" x14ac:dyDescent="0.15">
      <c r="A548" s="10"/>
      <c r="B548" s="13"/>
      <c r="C548" s="13"/>
    </row>
    <row r="549" spans="1:3" ht="13" x14ac:dyDescent="0.15">
      <c r="A549" s="10"/>
      <c r="B549" s="13"/>
      <c r="C549" s="13"/>
    </row>
    <row r="550" spans="1:3" ht="13" x14ac:dyDescent="0.15">
      <c r="A550" s="10"/>
      <c r="B550" s="13"/>
      <c r="C550" s="13"/>
    </row>
    <row r="551" spans="1:3" ht="13" x14ac:dyDescent="0.15">
      <c r="A551" s="10"/>
      <c r="B551" s="13"/>
      <c r="C551" s="13"/>
    </row>
    <row r="552" spans="1:3" ht="13" x14ac:dyDescent="0.15">
      <c r="A552" s="10"/>
      <c r="B552" s="13"/>
      <c r="C552" s="13"/>
    </row>
    <row r="553" spans="1:3" ht="13" x14ac:dyDescent="0.15">
      <c r="A553" s="10"/>
      <c r="B553" s="13"/>
      <c r="C553" s="13"/>
    </row>
    <row r="554" spans="1:3" ht="13" x14ac:dyDescent="0.15">
      <c r="A554" s="10"/>
      <c r="B554" s="13"/>
      <c r="C554" s="13"/>
    </row>
    <row r="555" spans="1:3" ht="13" x14ac:dyDescent="0.15">
      <c r="A555" s="10"/>
      <c r="B555" s="13"/>
      <c r="C555" s="13"/>
    </row>
    <row r="556" spans="1:3" ht="13" x14ac:dyDescent="0.15">
      <c r="A556" s="10"/>
      <c r="B556" s="13"/>
      <c r="C556" s="13"/>
    </row>
    <row r="557" spans="1:3" ht="13" x14ac:dyDescent="0.15">
      <c r="A557" s="10"/>
      <c r="B557" s="13"/>
      <c r="C557" s="13"/>
    </row>
    <row r="558" spans="1:3" ht="13" x14ac:dyDescent="0.15">
      <c r="A558" s="10"/>
      <c r="B558" s="13"/>
      <c r="C558" s="13"/>
    </row>
    <row r="559" spans="1:3" ht="13" x14ac:dyDescent="0.15">
      <c r="A559" s="10"/>
      <c r="B559" s="13"/>
      <c r="C559" s="13"/>
    </row>
    <row r="560" spans="1:3" ht="13" x14ac:dyDescent="0.15">
      <c r="A560" s="10"/>
      <c r="B560" s="13"/>
      <c r="C560" s="13"/>
    </row>
    <row r="561" spans="1:3" ht="13" x14ac:dyDescent="0.15">
      <c r="A561" s="10"/>
      <c r="B561" s="13"/>
      <c r="C561" s="13"/>
    </row>
    <row r="562" spans="1:3" ht="13" x14ac:dyDescent="0.15">
      <c r="A562" s="10"/>
      <c r="B562" s="13"/>
      <c r="C562" s="13"/>
    </row>
    <row r="563" spans="1:3" ht="13" x14ac:dyDescent="0.15">
      <c r="A563" s="10"/>
      <c r="B563" s="13"/>
      <c r="C563" s="13"/>
    </row>
    <row r="564" spans="1:3" ht="13" x14ac:dyDescent="0.15">
      <c r="A564" s="10"/>
      <c r="B564" s="13"/>
      <c r="C564" s="13"/>
    </row>
    <row r="565" spans="1:3" ht="13" x14ac:dyDescent="0.15">
      <c r="A565" s="10"/>
      <c r="B565" s="13"/>
      <c r="C565" s="13"/>
    </row>
    <row r="566" spans="1:3" ht="13" x14ac:dyDescent="0.15">
      <c r="A566" s="10"/>
      <c r="B566" s="13"/>
      <c r="C566" s="13"/>
    </row>
    <row r="567" spans="1:3" ht="13" x14ac:dyDescent="0.15">
      <c r="A567" s="10"/>
      <c r="B567" s="13"/>
      <c r="C567" s="13"/>
    </row>
    <row r="568" spans="1:3" ht="13" x14ac:dyDescent="0.15">
      <c r="A568" s="10"/>
      <c r="B568" s="13"/>
      <c r="C568" s="13"/>
    </row>
    <row r="569" spans="1:3" ht="13" x14ac:dyDescent="0.15">
      <c r="A569" s="10"/>
      <c r="B569" s="13"/>
      <c r="C569" s="13"/>
    </row>
    <row r="570" spans="1:3" ht="13" x14ac:dyDescent="0.15">
      <c r="A570" s="10"/>
      <c r="B570" s="13"/>
      <c r="C570" s="13"/>
    </row>
    <row r="571" spans="1:3" ht="13" x14ac:dyDescent="0.15">
      <c r="A571" s="10"/>
      <c r="B571" s="13"/>
      <c r="C571" s="13"/>
    </row>
    <row r="572" spans="1:3" ht="13" x14ac:dyDescent="0.15">
      <c r="A572" s="10"/>
      <c r="B572" s="13"/>
      <c r="C572" s="13"/>
    </row>
    <row r="573" spans="1:3" ht="13" x14ac:dyDescent="0.15">
      <c r="A573" s="10"/>
      <c r="B573" s="13"/>
      <c r="C573" s="13"/>
    </row>
    <row r="574" spans="1:3" ht="13" x14ac:dyDescent="0.15">
      <c r="A574" s="10"/>
      <c r="B574" s="13"/>
      <c r="C574" s="13"/>
    </row>
    <row r="575" spans="1:3" ht="13" x14ac:dyDescent="0.15">
      <c r="A575" s="10"/>
      <c r="B575" s="13"/>
      <c r="C575" s="13"/>
    </row>
    <row r="576" spans="1:3" ht="13" x14ac:dyDescent="0.15">
      <c r="A576" s="10"/>
      <c r="B576" s="13"/>
      <c r="C576" s="13"/>
    </row>
    <row r="577" spans="1:3" ht="13" x14ac:dyDescent="0.15">
      <c r="A577" s="10"/>
      <c r="B577" s="13"/>
      <c r="C577" s="13"/>
    </row>
    <row r="578" spans="1:3" ht="13" x14ac:dyDescent="0.15">
      <c r="A578" s="10"/>
      <c r="B578" s="13"/>
      <c r="C578" s="13"/>
    </row>
    <row r="579" spans="1:3" ht="13" x14ac:dyDescent="0.15">
      <c r="A579" s="10"/>
      <c r="B579" s="13"/>
      <c r="C579" s="13"/>
    </row>
    <row r="580" spans="1:3" ht="13" x14ac:dyDescent="0.15">
      <c r="A580" s="10"/>
      <c r="B580" s="13"/>
      <c r="C580" s="13"/>
    </row>
    <row r="581" spans="1:3" ht="13" x14ac:dyDescent="0.15">
      <c r="A581" s="10"/>
      <c r="B581" s="13"/>
      <c r="C581" s="13"/>
    </row>
    <row r="582" spans="1:3" ht="13" x14ac:dyDescent="0.15">
      <c r="A582" s="10"/>
      <c r="B582" s="13"/>
      <c r="C582" s="13"/>
    </row>
    <row r="583" spans="1:3" ht="13" x14ac:dyDescent="0.15">
      <c r="A583" s="10"/>
      <c r="B583" s="13"/>
      <c r="C583" s="13"/>
    </row>
    <row r="584" spans="1:3" ht="13" x14ac:dyDescent="0.15">
      <c r="A584" s="10"/>
      <c r="B584" s="13"/>
      <c r="C584" s="13"/>
    </row>
    <row r="585" spans="1:3" ht="13" x14ac:dyDescent="0.15">
      <c r="A585" s="10"/>
      <c r="B585" s="13"/>
      <c r="C585" s="13"/>
    </row>
    <row r="586" spans="1:3" ht="13" x14ac:dyDescent="0.15">
      <c r="A586" s="10"/>
      <c r="B586" s="13"/>
      <c r="C586" s="13"/>
    </row>
    <row r="587" spans="1:3" ht="13" x14ac:dyDescent="0.15">
      <c r="A587" s="10"/>
      <c r="B587" s="13"/>
      <c r="C587" s="13"/>
    </row>
    <row r="588" spans="1:3" ht="13" x14ac:dyDescent="0.15">
      <c r="A588" s="10"/>
      <c r="B588" s="13"/>
      <c r="C588" s="13"/>
    </row>
    <row r="589" spans="1:3" ht="13" x14ac:dyDescent="0.15">
      <c r="A589" s="10"/>
      <c r="B589" s="13"/>
      <c r="C589" s="13"/>
    </row>
    <row r="590" spans="1:3" ht="13" x14ac:dyDescent="0.15">
      <c r="A590" s="10"/>
      <c r="B590" s="13"/>
      <c r="C590" s="13"/>
    </row>
    <row r="591" spans="1:3" ht="13" x14ac:dyDescent="0.15">
      <c r="A591" s="10"/>
      <c r="B591" s="13"/>
      <c r="C591" s="13"/>
    </row>
    <row r="592" spans="1:3" ht="13" x14ac:dyDescent="0.15">
      <c r="A592" s="10"/>
      <c r="B592" s="13"/>
      <c r="C592" s="13"/>
    </row>
    <row r="593" spans="1:3" ht="13" x14ac:dyDescent="0.15">
      <c r="A593" s="10"/>
      <c r="B593" s="13"/>
      <c r="C593" s="13"/>
    </row>
    <row r="594" spans="1:3" ht="13" x14ac:dyDescent="0.15">
      <c r="A594" s="10"/>
      <c r="B594" s="13"/>
      <c r="C594" s="13"/>
    </row>
    <row r="595" spans="1:3" ht="13" x14ac:dyDescent="0.15">
      <c r="A595" s="10"/>
      <c r="B595" s="13"/>
      <c r="C595" s="13"/>
    </row>
    <row r="596" spans="1:3" ht="13" x14ac:dyDescent="0.15">
      <c r="A596" s="10"/>
      <c r="B596" s="13"/>
      <c r="C596" s="13"/>
    </row>
    <row r="597" spans="1:3" ht="13" x14ac:dyDescent="0.15">
      <c r="A597" s="10"/>
      <c r="B597" s="13"/>
      <c r="C597" s="13"/>
    </row>
    <row r="598" spans="1:3" ht="13" x14ac:dyDescent="0.15">
      <c r="A598" s="10"/>
      <c r="B598" s="13"/>
      <c r="C598" s="13"/>
    </row>
    <row r="599" spans="1:3" ht="13" x14ac:dyDescent="0.15">
      <c r="A599" s="10"/>
      <c r="B599" s="13"/>
      <c r="C599" s="13"/>
    </row>
    <row r="600" spans="1:3" ht="13" x14ac:dyDescent="0.15">
      <c r="A600" s="10"/>
      <c r="B600" s="13"/>
      <c r="C600" s="13"/>
    </row>
    <row r="601" spans="1:3" ht="13" x14ac:dyDescent="0.15">
      <c r="A601" s="10"/>
      <c r="B601" s="13"/>
      <c r="C601" s="13"/>
    </row>
    <row r="602" spans="1:3" ht="13" x14ac:dyDescent="0.15">
      <c r="A602" s="10"/>
      <c r="B602" s="13"/>
      <c r="C602" s="13"/>
    </row>
    <row r="603" spans="1:3" ht="13" x14ac:dyDescent="0.15">
      <c r="A603" s="10"/>
      <c r="B603" s="13"/>
      <c r="C603" s="13"/>
    </row>
    <row r="604" spans="1:3" ht="13" x14ac:dyDescent="0.15">
      <c r="A604" s="10"/>
      <c r="B604" s="13"/>
      <c r="C604" s="13"/>
    </row>
    <row r="605" spans="1:3" ht="13" x14ac:dyDescent="0.15">
      <c r="A605" s="10"/>
      <c r="B605" s="13"/>
      <c r="C605" s="13"/>
    </row>
    <row r="606" spans="1:3" ht="13" x14ac:dyDescent="0.15">
      <c r="A606" s="10"/>
      <c r="B606" s="13"/>
      <c r="C606" s="13"/>
    </row>
    <row r="607" spans="1:3" ht="13" x14ac:dyDescent="0.15">
      <c r="A607" s="10"/>
      <c r="B607" s="13"/>
      <c r="C607" s="13"/>
    </row>
    <row r="608" spans="1:3" ht="13" x14ac:dyDescent="0.15">
      <c r="A608" s="10"/>
      <c r="B608" s="13"/>
      <c r="C608" s="13"/>
    </row>
    <row r="609" spans="1:3" ht="13" x14ac:dyDescent="0.15">
      <c r="A609" s="10"/>
      <c r="B609" s="13"/>
      <c r="C609" s="13"/>
    </row>
    <row r="610" spans="1:3" ht="13" x14ac:dyDescent="0.15">
      <c r="A610" s="10"/>
      <c r="B610" s="13"/>
      <c r="C610" s="13"/>
    </row>
    <row r="611" spans="1:3" ht="13" x14ac:dyDescent="0.15">
      <c r="A611" s="10"/>
      <c r="B611" s="13"/>
      <c r="C611" s="13"/>
    </row>
    <row r="612" spans="1:3" ht="13" x14ac:dyDescent="0.15">
      <c r="A612" s="10"/>
      <c r="B612" s="13"/>
      <c r="C612" s="13"/>
    </row>
    <row r="613" spans="1:3" ht="13" x14ac:dyDescent="0.15">
      <c r="A613" s="10"/>
      <c r="B613" s="13"/>
      <c r="C613" s="13"/>
    </row>
    <row r="614" spans="1:3" ht="13" x14ac:dyDescent="0.15">
      <c r="A614" s="10"/>
      <c r="B614" s="13"/>
      <c r="C614" s="13"/>
    </row>
    <row r="615" spans="1:3" ht="13" x14ac:dyDescent="0.15">
      <c r="A615" s="10"/>
      <c r="B615" s="13"/>
      <c r="C615" s="13"/>
    </row>
    <row r="616" spans="1:3" ht="13" x14ac:dyDescent="0.15">
      <c r="A616" s="10"/>
      <c r="B616" s="13"/>
      <c r="C616" s="13"/>
    </row>
    <row r="617" spans="1:3" ht="13" x14ac:dyDescent="0.15">
      <c r="A617" s="10"/>
      <c r="B617" s="13"/>
      <c r="C617" s="13"/>
    </row>
    <row r="618" spans="1:3" ht="13" x14ac:dyDescent="0.15">
      <c r="A618" s="10"/>
      <c r="B618" s="13"/>
      <c r="C618" s="13"/>
    </row>
    <row r="619" spans="1:3" ht="13" x14ac:dyDescent="0.15">
      <c r="A619" s="10"/>
      <c r="B619" s="13"/>
      <c r="C619" s="13"/>
    </row>
    <row r="620" spans="1:3" ht="13" x14ac:dyDescent="0.15">
      <c r="A620" s="10"/>
      <c r="B620" s="13"/>
      <c r="C620" s="13"/>
    </row>
    <row r="621" spans="1:3" ht="13" x14ac:dyDescent="0.15">
      <c r="A621" s="10"/>
      <c r="B621" s="13"/>
      <c r="C621" s="13"/>
    </row>
    <row r="622" spans="1:3" ht="13" x14ac:dyDescent="0.15">
      <c r="A622" s="10"/>
      <c r="B622" s="13"/>
      <c r="C622" s="13"/>
    </row>
    <row r="623" spans="1:3" ht="13" x14ac:dyDescent="0.15">
      <c r="A623" s="10"/>
      <c r="B623" s="13"/>
      <c r="C623" s="13"/>
    </row>
    <row r="624" spans="1:3" ht="13" x14ac:dyDescent="0.15">
      <c r="A624" s="10"/>
      <c r="B624" s="13"/>
      <c r="C624" s="13"/>
    </row>
    <row r="625" spans="1:3" ht="13" x14ac:dyDescent="0.15">
      <c r="A625" s="10"/>
      <c r="B625" s="13"/>
      <c r="C625" s="13"/>
    </row>
    <row r="626" spans="1:3" ht="13" x14ac:dyDescent="0.15">
      <c r="A626" s="10"/>
      <c r="B626" s="13"/>
      <c r="C626" s="13"/>
    </row>
    <row r="627" spans="1:3" ht="13" x14ac:dyDescent="0.15">
      <c r="A627" s="10"/>
      <c r="B627" s="13"/>
      <c r="C627" s="13"/>
    </row>
    <row r="628" spans="1:3" ht="13" x14ac:dyDescent="0.15">
      <c r="A628" s="10"/>
      <c r="B628" s="13"/>
      <c r="C628" s="13"/>
    </row>
    <row r="629" spans="1:3" ht="13" x14ac:dyDescent="0.15">
      <c r="A629" s="10"/>
      <c r="B629" s="13"/>
      <c r="C629" s="13"/>
    </row>
    <row r="630" spans="1:3" ht="13" x14ac:dyDescent="0.15">
      <c r="A630" s="10"/>
      <c r="B630" s="13"/>
      <c r="C630" s="13"/>
    </row>
    <row r="631" spans="1:3" ht="13" x14ac:dyDescent="0.15">
      <c r="A631" s="10"/>
      <c r="B631" s="13"/>
      <c r="C631" s="13"/>
    </row>
    <row r="632" spans="1:3" ht="13" x14ac:dyDescent="0.15">
      <c r="A632" s="10"/>
      <c r="B632" s="13"/>
      <c r="C632" s="13"/>
    </row>
    <row r="633" spans="1:3" ht="13" x14ac:dyDescent="0.15">
      <c r="A633" s="10"/>
      <c r="B633" s="13"/>
      <c r="C633" s="13"/>
    </row>
    <row r="634" spans="1:3" ht="13" x14ac:dyDescent="0.15">
      <c r="A634" s="10"/>
      <c r="B634" s="13"/>
      <c r="C634" s="13"/>
    </row>
    <row r="635" spans="1:3" ht="13" x14ac:dyDescent="0.15">
      <c r="A635" s="10"/>
      <c r="B635" s="13"/>
      <c r="C635" s="13"/>
    </row>
    <row r="636" spans="1:3" ht="13" x14ac:dyDescent="0.15">
      <c r="A636" s="10"/>
      <c r="B636" s="13"/>
      <c r="C636" s="13"/>
    </row>
    <row r="637" spans="1:3" ht="13" x14ac:dyDescent="0.15">
      <c r="A637" s="10"/>
      <c r="B637" s="13"/>
      <c r="C637" s="13"/>
    </row>
    <row r="638" spans="1:3" ht="13" x14ac:dyDescent="0.15">
      <c r="A638" s="10"/>
      <c r="B638" s="13"/>
      <c r="C638" s="13"/>
    </row>
    <row r="639" spans="1:3" ht="13" x14ac:dyDescent="0.15">
      <c r="A639" s="10"/>
      <c r="B639" s="13"/>
      <c r="C639" s="13"/>
    </row>
    <row r="640" spans="1:3" ht="13" x14ac:dyDescent="0.15">
      <c r="A640" s="10"/>
      <c r="B640" s="13"/>
      <c r="C640" s="13"/>
    </row>
    <row r="641" spans="1:3" ht="13" x14ac:dyDescent="0.15">
      <c r="A641" s="10"/>
      <c r="B641" s="13"/>
      <c r="C641" s="13"/>
    </row>
    <row r="642" spans="1:3" ht="13" x14ac:dyDescent="0.15">
      <c r="A642" s="10"/>
      <c r="B642" s="13"/>
      <c r="C642" s="13"/>
    </row>
    <row r="643" spans="1:3" ht="13" x14ac:dyDescent="0.15">
      <c r="A643" s="10"/>
      <c r="B643" s="13"/>
      <c r="C643" s="13"/>
    </row>
    <row r="644" spans="1:3" ht="13" x14ac:dyDescent="0.15">
      <c r="A644" s="10"/>
      <c r="B644" s="13"/>
      <c r="C644" s="13"/>
    </row>
    <row r="645" spans="1:3" ht="13" x14ac:dyDescent="0.15">
      <c r="A645" s="10"/>
      <c r="B645" s="13"/>
      <c r="C645" s="13"/>
    </row>
    <row r="646" spans="1:3" ht="13" x14ac:dyDescent="0.15">
      <c r="A646" s="10"/>
      <c r="B646" s="13"/>
      <c r="C646" s="13"/>
    </row>
    <row r="647" spans="1:3" ht="13" x14ac:dyDescent="0.15">
      <c r="A647" s="10"/>
      <c r="B647" s="13"/>
      <c r="C647" s="13"/>
    </row>
    <row r="648" spans="1:3" ht="13" x14ac:dyDescent="0.15">
      <c r="A648" s="10"/>
      <c r="B648" s="13"/>
      <c r="C648" s="13"/>
    </row>
    <row r="649" spans="1:3" ht="13" x14ac:dyDescent="0.15">
      <c r="A649" s="10"/>
      <c r="B649" s="13"/>
      <c r="C649" s="13"/>
    </row>
    <row r="650" spans="1:3" ht="13" x14ac:dyDescent="0.15">
      <c r="A650" s="10"/>
      <c r="B650" s="13"/>
      <c r="C650" s="13"/>
    </row>
    <row r="651" spans="1:3" ht="13" x14ac:dyDescent="0.15">
      <c r="A651" s="10"/>
      <c r="B651" s="13"/>
      <c r="C651" s="13"/>
    </row>
    <row r="652" spans="1:3" ht="13" x14ac:dyDescent="0.15">
      <c r="A652" s="10"/>
      <c r="B652" s="13"/>
      <c r="C652" s="13"/>
    </row>
    <row r="653" spans="1:3" ht="13" x14ac:dyDescent="0.15">
      <c r="A653" s="10"/>
      <c r="B653" s="13"/>
      <c r="C653" s="13"/>
    </row>
    <row r="654" spans="1:3" ht="13" x14ac:dyDescent="0.15">
      <c r="A654" s="10"/>
      <c r="B654" s="13"/>
      <c r="C654" s="13"/>
    </row>
    <row r="655" spans="1:3" ht="13" x14ac:dyDescent="0.15">
      <c r="A655" s="10"/>
      <c r="B655" s="13"/>
      <c r="C655" s="13"/>
    </row>
    <row r="656" spans="1:3" ht="13" x14ac:dyDescent="0.15">
      <c r="A656" s="10"/>
      <c r="B656" s="13"/>
      <c r="C656" s="13"/>
    </row>
    <row r="657" spans="1:3" ht="13" x14ac:dyDescent="0.15">
      <c r="A657" s="10"/>
      <c r="B657" s="13"/>
      <c r="C657" s="13"/>
    </row>
    <row r="658" spans="1:3" ht="13" x14ac:dyDescent="0.15">
      <c r="A658" s="10"/>
      <c r="B658" s="13"/>
      <c r="C658" s="13"/>
    </row>
    <row r="659" spans="1:3" ht="13" x14ac:dyDescent="0.15">
      <c r="A659" s="10"/>
      <c r="B659" s="13"/>
      <c r="C659" s="13"/>
    </row>
    <row r="660" spans="1:3" ht="13" x14ac:dyDescent="0.15">
      <c r="A660" s="10"/>
      <c r="B660" s="13"/>
      <c r="C660" s="13"/>
    </row>
    <row r="661" spans="1:3" ht="13" x14ac:dyDescent="0.15">
      <c r="A661" s="10"/>
      <c r="B661" s="13"/>
      <c r="C661" s="13"/>
    </row>
    <row r="662" spans="1:3" ht="13" x14ac:dyDescent="0.15">
      <c r="A662" s="10"/>
      <c r="B662" s="13"/>
      <c r="C662" s="13"/>
    </row>
    <row r="663" spans="1:3" ht="13" x14ac:dyDescent="0.15">
      <c r="A663" s="10"/>
      <c r="B663" s="13"/>
      <c r="C663" s="13"/>
    </row>
    <row r="664" spans="1:3" ht="13" x14ac:dyDescent="0.15">
      <c r="A664" s="10"/>
      <c r="B664" s="13"/>
      <c r="C664" s="13"/>
    </row>
    <row r="665" spans="1:3" ht="13" x14ac:dyDescent="0.15">
      <c r="A665" s="10"/>
      <c r="B665" s="13"/>
      <c r="C665" s="13"/>
    </row>
    <row r="666" spans="1:3" ht="13" x14ac:dyDescent="0.15">
      <c r="A666" s="10"/>
      <c r="B666" s="13"/>
      <c r="C666" s="13"/>
    </row>
    <row r="667" spans="1:3" ht="13" x14ac:dyDescent="0.15">
      <c r="A667" s="10"/>
      <c r="B667" s="13"/>
      <c r="C667" s="13"/>
    </row>
    <row r="668" spans="1:3" ht="13" x14ac:dyDescent="0.15">
      <c r="A668" s="10"/>
      <c r="B668" s="13"/>
      <c r="C668" s="13"/>
    </row>
    <row r="669" spans="1:3" ht="13" x14ac:dyDescent="0.15">
      <c r="A669" s="10"/>
      <c r="B669" s="13"/>
      <c r="C669" s="13"/>
    </row>
    <row r="670" spans="1:3" ht="13" x14ac:dyDescent="0.15">
      <c r="A670" s="10"/>
      <c r="B670" s="13"/>
      <c r="C670" s="13"/>
    </row>
    <row r="671" spans="1:3" ht="13" x14ac:dyDescent="0.15">
      <c r="A671" s="10"/>
      <c r="B671" s="13"/>
      <c r="C671" s="13"/>
    </row>
    <row r="672" spans="1:3" ht="13" x14ac:dyDescent="0.15">
      <c r="A672" s="10"/>
      <c r="B672" s="13"/>
      <c r="C672" s="13"/>
    </row>
    <row r="673" spans="1:3" ht="13" x14ac:dyDescent="0.15">
      <c r="A673" s="10"/>
      <c r="B673" s="13"/>
      <c r="C673" s="13"/>
    </row>
    <row r="674" spans="1:3" ht="13" x14ac:dyDescent="0.15">
      <c r="A674" s="10"/>
      <c r="B674" s="13"/>
      <c r="C674" s="13"/>
    </row>
    <row r="675" spans="1:3" ht="13" x14ac:dyDescent="0.15">
      <c r="A675" s="10"/>
      <c r="B675" s="13"/>
      <c r="C675" s="13"/>
    </row>
    <row r="676" spans="1:3" ht="13" x14ac:dyDescent="0.15">
      <c r="A676" s="10"/>
      <c r="B676" s="13"/>
      <c r="C676" s="13"/>
    </row>
    <row r="677" spans="1:3" ht="13" x14ac:dyDescent="0.15">
      <c r="A677" s="10"/>
      <c r="B677" s="13"/>
      <c r="C677" s="13"/>
    </row>
    <row r="678" spans="1:3" ht="13" x14ac:dyDescent="0.15">
      <c r="A678" s="10"/>
      <c r="B678" s="13"/>
      <c r="C678" s="13"/>
    </row>
    <row r="679" spans="1:3" ht="13" x14ac:dyDescent="0.15">
      <c r="A679" s="10"/>
      <c r="B679" s="13"/>
      <c r="C679" s="13"/>
    </row>
    <row r="680" spans="1:3" ht="13" x14ac:dyDescent="0.15">
      <c r="A680" s="10"/>
      <c r="B680" s="13"/>
      <c r="C680" s="13"/>
    </row>
    <row r="681" spans="1:3" ht="13" x14ac:dyDescent="0.15">
      <c r="A681" s="10"/>
      <c r="B681" s="13"/>
      <c r="C681" s="13"/>
    </row>
    <row r="682" spans="1:3" ht="13" x14ac:dyDescent="0.15">
      <c r="A682" s="10"/>
      <c r="B682" s="13"/>
      <c r="C682" s="13"/>
    </row>
    <row r="683" spans="1:3" ht="13" x14ac:dyDescent="0.15">
      <c r="A683" s="10"/>
      <c r="B683" s="13"/>
      <c r="C683" s="13"/>
    </row>
    <row r="684" spans="1:3" ht="13" x14ac:dyDescent="0.15">
      <c r="A684" s="10"/>
      <c r="B684" s="13"/>
      <c r="C684" s="13"/>
    </row>
    <row r="685" spans="1:3" ht="13" x14ac:dyDescent="0.15">
      <c r="A685" s="10"/>
      <c r="B685" s="13"/>
      <c r="C685" s="13"/>
    </row>
    <row r="686" spans="1:3" ht="13" x14ac:dyDescent="0.15">
      <c r="A686" s="10"/>
      <c r="B686" s="13"/>
      <c r="C686" s="13"/>
    </row>
    <row r="687" spans="1:3" ht="13" x14ac:dyDescent="0.15">
      <c r="A687" s="10"/>
      <c r="B687" s="13"/>
      <c r="C687" s="13"/>
    </row>
    <row r="688" spans="1:3" ht="13" x14ac:dyDescent="0.15">
      <c r="A688" s="10"/>
      <c r="B688" s="13"/>
      <c r="C688" s="13"/>
    </row>
    <row r="689" spans="1:3" ht="13" x14ac:dyDescent="0.15">
      <c r="A689" s="10"/>
      <c r="B689" s="13"/>
      <c r="C689" s="13"/>
    </row>
    <row r="690" spans="1:3" ht="13" x14ac:dyDescent="0.15">
      <c r="A690" s="10"/>
      <c r="B690" s="13"/>
      <c r="C690" s="13"/>
    </row>
    <row r="691" spans="1:3" ht="13" x14ac:dyDescent="0.15">
      <c r="A691" s="10"/>
      <c r="B691" s="13"/>
      <c r="C691" s="13"/>
    </row>
    <row r="692" spans="1:3" ht="13" x14ac:dyDescent="0.15">
      <c r="A692" s="10"/>
      <c r="B692" s="13"/>
      <c r="C692" s="13"/>
    </row>
    <row r="693" spans="1:3" ht="13" x14ac:dyDescent="0.15">
      <c r="A693" s="10"/>
      <c r="B693" s="13"/>
      <c r="C693" s="13"/>
    </row>
    <row r="694" spans="1:3" ht="13" x14ac:dyDescent="0.15">
      <c r="A694" s="10"/>
      <c r="B694" s="13"/>
      <c r="C694" s="13"/>
    </row>
    <row r="695" spans="1:3" ht="13" x14ac:dyDescent="0.15">
      <c r="A695" s="10"/>
      <c r="B695" s="13"/>
      <c r="C695" s="13"/>
    </row>
    <row r="696" spans="1:3" ht="13" x14ac:dyDescent="0.15">
      <c r="A696" s="10"/>
      <c r="B696" s="13"/>
      <c r="C696" s="13"/>
    </row>
    <row r="697" spans="1:3" ht="13" x14ac:dyDescent="0.15">
      <c r="A697" s="10"/>
      <c r="B697" s="13"/>
      <c r="C697" s="13"/>
    </row>
    <row r="698" spans="1:3" ht="13" x14ac:dyDescent="0.15">
      <c r="A698" s="10"/>
      <c r="B698" s="13"/>
      <c r="C698" s="13"/>
    </row>
    <row r="699" spans="1:3" ht="13" x14ac:dyDescent="0.15">
      <c r="A699" s="10"/>
      <c r="B699" s="13"/>
      <c r="C699" s="13"/>
    </row>
    <row r="700" spans="1:3" ht="13" x14ac:dyDescent="0.15">
      <c r="A700" s="10"/>
      <c r="B700" s="13"/>
      <c r="C700" s="13"/>
    </row>
    <row r="701" spans="1:3" ht="13" x14ac:dyDescent="0.15">
      <c r="A701" s="10"/>
      <c r="B701" s="13"/>
      <c r="C701" s="13"/>
    </row>
    <row r="702" spans="1:3" ht="13" x14ac:dyDescent="0.15">
      <c r="A702" s="10"/>
      <c r="B702" s="13"/>
      <c r="C702" s="13"/>
    </row>
    <row r="703" spans="1:3" ht="13" x14ac:dyDescent="0.15">
      <c r="A703" s="10"/>
      <c r="B703" s="13"/>
      <c r="C703" s="13"/>
    </row>
    <row r="704" spans="1:3" ht="13" x14ac:dyDescent="0.15">
      <c r="A704" s="10"/>
      <c r="B704" s="13"/>
      <c r="C704" s="13"/>
    </row>
    <row r="705" spans="1:3" ht="13" x14ac:dyDescent="0.15">
      <c r="A705" s="10"/>
      <c r="B705" s="13"/>
      <c r="C705" s="13"/>
    </row>
    <row r="706" spans="1:3" ht="13" x14ac:dyDescent="0.15">
      <c r="A706" s="10"/>
      <c r="B706" s="13"/>
      <c r="C706" s="13"/>
    </row>
    <row r="707" spans="1:3" ht="13" x14ac:dyDescent="0.15">
      <c r="A707" s="10"/>
      <c r="B707" s="13"/>
      <c r="C707" s="13"/>
    </row>
    <row r="708" spans="1:3" ht="13" x14ac:dyDescent="0.15">
      <c r="A708" s="10"/>
      <c r="B708" s="13"/>
      <c r="C708" s="13"/>
    </row>
    <row r="709" spans="1:3" ht="13" x14ac:dyDescent="0.15">
      <c r="A709" s="10"/>
      <c r="B709" s="13"/>
      <c r="C709" s="13"/>
    </row>
    <row r="710" spans="1:3" ht="13" x14ac:dyDescent="0.15">
      <c r="A710" s="10"/>
      <c r="B710" s="13"/>
      <c r="C710" s="13"/>
    </row>
    <row r="711" spans="1:3" ht="13" x14ac:dyDescent="0.15">
      <c r="A711" s="10"/>
      <c r="B711" s="13"/>
      <c r="C711" s="13"/>
    </row>
    <row r="712" spans="1:3" ht="13" x14ac:dyDescent="0.15">
      <c r="A712" s="10"/>
      <c r="B712" s="13"/>
      <c r="C712" s="13"/>
    </row>
    <row r="713" spans="1:3" ht="13" x14ac:dyDescent="0.15">
      <c r="A713" s="10"/>
      <c r="B713" s="13"/>
      <c r="C713" s="13"/>
    </row>
    <row r="714" spans="1:3" ht="13" x14ac:dyDescent="0.15">
      <c r="A714" s="10"/>
      <c r="B714" s="13"/>
      <c r="C714" s="13"/>
    </row>
    <row r="715" spans="1:3" ht="13" x14ac:dyDescent="0.15">
      <c r="A715" s="10"/>
      <c r="B715" s="13"/>
      <c r="C715" s="13"/>
    </row>
    <row r="716" spans="1:3" ht="13" x14ac:dyDescent="0.15">
      <c r="A716" s="10"/>
      <c r="B716" s="13"/>
      <c r="C716" s="13"/>
    </row>
    <row r="717" spans="1:3" ht="13" x14ac:dyDescent="0.15">
      <c r="A717" s="10"/>
      <c r="B717" s="13"/>
      <c r="C717" s="13"/>
    </row>
    <row r="718" spans="1:3" ht="13" x14ac:dyDescent="0.15">
      <c r="A718" s="10"/>
      <c r="B718" s="13"/>
      <c r="C718" s="13"/>
    </row>
    <row r="719" spans="1:3" ht="13" x14ac:dyDescent="0.15">
      <c r="A719" s="10"/>
      <c r="B719" s="13"/>
      <c r="C719" s="13"/>
    </row>
    <row r="720" spans="1:3" ht="13" x14ac:dyDescent="0.15">
      <c r="A720" s="10"/>
      <c r="B720" s="13"/>
      <c r="C720" s="13"/>
    </row>
    <row r="721" spans="1:3" ht="13" x14ac:dyDescent="0.15">
      <c r="A721" s="10"/>
      <c r="B721" s="13"/>
      <c r="C721" s="13"/>
    </row>
    <row r="722" spans="1:3" ht="13" x14ac:dyDescent="0.15">
      <c r="A722" s="10"/>
      <c r="B722" s="13"/>
      <c r="C722" s="13"/>
    </row>
    <row r="723" spans="1:3" ht="13" x14ac:dyDescent="0.15">
      <c r="A723" s="10"/>
      <c r="B723" s="13"/>
      <c r="C723" s="13"/>
    </row>
    <row r="724" spans="1:3" ht="13" x14ac:dyDescent="0.15">
      <c r="A724" s="10"/>
      <c r="B724" s="13"/>
      <c r="C724" s="13"/>
    </row>
    <row r="725" spans="1:3" ht="13" x14ac:dyDescent="0.15">
      <c r="A725" s="10"/>
      <c r="B725" s="13"/>
      <c r="C725" s="13"/>
    </row>
    <row r="726" spans="1:3" ht="13" x14ac:dyDescent="0.15">
      <c r="A726" s="10"/>
      <c r="B726" s="13"/>
      <c r="C726" s="13"/>
    </row>
    <row r="727" spans="1:3" ht="13" x14ac:dyDescent="0.15">
      <c r="A727" s="10"/>
      <c r="B727" s="13"/>
      <c r="C727" s="13"/>
    </row>
    <row r="728" spans="1:3" ht="13" x14ac:dyDescent="0.15">
      <c r="A728" s="10"/>
      <c r="B728" s="13"/>
      <c r="C728" s="13"/>
    </row>
    <row r="729" spans="1:3" ht="13" x14ac:dyDescent="0.15">
      <c r="A729" s="10"/>
      <c r="B729" s="13"/>
      <c r="C729" s="13"/>
    </row>
    <row r="730" spans="1:3" ht="13" x14ac:dyDescent="0.15">
      <c r="A730" s="10"/>
      <c r="B730" s="13"/>
      <c r="C730" s="13"/>
    </row>
    <row r="731" spans="1:3" ht="13" x14ac:dyDescent="0.15">
      <c r="A731" s="10"/>
      <c r="B731" s="13"/>
      <c r="C731" s="13"/>
    </row>
    <row r="732" spans="1:3" ht="13" x14ac:dyDescent="0.15">
      <c r="A732" s="10"/>
      <c r="B732" s="13"/>
      <c r="C732" s="13"/>
    </row>
    <row r="733" spans="1:3" ht="13" x14ac:dyDescent="0.15">
      <c r="A733" s="10"/>
      <c r="B733" s="13"/>
      <c r="C733" s="13"/>
    </row>
    <row r="734" spans="1:3" ht="13" x14ac:dyDescent="0.15">
      <c r="A734" s="10"/>
      <c r="B734" s="13"/>
      <c r="C734" s="13"/>
    </row>
    <row r="735" spans="1:3" ht="13" x14ac:dyDescent="0.15">
      <c r="A735" s="10"/>
      <c r="B735" s="13"/>
      <c r="C735" s="13"/>
    </row>
    <row r="736" spans="1:3" ht="13" x14ac:dyDescent="0.15">
      <c r="A736" s="10"/>
      <c r="B736" s="13"/>
      <c r="C736" s="13"/>
    </row>
    <row r="737" spans="1:3" ht="13" x14ac:dyDescent="0.15">
      <c r="A737" s="10"/>
      <c r="B737" s="13"/>
      <c r="C737" s="13"/>
    </row>
    <row r="738" spans="1:3" ht="13" x14ac:dyDescent="0.15">
      <c r="A738" s="10"/>
      <c r="B738" s="13"/>
      <c r="C738" s="13"/>
    </row>
    <row r="739" spans="1:3" ht="13" x14ac:dyDescent="0.15">
      <c r="A739" s="10"/>
      <c r="B739" s="13"/>
      <c r="C739" s="13"/>
    </row>
    <row r="740" spans="1:3" ht="13" x14ac:dyDescent="0.15">
      <c r="A740" s="10"/>
      <c r="B740" s="13"/>
      <c r="C740" s="13"/>
    </row>
    <row r="741" spans="1:3" ht="13" x14ac:dyDescent="0.15">
      <c r="A741" s="10"/>
      <c r="B741" s="13"/>
      <c r="C741" s="13"/>
    </row>
    <row r="742" spans="1:3" ht="13" x14ac:dyDescent="0.15">
      <c r="A742" s="10"/>
      <c r="B742" s="13"/>
      <c r="C742" s="13"/>
    </row>
    <row r="743" spans="1:3" ht="13" x14ac:dyDescent="0.15">
      <c r="A743" s="10"/>
      <c r="B743" s="13"/>
      <c r="C743" s="13"/>
    </row>
    <row r="744" spans="1:3" ht="13" x14ac:dyDescent="0.15">
      <c r="A744" s="10"/>
      <c r="B744" s="13"/>
      <c r="C744" s="13"/>
    </row>
    <row r="745" spans="1:3" ht="13" x14ac:dyDescent="0.15">
      <c r="A745" s="10"/>
      <c r="B745" s="13"/>
      <c r="C745" s="13"/>
    </row>
    <row r="746" spans="1:3" ht="13" x14ac:dyDescent="0.15">
      <c r="A746" s="10"/>
      <c r="B746" s="13"/>
      <c r="C746" s="13"/>
    </row>
    <row r="747" spans="1:3" ht="13" x14ac:dyDescent="0.15">
      <c r="A747" s="10"/>
      <c r="B747" s="13"/>
      <c r="C747" s="13"/>
    </row>
    <row r="748" spans="1:3" ht="13" x14ac:dyDescent="0.15">
      <c r="A748" s="10"/>
      <c r="B748" s="13"/>
      <c r="C748" s="13"/>
    </row>
    <row r="749" spans="1:3" ht="13" x14ac:dyDescent="0.15">
      <c r="A749" s="10"/>
      <c r="B749" s="13"/>
      <c r="C749" s="13"/>
    </row>
    <row r="750" spans="1:3" ht="13" x14ac:dyDescent="0.15">
      <c r="A750" s="10"/>
      <c r="B750" s="13"/>
      <c r="C750" s="13"/>
    </row>
    <row r="751" spans="1:3" ht="13" x14ac:dyDescent="0.15">
      <c r="A751" s="10"/>
      <c r="B751" s="13"/>
      <c r="C751" s="13"/>
    </row>
    <row r="752" spans="1:3" ht="13" x14ac:dyDescent="0.15">
      <c r="A752" s="10"/>
      <c r="B752" s="13"/>
      <c r="C752" s="13"/>
    </row>
    <row r="753" spans="1:3" ht="13" x14ac:dyDescent="0.15">
      <c r="A753" s="10"/>
      <c r="B753" s="13"/>
      <c r="C753" s="13"/>
    </row>
    <row r="754" spans="1:3" ht="13" x14ac:dyDescent="0.15">
      <c r="A754" s="10"/>
      <c r="B754" s="13"/>
      <c r="C754" s="13"/>
    </row>
    <row r="755" spans="1:3" ht="13" x14ac:dyDescent="0.15">
      <c r="A755" s="10"/>
      <c r="B755" s="13"/>
      <c r="C755" s="13"/>
    </row>
    <row r="756" spans="1:3" ht="13" x14ac:dyDescent="0.15">
      <c r="A756" s="10"/>
      <c r="B756" s="13"/>
      <c r="C756" s="13"/>
    </row>
    <row r="757" spans="1:3" ht="13" x14ac:dyDescent="0.15">
      <c r="A757" s="10"/>
      <c r="B757" s="13"/>
      <c r="C757" s="13"/>
    </row>
    <row r="758" spans="1:3" ht="13" x14ac:dyDescent="0.15">
      <c r="A758" s="10"/>
      <c r="B758" s="13"/>
      <c r="C758" s="13"/>
    </row>
    <row r="759" spans="1:3" ht="13" x14ac:dyDescent="0.15">
      <c r="A759" s="10"/>
      <c r="B759" s="13"/>
      <c r="C759" s="13"/>
    </row>
    <row r="760" spans="1:3" ht="13" x14ac:dyDescent="0.15">
      <c r="A760" s="10"/>
      <c r="B760" s="13"/>
      <c r="C760" s="13"/>
    </row>
    <row r="761" spans="1:3" ht="13" x14ac:dyDescent="0.15">
      <c r="A761" s="10"/>
      <c r="B761" s="13"/>
      <c r="C761" s="13"/>
    </row>
    <row r="762" spans="1:3" ht="13" x14ac:dyDescent="0.15">
      <c r="A762" s="10"/>
      <c r="B762" s="13"/>
      <c r="C762" s="13"/>
    </row>
    <row r="763" spans="1:3" ht="13" x14ac:dyDescent="0.15">
      <c r="A763" s="10"/>
      <c r="B763" s="13"/>
      <c r="C763" s="13"/>
    </row>
    <row r="764" spans="1:3" ht="13" x14ac:dyDescent="0.15">
      <c r="A764" s="10"/>
      <c r="B764" s="13"/>
      <c r="C764" s="13"/>
    </row>
    <row r="765" spans="1:3" ht="13" x14ac:dyDescent="0.15">
      <c r="A765" s="10"/>
      <c r="B765" s="13"/>
      <c r="C765" s="13"/>
    </row>
    <row r="766" spans="1:3" ht="13" x14ac:dyDescent="0.15">
      <c r="A766" s="10"/>
      <c r="B766" s="13"/>
      <c r="C766" s="13"/>
    </row>
    <row r="767" spans="1:3" ht="13" x14ac:dyDescent="0.15">
      <c r="A767" s="10"/>
      <c r="B767" s="13"/>
      <c r="C767" s="13"/>
    </row>
    <row r="768" spans="1:3" ht="13" x14ac:dyDescent="0.15">
      <c r="A768" s="10"/>
      <c r="B768" s="13"/>
      <c r="C768" s="13"/>
    </row>
    <row r="769" spans="1:3" ht="13" x14ac:dyDescent="0.15">
      <c r="A769" s="10"/>
      <c r="B769" s="13"/>
      <c r="C769" s="13"/>
    </row>
    <row r="770" spans="1:3" ht="13" x14ac:dyDescent="0.15">
      <c r="A770" s="10"/>
      <c r="B770" s="13"/>
      <c r="C770" s="13"/>
    </row>
    <row r="771" spans="1:3" ht="13" x14ac:dyDescent="0.15">
      <c r="A771" s="10"/>
      <c r="B771" s="13"/>
      <c r="C771" s="13"/>
    </row>
    <row r="772" spans="1:3" ht="13" x14ac:dyDescent="0.15">
      <c r="A772" s="10"/>
      <c r="B772" s="13"/>
      <c r="C772" s="13"/>
    </row>
    <row r="773" spans="1:3" ht="13" x14ac:dyDescent="0.15">
      <c r="A773" s="10"/>
      <c r="B773" s="13"/>
      <c r="C773" s="13"/>
    </row>
    <row r="774" spans="1:3" ht="13" x14ac:dyDescent="0.15">
      <c r="A774" s="10"/>
      <c r="B774" s="13"/>
      <c r="C774" s="13"/>
    </row>
    <row r="775" spans="1:3" ht="13" x14ac:dyDescent="0.15">
      <c r="A775" s="10"/>
      <c r="B775" s="13"/>
      <c r="C775" s="13"/>
    </row>
    <row r="776" spans="1:3" ht="13" x14ac:dyDescent="0.15">
      <c r="A776" s="10"/>
      <c r="B776" s="13"/>
      <c r="C776" s="13"/>
    </row>
    <row r="777" spans="1:3" ht="13" x14ac:dyDescent="0.15">
      <c r="A777" s="10"/>
      <c r="B777" s="13"/>
      <c r="C777" s="13"/>
    </row>
    <row r="778" spans="1:3" ht="13" x14ac:dyDescent="0.15">
      <c r="A778" s="10"/>
      <c r="B778" s="13"/>
      <c r="C778" s="13"/>
    </row>
    <row r="779" spans="1:3" ht="13" x14ac:dyDescent="0.15">
      <c r="A779" s="10"/>
      <c r="B779" s="13"/>
      <c r="C779" s="13"/>
    </row>
    <row r="780" spans="1:3" ht="13" x14ac:dyDescent="0.15">
      <c r="A780" s="10"/>
      <c r="B780" s="13"/>
      <c r="C780" s="13"/>
    </row>
    <row r="781" spans="1:3" ht="13" x14ac:dyDescent="0.15">
      <c r="A781" s="10"/>
      <c r="B781" s="13"/>
      <c r="C781" s="13"/>
    </row>
    <row r="782" spans="1:3" ht="13" x14ac:dyDescent="0.15">
      <c r="A782" s="10"/>
      <c r="B782" s="13"/>
      <c r="C782" s="13"/>
    </row>
    <row r="783" spans="1:3" ht="13" x14ac:dyDescent="0.15">
      <c r="A783" s="10"/>
      <c r="B783" s="13"/>
      <c r="C783" s="13"/>
    </row>
    <row r="784" spans="1:3" ht="13" x14ac:dyDescent="0.15">
      <c r="A784" s="10"/>
      <c r="B784" s="13"/>
      <c r="C784" s="13"/>
    </row>
    <row r="785" spans="1:3" ht="13" x14ac:dyDescent="0.15">
      <c r="A785" s="10"/>
      <c r="B785" s="13"/>
      <c r="C785" s="13"/>
    </row>
    <row r="786" spans="1:3" ht="13" x14ac:dyDescent="0.15">
      <c r="A786" s="10"/>
      <c r="B786" s="13"/>
      <c r="C786" s="13"/>
    </row>
    <row r="787" spans="1:3" ht="13" x14ac:dyDescent="0.15">
      <c r="A787" s="10"/>
      <c r="B787" s="13"/>
      <c r="C787" s="13"/>
    </row>
    <row r="788" spans="1:3" ht="13" x14ac:dyDescent="0.15">
      <c r="A788" s="10"/>
      <c r="B788" s="13"/>
      <c r="C788" s="13"/>
    </row>
    <row r="789" spans="1:3" ht="13" x14ac:dyDescent="0.15">
      <c r="A789" s="10"/>
      <c r="B789" s="13"/>
      <c r="C789" s="13"/>
    </row>
    <row r="790" spans="1:3" ht="13" x14ac:dyDescent="0.15">
      <c r="A790" s="10"/>
      <c r="B790" s="13"/>
      <c r="C790" s="13"/>
    </row>
    <row r="791" spans="1:3" ht="13" x14ac:dyDescent="0.15">
      <c r="A791" s="10"/>
      <c r="B791" s="13"/>
      <c r="C791" s="13"/>
    </row>
    <row r="792" spans="1:3" ht="13" x14ac:dyDescent="0.15">
      <c r="A792" s="10"/>
      <c r="B792" s="13"/>
      <c r="C792" s="13"/>
    </row>
    <row r="793" spans="1:3" ht="13" x14ac:dyDescent="0.15">
      <c r="A793" s="10"/>
      <c r="B793" s="13"/>
      <c r="C793" s="13"/>
    </row>
    <row r="794" spans="1:3" ht="13" x14ac:dyDescent="0.15">
      <c r="A794" s="10"/>
      <c r="B794" s="13"/>
      <c r="C794" s="13"/>
    </row>
    <row r="795" spans="1:3" ht="13" x14ac:dyDescent="0.15">
      <c r="A795" s="10"/>
      <c r="B795" s="13"/>
      <c r="C795" s="13"/>
    </row>
    <row r="796" spans="1:3" ht="13" x14ac:dyDescent="0.15">
      <c r="A796" s="10"/>
      <c r="B796" s="13"/>
      <c r="C796" s="13"/>
    </row>
    <row r="797" spans="1:3" ht="13" x14ac:dyDescent="0.15">
      <c r="A797" s="10"/>
      <c r="B797" s="13"/>
      <c r="C797" s="13"/>
    </row>
    <row r="798" spans="1:3" ht="13" x14ac:dyDescent="0.15">
      <c r="A798" s="10"/>
      <c r="B798" s="13"/>
      <c r="C798" s="13"/>
    </row>
    <row r="799" spans="1:3" ht="13" x14ac:dyDescent="0.15">
      <c r="A799" s="10"/>
      <c r="B799" s="13"/>
      <c r="C799" s="13"/>
    </row>
    <row r="800" spans="1:3" ht="13" x14ac:dyDescent="0.15">
      <c r="A800" s="10"/>
      <c r="B800" s="13"/>
      <c r="C800" s="13"/>
    </row>
    <row r="801" spans="1:3" ht="13" x14ac:dyDescent="0.15">
      <c r="A801" s="10"/>
      <c r="B801" s="13"/>
      <c r="C801" s="13"/>
    </row>
    <row r="802" spans="1:3" ht="13" x14ac:dyDescent="0.15">
      <c r="A802" s="10"/>
      <c r="B802" s="13"/>
      <c r="C802" s="13"/>
    </row>
    <row r="803" spans="1:3" ht="13" x14ac:dyDescent="0.15">
      <c r="A803" s="10"/>
      <c r="B803" s="13"/>
      <c r="C803" s="13"/>
    </row>
    <row r="804" spans="1:3" ht="13" x14ac:dyDescent="0.15">
      <c r="A804" s="10"/>
      <c r="B804" s="13"/>
      <c r="C804" s="13"/>
    </row>
    <row r="805" spans="1:3" ht="13" x14ac:dyDescent="0.15">
      <c r="A805" s="10"/>
      <c r="B805" s="13"/>
      <c r="C805" s="13"/>
    </row>
    <row r="806" spans="1:3" ht="13" x14ac:dyDescent="0.15">
      <c r="A806" s="10"/>
      <c r="B806" s="13"/>
      <c r="C806" s="13"/>
    </row>
    <row r="807" spans="1:3" ht="13" x14ac:dyDescent="0.15">
      <c r="A807" s="10"/>
      <c r="B807" s="13"/>
      <c r="C807" s="13"/>
    </row>
    <row r="808" spans="1:3" ht="13" x14ac:dyDescent="0.15">
      <c r="A808" s="10"/>
      <c r="B808" s="13"/>
      <c r="C808" s="13"/>
    </row>
    <row r="809" spans="1:3" ht="13" x14ac:dyDescent="0.15">
      <c r="A809" s="10"/>
      <c r="B809" s="13"/>
      <c r="C809" s="13"/>
    </row>
    <row r="810" spans="1:3" ht="13" x14ac:dyDescent="0.15">
      <c r="A810" s="10"/>
      <c r="B810" s="13"/>
      <c r="C810" s="13"/>
    </row>
    <row r="811" spans="1:3" ht="13" x14ac:dyDescent="0.15">
      <c r="A811" s="10"/>
      <c r="B811" s="13"/>
      <c r="C811" s="13"/>
    </row>
    <row r="812" spans="1:3" ht="13" x14ac:dyDescent="0.15">
      <c r="A812" s="10"/>
      <c r="B812" s="13"/>
      <c r="C812" s="13"/>
    </row>
    <row r="813" spans="1:3" ht="13" x14ac:dyDescent="0.15">
      <c r="A813" s="10"/>
      <c r="B813" s="13"/>
      <c r="C813" s="13"/>
    </row>
    <row r="814" spans="1:3" ht="13" x14ac:dyDescent="0.15">
      <c r="A814" s="10"/>
      <c r="B814" s="13"/>
      <c r="C814" s="13"/>
    </row>
    <row r="815" spans="1:3" ht="13" x14ac:dyDescent="0.15">
      <c r="A815" s="10"/>
      <c r="B815" s="13"/>
      <c r="C815" s="13"/>
    </row>
    <row r="816" spans="1:3" ht="13" x14ac:dyDescent="0.15">
      <c r="A816" s="10"/>
      <c r="B816" s="13"/>
      <c r="C816" s="13"/>
    </row>
    <row r="817" spans="1:3" ht="13" x14ac:dyDescent="0.15">
      <c r="A817" s="10"/>
      <c r="B817" s="13"/>
      <c r="C817" s="13"/>
    </row>
    <row r="818" spans="1:3" ht="13" x14ac:dyDescent="0.15">
      <c r="A818" s="10"/>
      <c r="B818" s="13"/>
      <c r="C818" s="13"/>
    </row>
    <row r="819" spans="1:3" ht="13" x14ac:dyDescent="0.15">
      <c r="A819" s="10"/>
      <c r="B819" s="13"/>
      <c r="C819" s="13"/>
    </row>
    <row r="820" spans="1:3" ht="13" x14ac:dyDescent="0.15">
      <c r="A820" s="10"/>
      <c r="B820" s="13"/>
      <c r="C820" s="13"/>
    </row>
    <row r="821" spans="1:3" ht="13" x14ac:dyDescent="0.15">
      <c r="A821" s="10"/>
      <c r="B821" s="13"/>
      <c r="C821" s="13"/>
    </row>
    <row r="822" spans="1:3" ht="13" x14ac:dyDescent="0.15">
      <c r="A822" s="10"/>
      <c r="B822" s="13"/>
      <c r="C822" s="13"/>
    </row>
    <row r="823" spans="1:3" ht="13" x14ac:dyDescent="0.15">
      <c r="A823" s="10"/>
      <c r="B823" s="13"/>
      <c r="C823" s="13"/>
    </row>
    <row r="824" spans="1:3" ht="13" x14ac:dyDescent="0.15">
      <c r="A824" s="10"/>
      <c r="B824" s="13"/>
      <c r="C824" s="13"/>
    </row>
    <row r="825" spans="1:3" ht="13" x14ac:dyDescent="0.15">
      <c r="A825" s="10"/>
      <c r="B825" s="13"/>
      <c r="C825" s="13"/>
    </row>
    <row r="826" spans="1:3" ht="13" x14ac:dyDescent="0.15">
      <c r="A826" s="10"/>
      <c r="B826" s="13"/>
      <c r="C826" s="13"/>
    </row>
    <row r="827" spans="1:3" ht="13" x14ac:dyDescent="0.15">
      <c r="A827" s="10"/>
      <c r="B827" s="13"/>
      <c r="C827" s="13"/>
    </row>
    <row r="828" spans="1:3" ht="13" x14ac:dyDescent="0.15">
      <c r="A828" s="10"/>
      <c r="B828" s="13"/>
      <c r="C828" s="13"/>
    </row>
    <row r="829" spans="1:3" ht="13" x14ac:dyDescent="0.15">
      <c r="A829" s="10"/>
      <c r="B829" s="13"/>
      <c r="C829" s="13"/>
    </row>
    <row r="830" spans="1:3" ht="13" x14ac:dyDescent="0.15">
      <c r="A830" s="10"/>
      <c r="B830" s="13"/>
      <c r="C830" s="13"/>
    </row>
    <row r="831" spans="1:3" ht="13" x14ac:dyDescent="0.15">
      <c r="A831" s="10"/>
      <c r="B831" s="13"/>
      <c r="C831" s="13"/>
    </row>
    <row r="832" spans="1:3" ht="13" x14ac:dyDescent="0.15">
      <c r="A832" s="10"/>
      <c r="B832" s="13"/>
      <c r="C832" s="13"/>
    </row>
    <row r="833" spans="1:3" ht="13" x14ac:dyDescent="0.15">
      <c r="A833" s="10"/>
      <c r="B833" s="13"/>
      <c r="C833" s="13"/>
    </row>
    <row r="834" spans="1:3" ht="13" x14ac:dyDescent="0.15">
      <c r="A834" s="10"/>
      <c r="B834" s="13"/>
      <c r="C834" s="13"/>
    </row>
    <row r="835" spans="1:3" ht="13" x14ac:dyDescent="0.15">
      <c r="A835" s="10"/>
      <c r="B835" s="13"/>
      <c r="C835" s="13"/>
    </row>
    <row r="836" spans="1:3" ht="13" x14ac:dyDescent="0.15">
      <c r="A836" s="10"/>
      <c r="B836" s="13"/>
      <c r="C836" s="13"/>
    </row>
    <row r="837" spans="1:3" ht="13" x14ac:dyDescent="0.15">
      <c r="A837" s="10"/>
      <c r="B837" s="13"/>
      <c r="C837" s="13"/>
    </row>
    <row r="838" spans="1:3" ht="13" x14ac:dyDescent="0.15">
      <c r="A838" s="10"/>
      <c r="B838" s="13"/>
      <c r="C838" s="13"/>
    </row>
    <row r="839" spans="1:3" ht="13" x14ac:dyDescent="0.15">
      <c r="A839" s="10"/>
      <c r="B839" s="13"/>
      <c r="C839" s="13"/>
    </row>
    <row r="840" spans="1:3" ht="13" x14ac:dyDescent="0.15">
      <c r="A840" s="10"/>
      <c r="B840" s="13"/>
      <c r="C840" s="13"/>
    </row>
    <row r="841" spans="1:3" ht="13" x14ac:dyDescent="0.15">
      <c r="A841" s="10"/>
      <c r="B841" s="13"/>
      <c r="C841" s="13"/>
    </row>
    <row r="842" spans="1:3" ht="13" x14ac:dyDescent="0.15">
      <c r="A842" s="10"/>
      <c r="B842" s="13"/>
      <c r="C842" s="13"/>
    </row>
    <row r="843" spans="1:3" ht="13" x14ac:dyDescent="0.15">
      <c r="A843" s="10"/>
      <c r="B843" s="13"/>
      <c r="C843" s="13"/>
    </row>
    <row r="844" spans="1:3" ht="13" x14ac:dyDescent="0.15">
      <c r="A844" s="10"/>
      <c r="B844" s="13"/>
      <c r="C844" s="13"/>
    </row>
    <row r="845" spans="1:3" ht="13" x14ac:dyDescent="0.15">
      <c r="A845" s="10"/>
      <c r="B845" s="13"/>
      <c r="C845" s="13"/>
    </row>
    <row r="846" spans="1:3" ht="13" x14ac:dyDescent="0.15">
      <c r="A846" s="10"/>
      <c r="B846" s="13"/>
      <c r="C846" s="13"/>
    </row>
    <row r="847" spans="1:3" ht="13" x14ac:dyDescent="0.15">
      <c r="A847" s="10"/>
      <c r="B847" s="13"/>
      <c r="C847" s="13"/>
    </row>
    <row r="848" spans="1:3" ht="13" x14ac:dyDescent="0.15">
      <c r="A848" s="10"/>
      <c r="B848" s="13"/>
      <c r="C848" s="13"/>
    </row>
    <row r="849" spans="1:3" ht="13" x14ac:dyDescent="0.15">
      <c r="A849" s="10"/>
      <c r="B849" s="13"/>
      <c r="C849" s="13"/>
    </row>
    <row r="850" spans="1:3" ht="13" x14ac:dyDescent="0.15">
      <c r="A850" s="10"/>
      <c r="B850" s="13"/>
      <c r="C850" s="13"/>
    </row>
    <row r="851" spans="1:3" ht="13" x14ac:dyDescent="0.15">
      <c r="A851" s="10"/>
      <c r="B851" s="13"/>
      <c r="C851" s="13"/>
    </row>
    <row r="852" spans="1:3" ht="13" x14ac:dyDescent="0.15">
      <c r="A852" s="10"/>
      <c r="B852" s="13"/>
      <c r="C852" s="13"/>
    </row>
    <row r="853" spans="1:3" ht="13" x14ac:dyDescent="0.15">
      <c r="A853" s="10"/>
      <c r="B853" s="13"/>
      <c r="C853" s="13"/>
    </row>
    <row r="854" spans="1:3" ht="13" x14ac:dyDescent="0.15">
      <c r="A854" s="10"/>
      <c r="B854" s="13"/>
      <c r="C854" s="13"/>
    </row>
    <row r="855" spans="1:3" ht="13" x14ac:dyDescent="0.15">
      <c r="A855" s="10"/>
      <c r="B855" s="13"/>
      <c r="C855" s="13"/>
    </row>
    <row r="856" spans="1:3" ht="13" x14ac:dyDescent="0.15">
      <c r="A856" s="10"/>
      <c r="B856" s="13"/>
      <c r="C856" s="13"/>
    </row>
    <row r="857" spans="1:3" ht="13" x14ac:dyDescent="0.15">
      <c r="A857" s="10"/>
      <c r="B857" s="13"/>
      <c r="C857" s="13"/>
    </row>
    <row r="858" spans="1:3" ht="13" x14ac:dyDescent="0.15">
      <c r="A858" s="10"/>
      <c r="B858" s="13"/>
      <c r="C858" s="13"/>
    </row>
    <row r="859" spans="1:3" ht="13" x14ac:dyDescent="0.15">
      <c r="A859" s="10"/>
      <c r="B859" s="13"/>
      <c r="C859" s="13"/>
    </row>
    <row r="860" spans="1:3" ht="13" x14ac:dyDescent="0.15">
      <c r="A860" s="10"/>
      <c r="B860" s="13"/>
      <c r="C860" s="13"/>
    </row>
    <row r="861" spans="1:3" ht="13" x14ac:dyDescent="0.15">
      <c r="A861" s="10"/>
      <c r="B861" s="13"/>
      <c r="C861" s="13"/>
    </row>
    <row r="862" spans="1:3" ht="13" x14ac:dyDescent="0.15">
      <c r="A862" s="10"/>
      <c r="B862" s="13"/>
      <c r="C862" s="13"/>
    </row>
    <row r="863" spans="1:3" ht="13" x14ac:dyDescent="0.15">
      <c r="A863" s="10"/>
      <c r="B863" s="13"/>
      <c r="C863" s="13"/>
    </row>
    <row r="864" spans="1:3" ht="13" x14ac:dyDescent="0.15">
      <c r="A864" s="10"/>
      <c r="B864" s="13"/>
      <c r="C864" s="13"/>
    </row>
    <row r="865" spans="1:3" ht="13" x14ac:dyDescent="0.15">
      <c r="A865" s="10"/>
      <c r="B865" s="13"/>
      <c r="C865" s="13"/>
    </row>
    <row r="866" spans="1:3" ht="13" x14ac:dyDescent="0.15">
      <c r="A866" s="10"/>
      <c r="B866" s="13"/>
      <c r="C866" s="13"/>
    </row>
    <row r="867" spans="1:3" ht="13" x14ac:dyDescent="0.15">
      <c r="A867" s="10"/>
      <c r="B867" s="13"/>
      <c r="C867" s="13"/>
    </row>
    <row r="868" spans="1:3" ht="13" x14ac:dyDescent="0.15">
      <c r="A868" s="10"/>
      <c r="B868" s="13"/>
      <c r="C868" s="13"/>
    </row>
    <row r="869" spans="1:3" ht="13" x14ac:dyDescent="0.15">
      <c r="A869" s="10"/>
      <c r="B869" s="13"/>
      <c r="C869" s="13"/>
    </row>
    <row r="870" spans="1:3" ht="13" x14ac:dyDescent="0.15">
      <c r="A870" s="10"/>
      <c r="B870" s="13"/>
      <c r="C870" s="13"/>
    </row>
    <row r="871" spans="1:3" ht="13" x14ac:dyDescent="0.15">
      <c r="A871" s="10"/>
      <c r="B871" s="13"/>
      <c r="C871" s="13"/>
    </row>
    <row r="872" spans="1:3" ht="13" x14ac:dyDescent="0.15">
      <c r="A872" s="10"/>
      <c r="B872" s="13"/>
      <c r="C872" s="13"/>
    </row>
    <row r="873" spans="1:3" ht="13" x14ac:dyDescent="0.15">
      <c r="A873" s="10"/>
      <c r="B873" s="13"/>
      <c r="C873" s="13"/>
    </row>
    <row r="874" spans="1:3" ht="13" x14ac:dyDescent="0.15">
      <c r="A874" s="10"/>
      <c r="B874" s="13"/>
      <c r="C874" s="13"/>
    </row>
    <row r="875" spans="1:3" ht="13" x14ac:dyDescent="0.15">
      <c r="A875" s="10"/>
      <c r="B875" s="13"/>
      <c r="C875" s="13"/>
    </row>
    <row r="876" spans="1:3" ht="13" x14ac:dyDescent="0.15">
      <c r="A876" s="10"/>
      <c r="B876" s="13"/>
      <c r="C876" s="13"/>
    </row>
    <row r="877" spans="1:3" ht="13" x14ac:dyDescent="0.15">
      <c r="A877" s="10"/>
      <c r="B877" s="13"/>
      <c r="C877" s="13"/>
    </row>
    <row r="878" spans="1:3" ht="13" x14ac:dyDescent="0.15">
      <c r="A878" s="10"/>
      <c r="B878" s="13"/>
      <c r="C878" s="13"/>
    </row>
    <row r="879" spans="1:3" ht="13" x14ac:dyDescent="0.15">
      <c r="A879" s="10"/>
      <c r="B879" s="13"/>
      <c r="C879" s="13"/>
    </row>
    <row r="880" spans="1:3" ht="13" x14ac:dyDescent="0.15">
      <c r="A880" s="10"/>
      <c r="B880" s="13"/>
      <c r="C880" s="13"/>
    </row>
    <row r="881" spans="1:3" ht="13" x14ac:dyDescent="0.15">
      <c r="A881" s="10"/>
      <c r="B881" s="13"/>
      <c r="C881" s="13"/>
    </row>
    <row r="882" spans="1:3" ht="13" x14ac:dyDescent="0.15">
      <c r="A882" s="10"/>
      <c r="B882" s="13"/>
      <c r="C882" s="13"/>
    </row>
    <row r="883" spans="1:3" ht="13" x14ac:dyDescent="0.15">
      <c r="A883" s="10"/>
      <c r="B883" s="13"/>
      <c r="C883" s="13"/>
    </row>
    <row r="884" spans="1:3" ht="13" x14ac:dyDescent="0.15">
      <c r="A884" s="10"/>
      <c r="B884" s="13"/>
      <c r="C884" s="13"/>
    </row>
    <row r="885" spans="1:3" ht="13" x14ac:dyDescent="0.15">
      <c r="A885" s="10"/>
      <c r="B885" s="13"/>
      <c r="C885" s="13"/>
    </row>
    <row r="886" spans="1:3" ht="13" x14ac:dyDescent="0.15">
      <c r="A886" s="10"/>
      <c r="B886" s="13"/>
      <c r="C886" s="13"/>
    </row>
    <row r="887" spans="1:3" ht="13" x14ac:dyDescent="0.15">
      <c r="A887" s="10"/>
      <c r="B887" s="13"/>
      <c r="C887" s="13"/>
    </row>
    <row r="888" spans="1:3" ht="13" x14ac:dyDescent="0.15">
      <c r="A888" s="10"/>
      <c r="B888" s="13"/>
      <c r="C888" s="13"/>
    </row>
    <row r="889" spans="1:3" ht="13" x14ac:dyDescent="0.15">
      <c r="A889" s="10"/>
      <c r="B889" s="13"/>
      <c r="C889" s="13"/>
    </row>
    <row r="890" spans="1:3" ht="13" x14ac:dyDescent="0.15">
      <c r="A890" s="10"/>
      <c r="B890" s="13"/>
      <c r="C890" s="13"/>
    </row>
    <row r="891" spans="1:3" ht="13" x14ac:dyDescent="0.15">
      <c r="A891" s="10"/>
      <c r="B891" s="13"/>
      <c r="C891" s="13"/>
    </row>
    <row r="892" spans="1:3" ht="13" x14ac:dyDescent="0.15">
      <c r="A892" s="10"/>
      <c r="B892" s="13"/>
      <c r="C892" s="13"/>
    </row>
    <row r="893" spans="1:3" ht="13" x14ac:dyDescent="0.15">
      <c r="A893" s="10"/>
      <c r="B893" s="13"/>
      <c r="C893" s="13"/>
    </row>
    <row r="894" spans="1:3" ht="13" x14ac:dyDescent="0.15">
      <c r="A894" s="10"/>
      <c r="B894" s="13"/>
      <c r="C894" s="13"/>
    </row>
    <row r="895" spans="1:3" ht="13" x14ac:dyDescent="0.15">
      <c r="A895" s="10"/>
      <c r="B895" s="13"/>
      <c r="C895" s="13"/>
    </row>
    <row r="896" spans="1:3" ht="13" x14ac:dyDescent="0.15">
      <c r="A896" s="10"/>
      <c r="B896" s="13"/>
      <c r="C896" s="13"/>
    </row>
    <row r="897" spans="1:3" ht="13" x14ac:dyDescent="0.15">
      <c r="A897" s="10"/>
      <c r="B897" s="13"/>
      <c r="C897" s="13"/>
    </row>
    <row r="898" spans="1:3" ht="13" x14ac:dyDescent="0.15">
      <c r="A898" s="10"/>
      <c r="B898" s="13"/>
      <c r="C898" s="13"/>
    </row>
    <row r="899" spans="1:3" ht="13" x14ac:dyDescent="0.15">
      <c r="A899" s="10"/>
      <c r="B899" s="13"/>
      <c r="C899" s="13"/>
    </row>
    <row r="900" spans="1:3" ht="13" x14ac:dyDescent="0.15">
      <c r="A900" s="10"/>
      <c r="B900" s="13"/>
      <c r="C900" s="13"/>
    </row>
    <row r="901" spans="1:3" ht="13" x14ac:dyDescent="0.15">
      <c r="A901" s="10"/>
      <c r="B901" s="13"/>
      <c r="C901" s="13"/>
    </row>
    <row r="902" spans="1:3" ht="13" x14ac:dyDescent="0.15">
      <c r="A902" s="10"/>
      <c r="B902" s="13"/>
      <c r="C902" s="13"/>
    </row>
    <row r="903" spans="1:3" ht="13" x14ac:dyDescent="0.15">
      <c r="A903" s="10"/>
      <c r="B903" s="13"/>
      <c r="C903" s="13"/>
    </row>
    <row r="904" spans="1:3" ht="13" x14ac:dyDescent="0.15">
      <c r="A904" s="10"/>
      <c r="B904" s="13"/>
      <c r="C904" s="13"/>
    </row>
    <row r="905" spans="1:3" ht="13" x14ac:dyDescent="0.15">
      <c r="A905" s="10"/>
      <c r="B905" s="13"/>
      <c r="C905" s="13"/>
    </row>
    <row r="906" spans="1:3" ht="13" x14ac:dyDescent="0.15">
      <c r="A906" s="10"/>
      <c r="B906" s="13"/>
      <c r="C906" s="13"/>
    </row>
    <row r="907" spans="1:3" ht="13" x14ac:dyDescent="0.15">
      <c r="A907" s="10"/>
      <c r="B907" s="13"/>
      <c r="C907" s="13"/>
    </row>
    <row r="908" spans="1:3" ht="13" x14ac:dyDescent="0.15">
      <c r="A908" s="10"/>
      <c r="B908" s="13"/>
      <c r="C908" s="13"/>
    </row>
    <row r="909" spans="1:3" ht="13" x14ac:dyDescent="0.15">
      <c r="A909" s="10"/>
      <c r="B909" s="13"/>
      <c r="C909" s="13"/>
    </row>
    <row r="910" spans="1:3" ht="13" x14ac:dyDescent="0.15">
      <c r="A910" s="10"/>
      <c r="B910" s="13"/>
      <c r="C910" s="13"/>
    </row>
    <row r="911" spans="1:3" ht="13" x14ac:dyDescent="0.15">
      <c r="A911" s="10"/>
      <c r="B911" s="13"/>
      <c r="C911" s="13"/>
    </row>
    <row r="912" spans="1:3" ht="13" x14ac:dyDescent="0.15">
      <c r="A912" s="10"/>
      <c r="B912" s="13"/>
      <c r="C912" s="13"/>
    </row>
    <row r="913" spans="1:3" ht="13" x14ac:dyDescent="0.15">
      <c r="A913" s="10"/>
      <c r="B913" s="13"/>
      <c r="C913" s="13"/>
    </row>
    <row r="914" spans="1:3" ht="13" x14ac:dyDescent="0.15">
      <c r="A914" s="10"/>
      <c r="B914" s="13"/>
      <c r="C914" s="13"/>
    </row>
    <row r="915" spans="1:3" ht="13" x14ac:dyDescent="0.15">
      <c r="A915" s="10"/>
      <c r="B915" s="13"/>
      <c r="C915" s="13"/>
    </row>
    <row r="916" spans="1:3" ht="13" x14ac:dyDescent="0.15">
      <c r="A916" s="10"/>
      <c r="B916" s="13"/>
      <c r="C916" s="13"/>
    </row>
    <row r="917" spans="1:3" ht="13" x14ac:dyDescent="0.15">
      <c r="A917" s="10"/>
      <c r="B917" s="13"/>
      <c r="C917" s="13"/>
    </row>
    <row r="918" spans="1:3" ht="13" x14ac:dyDescent="0.15">
      <c r="A918" s="10"/>
      <c r="B918" s="13"/>
      <c r="C918" s="13"/>
    </row>
    <row r="919" spans="1:3" ht="13" x14ac:dyDescent="0.15">
      <c r="A919" s="10"/>
      <c r="B919" s="13"/>
      <c r="C919" s="13"/>
    </row>
    <row r="920" spans="1:3" ht="13" x14ac:dyDescent="0.15">
      <c r="A920" s="10"/>
      <c r="B920" s="13"/>
      <c r="C920" s="13"/>
    </row>
    <row r="921" spans="1:3" ht="13" x14ac:dyDescent="0.15">
      <c r="A921" s="10"/>
      <c r="B921" s="13"/>
      <c r="C921" s="13"/>
    </row>
    <row r="922" spans="1:3" ht="13" x14ac:dyDescent="0.15">
      <c r="A922" s="10"/>
      <c r="B922" s="13"/>
      <c r="C922" s="13"/>
    </row>
    <row r="923" spans="1:3" ht="13" x14ac:dyDescent="0.15">
      <c r="A923" s="10"/>
      <c r="B923" s="13"/>
      <c r="C923" s="13"/>
    </row>
    <row r="924" spans="1:3" ht="13" x14ac:dyDescent="0.15">
      <c r="A924" s="10"/>
      <c r="B924" s="13"/>
      <c r="C924" s="13"/>
    </row>
    <row r="925" spans="1:3" ht="13" x14ac:dyDescent="0.15">
      <c r="A925" s="10"/>
      <c r="B925" s="13"/>
      <c r="C925" s="13"/>
    </row>
    <row r="926" spans="1:3" ht="13" x14ac:dyDescent="0.15">
      <c r="A926" s="10"/>
      <c r="B926" s="13"/>
      <c r="C926" s="13"/>
    </row>
    <row r="927" spans="1:3" ht="13" x14ac:dyDescent="0.15">
      <c r="A927" s="10"/>
      <c r="B927" s="13"/>
      <c r="C927" s="13"/>
    </row>
    <row r="928" spans="1:3" ht="13" x14ac:dyDescent="0.15">
      <c r="A928" s="10"/>
      <c r="B928" s="13"/>
      <c r="C928" s="13"/>
    </row>
    <row r="929" spans="1:3" ht="13" x14ac:dyDescent="0.15">
      <c r="A929" s="10"/>
      <c r="B929" s="13"/>
      <c r="C929" s="13"/>
    </row>
    <row r="930" spans="1:3" ht="13" x14ac:dyDescent="0.15">
      <c r="A930" s="10"/>
      <c r="B930" s="13"/>
      <c r="C930" s="13"/>
    </row>
    <row r="931" spans="1:3" ht="13" x14ac:dyDescent="0.15">
      <c r="A931" s="10"/>
      <c r="B931" s="13"/>
      <c r="C931" s="13"/>
    </row>
    <row r="932" spans="1:3" ht="13" x14ac:dyDescent="0.15">
      <c r="A932" s="10"/>
      <c r="B932" s="13"/>
      <c r="C932" s="13"/>
    </row>
    <row r="933" spans="1:3" ht="13" x14ac:dyDescent="0.15">
      <c r="A933" s="10"/>
      <c r="B933" s="13"/>
      <c r="C933" s="13"/>
    </row>
    <row r="934" spans="1:3" ht="13" x14ac:dyDescent="0.15">
      <c r="A934" s="10"/>
      <c r="B934" s="13"/>
      <c r="C934" s="13"/>
    </row>
    <row r="935" spans="1:3" ht="13" x14ac:dyDescent="0.15">
      <c r="A935" s="10"/>
      <c r="B935" s="13"/>
      <c r="C935" s="13"/>
    </row>
    <row r="936" spans="1:3" ht="13" x14ac:dyDescent="0.15">
      <c r="A936" s="10"/>
      <c r="B936" s="13"/>
      <c r="C936" s="13"/>
    </row>
    <row r="937" spans="1:3" ht="13" x14ac:dyDescent="0.15">
      <c r="A937" s="10"/>
      <c r="B937" s="13"/>
      <c r="C937" s="13"/>
    </row>
    <row r="938" spans="1:3" ht="13" x14ac:dyDescent="0.15">
      <c r="A938" s="10"/>
      <c r="B938" s="13"/>
      <c r="C938" s="13"/>
    </row>
    <row r="939" spans="1:3" ht="13" x14ac:dyDescent="0.15">
      <c r="A939" s="10"/>
      <c r="B939" s="13"/>
      <c r="C939" s="13"/>
    </row>
    <row r="940" spans="1:3" ht="13" x14ac:dyDescent="0.15">
      <c r="A940" s="10"/>
      <c r="B940" s="13"/>
      <c r="C940" s="13"/>
    </row>
    <row r="941" spans="1:3" ht="13" x14ac:dyDescent="0.15">
      <c r="A941" s="10"/>
      <c r="B941" s="13"/>
      <c r="C941" s="13"/>
    </row>
    <row r="942" spans="1:3" ht="13" x14ac:dyDescent="0.15">
      <c r="A942" s="10"/>
      <c r="B942" s="13"/>
      <c r="C942" s="13"/>
    </row>
    <row r="943" spans="1:3" ht="13" x14ac:dyDescent="0.15">
      <c r="A943" s="10"/>
      <c r="B943" s="13"/>
      <c r="C943" s="13"/>
    </row>
    <row r="944" spans="1:3" ht="13" x14ac:dyDescent="0.15">
      <c r="A944" s="10"/>
      <c r="B944" s="13"/>
      <c r="C944" s="13"/>
    </row>
    <row r="945" spans="1:3" ht="13" x14ac:dyDescent="0.15">
      <c r="A945" s="10"/>
      <c r="B945" s="13"/>
      <c r="C945" s="13"/>
    </row>
    <row r="946" spans="1:3" ht="13" x14ac:dyDescent="0.15">
      <c r="A946" s="10"/>
      <c r="B946" s="13"/>
      <c r="C946" s="13"/>
    </row>
    <row r="947" spans="1:3" ht="13" x14ac:dyDescent="0.15">
      <c r="A947" s="10"/>
      <c r="B947" s="13"/>
      <c r="C947" s="13"/>
    </row>
    <row r="948" spans="1:3" ht="13" x14ac:dyDescent="0.15">
      <c r="A948" s="10"/>
      <c r="B948" s="13"/>
      <c r="C948" s="13"/>
    </row>
    <row r="949" spans="1:3" ht="13" x14ac:dyDescent="0.15">
      <c r="A949" s="10"/>
      <c r="B949" s="13"/>
      <c r="C949" s="13"/>
    </row>
    <row r="950" spans="1:3" ht="13" x14ac:dyDescent="0.15">
      <c r="A950" s="10"/>
      <c r="B950" s="13"/>
      <c r="C950" s="13"/>
    </row>
    <row r="951" spans="1:3" ht="13" x14ac:dyDescent="0.15">
      <c r="A951" s="10"/>
      <c r="B951" s="13"/>
      <c r="C951" s="13"/>
    </row>
    <row r="952" spans="1:3" ht="13" x14ac:dyDescent="0.15">
      <c r="A952" s="10"/>
      <c r="B952" s="13"/>
      <c r="C952" s="13"/>
    </row>
    <row r="953" spans="1:3" ht="13" x14ac:dyDescent="0.15">
      <c r="A953" s="10"/>
      <c r="B953" s="13"/>
      <c r="C953" s="13"/>
    </row>
    <row r="954" spans="1:3" ht="13" x14ac:dyDescent="0.15">
      <c r="A954" s="10"/>
      <c r="B954" s="13"/>
      <c r="C954" s="13"/>
    </row>
    <row r="955" spans="1:3" ht="13" x14ac:dyDescent="0.15">
      <c r="A955" s="10"/>
      <c r="B955" s="13"/>
      <c r="C955" s="13"/>
    </row>
    <row r="956" spans="1:3" ht="13" x14ac:dyDescent="0.15">
      <c r="A956" s="10"/>
      <c r="B956" s="13"/>
      <c r="C956" s="13"/>
    </row>
    <row r="957" spans="1:3" ht="13" x14ac:dyDescent="0.15">
      <c r="A957" s="10"/>
      <c r="B957" s="13"/>
      <c r="C957" s="13"/>
    </row>
    <row r="958" spans="1:3" ht="13" x14ac:dyDescent="0.15">
      <c r="A958" s="10"/>
      <c r="B958" s="13"/>
      <c r="C958" s="13"/>
    </row>
    <row r="959" spans="1:3" ht="13" x14ac:dyDescent="0.15">
      <c r="A959" s="10"/>
      <c r="B959" s="13"/>
      <c r="C959" s="13"/>
    </row>
    <row r="960" spans="1:3" ht="13" x14ac:dyDescent="0.15">
      <c r="A960" s="10"/>
      <c r="B960" s="13"/>
      <c r="C960" s="13"/>
    </row>
    <row r="961" spans="1:3" ht="13" x14ac:dyDescent="0.15">
      <c r="A961" s="10"/>
      <c r="B961" s="13"/>
      <c r="C961" s="13"/>
    </row>
    <row r="962" spans="1:3" ht="13" x14ac:dyDescent="0.15">
      <c r="A962" s="10"/>
      <c r="B962" s="13"/>
      <c r="C962" s="13"/>
    </row>
    <row r="963" spans="1:3" ht="13" x14ac:dyDescent="0.15">
      <c r="A963" s="10"/>
      <c r="B963" s="13"/>
      <c r="C963" s="13"/>
    </row>
    <row r="964" spans="1:3" ht="13" x14ac:dyDescent="0.15">
      <c r="A964" s="10"/>
      <c r="B964" s="13"/>
      <c r="C964" s="13"/>
    </row>
    <row r="965" spans="1:3" ht="13" x14ac:dyDescent="0.15">
      <c r="A965" s="10"/>
      <c r="B965" s="13"/>
      <c r="C965" s="13"/>
    </row>
    <row r="966" spans="1:3" ht="13" x14ac:dyDescent="0.15">
      <c r="A966" s="10"/>
      <c r="B966" s="13"/>
      <c r="C966" s="13"/>
    </row>
    <row r="967" spans="1:3" ht="13" x14ac:dyDescent="0.15">
      <c r="A967" s="10"/>
      <c r="B967" s="13"/>
      <c r="C967" s="13"/>
    </row>
    <row r="968" spans="1:3" ht="13" x14ac:dyDescent="0.15">
      <c r="A968" s="10"/>
      <c r="B968" s="13"/>
      <c r="C968" s="13"/>
    </row>
    <row r="969" spans="1:3" ht="13" x14ac:dyDescent="0.15">
      <c r="A969" s="10"/>
      <c r="B969" s="13"/>
      <c r="C969" s="13"/>
    </row>
    <row r="970" spans="1:3" ht="13" x14ac:dyDescent="0.15">
      <c r="A970" s="10"/>
      <c r="B970" s="13"/>
      <c r="C970" s="13"/>
    </row>
    <row r="971" spans="1:3" ht="13" x14ac:dyDescent="0.15">
      <c r="A971" s="10"/>
      <c r="B971" s="13"/>
      <c r="C971" s="13"/>
    </row>
    <row r="972" spans="1:3" ht="13" x14ac:dyDescent="0.15">
      <c r="A972" s="10"/>
      <c r="B972" s="13"/>
      <c r="C972" s="13"/>
    </row>
    <row r="973" spans="1:3" ht="13" x14ac:dyDescent="0.15">
      <c r="A973" s="10"/>
      <c r="B973" s="13"/>
      <c r="C973" s="13"/>
    </row>
    <row r="974" spans="1:3" ht="13" x14ac:dyDescent="0.15">
      <c r="A974" s="10"/>
      <c r="B974" s="13"/>
      <c r="C974" s="13"/>
    </row>
    <row r="975" spans="1:3" ht="13" x14ac:dyDescent="0.15">
      <c r="A975" s="10"/>
      <c r="B975" s="13"/>
      <c r="C975" s="13"/>
    </row>
    <row r="976" spans="1:3" ht="13" x14ac:dyDescent="0.15">
      <c r="A976" s="10"/>
      <c r="B976" s="13"/>
      <c r="C976" s="13"/>
    </row>
    <row r="977" spans="1:3" ht="13" x14ac:dyDescent="0.15">
      <c r="A977" s="10"/>
      <c r="B977" s="13"/>
      <c r="C977" s="13"/>
    </row>
    <row r="978" spans="1:3" ht="13" x14ac:dyDescent="0.15">
      <c r="A978" s="10"/>
      <c r="B978" s="13"/>
      <c r="C978" s="13"/>
    </row>
    <row r="979" spans="1:3" ht="13" x14ac:dyDescent="0.15">
      <c r="A979" s="10"/>
      <c r="B979" s="13"/>
      <c r="C979" s="13"/>
    </row>
    <row r="980" spans="1:3" ht="13" x14ac:dyDescent="0.15">
      <c r="A980" s="10"/>
      <c r="B980" s="13"/>
      <c r="C980" s="13"/>
    </row>
    <row r="981" spans="1:3" ht="13" x14ac:dyDescent="0.15">
      <c r="A981" s="10"/>
      <c r="B981" s="13"/>
      <c r="C981" s="13"/>
    </row>
    <row r="982" spans="1:3" ht="13" x14ac:dyDescent="0.15">
      <c r="A982" s="10"/>
      <c r="B982" s="13"/>
      <c r="C982" s="13"/>
    </row>
    <row r="983" spans="1:3" ht="13" x14ac:dyDescent="0.15">
      <c r="A983" s="10"/>
      <c r="B983" s="13"/>
      <c r="C983" s="13"/>
    </row>
    <row r="984" spans="1:3" ht="13" x14ac:dyDescent="0.15">
      <c r="A984" s="10"/>
      <c r="B984" s="13"/>
      <c r="C984" s="13"/>
    </row>
    <row r="985" spans="1:3" ht="13" x14ac:dyDescent="0.15">
      <c r="A985" s="10"/>
      <c r="B985" s="13"/>
      <c r="C985" s="13"/>
    </row>
    <row r="986" spans="1:3" ht="13" x14ac:dyDescent="0.15">
      <c r="A986" s="10"/>
      <c r="B986" s="13"/>
      <c r="C986" s="13"/>
    </row>
    <row r="987" spans="1:3" ht="13" x14ac:dyDescent="0.15">
      <c r="A987" s="10"/>
      <c r="B987" s="13"/>
      <c r="C987" s="13"/>
    </row>
    <row r="988" spans="1:3" ht="13" x14ac:dyDescent="0.15">
      <c r="A988" s="10"/>
      <c r="B988" s="13"/>
      <c r="C988" s="13"/>
    </row>
    <row r="989" spans="1:3" ht="13" x14ac:dyDescent="0.15">
      <c r="A989" s="10"/>
      <c r="B989" s="13"/>
      <c r="C989" s="13"/>
    </row>
    <row r="990" spans="1:3" ht="13" x14ac:dyDescent="0.15">
      <c r="A990" s="10"/>
      <c r="B990" s="13"/>
      <c r="C990" s="13"/>
    </row>
    <row r="991" spans="1:3" ht="13" x14ac:dyDescent="0.15">
      <c r="A991" s="10"/>
      <c r="B991" s="13"/>
      <c r="C991" s="13"/>
    </row>
    <row r="992" spans="1:3" ht="13" x14ac:dyDescent="0.15">
      <c r="A992" s="10"/>
      <c r="B992" s="13"/>
      <c r="C992" s="13"/>
    </row>
    <row r="993" spans="1:3" ht="13" x14ac:dyDescent="0.15">
      <c r="A993" s="10"/>
      <c r="B993" s="13"/>
      <c r="C993" s="13"/>
    </row>
    <row r="994" spans="1:3" ht="13" x14ac:dyDescent="0.15">
      <c r="A994" s="10"/>
      <c r="B994" s="13"/>
      <c r="C994" s="13"/>
    </row>
    <row r="995" spans="1:3" ht="13" x14ac:dyDescent="0.15">
      <c r="A995" s="10"/>
      <c r="B995" s="13"/>
      <c r="C995" s="13"/>
    </row>
    <row r="996" spans="1:3" ht="13" x14ac:dyDescent="0.15">
      <c r="A996" s="10"/>
      <c r="B996" s="13"/>
      <c r="C996" s="13"/>
    </row>
    <row r="997" spans="1:3" ht="13" x14ac:dyDescent="0.15">
      <c r="A997" s="10"/>
      <c r="B997" s="13"/>
      <c r="C997" s="13"/>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outlinePr summaryBelow="0" summaryRight="0"/>
  </sheetPr>
  <dimension ref="A1:D997"/>
  <sheetViews>
    <sheetView workbookViewId="0"/>
  </sheetViews>
  <sheetFormatPr baseColWidth="10" defaultColWidth="12.6640625" defaultRowHeight="15.75" customHeight="1" x14ac:dyDescent="0.15"/>
  <cols>
    <col min="1" max="1" width="71.5" customWidth="1"/>
    <col min="2" max="4" width="37.6640625" customWidth="1"/>
  </cols>
  <sheetData>
    <row r="1" spans="1:4" ht="15.75" customHeight="1" x14ac:dyDescent="0.15">
      <c r="A1" s="1"/>
      <c r="B1" s="12" t="str">
        <f ca="1">IFERROR(__xludf.DUMMYFUNCTION("IMPORTRANGE(""https://docs.google.com/spreadsheets/u/0/d/1_NcUY7_L0-VKMwwoDwesshr7eGsHFBVPNg4YI6jkjhk"", ""A32!B1:B22"")"),"Noelle Labadens")</f>
        <v>Noelle Labadens</v>
      </c>
      <c r="C1" s="10" t="str">
        <f ca="1">IFERROR(__xludf.DUMMYFUNCTION("IMPORTRANGE(""https://docs.google.com/spreadsheets/u/0/d/1v3alDV9sI-Ng7OoZouCf4a0CI5tv_Xg2T3WprxxRGRs"", ""A32!B1:B22"")"),"Tyler")</f>
        <v>Tyler</v>
      </c>
      <c r="D1" s="2" t="s">
        <v>1</v>
      </c>
    </row>
    <row r="2" spans="1:4" ht="15.75" customHeight="1" x14ac:dyDescent="0.15">
      <c r="A2" s="3" t="s">
        <v>2</v>
      </c>
      <c r="B2" s="15" t="str">
        <f ca="1">IFERROR(__xludf.DUMMYFUNCTION("""COMPUTED_VALUE"""),"22596-22922 FOR")</f>
        <v>22596-22922 FOR</v>
      </c>
      <c r="C2" s="15" t="str">
        <f ca="1">IFERROR(__xludf.DUMMYFUNCTION("""COMPUTED_VALUE"""),"22596 to 22922 (Forward)")</f>
        <v>22596 to 22922 (Forward)</v>
      </c>
      <c r="D2" s="4"/>
    </row>
    <row r="3" spans="1:4" ht="15.75" customHeight="1" x14ac:dyDescent="0.15">
      <c r="A3" s="5" t="s">
        <v>3</v>
      </c>
      <c r="B3" s="17" t="str">
        <f ca="1">IFERROR(__xludf.DUMMYFUNCTION("""COMPUTED_VALUE"""),"DNA Master: 31; Phamerator: 32")</f>
        <v>DNA Master: 31; Phamerator: 32</v>
      </c>
      <c r="C3" s="17" t="str">
        <f ca="1">IFERROR(__xludf.DUMMYFUNCTION("""COMPUTED_VALUE"""),"DNA Master-31
Phamerator-32
")</f>
        <v xml:space="preserve">DNA Master-31
Phamerator-32
</v>
      </c>
      <c r="D3" s="6"/>
    </row>
    <row r="4" spans="1:4" ht="15.75" customHeight="1" x14ac:dyDescent="0.15">
      <c r="A4" s="5" t="s">
        <v>4</v>
      </c>
      <c r="B4" s="17" t="str">
        <f ca="1">IFERROR(__xludf.DUMMYFUNCTION("""COMPUTED_VALUE"""),"5202 3/10/25")</f>
        <v>5202 3/10/25</v>
      </c>
      <c r="C4" s="17" t="str">
        <f ca="1">IFERROR(__xludf.DUMMYFUNCTION("""COMPUTED_VALUE"""),"5202 3/10/25")</f>
        <v>5202 3/10/25</v>
      </c>
      <c r="D4" s="6"/>
    </row>
    <row r="5" spans="1:4" ht="15.75" customHeight="1" x14ac:dyDescent="0.15">
      <c r="A5" s="5" t="s">
        <v>5</v>
      </c>
      <c r="B5" s="17" t="str">
        <f ca="1">IFERROR(__xludf.DUMMYFUNCTION("""COMPUTED_VALUE"""),"Kovu_33, LiSara_31, Edmundo_31")</f>
        <v>Kovu_33, LiSara_31, Edmundo_31</v>
      </c>
      <c r="C5" s="17" t="str">
        <f ca="1">IFERROR(__xludf.DUMMYFUNCTION("""COMPUTED_VALUE"""),"Kovu_33 Edmundo_31")</f>
        <v>Kovu_33 Edmundo_31</v>
      </c>
      <c r="D5" s="6"/>
    </row>
    <row r="6" spans="1:4" ht="15.75" customHeight="1" x14ac:dyDescent="0.15">
      <c r="A6" s="5" t="s">
        <v>6</v>
      </c>
      <c r="B6" s="17" t="str">
        <f ca="1">IFERROR(__xludf.DUMMYFUNCTION("""COMPUTED_VALUE"""),"Both")</f>
        <v>Both</v>
      </c>
      <c r="C6" s="17" t="str">
        <f ca="1">IFERROR(__xludf.DUMMYFUNCTION("""COMPUTED_VALUE"""),"Both call @bp 22596 strength 11.95")</f>
        <v>Both call @bp 22596 strength 11.95</v>
      </c>
      <c r="D6" s="6"/>
    </row>
    <row r="7" spans="1:4" ht="15.75" customHeight="1" x14ac:dyDescent="0.15">
      <c r="A7" s="5" t="s">
        <v>7</v>
      </c>
      <c r="B7" s="17" t="str">
        <f ca="1">IFERROR(__xludf.DUMMYFUNCTION("""COMPUTED_VALUE"""),"good coding potential, captures all potential")</f>
        <v>good coding potential, captures all potential</v>
      </c>
      <c r="C7" s="17" t="str">
        <f ca="1">IFERROR(__xludf.DUMMYFUNCTION("""COMPUTED_VALUE"""),"yes, all coding potential included")</f>
        <v>yes, all coding potential included</v>
      </c>
      <c r="D7" s="6"/>
    </row>
    <row r="8" spans="1:4" ht="15.75" customHeight="1" x14ac:dyDescent="0.15">
      <c r="A8" s="5" t="s">
        <v>8</v>
      </c>
      <c r="B8" s="17" t="str">
        <f ca="1">IFERROR(__xludf.DUMMYFUNCTION("""COMPUTED_VALUE"""),"Yes")</f>
        <v>Yes</v>
      </c>
      <c r="C8" s="17" t="str">
        <f ca="1">IFERROR(__xludf.DUMMYFUNCTION("""COMPUTED_VALUE"""),"yes")</f>
        <v>yes</v>
      </c>
      <c r="D8" s="6"/>
    </row>
    <row r="9" spans="1:4" ht="15.75" customHeight="1" x14ac:dyDescent="0.15">
      <c r="A9" s="5" t="s">
        <v>9</v>
      </c>
      <c r="B9" s="17" t="str">
        <f ca="1">IFERROR(__xludf.DUMMYFUNCTION("""COMPUTED_VALUE"""),"6 nt overlap")</f>
        <v>6 nt overlap</v>
      </c>
      <c r="C9" s="17" t="str">
        <f ca="1">IFERROR(__xludf.DUMMYFUNCTION("""COMPUTED_VALUE"""),"overlap of 6 nt
")</f>
        <v xml:space="preserve">overlap of 6 nt
</v>
      </c>
      <c r="D9" s="6"/>
    </row>
    <row r="10" spans="1:4" ht="15.75" customHeight="1" x14ac:dyDescent="0.15">
      <c r="A10" s="5" t="s">
        <v>10</v>
      </c>
      <c r="B10" s="17" t="str">
        <f ca="1">IFERROR(__xludf.DUMMYFUNCTION("""COMPUTED_VALUE"""),"SD: -4.827; Z: 2.136")</f>
        <v>SD: -4.827; Z: 2.136</v>
      </c>
      <c r="C10" s="17" t="str">
        <f ca="1">IFERROR(__xludf.DUMMYFUNCTION("""COMPUTED_VALUE"""),"current start does not have highest Z score (2.060) the two starts that come after have a higher Z score (2.346); these starts would introduce a gap of about 19 nt")</f>
        <v>current start does not have highest Z score (2.060) the two starts that come after have a higher Z score (2.346); these starts would introduce a gap of about 19 nt</v>
      </c>
      <c r="D10" s="6"/>
    </row>
    <row r="11" spans="1:4" ht="15.75" customHeight="1" x14ac:dyDescent="0.15">
      <c r="A11" s="5" t="s">
        <v>11</v>
      </c>
      <c r="B11" s="17" t="str">
        <f ca="1">IFERROR(__xludf.DUMMYFUNCTION("""COMPUTED_VALUE"""),"Kovu_33, 89%, 4e-51, q:1 s:1")</f>
        <v>Kovu_33, 89%, 4e-51, q:1 s:1</v>
      </c>
      <c r="C11" s="17" t="str">
        <f ca="1">IFERROR(__xludf.DUMMYFUNCTION("""COMPUTED_VALUE"""),"Kovu_33; 89.72% identity; 0.0E0; Q1:T1
")</f>
        <v xml:space="preserve">Kovu_33; 89.72% identity; 0.0E0; Q1:T1
</v>
      </c>
      <c r="D11" s="6"/>
    </row>
    <row r="12" spans="1:4" ht="15.75" customHeight="1" x14ac:dyDescent="0.15">
      <c r="A12" s="5" t="s">
        <v>12</v>
      </c>
      <c r="B12" s="17" t="str">
        <f ca="1">IFERROR(__xludf.DUMMYFUNCTION("""COMPUTED_VALUE"""),"no, only found in Kovu and ApoKipo, called in both")</f>
        <v>no, only found in Kovu and ApoKipo, called in both</v>
      </c>
      <c r="C12" s="17" t="str">
        <f ca="1">IFERROR(__xludf.DUMMYFUNCTION("""COMPUTED_VALUE"""),"No, the start is called in ApoKipo and Kovu, the most called start is not included in these members
")</f>
        <v xml:space="preserve">No, the start is called in ApoKipo and Kovu, the most called start is not included in these members
</v>
      </c>
      <c r="D12" s="6"/>
    </row>
    <row r="13" spans="1:4" ht="15.75" customHeight="1" x14ac:dyDescent="0.15">
      <c r="A13" s="5" t="s">
        <v>13</v>
      </c>
      <c r="B13" s="17" t="str">
        <f ca="1">IFERROR(__xludf.DUMMYFUNCTION("""COMPUTED_VALUE"""),"no because it alligns with Kovu_33, is also called with Kovu, and has good coding potential")</f>
        <v>no because it alligns with Kovu_33, is also called with Kovu, and has good coding potential</v>
      </c>
      <c r="C13" s="17" t="str">
        <f ca="1">IFERROR(__xludf.DUMMYFUNCTION("""COMPUTED_VALUE"""),"No because of the similarities to Kovu, the good Z score, and if we change the start it would introduce a gap. ")</f>
        <v xml:space="preserve">No because of the similarities to Kovu, the good Z score, and if we change the start it would introduce a gap. </v>
      </c>
      <c r="D13" s="6"/>
    </row>
    <row r="14" spans="1:4" ht="15.75" customHeight="1" x14ac:dyDescent="0.15">
      <c r="A14" s="5" t="s">
        <v>14</v>
      </c>
      <c r="B14" s="17" t="str">
        <f ca="1">IFERROR(__xludf.DUMMYFUNCTION("""COMPUTED_VALUE"""),"Kovu_33 4e-51, Laroye_32 9e-27")</f>
        <v>Kovu_33 4e-51, Laroye_32 9e-27</v>
      </c>
      <c r="C14" s="17" t="str">
        <f ca="1">IFERROR(__xludf.DUMMYFUNCTION("""COMPUTED_VALUE"""),"Kovu_33 4e-51
Laroye_32 9e-27
")</f>
        <v xml:space="preserve">Kovu_33 4e-51
Laroye_32 9e-27
</v>
      </c>
      <c r="D14" s="6"/>
    </row>
    <row r="15" spans="1:4" ht="15.75" customHeight="1" x14ac:dyDescent="0.15">
      <c r="A15" s="5" t="s">
        <v>15</v>
      </c>
      <c r="B15" s="17" t="str">
        <f ca="1">IFERROR(__xludf.DUMMYFUNCTION("""COMPUTED_VALUE"""),"Head to Tail Stopper, Kovu_33, Laroye_32")</f>
        <v>Head to Tail Stopper, Kovu_33, Laroye_32</v>
      </c>
      <c r="C15" s="17" t="str">
        <f ca="1">IFERROR(__xludf.DUMMYFUNCTION("""COMPUTED_VALUE"""),"head-to-tail stopper")</f>
        <v>head-to-tail stopper</v>
      </c>
      <c r="D15" s="6"/>
    </row>
    <row r="16" spans="1:4" ht="15.75" customHeight="1" x14ac:dyDescent="0.15">
      <c r="A16" s="5" t="s">
        <v>16</v>
      </c>
      <c r="B16" s="17" t="str">
        <f ca="1">IFERROR(__xludf.DUMMYFUNCTION("""COMPUTED_VALUE"""),"yes, similar environment to Kovu, next to expected genes")</f>
        <v>yes, similar environment to Kovu, next to expected genes</v>
      </c>
      <c r="C16" s="17" t="str">
        <f ca="1">IFERROR(__xludf.DUMMYFUNCTION("""COMPUTED_VALUE"""),"Shares same genetic environment as Kovu 
Shares a similar genetic environment to Laroye
")</f>
        <v xml:space="preserve">Shares same genetic environment as Kovu 
Shares a similar genetic environment to Laroye
</v>
      </c>
      <c r="D16" s="6"/>
    </row>
    <row r="17" spans="1:4" ht="15.75" customHeight="1" x14ac:dyDescent="0.15">
      <c r="A17" s="5" t="s">
        <v>17</v>
      </c>
      <c r="B17" s="17" t="str">
        <f ca="1">IFERROR(__xludf.DUMMYFUNCTION("""COMPUTED_VALUE"""),"; minor_capsid_1 ; Minor capsid protein, 99.83% probability, Q: 90.74%, T: 92.45%, unable to find functional domain alignment  -&gt; needs further exploration ")</f>
        <v xml:space="preserve">; minor_capsid_1 ; Minor capsid protein, 99.83% probability, Q: 90.74%, T: 92.45%, unable to find functional domain alignment  -&gt; needs further exploration </v>
      </c>
      <c r="C17" s="17" t="str">
        <f ca="1">IFERROR(__xludf.DUMMYFUNCTION("""COMPUTED_VALUE"""),"Head completion protein: HCP16_BPSPP Head completion protein gp16 OS=Bacillus phage SPP1
%alignment Q: 90.7%
%alignment T: 89.9%
Yes
")</f>
        <v xml:space="preserve">Head completion protein: HCP16_BPSPP Head completion protein gp16 OS=Bacillus phage SPP1
%alignment Q: 90.7%
%alignment T: 89.9%
Yes
</v>
      </c>
      <c r="D17" s="6"/>
    </row>
    <row r="18" spans="1:4" ht="15.75" customHeight="1" x14ac:dyDescent="0.15">
      <c r="A18" s="5" t="s">
        <v>18</v>
      </c>
      <c r="B18" s="17" t="str">
        <f ca="1">IFERROR(__xludf.DUMMYFUNCTION("""COMPUTED_VALUE"""),"none")</f>
        <v>none</v>
      </c>
      <c r="C18" s="17" t="str">
        <f ca="1">IFERROR(__xludf.DUMMYFUNCTION("""COMPUTED_VALUE"""),"No")</f>
        <v>No</v>
      </c>
      <c r="D18" s="6"/>
    </row>
    <row r="19" spans="1:4" ht="15.75" customHeight="1" x14ac:dyDescent="0.15">
      <c r="A19" s="5" t="s">
        <v>19</v>
      </c>
      <c r="B19" s="17" t="str">
        <f ca="1">IFERROR(__xludf.DUMMYFUNCTION("""COMPUTED_VALUE"""),"yes, deeptmhmm")</f>
        <v>yes, deeptmhmm</v>
      </c>
      <c r="C19" s="17" t="str">
        <f ca="1">IFERROR(__xludf.DUMMYFUNCTION("""COMPUTED_VALUE"""),"Signal membrane protein ")</f>
        <v xml:space="preserve">Signal membrane protein </v>
      </c>
      <c r="D19" s="6"/>
    </row>
    <row r="20" spans="1:4" ht="15.75" customHeight="1" x14ac:dyDescent="0.15">
      <c r="A20" s="5" t="s">
        <v>20</v>
      </c>
      <c r="B20" s="17" t="str">
        <f ca="1">IFERROR(__xludf.DUMMYFUNCTION("""COMPUTED_VALUE"""),"Minor Capsid Protein; even though hhpred didnt give information of a functional domain, I know it cannot be a h-t. has good matches to minor capsid protein. may need to look back at.")</f>
        <v>Minor Capsid Protein; even though hhpred didnt give information of a functional domain, I know it cannot be a h-t. has good matches to minor capsid protein. may need to look back at.</v>
      </c>
      <c r="C20" s="17" t="str">
        <f ca="1">IFERROR(__xludf.DUMMYFUNCTION("""COMPUTED_VALUE"""),"Head-to-tail stopper; blast results and HHpred results support this.")</f>
        <v>Head-to-tail stopper; blast results and HHpred results support this.</v>
      </c>
      <c r="D20" s="6"/>
    </row>
    <row r="21" spans="1:4" x14ac:dyDescent="0.2">
      <c r="A21" s="7"/>
      <c r="B21" s="19"/>
      <c r="C21" s="19"/>
      <c r="D21" s="8"/>
    </row>
    <row r="22" spans="1:4" ht="15.75" customHeight="1" x14ac:dyDescent="0.15">
      <c r="A22" s="9" t="s">
        <v>21</v>
      </c>
      <c r="B22" s="19"/>
      <c r="C22" s="19"/>
      <c r="D22" s="8"/>
    </row>
    <row r="23" spans="1:4" ht="15.75" customHeight="1" x14ac:dyDescent="0.15">
      <c r="A23" s="10"/>
      <c r="B23" s="13"/>
      <c r="C23" s="13"/>
    </row>
    <row r="24" spans="1:4" ht="15.75" customHeight="1" x14ac:dyDescent="0.15">
      <c r="A24" s="10"/>
      <c r="B24" s="13"/>
      <c r="C24" s="13"/>
    </row>
    <row r="25" spans="1:4" ht="15.75" customHeight="1" x14ac:dyDescent="0.15">
      <c r="A25" s="10"/>
      <c r="B25" s="13"/>
      <c r="C25" s="13"/>
    </row>
    <row r="26" spans="1:4" ht="15.75" customHeight="1" x14ac:dyDescent="0.15">
      <c r="A26" s="10"/>
      <c r="B26" s="13"/>
      <c r="C26" s="13"/>
    </row>
    <row r="27" spans="1:4" ht="15.75" customHeight="1" x14ac:dyDescent="0.15">
      <c r="A27" s="10"/>
      <c r="B27" s="13"/>
      <c r="C27" s="13"/>
    </row>
    <row r="28" spans="1:4" ht="15.75" customHeight="1" x14ac:dyDescent="0.15">
      <c r="A28" s="10"/>
      <c r="B28" s="13"/>
      <c r="C28" s="13"/>
    </row>
    <row r="29" spans="1:4" ht="15.75" customHeight="1" x14ac:dyDescent="0.15">
      <c r="A29" s="10"/>
      <c r="B29" s="13"/>
      <c r="C29" s="13"/>
    </row>
    <row r="30" spans="1:4" ht="15.75" customHeight="1" x14ac:dyDescent="0.15">
      <c r="A30" s="10"/>
      <c r="B30" s="13"/>
      <c r="C30" s="13"/>
    </row>
    <row r="31" spans="1:4" ht="15.75" customHeight="1" x14ac:dyDescent="0.15">
      <c r="A31" s="10"/>
      <c r="B31" s="13"/>
      <c r="C31" s="13"/>
    </row>
    <row r="32" spans="1:4" ht="15.75" customHeight="1" x14ac:dyDescent="0.15">
      <c r="A32" s="10"/>
      <c r="B32" s="13"/>
      <c r="C32" s="13"/>
    </row>
    <row r="33" spans="1:3" ht="15.75" customHeight="1" x14ac:dyDescent="0.15">
      <c r="A33" s="10"/>
      <c r="B33" s="13"/>
      <c r="C33" s="13"/>
    </row>
    <row r="34" spans="1:3" ht="15.75" customHeight="1" x14ac:dyDescent="0.15">
      <c r="A34" s="10"/>
      <c r="B34" s="13"/>
      <c r="C34" s="13"/>
    </row>
    <row r="35" spans="1:3" ht="15.75" customHeight="1" x14ac:dyDescent="0.15">
      <c r="A35" s="10"/>
      <c r="B35" s="13"/>
      <c r="C35" s="13"/>
    </row>
    <row r="36" spans="1:3" ht="15.75" customHeight="1" x14ac:dyDescent="0.15">
      <c r="A36" s="10"/>
      <c r="B36" s="13"/>
      <c r="C36" s="13"/>
    </row>
    <row r="37" spans="1:3" ht="15.75" customHeight="1" x14ac:dyDescent="0.15">
      <c r="A37" s="10"/>
      <c r="B37" s="13"/>
      <c r="C37" s="13"/>
    </row>
    <row r="38" spans="1:3" ht="15.75" customHeight="1" x14ac:dyDescent="0.15">
      <c r="A38" s="10"/>
      <c r="B38" s="13"/>
      <c r="C38" s="13"/>
    </row>
    <row r="39" spans="1:3" ht="13" x14ac:dyDescent="0.15">
      <c r="A39" s="10"/>
      <c r="B39" s="13"/>
      <c r="C39" s="13"/>
    </row>
    <row r="40" spans="1:3" ht="13" x14ac:dyDescent="0.15">
      <c r="A40" s="10"/>
      <c r="B40" s="13"/>
      <c r="C40" s="13"/>
    </row>
    <row r="41" spans="1:3" ht="13" x14ac:dyDescent="0.15">
      <c r="A41" s="10"/>
      <c r="B41" s="13"/>
      <c r="C41" s="13"/>
    </row>
    <row r="42" spans="1:3" ht="13" x14ac:dyDescent="0.15">
      <c r="A42" s="10"/>
      <c r="B42" s="13"/>
      <c r="C42" s="13"/>
    </row>
    <row r="43" spans="1:3" ht="13" x14ac:dyDescent="0.15">
      <c r="A43" s="10"/>
      <c r="B43" s="13"/>
      <c r="C43" s="13"/>
    </row>
    <row r="44" spans="1:3" ht="13" x14ac:dyDescent="0.15">
      <c r="A44" s="10"/>
      <c r="B44" s="13"/>
      <c r="C44" s="13"/>
    </row>
    <row r="45" spans="1:3" ht="13" x14ac:dyDescent="0.15">
      <c r="A45" s="10"/>
      <c r="B45" s="13"/>
      <c r="C45" s="13"/>
    </row>
    <row r="46" spans="1:3" ht="13" x14ac:dyDescent="0.15">
      <c r="A46" s="10"/>
      <c r="B46" s="13"/>
      <c r="C46" s="13"/>
    </row>
    <row r="47" spans="1:3" ht="13" x14ac:dyDescent="0.15">
      <c r="A47" s="10"/>
      <c r="B47" s="13"/>
      <c r="C47" s="13"/>
    </row>
    <row r="48" spans="1:3" ht="13" x14ac:dyDescent="0.15">
      <c r="A48" s="10"/>
      <c r="B48" s="13"/>
      <c r="C48" s="13"/>
    </row>
    <row r="49" spans="1:3" ht="13" x14ac:dyDescent="0.15">
      <c r="A49" s="10"/>
      <c r="B49" s="13"/>
      <c r="C49" s="13"/>
    </row>
    <row r="50" spans="1:3" ht="13" x14ac:dyDescent="0.15">
      <c r="A50" s="10"/>
      <c r="B50" s="13"/>
      <c r="C50" s="13"/>
    </row>
    <row r="51" spans="1:3" ht="13" x14ac:dyDescent="0.15">
      <c r="A51" s="10"/>
      <c r="B51" s="13"/>
      <c r="C51" s="13"/>
    </row>
    <row r="52" spans="1:3" ht="13" x14ac:dyDescent="0.15">
      <c r="A52" s="10"/>
      <c r="B52" s="13"/>
      <c r="C52" s="13"/>
    </row>
    <row r="53" spans="1:3" ht="13" x14ac:dyDescent="0.15">
      <c r="A53" s="10"/>
      <c r="B53" s="13"/>
      <c r="C53" s="13"/>
    </row>
    <row r="54" spans="1:3" ht="13" x14ac:dyDescent="0.15">
      <c r="A54" s="10"/>
      <c r="B54" s="13"/>
      <c r="C54" s="13"/>
    </row>
    <row r="55" spans="1:3" ht="13" x14ac:dyDescent="0.15">
      <c r="A55" s="10"/>
      <c r="B55" s="13"/>
      <c r="C55" s="13"/>
    </row>
    <row r="56" spans="1:3" ht="13" x14ac:dyDescent="0.15">
      <c r="A56" s="10"/>
      <c r="B56" s="13"/>
      <c r="C56" s="13"/>
    </row>
    <row r="57" spans="1:3" ht="13" x14ac:dyDescent="0.15">
      <c r="A57" s="10"/>
      <c r="B57" s="13"/>
      <c r="C57" s="13"/>
    </row>
    <row r="58" spans="1:3" ht="13" x14ac:dyDescent="0.15">
      <c r="A58" s="10"/>
      <c r="B58" s="13"/>
      <c r="C58" s="13"/>
    </row>
    <row r="59" spans="1:3" ht="13" x14ac:dyDescent="0.15">
      <c r="A59" s="10"/>
      <c r="B59" s="13"/>
      <c r="C59" s="13"/>
    </row>
    <row r="60" spans="1:3" ht="13" x14ac:dyDescent="0.15">
      <c r="A60" s="10"/>
      <c r="B60" s="13"/>
      <c r="C60" s="13"/>
    </row>
    <row r="61" spans="1:3" ht="13" x14ac:dyDescent="0.15">
      <c r="A61" s="10"/>
      <c r="B61" s="13"/>
      <c r="C61" s="13"/>
    </row>
    <row r="62" spans="1:3" ht="13" x14ac:dyDescent="0.15">
      <c r="A62" s="10"/>
      <c r="B62" s="13"/>
      <c r="C62" s="13"/>
    </row>
    <row r="63" spans="1:3" ht="13" x14ac:dyDescent="0.15">
      <c r="A63" s="10"/>
      <c r="B63" s="13"/>
      <c r="C63" s="13"/>
    </row>
    <row r="64" spans="1:3" ht="13" x14ac:dyDescent="0.15">
      <c r="A64" s="10"/>
      <c r="B64" s="13"/>
      <c r="C64" s="13"/>
    </row>
    <row r="65" spans="1:3" ht="13" x14ac:dyDescent="0.15">
      <c r="A65" s="10"/>
      <c r="B65" s="13"/>
      <c r="C65" s="13"/>
    </row>
    <row r="66" spans="1:3" ht="13" x14ac:dyDescent="0.15">
      <c r="A66" s="10"/>
      <c r="B66" s="13"/>
      <c r="C66" s="13"/>
    </row>
    <row r="67" spans="1:3" ht="13" x14ac:dyDescent="0.15">
      <c r="A67" s="10"/>
      <c r="B67" s="13"/>
      <c r="C67" s="13"/>
    </row>
    <row r="68" spans="1:3" ht="13" x14ac:dyDescent="0.15">
      <c r="A68" s="10"/>
      <c r="B68" s="13"/>
      <c r="C68" s="13"/>
    </row>
    <row r="69" spans="1:3" ht="13" x14ac:dyDescent="0.15">
      <c r="A69" s="10"/>
      <c r="B69" s="13"/>
      <c r="C69" s="13"/>
    </row>
    <row r="70" spans="1:3" ht="13" x14ac:dyDescent="0.15">
      <c r="A70" s="10"/>
      <c r="B70" s="13"/>
      <c r="C70" s="13"/>
    </row>
    <row r="71" spans="1:3" ht="13" x14ac:dyDescent="0.15">
      <c r="A71" s="10"/>
      <c r="B71" s="13"/>
      <c r="C71" s="13"/>
    </row>
    <row r="72" spans="1:3" ht="13" x14ac:dyDescent="0.15">
      <c r="A72" s="10"/>
      <c r="B72" s="13"/>
      <c r="C72" s="13"/>
    </row>
    <row r="73" spans="1:3" ht="13" x14ac:dyDescent="0.15">
      <c r="A73" s="10"/>
      <c r="B73" s="13"/>
      <c r="C73" s="13"/>
    </row>
    <row r="74" spans="1:3" ht="13" x14ac:dyDescent="0.15">
      <c r="A74" s="10"/>
      <c r="B74" s="13"/>
      <c r="C74" s="13"/>
    </row>
    <row r="75" spans="1:3" ht="13" x14ac:dyDescent="0.15">
      <c r="A75" s="10"/>
      <c r="B75" s="13"/>
      <c r="C75" s="13"/>
    </row>
    <row r="76" spans="1:3" ht="13" x14ac:dyDescent="0.15">
      <c r="A76" s="10"/>
      <c r="B76" s="13"/>
      <c r="C76" s="13"/>
    </row>
    <row r="77" spans="1:3" ht="13" x14ac:dyDescent="0.15">
      <c r="A77" s="10"/>
      <c r="B77" s="13"/>
      <c r="C77" s="13"/>
    </row>
    <row r="78" spans="1:3" ht="13" x14ac:dyDescent="0.15">
      <c r="A78" s="10"/>
      <c r="B78" s="13"/>
      <c r="C78" s="13"/>
    </row>
    <row r="79" spans="1:3" ht="13" x14ac:dyDescent="0.15">
      <c r="A79" s="10"/>
      <c r="B79" s="13"/>
      <c r="C79" s="13"/>
    </row>
    <row r="80" spans="1:3" ht="13" x14ac:dyDescent="0.15">
      <c r="A80" s="10"/>
      <c r="B80" s="13"/>
      <c r="C80" s="13"/>
    </row>
    <row r="81" spans="1:3" ht="13" x14ac:dyDescent="0.15">
      <c r="A81" s="10"/>
      <c r="B81" s="13"/>
      <c r="C81" s="13"/>
    </row>
    <row r="82" spans="1:3" ht="13" x14ac:dyDescent="0.15">
      <c r="A82" s="10"/>
      <c r="B82" s="13"/>
      <c r="C82" s="13"/>
    </row>
    <row r="83" spans="1:3" ht="13" x14ac:dyDescent="0.15">
      <c r="A83" s="10"/>
      <c r="B83" s="13"/>
      <c r="C83" s="13"/>
    </row>
    <row r="84" spans="1:3" ht="13" x14ac:dyDescent="0.15">
      <c r="A84" s="10"/>
      <c r="B84" s="13"/>
      <c r="C84" s="13"/>
    </row>
    <row r="85" spans="1:3" ht="13" x14ac:dyDescent="0.15">
      <c r="A85" s="10"/>
      <c r="B85" s="13"/>
      <c r="C85" s="13"/>
    </row>
    <row r="86" spans="1:3" ht="13" x14ac:dyDescent="0.15">
      <c r="A86" s="10"/>
      <c r="B86" s="13"/>
      <c r="C86" s="13"/>
    </row>
    <row r="87" spans="1:3" ht="13" x14ac:dyDescent="0.15">
      <c r="A87" s="10"/>
      <c r="B87" s="13"/>
      <c r="C87" s="13"/>
    </row>
    <row r="88" spans="1:3" ht="13" x14ac:dyDescent="0.15">
      <c r="A88" s="10"/>
      <c r="B88" s="13"/>
      <c r="C88" s="13"/>
    </row>
    <row r="89" spans="1:3" ht="13" x14ac:dyDescent="0.15">
      <c r="A89" s="10"/>
      <c r="B89" s="13"/>
      <c r="C89" s="13"/>
    </row>
    <row r="90" spans="1:3" ht="13" x14ac:dyDescent="0.15">
      <c r="A90" s="10"/>
      <c r="B90" s="13"/>
      <c r="C90" s="13"/>
    </row>
    <row r="91" spans="1:3" ht="13" x14ac:dyDescent="0.15">
      <c r="A91" s="10"/>
      <c r="B91" s="13"/>
      <c r="C91" s="13"/>
    </row>
    <row r="92" spans="1:3" ht="13" x14ac:dyDescent="0.15">
      <c r="A92" s="10"/>
      <c r="B92" s="13"/>
      <c r="C92" s="13"/>
    </row>
    <row r="93" spans="1:3" ht="13" x14ac:dyDescent="0.15">
      <c r="A93" s="10"/>
      <c r="B93" s="13"/>
      <c r="C93" s="13"/>
    </row>
    <row r="94" spans="1:3" ht="13" x14ac:dyDescent="0.15">
      <c r="A94" s="10"/>
      <c r="B94" s="13"/>
      <c r="C94" s="13"/>
    </row>
    <row r="95" spans="1:3" ht="13" x14ac:dyDescent="0.15">
      <c r="A95" s="10"/>
      <c r="B95" s="13"/>
      <c r="C95" s="13"/>
    </row>
    <row r="96" spans="1:3" ht="13" x14ac:dyDescent="0.15">
      <c r="A96" s="10"/>
      <c r="B96" s="13"/>
      <c r="C96" s="13"/>
    </row>
    <row r="97" spans="1:3" ht="13" x14ac:dyDescent="0.15">
      <c r="A97" s="10"/>
      <c r="B97" s="13"/>
      <c r="C97" s="13"/>
    </row>
    <row r="98" spans="1:3" ht="13" x14ac:dyDescent="0.15">
      <c r="A98" s="10"/>
      <c r="B98" s="13"/>
      <c r="C98" s="13"/>
    </row>
    <row r="99" spans="1:3" ht="13" x14ac:dyDescent="0.15">
      <c r="A99" s="10"/>
      <c r="B99" s="13"/>
      <c r="C99" s="13"/>
    </row>
    <row r="100" spans="1:3" ht="13" x14ac:dyDescent="0.15">
      <c r="A100" s="10"/>
      <c r="B100" s="13"/>
      <c r="C100" s="13"/>
    </row>
    <row r="101" spans="1:3" ht="13" x14ac:dyDescent="0.15">
      <c r="A101" s="10"/>
      <c r="B101" s="13"/>
      <c r="C101" s="13"/>
    </row>
    <row r="102" spans="1:3" ht="13" x14ac:dyDescent="0.15">
      <c r="A102" s="10"/>
      <c r="B102" s="13"/>
      <c r="C102" s="13"/>
    </row>
    <row r="103" spans="1:3" ht="13" x14ac:dyDescent="0.15">
      <c r="A103" s="10"/>
      <c r="B103" s="13"/>
      <c r="C103" s="13"/>
    </row>
    <row r="104" spans="1:3" ht="13" x14ac:dyDescent="0.15">
      <c r="A104" s="10"/>
      <c r="B104" s="13"/>
      <c r="C104" s="13"/>
    </row>
    <row r="105" spans="1:3" ht="13" x14ac:dyDescent="0.15">
      <c r="A105" s="10"/>
      <c r="B105" s="13"/>
      <c r="C105" s="13"/>
    </row>
    <row r="106" spans="1:3" ht="13" x14ac:dyDescent="0.15">
      <c r="A106" s="10"/>
      <c r="B106" s="13"/>
      <c r="C106" s="13"/>
    </row>
    <row r="107" spans="1:3" ht="13" x14ac:dyDescent="0.15">
      <c r="A107" s="10"/>
      <c r="B107" s="13"/>
      <c r="C107" s="13"/>
    </row>
    <row r="108" spans="1:3" ht="13" x14ac:dyDescent="0.15">
      <c r="A108" s="10"/>
      <c r="B108" s="13"/>
      <c r="C108" s="13"/>
    </row>
    <row r="109" spans="1:3" ht="13" x14ac:dyDescent="0.15">
      <c r="A109" s="10"/>
      <c r="B109" s="13"/>
      <c r="C109" s="13"/>
    </row>
    <row r="110" spans="1:3" ht="13" x14ac:dyDescent="0.15">
      <c r="A110" s="10"/>
      <c r="B110" s="13"/>
      <c r="C110" s="13"/>
    </row>
    <row r="111" spans="1:3" ht="13" x14ac:dyDescent="0.15">
      <c r="A111" s="10"/>
      <c r="B111" s="13"/>
      <c r="C111" s="13"/>
    </row>
    <row r="112" spans="1:3" ht="13" x14ac:dyDescent="0.15">
      <c r="A112" s="10"/>
      <c r="B112" s="13"/>
      <c r="C112" s="13"/>
    </row>
    <row r="113" spans="1:3" ht="13" x14ac:dyDescent="0.15">
      <c r="A113" s="10"/>
      <c r="B113" s="13"/>
      <c r="C113" s="13"/>
    </row>
    <row r="114" spans="1:3" ht="13" x14ac:dyDescent="0.15">
      <c r="A114" s="10"/>
      <c r="B114" s="13"/>
      <c r="C114" s="13"/>
    </row>
    <row r="115" spans="1:3" ht="13" x14ac:dyDescent="0.15">
      <c r="A115" s="10"/>
      <c r="B115" s="13"/>
      <c r="C115" s="13"/>
    </row>
    <row r="116" spans="1:3" ht="13" x14ac:dyDescent="0.15">
      <c r="A116" s="10"/>
      <c r="B116" s="13"/>
      <c r="C116" s="13"/>
    </row>
    <row r="117" spans="1:3" ht="13" x14ac:dyDescent="0.15">
      <c r="A117" s="10"/>
      <c r="B117" s="13"/>
      <c r="C117" s="13"/>
    </row>
    <row r="118" spans="1:3" ht="13" x14ac:dyDescent="0.15">
      <c r="A118" s="10"/>
      <c r="B118" s="13"/>
      <c r="C118" s="13"/>
    </row>
    <row r="119" spans="1:3" ht="13" x14ac:dyDescent="0.15">
      <c r="A119" s="10"/>
      <c r="B119" s="13"/>
      <c r="C119" s="13"/>
    </row>
    <row r="120" spans="1:3" ht="13" x14ac:dyDescent="0.15">
      <c r="A120" s="10"/>
      <c r="B120" s="13"/>
      <c r="C120" s="13"/>
    </row>
    <row r="121" spans="1:3" ht="13" x14ac:dyDescent="0.15">
      <c r="A121" s="10"/>
      <c r="B121" s="13"/>
      <c r="C121" s="13"/>
    </row>
    <row r="122" spans="1:3" ht="13" x14ac:dyDescent="0.15">
      <c r="A122" s="10"/>
      <c r="B122" s="13"/>
      <c r="C122" s="13"/>
    </row>
    <row r="123" spans="1:3" ht="13" x14ac:dyDescent="0.15">
      <c r="A123" s="10"/>
      <c r="B123" s="13"/>
      <c r="C123" s="13"/>
    </row>
    <row r="124" spans="1:3" ht="13" x14ac:dyDescent="0.15">
      <c r="A124" s="10"/>
      <c r="B124" s="13"/>
      <c r="C124" s="13"/>
    </row>
    <row r="125" spans="1:3" ht="13" x14ac:dyDescent="0.15">
      <c r="A125" s="10"/>
      <c r="B125" s="13"/>
      <c r="C125" s="13"/>
    </row>
    <row r="126" spans="1:3" ht="13" x14ac:dyDescent="0.15">
      <c r="A126" s="10"/>
      <c r="B126" s="13"/>
      <c r="C126" s="13"/>
    </row>
    <row r="127" spans="1:3" ht="13" x14ac:dyDescent="0.15">
      <c r="A127" s="10"/>
      <c r="B127" s="13"/>
      <c r="C127" s="13"/>
    </row>
    <row r="128" spans="1:3" ht="13" x14ac:dyDescent="0.15">
      <c r="A128" s="10"/>
      <c r="B128" s="13"/>
      <c r="C128" s="13"/>
    </row>
    <row r="129" spans="1:3" ht="13" x14ac:dyDescent="0.15">
      <c r="A129" s="10"/>
      <c r="B129" s="13"/>
      <c r="C129" s="13"/>
    </row>
    <row r="130" spans="1:3" ht="13" x14ac:dyDescent="0.15">
      <c r="A130" s="10"/>
      <c r="B130" s="13"/>
      <c r="C130" s="13"/>
    </row>
    <row r="131" spans="1:3" ht="13" x14ac:dyDescent="0.15">
      <c r="A131" s="10"/>
      <c r="B131" s="13"/>
      <c r="C131" s="13"/>
    </row>
    <row r="132" spans="1:3" ht="13" x14ac:dyDescent="0.15">
      <c r="A132" s="10"/>
      <c r="B132" s="13"/>
      <c r="C132" s="13"/>
    </row>
    <row r="133" spans="1:3" ht="13" x14ac:dyDescent="0.15">
      <c r="A133" s="10"/>
      <c r="B133" s="13"/>
      <c r="C133" s="13"/>
    </row>
    <row r="134" spans="1:3" ht="13" x14ac:dyDescent="0.15">
      <c r="A134" s="10"/>
      <c r="B134" s="13"/>
      <c r="C134" s="13"/>
    </row>
    <row r="135" spans="1:3" ht="13" x14ac:dyDescent="0.15">
      <c r="A135" s="10"/>
      <c r="B135" s="13"/>
      <c r="C135" s="13"/>
    </row>
    <row r="136" spans="1:3" ht="13" x14ac:dyDescent="0.15">
      <c r="A136" s="10"/>
      <c r="B136" s="13"/>
      <c r="C136" s="13"/>
    </row>
    <row r="137" spans="1:3" ht="13" x14ac:dyDescent="0.15">
      <c r="A137" s="10"/>
      <c r="B137" s="13"/>
      <c r="C137" s="13"/>
    </row>
    <row r="138" spans="1:3" ht="13" x14ac:dyDescent="0.15">
      <c r="A138" s="10"/>
      <c r="B138" s="13"/>
      <c r="C138" s="13"/>
    </row>
    <row r="139" spans="1:3" ht="13" x14ac:dyDescent="0.15">
      <c r="A139" s="10"/>
      <c r="B139" s="13"/>
      <c r="C139" s="13"/>
    </row>
    <row r="140" spans="1:3" ht="13" x14ac:dyDescent="0.15">
      <c r="A140" s="10"/>
      <c r="B140" s="13"/>
      <c r="C140" s="13"/>
    </row>
    <row r="141" spans="1:3" ht="13" x14ac:dyDescent="0.15">
      <c r="A141" s="10"/>
      <c r="B141" s="13"/>
      <c r="C141" s="13"/>
    </row>
    <row r="142" spans="1:3" ht="13" x14ac:dyDescent="0.15">
      <c r="A142" s="10"/>
      <c r="B142" s="13"/>
      <c r="C142" s="13"/>
    </row>
    <row r="143" spans="1:3" ht="13" x14ac:dyDescent="0.15">
      <c r="A143" s="10"/>
      <c r="B143" s="13"/>
      <c r="C143" s="13"/>
    </row>
    <row r="144" spans="1:3" ht="13" x14ac:dyDescent="0.15">
      <c r="A144" s="10"/>
      <c r="B144" s="13"/>
      <c r="C144" s="13"/>
    </row>
    <row r="145" spans="1:3" ht="13" x14ac:dyDescent="0.15">
      <c r="A145" s="10"/>
      <c r="B145" s="13"/>
      <c r="C145" s="13"/>
    </row>
    <row r="146" spans="1:3" ht="13" x14ac:dyDescent="0.15">
      <c r="A146" s="10"/>
      <c r="B146" s="13"/>
      <c r="C146" s="13"/>
    </row>
    <row r="147" spans="1:3" ht="13" x14ac:dyDescent="0.15">
      <c r="A147" s="10"/>
      <c r="B147" s="13"/>
      <c r="C147" s="13"/>
    </row>
    <row r="148" spans="1:3" ht="13" x14ac:dyDescent="0.15">
      <c r="A148" s="10"/>
      <c r="B148" s="13"/>
      <c r="C148" s="13"/>
    </row>
    <row r="149" spans="1:3" ht="13" x14ac:dyDescent="0.15">
      <c r="A149" s="10"/>
      <c r="B149" s="13"/>
      <c r="C149" s="13"/>
    </row>
    <row r="150" spans="1:3" ht="13" x14ac:dyDescent="0.15">
      <c r="A150" s="10"/>
      <c r="B150" s="13"/>
      <c r="C150" s="13"/>
    </row>
    <row r="151" spans="1:3" ht="13" x14ac:dyDescent="0.15">
      <c r="A151" s="10"/>
      <c r="B151" s="13"/>
      <c r="C151" s="13"/>
    </row>
    <row r="152" spans="1:3" ht="13" x14ac:dyDescent="0.15">
      <c r="A152" s="10"/>
      <c r="B152" s="13"/>
      <c r="C152" s="13"/>
    </row>
    <row r="153" spans="1:3" ht="13" x14ac:dyDescent="0.15">
      <c r="A153" s="10"/>
      <c r="B153" s="13"/>
      <c r="C153" s="13"/>
    </row>
    <row r="154" spans="1:3" ht="13" x14ac:dyDescent="0.15">
      <c r="A154" s="10"/>
      <c r="B154" s="13"/>
      <c r="C154" s="13"/>
    </row>
    <row r="155" spans="1:3" ht="13" x14ac:dyDescent="0.15">
      <c r="A155" s="10"/>
      <c r="B155" s="13"/>
      <c r="C155" s="13"/>
    </row>
    <row r="156" spans="1:3" ht="13" x14ac:dyDescent="0.15">
      <c r="A156" s="10"/>
      <c r="B156" s="13"/>
      <c r="C156" s="13"/>
    </row>
    <row r="157" spans="1:3" ht="13" x14ac:dyDescent="0.15">
      <c r="A157" s="10"/>
      <c r="B157" s="13"/>
      <c r="C157" s="13"/>
    </row>
    <row r="158" spans="1:3" ht="13" x14ac:dyDescent="0.15">
      <c r="A158" s="10"/>
      <c r="B158" s="13"/>
      <c r="C158" s="13"/>
    </row>
    <row r="159" spans="1:3" ht="13" x14ac:dyDescent="0.15">
      <c r="A159" s="10"/>
      <c r="B159" s="13"/>
      <c r="C159" s="13"/>
    </row>
    <row r="160" spans="1:3" ht="13" x14ac:dyDescent="0.15">
      <c r="A160" s="10"/>
      <c r="B160" s="13"/>
      <c r="C160" s="13"/>
    </row>
    <row r="161" spans="1:3" ht="13" x14ac:dyDescent="0.15">
      <c r="A161" s="10"/>
      <c r="B161" s="13"/>
      <c r="C161" s="13"/>
    </row>
    <row r="162" spans="1:3" ht="13" x14ac:dyDescent="0.15">
      <c r="A162" s="10"/>
      <c r="B162" s="13"/>
      <c r="C162" s="13"/>
    </row>
    <row r="163" spans="1:3" ht="13" x14ac:dyDescent="0.15">
      <c r="A163" s="10"/>
      <c r="B163" s="13"/>
      <c r="C163" s="13"/>
    </row>
    <row r="164" spans="1:3" ht="13" x14ac:dyDescent="0.15">
      <c r="A164" s="10"/>
      <c r="B164" s="13"/>
      <c r="C164" s="13"/>
    </row>
    <row r="165" spans="1:3" ht="13" x14ac:dyDescent="0.15">
      <c r="A165" s="10"/>
      <c r="B165" s="13"/>
      <c r="C165" s="13"/>
    </row>
    <row r="166" spans="1:3" ht="13" x14ac:dyDescent="0.15">
      <c r="A166" s="10"/>
      <c r="B166" s="13"/>
      <c r="C166" s="13"/>
    </row>
    <row r="167" spans="1:3" ht="13" x14ac:dyDescent="0.15">
      <c r="A167" s="10"/>
      <c r="B167" s="13"/>
      <c r="C167" s="13"/>
    </row>
    <row r="168" spans="1:3" ht="13" x14ac:dyDescent="0.15">
      <c r="A168" s="10"/>
      <c r="B168" s="13"/>
      <c r="C168" s="13"/>
    </row>
    <row r="169" spans="1:3" ht="13" x14ac:dyDescent="0.15">
      <c r="A169" s="10"/>
      <c r="B169" s="13"/>
      <c r="C169" s="13"/>
    </row>
    <row r="170" spans="1:3" ht="13" x14ac:dyDescent="0.15">
      <c r="A170" s="10"/>
      <c r="B170" s="13"/>
      <c r="C170" s="13"/>
    </row>
    <row r="171" spans="1:3" ht="13" x14ac:dyDescent="0.15">
      <c r="A171" s="10"/>
      <c r="B171" s="13"/>
      <c r="C171" s="13"/>
    </row>
    <row r="172" spans="1:3" ht="13" x14ac:dyDescent="0.15">
      <c r="A172" s="10"/>
      <c r="B172" s="13"/>
      <c r="C172" s="13"/>
    </row>
    <row r="173" spans="1:3" ht="13" x14ac:dyDescent="0.15">
      <c r="A173" s="10"/>
      <c r="B173" s="13"/>
      <c r="C173" s="13"/>
    </row>
    <row r="174" spans="1:3" ht="13" x14ac:dyDescent="0.15">
      <c r="A174" s="10"/>
      <c r="B174" s="13"/>
      <c r="C174" s="13"/>
    </row>
    <row r="175" spans="1:3" ht="13" x14ac:dyDescent="0.15">
      <c r="A175" s="10"/>
      <c r="B175" s="13"/>
      <c r="C175" s="13"/>
    </row>
    <row r="176" spans="1:3" ht="13" x14ac:dyDescent="0.15">
      <c r="A176" s="10"/>
      <c r="B176" s="13"/>
      <c r="C176" s="13"/>
    </row>
    <row r="177" spans="1:3" ht="13" x14ac:dyDescent="0.15">
      <c r="A177" s="10"/>
      <c r="B177" s="13"/>
      <c r="C177" s="13"/>
    </row>
    <row r="178" spans="1:3" ht="13" x14ac:dyDescent="0.15">
      <c r="A178" s="10"/>
      <c r="B178" s="13"/>
      <c r="C178" s="13"/>
    </row>
    <row r="179" spans="1:3" ht="13" x14ac:dyDescent="0.15">
      <c r="A179" s="10"/>
      <c r="B179" s="13"/>
      <c r="C179" s="13"/>
    </row>
    <row r="180" spans="1:3" ht="13" x14ac:dyDescent="0.15">
      <c r="A180" s="10"/>
      <c r="B180" s="13"/>
      <c r="C180" s="13"/>
    </row>
    <row r="181" spans="1:3" ht="13" x14ac:dyDescent="0.15">
      <c r="A181" s="10"/>
      <c r="B181" s="13"/>
      <c r="C181" s="13"/>
    </row>
    <row r="182" spans="1:3" ht="13" x14ac:dyDescent="0.15">
      <c r="A182" s="10"/>
      <c r="B182" s="13"/>
      <c r="C182" s="13"/>
    </row>
    <row r="183" spans="1:3" ht="13" x14ac:dyDescent="0.15">
      <c r="A183" s="10"/>
      <c r="B183" s="13"/>
      <c r="C183" s="13"/>
    </row>
    <row r="184" spans="1:3" ht="13" x14ac:dyDescent="0.15">
      <c r="A184" s="10"/>
      <c r="B184" s="13"/>
      <c r="C184" s="13"/>
    </row>
    <row r="185" spans="1:3" ht="13" x14ac:dyDescent="0.15">
      <c r="A185" s="10"/>
      <c r="B185" s="13"/>
      <c r="C185" s="13"/>
    </row>
    <row r="186" spans="1:3" ht="13" x14ac:dyDescent="0.15">
      <c r="A186" s="10"/>
      <c r="B186" s="13"/>
      <c r="C186" s="13"/>
    </row>
    <row r="187" spans="1:3" ht="13" x14ac:dyDescent="0.15">
      <c r="A187" s="10"/>
      <c r="B187" s="13"/>
      <c r="C187" s="13"/>
    </row>
    <row r="188" spans="1:3" ht="13" x14ac:dyDescent="0.15">
      <c r="A188" s="10"/>
      <c r="B188" s="13"/>
      <c r="C188" s="13"/>
    </row>
    <row r="189" spans="1:3" ht="13" x14ac:dyDescent="0.15">
      <c r="A189" s="10"/>
      <c r="B189" s="13"/>
      <c r="C189" s="13"/>
    </row>
    <row r="190" spans="1:3" ht="13" x14ac:dyDescent="0.15">
      <c r="A190" s="10"/>
      <c r="B190" s="13"/>
      <c r="C190" s="13"/>
    </row>
    <row r="191" spans="1:3" ht="13" x14ac:dyDescent="0.15">
      <c r="A191" s="10"/>
      <c r="B191" s="13"/>
      <c r="C191" s="13"/>
    </row>
    <row r="192" spans="1:3" ht="13" x14ac:dyDescent="0.15">
      <c r="A192" s="10"/>
      <c r="B192" s="13"/>
      <c r="C192" s="13"/>
    </row>
    <row r="193" spans="1:3" ht="13" x14ac:dyDescent="0.15">
      <c r="A193" s="10"/>
      <c r="B193" s="13"/>
      <c r="C193" s="13"/>
    </row>
    <row r="194" spans="1:3" ht="13" x14ac:dyDescent="0.15">
      <c r="A194" s="10"/>
      <c r="B194" s="13"/>
      <c r="C194" s="13"/>
    </row>
    <row r="195" spans="1:3" ht="13" x14ac:dyDescent="0.15">
      <c r="A195" s="10"/>
      <c r="B195" s="13"/>
      <c r="C195" s="13"/>
    </row>
    <row r="196" spans="1:3" ht="13" x14ac:dyDescent="0.15">
      <c r="A196" s="10"/>
      <c r="B196" s="13"/>
      <c r="C196" s="13"/>
    </row>
    <row r="197" spans="1:3" ht="13" x14ac:dyDescent="0.15">
      <c r="A197" s="10"/>
      <c r="B197" s="13"/>
      <c r="C197" s="13"/>
    </row>
    <row r="198" spans="1:3" ht="13" x14ac:dyDescent="0.15">
      <c r="A198" s="10"/>
      <c r="B198" s="13"/>
      <c r="C198" s="13"/>
    </row>
    <row r="199" spans="1:3" ht="13" x14ac:dyDescent="0.15">
      <c r="A199" s="10"/>
      <c r="B199" s="13"/>
      <c r="C199" s="13"/>
    </row>
    <row r="200" spans="1:3" ht="13" x14ac:dyDescent="0.15">
      <c r="A200" s="10"/>
      <c r="B200" s="13"/>
      <c r="C200" s="13"/>
    </row>
    <row r="201" spans="1:3" ht="13" x14ac:dyDescent="0.15">
      <c r="A201" s="10"/>
      <c r="B201" s="13"/>
      <c r="C201" s="13"/>
    </row>
    <row r="202" spans="1:3" ht="13" x14ac:dyDescent="0.15">
      <c r="A202" s="10"/>
      <c r="B202" s="13"/>
      <c r="C202" s="13"/>
    </row>
    <row r="203" spans="1:3" ht="13" x14ac:dyDescent="0.15">
      <c r="A203" s="10"/>
      <c r="B203" s="13"/>
      <c r="C203" s="13"/>
    </row>
    <row r="204" spans="1:3" ht="13" x14ac:dyDescent="0.15">
      <c r="A204" s="10"/>
      <c r="B204" s="13"/>
      <c r="C204" s="13"/>
    </row>
    <row r="205" spans="1:3" ht="13" x14ac:dyDescent="0.15">
      <c r="A205" s="10"/>
      <c r="B205" s="13"/>
      <c r="C205" s="13"/>
    </row>
    <row r="206" spans="1:3" ht="13" x14ac:dyDescent="0.15">
      <c r="A206" s="10"/>
      <c r="B206" s="13"/>
      <c r="C206" s="13"/>
    </row>
    <row r="207" spans="1:3" ht="13" x14ac:dyDescent="0.15">
      <c r="A207" s="10"/>
      <c r="B207" s="13"/>
      <c r="C207" s="13"/>
    </row>
    <row r="208" spans="1:3" ht="13" x14ac:dyDescent="0.15">
      <c r="A208" s="10"/>
      <c r="B208" s="13"/>
      <c r="C208" s="13"/>
    </row>
    <row r="209" spans="1:3" ht="13" x14ac:dyDescent="0.15">
      <c r="A209" s="10"/>
      <c r="B209" s="13"/>
      <c r="C209" s="13"/>
    </row>
    <row r="210" spans="1:3" ht="13" x14ac:dyDescent="0.15">
      <c r="A210" s="10"/>
      <c r="B210" s="13"/>
      <c r="C210" s="13"/>
    </row>
    <row r="211" spans="1:3" ht="13" x14ac:dyDescent="0.15">
      <c r="A211" s="10"/>
      <c r="B211" s="13"/>
      <c r="C211" s="13"/>
    </row>
    <row r="212" spans="1:3" ht="13" x14ac:dyDescent="0.15">
      <c r="A212" s="10"/>
      <c r="B212" s="13"/>
      <c r="C212" s="13"/>
    </row>
    <row r="213" spans="1:3" ht="13" x14ac:dyDescent="0.15">
      <c r="A213" s="10"/>
      <c r="B213" s="13"/>
      <c r="C213" s="13"/>
    </row>
    <row r="214" spans="1:3" ht="13" x14ac:dyDescent="0.15">
      <c r="A214" s="10"/>
      <c r="B214" s="13"/>
      <c r="C214" s="13"/>
    </row>
    <row r="215" spans="1:3" ht="13" x14ac:dyDescent="0.15">
      <c r="A215" s="10"/>
      <c r="B215" s="13"/>
      <c r="C215" s="13"/>
    </row>
    <row r="216" spans="1:3" ht="13" x14ac:dyDescent="0.15">
      <c r="A216" s="10"/>
      <c r="B216" s="13"/>
      <c r="C216" s="13"/>
    </row>
    <row r="217" spans="1:3" ht="13" x14ac:dyDescent="0.15">
      <c r="A217" s="10"/>
      <c r="B217" s="13"/>
      <c r="C217" s="13"/>
    </row>
    <row r="218" spans="1:3" ht="13" x14ac:dyDescent="0.15">
      <c r="A218" s="10"/>
      <c r="B218" s="13"/>
      <c r="C218" s="13"/>
    </row>
    <row r="219" spans="1:3" ht="13" x14ac:dyDescent="0.15">
      <c r="A219" s="10"/>
      <c r="B219" s="13"/>
      <c r="C219" s="13"/>
    </row>
    <row r="220" spans="1:3" ht="13" x14ac:dyDescent="0.15">
      <c r="A220" s="10"/>
      <c r="B220" s="13"/>
      <c r="C220" s="13"/>
    </row>
    <row r="221" spans="1:3" ht="13" x14ac:dyDescent="0.15">
      <c r="A221" s="10"/>
      <c r="B221" s="13"/>
      <c r="C221" s="13"/>
    </row>
    <row r="222" spans="1:3" ht="13" x14ac:dyDescent="0.15">
      <c r="A222" s="10"/>
      <c r="B222" s="13"/>
      <c r="C222" s="13"/>
    </row>
    <row r="223" spans="1:3" ht="13" x14ac:dyDescent="0.15">
      <c r="A223" s="10"/>
      <c r="B223" s="13"/>
      <c r="C223" s="13"/>
    </row>
    <row r="224" spans="1:3" ht="13" x14ac:dyDescent="0.15">
      <c r="A224" s="10"/>
      <c r="B224" s="13"/>
      <c r="C224" s="13"/>
    </row>
    <row r="225" spans="1:3" ht="13" x14ac:dyDescent="0.15">
      <c r="A225" s="10"/>
      <c r="B225" s="13"/>
      <c r="C225" s="13"/>
    </row>
    <row r="226" spans="1:3" ht="13" x14ac:dyDescent="0.15">
      <c r="A226" s="10"/>
      <c r="B226" s="13"/>
      <c r="C226" s="13"/>
    </row>
    <row r="227" spans="1:3" ht="13" x14ac:dyDescent="0.15">
      <c r="A227" s="10"/>
      <c r="B227" s="13"/>
      <c r="C227" s="13"/>
    </row>
    <row r="228" spans="1:3" ht="13" x14ac:dyDescent="0.15">
      <c r="A228" s="10"/>
      <c r="B228" s="13"/>
      <c r="C228" s="13"/>
    </row>
    <row r="229" spans="1:3" ht="13" x14ac:dyDescent="0.15">
      <c r="A229" s="10"/>
      <c r="B229" s="13"/>
      <c r="C229" s="13"/>
    </row>
    <row r="230" spans="1:3" ht="13" x14ac:dyDescent="0.15">
      <c r="A230" s="10"/>
      <c r="B230" s="13"/>
      <c r="C230" s="13"/>
    </row>
    <row r="231" spans="1:3" ht="13" x14ac:dyDescent="0.15">
      <c r="A231" s="10"/>
      <c r="B231" s="13"/>
      <c r="C231" s="13"/>
    </row>
    <row r="232" spans="1:3" ht="13" x14ac:dyDescent="0.15">
      <c r="A232" s="10"/>
      <c r="B232" s="13"/>
      <c r="C232" s="13"/>
    </row>
    <row r="233" spans="1:3" ht="13" x14ac:dyDescent="0.15">
      <c r="A233" s="10"/>
      <c r="B233" s="13"/>
      <c r="C233" s="13"/>
    </row>
    <row r="234" spans="1:3" ht="13" x14ac:dyDescent="0.15">
      <c r="A234" s="10"/>
      <c r="B234" s="13"/>
      <c r="C234" s="13"/>
    </row>
    <row r="235" spans="1:3" ht="13" x14ac:dyDescent="0.15">
      <c r="A235" s="10"/>
      <c r="B235" s="13"/>
      <c r="C235" s="13"/>
    </row>
    <row r="236" spans="1:3" ht="13" x14ac:dyDescent="0.15">
      <c r="A236" s="10"/>
      <c r="B236" s="13"/>
      <c r="C236" s="13"/>
    </row>
    <row r="237" spans="1:3" ht="13" x14ac:dyDescent="0.15">
      <c r="A237" s="10"/>
      <c r="B237" s="13"/>
      <c r="C237" s="13"/>
    </row>
    <row r="238" spans="1:3" ht="13" x14ac:dyDescent="0.15">
      <c r="A238" s="10"/>
      <c r="B238" s="13"/>
      <c r="C238" s="13"/>
    </row>
    <row r="239" spans="1:3" ht="13" x14ac:dyDescent="0.15">
      <c r="A239" s="10"/>
      <c r="B239" s="13"/>
      <c r="C239" s="13"/>
    </row>
    <row r="240" spans="1:3" ht="13" x14ac:dyDescent="0.15">
      <c r="A240" s="10"/>
      <c r="B240" s="13"/>
      <c r="C240" s="13"/>
    </row>
    <row r="241" spans="1:3" ht="13" x14ac:dyDescent="0.15">
      <c r="A241" s="10"/>
      <c r="B241" s="13"/>
      <c r="C241" s="13"/>
    </row>
    <row r="242" spans="1:3" ht="13" x14ac:dyDescent="0.15">
      <c r="A242" s="10"/>
      <c r="B242" s="13"/>
      <c r="C242" s="13"/>
    </row>
    <row r="243" spans="1:3" ht="13" x14ac:dyDescent="0.15">
      <c r="A243" s="10"/>
      <c r="B243" s="13"/>
      <c r="C243" s="13"/>
    </row>
    <row r="244" spans="1:3" ht="13" x14ac:dyDescent="0.15">
      <c r="A244" s="10"/>
      <c r="B244" s="13"/>
      <c r="C244" s="13"/>
    </row>
    <row r="245" spans="1:3" ht="13" x14ac:dyDescent="0.15">
      <c r="A245" s="10"/>
      <c r="B245" s="13"/>
      <c r="C245" s="13"/>
    </row>
    <row r="246" spans="1:3" ht="13" x14ac:dyDescent="0.15">
      <c r="A246" s="10"/>
      <c r="B246" s="13"/>
      <c r="C246" s="13"/>
    </row>
    <row r="247" spans="1:3" ht="13" x14ac:dyDescent="0.15">
      <c r="A247" s="10"/>
      <c r="B247" s="13"/>
      <c r="C247" s="13"/>
    </row>
    <row r="248" spans="1:3" ht="13" x14ac:dyDescent="0.15">
      <c r="A248" s="10"/>
      <c r="B248" s="13"/>
      <c r="C248" s="13"/>
    </row>
    <row r="249" spans="1:3" ht="13" x14ac:dyDescent="0.15">
      <c r="A249" s="10"/>
      <c r="B249" s="13"/>
      <c r="C249" s="13"/>
    </row>
    <row r="250" spans="1:3" ht="13" x14ac:dyDescent="0.15">
      <c r="A250" s="10"/>
      <c r="B250" s="13"/>
      <c r="C250" s="13"/>
    </row>
    <row r="251" spans="1:3" ht="13" x14ac:dyDescent="0.15">
      <c r="A251" s="10"/>
      <c r="B251" s="13"/>
      <c r="C251" s="13"/>
    </row>
    <row r="252" spans="1:3" ht="13" x14ac:dyDescent="0.15">
      <c r="A252" s="10"/>
      <c r="B252" s="13"/>
      <c r="C252" s="13"/>
    </row>
    <row r="253" spans="1:3" ht="13" x14ac:dyDescent="0.15">
      <c r="A253" s="10"/>
      <c r="B253" s="13"/>
      <c r="C253" s="13"/>
    </row>
    <row r="254" spans="1:3" ht="13" x14ac:dyDescent="0.15">
      <c r="A254" s="10"/>
      <c r="B254" s="13"/>
      <c r="C254" s="13"/>
    </row>
    <row r="255" spans="1:3" ht="13" x14ac:dyDescent="0.15">
      <c r="A255" s="10"/>
      <c r="B255" s="13"/>
      <c r="C255" s="13"/>
    </row>
    <row r="256" spans="1:3" ht="13" x14ac:dyDescent="0.15">
      <c r="A256" s="10"/>
      <c r="B256" s="13"/>
      <c r="C256" s="13"/>
    </row>
    <row r="257" spans="1:3" ht="13" x14ac:dyDescent="0.15">
      <c r="A257" s="10"/>
      <c r="B257" s="13"/>
      <c r="C257" s="13"/>
    </row>
    <row r="258" spans="1:3" ht="13" x14ac:dyDescent="0.15">
      <c r="A258" s="10"/>
      <c r="B258" s="13"/>
      <c r="C258" s="13"/>
    </row>
    <row r="259" spans="1:3" ht="13" x14ac:dyDescent="0.15">
      <c r="A259" s="10"/>
      <c r="B259" s="13"/>
      <c r="C259" s="13"/>
    </row>
    <row r="260" spans="1:3" ht="13" x14ac:dyDescent="0.15">
      <c r="A260" s="10"/>
      <c r="B260" s="13"/>
      <c r="C260" s="13"/>
    </row>
    <row r="261" spans="1:3" ht="13" x14ac:dyDescent="0.15">
      <c r="A261" s="10"/>
      <c r="B261" s="13"/>
      <c r="C261" s="13"/>
    </row>
    <row r="262" spans="1:3" ht="13" x14ac:dyDescent="0.15">
      <c r="A262" s="10"/>
      <c r="B262" s="13"/>
      <c r="C262" s="13"/>
    </row>
    <row r="263" spans="1:3" ht="13" x14ac:dyDescent="0.15">
      <c r="A263" s="10"/>
      <c r="B263" s="13"/>
      <c r="C263" s="13"/>
    </row>
    <row r="264" spans="1:3" ht="13" x14ac:dyDescent="0.15">
      <c r="A264" s="10"/>
      <c r="B264" s="13"/>
      <c r="C264" s="13"/>
    </row>
    <row r="265" spans="1:3" ht="13" x14ac:dyDescent="0.15">
      <c r="A265" s="10"/>
      <c r="B265" s="13"/>
      <c r="C265" s="13"/>
    </row>
    <row r="266" spans="1:3" ht="13" x14ac:dyDescent="0.15">
      <c r="A266" s="10"/>
      <c r="B266" s="13"/>
      <c r="C266" s="13"/>
    </row>
    <row r="267" spans="1:3" ht="13" x14ac:dyDescent="0.15">
      <c r="A267" s="10"/>
      <c r="B267" s="13"/>
      <c r="C267" s="13"/>
    </row>
    <row r="268" spans="1:3" ht="13" x14ac:dyDescent="0.15">
      <c r="A268" s="10"/>
      <c r="B268" s="13"/>
      <c r="C268" s="13"/>
    </row>
    <row r="269" spans="1:3" ht="13" x14ac:dyDescent="0.15">
      <c r="A269" s="10"/>
      <c r="B269" s="13"/>
      <c r="C269" s="13"/>
    </row>
    <row r="270" spans="1:3" ht="13" x14ac:dyDescent="0.15">
      <c r="A270" s="10"/>
      <c r="B270" s="13"/>
      <c r="C270" s="13"/>
    </row>
    <row r="271" spans="1:3" ht="13" x14ac:dyDescent="0.15">
      <c r="A271" s="10"/>
      <c r="B271" s="13"/>
      <c r="C271" s="13"/>
    </row>
    <row r="272" spans="1:3" ht="13" x14ac:dyDescent="0.15">
      <c r="A272" s="10"/>
      <c r="B272" s="13"/>
      <c r="C272" s="13"/>
    </row>
    <row r="273" spans="1:3" ht="13" x14ac:dyDescent="0.15">
      <c r="A273" s="10"/>
      <c r="B273" s="13"/>
      <c r="C273" s="13"/>
    </row>
    <row r="274" spans="1:3" ht="13" x14ac:dyDescent="0.15">
      <c r="A274" s="10"/>
      <c r="B274" s="13"/>
      <c r="C274" s="13"/>
    </row>
    <row r="275" spans="1:3" ht="13" x14ac:dyDescent="0.15">
      <c r="A275" s="10"/>
      <c r="B275" s="13"/>
      <c r="C275" s="13"/>
    </row>
    <row r="276" spans="1:3" ht="13" x14ac:dyDescent="0.15">
      <c r="A276" s="10"/>
      <c r="B276" s="13"/>
      <c r="C276" s="13"/>
    </row>
    <row r="277" spans="1:3" ht="13" x14ac:dyDescent="0.15">
      <c r="A277" s="10"/>
      <c r="B277" s="13"/>
      <c r="C277" s="13"/>
    </row>
    <row r="278" spans="1:3" ht="13" x14ac:dyDescent="0.15">
      <c r="A278" s="10"/>
      <c r="B278" s="13"/>
      <c r="C278" s="13"/>
    </row>
    <row r="279" spans="1:3" ht="13" x14ac:dyDescent="0.15">
      <c r="A279" s="10"/>
      <c r="B279" s="13"/>
      <c r="C279" s="13"/>
    </row>
    <row r="280" spans="1:3" ht="13" x14ac:dyDescent="0.15">
      <c r="A280" s="10"/>
      <c r="B280" s="13"/>
      <c r="C280" s="13"/>
    </row>
    <row r="281" spans="1:3" ht="13" x14ac:dyDescent="0.15">
      <c r="A281" s="10"/>
      <c r="B281" s="13"/>
      <c r="C281" s="13"/>
    </row>
    <row r="282" spans="1:3" ht="13" x14ac:dyDescent="0.15">
      <c r="A282" s="10"/>
      <c r="B282" s="13"/>
      <c r="C282" s="13"/>
    </row>
    <row r="283" spans="1:3" ht="13" x14ac:dyDescent="0.15">
      <c r="A283" s="10"/>
      <c r="B283" s="13"/>
      <c r="C283" s="13"/>
    </row>
    <row r="284" spans="1:3" ht="13" x14ac:dyDescent="0.15">
      <c r="A284" s="10"/>
      <c r="B284" s="13"/>
      <c r="C284" s="13"/>
    </row>
    <row r="285" spans="1:3" ht="13" x14ac:dyDescent="0.15">
      <c r="A285" s="10"/>
      <c r="B285" s="13"/>
      <c r="C285" s="13"/>
    </row>
    <row r="286" spans="1:3" ht="13" x14ac:dyDescent="0.15">
      <c r="A286" s="10"/>
      <c r="B286" s="13"/>
      <c r="C286" s="13"/>
    </row>
    <row r="287" spans="1:3" ht="13" x14ac:dyDescent="0.15">
      <c r="A287" s="10"/>
      <c r="B287" s="13"/>
      <c r="C287" s="13"/>
    </row>
    <row r="288" spans="1:3" ht="13" x14ac:dyDescent="0.15">
      <c r="A288" s="10"/>
      <c r="B288" s="13"/>
      <c r="C288" s="13"/>
    </row>
    <row r="289" spans="1:3" ht="13" x14ac:dyDescent="0.15">
      <c r="A289" s="10"/>
      <c r="B289" s="13"/>
      <c r="C289" s="13"/>
    </row>
    <row r="290" spans="1:3" ht="13" x14ac:dyDescent="0.15">
      <c r="A290" s="10"/>
      <c r="B290" s="13"/>
      <c r="C290" s="13"/>
    </row>
    <row r="291" spans="1:3" ht="13" x14ac:dyDescent="0.15">
      <c r="A291" s="10"/>
      <c r="B291" s="13"/>
      <c r="C291" s="13"/>
    </row>
    <row r="292" spans="1:3" ht="13" x14ac:dyDescent="0.15">
      <c r="A292" s="10"/>
      <c r="B292" s="13"/>
      <c r="C292" s="13"/>
    </row>
    <row r="293" spans="1:3" ht="13" x14ac:dyDescent="0.15">
      <c r="A293" s="10"/>
      <c r="B293" s="13"/>
      <c r="C293" s="13"/>
    </row>
    <row r="294" spans="1:3" ht="13" x14ac:dyDescent="0.15">
      <c r="A294" s="10"/>
      <c r="B294" s="13"/>
      <c r="C294" s="13"/>
    </row>
    <row r="295" spans="1:3" ht="13" x14ac:dyDescent="0.15">
      <c r="A295" s="10"/>
      <c r="B295" s="13"/>
      <c r="C295" s="13"/>
    </row>
    <row r="296" spans="1:3" ht="13" x14ac:dyDescent="0.15">
      <c r="A296" s="10"/>
      <c r="B296" s="13"/>
      <c r="C296" s="13"/>
    </row>
    <row r="297" spans="1:3" ht="13" x14ac:dyDescent="0.15">
      <c r="A297" s="10"/>
      <c r="B297" s="13"/>
      <c r="C297" s="13"/>
    </row>
    <row r="298" spans="1:3" ht="13" x14ac:dyDescent="0.15">
      <c r="A298" s="10"/>
      <c r="B298" s="13"/>
      <c r="C298" s="13"/>
    </row>
    <row r="299" spans="1:3" ht="13" x14ac:dyDescent="0.15">
      <c r="A299" s="10"/>
      <c r="B299" s="13"/>
      <c r="C299" s="13"/>
    </row>
    <row r="300" spans="1:3" ht="13" x14ac:dyDescent="0.15">
      <c r="A300" s="10"/>
      <c r="B300" s="13"/>
      <c r="C300" s="13"/>
    </row>
    <row r="301" spans="1:3" ht="13" x14ac:dyDescent="0.15">
      <c r="A301" s="10"/>
      <c r="B301" s="13"/>
      <c r="C301" s="13"/>
    </row>
    <row r="302" spans="1:3" ht="13" x14ac:dyDescent="0.15">
      <c r="A302" s="10"/>
      <c r="B302" s="13"/>
      <c r="C302" s="13"/>
    </row>
    <row r="303" spans="1:3" ht="13" x14ac:dyDescent="0.15">
      <c r="A303" s="10"/>
      <c r="B303" s="13"/>
      <c r="C303" s="13"/>
    </row>
    <row r="304" spans="1:3" ht="13" x14ac:dyDescent="0.15">
      <c r="A304" s="10"/>
      <c r="B304" s="13"/>
      <c r="C304" s="13"/>
    </row>
    <row r="305" spans="1:3" ht="13" x14ac:dyDescent="0.15">
      <c r="A305" s="10"/>
      <c r="B305" s="13"/>
      <c r="C305" s="13"/>
    </row>
    <row r="306" spans="1:3" ht="13" x14ac:dyDescent="0.15">
      <c r="A306" s="10"/>
      <c r="B306" s="13"/>
      <c r="C306" s="13"/>
    </row>
    <row r="307" spans="1:3" ht="13" x14ac:dyDescent="0.15">
      <c r="A307" s="10"/>
      <c r="B307" s="13"/>
      <c r="C307" s="13"/>
    </row>
    <row r="308" spans="1:3" ht="13" x14ac:dyDescent="0.15">
      <c r="A308" s="10"/>
      <c r="B308" s="13"/>
      <c r="C308" s="13"/>
    </row>
    <row r="309" spans="1:3" ht="13" x14ac:dyDescent="0.15">
      <c r="A309" s="10"/>
      <c r="B309" s="13"/>
      <c r="C309" s="13"/>
    </row>
    <row r="310" spans="1:3" ht="13" x14ac:dyDescent="0.15">
      <c r="A310" s="10"/>
      <c r="B310" s="13"/>
      <c r="C310" s="13"/>
    </row>
    <row r="311" spans="1:3" ht="13" x14ac:dyDescent="0.15">
      <c r="A311" s="10"/>
      <c r="B311" s="13"/>
      <c r="C311" s="13"/>
    </row>
    <row r="312" spans="1:3" ht="13" x14ac:dyDescent="0.15">
      <c r="A312" s="10"/>
      <c r="B312" s="13"/>
      <c r="C312" s="13"/>
    </row>
    <row r="313" spans="1:3" ht="13" x14ac:dyDescent="0.15">
      <c r="A313" s="10"/>
      <c r="B313" s="13"/>
      <c r="C313" s="13"/>
    </row>
    <row r="314" spans="1:3" ht="13" x14ac:dyDescent="0.15">
      <c r="A314" s="10"/>
      <c r="B314" s="13"/>
      <c r="C314" s="13"/>
    </row>
    <row r="315" spans="1:3" ht="13" x14ac:dyDescent="0.15">
      <c r="A315" s="10"/>
      <c r="B315" s="13"/>
      <c r="C315" s="13"/>
    </row>
    <row r="316" spans="1:3" ht="13" x14ac:dyDescent="0.15">
      <c r="A316" s="10"/>
      <c r="B316" s="13"/>
      <c r="C316" s="13"/>
    </row>
    <row r="317" spans="1:3" ht="13" x14ac:dyDescent="0.15">
      <c r="A317" s="10"/>
      <c r="B317" s="13"/>
      <c r="C317" s="13"/>
    </row>
    <row r="318" spans="1:3" ht="13" x14ac:dyDescent="0.15">
      <c r="A318" s="10"/>
      <c r="B318" s="13"/>
      <c r="C318" s="13"/>
    </row>
    <row r="319" spans="1:3" ht="13" x14ac:dyDescent="0.15">
      <c r="A319" s="10"/>
      <c r="B319" s="13"/>
      <c r="C319" s="13"/>
    </row>
    <row r="320" spans="1:3" ht="13" x14ac:dyDescent="0.15">
      <c r="A320" s="10"/>
      <c r="B320" s="13"/>
      <c r="C320" s="13"/>
    </row>
    <row r="321" spans="1:3" ht="13" x14ac:dyDescent="0.15">
      <c r="A321" s="10"/>
      <c r="B321" s="13"/>
      <c r="C321" s="13"/>
    </row>
    <row r="322" spans="1:3" ht="13" x14ac:dyDescent="0.15">
      <c r="A322" s="10"/>
      <c r="B322" s="13"/>
      <c r="C322" s="13"/>
    </row>
    <row r="323" spans="1:3" ht="13" x14ac:dyDescent="0.15">
      <c r="A323" s="10"/>
      <c r="B323" s="13"/>
      <c r="C323" s="13"/>
    </row>
    <row r="324" spans="1:3" ht="13" x14ac:dyDescent="0.15">
      <c r="A324" s="10"/>
      <c r="B324" s="13"/>
      <c r="C324" s="13"/>
    </row>
    <row r="325" spans="1:3" ht="13" x14ac:dyDescent="0.15">
      <c r="A325" s="10"/>
      <c r="B325" s="13"/>
      <c r="C325" s="13"/>
    </row>
    <row r="326" spans="1:3" ht="13" x14ac:dyDescent="0.15">
      <c r="A326" s="10"/>
      <c r="B326" s="13"/>
      <c r="C326" s="13"/>
    </row>
    <row r="327" spans="1:3" ht="13" x14ac:dyDescent="0.15">
      <c r="A327" s="10"/>
      <c r="B327" s="13"/>
      <c r="C327" s="13"/>
    </row>
    <row r="328" spans="1:3" ht="13" x14ac:dyDescent="0.15">
      <c r="A328" s="10"/>
      <c r="B328" s="13"/>
      <c r="C328" s="13"/>
    </row>
    <row r="329" spans="1:3" ht="13" x14ac:dyDescent="0.15">
      <c r="A329" s="10"/>
      <c r="B329" s="13"/>
      <c r="C329" s="13"/>
    </row>
    <row r="330" spans="1:3" ht="13" x14ac:dyDescent="0.15">
      <c r="A330" s="10"/>
      <c r="B330" s="13"/>
      <c r="C330" s="13"/>
    </row>
    <row r="331" spans="1:3" ht="13" x14ac:dyDescent="0.15">
      <c r="A331" s="10"/>
      <c r="B331" s="13"/>
      <c r="C331" s="13"/>
    </row>
    <row r="332" spans="1:3" ht="13" x14ac:dyDescent="0.15">
      <c r="A332" s="10"/>
      <c r="B332" s="13"/>
      <c r="C332" s="13"/>
    </row>
    <row r="333" spans="1:3" ht="13" x14ac:dyDescent="0.15">
      <c r="A333" s="10"/>
      <c r="B333" s="13"/>
      <c r="C333" s="13"/>
    </row>
    <row r="334" spans="1:3" ht="13" x14ac:dyDescent="0.15">
      <c r="A334" s="10"/>
      <c r="B334" s="13"/>
      <c r="C334" s="13"/>
    </row>
    <row r="335" spans="1:3" ht="13" x14ac:dyDescent="0.15">
      <c r="A335" s="10"/>
      <c r="B335" s="13"/>
      <c r="C335" s="13"/>
    </row>
    <row r="336" spans="1:3" ht="13" x14ac:dyDescent="0.15">
      <c r="A336" s="10"/>
      <c r="B336" s="13"/>
      <c r="C336" s="13"/>
    </row>
    <row r="337" spans="1:3" ht="13" x14ac:dyDescent="0.15">
      <c r="A337" s="10"/>
      <c r="B337" s="13"/>
      <c r="C337" s="13"/>
    </row>
    <row r="338" spans="1:3" ht="13" x14ac:dyDescent="0.15">
      <c r="A338" s="10"/>
      <c r="B338" s="13"/>
      <c r="C338" s="13"/>
    </row>
    <row r="339" spans="1:3" ht="13" x14ac:dyDescent="0.15">
      <c r="A339" s="10"/>
      <c r="B339" s="13"/>
      <c r="C339" s="13"/>
    </row>
    <row r="340" spans="1:3" ht="13" x14ac:dyDescent="0.15">
      <c r="A340" s="10"/>
      <c r="B340" s="13"/>
      <c r="C340" s="13"/>
    </row>
    <row r="341" spans="1:3" ht="13" x14ac:dyDescent="0.15">
      <c r="A341" s="10"/>
      <c r="B341" s="13"/>
      <c r="C341" s="13"/>
    </row>
    <row r="342" spans="1:3" ht="13" x14ac:dyDescent="0.15">
      <c r="A342" s="10"/>
      <c r="B342" s="13"/>
      <c r="C342" s="13"/>
    </row>
    <row r="343" spans="1:3" ht="13" x14ac:dyDescent="0.15">
      <c r="A343" s="10"/>
      <c r="B343" s="13"/>
      <c r="C343" s="13"/>
    </row>
    <row r="344" spans="1:3" ht="13" x14ac:dyDescent="0.15">
      <c r="A344" s="10"/>
      <c r="B344" s="13"/>
      <c r="C344" s="13"/>
    </row>
    <row r="345" spans="1:3" ht="13" x14ac:dyDescent="0.15">
      <c r="A345" s="10"/>
      <c r="B345" s="13"/>
      <c r="C345" s="13"/>
    </row>
    <row r="346" spans="1:3" ht="13" x14ac:dyDescent="0.15">
      <c r="A346" s="10"/>
      <c r="B346" s="13"/>
      <c r="C346" s="13"/>
    </row>
    <row r="347" spans="1:3" ht="13" x14ac:dyDescent="0.15">
      <c r="A347" s="10"/>
      <c r="B347" s="13"/>
      <c r="C347" s="13"/>
    </row>
    <row r="348" spans="1:3" ht="13" x14ac:dyDescent="0.15">
      <c r="A348" s="10"/>
      <c r="B348" s="13"/>
      <c r="C348" s="13"/>
    </row>
    <row r="349" spans="1:3" ht="13" x14ac:dyDescent="0.15">
      <c r="A349" s="10"/>
      <c r="B349" s="13"/>
      <c r="C349" s="13"/>
    </row>
    <row r="350" spans="1:3" ht="13" x14ac:dyDescent="0.15">
      <c r="A350" s="10"/>
      <c r="B350" s="13"/>
      <c r="C350" s="13"/>
    </row>
    <row r="351" spans="1:3" ht="13" x14ac:dyDescent="0.15">
      <c r="A351" s="10"/>
      <c r="B351" s="13"/>
      <c r="C351" s="13"/>
    </row>
    <row r="352" spans="1:3" ht="13" x14ac:dyDescent="0.15">
      <c r="A352" s="10"/>
      <c r="B352" s="13"/>
      <c r="C352" s="13"/>
    </row>
    <row r="353" spans="1:3" ht="13" x14ac:dyDescent="0.15">
      <c r="A353" s="10"/>
      <c r="B353" s="13"/>
      <c r="C353" s="13"/>
    </row>
    <row r="354" spans="1:3" ht="13" x14ac:dyDescent="0.15">
      <c r="A354" s="10"/>
      <c r="B354" s="13"/>
      <c r="C354" s="13"/>
    </row>
    <row r="355" spans="1:3" ht="13" x14ac:dyDescent="0.15">
      <c r="A355" s="10"/>
      <c r="B355" s="13"/>
      <c r="C355" s="13"/>
    </row>
    <row r="356" spans="1:3" ht="13" x14ac:dyDescent="0.15">
      <c r="A356" s="10"/>
      <c r="B356" s="13"/>
      <c r="C356" s="13"/>
    </row>
    <row r="357" spans="1:3" ht="13" x14ac:dyDescent="0.15">
      <c r="A357" s="10"/>
      <c r="B357" s="13"/>
      <c r="C357" s="13"/>
    </row>
    <row r="358" spans="1:3" ht="13" x14ac:dyDescent="0.15">
      <c r="A358" s="10"/>
      <c r="B358" s="13"/>
      <c r="C358" s="13"/>
    </row>
    <row r="359" spans="1:3" ht="13" x14ac:dyDescent="0.15">
      <c r="A359" s="10"/>
      <c r="B359" s="13"/>
      <c r="C359" s="13"/>
    </row>
    <row r="360" spans="1:3" ht="13" x14ac:dyDescent="0.15">
      <c r="A360" s="10"/>
      <c r="B360" s="13"/>
      <c r="C360" s="13"/>
    </row>
    <row r="361" spans="1:3" ht="13" x14ac:dyDescent="0.15">
      <c r="A361" s="10"/>
      <c r="B361" s="13"/>
      <c r="C361" s="13"/>
    </row>
    <row r="362" spans="1:3" ht="13" x14ac:dyDescent="0.15">
      <c r="A362" s="10"/>
      <c r="B362" s="13"/>
      <c r="C362" s="13"/>
    </row>
    <row r="363" spans="1:3" ht="13" x14ac:dyDescent="0.15">
      <c r="A363" s="10"/>
      <c r="B363" s="13"/>
      <c r="C363" s="13"/>
    </row>
    <row r="364" spans="1:3" ht="13" x14ac:dyDescent="0.15">
      <c r="A364" s="10"/>
      <c r="B364" s="13"/>
      <c r="C364" s="13"/>
    </row>
    <row r="365" spans="1:3" ht="13" x14ac:dyDescent="0.15">
      <c r="A365" s="10"/>
      <c r="B365" s="13"/>
      <c r="C365" s="13"/>
    </row>
    <row r="366" spans="1:3" ht="13" x14ac:dyDescent="0.15">
      <c r="A366" s="10"/>
      <c r="B366" s="13"/>
      <c r="C366" s="13"/>
    </row>
    <row r="367" spans="1:3" ht="13" x14ac:dyDescent="0.15">
      <c r="A367" s="10"/>
      <c r="B367" s="13"/>
      <c r="C367" s="13"/>
    </row>
    <row r="368" spans="1:3" ht="13" x14ac:dyDescent="0.15">
      <c r="A368" s="10"/>
      <c r="B368" s="13"/>
      <c r="C368" s="13"/>
    </row>
    <row r="369" spans="1:3" ht="13" x14ac:dyDescent="0.15">
      <c r="A369" s="10"/>
      <c r="B369" s="13"/>
      <c r="C369" s="13"/>
    </row>
    <row r="370" spans="1:3" ht="13" x14ac:dyDescent="0.15">
      <c r="A370" s="10"/>
      <c r="B370" s="13"/>
      <c r="C370" s="13"/>
    </row>
    <row r="371" spans="1:3" ht="13" x14ac:dyDescent="0.15">
      <c r="A371" s="10"/>
      <c r="B371" s="13"/>
      <c r="C371" s="13"/>
    </row>
    <row r="372" spans="1:3" ht="13" x14ac:dyDescent="0.15">
      <c r="A372" s="10"/>
      <c r="B372" s="13"/>
      <c r="C372" s="13"/>
    </row>
    <row r="373" spans="1:3" ht="13" x14ac:dyDescent="0.15">
      <c r="A373" s="10"/>
      <c r="B373" s="13"/>
      <c r="C373" s="13"/>
    </row>
    <row r="374" spans="1:3" ht="13" x14ac:dyDescent="0.15">
      <c r="A374" s="10"/>
      <c r="B374" s="13"/>
      <c r="C374" s="13"/>
    </row>
    <row r="375" spans="1:3" ht="13" x14ac:dyDescent="0.15">
      <c r="A375" s="10"/>
      <c r="B375" s="13"/>
      <c r="C375" s="13"/>
    </row>
    <row r="376" spans="1:3" ht="13" x14ac:dyDescent="0.15">
      <c r="A376" s="10"/>
      <c r="B376" s="13"/>
      <c r="C376" s="13"/>
    </row>
    <row r="377" spans="1:3" ht="13" x14ac:dyDescent="0.15">
      <c r="A377" s="10"/>
      <c r="B377" s="13"/>
      <c r="C377" s="13"/>
    </row>
    <row r="378" spans="1:3" ht="13" x14ac:dyDescent="0.15">
      <c r="A378" s="10"/>
      <c r="B378" s="13"/>
      <c r="C378" s="13"/>
    </row>
    <row r="379" spans="1:3" ht="13" x14ac:dyDescent="0.15">
      <c r="A379" s="10"/>
      <c r="B379" s="13"/>
      <c r="C379" s="13"/>
    </row>
    <row r="380" spans="1:3" ht="13" x14ac:dyDescent="0.15">
      <c r="A380" s="10"/>
      <c r="B380" s="13"/>
      <c r="C380" s="13"/>
    </row>
    <row r="381" spans="1:3" ht="13" x14ac:dyDescent="0.15">
      <c r="A381" s="10"/>
      <c r="B381" s="13"/>
      <c r="C381" s="13"/>
    </row>
    <row r="382" spans="1:3" ht="13" x14ac:dyDescent="0.15">
      <c r="A382" s="10"/>
      <c r="B382" s="13"/>
      <c r="C382" s="13"/>
    </row>
    <row r="383" spans="1:3" ht="13" x14ac:dyDescent="0.15">
      <c r="A383" s="10"/>
      <c r="B383" s="13"/>
      <c r="C383" s="13"/>
    </row>
    <row r="384" spans="1:3" ht="13" x14ac:dyDescent="0.15">
      <c r="A384" s="10"/>
      <c r="B384" s="13"/>
      <c r="C384" s="13"/>
    </row>
    <row r="385" spans="1:3" ht="13" x14ac:dyDescent="0.15">
      <c r="A385" s="10"/>
      <c r="B385" s="13"/>
      <c r="C385" s="13"/>
    </row>
    <row r="386" spans="1:3" ht="13" x14ac:dyDescent="0.15">
      <c r="A386" s="10"/>
      <c r="B386" s="13"/>
      <c r="C386" s="13"/>
    </row>
    <row r="387" spans="1:3" ht="13" x14ac:dyDescent="0.15">
      <c r="A387" s="10"/>
      <c r="B387" s="13"/>
      <c r="C387" s="13"/>
    </row>
    <row r="388" spans="1:3" ht="13" x14ac:dyDescent="0.15">
      <c r="A388" s="10"/>
      <c r="B388" s="13"/>
      <c r="C388" s="13"/>
    </row>
    <row r="389" spans="1:3" ht="13" x14ac:dyDescent="0.15">
      <c r="A389" s="10"/>
      <c r="B389" s="13"/>
      <c r="C389" s="13"/>
    </row>
    <row r="390" spans="1:3" ht="13" x14ac:dyDescent="0.15">
      <c r="A390" s="10"/>
      <c r="B390" s="13"/>
      <c r="C390" s="13"/>
    </row>
    <row r="391" spans="1:3" ht="13" x14ac:dyDescent="0.15">
      <c r="A391" s="10"/>
      <c r="B391" s="13"/>
      <c r="C391" s="13"/>
    </row>
    <row r="392" spans="1:3" ht="13" x14ac:dyDescent="0.15">
      <c r="A392" s="10"/>
      <c r="B392" s="13"/>
      <c r="C392" s="13"/>
    </row>
    <row r="393" spans="1:3" ht="13" x14ac:dyDescent="0.15">
      <c r="A393" s="10"/>
      <c r="B393" s="13"/>
      <c r="C393" s="13"/>
    </row>
    <row r="394" spans="1:3" ht="13" x14ac:dyDescent="0.15">
      <c r="A394" s="10"/>
      <c r="B394" s="13"/>
      <c r="C394" s="13"/>
    </row>
    <row r="395" spans="1:3" ht="13" x14ac:dyDescent="0.15">
      <c r="A395" s="10"/>
      <c r="B395" s="13"/>
      <c r="C395" s="13"/>
    </row>
    <row r="396" spans="1:3" ht="13" x14ac:dyDescent="0.15">
      <c r="A396" s="10"/>
      <c r="B396" s="13"/>
      <c r="C396" s="13"/>
    </row>
    <row r="397" spans="1:3" ht="13" x14ac:dyDescent="0.15">
      <c r="A397" s="10"/>
      <c r="B397" s="13"/>
      <c r="C397" s="13"/>
    </row>
    <row r="398" spans="1:3" ht="13" x14ac:dyDescent="0.15">
      <c r="A398" s="10"/>
      <c r="B398" s="13"/>
      <c r="C398" s="13"/>
    </row>
    <row r="399" spans="1:3" ht="13" x14ac:dyDescent="0.15">
      <c r="A399" s="10"/>
      <c r="B399" s="13"/>
      <c r="C399" s="13"/>
    </row>
    <row r="400" spans="1:3" ht="13" x14ac:dyDescent="0.15">
      <c r="A400" s="10"/>
      <c r="B400" s="13"/>
      <c r="C400" s="13"/>
    </row>
    <row r="401" spans="1:3" ht="13" x14ac:dyDescent="0.15">
      <c r="A401" s="10"/>
      <c r="B401" s="13"/>
      <c r="C401" s="13"/>
    </row>
    <row r="402" spans="1:3" ht="13" x14ac:dyDescent="0.15">
      <c r="A402" s="10"/>
      <c r="B402" s="13"/>
      <c r="C402" s="13"/>
    </row>
    <row r="403" spans="1:3" ht="13" x14ac:dyDescent="0.15">
      <c r="A403" s="10"/>
      <c r="B403" s="13"/>
      <c r="C403" s="13"/>
    </row>
    <row r="404" spans="1:3" ht="13" x14ac:dyDescent="0.15">
      <c r="A404" s="10"/>
      <c r="B404" s="13"/>
      <c r="C404" s="13"/>
    </row>
    <row r="405" spans="1:3" ht="13" x14ac:dyDescent="0.15">
      <c r="A405" s="10"/>
      <c r="B405" s="13"/>
      <c r="C405" s="13"/>
    </row>
    <row r="406" spans="1:3" ht="13" x14ac:dyDescent="0.15">
      <c r="A406" s="10"/>
      <c r="B406" s="13"/>
      <c r="C406" s="13"/>
    </row>
    <row r="407" spans="1:3" ht="13" x14ac:dyDescent="0.15">
      <c r="A407" s="10"/>
      <c r="B407" s="13"/>
      <c r="C407" s="13"/>
    </row>
    <row r="408" spans="1:3" ht="13" x14ac:dyDescent="0.15">
      <c r="A408" s="10"/>
      <c r="B408" s="13"/>
      <c r="C408" s="13"/>
    </row>
    <row r="409" spans="1:3" ht="13" x14ac:dyDescent="0.15">
      <c r="A409" s="10"/>
      <c r="B409" s="13"/>
      <c r="C409" s="13"/>
    </row>
    <row r="410" spans="1:3" ht="13" x14ac:dyDescent="0.15">
      <c r="A410" s="10"/>
      <c r="B410" s="13"/>
      <c r="C410" s="13"/>
    </row>
    <row r="411" spans="1:3" ht="13" x14ac:dyDescent="0.15">
      <c r="A411" s="10"/>
      <c r="B411" s="13"/>
      <c r="C411" s="13"/>
    </row>
    <row r="412" spans="1:3" ht="13" x14ac:dyDescent="0.15">
      <c r="A412" s="10"/>
      <c r="B412" s="13"/>
      <c r="C412" s="13"/>
    </row>
    <row r="413" spans="1:3" ht="13" x14ac:dyDescent="0.15">
      <c r="A413" s="10"/>
      <c r="B413" s="13"/>
      <c r="C413" s="13"/>
    </row>
    <row r="414" spans="1:3" ht="13" x14ac:dyDescent="0.15">
      <c r="A414" s="10"/>
      <c r="B414" s="13"/>
      <c r="C414" s="13"/>
    </row>
    <row r="415" spans="1:3" ht="13" x14ac:dyDescent="0.15">
      <c r="A415" s="10"/>
      <c r="B415" s="13"/>
      <c r="C415" s="13"/>
    </row>
    <row r="416" spans="1:3" ht="13" x14ac:dyDescent="0.15">
      <c r="A416" s="10"/>
      <c r="B416" s="13"/>
      <c r="C416" s="13"/>
    </row>
    <row r="417" spans="1:3" ht="13" x14ac:dyDescent="0.15">
      <c r="A417" s="10"/>
      <c r="B417" s="13"/>
      <c r="C417" s="13"/>
    </row>
    <row r="418" spans="1:3" ht="13" x14ac:dyDescent="0.15">
      <c r="A418" s="10"/>
      <c r="B418" s="13"/>
      <c r="C418" s="13"/>
    </row>
    <row r="419" spans="1:3" ht="13" x14ac:dyDescent="0.15">
      <c r="A419" s="10"/>
      <c r="B419" s="13"/>
      <c r="C419" s="13"/>
    </row>
    <row r="420" spans="1:3" ht="13" x14ac:dyDescent="0.15">
      <c r="A420" s="10"/>
      <c r="B420" s="13"/>
      <c r="C420" s="13"/>
    </row>
    <row r="421" spans="1:3" ht="13" x14ac:dyDescent="0.15">
      <c r="A421" s="10"/>
      <c r="B421" s="13"/>
      <c r="C421" s="13"/>
    </row>
    <row r="422" spans="1:3" ht="13" x14ac:dyDescent="0.15">
      <c r="A422" s="10"/>
      <c r="B422" s="13"/>
      <c r="C422" s="13"/>
    </row>
    <row r="423" spans="1:3" ht="13" x14ac:dyDescent="0.15">
      <c r="A423" s="10"/>
      <c r="B423" s="13"/>
      <c r="C423" s="13"/>
    </row>
    <row r="424" spans="1:3" ht="13" x14ac:dyDescent="0.15">
      <c r="A424" s="10"/>
      <c r="B424" s="13"/>
      <c r="C424" s="13"/>
    </row>
    <row r="425" spans="1:3" ht="13" x14ac:dyDescent="0.15">
      <c r="A425" s="10"/>
      <c r="B425" s="13"/>
      <c r="C425" s="13"/>
    </row>
    <row r="426" spans="1:3" ht="13" x14ac:dyDescent="0.15">
      <c r="A426" s="10"/>
      <c r="B426" s="13"/>
      <c r="C426" s="13"/>
    </row>
    <row r="427" spans="1:3" ht="13" x14ac:dyDescent="0.15">
      <c r="A427" s="10"/>
      <c r="B427" s="13"/>
      <c r="C427" s="13"/>
    </row>
    <row r="428" spans="1:3" ht="13" x14ac:dyDescent="0.15">
      <c r="A428" s="10"/>
      <c r="B428" s="13"/>
      <c r="C428" s="13"/>
    </row>
    <row r="429" spans="1:3" ht="13" x14ac:dyDescent="0.15">
      <c r="A429" s="10"/>
      <c r="B429" s="13"/>
      <c r="C429" s="13"/>
    </row>
    <row r="430" spans="1:3" ht="13" x14ac:dyDescent="0.15">
      <c r="A430" s="10"/>
      <c r="B430" s="13"/>
      <c r="C430" s="13"/>
    </row>
    <row r="431" spans="1:3" ht="13" x14ac:dyDescent="0.15">
      <c r="A431" s="10"/>
      <c r="B431" s="13"/>
      <c r="C431" s="13"/>
    </row>
    <row r="432" spans="1:3" ht="13" x14ac:dyDescent="0.15">
      <c r="A432" s="10"/>
      <c r="B432" s="13"/>
      <c r="C432" s="13"/>
    </row>
    <row r="433" spans="1:3" ht="13" x14ac:dyDescent="0.15">
      <c r="A433" s="10"/>
      <c r="B433" s="13"/>
      <c r="C433" s="13"/>
    </row>
    <row r="434" spans="1:3" ht="13" x14ac:dyDescent="0.15">
      <c r="A434" s="10"/>
      <c r="B434" s="13"/>
      <c r="C434" s="13"/>
    </row>
    <row r="435" spans="1:3" ht="13" x14ac:dyDescent="0.15">
      <c r="A435" s="10"/>
      <c r="B435" s="13"/>
      <c r="C435" s="13"/>
    </row>
    <row r="436" spans="1:3" ht="13" x14ac:dyDescent="0.15">
      <c r="A436" s="10"/>
      <c r="B436" s="13"/>
      <c r="C436" s="13"/>
    </row>
    <row r="437" spans="1:3" ht="13" x14ac:dyDescent="0.15">
      <c r="A437" s="10"/>
      <c r="B437" s="13"/>
      <c r="C437" s="13"/>
    </row>
    <row r="438" spans="1:3" ht="13" x14ac:dyDescent="0.15">
      <c r="A438" s="10"/>
      <c r="B438" s="13"/>
      <c r="C438" s="13"/>
    </row>
    <row r="439" spans="1:3" ht="13" x14ac:dyDescent="0.15">
      <c r="A439" s="10"/>
      <c r="B439" s="13"/>
      <c r="C439" s="13"/>
    </row>
    <row r="440" spans="1:3" ht="13" x14ac:dyDescent="0.15">
      <c r="A440" s="10"/>
      <c r="B440" s="13"/>
      <c r="C440" s="13"/>
    </row>
    <row r="441" spans="1:3" ht="13" x14ac:dyDescent="0.15">
      <c r="A441" s="10"/>
      <c r="B441" s="13"/>
      <c r="C441" s="13"/>
    </row>
    <row r="442" spans="1:3" ht="13" x14ac:dyDescent="0.15">
      <c r="A442" s="10"/>
      <c r="B442" s="13"/>
      <c r="C442" s="13"/>
    </row>
    <row r="443" spans="1:3" ht="13" x14ac:dyDescent="0.15">
      <c r="A443" s="10"/>
      <c r="B443" s="13"/>
      <c r="C443" s="13"/>
    </row>
    <row r="444" spans="1:3" ht="13" x14ac:dyDescent="0.15">
      <c r="A444" s="10"/>
      <c r="B444" s="13"/>
      <c r="C444" s="13"/>
    </row>
    <row r="445" spans="1:3" ht="13" x14ac:dyDescent="0.15">
      <c r="A445" s="10"/>
      <c r="B445" s="13"/>
      <c r="C445" s="13"/>
    </row>
    <row r="446" spans="1:3" ht="13" x14ac:dyDescent="0.15">
      <c r="A446" s="10"/>
      <c r="B446" s="13"/>
      <c r="C446" s="13"/>
    </row>
    <row r="447" spans="1:3" ht="13" x14ac:dyDescent="0.15">
      <c r="A447" s="10"/>
      <c r="B447" s="13"/>
      <c r="C447" s="13"/>
    </row>
    <row r="448" spans="1:3" ht="13" x14ac:dyDescent="0.15">
      <c r="A448" s="10"/>
      <c r="B448" s="13"/>
      <c r="C448" s="13"/>
    </row>
    <row r="449" spans="1:3" ht="13" x14ac:dyDescent="0.15">
      <c r="A449" s="10"/>
      <c r="B449" s="13"/>
      <c r="C449" s="13"/>
    </row>
    <row r="450" spans="1:3" ht="13" x14ac:dyDescent="0.15">
      <c r="A450" s="10"/>
      <c r="B450" s="13"/>
      <c r="C450" s="13"/>
    </row>
    <row r="451" spans="1:3" ht="13" x14ac:dyDescent="0.15">
      <c r="A451" s="10"/>
      <c r="B451" s="13"/>
      <c r="C451" s="13"/>
    </row>
    <row r="452" spans="1:3" ht="13" x14ac:dyDescent="0.15">
      <c r="A452" s="10"/>
      <c r="B452" s="13"/>
      <c r="C452" s="13"/>
    </row>
    <row r="453" spans="1:3" ht="13" x14ac:dyDescent="0.15">
      <c r="A453" s="10"/>
      <c r="B453" s="13"/>
      <c r="C453" s="13"/>
    </row>
    <row r="454" spans="1:3" ht="13" x14ac:dyDescent="0.15">
      <c r="A454" s="10"/>
      <c r="B454" s="13"/>
      <c r="C454" s="13"/>
    </row>
    <row r="455" spans="1:3" ht="13" x14ac:dyDescent="0.15">
      <c r="A455" s="10"/>
      <c r="B455" s="13"/>
      <c r="C455" s="13"/>
    </row>
    <row r="456" spans="1:3" ht="13" x14ac:dyDescent="0.15">
      <c r="A456" s="10"/>
      <c r="B456" s="13"/>
      <c r="C456" s="13"/>
    </row>
    <row r="457" spans="1:3" ht="13" x14ac:dyDescent="0.15">
      <c r="A457" s="10"/>
      <c r="B457" s="13"/>
      <c r="C457" s="13"/>
    </row>
    <row r="458" spans="1:3" ht="13" x14ac:dyDescent="0.15">
      <c r="A458" s="10"/>
      <c r="B458" s="13"/>
      <c r="C458" s="13"/>
    </row>
    <row r="459" spans="1:3" ht="13" x14ac:dyDescent="0.15">
      <c r="A459" s="10"/>
      <c r="B459" s="13"/>
      <c r="C459" s="13"/>
    </row>
    <row r="460" spans="1:3" ht="13" x14ac:dyDescent="0.15">
      <c r="A460" s="10"/>
      <c r="B460" s="13"/>
      <c r="C460" s="13"/>
    </row>
    <row r="461" spans="1:3" ht="13" x14ac:dyDescent="0.15">
      <c r="A461" s="10"/>
      <c r="B461" s="13"/>
      <c r="C461" s="13"/>
    </row>
    <row r="462" spans="1:3" ht="13" x14ac:dyDescent="0.15">
      <c r="A462" s="10"/>
      <c r="B462" s="13"/>
      <c r="C462" s="13"/>
    </row>
    <row r="463" spans="1:3" ht="13" x14ac:dyDescent="0.15">
      <c r="A463" s="10"/>
      <c r="B463" s="13"/>
      <c r="C463" s="13"/>
    </row>
    <row r="464" spans="1:3" ht="13" x14ac:dyDescent="0.15">
      <c r="A464" s="10"/>
      <c r="B464" s="13"/>
      <c r="C464" s="13"/>
    </row>
    <row r="465" spans="1:3" ht="13" x14ac:dyDescent="0.15">
      <c r="A465" s="10"/>
      <c r="B465" s="13"/>
      <c r="C465" s="13"/>
    </row>
    <row r="466" spans="1:3" ht="13" x14ac:dyDescent="0.15">
      <c r="A466" s="10"/>
      <c r="B466" s="13"/>
      <c r="C466" s="13"/>
    </row>
    <row r="467" spans="1:3" ht="13" x14ac:dyDescent="0.15">
      <c r="A467" s="10"/>
      <c r="B467" s="13"/>
      <c r="C467" s="13"/>
    </row>
    <row r="468" spans="1:3" ht="13" x14ac:dyDescent="0.15">
      <c r="A468" s="10"/>
      <c r="B468" s="13"/>
      <c r="C468" s="13"/>
    </row>
    <row r="469" spans="1:3" ht="13" x14ac:dyDescent="0.15">
      <c r="A469" s="10"/>
      <c r="B469" s="13"/>
      <c r="C469" s="13"/>
    </row>
    <row r="470" spans="1:3" ht="13" x14ac:dyDescent="0.15">
      <c r="A470" s="10"/>
      <c r="B470" s="13"/>
      <c r="C470" s="13"/>
    </row>
    <row r="471" spans="1:3" ht="13" x14ac:dyDescent="0.15">
      <c r="A471" s="10"/>
      <c r="B471" s="13"/>
      <c r="C471" s="13"/>
    </row>
    <row r="472" spans="1:3" ht="13" x14ac:dyDescent="0.15">
      <c r="A472" s="10"/>
      <c r="B472" s="13"/>
      <c r="C472" s="13"/>
    </row>
    <row r="473" spans="1:3" ht="13" x14ac:dyDescent="0.15">
      <c r="A473" s="10"/>
      <c r="B473" s="13"/>
      <c r="C473" s="13"/>
    </row>
    <row r="474" spans="1:3" ht="13" x14ac:dyDescent="0.15">
      <c r="A474" s="10"/>
      <c r="B474" s="13"/>
      <c r="C474" s="13"/>
    </row>
    <row r="475" spans="1:3" ht="13" x14ac:dyDescent="0.15">
      <c r="A475" s="10"/>
      <c r="B475" s="13"/>
      <c r="C475" s="13"/>
    </row>
    <row r="476" spans="1:3" ht="13" x14ac:dyDescent="0.15">
      <c r="A476" s="10"/>
      <c r="B476" s="13"/>
      <c r="C476" s="13"/>
    </row>
    <row r="477" spans="1:3" ht="13" x14ac:dyDescent="0.15">
      <c r="A477" s="10"/>
      <c r="B477" s="13"/>
      <c r="C477" s="13"/>
    </row>
    <row r="478" spans="1:3" ht="13" x14ac:dyDescent="0.15">
      <c r="A478" s="10"/>
      <c r="B478" s="13"/>
      <c r="C478" s="13"/>
    </row>
    <row r="479" spans="1:3" ht="13" x14ac:dyDescent="0.15">
      <c r="A479" s="10"/>
      <c r="B479" s="13"/>
      <c r="C479" s="13"/>
    </row>
    <row r="480" spans="1:3" ht="13" x14ac:dyDescent="0.15">
      <c r="A480" s="10"/>
      <c r="B480" s="13"/>
      <c r="C480" s="13"/>
    </row>
    <row r="481" spans="1:3" ht="13" x14ac:dyDescent="0.15">
      <c r="A481" s="10"/>
      <c r="B481" s="13"/>
      <c r="C481" s="13"/>
    </row>
    <row r="482" spans="1:3" ht="13" x14ac:dyDescent="0.15">
      <c r="A482" s="10"/>
      <c r="B482" s="13"/>
      <c r="C482" s="13"/>
    </row>
    <row r="483" spans="1:3" ht="13" x14ac:dyDescent="0.15">
      <c r="A483" s="10"/>
      <c r="B483" s="13"/>
      <c r="C483" s="13"/>
    </row>
    <row r="484" spans="1:3" ht="13" x14ac:dyDescent="0.15">
      <c r="A484" s="10"/>
      <c r="B484" s="13"/>
      <c r="C484" s="13"/>
    </row>
    <row r="485" spans="1:3" ht="13" x14ac:dyDescent="0.15">
      <c r="A485" s="10"/>
      <c r="B485" s="13"/>
      <c r="C485" s="13"/>
    </row>
    <row r="486" spans="1:3" ht="13" x14ac:dyDescent="0.15">
      <c r="A486" s="10"/>
      <c r="B486" s="13"/>
      <c r="C486" s="13"/>
    </row>
    <row r="487" spans="1:3" ht="13" x14ac:dyDescent="0.15">
      <c r="A487" s="10"/>
      <c r="B487" s="13"/>
      <c r="C487" s="13"/>
    </row>
    <row r="488" spans="1:3" ht="13" x14ac:dyDescent="0.15">
      <c r="A488" s="10"/>
      <c r="B488" s="13"/>
      <c r="C488" s="13"/>
    </row>
    <row r="489" spans="1:3" ht="13" x14ac:dyDescent="0.15">
      <c r="A489" s="10"/>
      <c r="B489" s="13"/>
      <c r="C489" s="13"/>
    </row>
    <row r="490" spans="1:3" ht="13" x14ac:dyDescent="0.15">
      <c r="A490" s="10"/>
      <c r="B490" s="13"/>
      <c r="C490" s="13"/>
    </row>
    <row r="491" spans="1:3" ht="13" x14ac:dyDescent="0.15">
      <c r="A491" s="10"/>
      <c r="B491" s="13"/>
      <c r="C491" s="13"/>
    </row>
    <row r="492" spans="1:3" ht="13" x14ac:dyDescent="0.15">
      <c r="A492" s="10"/>
      <c r="B492" s="13"/>
      <c r="C492" s="13"/>
    </row>
    <row r="493" spans="1:3" ht="13" x14ac:dyDescent="0.15">
      <c r="A493" s="10"/>
      <c r="B493" s="13"/>
      <c r="C493" s="13"/>
    </row>
    <row r="494" spans="1:3" ht="13" x14ac:dyDescent="0.15">
      <c r="A494" s="10"/>
      <c r="B494" s="13"/>
      <c r="C494" s="13"/>
    </row>
    <row r="495" spans="1:3" ht="13" x14ac:dyDescent="0.15">
      <c r="A495" s="10"/>
      <c r="B495" s="13"/>
      <c r="C495" s="13"/>
    </row>
    <row r="496" spans="1:3" ht="13" x14ac:dyDescent="0.15">
      <c r="A496" s="10"/>
      <c r="B496" s="13"/>
      <c r="C496" s="13"/>
    </row>
    <row r="497" spans="1:3" ht="13" x14ac:dyDescent="0.15">
      <c r="A497" s="10"/>
      <c r="B497" s="13"/>
      <c r="C497" s="13"/>
    </row>
    <row r="498" spans="1:3" ht="13" x14ac:dyDescent="0.15">
      <c r="A498" s="10"/>
      <c r="B498" s="13"/>
      <c r="C498" s="13"/>
    </row>
    <row r="499" spans="1:3" ht="13" x14ac:dyDescent="0.15">
      <c r="A499" s="10"/>
      <c r="B499" s="13"/>
      <c r="C499" s="13"/>
    </row>
    <row r="500" spans="1:3" ht="13" x14ac:dyDescent="0.15">
      <c r="A500" s="10"/>
      <c r="B500" s="13"/>
      <c r="C500" s="13"/>
    </row>
    <row r="501" spans="1:3" ht="13" x14ac:dyDescent="0.15">
      <c r="A501" s="10"/>
      <c r="B501" s="13"/>
      <c r="C501" s="13"/>
    </row>
    <row r="502" spans="1:3" ht="13" x14ac:dyDescent="0.15">
      <c r="A502" s="10"/>
      <c r="B502" s="13"/>
      <c r="C502" s="13"/>
    </row>
    <row r="503" spans="1:3" ht="13" x14ac:dyDescent="0.15">
      <c r="A503" s="10"/>
      <c r="B503" s="13"/>
      <c r="C503" s="13"/>
    </row>
    <row r="504" spans="1:3" ht="13" x14ac:dyDescent="0.15">
      <c r="A504" s="10"/>
      <c r="B504" s="13"/>
      <c r="C504" s="13"/>
    </row>
    <row r="505" spans="1:3" ht="13" x14ac:dyDescent="0.15">
      <c r="A505" s="10"/>
      <c r="B505" s="13"/>
      <c r="C505" s="13"/>
    </row>
    <row r="506" spans="1:3" ht="13" x14ac:dyDescent="0.15">
      <c r="A506" s="10"/>
      <c r="B506" s="13"/>
      <c r="C506" s="13"/>
    </row>
    <row r="507" spans="1:3" ht="13" x14ac:dyDescent="0.15">
      <c r="A507" s="10"/>
      <c r="B507" s="13"/>
      <c r="C507" s="13"/>
    </row>
    <row r="508" spans="1:3" ht="13" x14ac:dyDescent="0.15">
      <c r="A508" s="10"/>
      <c r="B508" s="13"/>
      <c r="C508" s="13"/>
    </row>
    <row r="509" spans="1:3" ht="13" x14ac:dyDescent="0.15">
      <c r="A509" s="10"/>
      <c r="B509" s="13"/>
      <c r="C509" s="13"/>
    </row>
    <row r="510" spans="1:3" ht="13" x14ac:dyDescent="0.15">
      <c r="A510" s="10"/>
      <c r="B510" s="13"/>
      <c r="C510" s="13"/>
    </row>
    <row r="511" spans="1:3" ht="13" x14ac:dyDescent="0.15">
      <c r="A511" s="10"/>
      <c r="B511" s="13"/>
      <c r="C511" s="13"/>
    </row>
    <row r="512" spans="1:3" ht="13" x14ac:dyDescent="0.15">
      <c r="A512" s="10"/>
      <c r="B512" s="13"/>
      <c r="C512" s="13"/>
    </row>
    <row r="513" spans="1:3" ht="13" x14ac:dyDescent="0.15">
      <c r="A513" s="10"/>
      <c r="B513" s="13"/>
      <c r="C513" s="13"/>
    </row>
    <row r="514" spans="1:3" ht="13" x14ac:dyDescent="0.15">
      <c r="A514" s="10"/>
      <c r="B514" s="13"/>
      <c r="C514" s="13"/>
    </row>
    <row r="515" spans="1:3" ht="13" x14ac:dyDescent="0.15">
      <c r="A515" s="10"/>
      <c r="B515" s="13"/>
      <c r="C515" s="13"/>
    </row>
    <row r="516" spans="1:3" ht="13" x14ac:dyDescent="0.15">
      <c r="A516" s="10"/>
      <c r="B516" s="13"/>
      <c r="C516" s="13"/>
    </row>
    <row r="517" spans="1:3" ht="13" x14ac:dyDescent="0.15">
      <c r="A517" s="10"/>
      <c r="B517" s="13"/>
      <c r="C517" s="13"/>
    </row>
    <row r="518" spans="1:3" ht="13" x14ac:dyDescent="0.15">
      <c r="A518" s="10"/>
      <c r="B518" s="13"/>
      <c r="C518" s="13"/>
    </row>
    <row r="519" spans="1:3" ht="13" x14ac:dyDescent="0.15">
      <c r="A519" s="10"/>
      <c r="B519" s="13"/>
      <c r="C519" s="13"/>
    </row>
    <row r="520" spans="1:3" ht="13" x14ac:dyDescent="0.15">
      <c r="A520" s="10"/>
      <c r="B520" s="13"/>
      <c r="C520" s="13"/>
    </row>
    <row r="521" spans="1:3" ht="13" x14ac:dyDescent="0.15">
      <c r="A521" s="10"/>
      <c r="B521" s="13"/>
      <c r="C521" s="13"/>
    </row>
    <row r="522" spans="1:3" ht="13" x14ac:dyDescent="0.15">
      <c r="A522" s="10"/>
      <c r="B522" s="13"/>
      <c r="C522" s="13"/>
    </row>
    <row r="523" spans="1:3" ht="13" x14ac:dyDescent="0.15">
      <c r="A523" s="10"/>
      <c r="B523" s="13"/>
      <c r="C523" s="13"/>
    </row>
    <row r="524" spans="1:3" ht="13" x14ac:dyDescent="0.15">
      <c r="A524" s="10"/>
      <c r="B524" s="13"/>
      <c r="C524" s="13"/>
    </row>
    <row r="525" spans="1:3" ht="13" x14ac:dyDescent="0.15">
      <c r="A525" s="10"/>
      <c r="B525" s="13"/>
      <c r="C525" s="13"/>
    </row>
    <row r="526" spans="1:3" ht="13" x14ac:dyDescent="0.15">
      <c r="A526" s="10"/>
      <c r="B526" s="13"/>
      <c r="C526" s="13"/>
    </row>
    <row r="527" spans="1:3" ht="13" x14ac:dyDescent="0.15">
      <c r="A527" s="10"/>
      <c r="B527" s="13"/>
      <c r="C527" s="13"/>
    </row>
    <row r="528" spans="1:3" ht="13" x14ac:dyDescent="0.15">
      <c r="A528" s="10"/>
      <c r="B528" s="13"/>
      <c r="C528" s="13"/>
    </row>
    <row r="529" spans="1:3" ht="13" x14ac:dyDescent="0.15">
      <c r="A529" s="10"/>
      <c r="B529" s="13"/>
      <c r="C529" s="13"/>
    </row>
    <row r="530" spans="1:3" ht="13" x14ac:dyDescent="0.15">
      <c r="A530" s="10"/>
      <c r="B530" s="13"/>
      <c r="C530" s="13"/>
    </row>
    <row r="531" spans="1:3" ht="13" x14ac:dyDescent="0.15">
      <c r="A531" s="10"/>
      <c r="B531" s="13"/>
      <c r="C531" s="13"/>
    </row>
    <row r="532" spans="1:3" ht="13" x14ac:dyDescent="0.15">
      <c r="A532" s="10"/>
      <c r="B532" s="13"/>
      <c r="C532" s="13"/>
    </row>
    <row r="533" spans="1:3" ht="13" x14ac:dyDescent="0.15">
      <c r="A533" s="10"/>
      <c r="B533" s="13"/>
      <c r="C533" s="13"/>
    </row>
    <row r="534" spans="1:3" ht="13" x14ac:dyDescent="0.15">
      <c r="A534" s="10"/>
      <c r="B534" s="13"/>
      <c r="C534" s="13"/>
    </row>
    <row r="535" spans="1:3" ht="13" x14ac:dyDescent="0.15">
      <c r="A535" s="10"/>
      <c r="B535" s="13"/>
      <c r="C535" s="13"/>
    </row>
    <row r="536" spans="1:3" ht="13" x14ac:dyDescent="0.15">
      <c r="A536" s="10"/>
      <c r="B536" s="13"/>
      <c r="C536" s="13"/>
    </row>
    <row r="537" spans="1:3" ht="13" x14ac:dyDescent="0.15">
      <c r="A537" s="10"/>
      <c r="B537" s="13"/>
      <c r="C537" s="13"/>
    </row>
    <row r="538" spans="1:3" ht="13" x14ac:dyDescent="0.15">
      <c r="A538" s="10"/>
      <c r="B538" s="13"/>
      <c r="C538" s="13"/>
    </row>
    <row r="539" spans="1:3" ht="13" x14ac:dyDescent="0.15">
      <c r="A539" s="10"/>
      <c r="B539" s="13"/>
      <c r="C539" s="13"/>
    </row>
    <row r="540" spans="1:3" ht="13" x14ac:dyDescent="0.15">
      <c r="A540" s="10"/>
      <c r="B540" s="13"/>
      <c r="C540" s="13"/>
    </row>
    <row r="541" spans="1:3" ht="13" x14ac:dyDescent="0.15">
      <c r="A541" s="10"/>
      <c r="B541" s="13"/>
      <c r="C541" s="13"/>
    </row>
    <row r="542" spans="1:3" ht="13" x14ac:dyDescent="0.15">
      <c r="A542" s="10"/>
      <c r="B542" s="13"/>
      <c r="C542" s="13"/>
    </row>
    <row r="543" spans="1:3" ht="13" x14ac:dyDescent="0.15">
      <c r="A543" s="10"/>
      <c r="B543" s="13"/>
      <c r="C543" s="13"/>
    </row>
    <row r="544" spans="1:3" ht="13" x14ac:dyDescent="0.15">
      <c r="A544" s="10"/>
      <c r="B544" s="13"/>
      <c r="C544" s="13"/>
    </row>
    <row r="545" spans="1:3" ht="13" x14ac:dyDescent="0.15">
      <c r="A545" s="10"/>
      <c r="B545" s="13"/>
      <c r="C545" s="13"/>
    </row>
    <row r="546" spans="1:3" ht="13" x14ac:dyDescent="0.15">
      <c r="A546" s="10"/>
      <c r="B546" s="13"/>
      <c r="C546" s="13"/>
    </row>
    <row r="547" spans="1:3" ht="13" x14ac:dyDescent="0.15">
      <c r="A547" s="10"/>
      <c r="B547" s="13"/>
      <c r="C547" s="13"/>
    </row>
    <row r="548" spans="1:3" ht="13" x14ac:dyDescent="0.15">
      <c r="A548" s="10"/>
      <c r="B548" s="13"/>
      <c r="C548" s="13"/>
    </row>
    <row r="549" spans="1:3" ht="13" x14ac:dyDescent="0.15">
      <c r="A549" s="10"/>
      <c r="B549" s="13"/>
      <c r="C549" s="13"/>
    </row>
    <row r="550" spans="1:3" ht="13" x14ac:dyDescent="0.15">
      <c r="A550" s="10"/>
      <c r="B550" s="13"/>
      <c r="C550" s="13"/>
    </row>
    <row r="551" spans="1:3" ht="13" x14ac:dyDescent="0.15">
      <c r="A551" s="10"/>
      <c r="B551" s="13"/>
      <c r="C551" s="13"/>
    </row>
    <row r="552" spans="1:3" ht="13" x14ac:dyDescent="0.15">
      <c r="A552" s="10"/>
      <c r="B552" s="13"/>
      <c r="C552" s="13"/>
    </row>
    <row r="553" spans="1:3" ht="13" x14ac:dyDescent="0.15">
      <c r="A553" s="10"/>
      <c r="B553" s="13"/>
      <c r="C553" s="13"/>
    </row>
    <row r="554" spans="1:3" ht="13" x14ac:dyDescent="0.15">
      <c r="A554" s="10"/>
      <c r="B554" s="13"/>
      <c r="C554" s="13"/>
    </row>
    <row r="555" spans="1:3" ht="13" x14ac:dyDescent="0.15">
      <c r="A555" s="10"/>
      <c r="B555" s="13"/>
      <c r="C555" s="13"/>
    </row>
    <row r="556" spans="1:3" ht="13" x14ac:dyDescent="0.15">
      <c r="A556" s="10"/>
      <c r="B556" s="13"/>
      <c r="C556" s="13"/>
    </row>
    <row r="557" spans="1:3" ht="13" x14ac:dyDescent="0.15">
      <c r="A557" s="10"/>
      <c r="B557" s="13"/>
      <c r="C557" s="13"/>
    </row>
    <row r="558" spans="1:3" ht="13" x14ac:dyDescent="0.15">
      <c r="A558" s="10"/>
      <c r="B558" s="13"/>
      <c r="C558" s="13"/>
    </row>
    <row r="559" spans="1:3" ht="13" x14ac:dyDescent="0.15">
      <c r="A559" s="10"/>
      <c r="B559" s="13"/>
      <c r="C559" s="13"/>
    </row>
    <row r="560" spans="1:3" ht="13" x14ac:dyDescent="0.15">
      <c r="A560" s="10"/>
      <c r="B560" s="13"/>
      <c r="C560" s="13"/>
    </row>
    <row r="561" spans="1:3" ht="13" x14ac:dyDescent="0.15">
      <c r="A561" s="10"/>
      <c r="B561" s="13"/>
      <c r="C561" s="13"/>
    </row>
    <row r="562" spans="1:3" ht="13" x14ac:dyDescent="0.15">
      <c r="A562" s="10"/>
      <c r="B562" s="13"/>
      <c r="C562" s="13"/>
    </row>
    <row r="563" spans="1:3" ht="13" x14ac:dyDescent="0.15">
      <c r="A563" s="10"/>
      <c r="B563" s="13"/>
      <c r="C563" s="13"/>
    </row>
    <row r="564" spans="1:3" ht="13" x14ac:dyDescent="0.15">
      <c r="A564" s="10"/>
      <c r="B564" s="13"/>
      <c r="C564" s="13"/>
    </row>
    <row r="565" spans="1:3" ht="13" x14ac:dyDescent="0.15">
      <c r="A565" s="10"/>
      <c r="B565" s="13"/>
      <c r="C565" s="13"/>
    </row>
    <row r="566" spans="1:3" ht="13" x14ac:dyDescent="0.15">
      <c r="A566" s="10"/>
      <c r="B566" s="13"/>
      <c r="C566" s="13"/>
    </row>
    <row r="567" spans="1:3" ht="13" x14ac:dyDescent="0.15">
      <c r="A567" s="10"/>
      <c r="B567" s="13"/>
      <c r="C567" s="13"/>
    </row>
    <row r="568" spans="1:3" ht="13" x14ac:dyDescent="0.15">
      <c r="A568" s="10"/>
      <c r="B568" s="13"/>
      <c r="C568" s="13"/>
    </row>
    <row r="569" spans="1:3" ht="13" x14ac:dyDescent="0.15">
      <c r="A569" s="10"/>
      <c r="B569" s="13"/>
      <c r="C569" s="13"/>
    </row>
    <row r="570" spans="1:3" ht="13" x14ac:dyDescent="0.15">
      <c r="A570" s="10"/>
      <c r="B570" s="13"/>
      <c r="C570" s="13"/>
    </row>
    <row r="571" spans="1:3" ht="13" x14ac:dyDescent="0.15">
      <c r="A571" s="10"/>
      <c r="B571" s="13"/>
      <c r="C571" s="13"/>
    </row>
    <row r="572" spans="1:3" ht="13" x14ac:dyDescent="0.15">
      <c r="A572" s="10"/>
      <c r="B572" s="13"/>
      <c r="C572" s="13"/>
    </row>
    <row r="573" spans="1:3" ht="13" x14ac:dyDescent="0.15">
      <c r="A573" s="10"/>
      <c r="B573" s="13"/>
      <c r="C573" s="13"/>
    </row>
    <row r="574" spans="1:3" ht="13" x14ac:dyDescent="0.15">
      <c r="A574" s="10"/>
      <c r="B574" s="13"/>
      <c r="C574" s="13"/>
    </row>
    <row r="575" spans="1:3" ht="13" x14ac:dyDescent="0.15">
      <c r="A575" s="10"/>
      <c r="B575" s="13"/>
      <c r="C575" s="13"/>
    </row>
    <row r="576" spans="1:3" ht="13" x14ac:dyDescent="0.15">
      <c r="A576" s="10"/>
      <c r="B576" s="13"/>
      <c r="C576" s="13"/>
    </row>
    <row r="577" spans="1:3" ht="13" x14ac:dyDescent="0.15">
      <c r="A577" s="10"/>
      <c r="B577" s="13"/>
      <c r="C577" s="13"/>
    </row>
    <row r="578" spans="1:3" ht="13" x14ac:dyDescent="0.15">
      <c r="A578" s="10"/>
      <c r="B578" s="13"/>
      <c r="C578" s="13"/>
    </row>
    <row r="579" spans="1:3" ht="13" x14ac:dyDescent="0.15">
      <c r="A579" s="10"/>
      <c r="B579" s="13"/>
      <c r="C579" s="13"/>
    </row>
    <row r="580" spans="1:3" ht="13" x14ac:dyDescent="0.15">
      <c r="A580" s="10"/>
      <c r="B580" s="13"/>
      <c r="C580" s="13"/>
    </row>
    <row r="581" spans="1:3" ht="13" x14ac:dyDescent="0.15">
      <c r="A581" s="10"/>
      <c r="B581" s="13"/>
      <c r="C581" s="13"/>
    </row>
    <row r="582" spans="1:3" ht="13" x14ac:dyDescent="0.15">
      <c r="A582" s="10"/>
      <c r="B582" s="13"/>
      <c r="C582" s="13"/>
    </row>
    <row r="583" spans="1:3" ht="13" x14ac:dyDescent="0.15">
      <c r="A583" s="10"/>
      <c r="B583" s="13"/>
      <c r="C583" s="13"/>
    </row>
    <row r="584" spans="1:3" ht="13" x14ac:dyDescent="0.15">
      <c r="A584" s="10"/>
      <c r="B584" s="13"/>
      <c r="C584" s="13"/>
    </row>
    <row r="585" spans="1:3" ht="13" x14ac:dyDescent="0.15">
      <c r="A585" s="10"/>
      <c r="B585" s="13"/>
      <c r="C585" s="13"/>
    </row>
    <row r="586" spans="1:3" ht="13" x14ac:dyDescent="0.15">
      <c r="A586" s="10"/>
      <c r="B586" s="13"/>
      <c r="C586" s="13"/>
    </row>
    <row r="587" spans="1:3" ht="13" x14ac:dyDescent="0.15">
      <c r="A587" s="10"/>
      <c r="B587" s="13"/>
      <c r="C587" s="13"/>
    </row>
    <row r="588" spans="1:3" ht="13" x14ac:dyDescent="0.15">
      <c r="A588" s="10"/>
      <c r="B588" s="13"/>
      <c r="C588" s="13"/>
    </row>
    <row r="589" spans="1:3" ht="13" x14ac:dyDescent="0.15">
      <c r="A589" s="10"/>
      <c r="B589" s="13"/>
      <c r="C589" s="13"/>
    </row>
    <row r="590" spans="1:3" ht="13" x14ac:dyDescent="0.15">
      <c r="A590" s="10"/>
      <c r="B590" s="13"/>
      <c r="C590" s="13"/>
    </row>
    <row r="591" spans="1:3" ht="13" x14ac:dyDescent="0.15">
      <c r="A591" s="10"/>
      <c r="B591" s="13"/>
      <c r="C591" s="13"/>
    </row>
    <row r="592" spans="1:3" ht="13" x14ac:dyDescent="0.15">
      <c r="A592" s="10"/>
      <c r="B592" s="13"/>
      <c r="C592" s="13"/>
    </row>
    <row r="593" spans="1:3" ht="13" x14ac:dyDescent="0.15">
      <c r="A593" s="10"/>
      <c r="B593" s="13"/>
      <c r="C593" s="13"/>
    </row>
    <row r="594" spans="1:3" ht="13" x14ac:dyDescent="0.15">
      <c r="A594" s="10"/>
      <c r="B594" s="13"/>
      <c r="C594" s="13"/>
    </row>
    <row r="595" spans="1:3" ht="13" x14ac:dyDescent="0.15">
      <c r="A595" s="10"/>
      <c r="B595" s="13"/>
      <c r="C595" s="13"/>
    </row>
    <row r="596" spans="1:3" ht="13" x14ac:dyDescent="0.15">
      <c r="A596" s="10"/>
      <c r="B596" s="13"/>
      <c r="C596" s="13"/>
    </row>
    <row r="597" spans="1:3" ht="13" x14ac:dyDescent="0.15">
      <c r="A597" s="10"/>
      <c r="B597" s="13"/>
      <c r="C597" s="13"/>
    </row>
    <row r="598" spans="1:3" ht="13" x14ac:dyDescent="0.15">
      <c r="A598" s="10"/>
      <c r="B598" s="13"/>
      <c r="C598" s="13"/>
    </row>
    <row r="599" spans="1:3" ht="13" x14ac:dyDescent="0.15">
      <c r="A599" s="10"/>
      <c r="B599" s="13"/>
      <c r="C599" s="13"/>
    </row>
    <row r="600" spans="1:3" ht="13" x14ac:dyDescent="0.15">
      <c r="A600" s="10"/>
      <c r="B600" s="13"/>
      <c r="C600" s="13"/>
    </row>
    <row r="601" spans="1:3" ht="13" x14ac:dyDescent="0.15">
      <c r="A601" s="10"/>
      <c r="B601" s="13"/>
      <c r="C601" s="13"/>
    </row>
    <row r="602" spans="1:3" ht="13" x14ac:dyDescent="0.15">
      <c r="A602" s="10"/>
      <c r="B602" s="13"/>
      <c r="C602" s="13"/>
    </row>
    <row r="603" spans="1:3" ht="13" x14ac:dyDescent="0.15">
      <c r="A603" s="10"/>
      <c r="B603" s="13"/>
      <c r="C603" s="13"/>
    </row>
    <row r="604" spans="1:3" ht="13" x14ac:dyDescent="0.15">
      <c r="A604" s="10"/>
      <c r="B604" s="13"/>
      <c r="C604" s="13"/>
    </row>
    <row r="605" spans="1:3" ht="13" x14ac:dyDescent="0.15">
      <c r="A605" s="10"/>
      <c r="B605" s="13"/>
      <c r="C605" s="13"/>
    </row>
    <row r="606" spans="1:3" ht="13" x14ac:dyDescent="0.15">
      <c r="A606" s="10"/>
      <c r="B606" s="13"/>
      <c r="C606" s="13"/>
    </row>
    <row r="607" spans="1:3" ht="13" x14ac:dyDescent="0.15">
      <c r="A607" s="10"/>
      <c r="B607" s="13"/>
      <c r="C607" s="13"/>
    </row>
    <row r="608" spans="1:3" ht="13" x14ac:dyDescent="0.15">
      <c r="A608" s="10"/>
      <c r="B608" s="13"/>
      <c r="C608" s="13"/>
    </row>
    <row r="609" spans="1:3" ht="13" x14ac:dyDescent="0.15">
      <c r="A609" s="10"/>
      <c r="B609" s="13"/>
      <c r="C609" s="13"/>
    </row>
    <row r="610" spans="1:3" ht="13" x14ac:dyDescent="0.15">
      <c r="A610" s="10"/>
      <c r="B610" s="13"/>
      <c r="C610" s="13"/>
    </row>
    <row r="611" spans="1:3" ht="13" x14ac:dyDescent="0.15">
      <c r="A611" s="10"/>
      <c r="B611" s="13"/>
      <c r="C611" s="13"/>
    </row>
    <row r="612" spans="1:3" ht="13" x14ac:dyDescent="0.15">
      <c r="A612" s="10"/>
      <c r="B612" s="13"/>
      <c r="C612" s="13"/>
    </row>
    <row r="613" spans="1:3" ht="13" x14ac:dyDescent="0.15">
      <c r="A613" s="10"/>
      <c r="B613" s="13"/>
      <c r="C613" s="13"/>
    </row>
    <row r="614" spans="1:3" ht="13" x14ac:dyDescent="0.15">
      <c r="A614" s="10"/>
      <c r="B614" s="13"/>
      <c r="C614" s="13"/>
    </row>
    <row r="615" spans="1:3" ht="13" x14ac:dyDescent="0.15">
      <c r="A615" s="10"/>
      <c r="B615" s="13"/>
      <c r="C615" s="13"/>
    </row>
    <row r="616" spans="1:3" ht="13" x14ac:dyDescent="0.15">
      <c r="A616" s="10"/>
      <c r="B616" s="13"/>
      <c r="C616" s="13"/>
    </row>
    <row r="617" spans="1:3" ht="13" x14ac:dyDescent="0.15">
      <c r="A617" s="10"/>
      <c r="B617" s="13"/>
      <c r="C617" s="13"/>
    </row>
    <row r="618" spans="1:3" ht="13" x14ac:dyDescent="0.15">
      <c r="A618" s="10"/>
      <c r="B618" s="13"/>
      <c r="C618" s="13"/>
    </row>
    <row r="619" spans="1:3" ht="13" x14ac:dyDescent="0.15">
      <c r="A619" s="10"/>
      <c r="B619" s="13"/>
      <c r="C619" s="13"/>
    </row>
    <row r="620" spans="1:3" ht="13" x14ac:dyDescent="0.15">
      <c r="A620" s="10"/>
      <c r="B620" s="13"/>
      <c r="C620" s="13"/>
    </row>
    <row r="621" spans="1:3" ht="13" x14ac:dyDescent="0.15">
      <c r="A621" s="10"/>
      <c r="B621" s="13"/>
      <c r="C621" s="13"/>
    </row>
    <row r="622" spans="1:3" ht="13" x14ac:dyDescent="0.15">
      <c r="A622" s="10"/>
      <c r="B622" s="13"/>
      <c r="C622" s="13"/>
    </row>
    <row r="623" spans="1:3" ht="13" x14ac:dyDescent="0.15">
      <c r="A623" s="10"/>
      <c r="B623" s="13"/>
      <c r="C623" s="13"/>
    </row>
    <row r="624" spans="1:3" ht="13" x14ac:dyDescent="0.15">
      <c r="A624" s="10"/>
      <c r="B624" s="13"/>
      <c r="C624" s="13"/>
    </row>
    <row r="625" spans="1:3" ht="13" x14ac:dyDescent="0.15">
      <c r="A625" s="10"/>
      <c r="B625" s="13"/>
      <c r="C625" s="13"/>
    </row>
    <row r="626" spans="1:3" ht="13" x14ac:dyDescent="0.15">
      <c r="A626" s="10"/>
      <c r="B626" s="13"/>
      <c r="C626" s="13"/>
    </row>
    <row r="627" spans="1:3" ht="13" x14ac:dyDescent="0.15">
      <c r="A627" s="10"/>
      <c r="B627" s="13"/>
      <c r="C627" s="13"/>
    </row>
    <row r="628" spans="1:3" ht="13" x14ac:dyDescent="0.15">
      <c r="A628" s="10"/>
      <c r="B628" s="13"/>
      <c r="C628" s="13"/>
    </row>
    <row r="629" spans="1:3" ht="13" x14ac:dyDescent="0.15">
      <c r="A629" s="10"/>
      <c r="B629" s="13"/>
      <c r="C629" s="13"/>
    </row>
    <row r="630" spans="1:3" ht="13" x14ac:dyDescent="0.15">
      <c r="A630" s="10"/>
      <c r="B630" s="13"/>
      <c r="C630" s="13"/>
    </row>
    <row r="631" spans="1:3" ht="13" x14ac:dyDescent="0.15">
      <c r="A631" s="10"/>
      <c r="B631" s="13"/>
      <c r="C631" s="13"/>
    </row>
    <row r="632" spans="1:3" ht="13" x14ac:dyDescent="0.15">
      <c r="A632" s="10"/>
      <c r="B632" s="13"/>
      <c r="C632" s="13"/>
    </row>
    <row r="633" spans="1:3" ht="13" x14ac:dyDescent="0.15">
      <c r="A633" s="10"/>
      <c r="B633" s="13"/>
      <c r="C633" s="13"/>
    </row>
    <row r="634" spans="1:3" ht="13" x14ac:dyDescent="0.15">
      <c r="A634" s="10"/>
      <c r="B634" s="13"/>
      <c r="C634" s="13"/>
    </row>
    <row r="635" spans="1:3" ht="13" x14ac:dyDescent="0.15">
      <c r="A635" s="10"/>
      <c r="B635" s="13"/>
      <c r="C635" s="13"/>
    </row>
    <row r="636" spans="1:3" ht="13" x14ac:dyDescent="0.15">
      <c r="A636" s="10"/>
      <c r="B636" s="13"/>
      <c r="C636" s="13"/>
    </row>
    <row r="637" spans="1:3" ht="13" x14ac:dyDescent="0.15">
      <c r="A637" s="10"/>
      <c r="B637" s="13"/>
      <c r="C637" s="13"/>
    </row>
    <row r="638" spans="1:3" ht="13" x14ac:dyDescent="0.15">
      <c r="A638" s="10"/>
      <c r="B638" s="13"/>
      <c r="C638" s="13"/>
    </row>
    <row r="639" spans="1:3" ht="13" x14ac:dyDescent="0.15">
      <c r="A639" s="10"/>
      <c r="B639" s="13"/>
      <c r="C639" s="13"/>
    </row>
    <row r="640" spans="1:3" ht="13" x14ac:dyDescent="0.15">
      <c r="A640" s="10"/>
      <c r="B640" s="13"/>
      <c r="C640" s="13"/>
    </row>
    <row r="641" spans="1:3" ht="13" x14ac:dyDescent="0.15">
      <c r="A641" s="10"/>
      <c r="B641" s="13"/>
      <c r="C641" s="13"/>
    </row>
    <row r="642" spans="1:3" ht="13" x14ac:dyDescent="0.15">
      <c r="A642" s="10"/>
      <c r="B642" s="13"/>
      <c r="C642" s="13"/>
    </row>
    <row r="643" spans="1:3" ht="13" x14ac:dyDescent="0.15">
      <c r="A643" s="10"/>
      <c r="B643" s="13"/>
      <c r="C643" s="13"/>
    </row>
    <row r="644" spans="1:3" ht="13" x14ac:dyDescent="0.15">
      <c r="A644" s="10"/>
      <c r="B644" s="13"/>
      <c r="C644" s="13"/>
    </row>
    <row r="645" spans="1:3" ht="13" x14ac:dyDescent="0.15">
      <c r="A645" s="10"/>
      <c r="B645" s="13"/>
      <c r="C645" s="13"/>
    </row>
    <row r="646" spans="1:3" ht="13" x14ac:dyDescent="0.15">
      <c r="A646" s="10"/>
      <c r="B646" s="13"/>
      <c r="C646" s="13"/>
    </row>
    <row r="647" spans="1:3" ht="13" x14ac:dyDescent="0.15">
      <c r="A647" s="10"/>
      <c r="B647" s="13"/>
      <c r="C647" s="13"/>
    </row>
    <row r="648" spans="1:3" ht="13" x14ac:dyDescent="0.15">
      <c r="A648" s="10"/>
      <c r="B648" s="13"/>
      <c r="C648" s="13"/>
    </row>
    <row r="649" spans="1:3" ht="13" x14ac:dyDescent="0.15">
      <c r="A649" s="10"/>
      <c r="B649" s="13"/>
      <c r="C649" s="13"/>
    </row>
    <row r="650" spans="1:3" ht="13" x14ac:dyDescent="0.15">
      <c r="A650" s="10"/>
      <c r="B650" s="13"/>
      <c r="C650" s="13"/>
    </row>
    <row r="651" spans="1:3" ht="13" x14ac:dyDescent="0.15">
      <c r="A651" s="10"/>
      <c r="B651" s="13"/>
      <c r="C651" s="13"/>
    </row>
    <row r="652" spans="1:3" ht="13" x14ac:dyDescent="0.15">
      <c r="A652" s="10"/>
      <c r="B652" s="13"/>
      <c r="C652" s="13"/>
    </row>
    <row r="653" spans="1:3" ht="13" x14ac:dyDescent="0.15">
      <c r="A653" s="10"/>
      <c r="B653" s="13"/>
      <c r="C653" s="13"/>
    </row>
    <row r="654" spans="1:3" ht="13" x14ac:dyDescent="0.15">
      <c r="A654" s="10"/>
      <c r="B654" s="13"/>
      <c r="C654" s="13"/>
    </row>
    <row r="655" spans="1:3" ht="13" x14ac:dyDescent="0.15">
      <c r="A655" s="10"/>
      <c r="B655" s="13"/>
      <c r="C655" s="13"/>
    </row>
    <row r="656" spans="1:3" ht="13" x14ac:dyDescent="0.15">
      <c r="A656" s="10"/>
      <c r="B656" s="13"/>
      <c r="C656" s="13"/>
    </row>
    <row r="657" spans="1:3" ht="13" x14ac:dyDescent="0.15">
      <c r="A657" s="10"/>
      <c r="B657" s="13"/>
      <c r="C657" s="13"/>
    </row>
    <row r="658" spans="1:3" ht="13" x14ac:dyDescent="0.15">
      <c r="A658" s="10"/>
      <c r="B658" s="13"/>
      <c r="C658" s="13"/>
    </row>
    <row r="659" spans="1:3" ht="13" x14ac:dyDescent="0.15">
      <c r="A659" s="10"/>
      <c r="B659" s="13"/>
      <c r="C659" s="13"/>
    </row>
    <row r="660" spans="1:3" ht="13" x14ac:dyDescent="0.15">
      <c r="A660" s="10"/>
      <c r="B660" s="13"/>
      <c r="C660" s="13"/>
    </row>
    <row r="661" spans="1:3" ht="13" x14ac:dyDescent="0.15">
      <c r="A661" s="10"/>
      <c r="B661" s="13"/>
      <c r="C661" s="13"/>
    </row>
    <row r="662" spans="1:3" ht="13" x14ac:dyDescent="0.15">
      <c r="A662" s="10"/>
      <c r="B662" s="13"/>
      <c r="C662" s="13"/>
    </row>
    <row r="663" spans="1:3" ht="13" x14ac:dyDescent="0.15">
      <c r="A663" s="10"/>
      <c r="B663" s="13"/>
      <c r="C663" s="13"/>
    </row>
    <row r="664" spans="1:3" ht="13" x14ac:dyDescent="0.15">
      <c r="A664" s="10"/>
      <c r="B664" s="13"/>
      <c r="C664" s="13"/>
    </row>
    <row r="665" spans="1:3" ht="13" x14ac:dyDescent="0.15">
      <c r="A665" s="10"/>
      <c r="B665" s="13"/>
      <c r="C665" s="13"/>
    </row>
    <row r="666" spans="1:3" ht="13" x14ac:dyDescent="0.15">
      <c r="A666" s="10"/>
      <c r="B666" s="13"/>
      <c r="C666" s="13"/>
    </row>
    <row r="667" spans="1:3" ht="13" x14ac:dyDescent="0.15">
      <c r="A667" s="10"/>
      <c r="B667" s="13"/>
      <c r="C667" s="13"/>
    </row>
    <row r="668" spans="1:3" ht="13" x14ac:dyDescent="0.15">
      <c r="A668" s="10"/>
      <c r="B668" s="13"/>
      <c r="C668" s="13"/>
    </row>
    <row r="669" spans="1:3" ht="13" x14ac:dyDescent="0.15">
      <c r="A669" s="10"/>
      <c r="B669" s="13"/>
      <c r="C669" s="13"/>
    </row>
    <row r="670" spans="1:3" ht="13" x14ac:dyDescent="0.15">
      <c r="A670" s="10"/>
      <c r="B670" s="13"/>
      <c r="C670" s="13"/>
    </row>
    <row r="671" spans="1:3" ht="13" x14ac:dyDescent="0.15">
      <c r="A671" s="10"/>
      <c r="B671" s="13"/>
      <c r="C671" s="13"/>
    </row>
    <row r="672" spans="1:3" ht="13" x14ac:dyDescent="0.15">
      <c r="A672" s="10"/>
      <c r="B672" s="13"/>
      <c r="C672" s="13"/>
    </row>
    <row r="673" spans="1:3" ht="13" x14ac:dyDescent="0.15">
      <c r="A673" s="10"/>
      <c r="B673" s="13"/>
      <c r="C673" s="13"/>
    </row>
    <row r="674" spans="1:3" ht="13" x14ac:dyDescent="0.15">
      <c r="A674" s="10"/>
      <c r="B674" s="13"/>
      <c r="C674" s="13"/>
    </row>
    <row r="675" spans="1:3" ht="13" x14ac:dyDescent="0.15">
      <c r="A675" s="10"/>
      <c r="B675" s="13"/>
      <c r="C675" s="13"/>
    </row>
    <row r="676" spans="1:3" ht="13" x14ac:dyDescent="0.15">
      <c r="A676" s="10"/>
      <c r="B676" s="13"/>
      <c r="C676" s="13"/>
    </row>
    <row r="677" spans="1:3" ht="13" x14ac:dyDescent="0.15">
      <c r="A677" s="10"/>
      <c r="B677" s="13"/>
      <c r="C677" s="13"/>
    </row>
    <row r="678" spans="1:3" ht="13" x14ac:dyDescent="0.15">
      <c r="A678" s="10"/>
      <c r="B678" s="13"/>
      <c r="C678" s="13"/>
    </row>
    <row r="679" spans="1:3" ht="13" x14ac:dyDescent="0.15">
      <c r="A679" s="10"/>
      <c r="B679" s="13"/>
      <c r="C679" s="13"/>
    </row>
    <row r="680" spans="1:3" ht="13" x14ac:dyDescent="0.15">
      <c r="A680" s="10"/>
      <c r="B680" s="13"/>
      <c r="C680" s="13"/>
    </row>
    <row r="681" spans="1:3" ht="13" x14ac:dyDescent="0.15">
      <c r="A681" s="10"/>
      <c r="B681" s="13"/>
      <c r="C681" s="13"/>
    </row>
    <row r="682" spans="1:3" ht="13" x14ac:dyDescent="0.15">
      <c r="A682" s="10"/>
      <c r="B682" s="13"/>
      <c r="C682" s="13"/>
    </row>
    <row r="683" spans="1:3" ht="13" x14ac:dyDescent="0.15">
      <c r="A683" s="10"/>
      <c r="B683" s="13"/>
      <c r="C683" s="13"/>
    </row>
    <row r="684" spans="1:3" ht="13" x14ac:dyDescent="0.15">
      <c r="A684" s="10"/>
      <c r="B684" s="13"/>
      <c r="C684" s="13"/>
    </row>
    <row r="685" spans="1:3" ht="13" x14ac:dyDescent="0.15">
      <c r="A685" s="10"/>
      <c r="B685" s="13"/>
      <c r="C685" s="13"/>
    </row>
    <row r="686" spans="1:3" ht="13" x14ac:dyDescent="0.15">
      <c r="A686" s="10"/>
      <c r="B686" s="13"/>
      <c r="C686" s="13"/>
    </row>
    <row r="687" spans="1:3" ht="13" x14ac:dyDescent="0.15">
      <c r="A687" s="10"/>
      <c r="B687" s="13"/>
      <c r="C687" s="13"/>
    </row>
    <row r="688" spans="1:3" ht="13" x14ac:dyDescent="0.15">
      <c r="A688" s="10"/>
      <c r="B688" s="13"/>
      <c r="C688" s="13"/>
    </row>
    <row r="689" spans="1:3" ht="13" x14ac:dyDescent="0.15">
      <c r="A689" s="10"/>
      <c r="B689" s="13"/>
      <c r="C689" s="13"/>
    </row>
    <row r="690" spans="1:3" ht="13" x14ac:dyDescent="0.15">
      <c r="A690" s="10"/>
      <c r="B690" s="13"/>
      <c r="C690" s="13"/>
    </row>
    <row r="691" spans="1:3" ht="13" x14ac:dyDescent="0.15">
      <c r="A691" s="10"/>
      <c r="B691" s="13"/>
      <c r="C691" s="13"/>
    </row>
    <row r="692" spans="1:3" ht="13" x14ac:dyDescent="0.15">
      <c r="A692" s="10"/>
      <c r="B692" s="13"/>
      <c r="C692" s="13"/>
    </row>
    <row r="693" spans="1:3" ht="13" x14ac:dyDescent="0.15">
      <c r="A693" s="10"/>
      <c r="B693" s="13"/>
      <c r="C693" s="13"/>
    </row>
    <row r="694" spans="1:3" ht="13" x14ac:dyDescent="0.15">
      <c r="A694" s="10"/>
      <c r="B694" s="13"/>
      <c r="C694" s="13"/>
    </row>
    <row r="695" spans="1:3" ht="13" x14ac:dyDescent="0.15">
      <c r="A695" s="10"/>
      <c r="B695" s="13"/>
      <c r="C695" s="13"/>
    </row>
    <row r="696" spans="1:3" ht="13" x14ac:dyDescent="0.15">
      <c r="A696" s="10"/>
      <c r="B696" s="13"/>
      <c r="C696" s="13"/>
    </row>
    <row r="697" spans="1:3" ht="13" x14ac:dyDescent="0.15">
      <c r="A697" s="10"/>
      <c r="B697" s="13"/>
      <c r="C697" s="13"/>
    </row>
    <row r="698" spans="1:3" ht="13" x14ac:dyDescent="0.15">
      <c r="A698" s="10"/>
      <c r="B698" s="13"/>
      <c r="C698" s="13"/>
    </row>
    <row r="699" spans="1:3" ht="13" x14ac:dyDescent="0.15">
      <c r="A699" s="10"/>
      <c r="B699" s="13"/>
      <c r="C699" s="13"/>
    </row>
    <row r="700" spans="1:3" ht="13" x14ac:dyDescent="0.15">
      <c r="A700" s="10"/>
      <c r="B700" s="13"/>
      <c r="C700" s="13"/>
    </row>
    <row r="701" spans="1:3" ht="13" x14ac:dyDescent="0.15">
      <c r="A701" s="10"/>
      <c r="B701" s="13"/>
      <c r="C701" s="13"/>
    </row>
    <row r="702" spans="1:3" ht="13" x14ac:dyDescent="0.15">
      <c r="A702" s="10"/>
      <c r="B702" s="13"/>
      <c r="C702" s="13"/>
    </row>
    <row r="703" spans="1:3" ht="13" x14ac:dyDescent="0.15">
      <c r="A703" s="10"/>
      <c r="B703" s="13"/>
      <c r="C703" s="13"/>
    </row>
    <row r="704" spans="1:3" ht="13" x14ac:dyDescent="0.15">
      <c r="A704" s="10"/>
      <c r="B704" s="13"/>
      <c r="C704" s="13"/>
    </row>
    <row r="705" spans="1:3" ht="13" x14ac:dyDescent="0.15">
      <c r="A705" s="10"/>
      <c r="B705" s="13"/>
      <c r="C705" s="13"/>
    </row>
    <row r="706" spans="1:3" ht="13" x14ac:dyDescent="0.15">
      <c r="A706" s="10"/>
      <c r="B706" s="13"/>
      <c r="C706" s="13"/>
    </row>
    <row r="707" spans="1:3" ht="13" x14ac:dyDescent="0.15">
      <c r="A707" s="10"/>
      <c r="B707" s="13"/>
      <c r="C707" s="13"/>
    </row>
    <row r="708" spans="1:3" ht="13" x14ac:dyDescent="0.15">
      <c r="A708" s="10"/>
      <c r="B708" s="13"/>
      <c r="C708" s="13"/>
    </row>
    <row r="709" spans="1:3" ht="13" x14ac:dyDescent="0.15">
      <c r="A709" s="10"/>
      <c r="B709" s="13"/>
      <c r="C709" s="13"/>
    </row>
    <row r="710" spans="1:3" ht="13" x14ac:dyDescent="0.15">
      <c r="A710" s="10"/>
      <c r="B710" s="13"/>
      <c r="C710" s="13"/>
    </row>
    <row r="711" spans="1:3" ht="13" x14ac:dyDescent="0.15">
      <c r="A711" s="10"/>
      <c r="B711" s="13"/>
      <c r="C711" s="13"/>
    </row>
    <row r="712" spans="1:3" ht="13" x14ac:dyDescent="0.15">
      <c r="A712" s="10"/>
      <c r="B712" s="13"/>
      <c r="C712" s="13"/>
    </row>
    <row r="713" spans="1:3" ht="13" x14ac:dyDescent="0.15">
      <c r="A713" s="10"/>
      <c r="B713" s="13"/>
      <c r="C713" s="13"/>
    </row>
    <row r="714" spans="1:3" ht="13" x14ac:dyDescent="0.15">
      <c r="A714" s="10"/>
      <c r="B714" s="13"/>
      <c r="C714" s="13"/>
    </row>
    <row r="715" spans="1:3" ht="13" x14ac:dyDescent="0.15">
      <c r="A715" s="10"/>
      <c r="B715" s="13"/>
      <c r="C715" s="13"/>
    </row>
    <row r="716" spans="1:3" ht="13" x14ac:dyDescent="0.15">
      <c r="A716" s="10"/>
      <c r="B716" s="13"/>
      <c r="C716" s="13"/>
    </row>
    <row r="717" spans="1:3" ht="13" x14ac:dyDescent="0.15">
      <c r="A717" s="10"/>
      <c r="B717" s="13"/>
      <c r="C717" s="13"/>
    </row>
    <row r="718" spans="1:3" ht="13" x14ac:dyDescent="0.15">
      <c r="A718" s="10"/>
      <c r="B718" s="13"/>
      <c r="C718" s="13"/>
    </row>
    <row r="719" spans="1:3" ht="13" x14ac:dyDescent="0.15">
      <c r="A719" s="10"/>
      <c r="B719" s="13"/>
      <c r="C719" s="13"/>
    </row>
    <row r="720" spans="1:3" ht="13" x14ac:dyDescent="0.15">
      <c r="A720" s="10"/>
      <c r="B720" s="13"/>
      <c r="C720" s="13"/>
    </row>
    <row r="721" spans="1:3" ht="13" x14ac:dyDescent="0.15">
      <c r="A721" s="10"/>
      <c r="B721" s="13"/>
      <c r="C721" s="13"/>
    </row>
    <row r="722" spans="1:3" ht="13" x14ac:dyDescent="0.15">
      <c r="A722" s="10"/>
      <c r="B722" s="13"/>
      <c r="C722" s="13"/>
    </row>
    <row r="723" spans="1:3" ht="13" x14ac:dyDescent="0.15">
      <c r="A723" s="10"/>
      <c r="B723" s="13"/>
      <c r="C723" s="13"/>
    </row>
    <row r="724" spans="1:3" ht="13" x14ac:dyDescent="0.15">
      <c r="A724" s="10"/>
      <c r="B724" s="13"/>
      <c r="C724" s="13"/>
    </row>
    <row r="725" spans="1:3" ht="13" x14ac:dyDescent="0.15">
      <c r="A725" s="10"/>
      <c r="B725" s="13"/>
      <c r="C725" s="13"/>
    </row>
    <row r="726" spans="1:3" ht="13" x14ac:dyDescent="0.15">
      <c r="A726" s="10"/>
      <c r="B726" s="13"/>
      <c r="C726" s="13"/>
    </row>
    <row r="727" spans="1:3" ht="13" x14ac:dyDescent="0.15">
      <c r="A727" s="10"/>
      <c r="B727" s="13"/>
      <c r="C727" s="13"/>
    </row>
    <row r="728" spans="1:3" ht="13" x14ac:dyDescent="0.15">
      <c r="A728" s="10"/>
      <c r="B728" s="13"/>
      <c r="C728" s="13"/>
    </row>
    <row r="729" spans="1:3" ht="13" x14ac:dyDescent="0.15">
      <c r="A729" s="10"/>
      <c r="B729" s="13"/>
      <c r="C729" s="13"/>
    </row>
    <row r="730" spans="1:3" ht="13" x14ac:dyDescent="0.15">
      <c r="A730" s="10"/>
      <c r="B730" s="13"/>
      <c r="C730" s="13"/>
    </row>
    <row r="731" spans="1:3" ht="13" x14ac:dyDescent="0.15">
      <c r="A731" s="10"/>
      <c r="B731" s="13"/>
      <c r="C731" s="13"/>
    </row>
    <row r="732" spans="1:3" ht="13" x14ac:dyDescent="0.15">
      <c r="A732" s="10"/>
      <c r="B732" s="13"/>
      <c r="C732" s="13"/>
    </row>
    <row r="733" spans="1:3" ht="13" x14ac:dyDescent="0.15">
      <c r="A733" s="10"/>
      <c r="B733" s="13"/>
      <c r="C733" s="13"/>
    </row>
    <row r="734" spans="1:3" ht="13" x14ac:dyDescent="0.15">
      <c r="A734" s="10"/>
      <c r="B734" s="13"/>
      <c r="C734" s="13"/>
    </row>
    <row r="735" spans="1:3" ht="13" x14ac:dyDescent="0.15">
      <c r="A735" s="10"/>
      <c r="B735" s="13"/>
      <c r="C735" s="13"/>
    </row>
    <row r="736" spans="1:3" ht="13" x14ac:dyDescent="0.15">
      <c r="A736" s="10"/>
      <c r="B736" s="13"/>
      <c r="C736" s="13"/>
    </row>
    <row r="737" spans="1:3" ht="13" x14ac:dyDescent="0.15">
      <c r="A737" s="10"/>
      <c r="B737" s="13"/>
      <c r="C737" s="13"/>
    </row>
    <row r="738" spans="1:3" ht="13" x14ac:dyDescent="0.15">
      <c r="A738" s="10"/>
      <c r="B738" s="13"/>
      <c r="C738" s="13"/>
    </row>
    <row r="739" spans="1:3" ht="13" x14ac:dyDescent="0.15">
      <c r="A739" s="10"/>
      <c r="B739" s="13"/>
      <c r="C739" s="13"/>
    </row>
    <row r="740" spans="1:3" ht="13" x14ac:dyDescent="0.15">
      <c r="A740" s="10"/>
      <c r="B740" s="13"/>
      <c r="C740" s="13"/>
    </row>
    <row r="741" spans="1:3" ht="13" x14ac:dyDescent="0.15">
      <c r="A741" s="10"/>
      <c r="B741" s="13"/>
      <c r="C741" s="13"/>
    </row>
    <row r="742" spans="1:3" ht="13" x14ac:dyDescent="0.15">
      <c r="A742" s="10"/>
      <c r="B742" s="13"/>
      <c r="C742" s="13"/>
    </row>
    <row r="743" spans="1:3" ht="13" x14ac:dyDescent="0.15">
      <c r="A743" s="10"/>
      <c r="B743" s="13"/>
      <c r="C743" s="13"/>
    </row>
    <row r="744" spans="1:3" ht="13" x14ac:dyDescent="0.15">
      <c r="A744" s="10"/>
      <c r="B744" s="13"/>
      <c r="C744" s="13"/>
    </row>
    <row r="745" spans="1:3" ht="13" x14ac:dyDescent="0.15">
      <c r="A745" s="10"/>
      <c r="B745" s="13"/>
      <c r="C745" s="13"/>
    </row>
    <row r="746" spans="1:3" ht="13" x14ac:dyDescent="0.15">
      <c r="A746" s="10"/>
      <c r="B746" s="13"/>
      <c r="C746" s="13"/>
    </row>
    <row r="747" spans="1:3" ht="13" x14ac:dyDescent="0.15">
      <c r="A747" s="10"/>
      <c r="B747" s="13"/>
      <c r="C747" s="13"/>
    </row>
    <row r="748" spans="1:3" ht="13" x14ac:dyDescent="0.15">
      <c r="A748" s="10"/>
      <c r="B748" s="13"/>
      <c r="C748" s="13"/>
    </row>
    <row r="749" spans="1:3" ht="13" x14ac:dyDescent="0.15">
      <c r="A749" s="10"/>
      <c r="B749" s="13"/>
      <c r="C749" s="13"/>
    </row>
    <row r="750" spans="1:3" ht="13" x14ac:dyDescent="0.15">
      <c r="A750" s="10"/>
      <c r="B750" s="13"/>
      <c r="C750" s="13"/>
    </row>
    <row r="751" spans="1:3" ht="13" x14ac:dyDescent="0.15">
      <c r="A751" s="10"/>
      <c r="B751" s="13"/>
      <c r="C751" s="13"/>
    </row>
    <row r="752" spans="1:3" ht="13" x14ac:dyDescent="0.15">
      <c r="A752" s="10"/>
      <c r="B752" s="13"/>
      <c r="C752" s="13"/>
    </row>
    <row r="753" spans="1:3" ht="13" x14ac:dyDescent="0.15">
      <c r="A753" s="10"/>
      <c r="B753" s="13"/>
      <c r="C753" s="13"/>
    </row>
    <row r="754" spans="1:3" ht="13" x14ac:dyDescent="0.15">
      <c r="A754" s="10"/>
      <c r="B754" s="13"/>
      <c r="C754" s="13"/>
    </row>
    <row r="755" spans="1:3" ht="13" x14ac:dyDescent="0.15">
      <c r="A755" s="10"/>
      <c r="B755" s="13"/>
      <c r="C755" s="13"/>
    </row>
    <row r="756" spans="1:3" ht="13" x14ac:dyDescent="0.15">
      <c r="A756" s="10"/>
      <c r="B756" s="13"/>
      <c r="C756" s="13"/>
    </row>
    <row r="757" spans="1:3" ht="13" x14ac:dyDescent="0.15">
      <c r="A757" s="10"/>
      <c r="B757" s="13"/>
      <c r="C757" s="13"/>
    </row>
    <row r="758" spans="1:3" ht="13" x14ac:dyDescent="0.15">
      <c r="A758" s="10"/>
      <c r="B758" s="13"/>
      <c r="C758" s="13"/>
    </row>
    <row r="759" spans="1:3" ht="13" x14ac:dyDescent="0.15">
      <c r="A759" s="10"/>
      <c r="B759" s="13"/>
      <c r="C759" s="13"/>
    </row>
    <row r="760" spans="1:3" ht="13" x14ac:dyDescent="0.15">
      <c r="A760" s="10"/>
      <c r="B760" s="13"/>
      <c r="C760" s="13"/>
    </row>
    <row r="761" spans="1:3" ht="13" x14ac:dyDescent="0.15">
      <c r="A761" s="10"/>
      <c r="B761" s="13"/>
      <c r="C761" s="13"/>
    </row>
    <row r="762" spans="1:3" ht="13" x14ac:dyDescent="0.15">
      <c r="A762" s="10"/>
      <c r="B762" s="13"/>
      <c r="C762" s="13"/>
    </row>
    <row r="763" spans="1:3" ht="13" x14ac:dyDescent="0.15">
      <c r="A763" s="10"/>
      <c r="B763" s="13"/>
      <c r="C763" s="13"/>
    </row>
    <row r="764" spans="1:3" ht="13" x14ac:dyDescent="0.15">
      <c r="A764" s="10"/>
      <c r="B764" s="13"/>
      <c r="C764" s="13"/>
    </row>
    <row r="765" spans="1:3" ht="13" x14ac:dyDescent="0.15">
      <c r="A765" s="10"/>
      <c r="B765" s="13"/>
      <c r="C765" s="13"/>
    </row>
    <row r="766" spans="1:3" ht="13" x14ac:dyDescent="0.15">
      <c r="A766" s="10"/>
      <c r="B766" s="13"/>
      <c r="C766" s="13"/>
    </row>
    <row r="767" spans="1:3" ht="13" x14ac:dyDescent="0.15">
      <c r="A767" s="10"/>
      <c r="B767" s="13"/>
      <c r="C767" s="13"/>
    </row>
    <row r="768" spans="1:3" ht="13" x14ac:dyDescent="0.15">
      <c r="A768" s="10"/>
      <c r="B768" s="13"/>
      <c r="C768" s="13"/>
    </row>
    <row r="769" spans="1:3" ht="13" x14ac:dyDescent="0.15">
      <c r="A769" s="10"/>
      <c r="B769" s="13"/>
      <c r="C769" s="13"/>
    </row>
    <row r="770" spans="1:3" ht="13" x14ac:dyDescent="0.15">
      <c r="A770" s="10"/>
      <c r="B770" s="13"/>
      <c r="C770" s="13"/>
    </row>
    <row r="771" spans="1:3" ht="13" x14ac:dyDescent="0.15">
      <c r="A771" s="10"/>
      <c r="B771" s="13"/>
      <c r="C771" s="13"/>
    </row>
    <row r="772" spans="1:3" ht="13" x14ac:dyDescent="0.15">
      <c r="A772" s="10"/>
      <c r="B772" s="13"/>
      <c r="C772" s="13"/>
    </row>
    <row r="773" spans="1:3" ht="13" x14ac:dyDescent="0.15">
      <c r="A773" s="10"/>
      <c r="B773" s="13"/>
      <c r="C773" s="13"/>
    </row>
    <row r="774" spans="1:3" ht="13" x14ac:dyDescent="0.15">
      <c r="A774" s="10"/>
      <c r="B774" s="13"/>
      <c r="C774" s="13"/>
    </row>
    <row r="775" spans="1:3" ht="13" x14ac:dyDescent="0.15">
      <c r="A775" s="10"/>
      <c r="B775" s="13"/>
      <c r="C775" s="13"/>
    </row>
    <row r="776" spans="1:3" ht="13" x14ac:dyDescent="0.15">
      <c r="A776" s="10"/>
      <c r="B776" s="13"/>
      <c r="C776" s="13"/>
    </row>
    <row r="777" spans="1:3" ht="13" x14ac:dyDescent="0.15">
      <c r="A777" s="10"/>
      <c r="B777" s="13"/>
      <c r="C777" s="13"/>
    </row>
    <row r="778" spans="1:3" ht="13" x14ac:dyDescent="0.15">
      <c r="A778" s="10"/>
      <c r="B778" s="13"/>
      <c r="C778" s="13"/>
    </row>
    <row r="779" spans="1:3" ht="13" x14ac:dyDescent="0.15">
      <c r="A779" s="10"/>
      <c r="B779" s="13"/>
      <c r="C779" s="13"/>
    </row>
    <row r="780" spans="1:3" ht="13" x14ac:dyDescent="0.15">
      <c r="A780" s="10"/>
      <c r="B780" s="13"/>
      <c r="C780" s="13"/>
    </row>
    <row r="781" spans="1:3" ht="13" x14ac:dyDescent="0.15">
      <c r="A781" s="10"/>
      <c r="B781" s="13"/>
      <c r="C781" s="13"/>
    </row>
    <row r="782" spans="1:3" ht="13" x14ac:dyDescent="0.15">
      <c r="A782" s="10"/>
      <c r="B782" s="13"/>
      <c r="C782" s="13"/>
    </row>
    <row r="783" spans="1:3" ht="13" x14ac:dyDescent="0.15">
      <c r="A783" s="10"/>
      <c r="B783" s="13"/>
      <c r="C783" s="13"/>
    </row>
    <row r="784" spans="1:3" ht="13" x14ac:dyDescent="0.15">
      <c r="A784" s="10"/>
      <c r="B784" s="13"/>
      <c r="C784" s="13"/>
    </row>
    <row r="785" spans="1:3" ht="13" x14ac:dyDescent="0.15">
      <c r="A785" s="10"/>
      <c r="B785" s="13"/>
      <c r="C785" s="13"/>
    </row>
    <row r="786" spans="1:3" ht="13" x14ac:dyDescent="0.15">
      <c r="A786" s="10"/>
      <c r="B786" s="13"/>
      <c r="C786" s="13"/>
    </row>
    <row r="787" spans="1:3" ht="13" x14ac:dyDescent="0.15">
      <c r="A787" s="10"/>
      <c r="B787" s="13"/>
      <c r="C787" s="13"/>
    </row>
    <row r="788" spans="1:3" ht="13" x14ac:dyDescent="0.15">
      <c r="A788" s="10"/>
      <c r="B788" s="13"/>
      <c r="C788" s="13"/>
    </row>
    <row r="789" spans="1:3" ht="13" x14ac:dyDescent="0.15">
      <c r="A789" s="10"/>
      <c r="B789" s="13"/>
      <c r="C789" s="13"/>
    </row>
    <row r="790" spans="1:3" ht="13" x14ac:dyDescent="0.15">
      <c r="A790" s="10"/>
      <c r="B790" s="13"/>
      <c r="C790" s="13"/>
    </row>
    <row r="791" spans="1:3" ht="13" x14ac:dyDescent="0.15">
      <c r="A791" s="10"/>
      <c r="B791" s="13"/>
      <c r="C791" s="13"/>
    </row>
    <row r="792" spans="1:3" ht="13" x14ac:dyDescent="0.15">
      <c r="A792" s="10"/>
      <c r="B792" s="13"/>
      <c r="C792" s="13"/>
    </row>
    <row r="793" spans="1:3" ht="13" x14ac:dyDescent="0.15">
      <c r="A793" s="10"/>
      <c r="B793" s="13"/>
      <c r="C793" s="13"/>
    </row>
    <row r="794" spans="1:3" ht="13" x14ac:dyDescent="0.15">
      <c r="A794" s="10"/>
      <c r="B794" s="13"/>
      <c r="C794" s="13"/>
    </row>
    <row r="795" spans="1:3" ht="13" x14ac:dyDescent="0.15">
      <c r="A795" s="10"/>
      <c r="B795" s="13"/>
      <c r="C795" s="13"/>
    </row>
    <row r="796" spans="1:3" ht="13" x14ac:dyDescent="0.15">
      <c r="A796" s="10"/>
      <c r="B796" s="13"/>
      <c r="C796" s="13"/>
    </row>
    <row r="797" spans="1:3" ht="13" x14ac:dyDescent="0.15">
      <c r="A797" s="10"/>
      <c r="B797" s="13"/>
      <c r="C797" s="13"/>
    </row>
    <row r="798" spans="1:3" ht="13" x14ac:dyDescent="0.15">
      <c r="A798" s="10"/>
      <c r="B798" s="13"/>
      <c r="C798" s="13"/>
    </row>
    <row r="799" spans="1:3" ht="13" x14ac:dyDescent="0.15">
      <c r="A799" s="10"/>
      <c r="B799" s="13"/>
      <c r="C799" s="13"/>
    </row>
    <row r="800" spans="1:3" ht="13" x14ac:dyDescent="0.15">
      <c r="A800" s="10"/>
      <c r="B800" s="13"/>
      <c r="C800" s="13"/>
    </row>
    <row r="801" spans="1:3" ht="13" x14ac:dyDescent="0.15">
      <c r="A801" s="10"/>
      <c r="B801" s="13"/>
      <c r="C801" s="13"/>
    </row>
    <row r="802" spans="1:3" ht="13" x14ac:dyDescent="0.15">
      <c r="A802" s="10"/>
      <c r="B802" s="13"/>
      <c r="C802" s="13"/>
    </row>
    <row r="803" spans="1:3" ht="13" x14ac:dyDescent="0.15">
      <c r="A803" s="10"/>
      <c r="B803" s="13"/>
      <c r="C803" s="13"/>
    </row>
    <row r="804" spans="1:3" ht="13" x14ac:dyDescent="0.15">
      <c r="A804" s="10"/>
      <c r="B804" s="13"/>
      <c r="C804" s="13"/>
    </row>
    <row r="805" spans="1:3" ht="13" x14ac:dyDescent="0.15">
      <c r="A805" s="10"/>
      <c r="B805" s="13"/>
      <c r="C805" s="13"/>
    </row>
    <row r="806" spans="1:3" ht="13" x14ac:dyDescent="0.15">
      <c r="A806" s="10"/>
      <c r="B806" s="13"/>
      <c r="C806" s="13"/>
    </row>
    <row r="807" spans="1:3" ht="13" x14ac:dyDescent="0.15">
      <c r="A807" s="10"/>
      <c r="B807" s="13"/>
      <c r="C807" s="13"/>
    </row>
    <row r="808" spans="1:3" ht="13" x14ac:dyDescent="0.15">
      <c r="A808" s="10"/>
      <c r="B808" s="13"/>
      <c r="C808" s="13"/>
    </row>
    <row r="809" spans="1:3" ht="13" x14ac:dyDescent="0.15">
      <c r="A809" s="10"/>
      <c r="B809" s="13"/>
      <c r="C809" s="13"/>
    </row>
    <row r="810" spans="1:3" ht="13" x14ac:dyDescent="0.15">
      <c r="A810" s="10"/>
      <c r="B810" s="13"/>
      <c r="C810" s="13"/>
    </row>
    <row r="811" spans="1:3" ht="13" x14ac:dyDescent="0.15">
      <c r="A811" s="10"/>
      <c r="B811" s="13"/>
      <c r="C811" s="13"/>
    </row>
    <row r="812" spans="1:3" ht="13" x14ac:dyDescent="0.15">
      <c r="A812" s="10"/>
      <c r="B812" s="13"/>
      <c r="C812" s="13"/>
    </row>
    <row r="813" spans="1:3" ht="13" x14ac:dyDescent="0.15">
      <c r="A813" s="10"/>
      <c r="B813" s="13"/>
      <c r="C813" s="13"/>
    </row>
    <row r="814" spans="1:3" ht="13" x14ac:dyDescent="0.15">
      <c r="A814" s="10"/>
      <c r="B814" s="13"/>
      <c r="C814" s="13"/>
    </row>
    <row r="815" spans="1:3" ht="13" x14ac:dyDescent="0.15">
      <c r="A815" s="10"/>
      <c r="B815" s="13"/>
      <c r="C815" s="13"/>
    </row>
    <row r="816" spans="1:3" ht="13" x14ac:dyDescent="0.15">
      <c r="A816" s="10"/>
      <c r="B816" s="13"/>
      <c r="C816" s="13"/>
    </row>
    <row r="817" spans="1:3" ht="13" x14ac:dyDescent="0.15">
      <c r="A817" s="10"/>
      <c r="B817" s="13"/>
      <c r="C817" s="13"/>
    </row>
    <row r="818" spans="1:3" ht="13" x14ac:dyDescent="0.15">
      <c r="A818" s="10"/>
      <c r="B818" s="13"/>
      <c r="C818" s="13"/>
    </row>
    <row r="819" spans="1:3" ht="13" x14ac:dyDescent="0.15">
      <c r="A819" s="10"/>
      <c r="B819" s="13"/>
      <c r="C819" s="13"/>
    </row>
    <row r="820" spans="1:3" ht="13" x14ac:dyDescent="0.15">
      <c r="A820" s="10"/>
      <c r="B820" s="13"/>
      <c r="C820" s="13"/>
    </row>
    <row r="821" spans="1:3" ht="13" x14ac:dyDescent="0.15">
      <c r="A821" s="10"/>
      <c r="B821" s="13"/>
      <c r="C821" s="13"/>
    </row>
    <row r="822" spans="1:3" ht="13" x14ac:dyDescent="0.15">
      <c r="A822" s="10"/>
      <c r="B822" s="13"/>
      <c r="C822" s="13"/>
    </row>
    <row r="823" spans="1:3" ht="13" x14ac:dyDescent="0.15">
      <c r="A823" s="10"/>
      <c r="B823" s="13"/>
      <c r="C823" s="13"/>
    </row>
    <row r="824" spans="1:3" ht="13" x14ac:dyDescent="0.15">
      <c r="A824" s="10"/>
      <c r="B824" s="13"/>
      <c r="C824" s="13"/>
    </row>
    <row r="825" spans="1:3" ht="13" x14ac:dyDescent="0.15">
      <c r="A825" s="10"/>
      <c r="B825" s="13"/>
      <c r="C825" s="13"/>
    </row>
    <row r="826" spans="1:3" ht="13" x14ac:dyDescent="0.15">
      <c r="A826" s="10"/>
      <c r="B826" s="13"/>
      <c r="C826" s="13"/>
    </row>
    <row r="827" spans="1:3" ht="13" x14ac:dyDescent="0.15">
      <c r="A827" s="10"/>
      <c r="B827" s="13"/>
      <c r="C827" s="13"/>
    </row>
    <row r="828" spans="1:3" ht="13" x14ac:dyDescent="0.15">
      <c r="A828" s="10"/>
      <c r="B828" s="13"/>
      <c r="C828" s="13"/>
    </row>
    <row r="829" spans="1:3" ht="13" x14ac:dyDescent="0.15">
      <c r="A829" s="10"/>
      <c r="B829" s="13"/>
      <c r="C829" s="13"/>
    </row>
    <row r="830" spans="1:3" ht="13" x14ac:dyDescent="0.15">
      <c r="A830" s="10"/>
      <c r="B830" s="13"/>
      <c r="C830" s="13"/>
    </row>
    <row r="831" spans="1:3" ht="13" x14ac:dyDescent="0.15">
      <c r="A831" s="10"/>
      <c r="B831" s="13"/>
      <c r="C831" s="13"/>
    </row>
    <row r="832" spans="1:3" ht="13" x14ac:dyDescent="0.15">
      <c r="A832" s="10"/>
      <c r="B832" s="13"/>
      <c r="C832" s="13"/>
    </row>
    <row r="833" spans="1:3" ht="13" x14ac:dyDescent="0.15">
      <c r="A833" s="10"/>
      <c r="B833" s="13"/>
      <c r="C833" s="13"/>
    </row>
    <row r="834" spans="1:3" ht="13" x14ac:dyDescent="0.15">
      <c r="A834" s="10"/>
      <c r="B834" s="13"/>
      <c r="C834" s="13"/>
    </row>
    <row r="835" spans="1:3" ht="13" x14ac:dyDescent="0.15">
      <c r="A835" s="10"/>
      <c r="B835" s="13"/>
      <c r="C835" s="13"/>
    </row>
    <row r="836" spans="1:3" ht="13" x14ac:dyDescent="0.15">
      <c r="A836" s="10"/>
      <c r="B836" s="13"/>
      <c r="C836" s="13"/>
    </row>
    <row r="837" spans="1:3" ht="13" x14ac:dyDescent="0.15">
      <c r="A837" s="10"/>
      <c r="B837" s="13"/>
      <c r="C837" s="13"/>
    </row>
    <row r="838" spans="1:3" ht="13" x14ac:dyDescent="0.15">
      <c r="A838" s="10"/>
      <c r="B838" s="13"/>
      <c r="C838" s="13"/>
    </row>
    <row r="839" spans="1:3" ht="13" x14ac:dyDescent="0.15">
      <c r="A839" s="10"/>
      <c r="B839" s="13"/>
      <c r="C839" s="13"/>
    </row>
    <row r="840" spans="1:3" ht="13" x14ac:dyDescent="0.15">
      <c r="A840" s="10"/>
      <c r="B840" s="13"/>
      <c r="C840" s="13"/>
    </row>
    <row r="841" spans="1:3" ht="13" x14ac:dyDescent="0.15">
      <c r="A841" s="10"/>
      <c r="B841" s="13"/>
      <c r="C841" s="13"/>
    </row>
    <row r="842" spans="1:3" ht="13" x14ac:dyDescent="0.15">
      <c r="A842" s="10"/>
      <c r="B842" s="13"/>
      <c r="C842" s="13"/>
    </row>
    <row r="843" spans="1:3" ht="13" x14ac:dyDescent="0.15">
      <c r="A843" s="10"/>
      <c r="B843" s="13"/>
      <c r="C843" s="13"/>
    </row>
    <row r="844" spans="1:3" ht="13" x14ac:dyDescent="0.15">
      <c r="A844" s="10"/>
      <c r="B844" s="13"/>
      <c r="C844" s="13"/>
    </row>
    <row r="845" spans="1:3" ht="13" x14ac:dyDescent="0.15">
      <c r="A845" s="10"/>
      <c r="B845" s="13"/>
      <c r="C845" s="13"/>
    </row>
    <row r="846" spans="1:3" ht="13" x14ac:dyDescent="0.15">
      <c r="A846" s="10"/>
      <c r="B846" s="13"/>
      <c r="C846" s="13"/>
    </row>
    <row r="847" spans="1:3" ht="13" x14ac:dyDescent="0.15">
      <c r="A847" s="10"/>
      <c r="B847" s="13"/>
      <c r="C847" s="13"/>
    </row>
    <row r="848" spans="1:3" ht="13" x14ac:dyDescent="0.15">
      <c r="A848" s="10"/>
      <c r="B848" s="13"/>
      <c r="C848" s="13"/>
    </row>
    <row r="849" spans="1:3" ht="13" x14ac:dyDescent="0.15">
      <c r="A849" s="10"/>
      <c r="B849" s="13"/>
      <c r="C849" s="13"/>
    </row>
    <row r="850" spans="1:3" ht="13" x14ac:dyDescent="0.15">
      <c r="A850" s="10"/>
      <c r="B850" s="13"/>
      <c r="C850" s="13"/>
    </row>
    <row r="851" spans="1:3" ht="13" x14ac:dyDescent="0.15">
      <c r="A851" s="10"/>
      <c r="B851" s="13"/>
      <c r="C851" s="13"/>
    </row>
    <row r="852" spans="1:3" ht="13" x14ac:dyDescent="0.15">
      <c r="A852" s="10"/>
      <c r="B852" s="13"/>
      <c r="C852" s="13"/>
    </row>
    <row r="853" spans="1:3" ht="13" x14ac:dyDescent="0.15">
      <c r="A853" s="10"/>
      <c r="B853" s="13"/>
      <c r="C853" s="13"/>
    </row>
    <row r="854" spans="1:3" ht="13" x14ac:dyDescent="0.15">
      <c r="A854" s="10"/>
      <c r="B854" s="13"/>
      <c r="C854" s="13"/>
    </row>
    <row r="855" spans="1:3" ht="13" x14ac:dyDescent="0.15">
      <c r="A855" s="10"/>
      <c r="B855" s="13"/>
      <c r="C855" s="13"/>
    </row>
    <row r="856" spans="1:3" ht="13" x14ac:dyDescent="0.15">
      <c r="A856" s="10"/>
      <c r="B856" s="13"/>
      <c r="C856" s="13"/>
    </row>
    <row r="857" spans="1:3" ht="13" x14ac:dyDescent="0.15">
      <c r="A857" s="10"/>
      <c r="B857" s="13"/>
      <c r="C857" s="13"/>
    </row>
    <row r="858" spans="1:3" ht="13" x14ac:dyDescent="0.15">
      <c r="A858" s="10"/>
      <c r="B858" s="13"/>
      <c r="C858" s="13"/>
    </row>
    <row r="859" spans="1:3" ht="13" x14ac:dyDescent="0.15">
      <c r="A859" s="10"/>
      <c r="B859" s="13"/>
      <c r="C859" s="13"/>
    </row>
    <row r="860" spans="1:3" ht="13" x14ac:dyDescent="0.15">
      <c r="A860" s="10"/>
      <c r="B860" s="13"/>
      <c r="C860" s="13"/>
    </row>
    <row r="861" spans="1:3" ht="13" x14ac:dyDescent="0.15">
      <c r="A861" s="10"/>
      <c r="B861" s="13"/>
      <c r="C861" s="13"/>
    </row>
    <row r="862" spans="1:3" ht="13" x14ac:dyDescent="0.15">
      <c r="A862" s="10"/>
      <c r="B862" s="13"/>
      <c r="C862" s="13"/>
    </row>
    <row r="863" spans="1:3" ht="13" x14ac:dyDescent="0.15">
      <c r="A863" s="10"/>
      <c r="B863" s="13"/>
      <c r="C863" s="13"/>
    </row>
    <row r="864" spans="1:3" ht="13" x14ac:dyDescent="0.15">
      <c r="A864" s="10"/>
      <c r="B864" s="13"/>
      <c r="C864" s="13"/>
    </row>
    <row r="865" spans="1:3" ht="13" x14ac:dyDescent="0.15">
      <c r="A865" s="10"/>
      <c r="B865" s="13"/>
      <c r="C865" s="13"/>
    </row>
    <row r="866" spans="1:3" ht="13" x14ac:dyDescent="0.15">
      <c r="A866" s="10"/>
      <c r="B866" s="13"/>
      <c r="C866" s="13"/>
    </row>
    <row r="867" spans="1:3" ht="13" x14ac:dyDescent="0.15">
      <c r="A867" s="10"/>
      <c r="B867" s="13"/>
      <c r="C867" s="13"/>
    </row>
    <row r="868" spans="1:3" ht="13" x14ac:dyDescent="0.15">
      <c r="A868" s="10"/>
      <c r="B868" s="13"/>
      <c r="C868" s="13"/>
    </row>
    <row r="869" spans="1:3" ht="13" x14ac:dyDescent="0.15">
      <c r="A869" s="10"/>
      <c r="B869" s="13"/>
      <c r="C869" s="13"/>
    </row>
    <row r="870" spans="1:3" ht="13" x14ac:dyDescent="0.15">
      <c r="A870" s="10"/>
      <c r="B870" s="13"/>
      <c r="C870" s="13"/>
    </row>
    <row r="871" spans="1:3" ht="13" x14ac:dyDescent="0.15">
      <c r="A871" s="10"/>
      <c r="B871" s="13"/>
      <c r="C871" s="13"/>
    </row>
    <row r="872" spans="1:3" ht="13" x14ac:dyDescent="0.15">
      <c r="A872" s="10"/>
      <c r="B872" s="13"/>
      <c r="C872" s="13"/>
    </row>
    <row r="873" spans="1:3" ht="13" x14ac:dyDescent="0.15">
      <c r="A873" s="10"/>
      <c r="B873" s="13"/>
      <c r="C873" s="13"/>
    </row>
    <row r="874" spans="1:3" ht="13" x14ac:dyDescent="0.15">
      <c r="A874" s="10"/>
      <c r="B874" s="13"/>
      <c r="C874" s="13"/>
    </row>
    <row r="875" spans="1:3" ht="13" x14ac:dyDescent="0.15">
      <c r="A875" s="10"/>
      <c r="B875" s="13"/>
      <c r="C875" s="13"/>
    </row>
    <row r="876" spans="1:3" ht="13" x14ac:dyDescent="0.15">
      <c r="A876" s="10"/>
      <c r="B876" s="13"/>
      <c r="C876" s="13"/>
    </row>
    <row r="877" spans="1:3" ht="13" x14ac:dyDescent="0.15">
      <c r="A877" s="10"/>
      <c r="B877" s="13"/>
      <c r="C877" s="13"/>
    </row>
    <row r="878" spans="1:3" ht="13" x14ac:dyDescent="0.15">
      <c r="A878" s="10"/>
      <c r="B878" s="13"/>
      <c r="C878" s="13"/>
    </row>
    <row r="879" spans="1:3" ht="13" x14ac:dyDescent="0.15">
      <c r="A879" s="10"/>
      <c r="B879" s="13"/>
      <c r="C879" s="13"/>
    </row>
    <row r="880" spans="1:3" ht="13" x14ac:dyDescent="0.15">
      <c r="A880" s="10"/>
      <c r="B880" s="13"/>
      <c r="C880" s="13"/>
    </row>
    <row r="881" spans="1:3" ht="13" x14ac:dyDescent="0.15">
      <c r="A881" s="10"/>
      <c r="B881" s="13"/>
      <c r="C881" s="13"/>
    </row>
    <row r="882" spans="1:3" ht="13" x14ac:dyDescent="0.15">
      <c r="A882" s="10"/>
      <c r="B882" s="13"/>
      <c r="C882" s="13"/>
    </row>
    <row r="883" spans="1:3" ht="13" x14ac:dyDescent="0.15">
      <c r="A883" s="10"/>
      <c r="B883" s="13"/>
      <c r="C883" s="13"/>
    </row>
    <row r="884" spans="1:3" ht="13" x14ac:dyDescent="0.15">
      <c r="A884" s="10"/>
      <c r="B884" s="13"/>
      <c r="C884" s="13"/>
    </row>
    <row r="885" spans="1:3" ht="13" x14ac:dyDescent="0.15">
      <c r="A885" s="10"/>
      <c r="B885" s="13"/>
      <c r="C885" s="13"/>
    </row>
    <row r="886" spans="1:3" ht="13" x14ac:dyDescent="0.15">
      <c r="A886" s="10"/>
      <c r="B886" s="13"/>
      <c r="C886" s="13"/>
    </row>
    <row r="887" spans="1:3" ht="13" x14ac:dyDescent="0.15">
      <c r="A887" s="10"/>
      <c r="B887" s="13"/>
      <c r="C887" s="13"/>
    </row>
    <row r="888" spans="1:3" ht="13" x14ac:dyDescent="0.15">
      <c r="A888" s="10"/>
      <c r="B888" s="13"/>
      <c r="C888" s="13"/>
    </row>
    <row r="889" spans="1:3" ht="13" x14ac:dyDescent="0.15">
      <c r="A889" s="10"/>
      <c r="B889" s="13"/>
      <c r="C889" s="13"/>
    </row>
    <row r="890" spans="1:3" ht="13" x14ac:dyDescent="0.15">
      <c r="A890" s="10"/>
      <c r="B890" s="13"/>
      <c r="C890" s="13"/>
    </row>
    <row r="891" spans="1:3" ht="13" x14ac:dyDescent="0.15">
      <c r="A891" s="10"/>
      <c r="B891" s="13"/>
      <c r="C891" s="13"/>
    </row>
    <row r="892" spans="1:3" ht="13" x14ac:dyDescent="0.15">
      <c r="A892" s="10"/>
      <c r="B892" s="13"/>
      <c r="C892" s="13"/>
    </row>
    <row r="893" spans="1:3" ht="13" x14ac:dyDescent="0.15">
      <c r="A893" s="10"/>
      <c r="B893" s="13"/>
      <c r="C893" s="13"/>
    </row>
    <row r="894" spans="1:3" ht="13" x14ac:dyDescent="0.15">
      <c r="A894" s="10"/>
      <c r="B894" s="13"/>
      <c r="C894" s="13"/>
    </row>
    <row r="895" spans="1:3" ht="13" x14ac:dyDescent="0.15">
      <c r="A895" s="10"/>
      <c r="B895" s="13"/>
      <c r="C895" s="13"/>
    </row>
    <row r="896" spans="1:3" ht="13" x14ac:dyDescent="0.15">
      <c r="A896" s="10"/>
      <c r="B896" s="13"/>
      <c r="C896" s="13"/>
    </row>
    <row r="897" spans="1:3" ht="13" x14ac:dyDescent="0.15">
      <c r="A897" s="10"/>
      <c r="B897" s="13"/>
      <c r="C897" s="13"/>
    </row>
    <row r="898" spans="1:3" ht="13" x14ac:dyDescent="0.15">
      <c r="A898" s="10"/>
      <c r="B898" s="13"/>
      <c r="C898" s="13"/>
    </row>
    <row r="899" spans="1:3" ht="13" x14ac:dyDescent="0.15">
      <c r="A899" s="10"/>
      <c r="B899" s="13"/>
      <c r="C899" s="13"/>
    </row>
    <row r="900" spans="1:3" ht="13" x14ac:dyDescent="0.15">
      <c r="A900" s="10"/>
      <c r="B900" s="13"/>
      <c r="C900" s="13"/>
    </row>
    <row r="901" spans="1:3" ht="13" x14ac:dyDescent="0.15">
      <c r="A901" s="10"/>
      <c r="B901" s="13"/>
      <c r="C901" s="13"/>
    </row>
    <row r="902" spans="1:3" ht="13" x14ac:dyDescent="0.15">
      <c r="A902" s="10"/>
      <c r="B902" s="13"/>
      <c r="C902" s="13"/>
    </row>
    <row r="903" spans="1:3" ht="13" x14ac:dyDescent="0.15">
      <c r="A903" s="10"/>
      <c r="B903" s="13"/>
      <c r="C903" s="13"/>
    </row>
    <row r="904" spans="1:3" ht="13" x14ac:dyDescent="0.15">
      <c r="A904" s="10"/>
      <c r="B904" s="13"/>
      <c r="C904" s="13"/>
    </row>
    <row r="905" spans="1:3" ht="13" x14ac:dyDescent="0.15">
      <c r="A905" s="10"/>
      <c r="B905" s="13"/>
      <c r="C905" s="13"/>
    </row>
    <row r="906" spans="1:3" ht="13" x14ac:dyDescent="0.15">
      <c r="A906" s="10"/>
      <c r="B906" s="13"/>
      <c r="C906" s="13"/>
    </row>
    <row r="907" spans="1:3" ht="13" x14ac:dyDescent="0.15">
      <c r="A907" s="10"/>
      <c r="B907" s="13"/>
      <c r="C907" s="13"/>
    </row>
    <row r="908" spans="1:3" ht="13" x14ac:dyDescent="0.15">
      <c r="A908" s="10"/>
      <c r="B908" s="13"/>
      <c r="C908" s="13"/>
    </row>
    <row r="909" spans="1:3" ht="13" x14ac:dyDescent="0.15">
      <c r="A909" s="10"/>
      <c r="B909" s="13"/>
      <c r="C909" s="13"/>
    </row>
    <row r="910" spans="1:3" ht="13" x14ac:dyDescent="0.15">
      <c r="A910" s="10"/>
      <c r="B910" s="13"/>
      <c r="C910" s="13"/>
    </row>
    <row r="911" spans="1:3" ht="13" x14ac:dyDescent="0.15">
      <c r="A911" s="10"/>
      <c r="B911" s="13"/>
      <c r="C911" s="13"/>
    </row>
    <row r="912" spans="1:3" ht="13" x14ac:dyDescent="0.15">
      <c r="A912" s="10"/>
      <c r="B912" s="13"/>
      <c r="C912" s="13"/>
    </row>
    <row r="913" spans="1:3" ht="13" x14ac:dyDescent="0.15">
      <c r="A913" s="10"/>
      <c r="B913" s="13"/>
      <c r="C913" s="13"/>
    </row>
    <row r="914" spans="1:3" ht="13" x14ac:dyDescent="0.15">
      <c r="A914" s="10"/>
      <c r="B914" s="13"/>
      <c r="C914" s="13"/>
    </row>
    <row r="915" spans="1:3" ht="13" x14ac:dyDescent="0.15">
      <c r="A915" s="10"/>
      <c r="B915" s="13"/>
      <c r="C915" s="13"/>
    </row>
    <row r="916" spans="1:3" ht="13" x14ac:dyDescent="0.15">
      <c r="A916" s="10"/>
      <c r="B916" s="13"/>
      <c r="C916" s="13"/>
    </row>
    <row r="917" spans="1:3" ht="13" x14ac:dyDescent="0.15">
      <c r="A917" s="10"/>
      <c r="B917" s="13"/>
      <c r="C917" s="13"/>
    </row>
    <row r="918" spans="1:3" ht="13" x14ac:dyDescent="0.15">
      <c r="A918" s="10"/>
      <c r="B918" s="13"/>
      <c r="C918" s="13"/>
    </row>
    <row r="919" spans="1:3" ht="13" x14ac:dyDescent="0.15">
      <c r="A919" s="10"/>
      <c r="B919" s="13"/>
      <c r="C919" s="13"/>
    </row>
    <row r="920" spans="1:3" ht="13" x14ac:dyDescent="0.15">
      <c r="A920" s="10"/>
      <c r="B920" s="13"/>
      <c r="C920" s="13"/>
    </row>
    <row r="921" spans="1:3" ht="13" x14ac:dyDescent="0.15">
      <c r="A921" s="10"/>
      <c r="B921" s="13"/>
      <c r="C921" s="13"/>
    </row>
    <row r="922" spans="1:3" ht="13" x14ac:dyDescent="0.15">
      <c r="A922" s="10"/>
      <c r="B922" s="13"/>
      <c r="C922" s="13"/>
    </row>
    <row r="923" spans="1:3" ht="13" x14ac:dyDescent="0.15">
      <c r="A923" s="10"/>
      <c r="B923" s="13"/>
      <c r="C923" s="13"/>
    </row>
    <row r="924" spans="1:3" ht="13" x14ac:dyDescent="0.15">
      <c r="A924" s="10"/>
      <c r="B924" s="13"/>
      <c r="C924" s="13"/>
    </row>
    <row r="925" spans="1:3" ht="13" x14ac:dyDescent="0.15">
      <c r="A925" s="10"/>
      <c r="B925" s="13"/>
      <c r="C925" s="13"/>
    </row>
    <row r="926" spans="1:3" ht="13" x14ac:dyDescent="0.15">
      <c r="A926" s="10"/>
      <c r="B926" s="13"/>
      <c r="C926" s="13"/>
    </row>
    <row r="927" spans="1:3" ht="13" x14ac:dyDescent="0.15">
      <c r="A927" s="10"/>
      <c r="B927" s="13"/>
      <c r="C927" s="13"/>
    </row>
    <row r="928" spans="1:3" ht="13" x14ac:dyDescent="0.15">
      <c r="A928" s="10"/>
      <c r="B928" s="13"/>
      <c r="C928" s="13"/>
    </row>
    <row r="929" spans="1:3" ht="13" x14ac:dyDescent="0.15">
      <c r="A929" s="10"/>
      <c r="B929" s="13"/>
      <c r="C929" s="13"/>
    </row>
    <row r="930" spans="1:3" ht="13" x14ac:dyDescent="0.15">
      <c r="A930" s="10"/>
      <c r="B930" s="13"/>
      <c r="C930" s="13"/>
    </row>
    <row r="931" spans="1:3" ht="13" x14ac:dyDescent="0.15">
      <c r="A931" s="10"/>
      <c r="B931" s="13"/>
      <c r="C931" s="13"/>
    </row>
    <row r="932" spans="1:3" ht="13" x14ac:dyDescent="0.15">
      <c r="A932" s="10"/>
      <c r="B932" s="13"/>
      <c r="C932" s="13"/>
    </row>
    <row r="933" spans="1:3" ht="13" x14ac:dyDescent="0.15">
      <c r="A933" s="10"/>
      <c r="B933" s="13"/>
      <c r="C933" s="13"/>
    </row>
    <row r="934" spans="1:3" ht="13" x14ac:dyDescent="0.15">
      <c r="A934" s="10"/>
      <c r="B934" s="13"/>
      <c r="C934" s="13"/>
    </row>
    <row r="935" spans="1:3" ht="13" x14ac:dyDescent="0.15">
      <c r="A935" s="10"/>
      <c r="B935" s="13"/>
      <c r="C935" s="13"/>
    </row>
    <row r="936" spans="1:3" ht="13" x14ac:dyDescent="0.15">
      <c r="A936" s="10"/>
      <c r="B936" s="13"/>
      <c r="C936" s="13"/>
    </row>
    <row r="937" spans="1:3" ht="13" x14ac:dyDescent="0.15">
      <c r="A937" s="10"/>
      <c r="B937" s="13"/>
      <c r="C937" s="13"/>
    </row>
    <row r="938" spans="1:3" ht="13" x14ac:dyDescent="0.15">
      <c r="A938" s="10"/>
      <c r="B938" s="13"/>
      <c r="C938" s="13"/>
    </row>
    <row r="939" spans="1:3" ht="13" x14ac:dyDescent="0.15">
      <c r="A939" s="10"/>
      <c r="B939" s="13"/>
      <c r="C939" s="13"/>
    </row>
    <row r="940" spans="1:3" ht="13" x14ac:dyDescent="0.15">
      <c r="A940" s="10"/>
      <c r="B940" s="13"/>
      <c r="C940" s="13"/>
    </row>
    <row r="941" spans="1:3" ht="13" x14ac:dyDescent="0.15">
      <c r="A941" s="10"/>
      <c r="B941" s="13"/>
      <c r="C941" s="13"/>
    </row>
    <row r="942" spans="1:3" ht="13" x14ac:dyDescent="0.15">
      <c r="A942" s="10"/>
      <c r="B942" s="13"/>
      <c r="C942" s="13"/>
    </row>
    <row r="943" spans="1:3" ht="13" x14ac:dyDescent="0.15">
      <c r="A943" s="10"/>
      <c r="B943" s="13"/>
      <c r="C943" s="13"/>
    </row>
    <row r="944" spans="1:3" ht="13" x14ac:dyDescent="0.15">
      <c r="A944" s="10"/>
      <c r="B944" s="13"/>
      <c r="C944" s="13"/>
    </row>
    <row r="945" spans="1:3" ht="13" x14ac:dyDescent="0.15">
      <c r="A945" s="10"/>
      <c r="B945" s="13"/>
      <c r="C945" s="13"/>
    </row>
    <row r="946" spans="1:3" ht="13" x14ac:dyDescent="0.15">
      <c r="A946" s="10"/>
      <c r="B946" s="13"/>
      <c r="C946" s="13"/>
    </row>
    <row r="947" spans="1:3" ht="13" x14ac:dyDescent="0.15">
      <c r="A947" s="10"/>
      <c r="B947" s="13"/>
      <c r="C947" s="13"/>
    </row>
    <row r="948" spans="1:3" ht="13" x14ac:dyDescent="0.15">
      <c r="A948" s="10"/>
      <c r="B948" s="13"/>
      <c r="C948" s="13"/>
    </row>
    <row r="949" spans="1:3" ht="13" x14ac:dyDescent="0.15">
      <c r="A949" s="10"/>
      <c r="B949" s="13"/>
      <c r="C949" s="13"/>
    </row>
    <row r="950" spans="1:3" ht="13" x14ac:dyDescent="0.15">
      <c r="A950" s="10"/>
      <c r="B950" s="13"/>
      <c r="C950" s="13"/>
    </row>
    <row r="951" spans="1:3" ht="13" x14ac:dyDescent="0.15">
      <c r="A951" s="10"/>
      <c r="B951" s="13"/>
      <c r="C951" s="13"/>
    </row>
    <row r="952" spans="1:3" ht="13" x14ac:dyDescent="0.15">
      <c r="A952" s="10"/>
      <c r="B952" s="13"/>
      <c r="C952" s="13"/>
    </row>
    <row r="953" spans="1:3" ht="13" x14ac:dyDescent="0.15">
      <c r="A953" s="10"/>
      <c r="B953" s="13"/>
      <c r="C953" s="13"/>
    </row>
    <row r="954" spans="1:3" ht="13" x14ac:dyDescent="0.15">
      <c r="A954" s="10"/>
      <c r="B954" s="13"/>
      <c r="C954" s="13"/>
    </row>
    <row r="955" spans="1:3" ht="13" x14ac:dyDescent="0.15">
      <c r="A955" s="10"/>
      <c r="B955" s="13"/>
      <c r="C955" s="13"/>
    </row>
    <row r="956" spans="1:3" ht="13" x14ac:dyDescent="0.15">
      <c r="A956" s="10"/>
      <c r="B956" s="13"/>
      <c r="C956" s="13"/>
    </row>
    <row r="957" spans="1:3" ht="13" x14ac:dyDescent="0.15">
      <c r="A957" s="10"/>
      <c r="B957" s="13"/>
      <c r="C957" s="13"/>
    </row>
    <row r="958" spans="1:3" ht="13" x14ac:dyDescent="0.15">
      <c r="A958" s="10"/>
      <c r="B958" s="13"/>
      <c r="C958" s="13"/>
    </row>
    <row r="959" spans="1:3" ht="13" x14ac:dyDescent="0.15">
      <c r="A959" s="10"/>
      <c r="B959" s="13"/>
      <c r="C959" s="13"/>
    </row>
    <row r="960" spans="1:3" ht="13" x14ac:dyDescent="0.15">
      <c r="A960" s="10"/>
      <c r="B960" s="13"/>
      <c r="C960" s="13"/>
    </row>
    <row r="961" spans="1:3" ht="13" x14ac:dyDescent="0.15">
      <c r="A961" s="10"/>
      <c r="B961" s="13"/>
      <c r="C961" s="13"/>
    </row>
    <row r="962" spans="1:3" ht="13" x14ac:dyDescent="0.15">
      <c r="A962" s="10"/>
      <c r="B962" s="13"/>
      <c r="C962" s="13"/>
    </row>
    <row r="963" spans="1:3" ht="13" x14ac:dyDescent="0.15">
      <c r="A963" s="10"/>
      <c r="B963" s="13"/>
      <c r="C963" s="13"/>
    </row>
    <row r="964" spans="1:3" ht="13" x14ac:dyDescent="0.15">
      <c r="A964" s="10"/>
      <c r="B964" s="13"/>
      <c r="C964" s="13"/>
    </row>
    <row r="965" spans="1:3" ht="13" x14ac:dyDescent="0.15">
      <c r="A965" s="10"/>
      <c r="B965" s="13"/>
      <c r="C965" s="13"/>
    </row>
    <row r="966" spans="1:3" ht="13" x14ac:dyDescent="0.15">
      <c r="A966" s="10"/>
      <c r="B966" s="13"/>
      <c r="C966" s="13"/>
    </row>
    <row r="967" spans="1:3" ht="13" x14ac:dyDescent="0.15">
      <c r="A967" s="10"/>
      <c r="B967" s="13"/>
      <c r="C967" s="13"/>
    </row>
    <row r="968" spans="1:3" ht="13" x14ac:dyDescent="0.15">
      <c r="A968" s="10"/>
      <c r="B968" s="13"/>
      <c r="C968" s="13"/>
    </row>
    <row r="969" spans="1:3" ht="13" x14ac:dyDescent="0.15">
      <c r="A969" s="10"/>
      <c r="B969" s="13"/>
      <c r="C969" s="13"/>
    </row>
    <row r="970" spans="1:3" ht="13" x14ac:dyDescent="0.15">
      <c r="A970" s="10"/>
      <c r="B970" s="13"/>
      <c r="C970" s="13"/>
    </row>
    <row r="971" spans="1:3" ht="13" x14ac:dyDescent="0.15">
      <c r="A971" s="10"/>
      <c r="B971" s="13"/>
      <c r="C971" s="13"/>
    </row>
    <row r="972" spans="1:3" ht="13" x14ac:dyDescent="0.15">
      <c r="A972" s="10"/>
      <c r="B972" s="13"/>
      <c r="C972" s="13"/>
    </row>
    <row r="973" spans="1:3" ht="13" x14ac:dyDescent="0.15">
      <c r="A973" s="10"/>
      <c r="B973" s="13"/>
      <c r="C973" s="13"/>
    </row>
    <row r="974" spans="1:3" ht="13" x14ac:dyDescent="0.15">
      <c r="A974" s="10"/>
      <c r="B974" s="13"/>
      <c r="C974" s="13"/>
    </row>
    <row r="975" spans="1:3" ht="13" x14ac:dyDescent="0.15">
      <c r="A975" s="10"/>
      <c r="B975" s="13"/>
      <c r="C975" s="13"/>
    </row>
    <row r="976" spans="1:3" ht="13" x14ac:dyDescent="0.15">
      <c r="A976" s="10"/>
      <c r="B976" s="13"/>
      <c r="C976" s="13"/>
    </row>
    <row r="977" spans="1:3" ht="13" x14ac:dyDescent="0.15">
      <c r="A977" s="10"/>
      <c r="B977" s="13"/>
      <c r="C977" s="13"/>
    </row>
    <row r="978" spans="1:3" ht="13" x14ac:dyDescent="0.15">
      <c r="A978" s="10"/>
      <c r="B978" s="13"/>
      <c r="C978" s="13"/>
    </row>
    <row r="979" spans="1:3" ht="13" x14ac:dyDescent="0.15">
      <c r="A979" s="10"/>
      <c r="B979" s="13"/>
      <c r="C979" s="13"/>
    </row>
    <row r="980" spans="1:3" ht="13" x14ac:dyDescent="0.15">
      <c r="A980" s="10"/>
      <c r="B980" s="13"/>
      <c r="C980" s="13"/>
    </row>
    <row r="981" spans="1:3" ht="13" x14ac:dyDescent="0.15">
      <c r="A981" s="10"/>
      <c r="B981" s="13"/>
      <c r="C981" s="13"/>
    </row>
    <row r="982" spans="1:3" ht="13" x14ac:dyDescent="0.15">
      <c r="A982" s="10"/>
      <c r="B982" s="13"/>
      <c r="C982" s="13"/>
    </row>
    <row r="983" spans="1:3" ht="13" x14ac:dyDescent="0.15">
      <c r="A983" s="10"/>
      <c r="B983" s="13"/>
      <c r="C983" s="13"/>
    </row>
    <row r="984" spans="1:3" ht="13" x14ac:dyDescent="0.15">
      <c r="A984" s="10"/>
      <c r="B984" s="13"/>
      <c r="C984" s="13"/>
    </row>
    <row r="985" spans="1:3" ht="13" x14ac:dyDescent="0.15">
      <c r="A985" s="10"/>
      <c r="B985" s="13"/>
      <c r="C985" s="13"/>
    </row>
    <row r="986" spans="1:3" ht="13" x14ac:dyDescent="0.15">
      <c r="A986" s="10"/>
      <c r="B986" s="13"/>
      <c r="C986" s="13"/>
    </row>
    <row r="987" spans="1:3" ht="13" x14ac:dyDescent="0.15">
      <c r="A987" s="10"/>
      <c r="B987" s="13"/>
      <c r="C987" s="13"/>
    </row>
    <row r="988" spans="1:3" ht="13" x14ac:dyDescent="0.15">
      <c r="A988" s="10"/>
      <c r="B988" s="13"/>
      <c r="C988" s="13"/>
    </row>
    <row r="989" spans="1:3" ht="13" x14ac:dyDescent="0.15">
      <c r="A989" s="10"/>
      <c r="B989" s="13"/>
      <c r="C989" s="13"/>
    </row>
    <row r="990" spans="1:3" ht="13" x14ac:dyDescent="0.15">
      <c r="A990" s="10"/>
      <c r="B990" s="13"/>
      <c r="C990" s="13"/>
    </row>
    <row r="991" spans="1:3" ht="13" x14ac:dyDescent="0.15">
      <c r="A991" s="10"/>
      <c r="B991" s="13"/>
      <c r="C991" s="13"/>
    </row>
    <row r="992" spans="1:3" ht="13" x14ac:dyDescent="0.15">
      <c r="A992" s="10"/>
      <c r="B992" s="13"/>
      <c r="C992" s="13"/>
    </row>
    <row r="993" spans="1:3" ht="13" x14ac:dyDescent="0.15">
      <c r="A993" s="10"/>
      <c r="B993" s="13"/>
      <c r="C993" s="13"/>
    </row>
    <row r="994" spans="1:3" ht="13" x14ac:dyDescent="0.15">
      <c r="A994" s="10"/>
      <c r="B994" s="13"/>
      <c r="C994" s="13"/>
    </row>
    <row r="995" spans="1:3" ht="13" x14ac:dyDescent="0.15">
      <c r="A995" s="10"/>
      <c r="B995" s="13"/>
      <c r="C995" s="13"/>
    </row>
    <row r="996" spans="1:3" ht="13" x14ac:dyDescent="0.15">
      <c r="A996" s="10"/>
      <c r="B996" s="13"/>
      <c r="C996" s="13"/>
    </row>
    <row r="997" spans="1:3" ht="13" x14ac:dyDescent="0.15">
      <c r="A997" s="10"/>
      <c r="B997" s="13"/>
      <c r="C997" s="13"/>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outlinePr summaryBelow="0" summaryRight="0"/>
  </sheetPr>
  <dimension ref="A1:E997"/>
  <sheetViews>
    <sheetView workbookViewId="0"/>
  </sheetViews>
  <sheetFormatPr baseColWidth="10" defaultColWidth="12.6640625" defaultRowHeight="15.75" customHeight="1" x14ac:dyDescent="0.15"/>
  <cols>
    <col min="1" max="1" width="71.5" customWidth="1"/>
    <col min="2" max="4" width="37.6640625" customWidth="1"/>
  </cols>
  <sheetData>
    <row r="1" spans="1:5" ht="15.75" customHeight="1" x14ac:dyDescent="0.15">
      <c r="A1" s="1"/>
      <c r="B1" s="10" t="str">
        <f ca="1">IFERROR(__xludf.DUMMYFUNCTION("IMPORTRANGE(""https://docs.google.com/spreadsheets/u/0/d/1v3alDV9sI-Ng7OoZouCf4a0CI5tv_Xg2T3WprxxRGRs"", ""A33!B1:B22"")"),"Tyler")</f>
        <v>Tyler</v>
      </c>
      <c r="C1" s="27" t="str">
        <f ca="1">IFERROR(__xludf.DUMMYFUNCTION("IMPORTRANGE(""https://docs.google.com/spreadsheets/d/1QLAeYl5D81_Myo-agZdCgYFm7rliPzxg4xkt-QHL9OA"", ""A33!B1:B22"")"),"Rin Godfrey")</f>
        <v>Rin Godfrey</v>
      </c>
      <c r="D1" s="13" t="str">
        <f ca="1">IFERROR(__xludf.DUMMYFUNCTION("IMPORTRANGE(""https://docs.google.com/spreadsheets/u/0/d/1C06Vs6H0Eg3__x1-dePLdZcY_bo1r3ReCeWRxqLlaS4"", ""A33!B1:B22"")"),"Layla")</f>
        <v>Layla</v>
      </c>
      <c r="E1" s="28"/>
    </row>
    <row r="2" spans="1:5" ht="15.75" customHeight="1" x14ac:dyDescent="0.15">
      <c r="A2" s="3" t="s">
        <v>2</v>
      </c>
      <c r="B2" s="15" t="str">
        <f ca="1">IFERROR(__xludf.DUMMYFUNCTION("""COMPUTED_VALUE"""),"22922 to 23323 (Forward)")</f>
        <v>22922 to 23323 (Forward)</v>
      </c>
      <c r="C2" s="15" t="str">
        <f ca="1">IFERROR(__xludf.DUMMYFUNCTION("""COMPUTED_VALUE"""),"Start: 22922
Stop: 23323 FOR")</f>
        <v>Start: 22922
Stop: 23323 FOR</v>
      </c>
      <c r="D2" s="15" t="str">
        <f ca="1">IFERROR(__xludf.DUMMYFUNCTION("""COMPUTED_VALUE"""),"22922 to 23323 Forward")</f>
        <v>22922 to 23323 Forward</v>
      </c>
    </row>
    <row r="3" spans="1:5" ht="15.75" customHeight="1" x14ac:dyDescent="0.15">
      <c r="A3" s="5" t="s">
        <v>3</v>
      </c>
      <c r="B3" s="17" t="str">
        <f ca="1">IFERROR(__xludf.DUMMYFUNCTION("""COMPUTED_VALUE"""),"DNA Master_32
Phamerator_33
")</f>
        <v xml:space="preserve">DNA Master_32
Phamerator_33
</v>
      </c>
      <c r="C3" s="17" t="str">
        <f ca="1">IFERROR(__xludf.DUMMYFUNCTION("""COMPUTED_VALUE"""),"DNA Master: 32
Phamerator: 33")</f>
        <v>DNA Master: 32
Phamerator: 33</v>
      </c>
      <c r="D3" s="17" t="str">
        <f ca="1">IFERROR(__xludf.DUMMYFUNCTION("""COMPUTED_VALUE"""),"33 in Pham and PDB, 32 in DNAM")</f>
        <v>33 in Pham and PDB, 32 in DNAM</v>
      </c>
    </row>
    <row r="4" spans="1:5" ht="15.75" customHeight="1" x14ac:dyDescent="0.15">
      <c r="A4" s="5" t="s">
        <v>4</v>
      </c>
      <c r="B4" s="17" t="str">
        <f ca="1">IFERROR(__xludf.DUMMYFUNCTION("""COMPUTED_VALUE"""),"5042 3/10/25
")</f>
        <v xml:space="preserve">5042 3/10/25
</v>
      </c>
      <c r="C4" s="17" t="str">
        <f ca="1">IFERROR(__xludf.DUMMYFUNCTION("""COMPUTED_VALUE"""),"5042 3/24/25")</f>
        <v>5042 3/24/25</v>
      </c>
      <c r="D4" s="17" t="str">
        <f ca="1">IFERROR(__xludf.DUMMYFUNCTION("""COMPUTED_VALUE"""),"5042, 3-24-25")</f>
        <v>5042, 3-24-25</v>
      </c>
    </row>
    <row r="5" spans="1:5" ht="15.75" customHeight="1" x14ac:dyDescent="0.15">
      <c r="A5" s="5" t="s">
        <v>5</v>
      </c>
      <c r="B5" s="17" t="str">
        <f ca="1">IFERROR(__xludf.DUMMYFUNCTION("""COMPUTED_VALUE"""),"Kovu_34 Edmundo_32")</f>
        <v>Kovu_34 Edmundo_32</v>
      </c>
      <c r="C5" s="17" t="str">
        <f ca="1">IFERROR(__xludf.DUMMYFUNCTION("""COMPUTED_VALUE"""),"Edmundo_32
Kovu_34")</f>
        <v>Edmundo_32
Kovu_34</v>
      </c>
      <c r="D5" s="17" t="str">
        <f ca="1">IFERROR(__xludf.DUMMYFUNCTION("""COMPUTED_VALUE"""),"Edmundo_32, Kovu_34")</f>
        <v>Edmundo_32, Kovu_34</v>
      </c>
    </row>
    <row r="6" spans="1:5" ht="15.75" customHeight="1" x14ac:dyDescent="0.15">
      <c r="A6" s="5" t="s">
        <v>6</v>
      </c>
      <c r="B6" s="17" t="str">
        <f ca="1">IFERROR(__xludf.DUMMYFUNCTION("""COMPUTED_VALUE"""),"Both call @bp 22922 strength 13.60 ")</f>
        <v xml:space="preserve">Both call @bp 22922 strength 13.60 </v>
      </c>
      <c r="C6" s="17" t="str">
        <f ca="1">IFERROR(__xludf.DUMMYFUNCTION("""COMPUTED_VALUE"""),"Both at a strengghth of 14.60")</f>
        <v>Both at a strengghth of 14.60</v>
      </c>
      <c r="D6" s="17" t="str">
        <f ca="1">IFERROR(__xludf.DUMMYFUNCTION("""COMPUTED_VALUE"""),"Both call")</f>
        <v>Both call</v>
      </c>
    </row>
    <row r="7" spans="1:5" ht="15.75" customHeight="1" x14ac:dyDescent="0.15">
      <c r="A7" s="5" t="s">
        <v>7</v>
      </c>
      <c r="B7" s="17" t="str">
        <f ca="1">IFERROR(__xludf.DUMMYFUNCTION("""COMPUTED_VALUE"""),"Yes, there is good coding potential")</f>
        <v>Yes, there is good coding potential</v>
      </c>
      <c r="C7" s="17" t="str">
        <f ca="1">IFERROR(__xludf.DUMMYFUNCTION("""COMPUTED_VALUE"""),"It leave off some coding potencal at the beging. but overall has good coding potentail.")</f>
        <v>It leave off some coding potencal at the beging. but overall has good coding potentail.</v>
      </c>
      <c r="D7" s="17" t="str">
        <f ca="1">IFERROR(__xludf.DUMMYFUNCTION("""COMPUTED_VALUE"""),"Overall good potential, start captures potential")</f>
        <v>Overall good potential, start captures potential</v>
      </c>
    </row>
    <row r="8" spans="1:5" ht="15.75" customHeight="1" x14ac:dyDescent="0.15">
      <c r="A8" s="5" t="s">
        <v>8</v>
      </c>
      <c r="B8" s="17" t="str">
        <f ca="1">IFERROR(__xludf.DUMMYFUNCTION("""COMPUTED_VALUE"""),"Yes")</f>
        <v>Yes</v>
      </c>
      <c r="C8" s="17" t="str">
        <f ca="1">IFERROR(__xludf.DUMMYFUNCTION("""COMPUTED_VALUE"""),"Yes this is the without haveing a over lap with the breives gene.")</f>
        <v>Yes this is the without haveing a over lap with the breives gene.</v>
      </c>
      <c r="D8" s="17" t="str">
        <f ca="1">IFERROR(__xludf.DUMMYFUNCTION("""COMPUTED_VALUE"""),"Yes")</f>
        <v>Yes</v>
      </c>
    </row>
    <row r="9" spans="1:5" ht="15.75" customHeight="1" x14ac:dyDescent="0.15">
      <c r="A9" s="5" t="s">
        <v>9</v>
      </c>
      <c r="B9" s="17" t="str">
        <f ca="1">IFERROR(__xludf.DUMMYFUNCTION("""COMPUTED_VALUE"""),"1 nt overlap ")</f>
        <v xml:space="preserve">1 nt overlap </v>
      </c>
      <c r="C9" s="17" t="str">
        <f ca="1">IFERROR(__xludf.DUMMYFUNCTION("""COMPUTED_VALUE"""),"THere is no over lap with the preves gene but is at exactly where is end this gene starts.")</f>
        <v>THere is no over lap with the preves gene but is at exactly where is end this gene starts.</v>
      </c>
      <c r="D9" s="17" t="str">
        <f ca="1">IFERROR(__xludf.DUMMYFUNCTION("""COMPUTED_VALUE"""),"1 bp overlap")</f>
        <v>1 bp overlap</v>
      </c>
    </row>
    <row r="10" spans="1:5" ht="15.75" customHeight="1" x14ac:dyDescent="0.15">
      <c r="A10" s="5" t="s">
        <v>10</v>
      </c>
      <c r="B10" s="17" t="str">
        <f ca="1">IFERROR(__xludf.DUMMYFUNCTION("""COMPUTED_VALUE"""),"current start does not have a good Z-score (1.047), Third start has best Z score (2.957) but would introduce a large gap. Second start has a good Z score (2.420) and would introduce a smaller gap")</f>
        <v>current start does not have a good Z-score (1.047), Third start has best Z score (2.957) but would introduce a large gap. Second start has a good Z score (2.420) and would introduce a smaller gap</v>
      </c>
      <c r="C10" s="17" t="str">
        <f ca="1">IFERROR(__xludf.DUMMYFUNCTION("""COMPUTED_VALUE"""),"Raw score -5.856, Z-1.047, F-score 6.550")</f>
        <v>Raw score -5.856, Z-1.047, F-score 6.550</v>
      </c>
      <c r="D10" s="17" t="str">
        <f ca="1">IFERROR(__xludf.DUMMYFUNCTION("""COMPUTED_VALUE"""),"Z = 1.047, final = -6.550. Second and third starts have better scores. Z = 2.420, 2.957, final = -3.598, -2.443.")</f>
        <v>Z = 1.047, final = -6.550. Second and third starts have better scores. Z = 2.420, 2.957, final = -3.598, -2.443.</v>
      </c>
    </row>
    <row r="11" spans="1:5" ht="15.75" customHeight="1" x14ac:dyDescent="0.15">
      <c r="A11" s="5" t="s">
        <v>11</v>
      </c>
      <c r="B11" s="17" t="str">
        <f ca="1">IFERROR(__xludf.DUMMYFUNCTION("""COMPUTED_VALUE"""),"Kovu_34; 78.20 % identity; 0.0E0; Q1:T1
Edmundo_33; 61.54 % identity; 0.0E0; Q1:T1
")</f>
        <v xml:space="preserve">Kovu_34; 78.20 % identity; 0.0E0; Q1:T1
Edmundo_33; 61.54 % identity; 0.0E0; Q1:T1
</v>
      </c>
      <c r="C11" s="17" t="str">
        <f ca="1">IFERROR(__xludf.DUMMYFUNCTION("""COMPUTED_VALUE"""),"Kovu_34, 90% identry, 5e-63
Q: 1-133, T: 1-133")</f>
        <v>Kovu_34, 90% identry, 5e-63
Q: 1-133, T: 1-133</v>
      </c>
      <c r="D11" s="17" t="str">
        <f ca="1">IFERROR(__xludf.DUMMYFUNCTION("""COMPUTED_VALUE"""),"Kovu_34, identity = 78.20, e = 0, q1:s1. Edmundo_32, identity = 61.54, e = 0, q1:s1.")</f>
        <v>Kovu_34, identity = 78.20, e = 0, q1:s1. Edmundo_32, identity = 61.54, e = 0, q1:s1.</v>
      </c>
    </row>
    <row r="12" spans="1:5" ht="15.75" customHeight="1" x14ac:dyDescent="0.15">
      <c r="A12" s="5" t="s">
        <v>12</v>
      </c>
      <c r="B12" s="17" t="str">
        <f ca="1">IFERROR(__xludf.DUMMYFUNCTION("""COMPUTED_VALUE"""),"No, start number 4 was called 12 out of 13 times. The next start in ApoKipo is not shared with other members of the pham. ")</f>
        <v xml:space="preserve">No, start number 4 was called 12 out of 13 times. The next start in ApoKipo is not shared with other members of the pham. </v>
      </c>
      <c r="C12" s="17" t="str">
        <f ca="1">IFERROR(__xludf.DUMMYFUNCTION("""COMPUTED_VALUE"""),"Found in 13/14 phams, call 100% of the time when present")</f>
        <v>Found in 13/14 phams, call 100% of the time when present</v>
      </c>
      <c r="D12" s="17" t="str">
        <f ca="1">IFERROR(__xludf.DUMMYFUNCTION("""COMPUTED_VALUE"""),"Start called in 13/14, called 100% of the time. ")</f>
        <v xml:space="preserve">Start called in 13/14, called 100% of the time. </v>
      </c>
    </row>
    <row r="13" spans="1:5" ht="15.75" customHeight="1" x14ac:dyDescent="0.15">
      <c r="A13" s="5" t="s">
        <v>13</v>
      </c>
      <c r="B13" s="17" t="str">
        <f ca="1">IFERROR(__xludf.DUMMYFUNCTION("""COMPUTED_VALUE"""),"No, although the current start’s Z score is not good, the next start is not shared with any other members of the pham. The start after that would introduce an extremely large gap. ")</f>
        <v xml:space="preserve">No, although the current start’s Z score is not good, the next start is not shared with any other members of the pham. The start after that would introduce an extremely large gap. </v>
      </c>
      <c r="C13" s="17" t="str">
        <f ca="1">IFERROR(__xludf.DUMMYFUNCTION("""COMPUTED_VALUE"""),"NO change")</f>
        <v>NO change</v>
      </c>
      <c r="D13" s="17" t="str">
        <f ca="1">IFERROR(__xludf.DUMMYFUNCTION("""COMPUTED_VALUE"""),"No, even though poor RBS scores, moving start would miss out on potential")</f>
        <v>No, even though poor RBS scores, moving start would miss out on potential</v>
      </c>
    </row>
    <row r="14" spans="1:5" ht="15.75" customHeight="1" x14ac:dyDescent="0.15">
      <c r="A14" s="5" t="s">
        <v>14</v>
      </c>
      <c r="B14" s="17" t="str">
        <f ca="1">IFERROR(__xludf.DUMMYFUNCTION("""COMPUTED_VALUE"""),"Kovu_34 3e-72
Edmundo_32 2e-55
Wheelbite_32 4e-40
")</f>
        <v xml:space="preserve">Kovu_34 3e-72
Edmundo_32 2e-55
Wheelbite_32 4e-40
</v>
      </c>
      <c r="C14" s="17" t="str">
        <f ca="1">IFERROR(__xludf.DUMMYFUNCTION("""COMPUTED_VALUE"""),"Kovu_34,  2e-55 
Edmundo_32,  4e-40 ")</f>
        <v xml:space="preserve">Kovu_34,  2e-55 
Edmundo_32,  4e-40 </v>
      </c>
      <c r="D14" s="17" t="str">
        <f ca="1">IFERROR(__xludf.DUMMYFUNCTION("""COMPUTED_VALUE"""),"Kovu_34, e = 2e-55, Edmundo_32, e = 4e-40")</f>
        <v>Kovu_34, e = 2e-55, Edmundo_32, e = 4e-40</v>
      </c>
    </row>
    <row r="15" spans="1:5" ht="15.75" customHeight="1" x14ac:dyDescent="0.15">
      <c r="A15" s="5" t="s">
        <v>15</v>
      </c>
      <c r="B15" s="17" t="str">
        <f ca="1">IFERROR(__xludf.DUMMYFUNCTION("""COMPUTED_VALUE"""),"function unknown
minor capsid protein
function unknown
")</f>
        <v xml:space="preserve">function unknown
minor capsid protein
function unknown
</v>
      </c>
      <c r="C15" s="17" t="str">
        <f ca="1">IFERROR(__xludf.DUMMYFUNCTION("""COMPUTED_VALUE"""),"Unknow fuction for Kovu
minor capsid protein Edmundo")</f>
        <v>Unknow fuction for Kovu
minor capsid protein Edmundo</v>
      </c>
      <c r="D15" s="17" t="str">
        <f ca="1">IFERROR(__xludf.DUMMYFUNCTION("""COMPUTED_VALUE"""),"Minor capsid protein Edmundo_32, unknow function Kovu_34")</f>
        <v>Minor capsid protein Edmundo_32, unknow function Kovu_34</v>
      </c>
    </row>
    <row r="16" spans="1:5" ht="15.75" customHeight="1" x14ac:dyDescent="0.15">
      <c r="A16" s="5" t="s">
        <v>16</v>
      </c>
      <c r="B16" s="17" t="str">
        <f ca="1">IFERROR(__xludf.DUMMYFUNCTION("""COMPUTED_VALUE"""),"Found in similar genetic environments, closest with Kovu")</f>
        <v>Found in similar genetic environments, closest with Kovu</v>
      </c>
      <c r="C16" s="17" t="str">
        <f ca="1">IFERROR(__xludf.DUMMYFUNCTION("""COMPUTED_VALUE"""),"Matches very well with Kovu")</f>
        <v>Matches very well with Kovu</v>
      </c>
      <c r="D16" s="17" t="str">
        <f ca="1">IFERROR(__xludf.DUMMYFUNCTION("""COMPUTED_VALUE"""),"Yes")</f>
        <v>Yes</v>
      </c>
    </row>
    <row r="17" spans="1:4" ht="15.75" customHeight="1" x14ac:dyDescent="0.15">
      <c r="A17" s="5" t="s">
        <v>17</v>
      </c>
      <c r="B17" s="17" t="str">
        <f ca="1">IFERROR(__xludf.DUMMYFUNCTION("""COMPUTED_VALUE"""),"Minor_capsid_2 ; Minor capsid protein
Probability: 99.58%
% alignment of Q: 63.9%
% alignment of T: 81.0%
yes
VPS_BPP2 Tail completion protein S OS=Escherichia phage P2 OX=10679 GN=S PE=4 SV=1
Probability: 98.07%
% alignment of Q: 91.7%
% alignm"&amp;"ent of T: 73.7%
yes
")</f>
        <v xml:space="preserve">Minor_capsid_2 ; Minor capsid protein
Probability: 99.58%
% alignment of Q: 63.9%
% alignment of T: 81.0%
yes
VPS_BPP2 Tail completion protein S OS=Escherichia phage P2 OX=10679 GN=S PE=4 SV=1
Probability: 98.07%
% alignment of Q: 91.7%
% alignment of T: 73.7%
yes
</v>
      </c>
      <c r="C17" s="17" t="str">
        <f ca="1">IFERROR(__xludf.DUMMYFUNCTION("""COMPUTED_VALUE"""),"9D94_Hc Head-to-tail stopper; Bacteriophage, portal, VIRAL PROTEIN;{Mycobacterium phage Bxb1}
Probability: 99.5%
Query: 94%
Target: 81%
The fuction domain is not shown and is not a part of the tagret alinment.")</f>
        <v>9D94_Hc Head-to-tail stopper; Bacteriophage, portal, VIRAL PROTEIN;{Mycobacterium phage Bxb1}
Probability: 99.5%
Query: 94%
Target: 81%
The fuction domain is not shown and is not a part of the tagret alinment.</v>
      </c>
      <c r="D17" s="17" t="str">
        <f ca="1">IFERROR(__xludf.DUMMYFUNCTION("""COMPUTED_VALUE"""),"Minor capsid protein, probability = 99.58, aoq = 64, aot = 64.")</f>
        <v>Minor capsid protein, probability = 99.58, aoq = 64, aot = 64.</v>
      </c>
    </row>
    <row r="18" spans="1:4" ht="15.75" customHeight="1" x14ac:dyDescent="0.15">
      <c r="A18" s="5" t="s">
        <v>18</v>
      </c>
      <c r="B18" s="17" t="str">
        <f ca="1">IFERROR(__xludf.DUMMYFUNCTION("""COMPUTED_VALUE"""),"no")</f>
        <v>no</v>
      </c>
      <c r="C18" s="17" t="str">
        <f ca="1">IFERROR(__xludf.DUMMYFUNCTION("""COMPUTED_VALUE"""),"none")</f>
        <v>none</v>
      </c>
      <c r="D18" s="17" t="str">
        <f ca="1">IFERROR(__xludf.DUMMYFUNCTION("""COMPUTED_VALUE"""),"No")</f>
        <v>No</v>
      </c>
    </row>
    <row r="19" spans="1:4" ht="15.75" customHeight="1" x14ac:dyDescent="0.15">
      <c r="A19" s="5" t="s">
        <v>19</v>
      </c>
      <c r="B19" s="17" t="str">
        <f ca="1">IFERROR(__xludf.DUMMYFUNCTION("""COMPUTED_VALUE"""),"no")</f>
        <v>no</v>
      </c>
      <c r="C19" s="17" t="str">
        <f ca="1">IFERROR(__xludf.DUMMYFUNCTION("""COMPUTED_VALUE"""),"none")</f>
        <v>none</v>
      </c>
      <c r="D19" s="17" t="str">
        <f ca="1">IFERROR(__xludf.DUMMYFUNCTION("""COMPUTED_VALUE"""),"No")</f>
        <v>No</v>
      </c>
    </row>
    <row r="20" spans="1:4" ht="15.75" customHeight="1" x14ac:dyDescent="0.15">
      <c r="A20" s="5" t="s">
        <v>20</v>
      </c>
      <c r="B20" s="17" t="str">
        <f ca="1">IFERROR(__xludf.DUMMYFUNCTION("""COMPUTED_VALUE"""),"Minor capsid protein; found in a similar genetic environment, blast supports this, HHpred results support this. ")</f>
        <v xml:space="preserve">Minor capsid protein; found in a similar genetic environment, blast supports this, HHpred results support this. </v>
      </c>
      <c r="C20" s="17" t="str">
        <f ca="1">IFERROR(__xludf.DUMMYFUNCTION("""COMPUTED_VALUE"""),"minor capsid protien")</f>
        <v>minor capsid protien</v>
      </c>
      <c r="D20" s="17" t="str">
        <f ca="1">IFERROR(__xludf.DUMMYFUNCTION("""COMPUTED_VALUE"""),"Minor capsid protein, evidence supports. Good HHPred result, good synteny")</f>
        <v>Minor capsid protein, evidence supports. Good HHPred result, good synteny</v>
      </c>
    </row>
    <row r="21" spans="1:4" x14ac:dyDescent="0.2">
      <c r="A21" s="7"/>
      <c r="B21" s="19"/>
      <c r="C21" s="19"/>
      <c r="D21" s="19"/>
    </row>
    <row r="22" spans="1:4" ht="15.75" customHeight="1" x14ac:dyDescent="0.15">
      <c r="A22" s="9" t="s">
        <v>21</v>
      </c>
      <c r="B22" s="19"/>
      <c r="C22" s="19"/>
      <c r="D22" s="19"/>
    </row>
    <row r="23" spans="1:4" ht="15.75" customHeight="1" x14ac:dyDescent="0.15">
      <c r="A23" s="10"/>
      <c r="B23" s="13"/>
      <c r="C23" s="13"/>
      <c r="D23" s="13"/>
    </row>
    <row r="24" spans="1:4" ht="15.75" customHeight="1" x14ac:dyDescent="0.15">
      <c r="A24" s="10"/>
      <c r="B24" s="13"/>
      <c r="C24" s="13"/>
      <c r="D24" s="13"/>
    </row>
    <row r="25" spans="1:4" ht="15.75" customHeight="1" x14ac:dyDescent="0.15">
      <c r="A25" s="10"/>
      <c r="B25" s="13"/>
      <c r="C25" s="13"/>
      <c r="D25" s="13"/>
    </row>
    <row r="26" spans="1:4" ht="15.75" customHeight="1" x14ac:dyDescent="0.15">
      <c r="A26" s="10"/>
      <c r="B26" s="13"/>
      <c r="C26" s="13"/>
      <c r="D26" s="13"/>
    </row>
    <row r="27" spans="1:4" ht="15.75" customHeight="1" x14ac:dyDescent="0.15">
      <c r="A27" s="10"/>
      <c r="B27" s="13"/>
      <c r="C27" s="13"/>
      <c r="D27" s="13"/>
    </row>
    <row r="28" spans="1:4" ht="15.75" customHeight="1" x14ac:dyDescent="0.15">
      <c r="A28" s="10"/>
      <c r="B28" s="13"/>
      <c r="C28" s="13"/>
      <c r="D28" s="13"/>
    </row>
    <row r="29" spans="1:4" ht="15.75" customHeight="1" x14ac:dyDescent="0.15">
      <c r="A29" s="10"/>
      <c r="B29" s="13"/>
      <c r="C29" s="13"/>
      <c r="D29" s="13"/>
    </row>
    <row r="30" spans="1:4" ht="15.75" customHeight="1" x14ac:dyDescent="0.15">
      <c r="A30" s="10"/>
      <c r="B30" s="13"/>
      <c r="C30" s="13"/>
      <c r="D30" s="13"/>
    </row>
    <row r="31" spans="1:4" ht="15.75" customHeight="1" x14ac:dyDescent="0.15">
      <c r="A31" s="10"/>
      <c r="B31" s="13"/>
      <c r="C31" s="13"/>
      <c r="D31" s="13"/>
    </row>
    <row r="32" spans="1:4" ht="15.75" customHeight="1" x14ac:dyDescent="0.15">
      <c r="A32" s="10"/>
      <c r="B32" s="13"/>
      <c r="C32" s="13"/>
      <c r="D32" s="13"/>
    </row>
    <row r="33" spans="1:4" ht="15.75" customHeight="1" x14ac:dyDescent="0.15">
      <c r="A33" s="10"/>
      <c r="B33" s="13"/>
      <c r="C33" s="13"/>
      <c r="D33" s="13"/>
    </row>
    <row r="34" spans="1:4" ht="15.75" customHeight="1" x14ac:dyDescent="0.15">
      <c r="A34" s="10"/>
      <c r="B34" s="13"/>
      <c r="C34" s="13"/>
      <c r="D34" s="13"/>
    </row>
    <row r="35" spans="1:4" ht="15.75" customHeight="1" x14ac:dyDescent="0.15">
      <c r="A35" s="10"/>
      <c r="B35" s="13"/>
      <c r="C35" s="13"/>
      <c r="D35" s="13"/>
    </row>
    <row r="36" spans="1:4" ht="15.75" customHeight="1" x14ac:dyDescent="0.15">
      <c r="A36" s="10"/>
      <c r="B36" s="13"/>
      <c r="C36" s="13"/>
      <c r="D36" s="13"/>
    </row>
    <row r="37" spans="1:4" ht="15.75" customHeight="1" x14ac:dyDescent="0.15">
      <c r="A37" s="10"/>
      <c r="B37" s="13"/>
      <c r="C37" s="13"/>
      <c r="D37" s="13"/>
    </row>
    <row r="38" spans="1:4" ht="15.75" customHeight="1" x14ac:dyDescent="0.15">
      <c r="A38" s="10"/>
      <c r="B38" s="13"/>
      <c r="C38" s="13"/>
      <c r="D38" s="13"/>
    </row>
    <row r="39" spans="1:4" ht="13" x14ac:dyDescent="0.15">
      <c r="A39" s="10"/>
      <c r="B39" s="13"/>
      <c r="C39" s="13"/>
      <c r="D39" s="13"/>
    </row>
    <row r="40" spans="1:4" ht="13" x14ac:dyDescent="0.15">
      <c r="A40" s="10"/>
      <c r="B40" s="13"/>
      <c r="C40" s="13"/>
      <c r="D40" s="13"/>
    </row>
    <row r="41" spans="1:4" ht="13" x14ac:dyDescent="0.15">
      <c r="A41" s="10"/>
      <c r="B41" s="13"/>
      <c r="C41" s="13"/>
      <c r="D41" s="13"/>
    </row>
    <row r="42" spans="1:4" ht="13" x14ac:dyDescent="0.15">
      <c r="A42" s="10"/>
      <c r="B42" s="13"/>
      <c r="C42" s="13"/>
      <c r="D42" s="13"/>
    </row>
    <row r="43" spans="1:4" ht="13" x14ac:dyDescent="0.15">
      <c r="A43" s="10"/>
      <c r="B43" s="13"/>
      <c r="C43" s="13"/>
      <c r="D43" s="13"/>
    </row>
    <row r="44" spans="1:4" ht="13" x14ac:dyDescent="0.15">
      <c r="A44" s="10"/>
      <c r="B44" s="13"/>
      <c r="C44" s="13"/>
      <c r="D44" s="13"/>
    </row>
    <row r="45" spans="1:4" ht="13" x14ac:dyDescent="0.15">
      <c r="A45" s="10"/>
      <c r="B45" s="13"/>
      <c r="C45" s="13"/>
      <c r="D45" s="13"/>
    </row>
    <row r="46" spans="1:4" ht="13" x14ac:dyDescent="0.15">
      <c r="A46" s="10"/>
      <c r="B46" s="13"/>
      <c r="C46" s="13"/>
      <c r="D46" s="13"/>
    </row>
    <row r="47" spans="1:4" ht="13" x14ac:dyDescent="0.15">
      <c r="A47" s="10"/>
      <c r="B47" s="13"/>
      <c r="C47" s="13"/>
      <c r="D47" s="13"/>
    </row>
    <row r="48" spans="1:4" ht="13" x14ac:dyDescent="0.15">
      <c r="A48" s="10"/>
      <c r="B48" s="13"/>
      <c r="C48" s="13"/>
      <c r="D48" s="13"/>
    </row>
    <row r="49" spans="1:4" ht="13" x14ac:dyDescent="0.15">
      <c r="A49" s="10"/>
      <c r="B49" s="13"/>
      <c r="C49" s="13"/>
      <c r="D49" s="13"/>
    </row>
    <row r="50" spans="1:4" ht="13" x14ac:dyDescent="0.15">
      <c r="A50" s="10"/>
      <c r="B50" s="13"/>
      <c r="C50" s="13"/>
      <c r="D50" s="13"/>
    </row>
    <row r="51" spans="1:4" ht="13" x14ac:dyDescent="0.15">
      <c r="A51" s="10"/>
      <c r="B51" s="13"/>
      <c r="C51" s="13"/>
      <c r="D51" s="13"/>
    </row>
    <row r="52" spans="1:4" ht="13" x14ac:dyDescent="0.15">
      <c r="A52" s="10"/>
      <c r="B52" s="13"/>
      <c r="C52" s="13"/>
      <c r="D52" s="13"/>
    </row>
    <row r="53" spans="1:4" ht="13" x14ac:dyDescent="0.15">
      <c r="A53" s="10"/>
      <c r="B53" s="13"/>
      <c r="C53" s="13"/>
      <c r="D53" s="13"/>
    </row>
    <row r="54" spans="1:4" ht="13" x14ac:dyDescent="0.15">
      <c r="A54" s="10"/>
      <c r="B54" s="13"/>
      <c r="C54" s="13"/>
      <c r="D54" s="13"/>
    </row>
    <row r="55" spans="1:4" ht="13" x14ac:dyDescent="0.15">
      <c r="A55" s="10"/>
      <c r="B55" s="13"/>
      <c r="C55" s="13"/>
      <c r="D55" s="13"/>
    </row>
    <row r="56" spans="1:4" ht="13" x14ac:dyDescent="0.15">
      <c r="A56" s="10"/>
      <c r="B56" s="13"/>
      <c r="C56" s="13"/>
      <c r="D56" s="13"/>
    </row>
    <row r="57" spans="1:4" ht="13" x14ac:dyDescent="0.15">
      <c r="A57" s="10"/>
      <c r="B57" s="13"/>
      <c r="C57" s="13"/>
      <c r="D57" s="13"/>
    </row>
    <row r="58" spans="1:4" ht="13" x14ac:dyDescent="0.15">
      <c r="A58" s="10"/>
      <c r="B58" s="13"/>
      <c r="C58" s="13"/>
      <c r="D58" s="13"/>
    </row>
    <row r="59" spans="1:4" ht="13" x14ac:dyDescent="0.15">
      <c r="A59" s="10"/>
      <c r="B59" s="13"/>
      <c r="C59" s="13"/>
      <c r="D59" s="13"/>
    </row>
    <row r="60" spans="1:4" ht="13" x14ac:dyDescent="0.15">
      <c r="A60" s="10"/>
      <c r="B60" s="13"/>
      <c r="C60" s="13"/>
      <c r="D60" s="13"/>
    </row>
    <row r="61" spans="1:4" ht="13" x14ac:dyDescent="0.15">
      <c r="A61" s="10"/>
      <c r="B61" s="13"/>
      <c r="C61" s="13"/>
      <c r="D61" s="13"/>
    </row>
    <row r="62" spans="1:4" ht="13" x14ac:dyDescent="0.15">
      <c r="A62" s="10"/>
      <c r="B62" s="13"/>
      <c r="C62" s="13"/>
      <c r="D62" s="13"/>
    </row>
    <row r="63" spans="1:4" ht="13" x14ac:dyDescent="0.15">
      <c r="A63" s="10"/>
      <c r="B63" s="13"/>
      <c r="C63" s="13"/>
      <c r="D63" s="13"/>
    </row>
    <row r="64" spans="1:4" ht="13" x14ac:dyDescent="0.15">
      <c r="A64" s="10"/>
      <c r="B64" s="13"/>
      <c r="C64" s="13"/>
      <c r="D64" s="13"/>
    </row>
    <row r="65" spans="1:4" ht="13" x14ac:dyDescent="0.15">
      <c r="A65" s="10"/>
      <c r="B65" s="13"/>
      <c r="C65" s="13"/>
      <c r="D65" s="13"/>
    </row>
    <row r="66" spans="1:4" ht="13" x14ac:dyDescent="0.15">
      <c r="A66" s="10"/>
      <c r="B66" s="13"/>
      <c r="C66" s="13"/>
      <c r="D66" s="13"/>
    </row>
    <row r="67" spans="1:4" ht="13" x14ac:dyDescent="0.15">
      <c r="A67" s="10"/>
      <c r="B67" s="13"/>
      <c r="C67" s="13"/>
      <c r="D67" s="13"/>
    </row>
    <row r="68" spans="1:4" ht="13" x14ac:dyDescent="0.15">
      <c r="A68" s="10"/>
      <c r="B68" s="13"/>
      <c r="C68" s="13"/>
      <c r="D68" s="13"/>
    </row>
    <row r="69" spans="1:4" ht="13" x14ac:dyDescent="0.15">
      <c r="A69" s="10"/>
      <c r="B69" s="13"/>
      <c r="C69" s="13"/>
      <c r="D69" s="13"/>
    </row>
    <row r="70" spans="1:4" ht="13" x14ac:dyDescent="0.15">
      <c r="A70" s="10"/>
      <c r="B70" s="13"/>
      <c r="C70" s="13"/>
      <c r="D70" s="13"/>
    </row>
    <row r="71" spans="1:4" ht="13" x14ac:dyDescent="0.15">
      <c r="A71" s="10"/>
      <c r="B71" s="13"/>
      <c r="C71" s="13"/>
      <c r="D71" s="13"/>
    </row>
    <row r="72" spans="1:4" ht="13" x14ac:dyDescent="0.15">
      <c r="A72" s="10"/>
      <c r="B72" s="13"/>
      <c r="C72" s="13"/>
      <c r="D72" s="13"/>
    </row>
    <row r="73" spans="1:4" ht="13" x14ac:dyDescent="0.15">
      <c r="A73" s="10"/>
      <c r="B73" s="13"/>
      <c r="C73" s="13"/>
      <c r="D73" s="13"/>
    </row>
    <row r="74" spans="1:4" ht="13" x14ac:dyDescent="0.15">
      <c r="A74" s="10"/>
      <c r="B74" s="13"/>
      <c r="C74" s="13"/>
      <c r="D74" s="13"/>
    </row>
    <row r="75" spans="1:4" ht="13" x14ac:dyDescent="0.15">
      <c r="A75" s="10"/>
      <c r="B75" s="13"/>
      <c r="C75" s="13"/>
      <c r="D75" s="13"/>
    </row>
    <row r="76" spans="1:4" ht="13" x14ac:dyDescent="0.15">
      <c r="A76" s="10"/>
      <c r="B76" s="13"/>
      <c r="C76" s="13"/>
      <c r="D76" s="13"/>
    </row>
    <row r="77" spans="1:4" ht="13" x14ac:dyDescent="0.15">
      <c r="A77" s="10"/>
      <c r="B77" s="13"/>
      <c r="C77" s="13"/>
      <c r="D77" s="13"/>
    </row>
    <row r="78" spans="1:4" ht="13" x14ac:dyDescent="0.15">
      <c r="A78" s="10"/>
      <c r="B78" s="13"/>
      <c r="C78" s="13"/>
      <c r="D78" s="13"/>
    </row>
    <row r="79" spans="1:4" ht="13" x14ac:dyDescent="0.15">
      <c r="A79" s="10"/>
      <c r="B79" s="13"/>
      <c r="C79" s="13"/>
      <c r="D79" s="13"/>
    </row>
    <row r="80" spans="1:4" ht="13" x14ac:dyDescent="0.15">
      <c r="A80" s="10"/>
      <c r="B80" s="13"/>
      <c r="C80" s="13"/>
      <c r="D80" s="13"/>
    </row>
    <row r="81" spans="1:4" ht="13" x14ac:dyDescent="0.15">
      <c r="A81" s="10"/>
      <c r="B81" s="13"/>
      <c r="C81" s="13"/>
      <c r="D81" s="13"/>
    </row>
    <row r="82" spans="1:4" ht="13" x14ac:dyDescent="0.15">
      <c r="A82" s="10"/>
      <c r="B82" s="13"/>
      <c r="C82" s="13"/>
      <c r="D82" s="13"/>
    </row>
    <row r="83" spans="1:4" ht="13" x14ac:dyDescent="0.15">
      <c r="A83" s="10"/>
      <c r="B83" s="13"/>
      <c r="C83" s="13"/>
      <c r="D83" s="13"/>
    </row>
    <row r="84" spans="1:4" ht="13" x14ac:dyDescent="0.15">
      <c r="A84" s="10"/>
      <c r="B84" s="13"/>
      <c r="C84" s="13"/>
      <c r="D84" s="13"/>
    </row>
    <row r="85" spans="1:4" ht="13" x14ac:dyDescent="0.15">
      <c r="A85" s="10"/>
      <c r="B85" s="13"/>
      <c r="C85" s="13"/>
      <c r="D85" s="13"/>
    </row>
    <row r="86" spans="1:4" ht="13" x14ac:dyDescent="0.15">
      <c r="A86" s="10"/>
      <c r="B86" s="13"/>
      <c r="C86" s="13"/>
      <c r="D86" s="13"/>
    </row>
    <row r="87" spans="1:4" ht="13" x14ac:dyDescent="0.15">
      <c r="A87" s="10"/>
      <c r="B87" s="13"/>
      <c r="C87" s="13"/>
      <c r="D87" s="13"/>
    </row>
    <row r="88" spans="1:4" ht="13" x14ac:dyDescent="0.15">
      <c r="A88" s="10"/>
      <c r="B88" s="13"/>
      <c r="C88" s="13"/>
      <c r="D88" s="13"/>
    </row>
    <row r="89" spans="1:4" ht="13" x14ac:dyDescent="0.15">
      <c r="A89" s="10"/>
      <c r="B89" s="13"/>
      <c r="C89" s="13"/>
      <c r="D89" s="13"/>
    </row>
    <row r="90" spans="1:4" ht="13" x14ac:dyDescent="0.15">
      <c r="A90" s="10"/>
      <c r="B90" s="13"/>
      <c r="C90" s="13"/>
      <c r="D90" s="13"/>
    </row>
    <row r="91" spans="1:4" ht="13" x14ac:dyDescent="0.15">
      <c r="A91" s="10"/>
      <c r="B91" s="13"/>
      <c r="C91" s="13"/>
      <c r="D91" s="13"/>
    </row>
    <row r="92" spans="1:4" ht="13" x14ac:dyDescent="0.15">
      <c r="A92" s="10"/>
      <c r="B92" s="13"/>
      <c r="C92" s="13"/>
      <c r="D92" s="13"/>
    </row>
    <row r="93" spans="1:4" ht="13" x14ac:dyDescent="0.15">
      <c r="A93" s="10"/>
      <c r="B93" s="13"/>
      <c r="C93" s="13"/>
      <c r="D93" s="13"/>
    </row>
    <row r="94" spans="1:4" ht="13" x14ac:dyDescent="0.15">
      <c r="A94" s="10"/>
      <c r="B94" s="13"/>
      <c r="C94" s="13"/>
      <c r="D94" s="13"/>
    </row>
    <row r="95" spans="1:4" ht="13" x14ac:dyDescent="0.15">
      <c r="A95" s="10"/>
      <c r="B95" s="13"/>
      <c r="C95" s="13"/>
      <c r="D95" s="13"/>
    </row>
    <row r="96" spans="1:4" ht="13" x14ac:dyDescent="0.15">
      <c r="A96" s="10"/>
      <c r="B96" s="13"/>
      <c r="C96" s="13"/>
      <c r="D96" s="13"/>
    </row>
    <row r="97" spans="1:4" ht="13" x14ac:dyDescent="0.15">
      <c r="A97" s="10"/>
      <c r="B97" s="13"/>
      <c r="C97" s="13"/>
      <c r="D97" s="13"/>
    </row>
    <row r="98" spans="1:4" ht="13" x14ac:dyDescent="0.15">
      <c r="A98" s="10"/>
      <c r="B98" s="13"/>
      <c r="C98" s="13"/>
      <c r="D98" s="13"/>
    </row>
    <row r="99" spans="1:4" ht="13" x14ac:dyDescent="0.15">
      <c r="A99" s="10"/>
      <c r="B99" s="13"/>
      <c r="C99" s="13"/>
      <c r="D99" s="13"/>
    </row>
    <row r="100" spans="1:4" ht="13" x14ac:dyDescent="0.15">
      <c r="A100" s="10"/>
      <c r="B100" s="13"/>
      <c r="C100" s="13"/>
      <c r="D100" s="13"/>
    </row>
    <row r="101" spans="1:4" ht="13" x14ac:dyDescent="0.15">
      <c r="A101" s="10"/>
      <c r="B101" s="13"/>
      <c r="C101" s="13"/>
      <c r="D101" s="13"/>
    </row>
    <row r="102" spans="1:4" ht="13" x14ac:dyDescent="0.15">
      <c r="A102" s="10"/>
      <c r="B102" s="13"/>
      <c r="C102" s="13"/>
      <c r="D102" s="13"/>
    </row>
    <row r="103" spans="1:4" ht="13" x14ac:dyDescent="0.15">
      <c r="A103" s="10"/>
      <c r="B103" s="13"/>
      <c r="C103" s="13"/>
      <c r="D103" s="13"/>
    </row>
    <row r="104" spans="1:4" ht="13" x14ac:dyDescent="0.15">
      <c r="A104" s="10"/>
      <c r="B104" s="13"/>
      <c r="C104" s="13"/>
      <c r="D104" s="13"/>
    </row>
    <row r="105" spans="1:4" ht="13" x14ac:dyDescent="0.15">
      <c r="A105" s="10"/>
      <c r="B105" s="13"/>
      <c r="C105" s="13"/>
      <c r="D105" s="13"/>
    </row>
    <row r="106" spans="1:4" ht="13" x14ac:dyDescent="0.15">
      <c r="A106" s="10"/>
      <c r="B106" s="13"/>
      <c r="C106" s="13"/>
      <c r="D106" s="13"/>
    </row>
    <row r="107" spans="1:4" ht="13" x14ac:dyDescent="0.15">
      <c r="A107" s="10"/>
      <c r="B107" s="13"/>
      <c r="C107" s="13"/>
      <c r="D107" s="13"/>
    </row>
    <row r="108" spans="1:4" ht="13" x14ac:dyDescent="0.15">
      <c r="A108" s="10"/>
      <c r="B108" s="13"/>
      <c r="C108" s="13"/>
      <c r="D108" s="13"/>
    </row>
    <row r="109" spans="1:4" ht="13" x14ac:dyDescent="0.15">
      <c r="A109" s="10"/>
      <c r="B109" s="13"/>
      <c r="C109" s="13"/>
      <c r="D109" s="13"/>
    </row>
    <row r="110" spans="1:4" ht="13" x14ac:dyDescent="0.15">
      <c r="A110" s="10"/>
      <c r="B110" s="13"/>
      <c r="C110" s="13"/>
      <c r="D110" s="13"/>
    </row>
    <row r="111" spans="1:4" ht="13" x14ac:dyDescent="0.15">
      <c r="A111" s="10"/>
      <c r="B111" s="13"/>
      <c r="C111" s="13"/>
      <c r="D111" s="13"/>
    </row>
    <row r="112" spans="1:4" ht="13" x14ac:dyDescent="0.15">
      <c r="A112" s="10"/>
      <c r="B112" s="13"/>
      <c r="C112" s="13"/>
      <c r="D112" s="13"/>
    </row>
    <row r="113" spans="1:4" ht="13" x14ac:dyDescent="0.15">
      <c r="A113" s="10"/>
      <c r="B113" s="13"/>
      <c r="C113" s="13"/>
      <c r="D113" s="13"/>
    </row>
    <row r="114" spans="1:4" ht="13" x14ac:dyDescent="0.15">
      <c r="A114" s="10"/>
      <c r="B114" s="13"/>
      <c r="C114" s="13"/>
      <c r="D114" s="13"/>
    </row>
    <row r="115" spans="1:4" ht="13" x14ac:dyDescent="0.15">
      <c r="A115" s="10"/>
      <c r="B115" s="13"/>
      <c r="C115" s="13"/>
      <c r="D115" s="13"/>
    </row>
    <row r="116" spans="1:4" ht="13" x14ac:dyDescent="0.15">
      <c r="A116" s="10"/>
      <c r="B116" s="13"/>
      <c r="C116" s="13"/>
      <c r="D116" s="13"/>
    </row>
    <row r="117" spans="1:4" ht="13" x14ac:dyDescent="0.15">
      <c r="A117" s="10"/>
      <c r="B117" s="13"/>
      <c r="C117" s="13"/>
      <c r="D117" s="13"/>
    </row>
    <row r="118" spans="1:4" ht="13" x14ac:dyDescent="0.15">
      <c r="A118" s="10"/>
      <c r="B118" s="13"/>
      <c r="C118" s="13"/>
      <c r="D118" s="13"/>
    </row>
    <row r="119" spans="1:4" ht="13" x14ac:dyDescent="0.15">
      <c r="A119" s="10"/>
      <c r="B119" s="13"/>
      <c r="C119" s="13"/>
      <c r="D119" s="13"/>
    </row>
    <row r="120" spans="1:4" ht="13" x14ac:dyDescent="0.15">
      <c r="A120" s="10"/>
      <c r="B120" s="13"/>
      <c r="C120" s="13"/>
      <c r="D120" s="13"/>
    </row>
    <row r="121" spans="1:4" ht="13" x14ac:dyDescent="0.15">
      <c r="A121" s="10"/>
      <c r="B121" s="13"/>
      <c r="C121" s="13"/>
      <c r="D121" s="13"/>
    </row>
    <row r="122" spans="1:4" ht="13" x14ac:dyDescent="0.15">
      <c r="A122" s="10"/>
      <c r="B122" s="13"/>
      <c r="C122" s="13"/>
      <c r="D122" s="13"/>
    </row>
    <row r="123" spans="1:4" ht="13" x14ac:dyDescent="0.15">
      <c r="A123" s="10"/>
      <c r="B123" s="13"/>
      <c r="C123" s="13"/>
      <c r="D123" s="13"/>
    </row>
    <row r="124" spans="1:4" ht="13" x14ac:dyDescent="0.15">
      <c r="A124" s="10"/>
      <c r="B124" s="13"/>
      <c r="C124" s="13"/>
      <c r="D124" s="13"/>
    </row>
    <row r="125" spans="1:4" ht="13" x14ac:dyDescent="0.15">
      <c r="A125" s="10"/>
      <c r="B125" s="13"/>
      <c r="C125" s="13"/>
      <c r="D125" s="13"/>
    </row>
    <row r="126" spans="1:4" ht="13" x14ac:dyDescent="0.15">
      <c r="A126" s="10"/>
      <c r="B126" s="13"/>
      <c r="C126" s="13"/>
      <c r="D126" s="13"/>
    </row>
    <row r="127" spans="1:4" ht="13" x14ac:dyDescent="0.15">
      <c r="A127" s="10"/>
      <c r="B127" s="13"/>
      <c r="C127" s="13"/>
      <c r="D127" s="13"/>
    </row>
    <row r="128" spans="1:4" ht="13" x14ac:dyDescent="0.15">
      <c r="A128" s="10"/>
      <c r="B128" s="13"/>
      <c r="C128" s="13"/>
      <c r="D128" s="13"/>
    </row>
    <row r="129" spans="1:4" ht="13" x14ac:dyDescent="0.15">
      <c r="A129" s="10"/>
      <c r="B129" s="13"/>
      <c r="C129" s="13"/>
      <c r="D129" s="13"/>
    </row>
    <row r="130" spans="1:4" ht="13" x14ac:dyDescent="0.15">
      <c r="A130" s="10"/>
      <c r="B130" s="13"/>
      <c r="C130" s="13"/>
      <c r="D130" s="13"/>
    </row>
    <row r="131" spans="1:4" ht="13" x14ac:dyDescent="0.15">
      <c r="A131" s="10"/>
      <c r="B131" s="13"/>
      <c r="C131" s="13"/>
      <c r="D131" s="13"/>
    </row>
    <row r="132" spans="1:4" ht="13" x14ac:dyDescent="0.15">
      <c r="A132" s="10"/>
      <c r="B132" s="13"/>
      <c r="C132" s="13"/>
      <c r="D132" s="13"/>
    </row>
    <row r="133" spans="1:4" ht="13" x14ac:dyDescent="0.15">
      <c r="A133" s="10"/>
      <c r="B133" s="13"/>
      <c r="C133" s="13"/>
      <c r="D133" s="13"/>
    </row>
    <row r="134" spans="1:4" ht="13" x14ac:dyDescent="0.15">
      <c r="A134" s="10"/>
      <c r="B134" s="13"/>
      <c r="C134" s="13"/>
      <c r="D134" s="13"/>
    </row>
    <row r="135" spans="1:4" ht="13" x14ac:dyDescent="0.15">
      <c r="A135" s="10"/>
      <c r="B135" s="13"/>
      <c r="C135" s="13"/>
      <c r="D135" s="13"/>
    </row>
    <row r="136" spans="1:4" ht="13" x14ac:dyDescent="0.15">
      <c r="A136" s="10"/>
      <c r="B136" s="13"/>
      <c r="C136" s="13"/>
      <c r="D136" s="13"/>
    </row>
    <row r="137" spans="1:4" ht="13" x14ac:dyDescent="0.15">
      <c r="A137" s="10"/>
      <c r="B137" s="13"/>
      <c r="C137" s="13"/>
      <c r="D137" s="13"/>
    </row>
    <row r="138" spans="1:4" ht="13" x14ac:dyDescent="0.15">
      <c r="A138" s="10"/>
      <c r="B138" s="13"/>
      <c r="C138" s="13"/>
      <c r="D138" s="13"/>
    </row>
    <row r="139" spans="1:4" ht="13" x14ac:dyDescent="0.15">
      <c r="A139" s="10"/>
      <c r="B139" s="13"/>
      <c r="C139" s="13"/>
      <c r="D139" s="13"/>
    </row>
    <row r="140" spans="1:4" ht="13" x14ac:dyDescent="0.15">
      <c r="A140" s="10"/>
      <c r="B140" s="13"/>
      <c r="C140" s="13"/>
      <c r="D140" s="13"/>
    </row>
    <row r="141" spans="1:4" ht="13" x14ac:dyDescent="0.15">
      <c r="A141" s="10"/>
      <c r="B141" s="13"/>
      <c r="C141" s="13"/>
      <c r="D141" s="13"/>
    </row>
    <row r="142" spans="1:4" ht="13" x14ac:dyDescent="0.15">
      <c r="A142" s="10"/>
      <c r="B142" s="13"/>
      <c r="C142" s="13"/>
      <c r="D142" s="13"/>
    </row>
    <row r="143" spans="1:4" ht="13" x14ac:dyDescent="0.15">
      <c r="A143" s="10"/>
      <c r="B143" s="13"/>
      <c r="C143" s="13"/>
      <c r="D143" s="13"/>
    </row>
    <row r="144" spans="1:4" ht="13" x14ac:dyDescent="0.15">
      <c r="A144" s="10"/>
      <c r="B144" s="13"/>
      <c r="C144" s="13"/>
      <c r="D144" s="13"/>
    </row>
    <row r="145" spans="1:4" ht="13" x14ac:dyDescent="0.15">
      <c r="A145" s="10"/>
      <c r="B145" s="13"/>
      <c r="C145" s="13"/>
      <c r="D145" s="13"/>
    </row>
    <row r="146" spans="1:4" ht="13" x14ac:dyDescent="0.15">
      <c r="A146" s="10"/>
      <c r="B146" s="13"/>
      <c r="C146" s="13"/>
      <c r="D146" s="13"/>
    </row>
    <row r="147" spans="1:4" ht="13" x14ac:dyDescent="0.15">
      <c r="A147" s="10"/>
      <c r="B147" s="13"/>
      <c r="C147" s="13"/>
      <c r="D147" s="13"/>
    </row>
    <row r="148" spans="1:4" ht="13" x14ac:dyDescent="0.15">
      <c r="A148" s="10"/>
      <c r="B148" s="13"/>
      <c r="C148" s="13"/>
      <c r="D148" s="13"/>
    </row>
    <row r="149" spans="1:4" ht="13" x14ac:dyDescent="0.15">
      <c r="A149" s="10"/>
      <c r="B149" s="13"/>
      <c r="C149" s="13"/>
      <c r="D149" s="13"/>
    </row>
    <row r="150" spans="1:4" ht="13" x14ac:dyDescent="0.15">
      <c r="A150" s="10"/>
      <c r="B150" s="13"/>
      <c r="C150" s="13"/>
      <c r="D150" s="13"/>
    </row>
    <row r="151" spans="1:4" ht="13" x14ac:dyDescent="0.15">
      <c r="A151" s="10"/>
      <c r="B151" s="13"/>
      <c r="C151" s="13"/>
      <c r="D151" s="13"/>
    </row>
    <row r="152" spans="1:4" ht="13" x14ac:dyDescent="0.15">
      <c r="A152" s="10"/>
      <c r="B152" s="13"/>
      <c r="C152" s="13"/>
      <c r="D152" s="13"/>
    </row>
    <row r="153" spans="1:4" ht="13" x14ac:dyDescent="0.15">
      <c r="A153" s="10"/>
      <c r="B153" s="13"/>
      <c r="C153" s="13"/>
      <c r="D153" s="13"/>
    </row>
    <row r="154" spans="1:4" ht="13" x14ac:dyDescent="0.15">
      <c r="A154" s="10"/>
      <c r="B154" s="13"/>
      <c r="C154" s="13"/>
      <c r="D154" s="13"/>
    </row>
    <row r="155" spans="1:4" ht="13" x14ac:dyDescent="0.15">
      <c r="A155" s="10"/>
      <c r="B155" s="13"/>
      <c r="C155" s="13"/>
      <c r="D155" s="13"/>
    </row>
    <row r="156" spans="1:4" ht="13" x14ac:dyDescent="0.15">
      <c r="A156" s="10"/>
      <c r="B156" s="13"/>
      <c r="C156" s="13"/>
      <c r="D156" s="13"/>
    </row>
    <row r="157" spans="1:4" ht="13" x14ac:dyDescent="0.15">
      <c r="A157" s="10"/>
      <c r="B157" s="13"/>
      <c r="C157" s="13"/>
      <c r="D157" s="13"/>
    </row>
    <row r="158" spans="1:4" ht="13" x14ac:dyDescent="0.15">
      <c r="A158" s="10"/>
      <c r="B158" s="13"/>
      <c r="C158" s="13"/>
      <c r="D158" s="13"/>
    </row>
    <row r="159" spans="1:4" ht="13" x14ac:dyDescent="0.15">
      <c r="A159" s="10"/>
      <c r="B159" s="13"/>
      <c r="C159" s="13"/>
      <c r="D159" s="13"/>
    </row>
    <row r="160" spans="1:4" ht="13" x14ac:dyDescent="0.15">
      <c r="A160" s="10"/>
      <c r="B160" s="13"/>
      <c r="C160" s="13"/>
      <c r="D160" s="13"/>
    </row>
    <row r="161" spans="1:4" ht="13" x14ac:dyDescent="0.15">
      <c r="A161" s="10"/>
      <c r="B161" s="13"/>
      <c r="C161" s="13"/>
      <c r="D161" s="13"/>
    </row>
    <row r="162" spans="1:4" ht="13" x14ac:dyDescent="0.15">
      <c r="A162" s="10"/>
      <c r="B162" s="13"/>
      <c r="C162" s="13"/>
      <c r="D162" s="13"/>
    </row>
    <row r="163" spans="1:4" ht="13" x14ac:dyDescent="0.15">
      <c r="A163" s="10"/>
      <c r="B163" s="13"/>
      <c r="C163" s="13"/>
      <c r="D163" s="13"/>
    </row>
    <row r="164" spans="1:4" ht="13" x14ac:dyDescent="0.15">
      <c r="A164" s="10"/>
      <c r="B164" s="13"/>
      <c r="C164" s="13"/>
      <c r="D164" s="13"/>
    </row>
    <row r="165" spans="1:4" ht="13" x14ac:dyDescent="0.15">
      <c r="A165" s="10"/>
      <c r="B165" s="13"/>
      <c r="C165" s="13"/>
      <c r="D165" s="13"/>
    </row>
    <row r="166" spans="1:4" ht="13" x14ac:dyDescent="0.15">
      <c r="A166" s="10"/>
      <c r="B166" s="13"/>
      <c r="C166" s="13"/>
      <c r="D166" s="13"/>
    </row>
    <row r="167" spans="1:4" ht="13" x14ac:dyDescent="0.15">
      <c r="A167" s="10"/>
      <c r="B167" s="13"/>
      <c r="C167" s="13"/>
      <c r="D167" s="13"/>
    </row>
    <row r="168" spans="1:4" ht="13" x14ac:dyDescent="0.15">
      <c r="A168" s="10"/>
      <c r="B168" s="13"/>
      <c r="C168" s="13"/>
      <c r="D168" s="13"/>
    </row>
    <row r="169" spans="1:4" ht="13" x14ac:dyDescent="0.15">
      <c r="A169" s="10"/>
      <c r="B169" s="13"/>
      <c r="C169" s="13"/>
      <c r="D169" s="13"/>
    </row>
    <row r="170" spans="1:4" ht="13" x14ac:dyDescent="0.15">
      <c r="A170" s="10"/>
      <c r="B170" s="13"/>
      <c r="C170" s="13"/>
      <c r="D170" s="13"/>
    </row>
    <row r="171" spans="1:4" ht="13" x14ac:dyDescent="0.15">
      <c r="A171" s="10"/>
      <c r="B171" s="13"/>
      <c r="C171" s="13"/>
      <c r="D171" s="13"/>
    </row>
    <row r="172" spans="1:4" ht="13" x14ac:dyDescent="0.15">
      <c r="A172" s="10"/>
      <c r="B172" s="13"/>
      <c r="C172" s="13"/>
      <c r="D172" s="13"/>
    </row>
    <row r="173" spans="1:4" ht="13" x14ac:dyDescent="0.15">
      <c r="A173" s="10"/>
      <c r="B173" s="13"/>
      <c r="C173" s="13"/>
      <c r="D173" s="13"/>
    </row>
    <row r="174" spans="1:4" ht="13" x14ac:dyDescent="0.15">
      <c r="A174" s="10"/>
      <c r="B174" s="13"/>
      <c r="C174" s="13"/>
      <c r="D174" s="13"/>
    </row>
    <row r="175" spans="1:4" ht="13" x14ac:dyDescent="0.15">
      <c r="A175" s="10"/>
      <c r="B175" s="13"/>
      <c r="C175" s="13"/>
      <c r="D175" s="13"/>
    </row>
    <row r="176" spans="1:4" ht="13" x14ac:dyDescent="0.15">
      <c r="A176" s="10"/>
      <c r="B176" s="13"/>
      <c r="C176" s="13"/>
      <c r="D176" s="13"/>
    </row>
    <row r="177" spans="1:4" ht="13" x14ac:dyDescent="0.15">
      <c r="A177" s="10"/>
      <c r="B177" s="13"/>
      <c r="C177" s="13"/>
      <c r="D177" s="13"/>
    </row>
    <row r="178" spans="1:4" ht="13" x14ac:dyDescent="0.15">
      <c r="A178" s="10"/>
      <c r="B178" s="13"/>
      <c r="C178" s="13"/>
      <c r="D178" s="13"/>
    </row>
    <row r="179" spans="1:4" ht="13" x14ac:dyDescent="0.15">
      <c r="A179" s="10"/>
      <c r="B179" s="13"/>
      <c r="C179" s="13"/>
      <c r="D179" s="13"/>
    </row>
    <row r="180" spans="1:4" ht="13" x14ac:dyDescent="0.15">
      <c r="A180" s="10"/>
      <c r="B180" s="13"/>
      <c r="C180" s="13"/>
      <c r="D180" s="13"/>
    </row>
    <row r="181" spans="1:4" ht="13" x14ac:dyDescent="0.15">
      <c r="A181" s="10"/>
      <c r="B181" s="13"/>
      <c r="C181" s="13"/>
      <c r="D181" s="13"/>
    </row>
    <row r="182" spans="1:4" ht="13" x14ac:dyDescent="0.15">
      <c r="A182" s="10"/>
      <c r="B182" s="13"/>
      <c r="C182" s="13"/>
      <c r="D182" s="13"/>
    </row>
    <row r="183" spans="1:4" ht="13" x14ac:dyDescent="0.15">
      <c r="A183" s="10"/>
      <c r="B183" s="13"/>
      <c r="C183" s="13"/>
      <c r="D183" s="13"/>
    </row>
    <row r="184" spans="1:4" ht="13" x14ac:dyDescent="0.15">
      <c r="A184" s="10"/>
      <c r="B184" s="13"/>
      <c r="C184" s="13"/>
      <c r="D184" s="13"/>
    </row>
    <row r="185" spans="1:4" ht="13" x14ac:dyDescent="0.15">
      <c r="A185" s="10"/>
      <c r="B185" s="13"/>
      <c r="C185" s="13"/>
      <c r="D185" s="13"/>
    </row>
    <row r="186" spans="1:4" ht="13" x14ac:dyDescent="0.15">
      <c r="A186" s="10"/>
      <c r="B186" s="13"/>
      <c r="C186" s="13"/>
      <c r="D186" s="13"/>
    </row>
    <row r="187" spans="1:4" ht="13" x14ac:dyDescent="0.15">
      <c r="A187" s="10"/>
      <c r="B187" s="13"/>
      <c r="C187" s="13"/>
      <c r="D187" s="13"/>
    </row>
    <row r="188" spans="1:4" ht="13" x14ac:dyDescent="0.15">
      <c r="A188" s="10"/>
      <c r="B188" s="13"/>
      <c r="C188" s="13"/>
      <c r="D188" s="13"/>
    </row>
    <row r="189" spans="1:4" ht="13" x14ac:dyDescent="0.15">
      <c r="A189" s="10"/>
      <c r="B189" s="13"/>
      <c r="C189" s="13"/>
      <c r="D189" s="13"/>
    </row>
    <row r="190" spans="1:4" ht="13" x14ac:dyDescent="0.15">
      <c r="A190" s="10"/>
      <c r="B190" s="13"/>
      <c r="C190" s="13"/>
      <c r="D190" s="13"/>
    </row>
    <row r="191" spans="1:4" ht="13" x14ac:dyDescent="0.15">
      <c r="A191" s="10"/>
      <c r="B191" s="13"/>
      <c r="C191" s="13"/>
      <c r="D191" s="13"/>
    </row>
    <row r="192" spans="1:4" ht="13" x14ac:dyDescent="0.15">
      <c r="A192" s="10"/>
      <c r="B192" s="13"/>
      <c r="C192" s="13"/>
      <c r="D192" s="13"/>
    </row>
    <row r="193" spans="1:4" ht="13" x14ac:dyDescent="0.15">
      <c r="A193" s="10"/>
      <c r="B193" s="13"/>
      <c r="C193" s="13"/>
      <c r="D193" s="13"/>
    </row>
    <row r="194" spans="1:4" ht="13" x14ac:dyDescent="0.15">
      <c r="A194" s="10"/>
      <c r="B194" s="13"/>
      <c r="C194" s="13"/>
      <c r="D194" s="13"/>
    </row>
    <row r="195" spans="1:4" ht="13" x14ac:dyDescent="0.15">
      <c r="A195" s="10"/>
      <c r="B195" s="13"/>
      <c r="C195" s="13"/>
      <c r="D195" s="13"/>
    </row>
    <row r="196" spans="1:4" ht="13" x14ac:dyDescent="0.15">
      <c r="A196" s="10"/>
      <c r="B196" s="13"/>
      <c r="C196" s="13"/>
      <c r="D196" s="13"/>
    </row>
    <row r="197" spans="1:4" ht="13" x14ac:dyDescent="0.15">
      <c r="A197" s="10"/>
      <c r="B197" s="13"/>
      <c r="C197" s="13"/>
      <c r="D197" s="13"/>
    </row>
    <row r="198" spans="1:4" ht="13" x14ac:dyDescent="0.15">
      <c r="A198" s="10"/>
      <c r="B198" s="13"/>
      <c r="C198" s="13"/>
      <c r="D198" s="13"/>
    </row>
    <row r="199" spans="1:4" ht="13" x14ac:dyDescent="0.15">
      <c r="A199" s="10"/>
      <c r="B199" s="13"/>
      <c r="C199" s="13"/>
      <c r="D199" s="13"/>
    </row>
    <row r="200" spans="1:4" ht="13" x14ac:dyDescent="0.15">
      <c r="A200" s="10"/>
      <c r="B200" s="13"/>
      <c r="C200" s="13"/>
      <c r="D200" s="13"/>
    </row>
    <row r="201" spans="1:4" ht="13" x14ac:dyDescent="0.15">
      <c r="A201" s="10"/>
      <c r="B201" s="13"/>
      <c r="C201" s="13"/>
      <c r="D201" s="13"/>
    </row>
    <row r="202" spans="1:4" ht="13" x14ac:dyDescent="0.15">
      <c r="A202" s="10"/>
      <c r="B202" s="13"/>
      <c r="C202" s="13"/>
      <c r="D202" s="13"/>
    </row>
    <row r="203" spans="1:4" ht="13" x14ac:dyDescent="0.15">
      <c r="A203" s="10"/>
      <c r="B203" s="13"/>
      <c r="C203" s="13"/>
      <c r="D203" s="13"/>
    </row>
    <row r="204" spans="1:4" ht="13" x14ac:dyDescent="0.15">
      <c r="A204" s="10"/>
      <c r="B204" s="13"/>
      <c r="C204" s="13"/>
      <c r="D204" s="13"/>
    </row>
    <row r="205" spans="1:4" ht="13" x14ac:dyDescent="0.15">
      <c r="A205" s="10"/>
      <c r="B205" s="13"/>
      <c r="C205" s="13"/>
      <c r="D205" s="13"/>
    </row>
    <row r="206" spans="1:4" ht="13" x14ac:dyDescent="0.15">
      <c r="A206" s="10"/>
      <c r="B206" s="13"/>
      <c r="C206" s="13"/>
      <c r="D206" s="13"/>
    </row>
    <row r="207" spans="1:4" ht="13" x14ac:dyDescent="0.15">
      <c r="A207" s="10"/>
      <c r="B207" s="13"/>
      <c r="C207" s="13"/>
      <c r="D207" s="13"/>
    </row>
    <row r="208" spans="1:4" ht="13" x14ac:dyDescent="0.15">
      <c r="A208" s="10"/>
      <c r="B208" s="13"/>
      <c r="C208" s="13"/>
      <c r="D208" s="13"/>
    </row>
    <row r="209" spans="1:4" ht="13" x14ac:dyDescent="0.15">
      <c r="A209" s="10"/>
      <c r="B209" s="13"/>
      <c r="C209" s="13"/>
      <c r="D209" s="13"/>
    </row>
    <row r="210" spans="1:4" ht="13" x14ac:dyDescent="0.15">
      <c r="A210" s="10"/>
      <c r="B210" s="13"/>
      <c r="C210" s="13"/>
      <c r="D210" s="13"/>
    </row>
    <row r="211" spans="1:4" ht="13" x14ac:dyDescent="0.15">
      <c r="A211" s="10"/>
      <c r="B211" s="13"/>
      <c r="C211" s="13"/>
      <c r="D211" s="13"/>
    </row>
    <row r="212" spans="1:4" ht="13" x14ac:dyDescent="0.15">
      <c r="A212" s="10"/>
      <c r="B212" s="13"/>
      <c r="C212" s="13"/>
      <c r="D212" s="13"/>
    </row>
    <row r="213" spans="1:4" ht="13" x14ac:dyDescent="0.15">
      <c r="A213" s="10"/>
      <c r="B213" s="13"/>
      <c r="C213" s="13"/>
      <c r="D213" s="13"/>
    </row>
    <row r="214" spans="1:4" ht="13" x14ac:dyDescent="0.15">
      <c r="A214" s="10"/>
      <c r="B214" s="13"/>
      <c r="C214" s="13"/>
      <c r="D214" s="13"/>
    </row>
    <row r="215" spans="1:4" ht="13" x14ac:dyDescent="0.15">
      <c r="A215" s="10"/>
      <c r="B215" s="13"/>
      <c r="C215" s="13"/>
      <c r="D215" s="13"/>
    </row>
    <row r="216" spans="1:4" ht="13" x14ac:dyDescent="0.15">
      <c r="A216" s="10"/>
      <c r="B216" s="13"/>
      <c r="C216" s="13"/>
      <c r="D216" s="13"/>
    </row>
    <row r="217" spans="1:4" ht="13" x14ac:dyDescent="0.15">
      <c r="A217" s="10"/>
      <c r="B217" s="13"/>
      <c r="C217" s="13"/>
      <c r="D217" s="13"/>
    </row>
    <row r="218" spans="1:4" ht="13" x14ac:dyDescent="0.15">
      <c r="A218" s="10"/>
      <c r="B218" s="13"/>
      <c r="C218" s="13"/>
      <c r="D218" s="13"/>
    </row>
    <row r="219" spans="1:4" ht="13" x14ac:dyDescent="0.15">
      <c r="A219" s="10"/>
      <c r="B219" s="13"/>
      <c r="C219" s="13"/>
      <c r="D219" s="13"/>
    </row>
    <row r="220" spans="1:4" ht="13" x14ac:dyDescent="0.15">
      <c r="A220" s="10"/>
      <c r="B220" s="13"/>
      <c r="C220" s="13"/>
      <c r="D220" s="13"/>
    </row>
    <row r="221" spans="1:4" ht="13" x14ac:dyDescent="0.15">
      <c r="A221" s="10"/>
      <c r="B221" s="13"/>
      <c r="C221" s="13"/>
      <c r="D221" s="13"/>
    </row>
    <row r="222" spans="1:4" ht="13" x14ac:dyDescent="0.15">
      <c r="A222" s="10"/>
      <c r="B222" s="13"/>
      <c r="C222" s="13"/>
      <c r="D222" s="13"/>
    </row>
    <row r="223" spans="1:4" ht="13" x14ac:dyDescent="0.15">
      <c r="A223" s="10"/>
      <c r="B223" s="13"/>
      <c r="C223" s="13"/>
      <c r="D223" s="13"/>
    </row>
    <row r="224" spans="1:4" ht="13" x14ac:dyDescent="0.15">
      <c r="A224" s="10"/>
      <c r="B224" s="13"/>
      <c r="C224" s="13"/>
      <c r="D224" s="13"/>
    </row>
    <row r="225" spans="1:4" ht="13" x14ac:dyDescent="0.15">
      <c r="A225" s="10"/>
      <c r="B225" s="13"/>
      <c r="C225" s="13"/>
      <c r="D225" s="13"/>
    </row>
    <row r="226" spans="1:4" ht="13" x14ac:dyDescent="0.15">
      <c r="A226" s="10"/>
      <c r="B226" s="13"/>
      <c r="C226" s="13"/>
      <c r="D226" s="13"/>
    </row>
    <row r="227" spans="1:4" ht="13" x14ac:dyDescent="0.15">
      <c r="A227" s="10"/>
      <c r="B227" s="13"/>
      <c r="C227" s="13"/>
      <c r="D227" s="13"/>
    </row>
    <row r="228" spans="1:4" ht="13" x14ac:dyDescent="0.15">
      <c r="A228" s="10"/>
      <c r="B228" s="13"/>
      <c r="C228" s="13"/>
      <c r="D228" s="13"/>
    </row>
    <row r="229" spans="1:4" ht="13" x14ac:dyDescent="0.15">
      <c r="A229" s="10"/>
      <c r="B229" s="13"/>
      <c r="C229" s="13"/>
      <c r="D229" s="13"/>
    </row>
    <row r="230" spans="1:4" ht="13" x14ac:dyDescent="0.15">
      <c r="A230" s="10"/>
      <c r="B230" s="13"/>
      <c r="C230" s="13"/>
      <c r="D230" s="13"/>
    </row>
    <row r="231" spans="1:4" ht="13" x14ac:dyDescent="0.15">
      <c r="A231" s="10"/>
      <c r="B231" s="13"/>
      <c r="C231" s="13"/>
      <c r="D231" s="13"/>
    </row>
    <row r="232" spans="1:4" ht="13" x14ac:dyDescent="0.15">
      <c r="A232" s="10"/>
      <c r="B232" s="13"/>
      <c r="C232" s="13"/>
      <c r="D232" s="13"/>
    </row>
    <row r="233" spans="1:4" ht="13" x14ac:dyDescent="0.15">
      <c r="A233" s="10"/>
      <c r="B233" s="13"/>
      <c r="C233" s="13"/>
      <c r="D233" s="13"/>
    </row>
    <row r="234" spans="1:4" ht="13" x14ac:dyDescent="0.15">
      <c r="A234" s="10"/>
      <c r="B234" s="13"/>
      <c r="C234" s="13"/>
      <c r="D234" s="13"/>
    </row>
    <row r="235" spans="1:4" ht="13" x14ac:dyDescent="0.15">
      <c r="A235" s="10"/>
      <c r="B235" s="13"/>
      <c r="C235" s="13"/>
      <c r="D235" s="13"/>
    </row>
    <row r="236" spans="1:4" ht="13" x14ac:dyDescent="0.15">
      <c r="A236" s="10"/>
      <c r="B236" s="13"/>
      <c r="C236" s="13"/>
      <c r="D236" s="13"/>
    </row>
    <row r="237" spans="1:4" ht="13" x14ac:dyDescent="0.15">
      <c r="A237" s="10"/>
      <c r="B237" s="13"/>
      <c r="C237" s="13"/>
      <c r="D237" s="13"/>
    </row>
    <row r="238" spans="1:4" ht="13" x14ac:dyDescent="0.15">
      <c r="A238" s="10"/>
      <c r="B238" s="13"/>
      <c r="C238" s="13"/>
      <c r="D238" s="13"/>
    </row>
    <row r="239" spans="1:4" ht="13" x14ac:dyDescent="0.15">
      <c r="A239" s="10"/>
      <c r="B239" s="13"/>
      <c r="C239" s="13"/>
      <c r="D239" s="13"/>
    </row>
    <row r="240" spans="1:4" ht="13" x14ac:dyDescent="0.15">
      <c r="A240" s="10"/>
      <c r="B240" s="13"/>
      <c r="C240" s="13"/>
      <c r="D240" s="13"/>
    </row>
    <row r="241" spans="1:4" ht="13" x14ac:dyDescent="0.15">
      <c r="A241" s="10"/>
      <c r="B241" s="13"/>
      <c r="C241" s="13"/>
      <c r="D241" s="13"/>
    </row>
    <row r="242" spans="1:4" ht="13" x14ac:dyDescent="0.15">
      <c r="A242" s="10"/>
      <c r="B242" s="13"/>
      <c r="C242" s="13"/>
      <c r="D242" s="13"/>
    </row>
    <row r="243" spans="1:4" ht="13" x14ac:dyDescent="0.15">
      <c r="A243" s="10"/>
      <c r="B243" s="13"/>
      <c r="C243" s="13"/>
      <c r="D243" s="13"/>
    </row>
    <row r="244" spans="1:4" ht="13" x14ac:dyDescent="0.15">
      <c r="A244" s="10"/>
      <c r="B244" s="13"/>
      <c r="C244" s="13"/>
      <c r="D244" s="13"/>
    </row>
    <row r="245" spans="1:4" ht="13" x14ac:dyDescent="0.15">
      <c r="A245" s="10"/>
      <c r="B245" s="13"/>
      <c r="C245" s="13"/>
      <c r="D245" s="13"/>
    </row>
    <row r="246" spans="1:4" ht="13" x14ac:dyDescent="0.15">
      <c r="A246" s="10"/>
      <c r="B246" s="13"/>
      <c r="C246" s="13"/>
      <c r="D246" s="13"/>
    </row>
    <row r="247" spans="1:4" ht="13" x14ac:dyDescent="0.15">
      <c r="A247" s="10"/>
      <c r="B247" s="13"/>
      <c r="C247" s="13"/>
      <c r="D247" s="13"/>
    </row>
    <row r="248" spans="1:4" ht="13" x14ac:dyDescent="0.15">
      <c r="A248" s="10"/>
      <c r="B248" s="13"/>
      <c r="C248" s="13"/>
      <c r="D248" s="13"/>
    </row>
    <row r="249" spans="1:4" ht="13" x14ac:dyDescent="0.15">
      <c r="A249" s="10"/>
      <c r="B249" s="13"/>
      <c r="C249" s="13"/>
      <c r="D249" s="13"/>
    </row>
    <row r="250" spans="1:4" ht="13" x14ac:dyDescent="0.15">
      <c r="A250" s="10"/>
      <c r="B250" s="13"/>
      <c r="C250" s="13"/>
      <c r="D250" s="13"/>
    </row>
    <row r="251" spans="1:4" ht="13" x14ac:dyDescent="0.15">
      <c r="A251" s="10"/>
      <c r="B251" s="13"/>
      <c r="C251" s="13"/>
      <c r="D251" s="13"/>
    </row>
    <row r="252" spans="1:4" ht="13" x14ac:dyDescent="0.15">
      <c r="A252" s="10"/>
      <c r="B252" s="13"/>
      <c r="C252" s="13"/>
      <c r="D252" s="13"/>
    </row>
    <row r="253" spans="1:4" ht="13" x14ac:dyDescent="0.15">
      <c r="A253" s="10"/>
      <c r="B253" s="13"/>
      <c r="C253" s="13"/>
      <c r="D253" s="13"/>
    </row>
    <row r="254" spans="1:4" ht="13" x14ac:dyDescent="0.15">
      <c r="A254" s="10"/>
      <c r="B254" s="13"/>
      <c r="C254" s="13"/>
      <c r="D254" s="13"/>
    </row>
    <row r="255" spans="1:4" ht="13" x14ac:dyDescent="0.15">
      <c r="A255" s="10"/>
      <c r="B255" s="13"/>
      <c r="C255" s="13"/>
      <c r="D255" s="13"/>
    </row>
    <row r="256" spans="1:4" ht="13" x14ac:dyDescent="0.15">
      <c r="A256" s="10"/>
      <c r="B256" s="13"/>
      <c r="C256" s="13"/>
      <c r="D256" s="13"/>
    </row>
    <row r="257" spans="1:4" ht="13" x14ac:dyDescent="0.15">
      <c r="A257" s="10"/>
      <c r="B257" s="13"/>
      <c r="C257" s="13"/>
      <c r="D257" s="13"/>
    </row>
    <row r="258" spans="1:4" ht="13" x14ac:dyDescent="0.15">
      <c r="A258" s="10"/>
      <c r="B258" s="13"/>
      <c r="C258" s="13"/>
      <c r="D258" s="13"/>
    </row>
    <row r="259" spans="1:4" ht="13" x14ac:dyDescent="0.15">
      <c r="A259" s="10"/>
      <c r="B259" s="13"/>
      <c r="C259" s="13"/>
      <c r="D259" s="13"/>
    </row>
    <row r="260" spans="1:4" ht="13" x14ac:dyDescent="0.15">
      <c r="A260" s="10"/>
      <c r="B260" s="13"/>
      <c r="C260" s="13"/>
      <c r="D260" s="13"/>
    </row>
    <row r="261" spans="1:4" ht="13" x14ac:dyDescent="0.15">
      <c r="A261" s="10"/>
      <c r="B261" s="13"/>
      <c r="C261" s="13"/>
      <c r="D261" s="13"/>
    </row>
    <row r="262" spans="1:4" ht="13" x14ac:dyDescent="0.15">
      <c r="A262" s="10"/>
      <c r="B262" s="13"/>
      <c r="C262" s="13"/>
      <c r="D262" s="13"/>
    </row>
    <row r="263" spans="1:4" ht="13" x14ac:dyDescent="0.15">
      <c r="A263" s="10"/>
      <c r="B263" s="13"/>
      <c r="C263" s="13"/>
      <c r="D263" s="13"/>
    </row>
    <row r="264" spans="1:4" ht="13" x14ac:dyDescent="0.15">
      <c r="A264" s="10"/>
      <c r="B264" s="13"/>
      <c r="C264" s="13"/>
      <c r="D264" s="13"/>
    </row>
    <row r="265" spans="1:4" ht="13" x14ac:dyDescent="0.15">
      <c r="A265" s="10"/>
      <c r="B265" s="13"/>
      <c r="C265" s="13"/>
      <c r="D265" s="13"/>
    </row>
    <row r="266" spans="1:4" ht="13" x14ac:dyDescent="0.15">
      <c r="A266" s="10"/>
      <c r="B266" s="13"/>
      <c r="C266" s="13"/>
      <c r="D266" s="13"/>
    </row>
    <row r="267" spans="1:4" ht="13" x14ac:dyDescent="0.15">
      <c r="A267" s="10"/>
      <c r="B267" s="13"/>
      <c r="C267" s="13"/>
      <c r="D267" s="13"/>
    </row>
    <row r="268" spans="1:4" ht="13" x14ac:dyDescent="0.15">
      <c r="A268" s="10"/>
      <c r="B268" s="13"/>
      <c r="C268" s="13"/>
      <c r="D268" s="13"/>
    </row>
    <row r="269" spans="1:4" ht="13" x14ac:dyDescent="0.15">
      <c r="A269" s="10"/>
      <c r="B269" s="13"/>
      <c r="C269" s="13"/>
      <c r="D269" s="13"/>
    </row>
    <row r="270" spans="1:4" ht="13" x14ac:dyDescent="0.15">
      <c r="A270" s="10"/>
      <c r="B270" s="13"/>
      <c r="C270" s="13"/>
      <c r="D270" s="13"/>
    </row>
    <row r="271" spans="1:4" ht="13" x14ac:dyDescent="0.15">
      <c r="A271" s="10"/>
      <c r="B271" s="13"/>
      <c r="C271" s="13"/>
      <c r="D271" s="13"/>
    </row>
    <row r="272" spans="1:4" ht="13" x14ac:dyDescent="0.15">
      <c r="A272" s="10"/>
      <c r="B272" s="13"/>
      <c r="C272" s="13"/>
      <c r="D272" s="13"/>
    </row>
    <row r="273" spans="1:4" ht="13" x14ac:dyDescent="0.15">
      <c r="A273" s="10"/>
      <c r="B273" s="13"/>
      <c r="C273" s="13"/>
      <c r="D273" s="13"/>
    </row>
    <row r="274" spans="1:4" ht="13" x14ac:dyDescent="0.15">
      <c r="A274" s="10"/>
      <c r="B274" s="13"/>
      <c r="C274" s="13"/>
      <c r="D274" s="13"/>
    </row>
    <row r="275" spans="1:4" ht="13" x14ac:dyDescent="0.15">
      <c r="A275" s="10"/>
      <c r="B275" s="13"/>
      <c r="C275" s="13"/>
      <c r="D275" s="13"/>
    </row>
    <row r="276" spans="1:4" ht="13" x14ac:dyDescent="0.15">
      <c r="A276" s="10"/>
      <c r="B276" s="13"/>
      <c r="C276" s="13"/>
      <c r="D276" s="13"/>
    </row>
    <row r="277" spans="1:4" ht="13" x14ac:dyDescent="0.15">
      <c r="A277" s="10"/>
      <c r="B277" s="13"/>
      <c r="C277" s="13"/>
      <c r="D277" s="13"/>
    </row>
    <row r="278" spans="1:4" ht="13" x14ac:dyDescent="0.15">
      <c r="A278" s="10"/>
      <c r="B278" s="13"/>
      <c r="C278" s="13"/>
      <c r="D278" s="13"/>
    </row>
    <row r="279" spans="1:4" ht="13" x14ac:dyDescent="0.15">
      <c r="A279" s="10"/>
      <c r="B279" s="13"/>
      <c r="C279" s="13"/>
      <c r="D279" s="13"/>
    </row>
    <row r="280" spans="1:4" ht="13" x14ac:dyDescent="0.15">
      <c r="A280" s="10"/>
      <c r="B280" s="13"/>
      <c r="C280" s="13"/>
      <c r="D280" s="13"/>
    </row>
    <row r="281" spans="1:4" ht="13" x14ac:dyDescent="0.15">
      <c r="A281" s="10"/>
      <c r="B281" s="13"/>
      <c r="C281" s="13"/>
      <c r="D281" s="13"/>
    </row>
    <row r="282" spans="1:4" ht="13" x14ac:dyDescent="0.15">
      <c r="A282" s="10"/>
      <c r="B282" s="13"/>
      <c r="C282" s="13"/>
      <c r="D282" s="13"/>
    </row>
    <row r="283" spans="1:4" ht="13" x14ac:dyDescent="0.15">
      <c r="A283" s="10"/>
      <c r="B283" s="13"/>
      <c r="C283" s="13"/>
      <c r="D283" s="13"/>
    </row>
    <row r="284" spans="1:4" ht="13" x14ac:dyDescent="0.15">
      <c r="A284" s="10"/>
      <c r="B284" s="13"/>
      <c r="C284" s="13"/>
      <c r="D284" s="13"/>
    </row>
    <row r="285" spans="1:4" ht="13" x14ac:dyDescent="0.15">
      <c r="A285" s="10"/>
      <c r="B285" s="13"/>
      <c r="C285" s="13"/>
      <c r="D285" s="13"/>
    </row>
    <row r="286" spans="1:4" ht="13" x14ac:dyDescent="0.15">
      <c r="A286" s="10"/>
      <c r="B286" s="13"/>
      <c r="C286" s="13"/>
      <c r="D286" s="13"/>
    </row>
    <row r="287" spans="1:4" ht="13" x14ac:dyDescent="0.15">
      <c r="A287" s="10"/>
      <c r="B287" s="13"/>
      <c r="C287" s="13"/>
      <c r="D287" s="13"/>
    </row>
    <row r="288" spans="1:4" ht="13" x14ac:dyDescent="0.15">
      <c r="A288" s="10"/>
      <c r="B288" s="13"/>
      <c r="C288" s="13"/>
      <c r="D288" s="13"/>
    </row>
    <row r="289" spans="1:4" ht="13" x14ac:dyDescent="0.15">
      <c r="A289" s="10"/>
      <c r="B289" s="13"/>
      <c r="C289" s="13"/>
      <c r="D289" s="13"/>
    </row>
    <row r="290" spans="1:4" ht="13" x14ac:dyDescent="0.15">
      <c r="A290" s="10"/>
      <c r="B290" s="13"/>
      <c r="C290" s="13"/>
      <c r="D290" s="13"/>
    </row>
    <row r="291" spans="1:4" ht="13" x14ac:dyDescent="0.15">
      <c r="A291" s="10"/>
      <c r="B291" s="13"/>
      <c r="C291" s="13"/>
      <c r="D291" s="13"/>
    </row>
    <row r="292" spans="1:4" ht="13" x14ac:dyDescent="0.15">
      <c r="A292" s="10"/>
      <c r="B292" s="13"/>
      <c r="C292" s="13"/>
      <c r="D292" s="13"/>
    </row>
    <row r="293" spans="1:4" ht="13" x14ac:dyDescent="0.15">
      <c r="A293" s="10"/>
      <c r="B293" s="13"/>
      <c r="C293" s="13"/>
      <c r="D293" s="13"/>
    </row>
    <row r="294" spans="1:4" ht="13" x14ac:dyDescent="0.15">
      <c r="A294" s="10"/>
      <c r="B294" s="13"/>
      <c r="C294" s="13"/>
      <c r="D294" s="13"/>
    </row>
    <row r="295" spans="1:4" ht="13" x14ac:dyDescent="0.15">
      <c r="A295" s="10"/>
      <c r="B295" s="13"/>
      <c r="C295" s="13"/>
      <c r="D295" s="13"/>
    </row>
    <row r="296" spans="1:4" ht="13" x14ac:dyDescent="0.15">
      <c r="A296" s="10"/>
      <c r="B296" s="13"/>
      <c r="C296" s="13"/>
      <c r="D296" s="13"/>
    </row>
    <row r="297" spans="1:4" ht="13" x14ac:dyDescent="0.15">
      <c r="A297" s="10"/>
      <c r="B297" s="13"/>
      <c r="C297" s="13"/>
      <c r="D297" s="13"/>
    </row>
    <row r="298" spans="1:4" ht="13" x14ac:dyDescent="0.15">
      <c r="A298" s="10"/>
      <c r="B298" s="13"/>
      <c r="C298" s="13"/>
      <c r="D298" s="13"/>
    </row>
    <row r="299" spans="1:4" ht="13" x14ac:dyDescent="0.15">
      <c r="A299" s="10"/>
      <c r="B299" s="13"/>
      <c r="C299" s="13"/>
      <c r="D299" s="13"/>
    </row>
    <row r="300" spans="1:4" ht="13" x14ac:dyDescent="0.15">
      <c r="A300" s="10"/>
      <c r="B300" s="13"/>
      <c r="C300" s="13"/>
      <c r="D300" s="13"/>
    </row>
    <row r="301" spans="1:4" ht="13" x14ac:dyDescent="0.15">
      <c r="A301" s="10"/>
      <c r="B301" s="13"/>
      <c r="C301" s="13"/>
      <c r="D301" s="13"/>
    </row>
    <row r="302" spans="1:4" ht="13" x14ac:dyDescent="0.15">
      <c r="A302" s="10"/>
      <c r="B302" s="13"/>
      <c r="C302" s="13"/>
      <c r="D302" s="13"/>
    </row>
    <row r="303" spans="1:4" ht="13" x14ac:dyDescent="0.15">
      <c r="A303" s="10"/>
      <c r="B303" s="13"/>
      <c r="C303" s="13"/>
      <c r="D303" s="13"/>
    </row>
    <row r="304" spans="1:4" ht="13" x14ac:dyDescent="0.15">
      <c r="A304" s="10"/>
      <c r="B304" s="13"/>
      <c r="C304" s="13"/>
      <c r="D304" s="13"/>
    </row>
    <row r="305" spans="1:4" ht="13" x14ac:dyDescent="0.15">
      <c r="A305" s="10"/>
      <c r="B305" s="13"/>
      <c r="C305" s="13"/>
      <c r="D305" s="13"/>
    </row>
    <row r="306" spans="1:4" ht="13" x14ac:dyDescent="0.15">
      <c r="A306" s="10"/>
      <c r="B306" s="13"/>
      <c r="C306" s="13"/>
      <c r="D306" s="13"/>
    </row>
    <row r="307" spans="1:4" ht="13" x14ac:dyDescent="0.15">
      <c r="A307" s="10"/>
      <c r="B307" s="13"/>
      <c r="C307" s="13"/>
      <c r="D307" s="13"/>
    </row>
    <row r="308" spans="1:4" ht="13" x14ac:dyDescent="0.15">
      <c r="A308" s="10"/>
      <c r="B308" s="13"/>
      <c r="C308" s="13"/>
      <c r="D308" s="13"/>
    </row>
    <row r="309" spans="1:4" ht="13" x14ac:dyDescent="0.15">
      <c r="A309" s="10"/>
      <c r="B309" s="13"/>
      <c r="C309" s="13"/>
      <c r="D309" s="13"/>
    </row>
    <row r="310" spans="1:4" ht="13" x14ac:dyDescent="0.15">
      <c r="A310" s="10"/>
      <c r="B310" s="13"/>
      <c r="C310" s="13"/>
      <c r="D310" s="13"/>
    </row>
    <row r="311" spans="1:4" ht="13" x14ac:dyDescent="0.15">
      <c r="A311" s="10"/>
      <c r="B311" s="13"/>
      <c r="C311" s="13"/>
      <c r="D311" s="13"/>
    </row>
    <row r="312" spans="1:4" ht="13" x14ac:dyDescent="0.15">
      <c r="A312" s="10"/>
      <c r="B312" s="13"/>
      <c r="C312" s="13"/>
      <c r="D312" s="13"/>
    </row>
    <row r="313" spans="1:4" ht="13" x14ac:dyDescent="0.15">
      <c r="A313" s="10"/>
      <c r="B313" s="13"/>
      <c r="C313" s="13"/>
      <c r="D313" s="13"/>
    </row>
    <row r="314" spans="1:4" ht="13" x14ac:dyDescent="0.15">
      <c r="A314" s="10"/>
      <c r="B314" s="13"/>
      <c r="C314" s="13"/>
      <c r="D314" s="13"/>
    </row>
    <row r="315" spans="1:4" ht="13" x14ac:dyDescent="0.15">
      <c r="A315" s="10"/>
      <c r="B315" s="13"/>
      <c r="C315" s="13"/>
      <c r="D315" s="13"/>
    </row>
    <row r="316" spans="1:4" ht="13" x14ac:dyDescent="0.15">
      <c r="A316" s="10"/>
      <c r="B316" s="13"/>
      <c r="C316" s="13"/>
      <c r="D316" s="13"/>
    </row>
    <row r="317" spans="1:4" ht="13" x14ac:dyDescent="0.15">
      <c r="A317" s="10"/>
      <c r="B317" s="13"/>
      <c r="C317" s="13"/>
      <c r="D317" s="13"/>
    </row>
    <row r="318" spans="1:4" ht="13" x14ac:dyDescent="0.15">
      <c r="A318" s="10"/>
      <c r="B318" s="13"/>
      <c r="C318" s="13"/>
      <c r="D318" s="13"/>
    </row>
    <row r="319" spans="1:4" ht="13" x14ac:dyDescent="0.15">
      <c r="A319" s="10"/>
      <c r="B319" s="13"/>
      <c r="C319" s="13"/>
      <c r="D319" s="13"/>
    </row>
    <row r="320" spans="1:4" ht="13" x14ac:dyDescent="0.15">
      <c r="A320" s="10"/>
      <c r="B320" s="13"/>
      <c r="C320" s="13"/>
      <c r="D320" s="13"/>
    </row>
    <row r="321" spans="1:4" ht="13" x14ac:dyDescent="0.15">
      <c r="A321" s="10"/>
      <c r="B321" s="13"/>
      <c r="C321" s="13"/>
      <c r="D321" s="13"/>
    </row>
    <row r="322" spans="1:4" ht="13" x14ac:dyDescent="0.15">
      <c r="A322" s="10"/>
      <c r="B322" s="13"/>
      <c r="C322" s="13"/>
      <c r="D322" s="13"/>
    </row>
    <row r="323" spans="1:4" ht="13" x14ac:dyDescent="0.15">
      <c r="A323" s="10"/>
      <c r="B323" s="13"/>
      <c r="C323" s="13"/>
      <c r="D323" s="13"/>
    </row>
    <row r="324" spans="1:4" ht="13" x14ac:dyDescent="0.15">
      <c r="A324" s="10"/>
      <c r="B324" s="13"/>
      <c r="C324" s="13"/>
      <c r="D324" s="13"/>
    </row>
    <row r="325" spans="1:4" ht="13" x14ac:dyDescent="0.15">
      <c r="A325" s="10"/>
      <c r="B325" s="13"/>
      <c r="C325" s="13"/>
      <c r="D325" s="13"/>
    </row>
    <row r="326" spans="1:4" ht="13" x14ac:dyDescent="0.15">
      <c r="A326" s="10"/>
      <c r="B326" s="13"/>
      <c r="C326" s="13"/>
      <c r="D326" s="13"/>
    </row>
    <row r="327" spans="1:4" ht="13" x14ac:dyDescent="0.15">
      <c r="A327" s="10"/>
      <c r="B327" s="13"/>
      <c r="C327" s="13"/>
      <c r="D327" s="13"/>
    </row>
    <row r="328" spans="1:4" ht="13" x14ac:dyDescent="0.15">
      <c r="A328" s="10"/>
      <c r="B328" s="13"/>
      <c r="C328" s="13"/>
      <c r="D328" s="13"/>
    </row>
    <row r="329" spans="1:4" ht="13" x14ac:dyDescent="0.15">
      <c r="A329" s="10"/>
      <c r="B329" s="13"/>
      <c r="C329" s="13"/>
      <c r="D329" s="13"/>
    </row>
    <row r="330" spans="1:4" ht="13" x14ac:dyDescent="0.15">
      <c r="A330" s="10"/>
      <c r="B330" s="13"/>
      <c r="C330" s="13"/>
      <c r="D330" s="13"/>
    </row>
    <row r="331" spans="1:4" ht="13" x14ac:dyDescent="0.15">
      <c r="A331" s="10"/>
      <c r="B331" s="13"/>
      <c r="C331" s="13"/>
      <c r="D331" s="13"/>
    </row>
    <row r="332" spans="1:4" ht="13" x14ac:dyDescent="0.15">
      <c r="A332" s="10"/>
      <c r="B332" s="13"/>
      <c r="C332" s="13"/>
      <c r="D332" s="13"/>
    </row>
    <row r="333" spans="1:4" ht="13" x14ac:dyDescent="0.15">
      <c r="A333" s="10"/>
      <c r="B333" s="13"/>
      <c r="C333" s="13"/>
      <c r="D333" s="13"/>
    </row>
    <row r="334" spans="1:4" ht="13" x14ac:dyDescent="0.15">
      <c r="A334" s="10"/>
      <c r="B334" s="13"/>
      <c r="C334" s="13"/>
      <c r="D334" s="13"/>
    </row>
    <row r="335" spans="1:4" ht="13" x14ac:dyDescent="0.15">
      <c r="A335" s="10"/>
      <c r="B335" s="13"/>
      <c r="C335" s="13"/>
      <c r="D335" s="13"/>
    </row>
    <row r="336" spans="1:4" ht="13" x14ac:dyDescent="0.15">
      <c r="A336" s="10"/>
      <c r="B336" s="13"/>
      <c r="C336" s="13"/>
      <c r="D336" s="13"/>
    </row>
    <row r="337" spans="1:4" ht="13" x14ac:dyDescent="0.15">
      <c r="A337" s="10"/>
      <c r="B337" s="13"/>
      <c r="C337" s="13"/>
      <c r="D337" s="13"/>
    </row>
    <row r="338" spans="1:4" ht="13" x14ac:dyDescent="0.15">
      <c r="A338" s="10"/>
      <c r="B338" s="13"/>
      <c r="C338" s="13"/>
      <c r="D338" s="13"/>
    </row>
    <row r="339" spans="1:4" ht="13" x14ac:dyDescent="0.15">
      <c r="A339" s="10"/>
      <c r="B339" s="13"/>
      <c r="C339" s="13"/>
      <c r="D339" s="13"/>
    </row>
    <row r="340" spans="1:4" ht="13" x14ac:dyDescent="0.15">
      <c r="A340" s="10"/>
      <c r="B340" s="13"/>
      <c r="C340" s="13"/>
      <c r="D340" s="13"/>
    </row>
    <row r="341" spans="1:4" ht="13" x14ac:dyDescent="0.15">
      <c r="A341" s="10"/>
      <c r="B341" s="13"/>
      <c r="C341" s="13"/>
      <c r="D341" s="13"/>
    </row>
    <row r="342" spans="1:4" ht="13" x14ac:dyDescent="0.15">
      <c r="A342" s="10"/>
      <c r="B342" s="13"/>
      <c r="C342" s="13"/>
      <c r="D342" s="13"/>
    </row>
    <row r="343" spans="1:4" ht="13" x14ac:dyDescent="0.15">
      <c r="A343" s="10"/>
      <c r="B343" s="13"/>
      <c r="C343" s="13"/>
      <c r="D343" s="13"/>
    </row>
    <row r="344" spans="1:4" ht="13" x14ac:dyDescent="0.15">
      <c r="A344" s="10"/>
      <c r="B344" s="13"/>
      <c r="C344" s="13"/>
      <c r="D344" s="13"/>
    </row>
    <row r="345" spans="1:4" ht="13" x14ac:dyDescent="0.15">
      <c r="A345" s="10"/>
      <c r="B345" s="13"/>
      <c r="C345" s="13"/>
      <c r="D345" s="13"/>
    </row>
    <row r="346" spans="1:4" ht="13" x14ac:dyDescent="0.15">
      <c r="A346" s="10"/>
      <c r="B346" s="13"/>
      <c r="C346" s="13"/>
      <c r="D346" s="13"/>
    </row>
    <row r="347" spans="1:4" ht="13" x14ac:dyDescent="0.15">
      <c r="A347" s="10"/>
      <c r="B347" s="13"/>
      <c r="C347" s="13"/>
      <c r="D347" s="13"/>
    </row>
    <row r="348" spans="1:4" ht="13" x14ac:dyDescent="0.15">
      <c r="A348" s="10"/>
      <c r="B348" s="13"/>
      <c r="C348" s="13"/>
      <c r="D348" s="13"/>
    </row>
    <row r="349" spans="1:4" ht="13" x14ac:dyDescent="0.15">
      <c r="A349" s="10"/>
      <c r="B349" s="13"/>
      <c r="C349" s="13"/>
      <c r="D349" s="13"/>
    </row>
    <row r="350" spans="1:4" ht="13" x14ac:dyDescent="0.15">
      <c r="A350" s="10"/>
      <c r="B350" s="13"/>
      <c r="C350" s="13"/>
      <c r="D350" s="13"/>
    </row>
    <row r="351" spans="1:4" ht="13" x14ac:dyDescent="0.15">
      <c r="A351" s="10"/>
      <c r="B351" s="13"/>
      <c r="C351" s="13"/>
      <c r="D351" s="13"/>
    </row>
    <row r="352" spans="1:4" ht="13" x14ac:dyDescent="0.15">
      <c r="A352" s="10"/>
      <c r="B352" s="13"/>
      <c r="C352" s="13"/>
      <c r="D352" s="13"/>
    </row>
    <row r="353" spans="1:4" ht="13" x14ac:dyDescent="0.15">
      <c r="A353" s="10"/>
      <c r="B353" s="13"/>
      <c r="C353" s="13"/>
      <c r="D353" s="13"/>
    </row>
    <row r="354" spans="1:4" ht="13" x14ac:dyDescent="0.15">
      <c r="A354" s="10"/>
      <c r="B354" s="13"/>
      <c r="C354" s="13"/>
      <c r="D354" s="13"/>
    </row>
    <row r="355" spans="1:4" ht="13" x14ac:dyDescent="0.15">
      <c r="A355" s="10"/>
      <c r="B355" s="13"/>
      <c r="C355" s="13"/>
      <c r="D355" s="13"/>
    </row>
    <row r="356" spans="1:4" ht="13" x14ac:dyDescent="0.15">
      <c r="A356" s="10"/>
      <c r="B356" s="13"/>
      <c r="C356" s="13"/>
      <c r="D356" s="13"/>
    </row>
    <row r="357" spans="1:4" ht="13" x14ac:dyDescent="0.15">
      <c r="A357" s="10"/>
      <c r="B357" s="13"/>
      <c r="C357" s="13"/>
      <c r="D357" s="13"/>
    </row>
    <row r="358" spans="1:4" ht="13" x14ac:dyDescent="0.15">
      <c r="A358" s="10"/>
      <c r="B358" s="13"/>
      <c r="C358" s="13"/>
      <c r="D358" s="13"/>
    </row>
    <row r="359" spans="1:4" ht="13" x14ac:dyDescent="0.15">
      <c r="A359" s="10"/>
      <c r="B359" s="13"/>
      <c r="C359" s="13"/>
      <c r="D359" s="13"/>
    </row>
    <row r="360" spans="1:4" ht="13" x14ac:dyDescent="0.15">
      <c r="A360" s="10"/>
      <c r="B360" s="13"/>
      <c r="C360" s="13"/>
      <c r="D360" s="13"/>
    </row>
    <row r="361" spans="1:4" ht="13" x14ac:dyDescent="0.15">
      <c r="A361" s="10"/>
      <c r="B361" s="13"/>
      <c r="C361" s="13"/>
      <c r="D361" s="13"/>
    </row>
    <row r="362" spans="1:4" ht="13" x14ac:dyDescent="0.15">
      <c r="A362" s="10"/>
      <c r="B362" s="13"/>
      <c r="C362" s="13"/>
      <c r="D362" s="13"/>
    </row>
    <row r="363" spans="1:4" ht="13" x14ac:dyDescent="0.15">
      <c r="A363" s="10"/>
      <c r="B363" s="13"/>
      <c r="C363" s="13"/>
      <c r="D363" s="13"/>
    </row>
    <row r="364" spans="1:4" ht="13" x14ac:dyDescent="0.15">
      <c r="A364" s="10"/>
      <c r="B364" s="13"/>
      <c r="C364" s="13"/>
      <c r="D364" s="13"/>
    </row>
    <row r="365" spans="1:4" ht="13" x14ac:dyDescent="0.15">
      <c r="A365" s="10"/>
      <c r="B365" s="13"/>
      <c r="C365" s="13"/>
      <c r="D365" s="13"/>
    </row>
    <row r="366" spans="1:4" ht="13" x14ac:dyDescent="0.15">
      <c r="A366" s="10"/>
      <c r="B366" s="13"/>
      <c r="C366" s="13"/>
      <c r="D366" s="13"/>
    </row>
    <row r="367" spans="1:4" ht="13" x14ac:dyDescent="0.15">
      <c r="A367" s="10"/>
      <c r="B367" s="13"/>
      <c r="C367" s="13"/>
      <c r="D367" s="13"/>
    </row>
    <row r="368" spans="1:4" ht="13" x14ac:dyDescent="0.15">
      <c r="A368" s="10"/>
      <c r="B368" s="13"/>
      <c r="C368" s="13"/>
      <c r="D368" s="13"/>
    </row>
    <row r="369" spans="1:4" ht="13" x14ac:dyDescent="0.15">
      <c r="A369" s="10"/>
      <c r="B369" s="13"/>
      <c r="C369" s="13"/>
      <c r="D369" s="13"/>
    </row>
    <row r="370" spans="1:4" ht="13" x14ac:dyDescent="0.15">
      <c r="A370" s="10"/>
      <c r="B370" s="13"/>
      <c r="C370" s="13"/>
      <c r="D370" s="13"/>
    </row>
    <row r="371" spans="1:4" ht="13" x14ac:dyDescent="0.15">
      <c r="A371" s="10"/>
      <c r="B371" s="13"/>
      <c r="C371" s="13"/>
      <c r="D371" s="13"/>
    </row>
    <row r="372" spans="1:4" ht="13" x14ac:dyDescent="0.15">
      <c r="A372" s="10"/>
      <c r="B372" s="13"/>
      <c r="C372" s="13"/>
      <c r="D372" s="13"/>
    </row>
    <row r="373" spans="1:4" ht="13" x14ac:dyDescent="0.15">
      <c r="A373" s="10"/>
      <c r="B373" s="13"/>
      <c r="C373" s="13"/>
      <c r="D373" s="13"/>
    </row>
    <row r="374" spans="1:4" ht="13" x14ac:dyDescent="0.15">
      <c r="A374" s="10"/>
      <c r="B374" s="13"/>
      <c r="C374" s="13"/>
      <c r="D374" s="13"/>
    </row>
    <row r="375" spans="1:4" ht="13" x14ac:dyDescent="0.15">
      <c r="A375" s="10"/>
      <c r="B375" s="13"/>
      <c r="C375" s="13"/>
      <c r="D375" s="13"/>
    </row>
    <row r="376" spans="1:4" ht="13" x14ac:dyDescent="0.15">
      <c r="A376" s="10"/>
      <c r="B376" s="13"/>
      <c r="C376" s="13"/>
      <c r="D376" s="13"/>
    </row>
    <row r="377" spans="1:4" ht="13" x14ac:dyDescent="0.15">
      <c r="A377" s="10"/>
      <c r="B377" s="13"/>
      <c r="C377" s="13"/>
      <c r="D377" s="13"/>
    </row>
    <row r="378" spans="1:4" ht="13" x14ac:dyDescent="0.15">
      <c r="A378" s="10"/>
      <c r="B378" s="13"/>
      <c r="C378" s="13"/>
      <c r="D378" s="13"/>
    </row>
    <row r="379" spans="1:4" ht="13" x14ac:dyDescent="0.15">
      <c r="A379" s="10"/>
      <c r="B379" s="13"/>
      <c r="C379" s="13"/>
      <c r="D379" s="13"/>
    </row>
    <row r="380" spans="1:4" ht="13" x14ac:dyDescent="0.15">
      <c r="A380" s="10"/>
      <c r="B380" s="13"/>
      <c r="C380" s="13"/>
      <c r="D380" s="13"/>
    </row>
    <row r="381" spans="1:4" ht="13" x14ac:dyDescent="0.15">
      <c r="A381" s="10"/>
      <c r="B381" s="13"/>
      <c r="C381" s="13"/>
      <c r="D381" s="13"/>
    </row>
    <row r="382" spans="1:4" ht="13" x14ac:dyDescent="0.15">
      <c r="A382" s="10"/>
      <c r="B382" s="13"/>
      <c r="C382" s="13"/>
      <c r="D382" s="13"/>
    </row>
    <row r="383" spans="1:4" ht="13" x14ac:dyDescent="0.15">
      <c r="A383" s="10"/>
      <c r="B383" s="13"/>
      <c r="C383" s="13"/>
      <c r="D383" s="13"/>
    </row>
    <row r="384" spans="1:4" ht="13" x14ac:dyDescent="0.15">
      <c r="A384" s="10"/>
      <c r="B384" s="13"/>
      <c r="C384" s="13"/>
      <c r="D384" s="13"/>
    </row>
    <row r="385" spans="1:4" ht="13" x14ac:dyDescent="0.15">
      <c r="A385" s="10"/>
      <c r="B385" s="13"/>
      <c r="C385" s="13"/>
      <c r="D385" s="13"/>
    </row>
    <row r="386" spans="1:4" ht="13" x14ac:dyDescent="0.15">
      <c r="A386" s="10"/>
      <c r="B386" s="13"/>
      <c r="C386" s="13"/>
      <c r="D386" s="13"/>
    </row>
    <row r="387" spans="1:4" ht="13" x14ac:dyDescent="0.15">
      <c r="A387" s="10"/>
      <c r="B387" s="13"/>
      <c r="C387" s="13"/>
      <c r="D387" s="13"/>
    </row>
    <row r="388" spans="1:4" ht="13" x14ac:dyDescent="0.15">
      <c r="A388" s="10"/>
      <c r="B388" s="13"/>
      <c r="C388" s="13"/>
      <c r="D388" s="13"/>
    </row>
    <row r="389" spans="1:4" ht="13" x14ac:dyDescent="0.15">
      <c r="A389" s="10"/>
      <c r="B389" s="13"/>
      <c r="C389" s="13"/>
      <c r="D389" s="13"/>
    </row>
    <row r="390" spans="1:4" ht="13" x14ac:dyDescent="0.15">
      <c r="A390" s="10"/>
      <c r="B390" s="13"/>
      <c r="C390" s="13"/>
      <c r="D390" s="13"/>
    </row>
    <row r="391" spans="1:4" ht="13" x14ac:dyDescent="0.15">
      <c r="A391" s="10"/>
      <c r="B391" s="13"/>
      <c r="C391" s="13"/>
      <c r="D391" s="13"/>
    </row>
    <row r="392" spans="1:4" ht="13" x14ac:dyDescent="0.15">
      <c r="A392" s="10"/>
      <c r="B392" s="13"/>
      <c r="C392" s="13"/>
      <c r="D392" s="13"/>
    </row>
    <row r="393" spans="1:4" ht="13" x14ac:dyDescent="0.15">
      <c r="A393" s="10"/>
      <c r="B393" s="13"/>
      <c r="C393" s="13"/>
      <c r="D393" s="13"/>
    </row>
    <row r="394" spans="1:4" ht="13" x14ac:dyDescent="0.15">
      <c r="A394" s="10"/>
      <c r="B394" s="13"/>
      <c r="C394" s="13"/>
      <c r="D394" s="13"/>
    </row>
    <row r="395" spans="1:4" ht="13" x14ac:dyDescent="0.15">
      <c r="A395" s="10"/>
      <c r="B395" s="13"/>
      <c r="C395" s="13"/>
      <c r="D395" s="13"/>
    </row>
    <row r="396" spans="1:4" ht="13" x14ac:dyDescent="0.15">
      <c r="A396" s="10"/>
      <c r="B396" s="13"/>
      <c r="C396" s="13"/>
      <c r="D396" s="13"/>
    </row>
    <row r="397" spans="1:4" ht="13" x14ac:dyDescent="0.15">
      <c r="A397" s="10"/>
      <c r="B397" s="13"/>
      <c r="C397" s="13"/>
      <c r="D397" s="13"/>
    </row>
    <row r="398" spans="1:4" ht="13" x14ac:dyDescent="0.15">
      <c r="A398" s="10"/>
      <c r="B398" s="13"/>
      <c r="C398" s="13"/>
      <c r="D398" s="13"/>
    </row>
    <row r="399" spans="1:4" ht="13" x14ac:dyDescent="0.15">
      <c r="A399" s="10"/>
      <c r="B399" s="13"/>
      <c r="C399" s="13"/>
      <c r="D399" s="13"/>
    </row>
    <row r="400" spans="1:4" ht="13" x14ac:dyDescent="0.15">
      <c r="A400" s="10"/>
      <c r="B400" s="13"/>
      <c r="C400" s="13"/>
      <c r="D400" s="13"/>
    </row>
    <row r="401" spans="1:4" ht="13" x14ac:dyDescent="0.15">
      <c r="A401" s="10"/>
      <c r="B401" s="13"/>
      <c r="C401" s="13"/>
      <c r="D401" s="13"/>
    </row>
    <row r="402" spans="1:4" ht="13" x14ac:dyDescent="0.15">
      <c r="A402" s="10"/>
      <c r="B402" s="13"/>
      <c r="C402" s="13"/>
      <c r="D402" s="13"/>
    </row>
    <row r="403" spans="1:4" ht="13" x14ac:dyDescent="0.15">
      <c r="A403" s="10"/>
      <c r="B403" s="13"/>
      <c r="C403" s="13"/>
      <c r="D403" s="13"/>
    </row>
    <row r="404" spans="1:4" ht="13" x14ac:dyDescent="0.15">
      <c r="A404" s="10"/>
      <c r="B404" s="13"/>
      <c r="C404" s="13"/>
      <c r="D404" s="13"/>
    </row>
    <row r="405" spans="1:4" ht="13" x14ac:dyDescent="0.15">
      <c r="A405" s="10"/>
      <c r="B405" s="13"/>
      <c r="C405" s="13"/>
      <c r="D405" s="13"/>
    </row>
    <row r="406" spans="1:4" ht="13" x14ac:dyDescent="0.15">
      <c r="A406" s="10"/>
      <c r="B406" s="13"/>
      <c r="C406" s="13"/>
      <c r="D406" s="13"/>
    </row>
    <row r="407" spans="1:4" ht="13" x14ac:dyDescent="0.15">
      <c r="A407" s="10"/>
      <c r="B407" s="13"/>
      <c r="C407" s="13"/>
      <c r="D407" s="13"/>
    </row>
    <row r="408" spans="1:4" ht="13" x14ac:dyDescent="0.15">
      <c r="A408" s="10"/>
      <c r="B408" s="13"/>
      <c r="C408" s="13"/>
      <c r="D408" s="13"/>
    </row>
    <row r="409" spans="1:4" ht="13" x14ac:dyDescent="0.15">
      <c r="A409" s="10"/>
      <c r="B409" s="13"/>
      <c r="C409" s="13"/>
      <c r="D409" s="13"/>
    </row>
    <row r="410" spans="1:4" ht="13" x14ac:dyDescent="0.15">
      <c r="A410" s="10"/>
      <c r="B410" s="13"/>
      <c r="C410" s="13"/>
      <c r="D410" s="13"/>
    </row>
    <row r="411" spans="1:4" ht="13" x14ac:dyDescent="0.15">
      <c r="A411" s="10"/>
      <c r="B411" s="13"/>
      <c r="C411" s="13"/>
      <c r="D411" s="13"/>
    </row>
    <row r="412" spans="1:4" ht="13" x14ac:dyDescent="0.15">
      <c r="A412" s="10"/>
      <c r="B412" s="13"/>
      <c r="C412" s="13"/>
      <c r="D412" s="13"/>
    </row>
    <row r="413" spans="1:4" ht="13" x14ac:dyDescent="0.15">
      <c r="A413" s="10"/>
      <c r="B413" s="13"/>
      <c r="C413" s="13"/>
      <c r="D413" s="13"/>
    </row>
    <row r="414" spans="1:4" ht="13" x14ac:dyDescent="0.15">
      <c r="A414" s="10"/>
      <c r="B414" s="13"/>
      <c r="C414" s="13"/>
      <c r="D414" s="13"/>
    </row>
    <row r="415" spans="1:4" ht="13" x14ac:dyDescent="0.15">
      <c r="A415" s="10"/>
      <c r="B415" s="13"/>
      <c r="C415" s="13"/>
      <c r="D415" s="13"/>
    </row>
    <row r="416" spans="1:4" ht="13" x14ac:dyDescent="0.15">
      <c r="A416" s="10"/>
      <c r="B416" s="13"/>
      <c r="C416" s="13"/>
      <c r="D416" s="13"/>
    </row>
    <row r="417" spans="1:4" ht="13" x14ac:dyDescent="0.15">
      <c r="A417" s="10"/>
      <c r="B417" s="13"/>
      <c r="C417" s="13"/>
      <c r="D417" s="13"/>
    </row>
    <row r="418" spans="1:4" ht="13" x14ac:dyDescent="0.15">
      <c r="A418" s="10"/>
      <c r="B418" s="13"/>
      <c r="C418" s="13"/>
      <c r="D418" s="13"/>
    </row>
    <row r="419" spans="1:4" ht="13" x14ac:dyDescent="0.15">
      <c r="A419" s="10"/>
      <c r="B419" s="13"/>
      <c r="C419" s="13"/>
      <c r="D419" s="13"/>
    </row>
    <row r="420" spans="1:4" ht="13" x14ac:dyDescent="0.15">
      <c r="A420" s="10"/>
      <c r="B420" s="13"/>
      <c r="C420" s="13"/>
      <c r="D420" s="13"/>
    </row>
    <row r="421" spans="1:4" ht="13" x14ac:dyDescent="0.15">
      <c r="A421" s="10"/>
      <c r="B421" s="13"/>
      <c r="C421" s="13"/>
      <c r="D421" s="13"/>
    </row>
    <row r="422" spans="1:4" ht="13" x14ac:dyDescent="0.15">
      <c r="A422" s="10"/>
      <c r="B422" s="13"/>
      <c r="C422" s="13"/>
      <c r="D422" s="13"/>
    </row>
    <row r="423" spans="1:4" ht="13" x14ac:dyDescent="0.15">
      <c r="A423" s="10"/>
      <c r="B423" s="13"/>
      <c r="C423" s="13"/>
      <c r="D423" s="13"/>
    </row>
    <row r="424" spans="1:4" ht="13" x14ac:dyDescent="0.15">
      <c r="A424" s="10"/>
      <c r="B424" s="13"/>
      <c r="C424" s="13"/>
      <c r="D424" s="13"/>
    </row>
    <row r="425" spans="1:4" ht="13" x14ac:dyDescent="0.15">
      <c r="A425" s="10"/>
      <c r="B425" s="13"/>
      <c r="C425" s="13"/>
      <c r="D425" s="13"/>
    </row>
    <row r="426" spans="1:4" ht="13" x14ac:dyDescent="0.15">
      <c r="A426" s="10"/>
      <c r="B426" s="13"/>
      <c r="C426" s="13"/>
      <c r="D426" s="13"/>
    </row>
    <row r="427" spans="1:4" ht="13" x14ac:dyDescent="0.15">
      <c r="A427" s="10"/>
      <c r="B427" s="13"/>
      <c r="C427" s="13"/>
      <c r="D427" s="13"/>
    </row>
    <row r="428" spans="1:4" ht="13" x14ac:dyDescent="0.15">
      <c r="A428" s="10"/>
      <c r="B428" s="13"/>
      <c r="C428" s="13"/>
      <c r="D428" s="13"/>
    </row>
    <row r="429" spans="1:4" ht="13" x14ac:dyDescent="0.15">
      <c r="A429" s="10"/>
      <c r="B429" s="13"/>
      <c r="C429" s="13"/>
      <c r="D429" s="13"/>
    </row>
    <row r="430" spans="1:4" ht="13" x14ac:dyDescent="0.15">
      <c r="A430" s="10"/>
      <c r="B430" s="13"/>
      <c r="C430" s="13"/>
      <c r="D430" s="13"/>
    </row>
    <row r="431" spans="1:4" ht="13" x14ac:dyDescent="0.15">
      <c r="A431" s="10"/>
      <c r="B431" s="13"/>
      <c r="C431" s="13"/>
      <c r="D431" s="13"/>
    </row>
    <row r="432" spans="1:4" ht="13" x14ac:dyDescent="0.15">
      <c r="A432" s="10"/>
      <c r="B432" s="13"/>
      <c r="C432" s="13"/>
      <c r="D432" s="13"/>
    </row>
    <row r="433" spans="1:4" ht="13" x14ac:dyDescent="0.15">
      <c r="A433" s="10"/>
      <c r="B433" s="13"/>
      <c r="C433" s="13"/>
      <c r="D433" s="13"/>
    </row>
    <row r="434" spans="1:4" ht="13" x14ac:dyDescent="0.15">
      <c r="A434" s="10"/>
      <c r="B434" s="13"/>
      <c r="C434" s="13"/>
      <c r="D434" s="13"/>
    </row>
    <row r="435" spans="1:4" ht="13" x14ac:dyDescent="0.15">
      <c r="A435" s="10"/>
      <c r="B435" s="13"/>
      <c r="C435" s="13"/>
      <c r="D435" s="13"/>
    </row>
    <row r="436" spans="1:4" ht="13" x14ac:dyDescent="0.15">
      <c r="A436" s="10"/>
      <c r="B436" s="13"/>
      <c r="C436" s="13"/>
      <c r="D436" s="13"/>
    </row>
    <row r="437" spans="1:4" ht="13" x14ac:dyDescent="0.15">
      <c r="A437" s="10"/>
      <c r="B437" s="13"/>
      <c r="C437" s="13"/>
      <c r="D437" s="13"/>
    </row>
    <row r="438" spans="1:4" ht="13" x14ac:dyDescent="0.15">
      <c r="A438" s="10"/>
      <c r="B438" s="13"/>
      <c r="C438" s="13"/>
      <c r="D438" s="13"/>
    </row>
    <row r="439" spans="1:4" ht="13" x14ac:dyDescent="0.15">
      <c r="A439" s="10"/>
      <c r="B439" s="13"/>
      <c r="C439" s="13"/>
      <c r="D439" s="13"/>
    </row>
    <row r="440" spans="1:4" ht="13" x14ac:dyDescent="0.15">
      <c r="A440" s="10"/>
      <c r="B440" s="13"/>
      <c r="C440" s="13"/>
      <c r="D440" s="13"/>
    </row>
    <row r="441" spans="1:4" ht="13" x14ac:dyDescent="0.15">
      <c r="A441" s="10"/>
      <c r="B441" s="13"/>
      <c r="C441" s="13"/>
      <c r="D441" s="13"/>
    </row>
    <row r="442" spans="1:4" ht="13" x14ac:dyDescent="0.15">
      <c r="A442" s="10"/>
      <c r="B442" s="13"/>
      <c r="C442" s="13"/>
      <c r="D442" s="13"/>
    </row>
    <row r="443" spans="1:4" ht="13" x14ac:dyDescent="0.15">
      <c r="A443" s="10"/>
      <c r="B443" s="13"/>
      <c r="C443" s="13"/>
      <c r="D443" s="13"/>
    </row>
    <row r="444" spans="1:4" ht="13" x14ac:dyDescent="0.15">
      <c r="A444" s="10"/>
      <c r="B444" s="13"/>
      <c r="C444" s="13"/>
      <c r="D444" s="13"/>
    </row>
    <row r="445" spans="1:4" ht="13" x14ac:dyDescent="0.15">
      <c r="A445" s="10"/>
      <c r="B445" s="13"/>
      <c r="C445" s="13"/>
      <c r="D445" s="13"/>
    </row>
    <row r="446" spans="1:4" ht="13" x14ac:dyDescent="0.15">
      <c r="A446" s="10"/>
      <c r="B446" s="13"/>
      <c r="C446" s="13"/>
      <c r="D446" s="13"/>
    </row>
    <row r="447" spans="1:4" ht="13" x14ac:dyDescent="0.15">
      <c r="A447" s="10"/>
      <c r="B447" s="13"/>
      <c r="C447" s="13"/>
      <c r="D447" s="13"/>
    </row>
    <row r="448" spans="1:4" ht="13" x14ac:dyDescent="0.15">
      <c r="A448" s="10"/>
      <c r="B448" s="13"/>
      <c r="C448" s="13"/>
      <c r="D448" s="13"/>
    </row>
    <row r="449" spans="1:4" ht="13" x14ac:dyDescent="0.15">
      <c r="A449" s="10"/>
      <c r="B449" s="13"/>
      <c r="C449" s="13"/>
      <c r="D449" s="13"/>
    </row>
    <row r="450" spans="1:4" ht="13" x14ac:dyDescent="0.15">
      <c r="A450" s="10"/>
      <c r="B450" s="13"/>
      <c r="C450" s="13"/>
      <c r="D450" s="13"/>
    </row>
    <row r="451" spans="1:4" ht="13" x14ac:dyDescent="0.15">
      <c r="A451" s="10"/>
      <c r="B451" s="13"/>
      <c r="C451" s="13"/>
      <c r="D451" s="13"/>
    </row>
    <row r="452" spans="1:4" ht="13" x14ac:dyDescent="0.15">
      <c r="A452" s="10"/>
      <c r="B452" s="13"/>
      <c r="C452" s="13"/>
      <c r="D452" s="13"/>
    </row>
    <row r="453" spans="1:4" ht="13" x14ac:dyDescent="0.15">
      <c r="A453" s="10"/>
      <c r="B453" s="13"/>
      <c r="C453" s="13"/>
      <c r="D453" s="13"/>
    </row>
    <row r="454" spans="1:4" ht="13" x14ac:dyDescent="0.15">
      <c r="A454" s="10"/>
      <c r="B454" s="13"/>
      <c r="C454" s="13"/>
      <c r="D454" s="13"/>
    </row>
    <row r="455" spans="1:4" ht="13" x14ac:dyDescent="0.15">
      <c r="A455" s="10"/>
      <c r="B455" s="13"/>
      <c r="C455" s="13"/>
      <c r="D455" s="13"/>
    </row>
    <row r="456" spans="1:4" ht="13" x14ac:dyDescent="0.15">
      <c r="A456" s="10"/>
      <c r="B456" s="13"/>
      <c r="C456" s="13"/>
      <c r="D456" s="13"/>
    </row>
    <row r="457" spans="1:4" ht="13" x14ac:dyDescent="0.15">
      <c r="A457" s="10"/>
      <c r="B457" s="13"/>
      <c r="C457" s="13"/>
      <c r="D457" s="13"/>
    </row>
    <row r="458" spans="1:4" ht="13" x14ac:dyDescent="0.15">
      <c r="A458" s="10"/>
      <c r="B458" s="13"/>
      <c r="C458" s="13"/>
      <c r="D458" s="13"/>
    </row>
    <row r="459" spans="1:4" ht="13" x14ac:dyDescent="0.15">
      <c r="A459" s="10"/>
      <c r="B459" s="13"/>
      <c r="C459" s="13"/>
      <c r="D459" s="13"/>
    </row>
    <row r="460" spans="1:4" ht="13" x14ac:dyDescent="0.15">
      <c r="A460" s="10"/>
      <c r="B460" s="13"/>
      <c r="C460" s="13"/>
      <c r="D460" s="13"/>
    </row>
    <row r="461" spans="1:4" ht="13" x14ac:dyDescent="0.15">
      <c r="A461" s="10"/>
      <c r="B461" s="13"/>
      <c r="C461" s="13"/>
      <c r="D461" s="13"/>
    </row>
    <row r="462" spans="1:4" ht="13" x14ac:dyDescent="0.15">
      <c r="A462" s="10"/>
      <c r="B462" s="13"/>
      <c r="C462" s="13"/>
      <c r="D462" s="13"/>
    </row>
    <row r="463" spans="1:4" ht="13" x14ac:dyDescent="0.15">
      <c r="A463" s="10"/>
      <c r="B463" s="13"/>
      <c r="C463" s="13"/>
      <c r="D463" s="13"/>
    </row>
    <row r="464" spans="1:4" ht="13" x14ac:dyDescent="0.15">
      <c r="A464" s="10"/>
      <c r="B464" s="13"/>
      <c r="C464" s="13"/>
      <c r="D464" s="13"/>
    </row>
    <row r="465" spans="1:4" ht="13" x14ac:dyDescent="0.15">
      <c r="A465" s="10"/>
      <c r="B465" s="13"/>
      <c r="C465" s="13"/>
      <c r="D465" s="13"/>
    </row>
    <row r="466" spans="1:4" ht="13" x14ac:dyDescent="0.15">
      <c r="A466" s="10"/>
      <c r="B466" s="13"/>
      <c r="C466" s="13"/>
      <c r="D466" s="13"/>
    </row>
    <row r="467" spans="1:4" ht="13" x14ac:dyDescent="0.15">
      <c r="A467" s="10"/>
      <c r="B467" s="13"/>
      <c r="C467" s="13"/>
      <c r="D467" s="13"/>
    </row>
    <row r="468" spans="1:4" ht="13" x14ac:dyDescent="0.15">
      <c r="A468" s="10"/>
      <c r="B468" s="13"/>
      <c r="C468" s="13"/>
      <c r="D468" s="13"/>
    </row>
    <row r="469" spans="1:4" ht="13" x14ac:dyDescent="0.15">
      <c r="A469" s="10"/>
      <c r="B469" s="13"/>
      <c r="C469" s="13"/>
      <c r="D469" s="13"/>
    </row>
    <row r="470" spans="1:4" ht="13" x14ac:dyDescent="0.15">
      <c r="A470" s="10"/>
      <c r="B470" s="13"/>
      <c r="C470" s="13"/>
      <c r="D470" s="13"/>
    </row>
    <row r="471" spans="1:4" ht="13" x14ac:dyDescent="0.15">
      <c r="A471" s="10"/>
      <c r="B471" s="13"/>
      <c r="C471" s="13"/>
      <c r="D471" s="13"/>
    </row>
    <row r="472" spans="1:4" ht="13" x14ac:dyDescent="0.15">
      <c r="A472" s="10"/>
      <c r="B472" s="13"/>
      <c r="C472" s="13"/>
      <c r="D472" s="13"/>
    </row>
    <row r="473" spans="1:4" ht="13" x14ac:dyDescent="0.15">
      <c r="A473" s="10"/>
      <c r="B473" s="13"/>
      <c r="C473" s="13"/>
      <c r="D473" s="13"/>
    </row>
    <row r="474" spans="1:4" ht="13" x14ac:dyDescent="0.15">
      <c r="A474" s="10"/>
      <c r="B474" s="13"/>
      <c r="C474" s="13"/>
      <c r="D474" s="13"/>
    </row>
    <row r="475" spans="1:4" ht="13" x14ac:dyDescent="0.15">
      <c r="A475" s="10"/>
      <c r="B475" s="13"/>
      <c r="C475" s="13"/>
      <c r="D475" s="13"/>
    </row>
    <row r="476" spans="1:4" ht="13" x14ac:dyDescent="0.15">
      <c r="A476" s="10"/>
      <c r="B476" s="13"/>
      <c r="C476" s="13"/>
      <c r="D476" s="13"/>
    </row>
    <row r="477" spans="1:4" ht="13" x14ac:dyDescent="0.15">
      <c r="A477" s="10"/>
      <c r="B477" s="13"/>
      <c r="C477" s="13"/>
      <c r="D477" s="13"/>
    </row>
    <row r="478" spans="1:4" ht="13" x14ac:dyDescent="0.15">
      <c r="A478" s="10"/>
      <c r="B478" s="13"/>
      <c r="C478" s="13"/>
      <c r="D478" s="13"/>
    </row>
    <row r="479" spans="1:4" ht="13" x14ac:dyDescent="0.15">
      <c r="A479" s="10"/>
      <c r="B479" s="13"/>
      <c r="C479" s="13"/>
      <c r="D479" s="13"/>
    </row>
    <row r="480" spans="1:4" ht="13" x14ac:dyDescent="0.15">
      <c r="A480" s="10"/>
      <c r="B480" s="13"/>
      <c r="C480" s="13"/>
      <c r="D480" s="13"/>
    </row>
    <row r="481" spans="1:4" ht="13" x14ac:dyDescent="0.15">
      <c r="A481" s="10"/>
      <c r="B481" s="13"/>
      <c r="C481" s="13"/>
      <c r="D481" s="13"/>
    </row>
    <row r="482" spans="1:4" ht="13" x14ac:dyDescent="0.15">
      <c r="A482" s="10"/>
      <c r="B482" s="13"/>
      <c r="C482" s="13"/>
      <c r="D482" s="13"/>
    </row>
    <row r="483" spans="1:4" ht="13" x14ac:dyDescent="0.15">
      <c r="A483" s="10"/>
      <c r="B483" s="13"/>
      <c r="C483" s="13"/>
      <c r="D483" s="13"/>
    </row>
    <row r="484" spans="1:4" ht="13" x14ac:dyDescent="0.15">
      <c r="A484" s="10"/>
      <c r="B484" s="13"/>
      <c r="C484" s="13"/>
      <c r="D484" s="13"/>
    </row>
    <row r="485" spans="1:4" ht="13" x14ac:dyDescent="0.15">
      <c r="A485" s="10"/>
      <c r="B485" s="13"/>
      <c r="C485" s="13"/>
      <c r="D485" s="13"/>
    </row>
    <row r="486" spans="1:4" ht="13" x14ac:dyDescent="0.15">
      <c r="A486" s="10"/>
      <c r="B486" s="13"/>
      <c r="C486" s="13"/>
      <c r="D486" s="13"/>
    </row>
    <row r="487" spans="1:4" ht="13" x14ac:dyDescent="0.15">
      <c r="A487" s="10"/>
      <c r="B487" s="13"/>
      <c r="C487" s="13"/>
      <c r="D487" s="13"/>
    </row>
    <row r="488" spans="1:4" ht="13" x14ac:dyDescent="0.15">
      <c r="A488" s="10"/>
      <c r="B488" s="13"/>
      <c r="C488" s="13"/>
      <c r="D488" s="13"/>
    </row>
    <row r="489" spans="1:4" ht="13" x14ac:dyDescent="0.15">
      <c r="A489" s="10"/>
      <c r="B489" s="13"/>
      <c r="C489" s="13"/>
      <c r="D489" s="13"/>
    </row>
    <row r="490" spans="1:4" ht="13" x14ac:dyDescent="0.15">
      <c r="A490" s="10"/>
      <c r="B490" s="13"/>
      <c r="C490" s="13"/>
      <c r="D490" s="13"/>
    </row>
    <row r="491" spans="1:4" ht="13" x14ac:dyDescent="0.15">
      <c r="A491" s="10"/>
      <c r="B491" s="13"/>
      <c r="C491" s="13"/>
      <c r="D491" s="13"/>
    </row>
    <row r="492" spans="1:4" ht="13" x14ac:dyDescent="0.15">
      <c r="A492" s="10"/>
      <c r="B492" s="13"/>
      <c r="C492" s="13"/>
      <c r="D492" s="13"/>
    </row>
    <row r="493" spans="1:4" ht="13" x14ac:dyDescent="0.15">
      <c r="A493" s="10"/>
      <c r="B493" s="13"/>
      <c r="C493" s="13"/>
      <c r="D493" s="13"/>
    </row>
    <row r="494" spans="1:4" ht="13" x14ac:dyDescent="0.15">
      <c r="A494" s="10"/>
      <c r="B494" s="13"/>
      <c r="C494" s="13"/>
      <c r="D494" s="13"/>
    </row>
    <row r="495" spans="1:4" ht="13" x14ac:dyDescent="0.15">
      <c r="A495" s="10"/>
      <c r="B495" s="13"/>
      <c r="C495" s="13"/>
      <c r="D495" s="13"/>
    </row>
    <row r="496" spans="1:4" ht="13" x14ac:dyDescent="0.15">
      <c r="A496" s="10"/>
      <c r="B496" s="13"/>
      <c r="C496" s="13"/>
      <c r="D496" s="13"/>
    </row>
    <row r="497" spans="1:4" ht="13" x14ac:dyDescent="0.15">
      <c r="A497" s="10"/>
      <c r="B497" s="13"/>
      <c r="C497" s="13"/>
      <c r="D497" s="13"/>
    </row>
    <row r="498" spans="1:4" ht="13" x14ac:dyDescent="0.15">
      <c r="A498" s="10"/>
      <c r="B498" s="13"/>
      <c r="C498" s="13"/>
      <c r="D498" s="13"/>
    </row>
    <row r="499" spans="1:4" ht="13" x14ac:dyDescent="0.15">
      <c r="A499" s="10"/>
      <c r="B499" s="13"/>
      <c r="C499" s="13"/>
      <c r="D499" s="13"/>
    </row>
    <row r="500" spans="1:4" ht="13" x14ac:dyDescent="0.15">
      <c r="A500" s="10"/>
      <c r="B500" s="13"/>
      <c r="C500" s="13"/>
      <c r="D500" s="13"/>
    </row>
    <row r="501" spans="1:4" ht="13" x14ac:dyDescent="0.15">
      <c r="A501" s="10"/>
      <c r="B501" s="13"/>
      <c r="C501" s="13"/>
      <c r="D501" s="13"/>
    </row>
    <row r="502" spans="1:4" ht="13" x14ac:dyDescent="0.15">
      <c r="A502" s="10"/>
      <c r="B502" s="13"/>
      <c r="C502" s="13"/>
      <c r="D502" s="13"/>
    </row>
    <row r="503" spans="1:4" ht="13" x14ac:dyDescent="0.15">
      <c r="A503" s="10"/>
      <c r="B503" s="13"/>
      <c r="C503" s="13"/>
      <c r="D503" s="13"/>
    </row>
    <row r="504" spans="1:4" ht="13" x14ac:dyDescent="0.15">
      <c r="A504" s="10"/>
      <c r="B504" s="13"/>
      <c r="C504" s="13"/>
      <c r="D504" s="13"/>
    </row>
    <row r="505" spans="1:4" ht="13" x14ac:dyDescent="0.15">
      <c r="A505" s="10"/>
      <c r="B505" s="13"/>
      <c r="C505" s="13"/>
      <c r="D505" s="13"/>
    </row>
    <row r="506" spans="1:4" ht="13" x14ac:dyDescent="0.15">
      <c r="A506" s="10"/>
      <c r="B506" s="13"/>
      <c r="C506" s="13"/>
      <c r="D506" s="13"/>
    </row>
    <row r="507" spans="1:4" ht="13" x14ac:dyDescent="0.15">
      <c r="A507" s="10"/>
      <c r="B507" s="13"/>
      <c r="C507" s="13"/>
      <c r="D507" s="13"/>
    </row>
    <row r="508" spans="1:4" ht="13" x14ac:dyDescent="0.15">
      <c r="A508" s="10"/>
      <c r="B508" s="13"/>
      <c r="C508" s="13"/>
      <c r="D508" s="13"/>
    </row>
    <row r="509" spans="1:4" ht="13" x14ac:dyDescent="0.15">
      <c r="A509" s="10"/>
      <c r="B509" s="13"/>
      <c r="C509" s="13"/>
      <c r="D509" s="13"/>
    </row>
    <row r="510" spans="1:4" ht="13" x14ac:dyDescent="0.15">
      <c r="A510" s="10"/>
      <c r="B510" s="13"/>
      <c r="C510" s="13"/>
      <c r="D510" s="13"/>
    </row>
    <row r="511" spans="1:4" ht="13" x14ac:dyDescent="0.15">
      <c r="A511" s="10"/>
      <c r="B511" s="13"/>
      <c r="C511" s="13"/>
      <c r="D511" s="13"/>
    </row>
    <row r="512" spans="1:4" ht="13" x14ac:dyDescent="0.15">
      <c r="A512" s="10"/>
      <c r="B512" s="13"/>
      <c r="C512" s="13"/>
      <c r="D512" s="13"/>
    </row>
    <row r="513" spans="1:4" ht="13" x14ac:dyDescent="0.15">
      <c r="A513" s="10"/>
      <c r="B513" s="13"/>
      <c r="C513" s="13"/>
      <c r="D513" s="13"/>
    </row>
    <row r="514" spans="1:4" ht="13" x14ac:dyDescent="0.15">
      <c r="A514" s="10"/>
      <c r="B514" s="13"/>
      <c r="C514" s="13"/>
      <c r="D514" s="13"/>
    </row>
    <row r="515" spans="1:4" ht="13" x14ac:dyDescent="0.15">
      <c r="A515" s="10"/>
      <c r="B515" s="13"/>
      <c r="C515" s="13"/>
      <c r="D515" s="13"/>
    </row>
    <row r="516" spans="1:4" ht="13" x14ac:dyDescent="0.15">
      <c r="A516" s="10"/>
      <c r="B516" s="13"/>
      <c r="C516" s="13"/>
      <c r="D516" s="13"/>
    </row>
    <row r="517" spans="1:4" ht="13" x14ac:dyDescent="0.15">
      <c r="A517" s="10"/>
      <c r="B517" s="13"/>
      <c r="C517" s="13"/>
      <c r="D517" s="13"/>
    </row>
    <row r="518" spans="1:4" ht="13" x14ac:dyDescent="0.15">
      <c r="A518" s="10"/>
      <c r="B518" s="13"/>
      <c r="C518" s="13"/>
      <c r="D518" s="13"/>
    </row>
    <row r="519" spans="1:4" ht="13" x14ac:dyDescent="0.15">
      <c r="A519" s="10"/>
      <c r="B519" s="13"/>
      <c r="C519" s="13"/>
      <c r="D519" s="13"/>
    </row>
    <row r="520" spans="1:4" ht="13" x14ac:dyDescent="0.15">
      <c r="A520" s="10"/>
      <c r="B520" s="13"/>
      <c r="C520" s="13"/>
      <c r="D520" s="13"/>
    </row>
    <row r="521" spans="1:4" ht="13" x14ac:dyDescent="0.15">
      <c r="A521" s="10"/>
      <c r="B521" s="13"/>
      <c r="C521" s="13"/>
      <c r="D521" s="13"/>
    </row>
    <row r="522" spans="1:4" ht="13" x14ac:dyDescent="0.15">
      <c r="A522" s="10"/>
      <c r="B522" s="13"/>
      <c r="C522" s="13"/>
      <c r="D522" s="13"/>
    </row>
    <row r="523" spans="1:4" ht="13" x14ac:dyDescent="0.15">
      <c r="A523" s="10"/>
      <c r="B523" s="13"/>
      <c r="C523" s="13"/>
      <c r="D523" s="13"/>
    </row>
    <row r="524" spans="1:4" ht="13" x14ac:dyDescent="0.15">
      <c r="A524" s="10"/>
      <c r="B524" s="13"/>
      <c r="C524" s="13"/>
      <c r="D524" s="13"/>
    </row>
    <row r="525" spans="1:4" ht="13" x14ac:dyDescent="0.15">
      <c r="A525" s="10"/>
      <c r="B525" s="13"/>
      <c r="C525" s="13"/>
      <c r="D525" s="13"/>
    </row>
    <row r="526" spans="1:4" ht="13" x14ac:dyDescent="0.15">
      <c r="A526" s="10"/>
      <c r="B526" s="13"/>
      <c r="C526" s="13"/>
      <c r="D526" s="13"/>
    </row>
    <row r="527" spans="1:4" ht="13" x14ac:dyDescent="0.15">
      <c r="A527" s="10"/>
      <c r="B527" s="13"/>
      <c r="C527" s="13"/>
      <c r="D527" s="13"/>
    </row>
    <row r="528" spans="1:4" ht="13" x14ac:dyDescent="0.15">
      <c r="A528" s="10"/>
      <c r="B528" s="13"/>
      <c r="C528" s="13"/>
      <c r="D528" s="13"/>
    </row>
    <row r="529" spans="1:4" ht="13" x14ac:dyDescent="0.15">
      <c r="A529" s="10"/>
      <c r="B529" s="13"/>
      <c r="C529" s="13"/>
      <c r="D529" s="13"/>
    </row>
    <row r="530" spans="1:4" ht="13" x14ac:dyDescent="0.15">
      <c r="A530" s="10"/>
      <c r="B530" s="13"/>
      <c r="C530" s="13"/>
      <c r="D530" s="13"/>
    </row>
    <row r="531" spans="1:4" ht="13" x14ac:dyDescent="0.15">
      <c r="A531" s="10"/>
      <c r="B531" s="13"/>
      <c r="C531" s="13"/>
      <c r="D531" s="13"/>
    </row>
    <row r="532" spans="1:4" ht="13" x14ac:dyDescent="0.15">
      <c r="A532" s="10"/>
      <c r="B532" s="13"/>
      <c r="C532" s="13"/>
      <c r="D532" s="13"/>
    </row>
    <row r="533" spans="1:4" ht="13" x14ac:dyDescent="0.15">
      <c r="A533" s="10"/>
      <c r="B533" s="13"/>
      <c r="C533" s="13"/>
      <c r="D533" s="13"/>
    </row>
    <row r="534" spans="1:4" ht="13" x14ac:dyDescent="0.15">
      <c r="A534" s="10"/>
      <c r="B534" s="13"/>
      <c r="C534" s="13"/>
      <c r="D534" s="13"/>
    </row>
    <row r="535" spans="1:4" ht="13" x14ac:dyDescent="0.15">
      <c r="A535" s="10"/>
      <c r="B535" s="13"/>
      <c r="C535" s="13"/>
      <c r="D535" s="13"/>
    </row>
    <row r="536" spans="1:4" ht="13" x14ac:dyDescent="0.15">
      <c r="A536" s="10"/>
      <c r="B536" s="13"/>
      <c r="C536" s="13"/>
      <c r="D536" s="13"/>
    </row>
    <row r="537" spans="1:4" ht="13" x14ac:dyDescent="0.15">
      <c r="A537" s="10"/>
      <c r="B537" s="13"/>
      <c r="C537" s="13"/>
      <c r="D537" s="13"/>
    </row>
    <row r="538" spans="1:4" ht="13" x14ac:dyDescent="0.15">
      <c r="A538" s="10"/>
      <c r="B538" s="13"/>
      <c r="C538" s="13"/>
      <c r="D538" s="13"/>
    </row>
    <row r="539" spans="1:4" ht="13" x14ac:dyDescent="0.15">
      <c r="A539" s="10"/>
      <c r="B539" s="13"/>
      <c r="C539" s="13"/>
      <c r="D539" s="13"/>
    </row>
    <row r="540" spans="1:4" ht="13" x14ac:dyDescent="0.15">
      <c r="A540" s="10"/>
      <c r="B540" s="13"/>
      <c r="C540" s="13"/>
      <c r="D540" s="13"/>
    </row>
    <row r="541" spans="1:4" ht="13" x14ac:dyDescent="0.15">
      <c r="A541" s="10"/>
      <c r="B541" s="13"/>
      <c r="C541" s="13"/>
      <c r="D541" s="13"/>
    </row>
    <row r="542" spans="1:4" ht="13" x14ac:dyDescent="0.15">
      <c r="A542" s="10"/>
      <c r="B542" s="13"/>
      <c r="C542" s="13"/>
      <c r="D542" s="13"/>
    </row>
    <row r="543" spans="1:4" ht="13" x14ac:dyDescent="0.15">
      <c r="A543" s="10"/>
      <c r="B543" s="13"/>
      <c r="C543" s="13"/>
      <c r="D543" s="13"/>
    </row>
    <row r="544" spans="1:4" ht="13" x14ac:dyDescent="0.15">
      <c r="A544" s="10"/>
      <c r="B544" s="13"/>
      <c r="C544" s="13"/>
      <c r="D544" s="13"/>
    </row>
    <row r="545" spans="1:4" ht="13" x14ac:dyDescent="0.15">
      <c r="A545" s="10"/>
      <c r="B545" s="13"/>
      <c r="C545" s="13"/>
      <c r="D545" s="13"/>
    </row>
    <row r="546" spans="1:4" ht="13" x14ac:dyDescent="0.15">
      <c r="A546" s="10"/>
      <c r="B546" s="13"/>
      <c r="C546" s="13"/>
      <c r="D546" s="13"/>
    </row>
    <row r="547" spans="1:4" ht="13" x14ac:dyDescent="0.15">
      <c r="A547" s="10"/>
      <c r="B547" s="13"/>
      <c r="C547" s="13"/>
      <c r="D547" s="13"/>
    </row>
    <row r="548" spans="1:4" ht="13" x14ac:dyDescent="0.15">
      <c r="A548" s="10"/>
      <c r="B548" s="13"/>
      <c r="C548" s="13"/>
      <c r="D548" s="13"/>
    </row>
    <row r="549" spans="1:4" ht="13" x14ac:dyDescent="0.15">
      <c r="A549" s="10"/>
      <c r="B549" s="13"/>
      <c r="C549" s="13"/>
      <c r="D549" s="13"/>
    </row>
    <row r="550" spans="1:4" ht="13" x14ac:dyDescent="0.15">
      <c r="A550" s="10"/>
      <c r="B550" s="13"/>
      <c r="C550" s="13"/>
      <c r="D550" s="13"/>
    </row>
    <row r="551" spans="1:4" ht="13" x14ac:dyDescent="0.15">
      <c r="A551" s="10"/>
      <c r="B551" s="13"/>
      <c r="C551" s="13"/>
      <c r="D551" s="13"/>
    </row>
    <row r="552" spans="1:4" ht="13" x14ac:dyDescent="0.15">
      <c r="A552" s="10"/>
      <c r="B552" s="13"/>
      <c r="C552" s="13"/>
      <c r="D552" s="13"/>
    </row>
    <row r="553" spans="1:4" ht="13" x14ac:dyDescent="0.15">
      <c r="A553" s="10"/>
      <c r="B553" s="13"/>
      <c r="C553" s="13"/>
      <c r="D553" s="13"/>
    </row>
    <row r="554" spans="1:4" ht="13" x14ac:dyDescent="0.15">
      <c r="A554" s="10"/>
      <c r="B554" s="13"/>
      <c r="C554" s="13"/>
      <c r="D554" s="13"/>
    </row>
    <row r="555" spans="1:4" ht="13" x14ac:dyDescent="0.15">
      <c r="A555" s="10"/>
      <c r="B555" s="13"/>
      <c r="C555" s="13"/>
      <c r="D555" s="13"/>
    </row>
    <row r="556" spans="1:4" ht="13" x14ac:dyDescent="0.15">
      <c r="A556" s="10"/>
      <c r="B556" s="13"/>
      <c r="C556" s="13"/>
      <c r="D556" s="13"/>
    </row>
    <row r="557" spans="1:4" ht="13" x14ac:dyDescent="0.15">
      <c r="A557" s="10"/>
      <c r="B557" s="13"/>
      <c r="C557" s="13"/>
      <c r="D557" s="13"/>
    </row>
    <row r="558" spans="1:4" ht="13" x14ac:dyDescent="0.15">
      <c r="A558" s="10"/>
      <c r="B558" s="13"/>
      <c r="C558" s="13"/>
      <c r="D558" s="13"/>
    </row>
    <row r="559" spans="1:4" ht="13" x14ac:dyDescent="0.15">
      <c r="A559" s="10"/>
      <c r="B559" s="13"/>
      <c r="C559" s="13"/>
      <c r="D559" s="13"/>
    </row>
    <row r="560" spans="1:4" ht="13" x14ac:dyDescent="0.15">
      <c r="A560" s="10"/>
      <c r="B560" s="13"/>
      <c r="C560" s="13"/>
      <c r="D560" s="13"/>
    </row>
    <row r="561" spans="1:4" ht="13" x14ac:dyDescent="0.15">
      <c r="A561" s="10"/>
      <c r="B561" s="13"/>
      <c r="C561" s="13"/>
      <c r="D561" s="13"/>
    </row>
    <row r="562" spans="1:4" ht="13" x14ac:dyDescent="0.15">
      <c r="A562" s="10"/>
      <c r="B562" s="13"/>
      <c r="C562" s="13"/>
      <c r="D562" s="13"/>
    </row>
    <row r="563" spans="1:4" ht="13" x14ac:dyDescent="0.15">
      <c r="A563" s="10"/>
      <c r="B563" s="13"/>
      <c r="C563" s="13"/>
      <c r="D563" s="13"/>
    </row>
    <row r="564" spans="1:4" ht="13" x14ac:dyDescent="0.15">
      <c r="A564" s="10"/>
      <c r="B564" s="13"/>
      <c r="C564" s="13"/>
      <c r="D564" s="13"/>
    </row>
    <row r="565" spans="1:4" ht="13" x14ac:dyDescent="0.15">
      <c r="A565" s="10"/>
      <c r="B565" s="13"/>
      <c r="C565" s="13"/>
      <c r="D565" s="13"/>
    </row>
    <row r="566" spans="1:4" ht="13" x14ac:dyDescent="0.15">
      <c r="A566" s="10"/>
      <c r="B566" s="13"/>
      <c r="C566" s="13"/>
      <c r="D566" s="13"/>
    </row>
    <row r="567" spans="1:4" ht="13" x14ac:dyDescent="0.15">
      <c r="A567" s="10"/>
      <c r="B567" s="13"/>
      <c r="C567" s="13"/>
      <c r="D567" s="13"/>
    </row>
    <row r="568" spans="1:4" ht="13" x14ac:dyDescent="0.15">
      <c r="A568" s="10"/>
      <c r="B568" s="13"/>
      <c r="C568" s="13"/>
      <c r="D568" s="13"/>
    </row>
    <row r="569" spans="1:4" ht="13" x14ac:dyDescent="0.15">
      <c r="A569" s="10"/>
      <c r="B569" s="13"/>
      <c r="C569" s="13"/>
      <c r="D569" s="13"/>
    </row>
    <row r="570" spans="1:4" ht="13" x14ac:dyDescent="0.15">
      <c r="A570" s="10"/>
      <c r="B570" s="13"/>
      <c r="C570" s="13"/>
      <c r="D570" s="13"/>
    </row>
    <row r="571" spans="1:4" ht="13" x14ac:dyDescent="0.15">
      <c r="A571" s="10"/>
      <c r="B571" s="13"/>
      <c r="C571" s="13"/>
      <c r="D571" s="13"/>
    </row>
    <row r="572" spans="1:4" ht="13" x14ac:dyDescent="0.15">
      <c r="A572" s="10"/>
      <c r="B572" s="13"/>
      <c r="C572" s="13"/>
      <c r="D572" s="13"/>
    </row>
    <row r="573" spans="1:4" ht="13" x14ac:dyDescent="0.15">
      <c r="A573" s="10"/>
      <c r="B573" s="13"/>
      <c r="C573" s="13"/>
      <c r="D573" s="13"/>
    </row>
    <row r="574" spans="1:4" ht="13" x14ac:dyDescent="0.15">
      <c r="A574" s="10"/>
      <c r="B574" s="13"/>
      <c r="C574" s="13"/>
      <c r="D574" s="13"/>
    </row>
    <row r="575" spans="1:4" ht="13" x14ac:dyDescent="0.15">
      <c r="A575" s="10"/>
      <c r="B575" s="13"/>
      <c r="C575" s="13"/>
      <c r="D575" s="13"/>
    </row>
    <row r="576" spans="1:4" ht="13" x14ac:dyDescent="0.15">
      <c r="A576" s="10"/>
      <c r="B576" s="13"/>
      <c r="C576" s="13"/>
      <c r="D576" s="13"/>
    </row>
    <row r="577" spans="1:4" ht="13" x14ac:dyDescent="0.15">
      <c r="A577" s="10"/>
      <c r="B577" s="13"/>
      <c r="C577" s="13"/>
      <c r="D577" s="13"/>
    </row>
    <row r="578" spans="1:4" ht="13" x14ac:dyDescent="0.15">
      <c r="A578" s="10"/>
      <c r="B578" s="13"/>
      <c r="C578" s="13"/>
      <c r="D578" s="13"/>
    </row>
    <row r="579" spans="1:4" ht="13" x14ac:dyDescent="0.15">
      <c r="A579" s="10"/>
      <c r="B579" s="13"/>
      <c r="C579" s="13"/>
      <c r="D579" s="13"/>
    </row>
    <row r="580" spans="1:4" ht="13" x14ac:dyDescent="0.15">
      <c r="A580" s="10"/>
      <c r="B580" s="13"/>
      <c r="C580" s="13"/>
      <c r="D580" s="13"/>
    </row>
    <row r="581" spans="1:4" ht="13" x14ac:dyDescent="0.15">
      <c r="A581" s="10"/>
      <c r="B581" s="13"/>
      <c r="C581" s="13"/>
      <c r="D581" s="13"/>
    </row>
    <row r="582" spans="1:4" ht="13" x14ac:dyDescent="0.15">
      <c r="A582" s="10"/>
      <c r="B582" s="13"/>
      <c r="C582" s="13"/>
      <c r="D582" s="13"/>
    </row>
    <row r="583" spans="1:4" ht="13" x14ac:dyDescent="0.15">
      <c r="A583" s="10"/>
      <c r="B583" s="13"/>
      <c r="C583" s="13"/>
      <c r="D583" s="13"/>
    </row>
    <row r="584" spans="1:4" ht="13" x14ac:dyDescent="0.15">
      <c r="A584" s="10"/>
      <c r="B584" s="13"/>
      <c r="C584" s="13"/>
      <c r="D584" s="13"/>
    </row>
    <row r="585" spans="1:4" ht="13" x14ac:dyDescent="0.15">
      <c r="A585" s="10"/>
      <c r="B585" s="13"/>
      <c r="C585" s="13"/>
      <c r="D585" s="13"/>
    </row>
    <row r="586" spans="1:4" ht="13" x14ac:dyDescent="0.15">
      <c r="A586" s="10"/>
      <c r="B586" s="13"/>
      <c r="C586" s="13"/>
      <c r="D586" s="13"/>
    </row>
    <row r="587" spans="1:4" ht="13" x14ac:dyDescent="0.15">
      <c r="A587" s="10"/>
      <c r="B587" s="13"/>
      <c r="C587" s="13"/>
      <c r="D587" s="13"/>
    </row>
    <row r="588" spans="1:4" ht="13" x14ac:dyDescent="0.15">
      <c r="A588" s="10"/>
      <c r="B588" s="13"/>
      <c r="C588" s="13"/>
      <c r="D588" s="13"/>
    </row>
    <row r="589" spans="1:4" ht="13" x14ac:dyDescent="0.15">
      <c r="A589" s="10"/>
      <c r="B589" s="13"/>
      <c r="C589" s="13"/>
      <c r="D589" s="13"/>
    </row>
    <row r="590" spans="1:4" ht="13" x14ac:dyDescent="0.15">
      <c r="A590" s="10"/>
      <c r="B590" s="13"/>
      <c r="C590" s="13"/>
      <c r="D590" s="13"/>
    </row>
    <row r="591" spans="1:4" ht="13" x14ac:dyDescent="0.15">
      <c r="A591" s="10"/>
      <c r="B591" s="13"/>
      <c r="C591" s="13"/>
      <c r="D591" s="13"/>
    </row>
    <row r="592" spans="1:4" ht="13" x14ac:dyDescent="0.15">
      <c r="A592" s="10"/>
      <c r="B592" s="13"/>
      <c r="C592" s="13"/>
      <c r="D592" s="13"/>
    </row>
    <row r="593" spans="1:4" ht="13" x14ac:dyDescent="0.15">
      <c r="A593" s="10"/>
      <c r="B593" s="13"/>
      <c r="C593" s="13"/>
      <c r="D593" s="13"/>
    </row>
    <row r="594" spans="1:4" ht="13" x14ac:dyDescent="0.15">
      <c r="A594" s="10"/>
      <c r="B594" s="13"/>
      <c r="C594" s="13"/>
      <c r="D594" s="13"/>
    </row>
    <row r="595" spans="1:4" ht="13" x14ac:dyDescent="0.15">
      <c r="A595" s="10"/>
      <c r="B595" s="13"/>
      <c r="C595" s="13"/>
      <c r="D595" s="13"/>
    </row>
    <row r="596" spans="1:4" ht="13" x14ac:dyDescent="0.15">
      <c r="A596" s="10"/>
      <c r="B596" s="13"/>
      <c r="C596" s="13"/>
      <c r="D596" s="13"/>
    </row>
    <row r="597" spans="1:4" ht="13" x14ac:dyDescent="0.15">
      <c r="A597" s="10"/>
      <c r="B597" s="13"/>
      <c r="C597" s="13"/>
      <c r="D597" s="13"/>
    </row>
    <row r="598" spans="1:4" ht="13" x14ac:dyDescent="0.15">
      <c r="A598" s="10"/>
      <c r="B598" s="13"/>
      <c r="C598" s="13"/>
      <c r="D598" s="13"/>
    </row>
    <row r="599" spans="1:4" ht="13" x14ac:dyDescent="0.15">
      <c r="A599" s="10"/>
      <c r="B599" s="13"/>
      <c r="C599" s="13"/>
      <c r="D599" s="13"/>
    </row>
    <row r="600" spans="1:4" ht="13" x14ac:dyDescent="0.15">
      <c r="A600" s="10"/>
      <c r="B600" s="13"/>
      <c r="C600" s="13"/>
      <c r="D600" s="13"/>
    </row>
    <row r="601" spans="1:4" ht="13" x14ac:dyDescent="0.15">
      <c r="A601" s="10"/>
      <c r="B601" s="13"/>
      <c r="C601" s="13"/>
      <c r="D601" s="13"/>
    </row>
    <row r="602" spans="1:4" ht="13" x14ac:dyDescent="0.15">
      <c r="A602" s="10"/>
      <c r="B602" s="13"/>
      <c r="C602" s="13"/>
      <c r="D602" s="13"/>
    </row>
    <row r="603" spans="1:4" ht="13" x14ac:dyDescent="0.15">
      <c r="A603" s="10"/>
      <c r="B603" s="13"/>
      <c r="C603" s="13"/>
      <c r="D603" s="13"/>
    </row>
    <row r="604" spans="1:4" ht="13" x14ac:dyDescent="0.15">
      <c r="A604" s="10"/>
      <c r="B604" s="13"/>
      <c r="C604" s="13"/>
      <c r="D604" s="13"/>
    </row>
    <row r="605" spans="1:4" ht="13" x14ac:dyDescent="0.15">
      <c r="A605" s="10"/>
      <c r="B605" s="13"/>
      <c r="C605" s="13"/>
      <c r="D605" s="13"/>
    </row>
    <row r="606" spans="1:4" ht="13" x14ac:dyDescent="0.15">
      <c r="A606" s="10"/>
      <c r="B606" s="13"/>
      <c r="C606" s="13"/>
      <c r="D606" s="13"/>
    </row>
    <row r="607" spans="1:4" ht="13" x14ac:dyDescent="0.15">
      <c r="A607" s="10"/>
      <c r="B607" s="13"/>
      <c r="C607" s="13"/>
      <c r="D607" s="13"/>
    </row>
    <row r="608" spans="1:4" ht="13" x14ac:dyDescent="0.15">
      <c r="A608" s="10"/>
      <c r="B608" s="13"/>
      <c r="C608" s="13"/>
      <c r="D608" s="13"/>
    </row>
    <row r="609" spans="1:4" ht="13" x14ac:dyDescent="0.15">
      <c r="A609" s="10"/>
      <c r="B609" s="13"/>
      <c r="C609" s="13"/>
      <c r="D609" s="13"/>
    </row>
    <row r="610" spans="1:4" ht="13" x14ac:dyDescent="0.15">
      <c r="A610" s="10"/>
      <c r="B610" s="13"/>
      <c r="C610" s="13"/>
      <c r="D610" s="13"/>
    </row>
    <row r="611" spans="1:4" ht="13" x14ac:dyDescent="0.15">
      <c r="A611" s="10"/>
      <c r="B611" s="13"/>
      <c r="C611" s="13"/>
      <c r="D611" s="13"/>
    </row>
    <row r="612" spans="1:4" ht="13" x14ac:dyDescent="0.15">
      <c r="A612" s="10"/>
      <c r="B612" s="13"/>
      <c r="C612" s="13"/>
      <c r="D612" s="13"/>
    </row>
    <row r="613" spans="1:4" ht="13" x14ac:dyDescent="0.15">
      <c r="A613" s="10"/>
      <c r="B613" s="13"/>
      <c r="C613" s="13"/>
      <c r="D613" s="13"/>
    </row>
    <row r="614" spans="1:4" ht="13" x14ac:dyDescent="0.15">
      <c r="A614" s="10"/>
      <c r="B614" s="13"/>
      <c r="C614" s="13"/>
      <c r="D614" s="13"/>
    </row>
    <row r="615" spans="1:4" ht="13" x14ac:dyDescent="0.15">
      <c r="A615" s="10"/>
      <c r="B615" s="13"/>
      <c r="C615" s="13"/>
      <c r="D615" s="13"/>
    </row>
    <row r="616" spans="1:4" ht="13" x14ac:dyDescent="0.15">
      <c r="A616" s="10"/>
      <c r="B616" s="13"/>
      <c r="C616" s="13"/>
      <c r="D616" s="13"/>
    </row>
    <row r="617" spans="1:4" ht="13" x14ac:dyDescent="0.15">
      <c r="A617" s="10"/>
      <c r="B617" s="13"/>
      <c r="C617" s="13"/>
      <c r="D617" s="13"/>
    </row>
    <row r="618" spans="1:4" ht="13" x14ac:dyDescent="0.15">
      <c r="A618" s="10"/>
      <c r="B618" s="13"/>
      <c r="C618" s="13"/>
      <c r="D618" s="13"/>
    </row>
    <row r="619" spans="1:4" ht="13" x14ac:dyDescent="0.15">
      <c r="A619" s="10"/>
      <c r="B619" s="13"/>
      <c r="C619" s="13"/>
      <c r="D619" s="13"/>
    </row>
    <row r="620" spans="1:4" ht="13" x14ac:dyDescent="0.15">
      <c r="A620" s="10"/>
      <c r="B620" s="13"/>
      <c r="C620" s="13"/>
      <c r="D620" s="13"/>
    </row>
    <row r="621" spans="1:4" ht="13" x14ac:dyDescent="0.15">
      <c r="A621" s="10"/>
      <c r="B621" s="13"/>
      <c r="C621" s="13"/>
      <c r="D621" s="13"/>
    </row>
    <row r="622" spans="1:4" ht="13" x14ac:dyDescent="0.15">
      <c r="A622" s="10"/>
      <c r="B622" s="13"/>
      <c r="C622" s="13"/>
      <c r="D622" s="13"/>
    </row>
    <row r="623" spans="1:4" ht="13" x14ac:dyDescent="0.15">
      <c r="A623" s="10"/>
      <c r="B623" s="13"/>
      <c r="C623" s="13"/>
      <c r="D623" s="13"/>
    </row>
    <row r="624" spans="1:4" ht="13" x14ac:dyDescent="0.15">
      <c r="A624" s="10"/>
      <c r="B624" s="13"/>
      <c r="C624" s="13"/>
      <c r="D624" s="13"/>
    </row>
    <row r="625" spans="1:4" ht="13" x14ac:dyDescent="0.15">
      <c r="A625" s="10"/>
      <c r="B625" s="13"/>
      <c r="C625" s="13"/>
      <c r="D625" s="13"/>
    </row>
    <row r="626" spans="1:4" ht="13" x14ac:dyDescent="0.15">
      <c r="A626" s="10"/>
      <c r="B626" s="13"/>
      <c r="C626" s="13"/>
      <c r="D626" s="13"/>
    </row>
    <row r="627" spans="1:4" ht="13" x14ac:dyDescent="0.15">
      <c r="A627" s="10"/>
      <c r="B627" s="13"/>
      <c r="C627" s="13"/>
      <c r="D627" s="13"/>
    </row>
    <row r="628" spans="1:4" ht="13" x14ac:dyDescent="0.15">
      <c r="A628" s="10"/>
      <c r="B628" s="13"/>
      <c r="C628" s="13"/>
      <c r="D628" s="13"/>
    </row>
    <row r="629" spans="1:4" ht="13" x14ac:dyDescent="0.15">
      <c r="A629" s="10"/>
      <c r="B629" s="13"/>
      <c r="C629" s="13"/>
      <c r="D629" s="13"/>
    </row>
    <row r="630" spans="1:4" ht="13" x14ac:dyDescent="0.15">
      <c r="A630" s="10"/>
      <c r="B630" s="13"/>
      <c r="C630" s="13"/>
      <c r="D630" s="13"/>
    </row>
    <row r="631" spans="1:4" ht="13" x14ac:dyDescent="0.15">
      <c r="A631" s="10"/>
      <c r="B631" s="13"/>
      <c r="C631" s="13"/>
      <c r="D631" s="13"/>
    </row>
    <row r="632" spans="1:4" ht="13" x14ac:dyDescent="0.15">
      <c r="A632" s="10"/>
      <c r="B632" s="13"/>
      <c r="C632" s="13"/>
      <c r="D632" s="13"/>
    </row>
    <row r="633" spans="1:4" ht="13" x14ac:dyDescent="0.15">
      <c r="A633" s="10"/>
      <c r="B633" s="13"/>
      <c r="C633" s="13"/>
      <c r="D633" s="13"/>
    </row>
    <row r="634" spans="1:4" ht="13" x14ac:dyDescent="0.15">
      <c r="A634" s="10"/>
      <c r="B634" s="13"/>
      <c r="C634" s="13"/>
      <c r="D634" s="13"/>
    </row>
    <row r="635" spans="1:4" ht="13" x14ac:dyDescent="0.15">
      <c r="A635" s="10"/>
      <c r="B635" s="13"/>
      <c r="C635" s="13"/>
      <c r="D635" s="13"/>
    </row>
    <row r="636" spans="1:4" ht="13" x14ac:dyDescent="0.15">
      <c r="A636" s="10"/>
      <c r="B636" s="13"/>
      <c r="C636" s="13"/>
      <c r="D636" s="13"/>
    </row>
    <row r="637" spans="1:4" ht="13" x14ac:dyDescent="0.15">
      <c r="A637" s="10"/>
      <c r="B637" s="13"/>
      <c r="C637" s="13"/>
      <c r="D637" s="13"/>
    </row>
    <row r="638" spans="1:4" ht="13" x14ac:dyDescent="0.15">
      <c r="A638" s="10"/>
      <c r="B638" s="13"/>
      <c r="C638" s="13"/>
      <c r="D638" s="13"/>
    </row>
    <row r="639" spans="1:4" ht="13" x14ac:dyDescent="0.15">
      <c r="A639" s="10"/>
      <c r="B639" s="13"/>
      <c r="C639" s="13"/>
      <c r="D639" s="13"/>
    </row>
    <row r="640" spans="1:4" ht="13" x14ac:dyDescent="0.15">
      <c r="A640" s="10"/>
      <c r="B640" s="13"/>
      <c r="C640" s="13"/>
      <c r="D640" s="13"/>
    </row>
    <row r="641" spans="1:4" ht="13" x14ac:dyDescent="0.15">
      <c r="A641" s="10"/>
      <c r="B641" s="13"/>
      <c r="C641" s="13"/>
      <c r="D641" s="13"/>
    </row>
    <row r="642" spans="1:4" ht="13" x14ac:dyDescent="0.15">
      <c r="A642" s="10"/>
      <c r="B642" s="13"/>
      <c r="C642" s="13"/>
      <c r="D642" s="13"/>
    </row>
    <row r="643" spans="1:4" ht="13" x14ac:dyDescent="0.15">
      <c r="A643" s="10"/>
      <c r="B643" s="13"/>
      <c r="C643" s="13"/>
      <c r="D643" s="13"/>
    </row>
    <row r="644" spans="1:4" ht="13" x14ac:dyDescent="0.15">
      <c r="A644" s="10"/>
      <c r="B644" s="13"/>
      <c r="C644" s="13"/>
      <c r="D644" s="13"/>
    </row>
    <row r="645" spans="1:4" ht="13" x14ac:dyDescent="0.15">
      <c r="A645" s="10"/>
      <c r="B645" s="13"/>
      <c r="C645" s="13"/>
      <c r="D645" s="13"/>
    </row>
    <row r="646" spans="1:4" ht="13" x14ac:dyDescent="0.15">
      <c r="A646" s="10"/>
      <c r="B646" s="13"/>
      <c r="C646" s="13"/>
      <c r="D646" s="13"/>
    </row>
    <row r="647" spans="1:4" ht="13" x14ac:dyDescent="0.15">
      <c r="A647" s="10"/>
      <c r="B647" s="13"/>
      <c r="C647" s="13"/>
      <c r="D647" s="13"/>
    </row>
    <row r="648" spans="1:4" ht="13" x14ac:dyDescent="0.15">
      <c r="A648" s="10"/>
      <c r="B648" s="13"/>
      <c r="C648" s="13"/>
      <c r="D648" s="13"/>
    </row>
    <row r="649" spans="1:4" ht="13" x14ac:dyDescent="0.15">
      <c r="A649" s="10"/>
      <c r="B649" s="13"/>
      <c r="C649" s="13"/>
      <c r="D649" s="13"/>
    </row>
    <row r="650" spans="1:4" ht="13" x14ac:dyDescent="0.15">
      <c r="A650" s="10"/>
      <c r="B650" s="13"/>
      <c r="C650" s="13"/>
      <c r="D650" s="13"/>
    </row>
    <row r="651" spans="1:4" ht="13" x14ac:dyDescent="0.15">
      <c r="A651" s="10"/>
      <c r="B651" s="13"/>
      <c r="C651" s="13"/>
      <c r="D651" s="13"/>
    </row>
    <row r="652" spans="1:4" ht="13" x14ac:dyDescent="0.15">
      <c r="A652" s="10"/>
      <c r="B652" s="13"/>
      <c r="C652" s="13"/>
      <c r="D652" s="13"/>
    </row>
    <row r="653" spans="1:4" ht="13" x14ac:dyDescent="0.15">
      <c r="A653" s="10"/>
      <c r="B653" s="13"/>
      <c r="C653" s="13"/>
      <c r="D653" s="13"/>
    </row>
    <row r="654" spans="1:4" ht="13" x14ac:dyDescent="0.15">
      <c r="A654" s="10"/>
      <c r="B654" s="13"/>
      <c r="C654" s="13"/>
      <c r="D654" s="13"/>
    </row>
    <row r="655" spans="1:4" ht="13" x14ac:dyDescent="0.15">
      <c r="A655" s="10"/>
      <c r="B655" s="13"/>
      <c r="C655" s="13"/>
      <c r="D655" s="13"/>
    </row>
    <row r="656" spans="1:4" ht="13" x14ac:dyDescent="0.15">
      <c r="A656" s="10"/>
      <c r="B656" s="13"/>
      <c r="C656" s="13"/>
      <c r="D656" s="13"/>
    </row>
    <row r="657" spans="1:4" ht="13" x14ac:dyDescent="0.15">
      <c r="A657" s="10"/>
      <c r="B657" s="13"/>
      <c r="C657" s="13"/>
      <c r="D657" s="13"/>
    </row>
    <row r="658" spans="1:4" ht="13" x14ac:dyDescent="0.15">
      <c r="A658" s="10"/>
      <c r="B658" s="13"/>
      <c r="C658" s="13"/>
      <c r="D658" s="13"/>
    </row>
    <row r="659" spans="1:4" ht="13" x14ac:dyDescent="0.15">
      <c r="A659" s="10"/>
      <c r="B659" s="13"/>
      <c r="C659" s="13"/>
      <c r="D659" s="13"/>
    </row>
    <row r="660" spans="1:4" ht="13" x14ac:dyDescent="0.15">
      <c r="A660" s="10"/>
      <c r="B660" s="13"/>
      <c r="C660" s="13"/>
      <c r="D660" s="13"/>
    </row>
    <row r="661" spans="1:4" ht="13" x14ac:dyDescent="0.15">
      <c r="A661" s="10"/>
      <c r="B661" s="13"/>
      <c r="C661" s="13"/>
      <c r="D661" s="13"/>
    </row>
    <row r="662" spans="1:4" ht="13" x14ac:dyDescent="0.15">
      <c r="A662" s="10"/>
      <c r="B662" s="13"/>
      <c r="C662" s="13"/>
      <c r="D662" s="13"/>
    </row>
    <row r="663" spans="1:4" ht="13" x14ac:dyDescent="0.15">
      <c r="A663" s="10"/>
      <c r="B663" s="13"/>
      <c r="C663" s="13"/>
      <c r="D663" s="13"/>
    </row>
    <row r="664" spans="1:4" ht="13" x14ac:dyDescent="0.15">
      <c r="A664" s="10"/>
      <c r="B664" s="13"/>
      <c r="C664" s="13"/>
      <c r="D664" s="13"/>
    </row>
    <row r="665" spans="1:4" ht="13" x14ac:dyDescent="0.15">
      <c r="A665" s="10"/>
      <c r="B665" s="13"/>
      <c r="C665" s="13"/>
      <c r="D665" s="13"/>
    </row>
    <row r="666" spans="1:4" ht="13" x14ac:dyDescent="0.15">
      <c r="A666" s="10"/>
      <c r="B666" s="13"/>
      <c r="C666" s="13"/>
      <c r="D666" s="13"/>
    </row>
    <row r="667" spans="1:4" ht="13" x14ac:dyDescent="0.15">
      <c r="A667" s="10"/>
      <c r="B667" s="13"/>
      <c r="C667" s="13"/>
      <c r="D667" s="13"/>
    </row>
    <row r="668" spans="1:4" ht="13" x14ac:dyDescent="0.15">
      <c r="A668" s="10"/>
      <c r="B668" s="13"/>
      <c r="C668" s="13"/>
      <c r="D668" s="13"/>
    </row>
    <row r="669" spans="1:4" ht="13" x14ac:dyDescent="0.15">
      <c r="A669" s="10"/>
      <c r="B669" s="13"/>
      <c r="C669" s="13"/>
      <c r="D669" s="13"/>
    </row>
    <row r="670" spans="1:4" ht="13" x14ac:dyDescent="0.15">
      <c r="A670" s="10"/>
      <c r="B670" s="13"/>
      <c r="C670" s="13"/>
      <c r="D670" s="13"/>
    </row>
    <row r="671" spans="1:4" ht="13" x14ac:dyDescent="0.15">
      <c r="A671" s="10"/>
      <c r="B671" s="13"/>
      <c r="C671" s="13"/>
      <c r="D671" s="13"/>
    </row>
    <row r="672" spans="1:4" ht="13" x14ac:dyDescent="0.15">
      <c r="A672" s="10"/>
      <c r="B672" s="13"/>
      <c r="C672" s="13"/>
      <c r="D672" s="13"/>
    </row>
    <row r="673" spans="1:4" ht="13" x14ac:dyDescent="0.15">
      <c r="A673" s="10"/>
      <c r="B673" s="13"/>
      <c r="C673" s="13"/>
      <c r="D673" s="13"/>
    </row>
    <row r="674" spans="1:4" ht="13" x14ac:dyDescent="0.15">
      <c r="A674" s="10"/>
      <c r="B674" s="13"/>
      <c r="C674" s="13"/>
      <c r="D674" s="13"/>
    </row>
    <row r="675" spans="1:4" ht="13" x14ac:dyDescent="0.15">
      <c r="A675" s="10"/>
      <c r="B675" s="13"/>
      <c r="C675" s="13"/>
      <c r="D675" s="13"/>
    </row>
    <row r="676" spans="1:4" ht="13" x14ac:dyDescent="0.15">
      <c r="A676" s="10"/>
      <c r="B676" s="13"/>
      <c r="C676" s="13"/>
      <c r="D676" s="13"/>
    </row>
    <row r="677" spans="1:4" ht="13" x14ac:dyDescent="0.15">
      <c r="A677" s="10"/>
      <c r="B677" s="13"/>
      <c r="C677" s="13"/>
      <c r="D677" s="13"/>
    </row>
    <row r="678" spans="1:4" ht="13" x14ac:dyDescent="0.15">
      <c r="A678" s="10"/>
      <c r="B678" s="13"/>
      <c r="C678" s="13"/>
      <c r="D678" s="13"/>
    </row>
    <row r="679" spans="1:4" ht="13" x14ac:dyDescent="0.15">
      <c r="A679" s="10"/>
      <c r="B679" s="13"/>
      <c r="C679" s="13"/>
      <c r="D679" s="13"/>
    </row>
    <row r="680" spans="1:4" ht="13" x14ac:dyDescent="0.15">
      <c r="A680" s="10"/>
      <c r="B680" s="13"/>
      <c r="C680" s="13"/>
      <c r="D680" s="13"/>
    </row>
    <row r="681" spans="1:4" ht="13" x14ac:dyDescent="0.15">
      <c r="A681" s="10"/>
      <c r="B681" s="13"/>
      <c r="C681" s="13"/>
      <c r="D681" s="13"/>
    </row>
    <row r="682" spans="1:4" ht="13" x14ac:dyDescent="0.15">
      <c r="A682" s="10"/>
      <c r="B682" s="13"/>
      <c r="C682" s="13"/>
      <c r="D682" s="13"/>
    </row>
    <row r="683" spans="1:4" ht="13" x14ac:dyDescent="0.15">
      <c r="A683" s="10"/>
      <c r="B683" s="13"/>
      <c r="C683" s="13"/>
      <c r="D683" s="13"/>
    </row>
    <row r="684" spans="1:4" ht="13" x14ac:dyDescent="0.15">
      <c r="A684" s="10"/>
      <c r="B684" s="13"/>
      <c r="C684" s="13"/>
      <c r="D684" s="13"/>
    </row>
    <row r="685" spans="1:4" ht="13" x14ac:dyDescent="0.15">
      <c r="A685" s="10"/>
      <c r="B685" s="13"/>
      <c r="C685" s="13"/>
      <c r="D685" s="13"/>
    </row>
    <row r="686" spans="1:4" ht="13" x14ac:dyDescent="0.15">
      <c r="A686" s="10"/>
      <c r="B686" s="13"/>
      <c r="C686" s="13"/>
      <c r="D686" s="13"/>
    </row>
    <row r="687" spans="1:4" ht="13" x14ac:dyDescent="0.15">
      <c r="A687" s="10"/>
      <c r="B687" s="13"/>
      <c r="C687" s="13"/>
      <c r="D687" s="13"/>
    </row>
    <row r="688" spans="1:4" ht="13" x14ac:dyDescent="0.15">
      <c r="A688" s="10"/>
      <c r="B688" s="13"/>
      <c r="C688" s="13"/>
      <c r="D688" s="13"/>
    </row>
    <row r="689" spans="1:4" ht="13" x14ac:dyDescent="0.15">
      <c r="A689" s="10"/>
      <c r="B689" s="13"/>
      <c r="C689" s="13"/>
      <c r="D689" s="13"/>
    </row>
    <row r="690" spans="1:4" ht="13" x14ac:dyDescent="0.15">
      <c r="A690" s="10"/>
      <c r="B690" s="13"/>
      <c r="C690" s="13"/>
      <c r="D690" s="13"/>
    </row>
    <row r="691" spans="1:4" ht="13" x14ac:dyDescent="0.15">
      <c r="A691" s="10"/>
      <c r="B691" s="13"/>
      <c r="C691" s="13"/>
      <c r="D691" s="13"/>
    </row>
    <row r="692" spans="1:4" ht="13" x14ac:dyDescent="0.15">
      <c r="A692" s="10"/>
      <c r="B692" s="13"/>
      <c r="C692" s="13"/>
      <c r="D692" s="13"/>
    </row>
    <row r="693" spans="1:4" ht="13" x14ac:dyDescent="0.15">
      <c r="A693" s="10"/>
      <c r="B693" s="13"/>
      <c r="C693" s="13"/>
      <c r="D693" s="13"/>
    </row>
    <row r="694" spans="1:4" ht="13" x14ac:dyDescent="0.15">
      <c r="A694" s="10"/>
      <c r="B694" s="13"/>
      <c r="C694" s="13"/>
      <c r="D694" s="13"/>
    </row>
    <row r="695" spans="1:4" ht="13" x14ac:dyDescent="0.15">
      <c r="A695" s="10"/>
      <c r="B695" s="13"/>
      <c r="C695" s="13"/>
      <c r="D695" s="13"/>
    </row>
    <row r="696" spans="1:4" ht="13" x14ac:dyDescent="0.15">
      <c r="A696" s="10"/>
      <c r="B696" s="13"/>
      <c r="C696" s="13"/>
      <c r="D696" s="13"/>
    </row>
    <row r="697" spans="1:4" ht="13" x14ac:dyDescent="0.15">
      <c r="A697" s="10"/>
      <c r="B697" s="13"/>
      <c r="C697" s="13"/>
      <c r="D697" s="13"/>
    </row>
    <row r="698" spans="1:4" ht="13" x14ac:dyDescent="0.15">
      <c r="A698" s="10"/>
      <c r="B698" s="13"/>
      <c r="C698" s="13"/>
      <c r="D698" s="13"/>
    </row>
    <row r="699" spans="1:4" ht="13" x14ac:dyDescent="0.15">
      <c r="A699" s="10"/>
      <c r="B699" s="13"/>
      <c r="C699" s="13"/>
      <c r="D699" s="13"/>
    </row>
    <row r="700" spans="1:4" ht="13" x14ac:dyDescent="0.15">
      <c r="A700" s="10"/>
      <c r="B700" s="13"/>
      <c r="C700" s="13"/>
      <c r="D700" s="13"/>
    </row>
    <row r="701" spans="1:4" ht="13" x14ac:dyDescent="0.15">
      <c r="A701" s="10"/>
      <c r="B701" s="13"/>
      <c r="C701" s="13"/>
      <c r="D701" s="13"/>
    </row>
    <row r="702" spans="1:4" ht="13" x14ac:dyDescent="0.15">
      <c r="A702" s="10"/>
      <c r="B702" s="13"/>
      <c r="C702" s="13"/>
      <c r="D702" s="13"/>
    </row>
    <row r="703" spans="1:4" ht="13" x14ac:dyDescent="0.15">
      <c r="A703" s="10"/>
      <c r="B703" s="13"/>
      <c r="C703" s="13"/>
      <c r="D703" s="13"/>
    </row>
    <row r="704" spans="1:4" ht="13" x14ac:dyDescent="0.15">
      <c r="A704" s="10"/>
      <c r="B704" s="13"/>
      <c r="C704" s="13"/>
      <c r="D704" s="13"/>
    </row>
    <row r="705" spans="1:4" ht="13" x14ac:dyDescent="0.15">
      <c r="A705" s="10"/>
      <c r="B705" s="13"/>
      <c r="C705" s="13"/>
      <c r="D705" s="13"/>
    </row>
    <row r="706" spans="1:4" ht="13" x14ac:dyDescent="0.15">
      <c r="A706" s="10"/>
      <c r="B706" s="13"/>
      <c r="C706" s="13"/>
      <c r="D706" s="13"/>
    </row>
    <row r="707" spans="1:4" ht="13" x14ac:dyDescent="0.15">
      <c r="A707" s="10"/>
      <c r="B707" s="13"/>
      <c r="C707" s="13"/>
      <c r="D707" s="13"/>
    </row>
    <row r="708" spans="1:4" ht="13" x14ac:dyDescent="0.15">
      <c r="A708" s="10"/>
      <c r="B708" s="13"/>
      <c r="C708" s="13"/>
      <c r="D708" s="13"/>
    </row>
    <row r="709" spans="1:4" ht="13" x14ac:dyDescent="0.15">
      <c r="A709" s="10"/>
      <c r="B709" s="13"/>
      <c r="C709" s="13"/>
      <c r="D709" s="13"/>
    </row>
    <row r="710" spans="1:4" ht="13" x14ac:dyDescent="0.15">
      <c r="A710" s="10"/>
      <c r="B710" s="13"/>
      <c r="C710" s="13"/>
      <c r="D710" s="13"/>
    </row>
    <row r="711" spans="1:4" ht="13" x14ac:dyDescent="0.15">
      <c r="A711" s="10"/>
      <c r="B711" s="13"/>
      <c r="C711" s="13"/>
      <c r="D711" s="13"/>
    </row>
    <row r="712" spans="1:4" ht="13" x14ac:dyDescent="0.15">
      <c r="A712" s="10"/>
      <c r="B712" s="13"/>
      <c r="C712" s="13"/>
      <c r="D712" s="13"/>
    </row>
    <row r="713" spans="1:4" ht="13" x14ac:dyDescent="0.15">
      <c r="A713" s="10"/>
      <c r="B713" s="13"/>
      <c r="C713" s="13"/>
      <c r="D713" s="13"/>
    </row>
    <row r="714" spans="1:4" ht="13" x14ac:dyDescent="0.15">
      <c r="A714" s="10"/>
      <c r="B714" s="13"/>
      <c r="C714" s="13"/>
      <c r="D714" s="13"/>
    </row>
    <row r="715" spans="1:4" ht="13" x14ac:dyDescent="0.15">
      <c r="A715" s="10"/>
      <c r="B715" s="13"/>
      <c r="C715" s="13"/>
      <c r="D715" s="13"/>
    </row>
    <row r="716" spans="1:4" ht="13" x14ac:dyDescent="0.15">
      <c r="A716" s="10"/>
      <c r="B716" s="13"/>
      <c r="C716" s="13"/>
      <c r="D716" s="13"/>
    </row>
    <row r="717" spans="1:4" ht="13" x14ac:dyDescent="0.15">
      <c r="A717" s="10"/>
      <c r="B717" s="13"/>
      <c r="C717" s="13"/>
      <c r="D717" s="13"/>
    </row>
    <row r="718" spans="1:4" ht="13" x14ac:dyDescent="0.15">
      <c r="A718" s="10"/>
      <c r="B718" s="13"/>
      <c r="C718" s="13"/>
      <c r="D718" s="13"/>
    </row>
    <row r="719" spans="1:4" ht="13" x14ac:dyDescent="0.15">
      <c r="A719" s="10"/>
      <c r="B719" s="13"/>
      <c r="C719" s="13"/>
      <c r="D719" s="13"/>
    </row>
    <row r="720" spans="1:4" ht="13" x14ac:dyDescent="0.15">
      <c r="A720" s="10"/>
      <c r="B720" s="13"/>
      <c r="C720" s="13"/>
      <c r="D720" s="13"/>
    </row>
    <row r="721" spans="1:4" ht="13" x14ac:dyDescent="0.15">
      <c r="A721" s="10"/>
      <c r="B721" s="13"/>
      <c r="C721" s="13"/>
      <c r="D721" s="13"/>
    </row>
    <row r="722" spans="1:4" ht="13" x14ac:dyDescent="0.15">
      <c r="A722" s="10"/>
      <c r="B722" s="13"/>
      <c r="C722" s="13"/>
      <c r="D722" s="13"/>
    </row>
    <row r="723" spans="1:4" ht="13" x14ac:dyDescent="0.15">
      <c r="A723" s="10"/>
      <c r="B723" s="13"/>
      <c r="C723" s="13"/>
      <c r="D723" s="13"/>
    </row>
    <row r="724" spans="1:4" ht="13" x14ac:dyDescent="0.15">
      <c r="A724" s="10"/>
      <c r="B724" s="13"/>
      <c r="C724" s="13"/>
      <c r="D724" s="13"/>
    </row>
    <row r="725" spans="1:4" ht="13" x14ac:dyDescent="0.15">
      <c r="A725" s="10"/>
      <c r="B725" s="13"/>
      <c r="C725" s="13"/>
      <c r="D725" s="13"/>
    </row>
    <row r="726" spans="1:4" ht="13" x14ac:dyDescent="0.15">
      <c r="A726" s="10"/>
      <c r="B726" s="13"/>
      <c r="C726" s="13"/>
      <c r="D726" s="13"/>
    </row>
    <row r="727" spans="1:4" ht="13" x14ac:dyDescent="0.15">
      <c r="A727" s="10"/>
      <c r="B727" s="13"/>
      <c r="C727" s="13"/>
      <c r="D727" s="13"/>
    </row>
    <row r="728" spans="1:4" ht="13" x14ac:dyDescent="0.15">
      <c r="A728" s="10"/>
      <c r="B728" s="13"/>
      <c r="C728" s="13"/>
      <c r="D728" s="13"/>
    </row>
    <row r="729" spans="1:4" ht="13" x14ac:dyDescent="0.15">
      <c r="A729" s="10"/>
      <c r="B729" s="13"/>
      <c r="C729" s="13"/>
      <c r="D729" s="13"/>
    </row>
    <row r="730" spans="1:4" ht="13" x14ac:dyDescent="0.15">
      <c r="A730" s="10"/>
      <c r="B730" s="13"/>
      <c r="C730" s="13"/>
      <c r="D730" s="13"/>
    </row>
    <row r="731" spans="1:4" ht="13" x14ac:dyDescent="0.15">
      <c r="A731" s="10"/>
      <c r="B731" s="13"/>
      <c r="C731" s="13"/>
      <c r="D731" s="13"/>
    </row>
    <row r="732" spans="1:4" ht="13" x14ac:dyDescent="0.15">
      <c r="A732" s="10"/>
      <c r="B732" s="13"/>
      <c r="C732" s="13"/>
      <c r="D732" s="13"/>
    </row>
    <row r="733" spans="1:4" ht="13" x14ac:dyDescent="0.15">
      <c r="A733" s="10"/>
      <c r="B733" s="13"/>
      <c r="C733" s="13"/>
      <c r="D733" s="13"/>
    </row>
    <row r="734" spans="1:4" ht="13" x14ac:dyDescent="0.15">
      <c r="A734" s="10"/>
      <c r="B734" s="13"/>
      <c r="C734" s="13"/>
      <c r="D734" s="13"/>
    </row>
    <row r="735" spans="1:4" ht="13" x14ac:dyDescent="0.15">
      <c r="A735" s="10"/>
      <c r="B735" s="13"/>
      <c r="C735" s="13"/>
      <c r="D735" s="13"/>
    </row>
    <row r="736" spans="1:4" ht="13" x14ac:dyDescent="0.15">
      <c r="A736" s="10"/>
      <c r="B736" s="13"/>
      <c r="C736" s="13"/>
      <c r="D736" s="13"/>
    </row>
    <row r="737" spans="1:4" ht="13" x14ac:dyDescent="0.15">
      <c r="A737" s="10"/>
      <c r="B737" s="13"/>
      <c r="C737" s="13"/>
      <c r="D737" s="13"/>
    </row>
    <row r="738" spans="1:4" ht="13" x14ac:dyDescent="0.15">
      <c r="A738" s="10"/>
      <c r="B738" s="13"/>
      <c r="C738" s="13"/>
      <c r="D738" s="13"/>
    </row>
    <row r="739" spans="1:4" ht="13" x14ac:dyDescent="0.15">
      <c r="A739" s="10"/>
      <c r="B739" s="13"/>
      <c r="C739" s="13"/>
      <c r="D739" s="13"/>
    </row>
    <row r="740" spans="1:4" ht="13" x14ac:dyDescent="0.15">
      <c r="A740" s="10"/>
      <c r="B740" s="13"/>
      <c r="C740" s="13"/>
      <c r="D740" s="13"/>
    </row>
    <row r="741" spans="1:4" ht="13" x14ac:dyDescent="0.15">
      <c r="A741" s="10"/>
      <c r="B741" s="13"/>
      <c r="C741" s="13"/>
      <c r="D741" s="13"/>
    </row>
    <row r="742" spans="1:4" ht="13" x14ac:dyDescent="0.15">
      <c r="A742" s="10"/>
      <c r="B742" s="13"/>
      <c r="C742" s="13"/>
      <c r="D742" s="13"/>
    </row>
    <row r="743" spans="1:4" ht="13" x14ac:dyDescent="0.15">
      <c r="A743" s="10"/>
      <c r="B743" s="13"/>
      <c r="C743" s="13"/>
      <c r="D743" s="13"/>
    </row>
    <row r="744" spans="1:4" ht="13" x14ac:dyDescent="0.15">
      <c r="A744" s="10"/>
      <c r="B744" s="13"/>
      <c r="C744" s="13"/>
      <c r="D744" s="13"/>
    </row>
    <row r="745" spans="1:4" ht="13" x14ac:dyDescent="0.15">
      <c r="A745" s="10"/>
      <c r="B745" s="13"/>
      <c r="C745" s="13"/>
      <c r="D745" s="13"/>
    </row>
    <row r="746" spans="1:4" ht="13" x14ac:dyDescent="0.15">
      <c r="A746" s="10"/>
      <c r="B746" s="13"/>
      <c r="C746" s="13"/>
      <c r="D746" s="13"/>
    </row>
    <row r="747" spans="1:4" ht="13" x14ac:dyDescent="0.15">
      <c r="A747" s="10"/>
      <c r="B747" s="13"/>
      <c r="C747" s="13"/>
      <c r="D747" s="13"/>
    </row>
    <row r="748" spans="1:4" ht="13" x14ac:dyDescent="0.15">
      <c r="A748" s="10"/>
      <c r="B748" s="13"/>
      <c r="C748" s="13"/>
      <c r="D748" s="13"/>
    </row>
    <row r="749" spans="1:4" ht="13" x14ac:dyDescent="0.15">
      <c r="A749" s="10"/>
      <c r="B749" s="13"/>
      <c r="C749" s="13"/>
      <c r="D749" s="13"/>
    </row>
    <row r="750" spans="1:4" ht="13" x14ac:dyDescent="0.15">
      <c r="A750" s="10"/>
      <c r="B750" s="13"/>
      <c r="C750" s="13"/>
      <c r="D750" s="13"/>
    </row>
    <row r="751" spans="1:4" ht="13" x14ac:dyDescent="0.15">
      <c r="A751" s="10"/>
      <c r="B751" s="13"/>
      <c r="C751" s="13"/>
      <c r="D751" s="13"/>
    </row>
    <row r="752" spans="1:4" ht="13" x14ac:dyDescent="0.15">
      <c r="A752" s="10"/>
      <c r="B752" s="13"/>
      <c r="C752" s="13"/>
      <c r="D752" s="13"/>
    </row>
    <row r="753" spans="1:4" ht="13" x14ac:dyDescent="0.15">
      <c r="A753" s="10"/>
      <c r="B753" s="13"/>
      <c r="C753" s="13"/>
      <c r="D753" s="13"/>
    </row>
    <row r="754" spans="1:4" ht="13" x14ac:dyDescent="0.15">
      <c r="A754" s="10"/>
      <c r="B754" s="13"/>
      <c r="C754" s="13"/>
      <c r="D754" s="13"/>
    </row>
    <row r="755" spans="1:4" ht="13" x14ac:dyDescent="0.15">
      <c r="A755" s="10"/>
      <c r="B755" s="13"/>
      <c r="C755" s="13"/>
      <c r="D755" s="13"/>
    </row>
    <row r="756" spans="1:4" ht="13" x14ac:dyDescent="0.15">
      <c r="A756" s="10"/>
      <c r="B756" s="13"/>
      <c r="C756" s="13"/>
      <c r="D756" s="13"/>
    </row>
    <row r="757" spans="1:4" ht="13" x14ac:dyDescent="0.15">
      <c r="A757" s="10"/>
      <c r="B757" s="13"/>
      <c r="C757" s="13"/>
      <c r="D757" s="13"/>
    </row>
    <row r="758" spans="1:4" ht="13" x14ac:dyDescent="0.15">
      <c r="A758" s="10"/>
      <c r="B758" s="13"/>
      <c r="C758" s="13"/>
      <c r="D758" s="13"/>
    </row>
    <row r="759" spans="1:4" ht="13" x14ac:dyDescent="0.15">
      <c r="A759" s="10"/>
      <c r="B759" s="13"/>
      <c r="C759" s="13"/>
      <c r="D759" s="13"/>
    </row>
    <row r="760" spans="1:4" ht="13" x14ac:dyDescent="0.15">
      <c r="A760" s="10"/>
      <c r="B760" s="13"/>
      <c r="C760" s="13"/>
      <c r="D760" s="13"/>
    </row>
    <row r="761" spans="1:4" ht="13" x14ac:dyDescent="0.15">
      <c r="A761" s="10"/>
      <c r="B761" s="13"/>
      <c r="C761" s="13"/>
      <c r="D761" s="13"/>
    </row>
    <row r="762" spans="1:4" ht="13" x14ac:dyDescent="0.15">
      <c r="A762" s="10"/>
      <c r="B762" s="13"/>
      <c r="C762" s="13"/>
      <c r="D762" s="13"/>
    </row>
    <row r="763" spans="1:4" ht="13" x14ac:dyDescent="0.15">
      <c r="A763" s="10"/>
      <c r="B763" s="13"/>
      <c r="C763" s="13"/>
      <c r="D763" s="13"/>
    </row>
    <row r="764" spans="1:4" ht="13" x14ac:dyDescent="0.15">
      <c r="A764" s="10"/>
      <c r="B764" s="13"/>
      <c r="C764" s="13"/>
      <c r="D764" s="13"/>
    </row>
    <row r="765" spans="1:4" ht="13" x14ac:dyDescent="0.15">
      <c r="A765" s="10"/>
      <c r="B765" s="13"/>
      <c r="C765" s="13"/>
      <c r="D765" s="13"/>
    </row>
    <row r="766" spans="1:4" ht="13" x14ac:dyDescent="0.15">
      <c r="A766" s="10"/>
      <c r="B766" s="13"/>
      <c r="C766" s="13"/>
      <c r="D766" s="13"/>
    </row>
    <row r="767" spans="1:4" ht="13" x14ac:dyDescent="0.15">
      <c r="A767" s="10"/>
      <c r="B767" s="13"/>
      <c r="C767" s="13"/>
      <c r="D767" s="13"/>
    </row>
    <row r="768" spans="1:4" ht="13" x14ac:dyDescent="0.15">
      <c r="A768" s="10"/>
      <c r="B768" s="13"/>
      <c r="C768" s="13"/>
      <c r="D768" s="13"/>
    </row>
    <row r="769" spans="1:4" ht="13" x14ac:dyDescent="0.15">
      <c r="A769" s="10"/>
      <c r="B769" s="13"/>
      <c r="C769" s="13"/>
      <c r="D769" s="13"/>
    </row>
    <row r="770" spans="1:4" ht="13" x14ac:dyDescent="0.15">
      <c r="A770" s="10"/>
      <c r="B770" s="13"/>
      <c r="C770" s="13"/>
      <c r="D770" s="13"/>
    </row>
    <row r="771" spans="1:4" ht="13" x14ac:dyDescent="0.15">
      <c r="A771" s="10"/>
      <c r="B771" s="13"/>
      <c r="C771" s="13"/>
      <c r="D771" s="13"/>
    </row>
    <row r="772" spans="1:4" ht="13" x14ac:dyDescent="0.15">
      <c r="A772" s="10"/>
      <c r="B772" s="13"/>
      <c r="C772" s="13"/>
      <c r="D772" s="13"/>
    </row>
    <row r="773" spans="1:4" ht="13" x14ac:dyDescent="0.15">
      <c r="A773" s="10"/>
      <c r="B773" s="13"/>
      <c r="C773" s="13"/>
      <c r="D773" s="13"/>
    </row>
    <row r="774" spans="1:4" ht="13" x14ac:dyDescent="0.15">
      <c r="A774" s="10"/>
      <c r="B774" s="13"/>
      <c r="C774" s="13"/>
      <c r="D774" s="13"/>
    </row>
    <row r="775" spans="1:4" ht="13" x14ac:dyDescent="0.15">
      <c r="A775" s="10"/>
      <c r="B775" s="13"/>
      <c r="C775" s="13"/>
      <c r="D775" s="13"/>
    </row>
    <row r="776" spans="1:4" ht="13" x14ac:dyDescent="0.15">
      <c r="A776" s="10"/>
      <c r="B776" s="13"/>
      <c r="C776" s="13"/>
      <c r="D776" s="13"/>
    </row>
    <row r="777" spans="1:4" ht="13" x14ac:dyDescent="0.15">
      <c r="A777" s="10"/>
      <c r="B777" s="13"/>
      <c r="C777" s="13"/>
      <c r="D777" s="13"/>
    </row>
    <row r="778" spans="1:4" ht="13" x14ac:dyDescent="0.15">
      <c r="A778" s="10"/>
      <c r="B778" s="13"/>
      <c r="C778" s="13"/>
      <c r="D778" s="13"/>
    </row>
    <row r="779" spans="1:4" ht="13" x14ac:dyDescent="0.15">
      <c r="A779" s="10"/>
      <c r="B779" s="13"/>
      <c r="C779" s="13"/>
      <c r="D779" s="13"/>
    </row>
    <row r="780" spans="1:4" ht="13" x14ac:dyDescent="0.15">
      <c r="A780" s="10"/>
      <c r="B780" s="13"/>
      <c r="C780" s="13"/>
      <c r="D780" s="13"/>
    </row>
    <row r="781" spans="1:4" ht="13" x14ac:dyDescent="0.15">
      <c r="A781" s="10"/>
      <c r="B781" s="13"/>
      <c r="C781" s="13"/>
      <c r="D781" s="13"/>
    </row>
    <row r="782" spans="1:4" ht="13" x14ac:dyDescent="0.15">
      <c r="A782" s="10"/>
      <c r="B782" s="13"/>
      <c r="C782" s="13"/>
      <c r="D782" s="13"/>
    </row>
    <row r="783" spans="1:4" ht="13" x14ac:dyDescent="0.15">
      <c r="A783" s="10"/>
      <c r="B783" s="13"/>
      <c r="C783" s="13"/>
      <c r="D783" s="13"/>
    </row>
    <row r="784" spans="1:4" ht="13" x14ac:dyDescent="0.15">
      <c r="A784" s="10"/>
      <c r="B784" s="13"/>
      <c r="C784" s="13"/>
      <c r="D784" s="13"/>
    </row>
    <row r="785" spans="1:4" ht="13" x14ac:dyDescent="0.15">
      <c r="A785" s="10"/>
      <c r="B785" s="13"/>
      <c r="C785" s="13"/>
      <c r="D785" s="13"/>
    </row>
    <row r="786" spans="1:4" ht="13" x14ac:dyDescent="0.15">
      <c r="A786" s="10"/>
      <c r="B786" s="13"/>
      <c r="C786" s="13"/>
      <c r="D786" s="13"/>
    </row>
    <row r="787" spans="1:4" ht="13" x14ac:dyDescent="0.15">
      <c r="A787" s="10"/>
      <c r="B787" s="13"/>
      <c r="C787" s="13"/>
      <c r="D787" s="13"/>
    </row>
    <row r="788" spans="1:4" ht="13" x14ac:dyDescent="0.15">
      <c r="A788" s="10"/>
      <c r="B788" s="13"/>
      <c r="C788" s="13"/>
      <c r="D788" s="13"/>
    </row>
    <row r="789" spans="1:4" ht="13" x14ac:dyDescent="0.15">
      <c r="A789" s="10"/>
      <c r="B789" s="13"/>
      <c r="C789" s="13"/>
      <c r="D789" s="13"/>
    </row>
    <row r="790" spans="1:4" ht="13" x14ac:dyDescent="0.15">
      <c r="A790" s="10"/>
      <c r="B790" s="13"/>
      <c r="C790" s="13"/>
      <c r="D790" s="13"/>
    </row>
    <row r="791" spans="1:4" ht="13" x14ac:dyDescent="0.15">
      <c r="A791" s="10"/>
      <c r="B791" s="13"/>
      <c r="C791" s="13"/>
      <c r="D791" s="13"/>
    </row>
    <row r="792" spans="1:4" ht="13" x14ac:dyDescent="0.15">
      <c r="A792" s="10"/>
      <c r="B792" s="13"/>
      <c r="C792" s="13"/>
      <c r="D792" s="13"/>
    </row>
    <row r="793" spans="1:4" ht="13" x14ac:dyDescent="0.15">
      <c r="A793" s="10"/>
      <c r="B793" s="13"/>
      <c r="C793" s="13"/>
      <c r="D793" s="13"/>
    </row>
    <row r="794" spans="1:4" ht="13" x14ac:dyDescent="0.15">
      <c r="A794" s="10"/>
      <c r="B794" s="13"/>
      <c r="C794" s="13"/>
      <c r="D794" s="13"/>
    </row>
    <row r="795" spans="1:4" ht="13" x14ac:dyDescent="0.15">
      <c r="A795" s="10"/>
      <c r="B795" s="13"/>
      <c r="C795" s="13"/>
      <c r="D795" s="13"/>
    </row>
    <row r="796" spans="1:4" ht="13" x14ac:dyDescent="0.15">
      <c r="A796" s="10"/>
      <c r="B796" s="13"/>
      <c r="C796" s="13"/>
      <c r="D796" s="13"/>
    </row>
    <row r="797" spans="1:4" ht="13" x14ac:dyDescent="0.15">
      <c r="A797" s="10"/>
      <c r="B797" s="13"/>
      <c r="C797" s="13"/>
      <c r="D797" s="13"/>
    </row>
    <row r="798" spans="1:4" ht="13" x14ac:dyDescent="0.15">
      <c r="A798" s="10"/>
      <c r="B798" s="13"/>
      <c r="C798" s="13"/>
      <c r="D798" s="13"/>
    </row>
    <row r="799" spans="1:4" ht="13" x14ac:dyDescent="0.15">
      <c r="A799" s="10"/>
      <c r="B799" s="13"/>
      <c r="C799" s="13"/>
      <c r="D799" s="13"/>
    </row>
    <row r="800" spans="1:4" ht="13" x14ac:dyDescent="0.15">
      <c r="A800" s="10"/>
      <c r="B800" s="13"/>
      <c r="C800" s="13"/>
      <c r="D800" s="13"/>
    </row>
    <row r="801" spans="1:4" ht="13" x14ac:dyDescent="0.15">
      <c r="A801" s="10"/>
      <c r="B801" s="13"/>
      <c r="C801" s="13"/>
      <c r="D801" s="13"/>
    </row>
    <row r="802" spans="1:4" ht="13" x14ac:dyDescent="0.15">
      <c r="A802" s="10"/>
      <c r="B802" s="13"/>
      <c r="C802" s="13"/>
      <c r="D802" s="13"/>
    </row>
    <row r="803" spans="1:4" ht="13" x14ac:dyDescent="0.15">
      <c r="A803" s="10"/>
      <c r="B803" s="13"/>
      <c r="C803" s="13"/>
      <c r="D803" s="13"/>
    </row>
    <row r="804" spans="1:4" ht="13" x14ac:dyDescent="0.15">
      <c r="A804" s="10"/>
      <c r="B804" s="13"/>
      <c r="C804" s="13"/>
      <c r="D804" s="13"/>
    </row>
    <row r="805" spans="1:4" ht="13" x14ac:dyDescent="0.15">
      <c r="A805" s="10"/>
      <c r="B805" s="13"/>
      <c r="C805" s="13"/>
      <c r="D805" s="13"/>
    </row>
    <row r="806" spans="1:4" ht="13" x14ac:dyDescent="0.15">
      <c r="A806" s="10"/>
      <c r="B806" s="13"/>
      <c r="C806" s="13"/>
      <c r="D806" s="13"/>
    </row>
    <row r="807" spans="1:4" ht="13" x14ac:dyDescent="0.15">
      <c r="A807" s="10"/>
      <c r="B807" s="13"/>
      <c r="C807" s="13"/>
      <c r="D807" s="13"/>
    </row>
    <row r="808" spans="1:4" ht="13" x14ac:dyDescent="0.15">
      <c r="A808" s="10"/>
      <c r="B808" s="13"/>
      <c r="C808" s="13"/>
      <c r="D808" s="13"/>
    </row>
    <row r="809" spans="1:4" ht="13" x14ac:dyDescent="0.15">
      <c r="A809" s="10"/>
      <c r="B809" s="13"/>
      <c r="C809" s="13"/>
      <c r="D809" s="13"/>
    </row>
    <row r="810" spans="1:4" ht="13" x14ac:dyDescent="0.15">
      <c r="A810" s="10"/>
      <c r="B810" s="13"/>
      <c r="C810" s="13"/>
      <c r="D810" s="13"/>
    </row>
    <row r="811" spans="1:4" ht="13" x14ac:dyDescent="0.15">
      <c r="A811" s="10"/>
      <c r="B811" s="13"/>
      <c r="C811" s="13"/>
      <c r="D811" s="13"/>
    </row>
    <row r="812" spans="1:4" ht="13" x14ac:dyDescent="0.15">
      <c r="A812" s="10"/>
      <c r="B812" s="13"/>
      <c r="C812" s="13"/>
      <c r="D812" s="13"/>
    </row>
    <row r="813" spans="1:4" ht="13" x14ac:dyDescent="0.15">
      <c r="A813" s="10"/>
      <c r="B813" s="13"/>
      <c r="C813" s="13"/>
      <c r="D813" s="13"/>
    </row>
    <row r="814" spans="1:4" ht="13" x14ac:dyDescent="0.15">
      <c r="A814" s="10"/>
      <c r="B814" s="13"/>
      <c r="C814" s="13"/>
      <c r="D814" s="13"/>
    </row>
    <row r="815" spans="1:4" ht="13" x14ac:dyDescent="0.15">
      <c r="A815" s="10"/>
      <c r="B815" s="13"/>
      <c r="C815" s="13"/>
      <c r="D815" s="13"/>
    </row>
    <row r="816" spans="1:4" ht="13" x14ac:dyDescent="0.15">
      <c r="A816" s="10"/>
      <c r="B816" s="13"/>
      <c r="C816" s="13"/>
      <c r="D816" s="13"/>
    </row>
    <row r="817" spans="1:4" ht="13" x14ac:dyDescent="0.15">
      <c r="A817" s="10"/>
      <c r="B817" s="13"/>
      <c r="C817" s="13"/>
      <c r="D817" s="13"/>
    </row>
    <row r="818" spans="1:4" ht="13" x14ac:dyDescent="0.15">
      <c r="A818" s="10"/>
      <c r="B818" s="13"/>
      <c r="C818" s="13"/>
      <c r="D818" s="13"/>
    </row>
    <row r="819" spans="1:4" ht="13" x14ac:dyDescent="0.15">
      <c r="A819" s="10"/>
      <c r="B819" s="13"/>
      <c r="C819" s="13"/>
      <c r="D819" s="13"/>
    </row>
    <row r="820" spans="1:4" ht="13" x14ac:dyDescent="0.15">
      <c r="A820" s="10"/>
      <c r="B820" s="13"/>
      <c r="C820" s="13"/>
      <c r="D820" s="13"/>
    </row>
    <row r="821" spans="1:4" ht="13" x14ac:dyDescent="0.15">
      <c r="A821" s="10"/>
      <c r="B821" s="13"/>
      <c r="C821" s="13"/>
      <c r="D821" s="13"/>
    </row>
    <row r="822" spans="1:4" ht="13" x14ac:dyDescent="0.15">
      <c r="A822" s="10"/>
      <c r="B822" s="13"/>
      <c r="C822" s="13"/>
      <c r="D822" s="13"/>
    </row>
    <row r="823" spans="1:4" ht="13" x14ac:dyDescent="0.15">
      <c r="A823" s="10"/>
      <c r="B823" s="13"/>
      <c r="C823" s="13"/>
      <c r="D823" s="13"/>
    </row>
    <row r="824" spans="1:4" ht="13" x14ac:dyDescent="0.15">
      <c r="A824" s="10"/>
      <c r="B824" s="13"/>
      <c r="C824" s="13"/>
      <c r="D824" s="13"/>
    </row>
    <row r="825" spans="1:4" ht="13" x14ac:dyDescent="0.15">
      <c r="A825" s="10"/>
      <c r="B825" s="13"/>
      <c r="C825" s="13"/>
      <c r="D825" s="13"/>
    </row>
    <row r="826" spans="1:4" ht="13" x14ac:dyDescent="0.15">
      <c r="A826" s="10"/>
      <c r="B826" s="13"/>
      <c r="C826" s="13"/>
      <c r="D826" s="13"/>
    </row>
    <row r="827" spans="1:4" ht="13" x14ac:dyDescent="0.15">
      <c r="A827" s="10"/>
      <c r="B827" s="13"/>
      <c r="C827" s="13"/>
      <c r="D827" s="13"/>
    </row>
    <row r="828" spans="1:4" ht="13" x14ac:dyDescent="0.15">
      <c r="A828" s="10"/>
      <c r="B828" s="13"/>
      <c r="C828" s="13"/>
      <c r="D828" s="13"/>
    </row>
    <row r="829" spans="1:4" ht="13" x14ac:dyDescent="0.15">
      <c r="A829" s="10"/>
      <c r="B829" s="13"/>
      <c r="C829" s="13"/>
      <c r="D829" s="13"/>
    </row>
    <row r="830" spans="1:4" ht="13" x14ac:dyDescent="0.15">
      <c r="A830" s="10"/>
      <c r="B830" s="13"/>
      <c r="C830" s="13"/>
      <c r="D830" s="13"/>
    </row>
    <row r="831" spans="1:4" ht="13" x14ac:dyDescent="0.15">
      <c r="A831" s="10"/>
      <c r="B831" s="13"/>
      <c r="C831" s="13"/>
      <c r="D831" s="13"/>
    </row>
    <row r="832" spans="1:4" ht="13" x14ac:dyDescent="0.15">
      <c r="A832" s="10"/>
      <c r="B832" s="13"/>
      <c r="C832" s="13"/>
      <c r="D832" s="13"/>
    </row>
    <row r="833" spans="1:4" ht="13" x14ac:dyDescent="0.15">
      <c r="A833" s="10"/>
      <c r="B833" s="13"/>
      <c r="C833" s="13"/>
      <c r="D833" s="13"/>
    </row>
    <row r="834" spans="1:4" ht="13" x14ac:dyDescent="0.15">
      <c r="A834" s="10"/>
      <c r="B834" s="13"/>
      <c r="C834" s="13"/>
      <c r="D834" s="13"/>
    </row>
    <row r="835" spans="1:4" ht="13" x14ac:dyDescent="0.15">
      <c r="A835" s="10"/>
      <c r="B835" s="13"/>
      <c r="C835" s="13"/>
      <c r="D835" s="13"/>
    </row>
    <row r="836" spans="1:4" ht="13" x14ac:dyDescent="0.15">
      <c r="A836" s="10"/>
      <c r="B836" s="13"/>
      <c r="C836" s="13"/>
      <c r="D836" s="13"/>
    </row>
    <row r="837" spans="1:4" ht="13" x14ac:dyDescent="0.15">
      <c r="A837" s="10"/>
      <c r="B837" s="13"/>
      <c r="C837" s="13"/>
      <c r="D837" s="13"/>
    </row>
    <row r="838" spans="1:4" ht="13" x14ac:dyDescent="0.15">
      <c r="A838" s="10"/>
      <c r="B838" s="13"/>
      <c r="C838" s="13"/>
      <c r="D838" s="13"/>
    </row>
    <row r="839" spans="1:4" ht="13" x14ac:dyDescent="0.15">
      <c r="A839" s="10"/>
      <c r="B839" s="13"/>
      <c r="C839" s="13"/>
      <c r="D839" s="13"/>
    </row>
    <row r="840" spans="1:4" ht="13" x14ac:dyDescent="0.15">
      <c r="A840" s="10"/>
      <c r="B840" s="13"/>
      <c r="C840" s="13"/>
      <c r="D840" s="13"/>
    </row>
    <row r="841" spans="1:4" ht="13" x14ac:dyDescent="0.15">
      <c r="A841" s="10"/>
      <c r="B841" s="13"/>
      <c r="C841" s="13"/>
      <c r="D841" s="13"/>
    </row>
    <row r="842" spans="1:4" ht="13" x14ac:dyDescent="0.15">
      <c r="A842" s="10"/>
      <c r="B842" s="13"/>
      <c r="C842" s="13"/>
      <c r="D842" s="13"/>
    </row>
    <row r="843" spans="1:4" ht="13" x14ac:dyDescent="0.15">
      <c r="A843" s="10"/>
      <c r="B843" s="13"/>
      <c r="C843" s="13"/>
      <c r="D843" s="13"/>
    </row>
    <row r="844" spans="1:4" ht="13" x14ac:dyDescent="0.15">
      <c r="A844" s="10"/>
      <c r="B844" s="13"/>
      <c r="C844" s="13"/>
      <c r="D844" s="13"/>
    </row>
    <row r="845" spans="1:4" ht="13" x14ac:dyDescent="0.15">
      <c r="A845" s="10"/>
      <c r="B845" s="13"/>
      <c r="C845" s="13"/>
      <c r="D845" s="13"/>
    </row>
    <row r="846" spans="1:4" ht="13" x14ac:dyDescent="0.15">
      <c r="A846" s="10"/>
      <c r="B846" s="13"/>
      <c r="C846" s="13"/>
      <c r="D846" s="13"/>
    </row>
    <row r="847" spans="1:4" ht="13" x14ac:dyDescent="0.15">
      <c r="A847" s="10"/>
      <c r="B847" s="13"/>
      <c r="C847" s="13"/>
      <c r="D847" s="13"/>
    </row>
    <row r="848" spans="1:4" ht="13" x14ac:dyDescent="0.15">
      <c r="A848" s="10"/>
      <c r="B848" s="13"/>
      <c r="C848" s="13"/>
      <c r="D848" s="13"/>
    </row>
    <row r="849" spans="1:4" ht="13" x14ac:dyDescent="0.15">
      <c r="A849" s="10"/>
      <c r="B849" s="13"/>
      <c r="C849" s="13"/>
      <c r="D849" s="13"/>
    </row>
    <row r="850" spans="1:4" ht="13" x14ac:dyDescent="0.15">
      <c r="A850" s="10"/>
      <c r="B850" s="13"/>
      <c r="C850" s="13"/>
      <c r="D850" s="13"/>
    </row>
    <row r="851" spans="1:4" ht="13" x14ac:dyDescent="0.15">
      <c r="A851" s="10"/>
      <c r="B851" s="13"/>
      <c r="C851" s="13"/>
      <c r="D851" s="13"/>
    </row>
    <row r="852" spans="1:4" ht="13" x14ac:dyDescent="0.15">
      <c r="A852" s="10"/>
      <c r="B852" s="13"/>
      <c r="C852" s="13"/>
      <c r="D852" s="13"/>
    </row>
    <row r="853" spans="1:4" ht="13" x14ac:dyDescent="0.15">
      <c r="A853" s="10"/>
      <c r="B853" s="13"/>
      <c r="C853" s="13"/>
      <c r="D853" s="13"/>
    </row>
    <row r="854" spans="1:4" ht="13" x14ac:dyDescent="0.15">
      <c r="A854" s="10"/>
      <c r="B854" s="13"/>
      <c r="C854" s="13"/>
      <c r="D854" s="13"/>
    </row>
    <row r="855" spans="1:4" ht="13" x14ac:dyDescent="0.15">
      <c r="A855" s="10"/>
      <c r="B855" s="13"/>
      <c r="C855" s="13"/>
      <c r="D855" s="13"/>
    </row>
    <row r="856" spans="1:4" ht="13" x14ac:dyDescent="0.15">
      <c r="A856" s="10"/>
      <c r="B856" s="13"/>
      <c r="C856" s="13"/>
      <c r="D856" s="13"/>
    </row>
    <row r="857" spans="1:4" ht="13" x14ac:dyDescent="0.15">
      <c r="A857" s="10"/>
      <c r="B857" s="13"/>
      <c r="C857" s="13"/>
      <c r="D857" s="13"/>
    </row>
    <row r="858" spans="1:4" ht="13" x14ac:dyDescent="0.15">
      <c r="A858" s="10"/>
      <c r="B858" s="13"/>
      <c r="C858" s="13"/>
      <c r="D858" s="13"/>
    </row>
    <row r="859" spans="1:4" ht="13" x14ac:dyDescent="0.15">
      <c r="A859" s="10"/>
      <c r="B859" s="13"/>
      <c r="C859" s="13"/>
      <c r="D859" s="13"/>
    </row>
    <row r="860" spans="1:4" ht="13" x14ac:dyDescent="0.15">
      <c r="A860" s="10"/>
      <c r="B860" s="13"/>
      <c r="C860" s="13"/>
      <c r="D860" s="13"/>
    </row>
    <row r="861" spans="1:4" ht="13" x14ac:dyDescent="0.15">
      <c r="A861" s="10"/>
      <c r="B861" s="13"/>
      <c r="C861" s="13"/>
      <c r="D861" s="13"/>
    </row>
    <row r="862" spans="1:4" ht="13" x14ac:dyDescent="0.15">
      <c r="A862" s="10"/>
      <c r="B862" s="13"/>
      <c r="C862" s="13"/>
      <c r="D862" s="13"/>
    </row>
    <row r="863" spans="1:4" ht="13" x14ac:dyDescent="0.15">
      <c r="A863" s="10"/>
      <c r="B863" s="13"/>
      <c r="C863" s="13"/>
      <c r="D863" s="13"/>
    </row>
    <row r="864" spans="1:4" ht="13" x14ac:dyDescent="0.15">
      <c r="A864" s="10"/>
      <c r="B864" s="13"/>
      <c r="C864" s="13"/>
      <c r="D864" s="13"/>
    </row>
    <row r="865" spans="1:4" ht="13" x14ac:dyDescent="0.15">
      <c r="A865" s="10"/>
      <c r="B865" s="13"/>
      <c r="C865" s="13"/>
      <c r="D865" s="13"/>
    </row>
    <row r="866" spans="1:4" ht="13" x14ac:dyDescent="0.15">
      <c r="A866" s="10"/>
      <c r="B866" s="13"/>
      <c r="C866" s="13"/>
      <c r="D866" s="13"/>
    </row>
    <row r="867" spans="1:4" ht="13" x14ac:dyDescent="0.15">
      <c r="A867" s="10"/>
      <c r="B867" s="13"/>
      <c r="C867" s="13"/>
      <c r="D867" s="13"/>
    </row>
    <row r="868" spans="1:4" ht="13" x14ac:dyDescent="0.15">
      <c r="A868" s="10"/>
      <c r="B868" s="13"/>
      <c r="C868" s="13"/>
      <c r="D868" s="13"/>
    </row>
    <row r="869" spans="1:4" ht="13" x14ac:dyDescent="0.15">
      <c r="A869" s="10"/>
      <c r="B869" s="13"/>
      <c r="C869" s="13"/>
      <c r="D869" s="13"/>
    </row>
    <row r="870" spans="1:4" ht="13" x14ac:dyDescent="0.15">
      <c r="A870" s="10"/>
      <c r="B870" s="13"/>
      <c r="C870" s="13"/>
      <c r="D870" s="13"/>
    </row>
    <row r="871" spans="1:4" ht="13" x14ac:dyDescent="0.15">
      <c r="A871" s="10"/>
      <c r="B871" s="13"/>
      <c r="C871" s="13"/>
      <c r="D871" s="13"/>
    </row>
    <row r="872" spans="1:4" ht="13" x14ac:dyDescent="0.15">
      <c r="A872" s="10"/>
      <c r="B872" s="13"/>
      <c r="C872" s="13"/>
      <c r="D872" s="13"/>
    </row>
    <row r="873" spans="1:4" ht="13" x14ac:dyDescent="0.15">
      <c r="A873" s="10"/>
      <c r="B873" s="13"/>
      <c r="C873" s="13"/>
      <c r="D873" s="13"/>
    </row>
    <row r="874" spans="1:4" ht="13" x14ac:dyDescent="0.15">
      <c r="A874" s="10"/>
      <c r="B874" s="13"/>
      <c r="C874" s="13"/>
      <c r="D874" s="13"/>
    </row>
    <row r="875" spans="1:4" ht="13" x14ac:dyDescent="0.15">
      <c r="A875" s="10"/>
      <c r="B875" s="13"/>
      <c r="C875" s="13"/>
      <c r="D875" s="13"/>
    </row>
    <row r="876" spans="1:4" ht="13" x14ac:dyDescent="0.15">
      <c r="A876" s="10"/>
      <c r="B876" s="13"/>
      <c r="C876" s="13"/>
      <c r="D876" s="13"/>
    </row>
    <row r="877" spans="1:4" ht="13" x14ac:dyDescent="0.15">
      <c r="A877" s="10"/>
      <c r="B877" s="13"/>
      <c r="C877" s="13"/>
      <c r="D877" s="13"/>
    </row>
    <row r="878" spans="1:4" ht="13" x14ac:dyDescent="0.15">
      <c r="A878" s="10"/>
      <c r="B878" s="13"/>
      <c r="C878" s="13"/>
      <c r="D878" s="13"/>
    </row>
    <row r="879" spans="1:4" ht="13" x14ac:dyDescent="0.15">
      <c r="A879" s="10"/>
      <c r="B879" s="13"/>
      <c r="C879" s="13"/>
      <c r="D879" s="13"/>
    </row>
    <row r="880" spans="1:4" ht="13" x14ac:dyDescent="0.15">
      <c r="A880" s="10"/>
      <c r="B880" s="13"/>
      <c r="C880" s="13"/>
      <c r="D880" s="13"/>
    </row>
    <row r="881" spans="1:4" ht="13" x14ac:dyDescent="0.15">
      <c r="A881" s="10"/>
      <c r="B881" s="13"/>
      <c r="C881" s="13"/>
      <c r="D881" s="13"/>
    </row>
    <row r="882" spans="1:4" ht="13" x14ac:dyDescent="0.15">
      <c r="A882" s="10"/>
      <c r="B882" s="13"/>
      <c r="C882" s="13"/>
      <c r="D882" s="13"/>
    </row>
    <row r="883" spans="1:4" ht="13" x14ac:dyDescent="0.15">
      <c r="A883" s="10"/>
      <c r="B883" s="13"/>
      <c r="C883" s="13"/>
      <c r="D883" s="13"/>
    </row>
    <row r="884" spans="1:4" ht="13" x14ac:dyDescent="0.15">
      <c r="A884" s="10"/>
      <c r="B884" s="13"/>
      <c r="C884" s="13"/>
      <c r="D884" s="13"/>
    </row>
    <row r="885" spans="1:4" ht="13" x14ac:dyDescent="0.15">
      <c r="A885" s="10"/>
      <c r="B885" s="13"/>
      <c r="C885" s="13"/>
      <c r="D885" s="13"/>
    </row>
    <row r="886" spans="1:4" ht="13" x14ac:dyDescent="0.15">
      <c r="A886" s="10"/>
      <c r="B886" s="13"/>
      <c r="C886" s="13"/>
      <c r="D886" s="13"/>
    </row>
    <row r="887" spans="1:4" ht="13" x14ac:dyDescent="0.15">
      <c r="A887" s="10"/>
      <c r="B887" s="13"/>
      <c r="C887" s="13"/>
      <c r="D887" s="13"/>
    </row>
    <row r="888" spans="1:4" ht="13" x14ac:dyDescent="0.15">
      <c r="A888" s="10"/>
      <c r="B888" s="13"/>
      <c r="C888" s="13"/>
      <c r="D888" s="13"/>
    </row>
    <row r="889" spans="1:4" ht="13" x14ac:dyDescent="0.15">
      <c r="A889" s="10"/>
      <c r="B889" s="13"/>
      <c r="C889" s="13"/>
      <c r="D889" s="13"/>
    </row>
    <row r="890" spans="1:4" ht="13" x14ac:dyDescent="0.15">
      <c r="A890" s="10"/>
      <c r="B890" s="13"/>
      <c r="C890" s="13"/>
      <c r="D890" s="13"/>
    </row>
    <row r="891" spans="1:4" ht="13" x14ac:dyDescent="0.15">
      <c r="A891" s="10"/>
      <c r="B891" s="13"/>
      <c r="C891" s="13"/>
      <c r="D891" s="13"/>
    </row>
    <row r="892" spans="1:4" ht="13" x14ac:dyDescent="0.15">
      <c r="A892" s="10"/>
      <c r="B892" s="13"/>
      <c r="C892" s="13"/>
      <c r="D892" s="13"/>
    </row>
    <row r="893" spans="1:4" ht="13" x14ac:dyDescent="0.15">
      <c r="A893" s="10"/>
      <c r="B893" s="13"/>
      <c r="C893" s="13"/>
      <c r="D893" s="13"/>
    </row>
    <row r="894" spans="1:4" ht="13" x14ac:dyDescent="0.15">
      <c r="A894" s="10"/>
      <c r="B894" s="13"/>
      <c r="C894" s="13"/>
      <c r="D894" s="13"/>
    </row>
    <row r="895" spans="1:4" ht="13" x14ac:dyDescent="0.15">
      <c r="A895" s="10"/>
      <c r="B895" s="13"/>
      <c r="C895" s="13"/>
      <c r="D895" s="13"/>
    </row>
    <row r="896" spans="1:4" ht="13" x14ac:dyDescent="0.15">
      <c r="A896" s="10"/>
      <c r="B896" s="13"/>
      <c r="C896" s="13"/>
      <c r="D896" s="13"/>
    </row>
    <row r="897" spans="1:4" ht="13" x14ac:dyDescent="0.15">
      <c r="A897" s="10"/>
      <c r="B897" s="13"/>
      <c r="C897" s="13"/>
      <c r="D897" s="13"/>
    </row>
    <row r="898" spans="1:4" ht="13" x14ac:dyDescent="0.15">
      <c r="A898" s="10"/>
      <c r="B898" s="13"/>
      <c r="C898" s="13"/>
      <c r="D898" s="13"/>
    </row>
    <row r="899" spans="1:4" ht="13" x14ac:dyDescent="0.15">
      <c r="A899" s="10"/>
      <c r="B899" s="13"/>
      <c r="C899" s="13"/>
      <c r="D899" s="13"/>
    </row>
    <row r="900" spans="1:4" ht="13" x14ac:dyDescent="0.15">
      <c r="A900" s="10"/>
      <c r="B900" s="13"/>
      <c r="C900" s="13"/>
      <c r="D900" s="13"/>
    </row>
    <row r="901" spans="1:4" ht="13" x14ac:dyDescent="0.15">
      <c r="A901" s="10"/>
      <c r="B901" s="13"/>
      <c r="C901" s="13"/>
      <c r="D901" s="13"/>
    </row>
    <row r="902" spans="1:4" ht="13" x14ac:dyDescent="0.15">
      <c r="A902" s="10"/>
      <c r="B902" s="13"/>
      <c r="C902" s="13"/>
      <c r="D902" s="13"/>
    </row>
    <row r="903" spans="1:4" ht="13" x14ac:dyDescent="0.15">
      <c r="A903" s="10"/>
      <c r="B903" s="13"/>
      <c r="C903" s="13"/>
      <c r="D903" s="13"/>
    </row>
    <row r="904" spans="1:4" ht="13" x14ac:dyDescent="0.15">
      <c r="A904" s="10"/>
      <c r="B904" s="13"/>
      <c r="C904" s="13"/>
      <c r="D904" s="13"/>
    </row>
    <row r="905" spans="1:4" ht="13" x14ac:dyDescent="0.15">
      <c r="A905" s="10"/>
      <c r="B905" s="13"/>
      <c r="C905" s="13"/>
      <c r="D905" s="13"/>
    </row>
    <row r="906" spans="1:4" ht="13" x14ac:dyDescent="0.15">
      <c r="A906" s="10"/>
      <c r="B906" s="13"/>
      <c r="C906" s="13"/>
      <c r="D906" s="13"/>
    </row>
    <row r="907" spans="1:4" ht="13" x14ac:dyDescent="0.15">
      <c r="A907" s="10"/>
      <c r="B907" s="13"/>
      <c r="C907" s="13"/>
      <c r="D907" s="13"/>
    </row>
    <row r="908" spans="1:4" ht="13" x14ac:dyDescent="0.15">
      <c r="A908" s="10"/>
      <c r="B908" s="13"/>
      <c r="C908" s="13"/>
      <c r="D908" s="13"/>
    </row>
    <row r="909" spans="1:4" ht="13" x14ac:dyDescent="0.15">
      <c r="A909" s="10"/>
      <c r="B909" s="13"/>
      <c r="C909" s="13"/>
      <c r="D909" s="13"/>
    </row>
    <row r="910" spans="1:4" ht="13" x14ac:dyDescent="0.15">
      <c r="A910" s="10"/>
      <c r="B910" s="13"/>
      <c r="C910" s="13"/>
      <c r="D910" s="13"/>
    </row>
    <row r="911" spans="1:4" ht="13" x14ac:dyDescent="0.15">
      <c r="A911" s="10"/>
      <c r="B911" s="13"/>
      <c r="C911" s="13"/>
      <c r="D911" s="13"/>
    </row>
    <row r="912" spans="1:4" ht="13" x14ac:dyDescent="0.15">
      <c r="A912" s="10"/>
      <c r="B912" s="13"/>
      <c r="C912" s="13"/>
      <c r="D912" s="13"/>
    </row>
    <row r="913" spans="1:4" ht="13" x14ac:dyDescent="0.15">
      <c r="A913" s="10"/>
      <c r="B913" s="13"/>
      <c r="C913" s="13"/>
      <c r="D913" s="13"/>
    </row>
    <row r="914" spans="1:4" ht="13" x14ac:dyDescent="0.15">
      <c r="A914" s="10"/>
      <c r="B914" s="13"/>
      <c r="C914" s="13"/>
      <c r="D914" s="13"/>
    </row>
    <row r="915" spans="1:4" ht="13" x14ac:dyDescent="0.15">
      <c r="A915" s="10"/>
      <c r="B915" s="13"/>
      <c r="C915" s="13"/>
      <c r="D915" s="13"/>
    </row>
    <row r="916" spans="1:4" ht="13" x14ac:dyDescent="0.15">
      <c r="A916" s="10"/>
      <c r="B916" s="13"/>
      <c r="C916" s="13"/>
      <c r="D916" s="13"/>
    </row>
    <row r="917" spans="1:4" ht="13" x14ac:dyDescent="0.15">
      <c r="A917" s="10"/>
      <c r="B917" s="13"/>
      <c r="C917" s="13"/>
      <c r="D917" s="13"/>
    </row>
    <row r="918" spans="1:4" ht="13" x14ac:dyDescent="0.15">
      <c r="A918" s="10"/>
      <c r="B918" s="13"/>
      <c r="C918" s="13"/>
      <c r="D918" s="13"/>
    </row>
    <row r="919" spans="1:4" ht="13" x14ac:dyDescent="0.15">
      <c r="A919" s="10"/>
      <c r="B919" s="13"/>
      <c r="C919" s="13"/>
      <c r="D919" s="13"/>
    </row>
    <row r="920" spans="1:4" ht="13" x14ac:dyDescent="0.15">
      <c r="A920" s="10"/>
      <c r="B920" s="13"/>
      <c r="C920" s="13"/>
      <c r="D920" s="13"/>
    </row>
    <row r="921" spans="1:4" ht="13" x14ac:dyDescent="0.15">
      <c r="A921" s="10"/>
      <c r="B921" s="13"/>
      <c r="C921" s="13"/>
      <c r="D921" s="13"/>
    </row>
    <row r="922" spans="1:4" ht="13" x14ac:dyDescent="0.15">
      <c r="A922" s="10"/>
      <c r="B922" s="13"/>
      <c r="C922" s="13"/>
      <c r="D922" s="13"/>
    </row>
    <row r="923" spans="1:4" ht="13" x14ac:dyDescent="0.15">
      <c r="A923" s="10"/>
      <c r="B923" s="13"/>
      <c r="C923" s="13"/>
      <c r="D923" s="13"/>
    </row>
    <row r="924" spans="1:4" ht="13" x14ac:dyDescent="0.15">
      <c r="A924" s="10"/>
      <c r="B924" s="13"/>
      <c r="C924" s="13"/>
      <c r="D924" s="13"/>
    </row>
    <row r="925" spans="1:4" ht="13" x14ac:dyDescent="0.15">
      <c r="A925" s="10"/>
      <c r="B925" s="13"/>
      <c r="C925" s="13"/>
      <c r="D925" s="13"/>
    </row>
    <row r="926" spans="1:4" ht="13" x14ac:dyDescent="0.15">
      <c r="A926" s="10"/>
      <c r="B926" s="13"/>
      <c r="C926" s="13"/>
      <c r="D926" s="13"/>
    </row>
    <row r="927" spans="1:4" ht="13" x14ac:dyDescent="0.15">
      <c r="A927" s="10"/>
      <c r="B927" s="13"/>
      <c r="C927" s="13"/>
      <c r="D927" s="13"/>
    </row>
    <row r="928" spans="1:4" ht="13" x14ac:dyDescent="0.15">
      <c r="A928" s="10"/>
      <c r="B928" s="13"/>
      <c r="C928" s="13"/>
      <c r="D928" s="13"/>
    </row>
    <row r="929" spans="1:4" ht="13" x14ac:dyDescent="0.15">
      <c r="A929" s="10"/>
      <c r="B929" s="13"/>
      <c r="C929" s="13"/>
      <c r="D929" s="13"/>
    </row>
    <row r="930" spans="1:4" ht="13" x14ac:dyDescent="0.15">
      <c r="A930" s="10"/>
      <c r="B930" s="13"/>
      <c r="C930" s="13"/>
      <c r="D930" s="13"/>
    </row>
    <row r="931" spans="1:4" ht="13" x14ac:dyDescent="0.15">
      <c r="A931" s="10"/>
      <c r="B931" s="13"/>
      <c r="C931" s="13"/>
      <c r="D931" s="13"/>
    </row>
    <row r="932" spans="1:4" ht="13" x14ac:dyDescent="0.15">
      <c r="A932" s="10"/>
      <c r="B932" s="13"/>
      <c r="C932" s="13"/>
      <c r="D932" s="13"/>
    </row>
    <row r="933" spans="1:4" ht="13" x14ac:dyDescent="0.15">
      <c r="A933" s="10"/>
      <c r="B933" s="13"/>
      <c r="C933" s="13"/>
      <c r="D933" s="13"/>
    </row>
    <row r="934" spans="1:4" ht="13" x14ac:dyDescent="0.15">
      <c r="A934" s="10"/>
      <c r="B934" s="13"/>
      <c r="C934" s="13"/>
      <c r="D934" s="13"/>
    </row>
    <row r="935" spans="1:4" ht="13" x14ac:dyDescent="0.15">
      <c r="A935" s="10"/>
      <c r="B935" s="13"/>
      <c r="C935" s="13"/>
      <c r="D935" s="13"/>
    </row>
    <row r="936" spans="1:4" ht="13" x14ac:dyDescent="0.15">
      <c r="A936" s="10"/>
      <c r="B936" s="13"/>
      <c r="C936" s="13"/>
      <c r="D936" s="13"/>
    </row>
    <row r="937" spans="1:4" ht="13" x14ac:dyDescent="0.15">
      <c r="A937" s="10"/>
      <c r="B937" s="13"/>
      <c r="C937" s="13"/>
      <c r="D937" s="13"/>
    </row>
    <row r="938" spans="1:4" ht="13" x14ac:dyDescent="0.15">
      <c r="A938" s="10"/>
      <c r="B938" s="13"/>
      <c r="C938" s="13"/>
      <c r="D938" s="13"/>
    </row>
    <row r="939" spans="1:4" ht="13" x14ac:dyDescent="0.15">
      <c r="A939" s="10"/>
      <c r="B939" s="13"/>
      <c r="C939" s="13"/>
      <c r="D939" s="13"/>
    </row>
    <row r="940" spans="1:4" ht="13" x14ac:dyDescent="0.15">
      <c r="A940" s="10"/>
      <c r="B940" s="13"/>
      <c r="C940" s="13"/>
      <c r="D940" s="13"/>
    </row>
    <row r="941" spans="1:4" ht="13" x14ac:dyDescent="0.15">
      <c r="A941" s="10"/>
      <c r="B941" s="13"/>
      <c r="C941" s="13"/>
      <c r="D941" s="13"/>
    </row>
    <row r="942" spans="1:4" ht="13" x14ac:dyDescent="0.15">
      <c r="A942" s="10"/>
      <c r="B942" s="13"/>
      <c r="C942" s="13"/>
      <c r="D942" s="13"/>
    </row>
    <row r="943" spans="1:4" ht="13" x14ac:dyDescent="0.15">
      <c r="A943" s="10"/>
      <c r="B943" s="13"/>
      <c r="C943" s="13"/>
      <c r="D943" s="13"/>
    </row>
    <row r="944" spans="1:4" ht="13" x14ac:dyDescent="0.15">
      <c r="A944" s="10"/>
      <c r="B944" s="13"/>
      <c r="C944" s="13"/>
      <c r="D944" s="13"/>
    </row>
    <row r="945" spans="1:4" ht="13" x14ac:dyDescent="0.15">
      <c r="A945" s="10"/>
      <c r="B945" s="13"/>
      <c r="C945" s="13"/>
      <c r="D945" s="13"/>
    </row>
    <row r="946" spans="1:4" ht="13" x14ac:dyDescent="0.15">
      <c r="A946" s="10"/>
      <c r="B946" s="13"/>
      <c r="C946" s="13"/>
      <c r="D946" s="13"/>
    </row>
    <row r="947" spans="1:4" ht="13" x14ac:dyDescent="0.15">
      <c r="A947" s="10"/>
      <c r="B947" s="13"/>
      <c r="C947" s="13"/>
      <c r="D947" s="13"/>
    </row>
    <row r="948" spans="1:4" ht="13" x14ac:dyDescent="0.15">
      <c r="A948" s="10"/>
      <c r="B948" s="13"/>
      <c r="C948" s="13"/>
      <c r="D948" s="13"/>
    </row>
    <row r="949" spans="1:4" ht="13" x14ac:dyDescent="0.15">
      <c r="A949" s="10"/>
      <c r="B949" s="13"/>
      <c r="C949" s="13"/>
      <c r="D949" s="13"/>
    </row>
    <row r="950" spans="1:4" ht="13" x14ac:dyDescent="0.15">
      <c r="A950" s="10"/>
      <c r="B950" s="13"/>
      <c r="C950" s="13"/>
      <c r="D950" s="13"/>
    </row>
    <row r="951" spans="1:4" ht="13" x14ac:dyDescent="0.15">
      <c r="A951" s="10"/>
      <c r="B951" s="13"/>
      <c r="C951" s="13"/>
      <c r="D951" s="13"/>
    </row>
    <row r="952" spans="1:4" ht="13" x14ac:dyDescent="0.15">
      <c r="A952" s="10"/>
      <c r="B952" s="13"/>
      <c r="C952" s="13"/>
      <c r="D952" s="13"/>
    </row>
    <row r="953" spans="1:4" ht="13" x14ac:dyDescent="0.15">
      <c r="A953" s="10"/>
      <c r="B953" s="13"/>
      <c r="C953" s="13"/>
      <c r="D953" s="13"/>
    </row>
    <row r="954" spans="1:4" ht="13" x14ac:dyDescent="0.15">
      <c r="A954" s="10"/>
      <c r="B954" s="13"/>
      <c r="C954" s="13"/>
      <c r="D954" s="13"/>
    </row>
    <row r="955" spans="1:4" ht="13" x14ac:dyDescent="0.15">
      <c r="A955" s="10"/>
      <c r="B955" s="13"/>
      <c r="C955" s="13"/>
      <c r="D955" s="13"/>
    </row>
    <row r="956" spans="1:4" ht="13" x14ac:dyDescent="0.15">
      <c r="A956" s="10"/>
      <c r="B956" s="13"/>
      <c r="C956" s="13"/>
      <c r="D956" s="13"/>
    </row>
    <row r="957" spans="1:4" ht="13" x14ac:dyDescent="0.15">
      <c r="A957" s="10"/>
      <c r="B957" s="13"/>
      <c r="C957" s="13"/>
      <c r="D957" s="13"/>
    </row>
    <row r="958" spans="1:4" ht="13" x14ac:dyDescent="0.15">
      <c r="A958" s="10"/>
      <c r="B958" s="13"/>
      <c r="C958" s="13"/>
      <c r="D958" s="13"/>
    </row>
    <row r="959" spans="1:4" ht="13" x14ac:dyDescent="0.15">
      <c r="A959" s="10"/>
      <c r="B959" s="13"/>
      <c r="C959" s="13"/>
      <c r="D959" s="13"/>
    </row>
    <row r="960" spans="1:4" ht="13" x14ac:dyDescent="0.15">
      <c r="A960" s="10"/>
      <c r="B960" s="13"/>
      <c r="C960" s="13"/>
      <c r="D960" s="13"/>
    </row>
    <row r="961" spans="1:4" ht="13" x14ac:dyDescent="0.15">
      <c r="A961" s="10"/>
      <c r="B961" s="13"/>
      <c r="C961" s="13"/>
      <c r="D961" s="13"/>
    </row>
    <row r="962" spans="1:4" ht="13" x14ac:dyDescent="0.15">
      <c r="A962" s="10"/>
      <c r="B962" s="13"/>
      <c r="C962" s="13"/>
      <c r="D962" s="13"/>
    </row>
    <row r="963" spans="1:4" ht="13" x14ac:dyDescent="0.15">
      <c r="A963" s="10"/>
      <c r="B963" s="13"/>
      <c r="C963" s="13"/>
      <c r="D963" s="13"/>
    </row>
    <row r="964" spans="1:4" ht="13" x14ac:dyDescent="0.15">
      <c r="A964" s="10"/>
      <c r="B964" s="13"/>
      <c r="C964" s="13"/>
      <c r="D964" s="13"/>
    </row>
    <row r="965" spans="1:4" ht="13" x14ac:dyDescent="0.15">
      <c r="A965" s="10"/>
      <c r="B965" s="13"/>
      <c r="C965" s="13"/>
      <c r="D965" s="13"/>
    </row>
    <row r="966" spans="1:4" ht="13" x14ac:dyDescent="0.15">
      <c r="A966" s="10"/>
      <c r="B966" s="13"/>
      <c r="C966" s="13"/>
      <c r="D966" s="13"/>
    </row>
    <row r="967" spans="1:4" ht="13" x14ac:dyDescent="0.15">
      <c r="A967" s="10"/>
      <c r="B967" s="13"/>
      <c r="C967" s="13"/>
      <c r="D967" s="13"/>
    </row>
    <row r="968" spans="1:4" ht="13" x14ac:dyDescent="0.15">
      <c r="A968" s="10"/>
      <c r="B968" s="13"/>
      <c r="C968" s="13"/>
      <c r="D968" s="13"/>
    </row>
    <row r="969" spans="1:4" ht="13" x14ac:dyDescent="0.15">
      <c r="A969" s="10"/>
      <c r="B969" s="13"/>
      <c r="C969" s="13"/>
      <c r="D969" s="13"/>
    </row>
    <row r="970" spans="1:4" ht="13" x14ac:dyDescent="0.15">
      <c r="A970" s="10"/>
      <c r="B970" s="13"/>
      <c r="C970" s="13"/>
      <c r="D970" s="13"/>
    </row>
    <row r="971" spans="1:4" ht="13" x14ac:dyDescent="0.15">
      <c r="A971" s="10"/>
      <c r="B971" s="13"/>
      <c r="C971" s="13"/>
      <c r="D971" s="13"/>
    </row>
    <row r="972" spans="1:4" ht="13" x14ac:dyDescent="0.15">
      <c r="A972" s="10"/>
      <c r="B972" s="13"/>
      <c r="C972" s="13"/>
      <c r="D972" s="13"/>
    </row>
    <row r="973" spans="1:4" ht="13" x14ac:dyDescent="0.15">
      <c r="A973" s="10"/>
      <c r="B973" s="13"/>
      <c r="C973" s="13"/>
      <c r="D973" s="13"/>
    </row>
    <row r="974" spans="1:4" ht="13" x14ac:dyDescent="0.15">
      <c r="A974" s="10"/>
      <c r="B974" s="13"/>
      <c r="C974" s="13"/>
      <c r="D974" s="13"/>
    </row>
    <row r="975" spans="1:4" ht="13" x14ac:dyDescent="0.15">
      <c r="A975" s="10"/>
      <c r="B975" s="13"/>
      <c r="C975" s="13"/>
      <c r="D975" s="13"/>
    </row>
    <row r="976" spans="1:4" ht="13" x14ac:dyDescent="0.15">
      <c r="A976" s="10"/>
      <c r="B976" s="13"/>
      <c r="C976" s="13"/>
      <c r="D976" s="13"/>
    </row>
    <row r="977" spans="1:4" ht="13" x14ac:dyDescent="0.15">
      <c r="A977" s="10"/>
      <c r="B977" s="13"/>
      <c r="C977" s="13"/>
      <c r="D977" s="13"/>
    </row>
    <row r="978" spans="1:4" ht="13" x14ac:dyDescent="0.15">
      <c r="A978" s="10"/>
      <c r="B978" s="13"/>
      <c r="C978" s="13"/>
      <c r="D978" s="13"/>
    </row>
    <row r="979" spans="1:4" ht="13" x14ac:dyDescent="0.15">
      <c r="A979" s="10"/>
      <c r="B979" s="13"/>
      <c r="C979" s="13"/>
      <c r="D979" s="13"/>
    </row>
    <row r="980" spans="1:4" ht="13" x14ac:dyDescent="0.15">
      <c r="A980" s="10"/>
      <c r="B980" s="13"/>
      <c r="C980" s="13"/>
      <c r="D980" s="13"/>
    </row>
    <row r="981" spans="1:4" ht="13" x14ac:dyDescent="0.15">
      <c r="A981" s="10"/>
      <c r="B981" s="13"/>
      <c r="C981" s="13"/>
      <c r="D981" s="13"/>
    </row>
    <row r="982" spans="1:4" ht="13" x14ac:dyDescent="0.15">
      <c r="A982" s="10"/>
      <c r="B982" s="13"/>
      <c r="C982" s="13"/>
      <c r="D982" s="13"/>
    </row>
    <row r="983" spans="1:4" ht="13" x14ac:dyDescent="0.15">
      <c r="A983" s="10"/>
      <c r="B983" s="13"/>
      <c r="C983" s="13"/>
      <c r="D983" s="13"/>
    </row>
    <row r="984" spans="1:4" ht="13" x14ac:dyDescent="0.15">
      <c r="A984" s="10"/>
      <c r="B984" s="13"/>
      <c r="C984" s="13"/>
      <c r="D984" s="13"/>
    </row>
    <row r="985" spans="1:4" ht="13" x14ac:dyDescent="0.15">
      <c r="A985" s="10"/>
      <c r="B985" s="13"/>
      <c r="C985" s="13"/>
      <c r="D985" s="13"/>
    </row>
    <row r="986" spans="1:4" ht="13" x14ac:dyDescent="0.15">
      <c r="A986" s="10"/>
      <c r="B986" s="13"/>
      <c r="C986" s="13"/>
      <c r="D986" s="13"/>
    </row>
    <row r="987" spans="1:4" ht="13" x14ac:dyDescent="0.15">
      <c r="A987" s="10"/>
      <c r="B987" s="13"/>
      <c r="C987" s="13"/>
      <c r="D987" s="13"/>
    </row>
    <row r="988" spans="1:4" ht="13" x14ac:dyDescent="0.15">
      <c r="A988" s="10"/>
      <c r="B988" s="13"/>
      <c r="C988" s="13"/>
      <c r="D988" s="13"/>
    </row>
    <row r="989" spans="1:4" ht="13" x14ac:dyDescent="0.15">
      <c r="A989" s="10"/>
      <c r="B989" s="13"/>
      <c r="C989" s="13"/>
      <c r="D989" s="13"/>
    </row>
    <row r="990" spans="1:4" ht="13" x14ac:dyDescent="0.15">
      <c r="A990" s="10"/>
      <c r="B990" s="13"/>
      <c r="C990" s="13"/>
      <c r="D990" s="13"/>
    </row>
    <row r="991" spans="1:4" ht="13" x14ac:dyDescent="0.15">
      <c r="A991" s="10"/>
      <c r="B991" s="13"/>
      <c r="C991" s="13"/>
      <c r="D991" s="13"/>
    </row>
    <row r="992" spans="1:4" ht="13" x14ac:dyDescent="0.15">
      <c r="A992" s="10"/>
      <c r="B992" s="13"/>
      <c r="C992" s="13"/>
      <c r="D992" s="13"/>
    </row>
    <row r="993" spans="1:4" ht="13" x14ac:dyDescent="0.15">
      <c r="A993" s="10"/>
      <c r="B993" s="13"/>
      <c r="C993" s="13"/>
      <c r="D993" s="13"/>
    </row>
    <row r="994" spans="1:4" ht="13" x14ac:dyDescent="0.15">
      <c r="A994" s="10"/>
      <c r="B994" s="13"/>
      <c r="C994" s="13"/>
      <c r="D994" s="13"/>
    </row>
    <row r="995" spans="1:4" ht="13" x14ac:dyDescent="0.15">
      <c r="A995" s="10"/>
      <c r="B995" s="13"/>
      <c r="C995" s="13"/>
      <c r="D995" s="13"/>
    </row>
    <row r="996" spans="1:4" ht="13" x14ac:dyDescent="0.15">
      <c r="A996" s="10"/>
      <c r="B996" s="13"/>
      <c r="C996" s="13"/>
      <c r="D996" s="13"/>
    </row>
    <row r="997" spans="1:4" ht="13" x14ac:dyDescent="0.15">
      <c r="A997" s="10"/>
      <c r="B997" s="13"/>
      <c r="C997" s="13"/>
      <c r="D997" s="13"/>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outlinePr summaryBelow="0" summaryRight="0"/>
  </sheetPr>
  <dimension ref="A1:D997"/>
  <sheetViews>
    <sheetView workbookViewId="0"/>
  </sheetViews>
  <sheetFormatPr baseColWidth="10" defaultColWidth="12.6640625" defaultRowHeight="15.75" customHeight="1" x14ac:dyDescent="0.15"/>
  <cols>
    <col min="1" max="1" width="71.5" customWidth="1"/>
    <col min="2" max="4" width="37.6640625" customWidth="1"/>
  </cols>
  <sheetData>
    <row r="1" spans="1:4" ht="15.75" customHeight="1" x14ac:dyDescent="0.15">
      <c r="A1" s="1"/>
      <c r="B1" s="10" t="str">
        <f ca="1">IFERROR(__xludf.DUMMYFUNCTION("IMPORTRANGE(""https://docs.google.com/spreadsheets/u/0/d/1etLQb97lMSNWG4ebq9e4mMf5V6Y_IPpBxMswZpIG47E"", ""A34!B1:B22"")"),"Erin Loudermilk")</f>
        <v>Erin Loudermilk</v>
      </c>
      <c r="C1" s="12" t="str">
        <f ca="1">IFERROR(__xludf.DUMMYFUNCTION("IMPORTRANGE(""https://docs.google.com/spreadsheets/u/0/d/1e6QLf1_HeiTNz7JOFlwsfbt48UsSPCJuGTSppexqIJc"", ""33!B1:B22"")"),"Tyler Thibodeaux")</f>
        <v>Tyler Thibodeaux</v>
      </c>
      <c r="D1" s="2" t="s">
        <v>1</v>
      </c>
    </row>
    <row r="2" spans="1:4" ht="15.75" customHeight="1" x14ac:dyDescent="0.15">
      <c r="A2" s="3" t="s">
        <v>2</v>
      </c>
      <c r="B2" s="15" t="str">
        <f ca="1">IFERROR(__xludf.DUMMYFUNCTION("""COMPUTED_VALUE"""),"23323 - 23766 FOR")</f>
        <v>23323 - 23766 FOR</v>
      </c>
      <c r="C2" s="15" t="str">
        <f ca="1">IFERROR(__xludf.DUMMYFUNCTION("""COMPUTED_VALUE"""),"(23323 - 23766 ) FOR")</f>
        <v>(23323 - 23766 ) FOR</v>
      </c>
      <c r="D2" s="4"/>
    </row>
    <row r="3" spans="1:4" ht="15.75" customHeight="1" x14ac:dyDescent="0.15">
      <c r="A3" s="5" t="s">
        <v>3</v>
      </c>
      <c r="B3" s="17" t="str">
        <f ca="1">IFERROR(__xludf.DUMMYFUNCTION("""COMPUTED_VALUE"""),"DNA: 33, Pham: 34")</f>
        <v>DNA: 33, Pham: 34</v>
      </c>
      <c r="C3" s="17" t="str">
        <f ca="1">IFERROR(__xludf.DUMMYFUNCTION("""COMPUTED_VALUE"""),"33 in DNAm, 34 in PHAM ")</f>
        <v xml:space="preserve">33 in DNAm, 34 in PHAM </v>
      </c>
      <c r="D3" s="6"/>
    </row>
    <row r="4" spans="1:4" ht="15.75" customHeight="1" x14ac:dyDescent="0.15">
      <c r="A4" s="5" t="s">
        <v>4</v>
      </c>
      <c r="B4" s="17" t="str">
        <f ca="1">IFERROR(__xludf.DUMMYFUNCTION("""COMPUTED_VALUE"""),"Pham 6170 (3/14/25)")</f>
        <v>Pham 6170 (3/14/25)</v>
      </c>
      <c r="C4" s="17" t="str">
        <f ca="1">IFERROR(__xludf.DUMMYFUNCTION("""COMPUTED_VALUE""")," pham 6170, 2-27-25")</f>
        <v xml:space="preserve"> pham 6170, 2-27-25</v>
      </c>
      <c r="D4" s="6"/>
    </row>
    <row r="5" spans="1:4" ht="15.75" customHeight="1" x14ac:dyDescent="0.15">
      <c r="A5" s="5" t="s">
        <v>5</v>
      </c>
      <c r="B5" s="17" t="str">
        <f ca="1">IFERROR(__xludf.DUMMYFUNCTION("""COMPUTED_VALUE"""),"Kovu_35, Edmundo_33")</f>
        <v>Kovu_35, Edmundo_33</v>
      </c>
      <c r="C5" s="17" t="str">
        <f ca="1">IFERROR(__xludf.DUMMYFUNCTION("""COMPUTED_VALUE"""),"Kovu_35")</f>
        <v>Kovu_35</v>
      </c>
      <c r="D5" s="6"/>
    </row>
    <row r="6" spans="1:4" ht="15.75" customHeight="1" x14ac:dyDescent="0.15">
      <c r="A6" s="5" t="s">
        <v>6</v>
      </c>
      <c r="B6" s="17" t="str">
        <f ca="1">IFERROR(__xludf.DUMMYFUNCTION("""COMPUTED_VALUE"""),"Both call start @ 23323")</f>
        <v>Both call start @ 23323</v>
      </c>
      <c r="C6" s="17" t="str">
        <f ca="1">IFERROR(__xludf.DUMMYFUNCTION("""COMPUTED_VALUE"""),"Original Glimmer call @bp 23323 BOTH CALLED THE SAME")</f>
        <v>Original Glimmer call @bp 23323 BOTH CALLED THE SAME</v>
      </c>
      <c r="D6" s="6"/>
    </row>
    <row r="7" spans="1:4" ht="15.75" customHeight="1" x14ac:dyDescent="0.15">
      <c r="A7" s="5" t="s">
        <v>7</v>
      </c>
      <c r="B7" s="17" t="str">
        <f ca="1">IFERROR(__xludf.DUMMYFUNCTION("""COMPUTED_VALUE"""),"Entire gene, including start has coding potential")</f>
        <v>Entire gene, including start has coding potential</v>
      </c>
      <c r="C7" s="17" t="str">
        <f ca="1">IFERROR(__xludf.DUMMYFUNCTION("""COMPUTED_VALUE"""),"Good Coding potential. All code is within the start")</f>
        <v>Good Coding potential. All code is within the start</v>
      </c>
      <c r="D7" s="6"/>
    </row>
    <row r="8" spans="1:4" ht="15.75" customHeight="1" x14ac:dyDescent="0.15">
      <c r="A8" s="5" t="s">
        <v>8</v>
      </c>
      <c r="B8" s="17" t="str">
        <f ca="1">IFERROR(__xludf.DUMMYFUNCTION("""COMPUTED_VALUE"""),"Yes")</f>
        <v>Yes</v>
      </c>
      <c r="C8" s="17" t="str">
        <f ca="1">IFERROR(__xludf.DUMMYFUNCTION("""COMPUTED_VALUE"""),"Longest Possible ORF")</f>
        <v>Longest Possible ORF</v>
      </c>
      <c r="D8" s="6"/>
    </row>
    <row r="9" spans="1:4" ht="15.75" customHeight="1" x14ac:dyDescent="0.15">
      <c r="A9" s="5" t="s">
        <v>9</v>
      </c>
      <c r="B9" s="17" t="str">
        <f ca="1">IFERROR(__xludf.DUMMYFUNCTION("""COMPUTED_VALUE"""),"1 nucleotide overlap")</f>
        <v>1 nucleotide overlap</v>
      </c>
      <c r="C9" s="17" t="str">
        <f ca="1">IFERROR(__xludf.DUMMYFUNCTION("""COMPUTED_VALUE"""),"No Gap or Overlap")</f>
        <v>No Gap or Overlap</v>
      </c>
      <c r="D9" s="6"/>
    </row>
    <row r="10" spans="1:4" ht="15.75" customHeight="1" x14ac:dyDescent="0.15">
      <c r="A10" s="5" t="s">
        <v>10</v>
      </c>
      <c r="B10" s="17" t="str">
        <f ca="1">IFERROR(__xludf.DUMMYFUNCTION("""COMPUTED_VALUE"""),"1.791, is best score")</f>
        <v>1.791, is best score</v>
      </c>
      <c r="C10" s="17" t="str">
        <f ca="1">IFERROR(__xludf.DUMMYFUNCTION("""COMPUTED_VALUE"""),"Good Z score. Z= 2.386. No other better starts")</f>
        <v>Good Z score. Z= 2.386. No other better starts</v>
      </c>
      <c r="D10" s="6"/>
    </row>
    <row r="11" spans="1:4" ht="15.75" customHeight="1" x14ac:dyDescent="0.15">
      <c r="A11" s="5" t="s">
        <v>11</v>
      </c>
      <c r="B11" s="17" t="str">
        <f ca="1">IFERROR(__xludf.DUMMYFUNCTION("""COMPUTED_VALUE"""),"Kovu_34, 78.2% identity, q:133, s:133")</f>
        <v>Kovu_34, 78.2% identity, q:133, s:133</v>
      </c>
      <c r="C11" s="17" t="str">
        <f ca="1">IFERROR(__xludf.DUMMYFUNCTION("""COMPUTED_VALUE"""),"Kovu Tail Terminator, Gene 35, 99 % indentity, e= 2e^-94, Start 1 for Apokipo=Start 1 in Kovu")</f>
        <v>Kovu Tail Terminator, Gene 35, 99 % indentity, e= 2e^-94, Start 1 for Apokipo=Start 1 in Kovu</v>
      </c>
      <c r="D11" s="6"/>
    </row>
    <row r="12" spans="1:4" ht="15.75" customHeight="1" x14ac:dyDescent="0.15">
      <c r="A12" s="5" t="s">
        <v>12</v>
      </c>
      <c r="B12" s="17" t="str">
        <f ca="1">IFERROR(__xludf.DUMMYFUNCTION("""COMPUTED_VALUE"""),"Not conserved in all memebrs of pham, called 100% time when present")</f>
        <v>Not conserved in all memebrs of pham, called 100% time when present</v>
      </c>
      <c r="C12" s="17" t="str">
        <f ca="1">IFERROR(__xludf.DUMMYFUNCTION("""COMPUTED_VALUE"""),"The Start is conserved in Kovu_35 and is called around a 100% of the time")</f>
        <v>The Start is conserved in Kovu_35 and is called around a 100% of the time</v>
      </c>
      <c r="D12" s="6"/>
    </row>
    <row r="13" spans="1:4" ht="15.75" customHeight="1" x14ac:dyDescent="0.15">
      <c r="A13" s="5" t="s">
        <v>13</v>
      </c>
      <c r="B13" s="17" t="str">
        <f ca="1">IFERROR(__xludf.DUMMYFUNCTION("""COMPUTED_VALUE"""),"No ")</f>
        <v xml:space="preserve">No </v>
      </c>
      <c r="C13" s="17" t="str">
        <f ca="1">IFERROR(__xludf.DUMMYFUNCTION("""COMPUTED_VALUE"""),"NO ")</f>
        <v xml:space="preserve">NO </v>
      </c>
      <c r="D13" s="6"/>
    </row>
    <row r="14" spans="1:4" ht="15.75" customHeight="1" x14ac:dyDescent="0.15">
      <c r="A14" s="5" t="s">
        <v>14</v>
      </c>
      <c r="B14" s="17" t="str">
        <f ca="1">IFERROR(__xludf.DUMMYFUNCTION("""COMPUTED_VALUE"""),"Kovu_35, 8e-75 e value")</f>
        <v>Kovu_35, 8e-75 e value</v>
      </c>
      <c r="C14" s="17" t="str">
        <f ca="1">IFERROR(__xludf.DUMMYFUNCTION("""COMPUTED_VALUE"""),"Kovu_35, tail terminator, e =8e^75, Waltz_30, function unknown, e= 3e^-38")</f>
        <v>Kovu_35, tail terminator, e =8e^75, Waltz_30, function unknown, e= 3e^-38</v>
      </c>
      <c r="D14" s="6"/>
    </row>
    <row r="15" spans="1:4" ht="15.75" customHeight="1" x14ac:dyDescent="0.15">
      <c r="A15" s="5" t="s">
        <v>15</v>
      </c>
      <c r="B15" s="17" t="str">
        <f ca="1">IFERROR(__xludf.DUMMYFUNCTION("""COMPUTED_VALUE"""),"Tail terminator")</f>
        <v>Tail terminator</v>
      </c>
      <c r="C15" s="17" t="str">
        <f ca="1">IFERROR(__xludf.DUMMYFUNCTION("""COMPUTED_VALUE"""),"Kovu_35, tail teminator. Waltz_30, Hypothetical Function ")</f>
        <v xml:space="preserve">Kovu_35, tail teminator. Waltz_30, Hypothetical Function </v>
      </c>
      <c r="D15" s="6"/>
    </row>
    <row r="16" spans="1:4" ht="15.75" customHeight="1" x14ac:dyDescent="0.15">
      <c r="A16" s="5" t="s">
        <v>16</v>
      </c>
      <c r="B16" s="17" t="str">
        <f ca="1">IFERROR(__xludf.DUMMYFUNCTION("""COMPUTED_VALUE"""),"Found in similar environment in Kovu")</f>
        <v>Found in similar environment in Kovu</v>
      </c>
      <c r="C16" s="17" t="str">
        <f ca="1">IFERROR(__xludf.DUMMYFUNCTION("""COMPUTED_VALUE"""),"It is found in the same enviornment as Kovu")</f>
        <v>It is found in the same enviornment as Kovu</v>
      </c>
      <c r="D16" s="6"/>
    </row>
    <row r="17" spans="1:4" ht="15.75" customHeight="1" x14ac:dyDescent="0.15">
      <c r="A17" s="5" t="s">
        <v>17</v>
      </c>
      <c r="B17" s="17" t="str">
        <f ca="1">IFERROR(__xludf.DUMMYFUNCTION("""COMPUTED_VALUE"""),"Minor_capsid_3; Bacteriophage minor capsid protein (family of tail terminator proteins), 99.71% probability, 66.67% query, 57.26% target, functional domain is in target alignment")</f>
        <v>Minor_capsid_3; Bacteriophage minor capsid protein (family of tail terminator proteins), 99.71% probability, 66.67% query, 57.26% target, functional domain is in target alignment</v>
      </c>
      <c r="C17" s="17" t="str">
        <f ca="1">IFERROR(__xludf.DUMMYFUNCTION("""COMPUTED_VALUE"""),"Minor_capsid_3 ; Bacteriophage minor capsid protein, 99.86 % probability, %Q= 72%, %T=85%, More than likely the functional domain is in the target allignment. Possible further exploration.")</f>
        <v>Minor_capsid_3 ; Bacteriophage minor capsid protein, 99.86 % probability, %Q= 72%, %T=85%, More than likely the functional domain is in the target allignment. Possible further exploration.</v>
      </c>
      <c r="D17" s="6"/>
    </row>
    <row r="18" spans="1:4" ht="15.75" customHeight="1" x14ac:dyDescent="0.15">
      <c r="A18" s="5" t="s">
        <v>18</v>
      </c>
      <c r="B18" s="17" t="str">
        <f ca="1">IFERROR(__xludf.DUMMYFUNCTION("""COMPUTED_VALUE"""),"Minor_capsid_3")</f>
        <v>Minor_capsid_3</v>
      </c>
      <c r="C18" s="17" t="str">
        <f ca="1">IFERROR(__xludf.DUMMYFUNCTION("""COMPUTED_VALUE"""),"Minor_capsid_3")</f>
        <v>Minor_capsid_3</v>
      </c>
      <c r="D18" s="6"/>
    </row>
    <row r="19" spans="1:4" ht="15.75" customHeight="1" x14ac:dyDescent="0.15">
      <c r="A19" s="5" t="s">
        <v>19</v>
      </c>
      <c r="B19" s="17" t="str">
        <f ca="1">IFERROR(__xludf.DUMMYFUNCTION("""COMPUTED_VALUE"""),"None")</f>
        <v>None</v>
      </c>
      <c r="C19" s="17" t="str">
        <f ca="1">IFERROR(__xludf.DUMMYFUNCTION("""COMPUTED_VALUE"""),"None")</f>
        <v>None</v>
      </c>
      <c r="D19" s="6"/>
    </row>
    <row r="20" spans="1:4" ht="15.75" customHeight="1" x14ac:dyDescent="0.15">
      <c r="A20" s="5" t="s">
        <v>20</v>
      </c>
      <c r="B20" s="17" t="str">
        <f ca="1">IFERROR(__xludf.DUMMYFUNCTION("""COMPUTED_VALUE"""),"Tail terminator")</f>
        <v>Tail terminator</v>
      </c>
      <c r="C20" s="17" t="str">
        <f ca="1">IFERROR(__xludf.DUMMYFUNCTION("""COMPUTED_VALUE"""),"minor capsid protein. Based on the HHPREd, %T and %Q, NCBI blast, I would assume that it is a minor capsid protein.")</f>
        <v>minor capsid protein. Based on the HHPREd, %T and %Q, NCBI blast, I would assume that it is a minor capsid protein.</v>
      </c>
      <c r="D20" s="6"/>
    </row>
    <row r="21" spans="1:4" x14ac:dyDescent="0.2">
      <c r="A21" s="7"/>
      <c r="B21" s="19"/>
      <c r="C21" s="19"/>
      <c r="D21" s="8"/>
    </row>
    <row r="22" spans="1:4" ht="15.75" customHeight="1" x14ac:dyDescent="0.15">
      <c r="A22" s="9" t="s">
        <v>21</v>
      </c>
      <c r="B22" s="19"/>
      <c r="C22" s="19"/>
      <c r="D22" s="8"/>
    </row>
    <row r="23" spans="1:4" ht="15.75" customHeight="1" x14ac:dyDescent="0.15">
      <c r="A23" s="10"/>
      <c r="B23" s="13"/>
      <c r="C23" s="13"/>
    </row>
    <row r="24" spans="1:4" ht="15.75" customHeight="1" x14ac:dyDescent="0.15">
      <c r="A24" s="10"/>
      <c r="B24" s="13"/>
      <c r="C24" s="13"/>
    </row>
    <row r="25" spans="1:4" ht="15.75" customHeight="1" x14ac:dyDescent="0.15">
      <c r="A25" s="10"/>
      <c r="B25" s="13"/>
      <c r="C25" s="13"/>
    </row>
    <row r="26" spans="1:4" ht="15.75" customHeight="1" x14ac:dyDescent="0.15">
      <c r="A26" s="10"/>
      <c r="B26" s="13"/>
      <c r="C26" s="13"/>
    </row>
    <row r="27" spans="1:4" ht="15.75" customHeight="1" x14ac:dyDescent="0.15">
      <c r="A27" s="10"/>
      <c r="B27" s="13"/>
      <c r="C27" s="13"/>
    </row>
    <row r="28" spans="1:4" ht="15.75" customHeight="1" x14ac:dyDescent="0.15">
      <c r="A28" s="10"/>
      <c r="B28" s="13"/>
      <c r="C28" s="13"/>
    </row>
    <row r="29" spans="1:4" ht="15.75" customHeight="1" x14ac:dyDescent="0.15">
      <c r="A29" s="10"/>
      <c r="B29" s="13"/>
      <c r="C29" s="13"/>
    </row>
    <row r="30" spans="1:4" ht="15.75" customHeight="1" x14ac:dyDescent="0.15">
      <c r="A30" s="10"/>
      <c r="B30" s="13"/>
      <c r="C30" s="13"/>
    </row>
    <row r="31" spans="1:4" ht="15.75" customHeight="1" x14ac:dyDescent="0.15">
      <c r="A31" s="10"/>
      <c r="B31" s="13"/>
      <c r="C31" s="13"/>
    </row>
    <row r="32" spans="1:4" ht="15.75" customHeight="1" x14ac:dyDescent="0.15">
      <c r="A32" s="10"/>
      <c r="B32" s="13"/>
      <c r="C32" s="13"/>
    </row>
    <row r="33" spans="1:3" ht="15.75" customHeight="1" x14ac:dyDescent="0.15">
      <c r="A33" s="10"/>
      <c r="B33" s="13"/>
      <c r="C33" s="13"/>
    </row>
    <row r="34" spans="1:3" ht="15.75" customHeight="1" x14ac:dyDescent="0.15">
      <c r="A34" s="10"/>
      <c r="B34" s="13"/>
      <c r="C34" s="13"/>
    </row>
    <row r="35" spans="1:3" ht="15.75" customHeight="1" x14ac:dyDescent="0.15">
      <c r="A35" s="10"/>
      <c r="B35" s="13"/>
      <c r="C35" s="13"/>
    </row>
    <row r="36" spans="1:3" ht="15.75" customHeight="1" x14ac:dyDescent="0.15">
      <c r="A36" s="10"/>
      <c r="B36" s="13"/>
      <c r="C36" s="13"/>
    </row>
    <row r="37" spans="1:3" ht="15.75" customHeight="1" x14ac:dyDescent="0.15">
      <c r="A37" s="10"/>
      <c r="B37" s="13"/>
      <c r="C37" s="13"/>
    </row>
    <row r="38" spans="1:3" ht="15.75" customHeight="1" x14ac:dyDescent="0.15">
      <c r="A38" s="10"/>
      <c r="B38" s="13"/>
      <c r="C38" s="13"/>
    </row>
    <row r="39" spans="1:3" ht="13" x14ac:dyDescent="0.15">
      <c r="A39" s="10"/>
      <c r="B39" s="13"/>
      <c r="C39" s="13"/>
    </row>
    <row r="40" spans="1:3" ht="13" x14ac:dyDescent="0.15">
      <c r="A40" s="10"/>
      <c r="B40" s="13"/>
      <c r="C40" s="13"/>
    </row>
    <row r="41" spans="1:3" ht="13" x14ac:dyDescent="0.15">
      <c r="A41" s="10"/>
      <c r="B41" s="13"/>
      <c r="C41" s="13"/>
    </row>
    <row r="42" spans="1:3" ht="13" x14ac:dyDescent="0.15">
      <c r="A42" s="10"/>
      <c r="B42" s="13"/>
      <c r="C42" s="13"/>
    </row>
    <row r="43" spans="1:3" ht="13" x14ac:dyDescent="0.15">
      <c r="A43" s="10"/>
      <c r="B43" s="13"/>
      <c r="C43" s="13"/>
    </row>
    <row r="44" spans="1:3" ht="13" x14ac:dyDescent="0.15">
      <c r="A44" s="10"/>
      <c r="B44" s="13"/>
      <c r="C44" s="13"/>
    </row>
    <row r="45" spans="1:3" ht="13" x14ac:dyDescent="0.15">
      <c r="A45" s="10"/>
      <c r="B45" s="13"/>
      <c r="C45" s="13"/>
    </row>
    <row r="46" spans="1:3" ht="13" x14ac:dyDescent="0.15">
      <c r="A46" s="10"/>
      <c r="B46" s="13"/>
      <c r="C46" s="13"/>
    </row>
    <row r="47" spans="1:3" ht="13" x14ac:dyDescent="0.15">
      <c r="A47" s="10"/>
      <c r="B47" s="13"/>
      <c r="C47" s="13"/>
    </row>
    <row r="48" spans="1:3" ht="13" x14ac:dyDescent="0.15">
      <c r="A48" s="10"/>
      <c r="B48" s="13"/>
      <c r="C48" s="13"/>
    </row>
    <row r="49" spans="1:3" ht="13" x14ac:dyDescent="0.15">
      <c r="A49" s="10"/>
      <c r="B49" s="13"/>
      <c r="C49" s="13"/>
    </row>
    <row r="50" spans="1:3" ht="13" x14ac:dyDescent="0.15">
      <c r="A50" s="10"/>
      <c r="B50" s="13"/>
      <c r="C50" s="13"/>
    </row>
    <row r="51" spans="1:3" ht="13" x14ac:dyDescent="0.15">
      <c r="A51" s="10"/>
      <c r="B51" s="13"/>
      <c r="C51" s="13"/>
    </row>
    <row r="52" spans="1:3" ht="13" x14ac:dyDescent="0.15">
      <c r="A52" s="10"/>
      <c r="B52" s="13"/>
      <c r="C52" s="13"/>
    </row>
    <row r="53" spans="1:3" ht="13" x14ac:dyDescent="0.15">
      <c r="A53" s="10"/>
      <c r="B53" s="13"/>
      <c r="C53" s="13"/>
    </row>
    <row r="54" spans="1:3" ht="13" x14ac:dyDescent="0.15">
      <c r="A54" s="10"/>
      <c r="B54" s="13"/>
      <c r="C54" s="13"/>
    </row>
    <row r="55" spans="1:3" ht="13" x14ac:dyDescent="0.15">
      <c r="A55" s="10"/>
      <c r="B55" s="13"/>
      <c r="C55" s="13"/>
    </row>
    <row r="56" spans="1:3" ht="13" x14ac:dyDescent="0.15">
      <c r="A56" s="10"/>
      <c r="B56" s="13"/>
      <c r="C56" s="13"/>
    </row>
    <row r="57" spans="1:3" ht="13" x14ac:dyDescent="0.15">
      <c r="A57" s="10"/>
      <c r="B57" s="13"/>
      <c r="C57" s="13"/>
    </row>
    <row r="58" spans="1:3" ht="13" x14ac:dyDescent="0.15">
      <c r="A58" s="10"/>
      <c r="B58" s="13"/>
      <c r="C58" s="13"/>
    </row>
    <row r="59" spans="1:3" ht="13" x14ac:dyDescent="0.15">
      <c r="A59" s="10"/>
      <c r="B59" s="13"/>
      <c r="C59" s="13"/>
    </row>
    <row r="60" spans="1:3" ht="13" x14ac:dyDescent="0.15">
      <c r="A60" s="10"/>
      <c r="B60" s="13"/>
      <c r="C60" s="13"/>
    </row>
    <row r="61" spans="1:3" ht="13" x14ac:dyDescent="0.15">
      <c r="A61" s="10"/>
      <c r="B61" s="13"/>
      <c r="C61" s="13"/>
    </row>
    <row r="62" spans="1:3" ht="13" x14ac:dyDescent="0.15">
      <c r="A62" s="10"/>
      <c r="B62" s="13"/>
      <c r="C62" s="13"/>
    </row>
    <row r="63" spans="1:3" ht="13" x14ac:dyDescent="0.15">
      <c r="A63" s="10"/>
      <c r="B63" s="13"/>
      <c r="C63" s="13"/>
    </row>
    <row r="64" spans="1:3" ht="13" x14ac:dyDescent="0.15">
      <c r="A64" s="10"/>
      <c r="B64" s="13"/>
      <c r="C64" s="13"/>
    </row>
    <row r="65" spans="1:3" ht="13" x14ac:dyDescent="0.15">
      <c r="A65" s="10"/>
      <c r="B65" s="13"/>
      <c r="C65" s="13"/>
    </row>
    <row r="66" spans="1:3" ht="13" x14ac:dyDescent="0.15">
      <c r="A66" s="10"/>
      <c r="B66" s="13"/>
      <c r="C66" s="13"/>
    </row>
    <row r="67" spans="1:3" ht="13" x14ac:dyDescent="0.15">
      <c r="A67" s="10"/>
      <c r="B67" s="13"/>
      <c r="C67" s="13"/>
    </row>
    <row r="68" spans="1:3" ht="13" x14ac:dyDescent="0.15">
      <c r="A68" s="10"/>
      <c r="B68" s="13"/>
      <c r="C68" s="13"/>
    </row>
    <row r="69" spans="1:3" ht="13" x14ac:dyDescent="0.15">
      <c r="A69" s="10"/>
      <c r="B69" s="13"/>
      <c r="C69" s="13"/>
    </row>
    <row r="70" spans="1:3" ht="13" x14ac:dyDescent="0.15">
      <c r="A70" s="10"/>
      <c r="B70" s="13"/>
      <c r="C70" s="13"/>
    </row>
    <row r="71" spans="1:3" ht="13" x14ac:dyDescent="0.15">
      <c r="A71" s="10"/>
      <c r="B71" s="13"/>
      <c r="C71" s="13"/>
    </row>
    <row r="72" spans="1:3" ht="13" x14ac:dyDescent="0.15">
      <c r="A72" s="10"/>
      <c r="B72" s="13"/>
      <c r="C72" s="13"/>
    </row>
    <row r="73" spans="1:3" ht="13" x14ac:dyDescent="0.15">
      <c r="A73" s="10"/>
      <c r="B73" s="13"/>
      <c r="C73" s="13"/>
    </row>
    <row r="74" spans="1:3" ht="13" x14ac:dyDescent="0.15">
      <c r="A74" s="10"/>
      <c r="B74" s="13"/>
      <c r="C74" s="13"/>
    </row>
    <row r="75" spans="1:3" ht="13" x14ac:dyDescent="0.15">
      <c r="A75" s="10"/>
      <c r="B75" s="13"/>
      <c r="C75" s="13"/>
    </row>
    <row r="76" spans="1:3" ht="13" x14ac:dyDescent="0.15">
      <c r="A76" s="10"/>
      <c r="B76" s="13"/>
      <c r="C76" s="13"/>
    </row>
    <row r="77" spans="1:3" ht="13" x14ac:dyDescent="0.15">
      <c r="A77" s="10"/>
      <c r="B77" s="13"/>
      <c r="C77" s="13"/>
    </row>
    <row r="78" spans="1:3" ht="13" x14ac:dyDescent="0.15">
      <c r="A78" s="10"/>
      <c r="B78" s="13"/>
      <c r="C78" s="13"/>
    </row>
    <row r="79" spans="1:3" ht="13" x14ac:dyDescent="0.15">
      <c r="A79" s="10"/>
      <c r="B79" s="13"/>
      <c r="C79" s="13"/>
    </row>
    <row r="80" spans="1:3" ht="13" x14ac:dyDescent="0.15">
      <c r="A80" s="10"/>
      <c r="B80" s="13"/>
      <c r="C80" s="13"/>
    </row>
    <row r="81" spans="1:3" ht="13" x14ac:dyDescent="0.15">
      <c r="A81" s="10"/>
      <c r="B81" s="13"/>
      <c r="C81" s="13"/>
    </row>
    <row r="82" spans="1:3" ht="13" x14ac:dyDescent="0.15">
      <c r="A82" s="10"/>
      <c r="B82" s="13"/>
      <c r="C82" s="13"/>
    </row>
    <row r="83" spans="1:3" ht="13" x14ac:dyDescent="0.15">
      <c r="A83" s="10"/>
      <c r="B83" s="13"/>
      <c r="C83" s="13"/>
    </row>
    <row r="84" spans="1:3" ht="13" x14ac:dyDescent="0.15">
      <c r="A84" s="10"/>
      <c r="B84" s="13"/>
      <c r="C84" s="13"/>
    </row>
    <row r="85" spans="1:3" ht="13" x14ac:dyDescent="0.15">
      <c r="A85" s="10"/>
      <c r="B85" s="13"/>
      <c r="C85" s="13"/>
    </row>
    <row r="86" spans="1:3" ht="13" x14ac:dyDescent="0.15">
      <c r="A86" s="10"/>
      <c r="B86" s="13"/>
      <c r="C86" s="13"/>
    </row>
    <row r="87" spans="1:3" ht="13" x14ac:dyDescent="0.15">
      <c r="A87" s="10"/>
      <c r="B87" s="13"/>
      <c r="C87" s="13"/>
    </row>
    <row r="88" spans="1:3" ht="13" x14ac:dyDescent="0.15">
      <c r="A88" s="10"/>
      <c r="B88" s="13"/>
      <c r="C88" s="13"/>
    </row>
    <row r="89" spans="1:3" ht="13" x14ac:dyDescent="0.15">
      <c r="A89" s="10"/>
      <c r="B89" s="13"/>
      <c r="C89" s="13"/>
    </row>
    <row r="90" spans="1:3" ht="13" x14ac:dyDescent="0.15">
      <c r="A90" s="10"/>
      <c r="B90" s="13"/>
      <c r="C90" s="13"/>
    </row>
    <row r="91" spans="1:3" ht="13" x14ac:dyDescent="0.15">
      <c r="A91" s="10"/>
      <c r="B91" s="13"/>
      <c r="C91" s="13"/>
    </row>
    <row r="92" spans="1:3" ht="13" x14ac:dyDescent="0.15">
      <c r="A92" s="10"/>
      <c r="B92" s="13"/>
      <c r="C92" s="13"/>
    </row>
    <row r="93" spans="1:3" ht="13" x14ac:dyDescent="0.15">
      <c r="A93" s="10"/>
      <c r="B93" s="13"/>
      <c r="C93" s="13"/>
    </row>
    <row r="94" spans="1:3" ht="13" x14ac:dyDescent="0.15">
      <c r="A94" s="10"/>
      <c r="B94" s="13"/>
      <c r="C94" s="13"/>
    </row>
    <row r="95" spans="1:3" ht="13" x14ac:dyDescent="0.15">
      <c r="A95" s="10"/>
      <c r="B95" s="13"/>
      <c r="C95" s="13"/>
    </row>
    <row r="96" spans="1:3" ht="13" x14ac:dyDescent="0.15">
      <c r="A96" s="10"/>
      <c r="B96" s="13"/>
      <c r="C96" s="13"/>
    </row>
    <row r="97" spans="1:3" ht="13" x14ac:dyDescent="0.15">
      <c r="A97" s="10"/>
      <c r="B97" s="13"/>
      <c r="C97" s="13"/>
    </row>
    <row r="98" spans="1:3" ht="13" x14ac:dyDescent="0.15">
      <c r="A98" s="10"/>
      <c r="B98" s="13"/>
      <c r="C98" s="13"/>
    </row>
    <row r="99" spans="1:3" ht="13" x14ac:dyDescent="0.15">
      <c r="A99" s="10"/>
      <c r="B99" s="13"/>
      <c r="C99" s="13"/>
    </row>
    <row r="100" spans="1:3" ht="13" x14ac:dyDescent="0.15">
      <c r="A100" s="10"/>
      <c r="B100" s="13"/>
      <c r="C100" s="13"/>
    </row>
    <row r="101" spans="1:3" ht="13" x14ac:dyDescent="0.15">
      <c r="A101" s="10"/>
      <c r="B101" s="13"/>
      <c r="C101" s="13"/>
    </row>
    <row r="102" spans="1:3" ht="13" x14ac:dyDescent="0.15">
      <c r="A102" s="10"/>
      <c r="B102" s="13"/>
      <c r="C102" s="13"/>
    </row>
    <row r="103" spans="1:3" ht="13" x14ac:dyDescent="0.15">
      <c r="A103" s="10"/>
      <c r="B103" s="13"/>
      <c r="C103" s="13"/>
    </row>
    <row r="104" spans="1:3" ht="13" x14ac:dyDescent="0.15">
      <c r="A104" s="10"/>
      <c r="B104" s="13"/>
      <c r="C104" s="13"/>
    </row>
    <row r="105" spans="1:3" ht="13" x14ac:dyDescent="0.15">
      <c r="A105" s="10"/>
      <c r="B105" s="13"/>
      <c r="C105" s="13"/>
    </row>
    <row r="106" spans="1:3" ht="13" x14ac:dyDescent="0.15">
      <c r="A106" s="10"/>
      <c r="B106" s="13"/>
      <c r="C106" s="13"/>
    </row>
    <row r="107" spans="1:3" ht="13" x14ac:dyDescent="0.15">
      <c r="A107" s="10"/>
      <c r="B107" s="13"/>
      <c r="C107" s="13"/>
    </row>
    <row r="108" spans="1:3" ht="13" x14ac:dyDescent="0.15">
      <c r="A108" s="10"/>
      <c r="B108" s="13"/>
      <c r="C108" s="13"/>
    </row>
    <row r="109" spans="1:3" ht="13" x14ac:dyDescent="0.15">
      <c r="A109" s="10"/>
      <c r="B109" s="13"/>
      <c r="C109" s="13"/>
    </row>
    <row r="110" spans="1:3" ht="13" x14ac:dyDescent="0.15">
      <c r="A110" s="10"/>
      <c r="B110" s="13"/>
      <c r="C110" s="13"/>
    </row>
    <row r="111" spans="1:3" ht="13" x14ac:dyDescent="0.15">
      <c r="A111" s="10"/>
      <c r="B111" s="13"/>
      <c r="C111" s="13"/>
    </row>
    <row r="112" spans="1:3" ht="13" x14ac:dyDescent="0.15">
      <c r="A112" s="10"/>
      <c r="B112" s="13"/>
      <c r="C112" s="13"/>
    </row>
    <row r="113" spans="1:3" ht="13" x14ac:dyDescent="0.15">
      <c r="A113" s="10"/>
      <c r="B113" s="13"/>
      <c r="C113" s="13"/>
    </row>
    <row r="114" spans="1:3" ht="13" x14ac:dyDescent="0.15">
      <c r="A114" s="10"/>
      <c r="B114" s="13"/>
      <c r="C114" s="13"/>
    </row>
    <row r="115" spans="1:3" ht="13" x14ac:dyDescent="0.15">
      <c r="A115" s="10"/>
      <c r="B115" s="13"/>
      <c r="C115" s="13"/>
    </row>
    <row r="116" spans="1:3" ht="13" x14ac:dyDescent="0.15">
      <c r="A116" s="10"/>
      <c r="B116" s="13"/>
      <c r="C116" s="13"/>
    </row>
    <row r="117" spans="1:3" ht="13" x14ac:dyDescent="0.15">
      <c r="A117" s="10"/>
      <c r="B117" s="13"/>
      <c r="C117" s="13"/>
    </row>
    <row r="118" spans="1:3" ht="13" x14ac:dyDescent="0.15">
      <c r="A118" s="10"/>
      <c r="B118" s="13"/>
      <c r="C118" s="13"/>
    </row>
    <row r="119" spans="1:3" ht="13" x14ac:dyDescent="0.15">
      <c r="A119" s="10"/>
      <c r="B119" s="13"/>
      <c r="C119" s="13"/>
    </row>
    <row r="120" spans="1:3" ht="13" x14ac:dyDescent="0.15">
      <c r="A120" s="10"/>
      <c r="B120" s="13"/>
      <c r="C120" s="13"/>
    </row>
    <row r="121" spans="1:3" ht="13" x14ac:dyDescent="0.15">
      <c r="A121" s="10"/>
      <c r="B121" s="13"/>
      <c r="C121" s="13"/>
    </row>
    <row r="122" spans="1:3" ht="13" x14ac:dyDescent="0.15">
      <c r="A122" s="10"/>
      <c r="B122" s="13"/>
      <c r="C122" s="13"/>
    </row>
    <row r="123" spans="1:3" ht="13" x14ac:dyDescent="0.15">
      <c r="A123" s="10"/>
      <c r="B123" s="13"/>
      <c r="C123" s="13"/>
    </row>
    <row r="124" spans="1:3" ht="13" x14ac:dyDescent="0.15">
      <c r="A124" s="10"/>
      <c r="B124" s="13"/>
      <c r="C124" s="13"/>
    </row>
    <row r="125" spans="1:3" ht="13" x14ac:dyDescent="0.15">
      <c r="A125" s="10"/>
      <c r="B125" s="13"/>
      <c r="C125" s="13"/>
    </row>
    <row r="126" spans="1:3" ht="13" x14ac:dyDescent="0.15">
      <c r="A126" s="10"/>
      <c r="B126" s="13"/>
      <c r="C126" s="13"/>
    </row>
    <row r="127" spans="1:3" ht="13" x14ac:dyDescent="0.15">
      <c r="A127" s="10"/>
      <c r="B127" s="13"/>
      <c r="C127" s="13"/>
    </row>
    <row r="128" spans="1:3" ht="13" x14ac:dyDescent="0.15">
      <c r="A128" s="10"/>
      <c r="B128" s="13"/>
      <c r="C128" s="13"/>
    </row>
    <row r="129" spans="1:3" ht="13" x14ac:dyDescent="0.15">
      <c r="A129" s="10"/>
      <c r="B129" s="13"/>
      <c r="C129" s="13"/>
    </row>
    <row r="130" spans="1:3" ht="13" x14ac:dyDescent="0.15">
      <c r="A130" s="10"/>
      <c r="B130" s="13"/>
      <c r="C130" s="13"/>
    </row>
    <row r="131" spans="1:3" ht="13" x14ac:dyDescent="0.15">
      <c r="A131" s="10"/>
      <c r="B131" s="13"/>
      <c r="C131" s="13"/>
    </row>
    <row r="132" spans="1:3" ht="13" x14ac:dyDescent="0.15">
      <c r="A132" s="10"/>
      <c r="B132" s="13"/>
      <c r="C132" s="13"/>
    </row>
    <row r="133" spans="1:3" ht="13" x14ac:dyDescent="0.15">
      <c r="A133" s="10"/>
      <c r="B133" s="13"/>
      <c r="C133" s="13"/>
    </row>
    <row r="134" spans="1:3" ht="13" x14ac:dyDescent="0.15">
      <c r="A134" s="10"/>
      <c r="B134" s="13"/>
      <c r="C134" s="13"/>
    </row>
    <row r="135" spans="1:3" ht="13" x14ac:dyDescent="0.15">
      <c r="A135" s="10"/>
      <c r="B135" s="13"/>
      <c r="C135" s="13"/>
    </row>
    <row r="136" spans="1:3" ht="13" x14ac:dyDescent="0.15">
      <c r="A136" s="10"/>
      <c r="B136" s="13"/>
      <c r="C136" s="13"/>
    </row>
    <row r="137" spans="1:3" ht="13" x14ac:dyDescent="0.15">
      <c r="A137" s="10"/>
      <c r="B137" s="13"/>
      <c r="C137" s="13"/>
    </row>
    <row r="138" spans="1:3" ht="13" x14ac:dyDescent="0.15">
      <c r="A138" s="10"/>
      <c r="B138" s="13"/>
      <c r="C138" s="13"/>
    </row>
    <row r="139" spans="1:3" ht="13" x14ac:dyDescent="0.15">
      <c r="A139" s="10"/>
      <c r="B139" s="13"/>
      <c r="C139" s="13"/>
    </row>
    <row r="140" spans="1:3" ht="13" x14ac:dyDescent="0.15">
      <c r="A140" s="10"/>
      <c r="B140" s="13"/>
      <c r="C140" s="13"/>
    </row>
    <row r="141" spans="1:3" ht="13" x14ac:dyDescent="0.15">
      <c r="A141" s="10"/>
      <c r="B141" s="13"/>
      <c r="C141" s="13"/>
    </row>
    <row r="142" spans="1:3" ht="13" x14ac:dyDescent="0.15">
      <c r="A142" s="10"/>
      <c r="B142" s="13"/>
      <c r="C142" s="13"/>
    </row>
    <row r="143" spans="1:3" ht="13" x14ac:dyDescent="0.15">
      <c r="A143" s="10"/>
      <c r="B143" s="13"/>
      <c r="C143" s="13"/>
    </row>
    <row r="144" spans="1:3" ht="13" x14ac:dyDescent="0.15">
      <c r="A144" s="10"/>
      <c r="B144" s="13"/>
      <c r="C144" s="13"/>
    </row>
    <row r="145" spans="1:3" ht="13" x14ac:dyDescent="0.15">
      <c r="A145" s="10"/>
      <c r="B145" s="13"/>
      <c r="C145" s="13"/>
    </row>
    <row r="146" spans="1:3" ht="13" x14ac:dyDescent="0.15">
      <c r="A146" s="10"/>
      <c r="B146" s="13"/>
      <c r="C146" s="13"/>
    </row>
    <row r="147" spans="1:3" ht="13" x14ac:dyDescent="0.15">
      <c r="A147" s="10"/>
      <c r="B147" s="13"/>
      <c r="C147" s="13"/>
    </row>
    <row r="148" spans="1:3" ht="13" x14ac:dyDescent="0.15">
      <c r="A148" s="10"/>
      <c r="B148" s="13"/>
      <c r="C148" s="13"/>
    </row>
    <row r="149" spans="1:3" ht="13" x14ac:dyDescent="0.15">
      <c r="A149" s="10"/>
      <c r="B149" s="13"/>
      <c r="C149" s="13"/>
    </row>
    <row r="150" spans="1:3" ht="13" x14ac:dyDescent="0.15">
      <c r="A150" s="10"/>
      <c r="B150" s="13"/>
      <c r="C150" s="13"/>
    </row>
    <row r="151" spans="1:3" ht="13" x14ac:dyDescent="0.15">
      <c r="A151" s="10"/>
      <c r="B151" s="13"/>
      <c r="C151" s="13"/>
    </row>
    <row r="152" spans="1:3" ht="13" x14ac:dyDescent="0.15">
      <c r="A152" s="10"/>
      <c r="B152" s="13"/>
      <c r="C152" s="13"/>
    </row>
    <row r="153" spans="1:3" ht="13" x14ac:dyDescent="0.15">
      <c r="A153" s="10"/>
      <c r="B153" s="13"/>
      <c r="C153" s="13"/>
    </row>
    <row r="154" spans="1:3" ht="13" x14ac:dyDescent="0.15">
      <c r="A154" s="10"/>
      <c r="B154" s="13"/>
      <c r="C154" s="13"/>
    </row>
    <row r="155" spans="1:3" ht="13" x14ac:dyDescent="0.15">
      <c r="A155" s="10"/>
      <c r="B155" s="13"/>
      <c r="C155" s="13"/>
    </row>
    <row r="156" spans="1:3" ht="13" x14ac:dyDescent="0.15">
      <c r="A156" s="10"/>
      <c r="B156" s="13"/>
      <c r="C156" s="13"/>
    </row>
    <row r="157" spans="1:3" ht="13" x14ac:dyDescent="0.15">
      <c r="A157" s="10"/>
      <c r="B157" s="13"/>
      <c r="C157" s="13"/>
    </row>
    <row r="158" spans="1:3" ht="13" x14ac:dyDescent="0.15">
      <c r="A158" s="10"/>
      <c r="B158" s="13"/>
      <c r="C158" s="13"/>
    </row>
    <row r="159" spans="1:3" ht="13" x14ac:dyDescent="0.15">
      <c r="A159" s="10"/>
      <c r="B159" s="13"/>
      <c r="C159" s="13"/>
    </row>
    <row r="160" spans="1:3" ht="13" x14ac:dyDescent="0.15">
      <c r="A160" s="10"/>
      <c r="B160" s="13"/>
      <c r="C160" s="13"/>
    </row>
    <row r="161" spans="1:3" ht="13" x14ac:dyDescent="0.15">
      <c r="A161" s="10"/>
      <c r="B161" s="13"/>
      <c r="C161" s="13"/>
    </row>
    <row r="162" spans="1:3" ht="13" x14ac:dyDescent="0.15">
      <c r="A162" s="10"/>
      <c r="B162" s="13"/>
      <c r="C162" s="13"/>
    </row>
    <row r="163" spans="1:3" ht="13" x14ac:dyDescent="0.15">
      <c r="A163" s="10"/>
      <c r="B163" s="13"/>
      <c r="C163" s="13"/>
    </row>
    <row r="164" spans="1:3" ht="13" x14ac:dyDescent="0.15">
      <c r="A164" s="10"/>
      <c r="B164" s="13"/>
      <c r="C164" s="13"/>
    </row>
    <row r="165" spans="1:3" ht="13" x14ac:dyDescent="0.15">
      <c r="A165" s="10"/>
      <c r="B165" s="13"/>
      <c r="C165" s="13"/>
    </row>
    <row r="166" spans="1:3" ht="13" x14ac:dyDescent="0.15">
      <c r="A166" s="10"/>
      <c r="B166" s="13"/>
      <c r="C166" s="13"/>
    </row>
    <row r="167" spans="1:3" ht="13" x14ac:dyDescent="0.15">
      <c r="A167" s="10"/>
      <c r="B167" s="13"/>
      <c r="C167" s="13"/>
    </row>
    <row r="168" spans="1:3" ht="13" x14ac:dyDescent="0.15">
      <c r="A168" s="10"/>
      <c r="B168" s="13"/>
      <c r="C168" s="13"/>
    </row>
    <row r="169" spans="1:3" ht="13" x14ac:dyDescent="0.15">
      <c r="A169" s="10"/>
      <c r="B169" s="13"/>
      <c r="C169" s="13"/>
    </row>
    <row r="170" spans="1:3" ht="13" x14ac:dyDescent="0.15">
      <c r="A170" s="10"/>
      <c r="B170" s="13"/>
      <c r="C170" s="13"/>
    </row>
    <row r="171" spans="1:3" ht="13" x14ac:dyDescent="0.15">
      <c r="A171" s="10"/>
      <c r="B171" s="13"/>
      <c r="C171" s="13"/>
    </row>
    <row r="172" spans="1:3" ht="13" x14ac:dyDescent="0.15">
      <c r="A172" s="10"/>
      <c r="B172" s="13"/>
      <c r="C172" s="13"/>
    </row>
    <row r="173" spans="1:3" ht="13" x14ac:dyDescent="0.15">
      <c r="A173" s="10"/>
      <c r="B173" s="13"/>
      <c r="C173" s="13"/>
    </row>
    <row r="174" spans="1:3" ht="13" x14ac:dyDescent="0.15">
      <c r="A174" s="10"/>
      <c r="B174" s="13"/>
      <c r="C174" s="13"/>
    </row>
    <row r="175" spans="1:3" ht="13" x14ac:dyDescent="0.15">
      <c r="A175" s="10"/>
      <c r="B175" s="13"/>
      <c r="C175" s="13"/>
    </row>
    <row r="176" spans="1:3" ht="13" x14ac:dyDescent="0.15">
      <c r="A176" s="10"/>
      <c r="B176" s="13"/>
      <c r="C176" s="13"/>
    </row>
    <row r="177" spans="1:3" ht="13" x14ac:dyDescent="0.15">
      <c r="A177" s="10"/>
      <c r="B177" s="13"/>
      <c r="C177" s="13"/>
    </row>
    <row r="178" spans="1:3" ht="13" x14ac:dyDescent="0.15">
      <c r="A178" s="10"/>
      <c r="B178" s="13"/>
      <c r="C178" s="13"/>
    </row>
    <row r="179" spans="1:3" ht="13" x14ac:dyDescent="0.15">
      <c r="A179" s="10"/>
      <c r="B179" s="13"/>
      <c r="C179" s="13"/>
    </row>
    <row r="180" spans="1:3" ht="13" x14ac:dyDescent="0.15">
      <c r="A180" s="10"/>
      <c r="B180" s="13"/>
      <c r="C180" s="13"/>
    </row>
    <row r="181" spans="1:3" ht="13" x14ac:dyDescent="0.15">
      <c r="A181" s="10"/>
      <c r="B181" s="13"/>
      <c r="C181" s="13"/>
    </row>
    <row r="182" spans="1:3" ht="13" x14ac:dyDescent="0.15">
      <c r="A182" s="10"/>
      <c r="B182" s="13"/>
      <c r="C182" s="13"/>
    </row>
    <row r="183" spans="1:3" ht="13" x14ac:dyDescent="0.15">
      <c r="A183" s="10"/>
      <c r="B183" s="13"/>
      <c r="C183" s="13"/>
    </row>
    <row r="184" spans="1:3" ht="13" x14ac:dyDescent="0.15">
      <c r="A184" s="10"/>
      <c r="B184" s="13"/>
      <c r="C184" s="13"/>
    </row>
    <row r="185" spans="1:3" ht="13" x14ac:dyDescent="0.15">
      <c r="A185" s="10"/>
      <c r="B185" s="13"/>
      <c r="C185" s="13"/>
    </row>
    <row r="186" spans="1:3" ht="13" x14ac:dyDescent="0.15">
      <c r="A186" s="10"/>
      <c r="B186" s="13"/>
      <c r="C186" s="13"/>
    </row>
    <row r="187" spans="1:3" ht="13" x14ac:dyDescent="0.15">
      <c r="A187" s="10"/>
      <c r="B187" s="13"/>
      <c r="C187" s="13"/>
    </row>
    <row r="188" spans="1:3" ht="13" x14ac:dyDescent="0.15">
      <c r="A188" s="10"/>
      <c r="B188" s="13"/>
      <c r="C188" s="13"/>
    </row>
    <row r="189" spans="1:3" ht="13" x14ac:dyDescent="0.15">
      <c r="A189" s="10"/>
      <c r="B189" s="13"/>
      <c r="C189" s="13"/>
    </row>
    <row r="190" spans="1:3" ht="13" x14ac:dyDescent="0.15">
      <c r="A190" s="10"/>
      <c r="B190" s="13"/>
      <c r="C190" s="13"/>
    </row>
    <row r="191" spans="1:3" ht="13" x14ac:dyDescent="0.15">
      <c r="A191" s="10"/>
      <c r="B191" s="13"/>
      <c r="C191" s="13"/>
    </row>
    <row r="192" spans="1:3" ht="13" x14ac:dyDescent="0.15">
      <c r="A192" s="10"/>
      <c r="B192" s="13"/>
      <c r="C192" s="13"/>
    </row>
    <row r="193" spans="1:3" ht="13" x14ac:dyDescent="0.15">
      <c r="A193" s="10"/>
      <c r="B193" s="13"/>
      <c r="C193" s="13"/>
    </row>
    <row r="194" spans="1:3" ht="13" x14ac:dyDescent="0.15">
      <c r="A194" s="10"/>
      <c r="B194" s="13"/>
      <c r="C194" s="13"/>
    </row>
    <row r="195" spans="1:3" ht="13" x14ac:dyDescent="0.15">
      <c r="A195" s="10"/>
      <c r="B195" s="13"/>
      <c r="C195" s="13"/>
    </row>
    <row r="196" spans="1:3" ht="13" x14ac:dyDescent="0.15">
      <c r="A196" s="10"/>
      <c r="B196" s="13"/>
      <c r="C196" s="13"/>
    </row>
    <row r="197" spans="1:3" ht="13" x14ac:dyDescent="0.15">
      <c r="A197" s="10"/>
      <c r="B197" s="13"/>
      <c r="C197" s="13"/>
    </row>
    <row r="198" spans="1:3" ht="13" x14ac:dyDescent="0.15">
      <c r="A198" s="10"/>
      <c r="B198" s="13"/>
      <c r="C198" s="13"/>
    </row>
    <row r="199" spans="1:3" ht="13" x14ac:dyDescent="0.15">
      <c r="A199" s="10"/>
      <c r="B199" s="13"/>
      <c r="C199" s="13"/>
    </row>
    <row r="200" spans="1:3" ht="13" x14ac:dyDescent="0.15">
      <c r="A200" s="10"/>
      <c r="B200" s="13"/>
      <c r="C200" s="13"/>
    </row>
    <row r="201" spans="1:3" ht="13" x14ac:dyDescent="0.15">
      <c r="A201" s="10"/>
      <c r="B201" s="13"/>
      <c r="C201" s="13"/>
    </row>
    <row r="202" spans="1:3" ht="13" x14ac:dyDescent="0.15">
      <c r="A202" s="10"/>
      <c r="B202" s="13"/>
      <c r="C202" s="13"/>
    </row>
    <row r="203" spans="1:3" ht="13" x14ac:dyDescent="0.15">
      <c r="A203" s="10"/>
      <c r="B203" s="13"/>
      <c r="C203" s="13"/>
    </row>
    <row r="204" spans="1:3" ht="13" x14ac:dyDescent="0.15">
      <c r="A204" s="10"/>
      <c r="B204" s="13"/>
      <c r="C204" s="13"/>
    </row>
    <row r="205" spans="1:3" ht="13" x14ac:dyDescent="0.15">
      <c r="A205" s="10"/>
      <c r="B205" s="13"/>
      <c r="C205" s="13"/>
    </row>
    <row r="206" spans="1:3" ht="13" x14ac:dyDescent="0.15">
      <c r="A206" s="10"/>
      <c r="B206" s="13"/>
      <c r="C206" s="13"/>
    </row>
    <row r="207" spans="1:3" ht="13" x14ac:dyDescent="0.15">
      <c r="A207" s="10"/>
      <c r="B207" s="13"/>
      <c r="C207" s="13"/>
    </row>
    <row r="208" spans="1:3" ht="13" x14ac:dyDescent="0.15">
      <c r="A208" s="10"/>
      <c r="B208" s="13"/>
      <c r="C208" s="13"/>
    </row>
    <row r="209" spans="1:3" ht="13" x14ac:dyDescent="0.15">
      <c r="A209" s="10"/>
      <c r="B209" s="13"/>
      <c r="C209" s="13"/>
    </row>
    <row r="210" spans="1:3" ht="13" x14ac:dyDescent="0.15">
      <c r="A210" s="10"/>
      <c r="B210" s="13"/>
      <c r="C210" s="13"/>
    </row>
    <row r="211" spans="1:3" ht="13" x14ac:dyDescent="0.15">
      <c r="A211" s="10"/>
      <c r="B211" s="13"/>
      <c r="C211" s="13"/>
    </row>
    <row r="212" spans="1:3" ht="13" x14ac:dyDescent="0.15">
      <c r="A212" s="10"/>
      <c r="B212" s="13"/>
      <c r="C212" s="13"/>
    </row>
    <row r="213" spans="1:3" ht="13" x14ac:dyDescent="0.15">
      <c r="A213" s="10"/>
      <c r="B213" s="13"/>
      <c r="C213" s="13"/>
    </row>
    <row r="214" spans="1:3" ht="13" x14ac:dyDescent="0.15">
      <c r="A214" s="10"/>
      <c r="B214" s="13"/>
      <c r="C214" s="13"/>
    </row>
    <row r="215" spans="1:3" ht="13" x14ac:dyDescent="0.15">
      <c r="A215" s="10"/>
      <c r="B215" s="13"/>
      <c r="C215" s="13"/>
    </row>
    <row r="216" spans="1:3" ht="13" x14ac:dyDescent="0.15">
      <c r="A216" s="10"/>
      <c r="B216" s="13"/>
      <c r="C216" s="13"/>
    </row>
    <row r="217" spans="1:3" ht="13" x14ac:dyDescent="0.15">
      <c r="A217" s="10"/>
      <c r="B217" s="13"/>
      <c r="C217" s="13"/>
    </row>
    <row r="218" spans="1:3" ht="13" x14ac:dyDescent="0.15">
      <c r="A218" s="10"/>
      <c r="B218" s="13"/>
      <c r="C218" s="13"/>
    </row>
    <row r="219" spans="1:3" ht="13" x14ac:dyDescent="0.15">
      <c r="A219" s="10"/>
      <c r="B219" s="13"/>
      <c r="C219" s="13"/>
    </row>
    <row r="220" spans="1:3" ht="13" x14ac:dyDescent="0.15">
      <c r="A220" s="10"/>
      <c r="B220" s="13"/>
      <c r="C220" s="13"/>
    </row>
    <row r="221" spans="1:3" ht="13" x14ac:dyDescent="0.15">
      <c r="A221" s="10"/>
      <c r="B221" s="13"/>
      <c r="C221" s="13"/>
    </row>
    <row r="222" spans="1:3" ht="13" x14ac:dyDescent="0.15">
      <c r="A222" s="10"/>
      <c r="B222" s="13"/>
      <c r="C222" s="13"/>
    </row>
    <row r="223" spans="1:3" ht="13" x14ac:dyDescent="0.15">
      <c r="A223" s="10"/>
      <c r="B223" s="13"/>
      <c r="C223" s="13"/>
    </row>
    <row r="224" spans="1:3" ht="13" x14ac:dyDescent="0.15">
      <c r="A224" s="10"/>
      <c r="B224" s="13"/>
      <c r="C224" s="13"/>
    </row>
    <row r="225" spans="1:3" ht="13" x14ac:dyDescent="0.15">
      <c r="A225" s="10"/>
      <c r="B225" s="13"/>
      <c r="C225" s="13"/>
    </row>
    <row r="226" spans="1:3" ht="13" x14ac:dyDescent="0.15">
      <c r="A226" s="10"/>
      <c r="B226" s="13"/>
      <c r="C226" s="13"/>
    </row>
    <row r="227" spans="1:3" ht="13" x14ac:dyDescent="0.15">
      <c r="A227" s="10"/>
      <c r="B227" s="13"/>
      <c r="C227" s="13"/>
    </row>
    <row r="228" spans="1:3" ht="13" x14ac:dyDescent="0.15">
      <c r="A228" s="10"/>
      <c r="B228" s="13"/>
      <c r="C228" s="13"/>
    </row>
    <row r="229" spans="1:3" ht="13" x14ac:dyDescent="0.15">
      <c r="A229" s="10"/>
      <c r="B229" s="13"/>
      <c r="C229" s="13"/>
    </row>
    <row r="230" spans="1:3" ht="13" x14ac:dyDescent="0.15">
      <c r="A230" s="10"/>
      <c r="B230" s="13"/>
      <c r="C230" s="13"/>
    </row>
    <row r="231" spans="1:3" ht="13" x14ac:dyDescent="0.15">
      <c r="A231" s="10"/>
      <c r="B231" s="13"/>
      <c r="C231" s="13"/>
    </row>
    <row r="232" spans="1:3" ht="13" x14ac:dyDescent="0.15">
      <c r="A232" s="10"/>
      <c r="B232" s="13"/>
      <c r="C232" s="13"/>
    </row>
    <row r="233" spans="1:3" ht="13" x14ac:dyDescent="0.15">
      <c r="A233" s="10"/>
      <c r="B233" s="13"/>
      <c r="C233" s="13"/>
    </row>
    <row r="234" spans="1:3" ht="13" x14ac:dyDescent="0.15">
      <c r="A234" s="10"/>
      <c r="B234" s="13"/>
      <c r="C234" s="13"/>
    </row>
    <row r="235" spans="1:3" ht="13" x14ac:dyDescent="0.15">
      <c r="A235" s="10"/>
      <c r="B235" s="13"/>
      <c r="C235" s="13"/>
    </row>
    <row r="236" spans="1:3" ht="13" x14ac:dyDescent="0.15">
      <c r="A236" s="10"/>
      <c r="B236" s="13"/>
      <c r="C236" s="13"/>
    </row>
    <row r="237" spans="1:3" ht="13" x14ac:dyDescent="0.15">
      <c r="A237" s="10"/>
      <c r="B237" s="13"/>
      <c r="C237" s="13"/>
    </row>
    <row r="238" spans="1:3" ht="13" x14ac:dyDescent="0.15">
      <c r="A238" s="10"/>
      <c r="B238" s="13"/>
      <c r="C238" s="13"/>
    </row>
    <row r="239" spans="1:3" ht="13" x14ac:dyDescent="0.15">
      <c r="A239" s="10"/>
      <c r="B239" s="13"/>
      <c r="C239" s="13"/>
    </row>
    <row r="240" spans="1:3" ht="13" x14ac:dyDescent="0.15">
      <c r="A240" s="10"/>
      <c r="B240" s="13"/>
      <c r="C240" s="13"/>
    </row>
    <row r="241" spans="1:3" ht="13" x14ac:dyDescent="0.15">
      <c r="A241" s="10"/>
      <c r="B241" s="13"/>
      <c r="C241" s="13"/>
    </row>
    <row r="242" spans="1:3" ht="13" x14ac:dyDescent="0.15">
      <c r="A242" s="10"/>
      <c r="B242" s="13"/>
      <c r="C242" s="13"/>
    </row>
    <row r="243" spans="1:3" ht="13" x14ac:dyDescent="0.15">
      <c r="A243" s="10"/>
      <c r="B243" s="13"/>
      <c r="C243" s="13"/>
    </row>
    <row r="244" spans="1:3" ht="13" x14ac:dyDescent="0.15">
      <c r="A244" s="10"/>
      <c r="B244" s="13"/>
      <c r="C244" s="13"/>
    </row>
    <row r="245" spans="1:3" ht="13" x14ac:dyDescent="0.15">
      <c r="A245" s="10"/>
      <c r="B245" s="13"/>
      <c r="C245" s="13"/>
    </row>
    <row r="246" spans="1:3" ht="13" x14ac:dyDescent="0.15">
      <c r="A246" s="10"/>
      <c r="B246" s="13"/>
      <c r="C246" s="13"/>
    </row>
    <row r="247" spans="1:3" ht="13" x14ac:dyDescent="0.15">
      <c r="A247" s="10"/>
      <c r="B247" s="13"/>
      <c r="C247" s="13"/>
    </row>
    <row r="248" spans="1:3" ht="13" x14ac:dyDescent="0.15">
      <c r="A248" s="10"/>
      <c r="B248" s="13"/>
      <c r="C248" s="13"/>
    </row>
    <row r="249" spans="1:3" ht="13" x14ac:dyDescent="0.15">
      <c r="A249" s="10"/>
      <c r="B249" s="13"/>
      <c r="C249" s="13"/>
    </row>
    <row r="250" spans="1:3" ht="13" x14ac:dyDescent="0.15">
      <c r="A250" s="10"/>
      <c r="B250" s="13"/>
      <c r="C250" s="13"/>
    </row>
    <row r="251" spans="1:3" ht="13" x14ac:dyDescent="0.15">
      <c r="A251" s="10"/>
      <c r="B251" s="13"/>
      <c r="C251" s="13"/>
    </row>
    <row r="252" spans="1:3" ht="13" x14ac:dyDescent="0.15">
      <c r="A252" s="10"/>
      <c r="B252" s="13"/>
      <c r="C252" s="13"/>
    </row>
    <row r="253" spans="1:3" ht="13" x14ac:dyDescent="0.15">
      <c r="A253" s="10"/>
      <c r="B253" s="13"/>
      <c r="C253" s="13"/>
    </row>
    <row r="254" spans="1:3" ht="13" x14ac:dyDescent="0.15">
      <c r="A254" s="10"/>
      <c r="B254" s="13"/>
      <c r="C254" s="13"/>
    </row>
    <row r="255" spans="1:3" ht="13" x14ac:dyDescent="0.15">
      <c r="A255" s="10"/>
      <c r="B255" s="13"/>
      <c r="C255" s="13"/>
    </row>
    <row r="256" spans="1:3" ht="13" x14ac:dyDescent="0.15">
      <c r="A256" s="10"/>
      <c r="B256" s="13"/>
      <c r="C256" s="13"/>
    </row>
    <row r="257" spans="1:3" ht="13" x14ac:dyDescent="0.15">
      <c r="A257" s="10"/>
      <c r="B257" s="13"/>
      <c r="C257" s="13"/>
    </row>
    <row r="258" spans="1:3" ht="13" x14ac:dyDescent="0.15">
      <c r="A258" s="10"/>
      <c r="B258" s="13"/>
      <c r="C258" s="13"/>
    </row>
    <row r="259" spans="1:3" ht="13" x14ac:dyDescent="0.15">
      <c r="A259" s="10"/>
      <c r="B259" s="13"/>
      <c r="C259" s="13"/>
    </row>
    <row r="260" spans="1:3" ht="13" x14ac:dyDescent="0.15">
      <c r="A260" s="10"/>
      <c r="B260" s="13"/>
      <c r="C260" s="13"/>
    </row>
    <row r="261" spans="1:3" ht="13" x14ac:dyDescent="0.15">
      <c r="A261" s="10"/>
      <c r="B261" s="13"/>
      <c r="C261" s="13"/>
    </row>
    <row r="262" spans="1:3" ht="13" x14ac:dyDescent="0.15">
      <c r="A262" s="10"/>
      <c r="B262" s="13"/>
      <c r="C262" s="13"/>
    </row>
    <row r="263" spans="1:3" ht="13" x14ac:dyDescent="0.15">
      <c r="A263" s="10"/>
      <c r="B263" s="13"/>
      <c r="C263" s="13"/>
    </row>
    <row r="264" spans="1:3" ht="13" x14ac:dyDescent="0.15">
      <c r="A264" s="10"/>
      <c r="B264" s="13"/>
      <c r="C264" s="13"/>
    </row>
    <row r="265" spans="1:3" ht="13" x14ac:dyDescent="0.15">
      <c r="A265" s="10"/>
      <c r="B265" s="13"/>
      <c r="C265" s="13"/>
    </row>
    <row r="266" spans="1:3" ht="13" x14ac:dyDescent="0.15">
      <c r="A266" s="10"/>
      <c r="B266" s="13"/>
      <c r="C266" s="13"/>
    </row>
    <row r="267" spans="1:3" ht="13" x14ac:dyDescent="0.15">
      <c r="A267" s="10"/>
      <c r="B267" s="13"/>
      <c r="C267" s="13"/>
    </row>
    <row r="268" spans="1:3" ht="13" x14ac:dyDescent="0.15">
      <c r="A268" s="10"/>
      <c r="B268" s="13"/>
      <c r="C268" s="13"/>
    </row>
    <row r="269" spans="1:3" ht="13" x14ac:dyDescent="0.15">
      <c r="A269" s="10"/>
      <c r="B269" s="13"/>
      <c r="C269" s="13"/>
    </row>
    <row r="270" spans="1:3" ht="13" x14ac:dyDescent="0.15">
      <c r="A270" s="10"/>
      <c r="B270" s="13"/>
      <c r="C270" s="13"/>
    </row>
    <row r="271" spans="1:3" ht="13" x14ac:dyDescent="0.15">
      <c r="A271" s="10"/>
      <c r="B271" s="13"/>
      <c r="C271" s="13"/>
    </row>
    <row r="272" spans="1:3" ht="13" x14ac:dyDescent="0.15">
      <c r="A272" s="10"/>
      <c r="B272" s="13"/>
      <c r="C272" s="13"/>
    </row>
    <row r="273" spans="1:3" ht="13" x14ac:dyDescent="0.15">
      <c r="A273" s="10"/>
      <c r="B273" s="13"/>
      <c r="C273" s="13"/>
    </row>
    <row r="274" spans="1:3" ht="13" x14ac:dyDescent="0.15">
      <c r="A274" s="10"/>
      <c r="B274" s="13"/>
      <c r="C274" s="13"/>
    </row>
    <row r="275" spans="1:3" ht="13" x14ac:dyDescent="0.15">
      <c r="A275" s="10"/>
      <c r="B275" s="13"/>
      <c r="C275" s="13"/>
    </row>
    <row r="276" spans="1:3" ht="13" x14ac:dyDescent="0.15">
      <c r="A276" s="10"/>
      <c r="B276" s="13"/>
      <c r="C276" s="13"/>
    </row>
    <row r="277" spans="1:3" ht="13" x14ac:dyDescent="0.15">
      <c r="A277" s="10"/>
      <c r="B277" s="13"/>
      <c r="C277" s="13"/>
    </row>
    <row r="278" spans="1:3" ht="13" x14ac:dyDescent="0.15">
      <c r="A278" s="10"/>
      <c r="B278" s="13"/>
      <c r="C278" s="13"/>
    </row>
    <row r="279" spans="1:3" ht="13" x14ac:dyDescent="0.15">
      <c r="A279" s="10"/>
      <c r="B279" s="13"/>
      <c r="C279" s="13"/>
    </row>
    <row r="280" spans="1:3" ht="13" x14ac:dyDescent="0.15">
      <c r="A280" s="10"/>
      <c r="B280" s="13"/>
      <c r="C280" s="13"/>
    </row>
    <row r="281" spans="1:3" ht="13" x14ac:dyDescent="0.15">
      <c r="A281" s="10"/>
      <c r="B281" s="13"/>
      <c r="C281" s="13"/>
    </row>
    <row r="282" spans="1:3" ht="13" x14ac:dyDescent="0.15">
      <c r="A282" s="10"/>
      <c r="B282" s="13"/>
      <c r="C282" s="13"/>
    </row>
    <row r="283" spans="1:3" ht="13" x14ac:dyDescent="0.15">
      <c r="A283" s="10"/>
      <c r="B283" s="13"/>
      <c r="C283" s="13"/>
    </row>
    <row r="284" spans="1:3" ht="13" x14ac:dyDescent="0.15">
      <c r="A284" s="10"/>
      <c r="B284" s="13"/>
      <c r="C284" s="13"/>
    </row>
    <row r="285" spans="1:3" ht="13" x14ac:dyDescent="0.15">
      <c r="A285" s="10"/>
      <c r="B285" s="13"/>
      <c r="C285" s="13"/>
    </row>
    <row r="286" spans="1:3" ht="13" x14ac:dyDescent="0.15">
      <c r="A286" s="10"/>
      <c r="B286" s="13"/>
      <c r="C286" s="13"/>
    </row>
    <row r="287" spans="1:3" ht="13" x14ac:dyDescent="0.15">
      <c r="A287" s="10"/>
      <c r="B287" s="13"/>
      <c r="C287" s="13"/>
    </row>
    <row r="288" spans="1:3" ht="13" x14ac:dyDescent="0.15">
      <c r="A288" s="10"/>
      <c r="B288" s="13"/>
      <c r="C288" s="13"/>
    </row>
    <row r="289" spans="1:3" ht="13" x14ac:dyDescent="0.15">
      <c r="A289" s="10"/>
      <c r="B289" s="13"/>
      <c r="C289" s="13"/>
    </row>
    <row r="290" spans="1:3" ht="13" x14ac:dyDescent="0.15">
      <c r="A290" s="10"/>
      <c r="B290" s="13"/>
      <c r="C290" s="13"/>
    </row>
    <row r="291" spans="1:3" ht="13" x14ac:dyDescent="0.15">
      <c r="A291" s="10"/>
      <c r="B291" s="13"/>
      <c r="C291" s="13"/>
    </row>
    <row r="292" spans="1:3" ht="13" x14ac:dyDescent="0.15">
      <c r="A292" s="10"/>
      <c r="B292" s="13"/>
      <c r="C292" s="13"/>
    </row>
    <row r="293" spans="1:3" ht="13" x14ac:dyDescent="0.15">
      <c r="A293" s="10"/>
      <c r="B293" s="13"/>
      <c r="C293" s="13"/>
    </row>
    <row r="294" spans="1:3" ht="13" x14ac:dyDescent="0.15">
      <c r="A294" s="10"/>
      <c r="B294" s="13"/>
      <c r="C294" s="13"/>
    </row>
    <row r="295" spans="1:3" ht="13" x14ac:dyDescent="0.15">
      <c r="A295" s="10"/>
      <c r="B295" s="13"/>
      <c r="C295" s="13"/>
    </row>
    <row r="296" spans="1:3" ht="13" x14ac:dyDescent="0.15">
      <c r="A296" s="10"/>
      <c r="B296" s="13"/>
      <c r="C296" s="13"/>
    </row>
    <row r="297" spans="1:3" ht="13" x14ac:dyDescent="0.15">
      <c r="A297" s="10"/>
      <c r="B297" s="13"/>
      <c r="C297" s="13"/>
    </row>
    <row r="298" spans="1:3" ht="13" x14ac:dyDescent="0.15">
      <c r="A298" s="10"/>
      <c r="B298" s="13"/>
      <c r="C298" s="13"/>
    </row>
    <row r="299" spans="1:3" ht="13" x14ac:dyDescent="0.15">
      <c r="A299" s="10"/>
      <c r="B299" s="13"/>
      <c r="C299" s="13"/>
    </row>
    <row r="300" spans="1:3" ht="13" x14ac:dyDescent="0.15">
      <c r="A300" s="10"/>
      <c r="B300" s="13"/>
      <c r="C300" s="13"/>
    </row>
    <row r="301" spans="1:3" ht="13" x14ac:dyDescent="0.15">
      <c r="A301" s="10"/>
      <c r="B301" s="13"/>
      <c r="C301" s="13"/>
    </row>
    <row r="302" spans="1:3" ht="13" x14ac:dyDescent="0.15">
      <c r="A302" s="10"/>
      <c r="B302" s="13"/>
      <c r="C302" s="13"/>
    </row>
    <row r="303" spans="1:3" ht="13" x14ac:dyDescent="0.15">
      <c r="A303" s="10"/>
      <c r="B303" s="13"/>
      <c r="C303" s="13"/>
    </row>
    <row r="304" spans="1:3" ht="13" x14ac:dyDescent="0.15">
      <c r="A304" s="10"/>
      <c r="B304" s="13"/>
      <c r="C304" s="13"/>
    </row>
    <row r="305" spans="1:3" ht="13" x14ac:dyDescent="0.15">
      <c r="A305" s="10"/>
      <c r="B305" s="13"/>
      <c r="C305" s="13"/>
    </row>
    <row r="306" spans="1:3" ht="13" x14ac:dyDescent="0.15">
      <c r="A306" s="10"/>
      <c r="B306" s="13"/>
      <c r="C306" s="13"/>
    </row>
    <row r="307" spans="1:3" ht="13" x14ac:dyDescent="0.15">
      <c r="A307" s="10"/>
      <c r="B307" s="13"/>
      <c r="C307" s="13"/>
    </row>
    <row r="308" spans="1:3" ht="13" x14ac:dyDescent="0.15">
      <c r="A308" s="10"/>
      <c r="B308" s="13"/>
      <c r="C308" s="13"/>
    </row>
    <row r="309" spans="1:3" ht="13" x14ac:dyDescent="0.15">
      <c r="A309" s="10"/>
      <c r="B309" s="13"/>
      <c r="C309" s="13"/>
    </row>
    <row r="310" spans="1:3" ht="13" x14ac:dyDescent="0.15">
      <c r="A310" s="10"/>
      <c r="B310" s="13"/>
      <c r="C310" s="13"/>
    </row>
    <row r="311" spans="1:3" ht="13" x14ac:dyDescent="0.15">
      <c r="A311" s="10"/>
      <c r="B311" s="13"/>
      <c r="C311" s="13"/>
    </row>
    <row r="312" spans="1:3" ht="13" x14ac:dyDescent="0.15">
      <c r="A312" s="10"/>
      <c r="B312" s="13"/>
      <c r="C312" s="13"/>
    </row>
    <row r="313" spans="1:3" ht="13" x14ac:dyDescent="0.15">
      <c r="A313" s="10"/>
      <c r="B313" s="13"/>
      <c r="C313" s="13"/>
    </row>
    <row r="314" spans="1:3" ht="13" x14ac:dyDescent="0.15">
      <c r="A314" s="10"/>
      <c r="B314" s="13"/>
      <c r="C314" s="13"/>
    </row>
    <row r="315" spans="1:3" ht="13" x14ac:dyDescent="0.15">
      <c r="A315" s="10"/>
      <c r="B315" s="13"/>
      <c r="C315" s="13"/>
    </row>
    <row r="316" spans="1:3" ht="13" x14ac:dyDescent="0.15">
      <c r="A316" s="10"/>
      <c r="B316" s="13"/>
      <c r="C316" s="13"/>
    </row>
    <row r="317" spans="1:3" ht="13" x14ac:dyDescent="0.15">
      <c r="A317" s="10"/>
      <c r="B317" s="13"/>
      <c r="C317" s="13"/>
    </row>
    <row r="318" spans="1:3" ht="13" x14ac:dyDescent="0.15">
      <c r="A318" s="10"/>
      <c r="B318" s="13"/>
      <c r="C318" s="13"/>
    </row>
    <row r="319" spans="1:3" ht="13" x14ac:dyDescent="0.15">
      <c r="A319" s="10"/>
      <c r="B319" s="13"/>
      <c r="C319" s="13"/>
    </row>
    <row r="320" spans="1:3" ht="13" x14ac:dyDescent="0.15">
      <c r="A320" s="10"/>
      <c r="B320" s="13"/>
      <c r="C320" s="13"/>
    </row>
    <row r="321" spans="1:3" ht="13" x14ac:dyDescent="0.15">
      <c r="A321" s="10"/>
      <c r="B321" s="13"/>
      <c r="C321" s="13"/>
    </row>
    <row r="322" spans="1:3" ht="13" x14ac:dyDescent="0.15">
      <c r="A322" s="10"/>
      <c r="B322" s="13"/>
      <c r="C322" s="13"/>
    </row>
    <row r="323" spans="1:3" ht="13" x14ac:dyDescent="0.15">
      <c r="A323" s="10"/>
      <c r="B323" s="13"/>
      <c r="C323" s="13"/>
    </row>
    <row r="324" spans="1:3" ht="13" x14ac:dyDescent="0.15">
      <c r="A324" s="10"/>
      <c r="B324" s="13"/>
      <c r="C324" s="13"/>
    </row>
    <row r="325" spans="1:3" ht="13" x14ac:dyDescent="0.15">
      <c r="A325" s="10"/>
      <c r="B325" s="13"/>
      <c r="C325" s="13"/>
    </row>
    <row r="326" spans="1:3" ht="13" x14ac:dyDescent="0.15">
      <c r="A326" s="10"/>
      <c r="B326" s="13"/>
      <c r="C326" s="13"/>
    </row>
    <row r="327" spans="1:3" ht="13" x14ac:dyDescent="0.15">
      <c r="A327" s="10"/>
      <c r="B327" s="13"/>
      <c r="C327" s="13"/>
    </row>
    <row r="328" spans="1:3" ht="13" x14ac:dyDescent="0.15">
      <c r="A328" s="10"/>
      <c r="B328" s="13"/>
      <c r="C328" s="13"/>
    </row>
    <row r="329" spans="1:3" ht="13" x14ac:dyDescent="0.15">
      <c r="A329" s="10"/>
      <c r="B329" s="13"/>
      <c r="C329" s="13"/>
    </row>
    <row r="330" spans="1:3" ht="13" x14ac:dyDescent="0.15">
      <c r="A330" s="10"/>
      <c r="B330" s="13"/>
      <c r="C330" s="13"/>
    </row>
    <row r="331" spans="1:3" ht="13" x14ac:dyDescent="0.15">
      <c r="A331" s="10"/>
      <c r="B331" s="13"/>
      <c r="C331" s="13"/>
    </row>
    <row r="332" spans="1:3" ht="13" x14ac:dyDescent="0.15">
      <c r="A332" s="10"/>
      <c r="B332" s="13"/>
      <c r="C332" s="13"/>
    </row>
    <row r="333" spans="1:3" ht="13" x14ac:dyDescent="0.15">
      <c r="A333" s="10"/>
      <c r="B333" s="13"/>
      <c r="C333" s="13"/>
    </row>
    <row r="334" spans="1:3" ht="13" x14ac:dyDescent="0.15">
      <c r="A334" s="10"/>
      <c r="B334" s="13"/>
      <c r="C334" s="13"/>
    </row>
    <row r="335" spans="1:3" ht="13" x14ac:dyDescent="0.15">
      <c r="A335" s="10"/>
      <c r="B335" s="13"/>
      <c r="C335" s="13"/>
    </row>
    <row r="336" spans="1:3" ht="13" x14ac:dyDescent="0.15">
      <c r="A336" s="10"/>
      <c r="B336" s="13"/>
      <c r="C336" s="13"/>
    </row>
    <row r="337" spans="1:3" ht="13" x14ac:dyDescent="0.15">
      <c r="A337" s="10"/>
      <c r="B337" s="13"/>
      <c r="C337" s="13"/>
    </row>
    <row r="338" spans="1:3" ht="13" x14ac:dyDescent="0.15">
      <c r="A338" s="10"/>
      <c r="B338" s="13"/>
      <c r="C338" s="13"/>
    </row>
    <row r="339" spans="1:3" ht="13" x14ac:dyDescent="0.15">
      <c r="A339" s="10"/>
      <c r="B339" s="13"/>
      <c r="C339" s="13"/>
    </row>
    <row r="340" spans="1:3" ht="13" x14ac:dyDescent="0.15">
      <c r="A340" s="10"/>
      <c r="B340" s="13"/>
      <c r="C340" s="13"/>
    </row>
    <row r="341" spans="1:3" ht="13" x14ac:dyDescent="0.15">
      <c r="A341" s="10"/>
      <c r="B341" s="13"/>
      <c r="C341" s="13"/>
    </row>
    <row r="342" spans="1:3" ht="13" x14ac:dyDescent="0.15">
      <c r="A342" s="10"/>
      <c r="B342" s="13"/>
      <c r="C342" s="13"/>
    </row>
    <row r="343" spans="1:3" ht="13" x14ac:dyDescent="0.15">
      <c r="A343" s="10"/>
      <c r="B343" s="13"/>
      <c r="C343" s="13"/>
    </row>
    <row r="344" spans="1:3" ht="13" x14ac:dyDescent="0.15">
      <c r="A344" s="10"/>
      <c r="B344" s="13"/>
      <c r="C344" s="13"/>
    </row>
    <row r="345" spans="1:3" ht="13" x14ac:dyDescent="0.15">
      <c r="A345" s="10"/>
      <c r="B345" s="13"/>
      <c r="C345" s="13"/>
    </row>
    <row r="346" spans="1:3" ht="13" x14ac:dyDescent="0.15">
      <c r="A346" s="10"/>
      <c r="B346" s="13"/>
      <c r="C346" s="13"/>
    </row>
    <row r="347" spans="1:3" ht="13" x14ac:dyDescent="0.15">
      <c r="A347" s="10"/>
      <c r="B347" s="13"/>
      <c r="C347" s="13"/>
    </row>
    <row r="348" spans="1:3" ht="13" x14ac:dyDescent="0.15">
      <c r="A348" s="10"/>
      <c r="B348" s="13"/>
      <c r="C348" s="13"/>
    </row>
    <row r="349" spans="1:3" ht="13" x14ac:dyDescent="0.15">
      <c r="A349" s="10"/>
      <c r="B349" s="13"/>
      <c r="C349" s="13"/>
    </row>
    <row r="350" spans="1:3" ht="13" x14ac:dyDescent="0.15">
      <c r="A350" s="10"/>
      <c r="B350" s="13"/>
      <c r="C350" s="13"/>
    </row>
    <row r="351" spans="1:3" ht="13" x14ac:dyDescent="0.15">
      <c r="A351" s="10"/>
      <c r="B351" s="13"/>
      <c r="C351" s="13"/>
    </row>
    <row r="352" spans="1:3" ht="13" x14ac:dyDescent="0.15">
      <c r="A352" s="10"/>
      <c r="B352" s="13"/>
      <c r="C352" s="13"/>
    </row>
    <row r="353" spans="1:3" ht="13" x14ac:dyDescent="0.15">
      <c r="A353" s="10"/>
      <c r="B353" s="13"/>
      <c r="C353" s="13"/>
    </row>
    <row r="354" spans="1:3" ht="13" x14ac:dyDescent="0.15">
      <c r="A354" s="10"/>
      <c r="B354" s="13"/>
      <c r="C354" s="13"/>
    </row>
    <row r="355" spans="1:3" ht="13" x14ac:dyDescent="0.15">
      <c r="A355" s="10"/>
      <c r="B355" s="13"/>
      <c r="C355" s="13"/>
    </row>
    <row r="356" spans="1:3" ht="13" x14ac:dyDescent="0.15">
      <c r="A356" s="10"/>
      <c r="B356" s="13"/>
      <c r="C356" s="13"/>
    </row>
    <row r="357" spans="1:3" ht="13" x14ac:dyDescent="0.15">
      <c r="A357" s="10"/>
      <c r="B357" s="13"/>
      <c r="C357" s="13"/>
    </row>
    <row r="358" spans="1:3" ht="13" x14ac:dyDescent="0.15">
      <c r="A358" s="10"/>
      <c r="B358" s="13"/>
      <c r="C358" s="13"/>
    </row>
    <row r="359" spans="1:3" ht="13" x14ac:dyDescent="0.15">
      <c r="A359" s="10"/>
      <c r="B359" s="13"/>
      <c r="C359" s="13"/>
    </row>
    <row r="360" spans="1:3" ht="13" x14ac:dyDescent="0.15">
      <c r="A360" s="10"/>
      <c r="B360" s="13"/>
      <c r="C360" s="13"/>
    </row>
    <row r="361" spans="1:3" ht="13" x14ac:dyDescent="0.15">
      <c r="A361" s="10"/>
      <c r="B361" s="13"/>
      <c r="C361" s="13"/>
    </row>
    <row r="362" spans="1:3" ht="13" x14ac:dyDescent="0.15">
      <c r="A362" s="10"/>
      <c r="B362" s="13"/>
      <c r="C362" s="13"/>
    </row>
    <row r="363" spans="1:3" ht="13" x14ac:dyDescent="0.15">
      <c r="A363" s="10"/>
      <c r="B363" s="13"/>
      <c r="C363" s="13"/>
    </row>
    <row r="364" spans="1:3" ht="13" x14ac:dyDescent="0.15">
      <c r="A364" s="10"/>
      <c r="B364" s="13"/>
      <c r="C364" s="13"/>
    </row>
    <row r="365" spans="1:3" ht="13" x14ac:dyDescent="0.15">
      <c r="A365" s="10"/>
      <c r="B365" s="13"/>
      <c r="C365" s="13"/>
    </row>
    <row r="366" spans="1:3" ht="13" x14ac:dyDescent="0.15">
      <c r="A366" s="10"/>
      <c r="B366" s="13"/>
      <c r="C366" s="13"/>
    </row>
    <row r="367" spans="1:3" ht="13" x14ac:dyDescent="0.15">
      <c r="A367" s="10"/>
      <c r="B367" s="13"/>
      <c r="C367" s="13"/>
    </row>
    <row r="368" spans="1:3" ht="13" x14ac:dyDescent="0.15">
      <c r="A368" s="10"/>
      <c r="B368" s="13"/>
      <c r="C368" s="13"/>
    </row>
    <row r="369" spans="1:3" ht="13" x14ac:dyDescent="0.15">
      <c r="A369" s="10"/>
      <c r="B369" s="13"/>
      <c r="C369" s="13"/>
    </row>
    <row r="370" spans="1:3" ht="13" x14ac:dyDescent="0.15">
      <c r="A370" s="10"/>
      <c r="B370" s="13"/>
      <c r="C370" s="13"/>
    </row>
    <row r="371" spans="1:3" ht="13" x14ac:dyDescent="0.15">
      <c r="A371" s="10"/>
      <c r="B371" s="13"/>
      <c r="C371" s="13"/>
    </row>
    <row r="372" spans="1:3" ht="13" x14ac:dyDescent="0.15">
      <c r="A372" s="10"/>
      <c r="B372" s="13"/>
      <c r="C372" s="13"/>
    </row>
    <row r="373" spans="1:3" ht="13" x14ac:dyDescent="0.15">
      <c r="A373" s="10"/>
      <c r="B373" s="13"/>
      <c r="C373" s="13"/>
    </row>
    <row r="374" spans="1:3" ht="13" x14ac:dyDescent="0.15">
      <c r="A374" s="10"/>
      <c r="B374" s="13"/>
      <c r="C374" s="13"/>
    </row>
    <row r="375" spans="1:3" ht="13" x14ac:dyDescent="0.15">
      <c r="A375" s="10"/>
      <c r="B375" s="13"/>
      <c r="C375" s="13"/>
    </row>
    <row r="376" spans="1:3" ht="13" x14ac:dyDescent="0.15">
      <c r="A376" s="10"/>
      <c r="B376" s="13"/>
      <c r="C376" s="13"/>
    </row>
    <row r="377" spans="1:3" ht="13" x14ac:dyDescent="0.15">
      <c r="A377" s="10"/>
      <c r="B377" s="13"/>
      <c r="C377" s="13"/>
    </row>
    <row r="378" spans="1:3" ht="13" x14ac:dyDescent="0.15">
      <c r="A378" s="10"/>
      <c r="B378" s="13"/>
      <c r="C378" s="13"/>
    </row>
    <row r="379" spans="1:3" ht="13" x14ac:dyDescent="0.15">
      <c r="A379" s="10"/>
      <c r="B379" s="13"/>
      <c r="C379" s="13"/>
    </row>
    <row r="380" spans="1:3" ht="13" x14ac:dyDescent="0.15">
      <c r="A380" s="10"/>
      <c r="B380" s="13"/>
      <c r="C380" s="13"/>
    </row>
    <row r="381" spans="1:3" ht="13" x14ac:dyDescent="0.15">
      <c r="A381" s="10"/>
      <c r="B381" s="13"/>
      <c r="C381" s="13"/>
    </row>
    <row r="382" spans="1:3" ht="13" x14ac:dyDescent="0.15">
      <c r="A382" s="10"/>
      <c r="B382" s="13"/>
      <c r="C382" s="13"/>
    </row>
    <row r="383" spans="1:3" ht="13" x14ac:dyDescent="0.15">
      <c r="A383" s="10"/>
      <c r="B383" s="13"/>
      <c r="C383" s="13"/>
    </row>
    <row r="384" spans="1:3" ht="13" x14ac:dyDescent="0.15">
      <c r="A384" s="10"/>
      <c r="B384" s="13"/>
      <c r="C384" s="13"/>
    </row>
    <row r="385" spans="1:3" ht="13" x14ac:dyDescent="0.15">
      <c r="A385" s="10"/>
      <c r="B385" s="13"/>
      <c r="C385" s="13"/>
    </row>
    <row r="386" spans="1:3" ht="13" x14ac:dyDescent="0.15">
      <c r="A386" s="10"/>
      <c r="B386" s="13"/>
      <c r="C386" s="13"/>
    </row>
    <row r="387" spans="1:3" ht="13" x14ac:dyDescent="0.15">
      <c r="A387" s="10"/>
      <c r="B387" s="13"/>
      <c r="C387" s="13"/>
    </row>
    <row r="388" spans="1:3" ht="13" x14ac:dyDescent="0.15">
      <c r="A388" s="10"/>
      <c r="B388" s="13"/>
      <c r="C388" s="13"/>
    </row>
    <row r="389" spans="1:3" ht="13" x14ac:dyDescent="0.15">
      <c r="A389" s="10"/>
      <c r="B389" s="13"/>
      <c r="C389" s="13"/>
    </row>
    <row r="390" spans="1:3" ht="13" x14ac:dyDescent="0.15">
      <c r="A390" s="10"/>
      <c r="B390" s="13"/>
      <c r="C390" s="13"/>
    </row>
    <row r="391" spans="1:3" ht="13" x14ac:dyDescent="0.15">
      <c r="A391" s="10"/>
      <c r="B391" s="13"/>
      <c r="C391" s="13"/>
    </row>
    <row r="392" spans="1:3" ht="13" x14ac:dyDescent="0.15">
      <c r="A392" s="10"/>
      <c r="B392" s="13"/>
      <c r="C392" s="13"/>
    </row>
    <row r="393" spans="1:3" ht="13" x14ac:dyDescent="0.15">
      <c r="A393" s="10"/>
      <c r="B393" s="13"/>
      <c r="C393" s="13"/>
    </row>
    <row r="394" spans="1:3" ht="13" x14ac:dyDescent="0.15">
      <c r="A394" s="10"/>
      <c r="B394" s="13"/>
      <c r="C394" s="13"/>
    </row>
    <row r="395" spans="1:3" ht="13" x14ac:dyDescent="0.15">
      <c r="A395" s="10"/>
      <c r="B395" s="13"/>
      <c r="C395" s="13"/>
    </row>
    <row r="396" spans="1:3" ht="13" x14ac:dyDescent="0.15">
      <c r="A396" s="10"/>
      <c r="B396" s="13"/>
      <c r="C396" s="13"/>
    </row>
    <row r="397" spans="1:3" ht="13" x14ac:dyDescent="0.15">
      <c r="A397" s="10"/>
      <c r="B397" s="13"/>
      <c r="C397" s="13"/>
    </row>
    <row r="398" spans="1:3" ht="13" x14ac:dyDescent="0.15">
      <c r="A398" s="10"/>
      <c r="B398" s="13"/>
      <c r="C398" s="13"/>
    </row>
    <row r="399" spans="1:3" ht="13" x14ac:dyDescent="0.15">
      <c r="A399" s="10"/>
      <c r="B399" s="13"/>
      <c r="C399" s="13"/>
    </row>
    <row r="400" spans="1:3" ht="13" x14ac:dyDescent="0.15">
      <c r="A400" s="10"/>
      <c r="B400" s="13"/>
      <c r="C400" s="13"/>
    </row>
    <row r="401" spans="1:3" ht="13" x14ac:dyDescent="0.15">
      <c r="A401" s="10"/>
      <c r="B401" s="13"/>
      <c r="C401" s="13"/>
    </row>
    <row r="402" spans="1:3" ht="13" x14ac:dyDescent="0.15">
      <c r="A402" s="10"/>
      <c r="B402" s="13"/>
      <c r="C402" s="13"/>
    </row>
    <row r="403" spans="1:3" ht="13" x14ac:dyDescent="0.15">
      <c r="A403" s="10"/>
      <c r="B403" s="13"/>
      <c r="C403" s="13"/>
    </row>
    <row r="404" spans="1:3" ht="13" x14ac:dyDescent="0.15">
      <c r="A404" s="10"/>
      <c r="B404" s="13"/>
      <c r="C404" s="13"/>
    </row>
    <row r="405" spans="1:3" ht="13" x14ac:dyDescent="0.15">
      <c r="A405" s="10"/>
      <c r="B405" s="13"/>
      <c r="C405" s="13"/>
    </row>
    <row r="406" spans="1:3" ht="13" x14ac:dyDescent="0.15">
      <c r="A406" s="10"/>
      <c r="B406" s="13"/>
      <c r="C406" s="13"/>
    </row>
    <row r="407" spans="1:3" ht="13" x14ac:dyDescent="0.15">
      <c r="A407" s="10"/>
      <c r="B407" s="13"/>
      <c r="C407" s="13"/>
    </row>
    <row r="408" spans="1:3" ht="13" x14ac:dyDescent="0.15">
      <c r="A408" s="10"/>
      <c r="B408" s="13"/>
      <c r="C408" s="13"/>
    </row>
    <row r="409" spans="1:3" ht="13" x14ac:dyDescent="0.15">
      <c r="A409" s="10"/>
      <c r="B409" s="13"/>
      <c r="C409" s="13"/>
    </row>
    <row r="410" spans="1:3" ht="13" x14ac:dyDescent="0.15">
      <c r="A410" s="10"/>
      <c r="B410" s="13"/>
      <c r="C410" s="13"/>
    </row>
    <row r="411" spans="1:3" ht="13" x14ac:dyDescent="0.15">
      <c r="A411" s="10"/>
      <c r="B411" s="13"/>
      <c r="C411" s="13"/>
    </row>
    <row r="412" spans="1:3" ht="13" x14ac:dyDescent="0.15">
      <c r="A412" s="10"/>
      <c r="B412" s="13"/>
      <c r="C412" s="13"/>
    </row>
    <row r="413" spans="1:3" ht="13" x14ac:dyDescent="0.15">
      <c r="A413" s="10"/>
      <c r="B413" s="13"/>
      <c r="C413" s="13"/>
    </row>
    <row r="414" spans="1:3" ht="13" x14ac:dyDescent="0.15">
      <c r="A414" s="10"/>
      <c r="B414" s="13"/>
      <c r="C414" s="13"/>
    </row>
    <row r="415" spans="1:3" ht="13" x14ac:dyDescent="0.15">
      <c r="A415" s="10"/>
      <c r="B415" s="13"/>
      <c r="C415" s="13"/>
    </row>
    <row r="416" spans="1:3" ht="13" x14ac:dyDescent="0.15">
      <c r="A416" s="10"/>
      <c r="B416" s="13"/>
      <c r="C416" s="13"/>
    </row>
    <row r="417" spans="1:3" ht="13" x14ac:dyDescent="0.15">
      <c r="A417" s="10"/>
      <c r="B417" s="13"/>
      <c r="C417" s="13"/>
    </row>
    <row r="418" spans="1:3" ht="13" x14ac:dyDescent="0.15">
      <c r="A418" s="10"/>
      <c r="B418" s="13"/>
      <c r="C418" s="13"/>
    </row>
    <row r="419" spans="1:3" ht="13" x14ac:dyDescent="0.15">
      <c r="A419" s="10"/>
      <c r="B419" s="13"/>
      <c r="C419" s="13"/>
    </row>
    <row r="420" spans="1:3" ht="13" x14ac:dyDescent="0.15">
      <c r="A420" s="10"/>
      <c r="B420" s="13"/>
      <c r="C420" s="13"/>
    </row>
    <row r="421" spans="1:3" ht="13" x14ac:dyDescent="0.15">
      <c r="A421" s="10"/>
      <c r="B421" s="13"/>
      <c r="C421" s="13"/>
    </row>
    <row r="422" spans="1:3" ht="13" x14ac:dyDescent="0.15">
      <c r="A422" s="10"/>
      <c r="B422" s="13"/>
      <c r="C422" s="13"/>
    </row>
    <row r="423" spans="1:3" ht="13" x14ac:dyDescent="0.15">
      <c r="A423" s="10"/>
      <c r="B423" s="13"/>
      <c r="C423" s="13"/>
    </row>
    <row r="424" spans="1:3" ht="13" x14ac:dyDescent="0.15">
      <c r="A424" s="10"/>
      <c r="B424" s="13"/>
      <c r="C424" s="13"/>
    </row>
    <row r="425" spans="1:3" ht="13" x14ac:dyDescent="0.15">
      <c r="A425" s="10"/>
      <c r="B425" s="13"/>
      <c r="C425" s="13"/>
    </row>
    <row r="426" spans="1:3" ht="13" x14ac:dyDescent="0.15">
      <c r="A426" s="10"/>
      <c r="B426" s="13"/>
      <c r="C426" s="13"/>
    </row>
    <row r="427" spans="1:3" ht="13" x14ac:dyDescent="0.15">
      <c r="A427" s="10"/>
      <c r="B427" s="13"/>
      <c r="C427" s="13"/>
    </row>
    <row r="428" spans="1:3" ht="13" x14ac:dyDescent="0.15">
      <c r="A428" s="10"/>
      <c r="B428" s="13"/>
      <c r="C428" s="13"/>
    </row>
    <row r="429" spans="1:3" ht="13" x14ac:dyDescent="0.15">
      <c r="A429" s="10"/>
      <c r="B429" s="13"/>
      <c r="C429" s="13"/>
    </row>
    <row r="430" spans="1:3" ht="13" x14ac:dyDescent="0.15">
      <c r="A430" s="10"/>
      <c r="B430" s="13"/>
      <c r="C430" s="13"/>
    </row>
    <row r="431" spans="1:3" ht="13" x14ac:dyDescent="0.15">
      <c r="A431" s="10"/>
      <c r="B431" s="13"/>
      <c r="C431" s="13"/>
    </row>
    <row r="432" spans="1:3" ht="13" x14ac:dyDescent="0.15">
      <c r="A432" s="10"/>
      <c r="B432" s="13"/>
      <c r="C432" s="13"/>
    </row>
    <row r="433" spans="1:3" ht="13" x14ac:dyDescent="0.15">
      <c r="A433" s="10"/>
      <c r="B433" s="13"/>
      <c r="C433" s="13"/>
    </row>
    <row r="434" spans="1:3" ht="13" x14ac:dyDescent="0.15">
      <c r="A434" s="10"/>
      <c r="B434" s="13"/>
      <c r="C434" s="13"/>
    </row>
    <row r="435" spans="1:3" ht="13" x14ac:dyDescent="0.15">
      <c r="A435" s="10"/>
      <c r="B435" s="13"/>
      <c r="C435" s="13"/>
    </row>
    <row r="436" spans="1:3" ht="13" x14ac:dyDescent="0.15">
      <c r="A436" s="10"/>
      <c r="B436" s="13"/>
      <c r="C436" s="13"/>
    </row>
    <row r="437" spans="1:3" ht="13" x14ac:dyDescent="0.15">
      <c r="A437" s="10"/>
      <c r="B437" s="13"/>
      <c r="C437" s="13"/>
    </row>
    <row r="438" spans="1:3" ht="13" x14ac:dyDescent="0.15">
      <c r="A438" s="10"/>
      <c r="B438" s="13"/>
      <c r="C438" s="13"/>
    </row>
    <row r="439" spans="1:3" ht="13" x14ac:dyDescent="0.15">
      <c r="A439" s="10"/>
      <c r="B439" s="13"/>
      <c r="C439" s="13"/>
    </row>
    <row r="440" spans="1:3" ht="13" x14ac:dyDescent="0.15">
      <c r="A440" s="10"/>
      <c r="B440" s="13"/>
      <c r="C440" s="13"/>
    </row>
    <row r="441" spans="1:3" ht="13" x14ac:dyDescent="0.15">
      <c r="A441" s="10"/>
      <c r="B441" s="13"/>
      <c r="C441" s="13"/>
    </row>
    <row r="442" spans="1:3" ht="13" x14ac:dyDescent="0.15">
      <c r="A442" s="10"/>
      <c r="B442" s="13"/>
      <c r="C442" s="13"/>
    </row>
    <row r="443" spans="1:3" ht="13" x14ac:dyDescent="0.15">
      <c r="A443" s="10"/>
      <c r="B443" s="13"/>
      <c r="C443" s="13"/>
    </row>
    <row r="444" spans="1:3" ht="13" x14ac:dyDescent="0.15">
      <c r="A444" s="10"/>
      <c r="B444" s="13"/>
      <c r="C444" s="13"/>
    </row>
    <row r="445" spans="1:3" ht="13" x14ac:dyDescent="0.15">
      <c r="A445" s="10"/>
      <c r="B445" s="13"/>
      <c r="C445" s="13"/>
    </row>
    <row r="446" spans="1:3" ht="13" x14ac:dyDescent="0.15">
      <c r="A446" s="10"/>
      <c r="B446" s="13"/>
      <c r="C446" s="13"/>
    </row>
    <row r="447" spans="1:3" ht="13" x14ac:dyDescent="0.15">
      <c r="A447" s="10"/>
      <c r="B447" s="13"/>
      <c r="C447" s="13"/>
    </row>
    <row r="448" spans="1:3" ht="13" x14ac:dyDescent="0.15">
      <c r="A448" s="10"/>
      <c r="B448" s="13"/>
      <c r="C448" s="13"/>
    </row>
    <row r="449" spans="1:3" ht="13" x14ac:dyDescent="0.15">
      <c r="A449" s="10"/>
      <c r="B449" s="13"/>
      <c r="C449" s="13"/>
    </row>
    <row r="450" spans="1:3" ht="13" x14ac:dyDescent="0.15">
      <c r="A450" s="10"/>
      <c r="B450" s="13"/>
      <c r="C450" s="13"/>
    </row>
    <row r="451" spans="1:3" ht="13" x14ac:dyDescent="0.15">
      <c r="A451" s="10"/>
      <c r="B451" s="13"/>
      <c r="C451" s="13"/>
    </row>
    <row r="452" spans="1:3" ht="13" x14ac:dyDescent="0.15">
      <c r="A452" s="10"/>
      <c r="B452" s="13"/>
      <c r="C452" s="13"/>
    </row>
    <row r="453" spans="1:3" ht="13" x14ac:dyDescent="0.15">
      <c r="A453" s="10"/>
      <c r="B453" s="13"/>
      <c r="C453" s="13"/>
    </row>
    <row r="454" spans="1:3" ht="13" x14ac:dyDescent="0.15">
      <c r="A454" s="10"/>
      <c r="B454" s="13"/>
      <c r="C454" s="13"/>
    </row>
    <row r="455" spans="1:3" ht="13" x14ac:dyDescent="0.15">
      <c r="A455" s="10"/>
      <c r="B455" s="13"/>
      <c r="C455" s="13"/>
    </row>
    <row r="456" spans="1:3" ht="13" x14ac:dyDescent="0.15">
      <c r="A456" s="10"/>
      <c r="B456" s="13"/>
      <c r="C456" s="13"/>
    </row>
    <row r="457" spans="1:3" ht="13" x14ac:dyDescent="0.15">
      <c r="A457" s="10"/>
      <c r="B457" s="13"/>
      <c r="C457" s="13"/>
    </row>
    <row r="458" spans="1:3" ht="13" x14ac:dyDescent="0.15">
      <c r="A458" s="10"/>
      <c r="B458" s="13"/>
      <c r="C458" s="13"/>
    </row>
    <row r="459" spans="1:3" ht="13" x14ac:dyDescent="0.15">
      <c r="A459" s="10"/>
      <c r="B459" s="13"/>
      <c r="C459" s="13"/>
    </row>
    <row r="460" spans="1:3" ht="13" x14ac:dyDescent="0.15">
      <c r="A460" s="10"/>
      <c r="B460" s="13"/>
      <c r="C460" s="13"/>
    </row>
    <row r="461" spans="1:3" ht="13" x14ac:dyDescent="0.15">
      <c r="A461" s="10"/>
      <c r="B461" s="13"/>
      <c r="C461" s="13"/>
    </row>
    <row r="462" spans="1:3" ht="13" x14ac:dyDescent="0.15">
      <c r="A462" s="10"/>
      <c r="B462" s="13"/>
      <c r="C462" s="13"/>
    </row>
    <row r="463" spans="1:3" ht="13" x14ac:dyDescent="0.15">
      <c r="A463" s="10"/>
      <c r="B463" s="13"/>
      <c r="C463" s="13"/>
    </row>
    <row r="464" spans="1:3" ht="13" x14ac:dyDescent="0.15">
      <c r="A464" s="10"/>
      <c r="B464" s="13"/>
      <c r="C464" s="13"/>
    </row>
    <row r="465" spans="1:3" ht="13" x14ac:dyDescent="0.15">
      <c r="A465" s="10"/>
      <c r="B465" s="13"/>
      <c r="C465" s="13"/>
    </row>
    <row r="466" spans="1:3" ht="13" x14ac:dyDescent="0.15">
      <c r="A466" s="10"/>
      <c r="B466" s="13"/>
      <c r="C466" s="13"/>
    </row>
    <row r="467" spans="1:3" ht="13" x14ac:dyDescent="0.15">
      <c r="A467" s="10"/>
      <c r="B467" s="13"/>
      <c r="C467" s="13"/>
    </row>
    <row r="468" spans="1:3" ht="13" x14ac:dyDescent="0.15">
      <c r="A468" s="10"/>
      <c r="B468" s="13"/>
      <c r="C468" s="13"/>
    </row>
    <row r="469" spans="1:3" ht="13" x14ac:dyDescent="0.15">
      <c r="A469" s="10"/>
      <c r="B469" s="13"/>
      <c r="C469" s="13"/>
    </row>
    <row r="470" spans="1:3" ht="13" x14ac:dyDescent="0.15">
      <c r="A470" s="10"/>
      <c r="B470" s="13"/>
      <c r="C470" s="13"/>
    </row>
    <row r="471" spans="1:3" ht="13" x14ac:dyDescent="0.15">
      <c r="A471" s="10"/>
      <c r="B471" s="13"/>
      <c r="C471" s="13"/>
    </row>
    <row r="472" spans="1:3" ht="13" x14ac:dyDescent="0.15">
      <c r="A472" s="10"/>
      <c r="B472" s="13"/>
      <c r="C472" s="13"/>
    </row>
    <row r="473" spans="1:3" ht="13" x14ac:dyDescent="0.15">
      <c r="A473" s="10"/>
      <c r="B473" s="13"/>
      <c r="C473" s="13"/>
    </row>
    <row r="474" spans="1:3" ht="13" x14ac:dyDescent="0.15">
      <c r="A474" s="10"/>
      <c r="B474" s="13"/>
      <c r="C474" s="13"/>
    </row>
    <row r="475" spans="1:3" ht="13" x14ac:dyDescent="0.15">
      <c r="A475" s="10"/>
      <c r="B475" s="13"/>
      <c r="C475" s="13"/>
    </row>
    <row r="476" spans="1:3" ht="13" x14ac:dyDescent="0.15">
      <c r="A476" s="10"/>
      <c r="B476" s="13"/>
      <c r="C476" s="13"/>
    </row>
    <row r="477" spans="1:3" ht="13" x14ac:dyDescent="0.15">
      <c r="A477" s="10"/>
      <c r="B477" s="13"/>
      <c r="C477" s="13"/>
    </row>
    <row r="478" spans="1:3" ht="13" x14ac:dyDescent="0.15">
      <c r="A478" s="10"/>
      <c r="B478" s="13"/>
      <c r="C478" s="13"/>
    </row>
    <row r="479" spans="1:3" ht="13" x14ac:dyDescent="0.15">
      <c r="A479" s="10"/>
      <c r="B479" s="13"/>
      <c r="C479" s="13"/>
    </row>
    <row r="480" spans="1:3" ht="13" x14ac:dyDescent="0.15">
      <c r="A480" s="10"/>
      <c r="B480" s="13"/>
      <c r="C480" s="13"/>
    </row>
    <row r="481" spans="1:3" ht="13" x14ac:dyDescent="0.15">
      <c r="A481" s="10"/>
      <c r="B481" s="13"/>
      <c r="C481" s="13"/>
    </row>
    <row r="482" spans="1:3" ht="13" x14ac:dyDescent="0.15">
      <c r="A482" s="10"/>
      <c r="B482" s="13"/>
      <c r="C482" s="13"/>
    </row>
    <row r="483" spans="1:3" ht="13" x14ac:dyDescent="0.15">
      <c r="A483" s="10"/>
      <c r="B483" s="13"/>
      <c r="C483" s="13"/>
    </row>
    <row r="484" spans="1:3" ht="13" x14ac:dyDescent="0.15">
      <c r="A484" s="10"/>
      <c r="B484" s="13"/>
      <c r="C484" s="13"/>
    </row>
    <row r="485" spans="1:3" ht="13" x14ac:dyDescent="0.15">
      <c r="A485" s="10"/>
      <c r="B485" s="13"/>
      <c r="C485" s="13"/>
    </row>
    <row r="486" spans="1:3" ht="13" x14ac:dyDescent="0.15">
      <c r="A486" s="10"/>
      <c r="B486" s="13"/>
      <c r="C486" s="13"/>
    </row>
    <row r="487" spans="1:3" ht="13" x14ac:dyDescent="0.15">
      <c r="A487" s="10"/>
      <c r="B487" s="13"/>
      <c r="C487" s="13"/>
    </row>
    <row r="488" spans="1:3" ht="13" x14ac:dyDescent="0.15">
      <c r="A488" s="10"/>
      <c r="B488" s="13"/>
      <c r="C488" s="13"/>
    </row>
    <row r="489" spans="1:3" ht="13" x14ac:dyDescent="0.15">
      <c r="A489" s="10"/>
      <c r="B489" s="13"/>
      <c r="C489" s="13"/>
    </row>
    <row r="490" spans="1:3" ht="13" x14ac:dyDescent="0.15">
      <c r="A490" s="10"/>
      <c r="B490" s="13"/>
      <c r="C490" s="13"/>
    </row>
    <row r="491" spans="1:3" ht="13" x14ac:dyDescent="0.15">
      <c r="A491" s="10"/>
      <c r="B491" s="13"/>
      <c r="C491" s="13"/>
    </row>
    <row r="492" spans="1:3" ht="13" x14ac:dyDescent="0.15">
      <c r="A492" s="10"/>
      <c r="B492" s="13"/>
      <c r="C492" s="13"/>
    </row>
    <row r="493" spans="1:3" ht="13" x14ac:dyDescent="0.15">
      <c r="A493" s="10"/>
      <c r="B493" s="13"/>
      <c r="C493" s="13"/>
    </row>
    <row r="494" spans="1:3" ht="13" x14ac:dyDescent="0.15">
      <c r="A494" s="10"/>
      <c r="B494" s="13"/>
      <c r="C494" s="13"/>
    </row>
    <row r="495" spans="1:3" ht="13" x14ac:dyDescent="0.15">
      <c r="A495" s="10"/>
      <c r="B495" s="13"/>
      <c r="C495" s="13"/>
    </row>
    <row r="496" spans="1:3" ht="13" x14ac:dyDescent="0.15">
      <c r="A496" s="10"/>
      <c r="B496" s="13"/>
      <c r="C496" s="13"/>
    </row>
    <row r="497" spans="1:3" ht="13" x14ac:dyDescent="0.15">
      <c r="A497" s="10"/>
      <c r="B497" s="13"/>
      <c r="C497" s="13"/>
    </row>
    <row r="498" spans="1:3" ht="13" x14ac:dyDescent="0.15">
      <c r="A498" s="10"/>
      <c r="B498" s="13"/>
      <c r="C498" s="13"/>
    </row>
    <row r="499" spans="1:3" ht="13" x14ac:dyDescent="0.15">
      <c r="A499" s="10"/>
      <c r="B499" s="13"/>
      <c r="C499" s="13"/>
    </row>
    <row r="500" spans="1:3" ht="13" x14ac:dyDescent="0.15">
      <c r="A500" s="10"/>
      <c r="B500" s="13"/>
      <c r="C500" s="13"/>
    </row>
    <row r="501" spans="1:3" ht="13" x14ac:dyDescent="0.15">
      <c r="A501" s="10"/>
      <c r="B501" s="13"/>
      <c r="C501" s="13"/>
    </row>
    <row r="502" spans="1:3" ht="13" x14ac:dyDescent="0.15">
      <c r="A502" s="10"/>
      <c r="B502" s="13"/>
      <c r="C502" s="13"/>
    </row>
    <row r="503" spans="1:3" ht="13" x14ac:dyDescent="0.15">
      <c r="A503" s="10"/>
      <c r="B503" s="13"/>
      <c r="C503" s="13"/>
    </row>
    <row r="504" spans="1:3" ht="13" x14ac:dyDescent="0.15">
      <c r="A504" s="10"/>
      <c r="B504" s="13"/>
      <c r="C504" s="13"/>
    </row>
    <row r="505" spans="1:3" ht="13" x14ac:dyDescent="0.15">
      <c r="A505" s="10"/>
      <c r="B505" s="13"/>
      <c r="C505" s="13"/>
    </row>
    <row r="506" spans="1:3" ht="13" x14ac:dyDescent="0.15">
      <c r="A506" s="10"/>
      <c r="B506" s="13"/>
      <c r="C506" s="13"/>
    </row>
    <row r="507" spans="1:3" ht="13" x14ac:dyDescent="0.15">
      <c r="A507" s="10"/>
      <c r="B507" s="13"/>
      <c r="C507" s="13"/>
    </row>
    <row r="508" spans="1:3" ht="13" x14ac:dyDescent="0.15">
      <c r="A508" s="10"/>
      <c r="B508" s="13"/>
      <c r="C508" s="13"/>
    </row>
    <row r="509" spans="1:3" ht="13" x14ac:dyDescent="0.15">
      <c r="A509" s="10"/>
      <c r="B509" s="13"/>
      <c r="C509" s="13"/>
    </row>
    <row r="510" spans="1:3" ht="13" x14ac:dyDescent="0.15">
      <c r="A510" s="10"/>
      <c r="B510" s="13"/>
      <c r="C510" s="13"/>
    </row>
    <row r="511" spans="1:3" ht="13" x14ac:dyDescent="0.15">
      <c r="A511" s="10"/>
      <c r="B511" s="13"/>
      <c r="C511" s="13"/>
    </row>
    <row r="512" spans="1:3" ht="13" x14ac:dyDescent="0.15">
      <c r="A512" s="10"/>
      <c r="B512" s="13"/>
      <c r="C512" s="13"/>
    </row>
    <row r="513" spans="1:3" ht="13" x14ac:dyDescent="0.15">
      <c r="A513" s="10"/>
      <c r="B513" s="13"/>
      <c r="C513" s="13"/>
    </row>
    <row r="514" spans="1:3" ht="13" x14ac:dyDescent="0.15">
      <c r="A514" s="10"/>
      <c r="B514" s="13"/>
      <c r="C514" s="13"/>
    </row>
    <row r="515" spans="1:3" ht="13" x14ac:dyDescent="0.15">
      <c r="A515" s="10"/>
      <c r="B515" s="13"/>
      <c r="C515" s="13"/>
    </row>
    <row r="516" spans="1:3" ht="13" x14ac:dyDescent="0.15">
      <c r="A516" s="10"/>
      <c r="B516" s="13"/>
      <c r="C516" s="13"/>
    </row>
    <row r="517" spans="1:3" ht="13" x14ac:dyDescent="0.15">
      <c r="A517" s="10"/>
      <c r="B517" s="13"/>
      <c r="C517" s="13"/>
    </row>
    <row r="518" spans="1:3" ht="13" x14ac:dyDescent="0.15">
      <c r="A518" s="10"/>
      <c r="B518" s="13"/>
      <c r="C518" s="13"/>
    </row>
    <row r="519" spans="1:3" ht="13" x14ac:dyDescent="0.15">
      <c r="A519" s="10"/>
      <c r="B519" s="13"/>
      <c r="C519" s="13"/>
    </row>
    <row r="520" spans="1:3" ht="13" x14ac:dyDescent="0.15">
      <c r="A520" s="10"/>
      <c r="B520" s="13"/>
      <c r="C520" s="13"/>
    </row>
    <row r="521" spans="1:3" ht="13" x14ac:dyDescent="0.15">
      <c r="A521" s="10"/>
      <c r="B521" s="13"/>
      <c r="C521" s="13"/>
    </row>
    <row r="522" spans="1:3" ht="13" x14ac:dyDescent="0.15">
      <c r="A522" s="10"/>
      <c r="B522" s="13"/>
      <c r="C522" s="13"/>
    </row>
    <row r="523" spans="1:3" ht="13" x14ac:dyDescent="0.15">
      <c r="A523" s="10"/>
      <c r="B523" s="13"/>
      <c r="C523" s="13"/>
    </row>
    <row r="524" spans="1:3" ht="13" x14ac:dyDescent="0.15">
      <c r="A524" s="10"/>
      <c r="B524" s="13"/>
      <c r="C524" s="13"/>
    </row>
    <row r="525" spans="1:3" ht="13" x14ac:dyDescent="0.15">
      <c r="A525" s="10"/>
      <c r="B525" s="13"/>
      <c r="C525" s="13"/>
    </row>
    <row r="526" spans="1:3" ht="13" x14ac:dyDescent="0.15">
      <c r="A526" s="10"/>
      <c r="B526" s="13"/>
      <c r="C526" s="13"/>
    </row>
    <row r="527" spans="1:3" ht="13" x14ac:dyDescent="0.15">
      <c r="A527" s="10"/>
      <c r="B527" s="13"/>
      <c r="C527" s="13"/>
    </row>
    <row r="528" spans="1:3" ht="13" x14ac:dyDescent="0.15">
      <c r="A528" s="10"/>
      <c r="B528" s="13"/>
      <c r="C528" s="13"/>
    </row>
    <row r="529" spans="1:3" ht="13" x14ac:dyDescent="0.15">
      <c r="A529" s="10"/>
      <c r="B529" s="13"/>
      <c r="C529" s="13"/>
    </row>
    <row r="530" spans="1:3" ht="13" x14ac:dyDescent="0.15">
      <c r="A530" s="10"/>
      <c r="B530" s="13"/>
      <c r="C530" s="13"/>
    </row>
    <row r="531" spans="1:3" ht="13" x14ac:dyDescent="0.15">
      <c r="A531" s="10"/>
      <c r="B531" s="13"/>
      <c r="C531" s="13"/>
    </row>
    <row r="532" spans="1:3" ht="13" x14ac:dyDescent="0.15">
      <c r="A532" s="10"/>
      <c r="B532" s="13"/>
      <c r="C532" s="13"/>
    </row>
    <row r="533" spans="1:3" ht="13" x14ac:dyDescent="0.15">
      <c r="A533" s="10"/>
      <c r="B533" s="13"/>
      <c r="C533" s="13"/>
    </row>
    <row r="534" spans="1:3" ht="13" x14ac:dyDescent="0.15">
      <c r="A534" s="10"/>
      <c r="B534" s="13"/>
      <c r="C534" s="13"/>
    </row>
    <row r="535" spans="1:3" ht="13" x14ac:dyDescent="0.15">
      <c r="A535" s="10"/>
      <c r="B535" s="13"/>
      <c r="C535" s="13"/>
    </row>
    <row r="536" spans="1:3" ht="13" x14ac:dyDescent="0.15">
      <c r="A536" s="10"/>
      <c r="B536" s="13"/>
      <c r="C536" s="13"/>
    </row>
    <row r="537" spans="1:3" ht="13" x14ac:dyDescent="0.15">
      <c r="A537" s="10"/>
      <c r="B537" s="13"/>
      <c r="C537" s="13"/>
    </row>
    <row r="538" spans="1:3" ht="13" x14ac:dyDescent="0.15">
      <c r="A538" s="10"/>
      <c r="B538" s="13"/>
      <c r="C538" s="13"/>
    </row>
    <row r="539" spans="1:3" ht="13" x14ac:dyDescent="0.15">
      <c r="A539" s="10"/>
      <c r="B539" s="13"/>
      <c r="C539" s="13"/>
    </row>
    <row r="540" spans="1:3" ht="13" x14ac:dyDescent="0.15">
      <c r="A540" s="10"/>
      <c r="B540" s="13"/>
      <c r="C540" s="13"/>
    </row>
    <row r="541" spans="1:3" ht="13" x14ac:dyDescent="0.15">
      <c r="A541" s="10"/>
      <c r="B541" s="13"/>
      <c r="C541" s="13"/>
    </row>
    <row r="542" spans="1:3" ht="13" x14ac:dyDescent="0.15">
      <c r="A542" s="10"/>
      <c r="B542" s="13"/>
      <c r="C542" s="13"/>
    </row>
    <row r="543" spans="1:3" ht="13" x14ac:dyDescent="0.15">
      <c r="A543" s="10"/>
      <c r="B543" s="13"/>
      <c r="C543" s="13"/>
    </row>
    <row r="544" spans="1:3" ht="13" x14ac:dyDescent="0.15">
      <c r="A544" s="10"/>
      <c r="B544" s="13"/>
      <c r="C544" s="13"/>
    </row>
    <row r="545" spans="1:3" ht="13" x14ac:dyDescent="0.15">
      <c r="A545" s="10"/>
      <c r="B545" s="13"/>
      <c r="C545" s="13"/>
    </row>
    <row r="546" spans="1:3" ht="13" x14ac:dyDescent="0.15">
      <c r="A546" s="10"/>
      <c r="B546" s="13"/>
      <c r="C546" s="13"/>
    </row>
    <row r="547" spans="1:3" ht="13" x14ac:dyDescent="0.15">
      <c r="A547" s="10"/>
      <c r="B547" s="13"/>
      <c r="C547" s="13"/>
    </row>
    <row r="548" spans="1:3" ht="13" x14ac:dyDescent="0.15">
      <c r="A548" s="10"/>
      <c r="B548" s="13"/>
      <c r="C548" s="13"/>
    </row>
    <row r="549" spans="1:3" ht="13" x14ac:dyDescent="0.15">
      <c r="A549" s="10"/>
      <c r="B549" s="13"/>
      <c r="C549" s="13"/>
    </row>
    <row r="550" spans="1:3" ht="13" x14ac:dyDescent="0.15">
      <c r="A550" s="10"/>
      <c r="B550" s="13"/>
      <c r="C550" s="13"/>
    </row>
    <row r="551" spans="1:3" ht="13" x14ac:dyDescent="0.15">
      <c r="A551" s="10"/>
      <c r="B551" s="13"/>
      <c r="C551" s="13"/>
    </row>
    <row r="552" spans="1:3" ht="13" x14ac:dyDescent="0.15">
      <c r="A552" s="10"/>
      <c r="B552" s="13"/>
      <c r="C552" s="13"/>
    </row>
    <row r="553" spans="1:3" ht="13" x14ac:dyDescent="0.15">
      <c r="A553" s="10"/>
      <c r="B553" s="13"/>
      <c r="C553" s="13"/>
    </row>
    <row r="554" spans="1:3" ht="13" x14ac:dyDescent="0.15">
      <c r="A554" s="10"/>
      <c r="B554" s="13"/>
      <c r="C554" s="13"/>
    </row>
    <row r="555" spans="1:3" ht="13" x14ac:dyDescent="0.15">
      <c r="A555" s="10"/>
      <c r="B555" s="13"/>
      <c r="C555" s="13"/>
    </row>
    <row r="556" spans="1:3" ht="13" x14ac:dyDescent="0.15">
      <c r="A556" s="10"/>
      <c r="B556" s="13"/>
      <c r="C556" s="13"/>
    </row>
    <row r="557" spans="1:3" ht="13" x14ac:dyDescent="0.15">
      <c r="A557" s="10"/>
      <c r="B557" s="13"/>
      <c r="C557" s="13"/>
    </row>
    <row r="558" spans="1:3" ht="13" x14ac:dyDescent="0.15">
      <c r="A558" s="10"/>
      <c r="B558" s="13"/>
      <c r="C558" s="13"/>
    </row>
    <row r="559" spans="1:3" ht="13" x14ac:dyDescent="0.15">
      <c r="A559" s="10"/>
      <c r="B559" s="13"/>
      <c r="C559" s="13"/>
    </row>
    <row r="560" spans="1:3" ht="13" x14ac:dyDescent="0.15">
      <c r="A560" s="10"/>
      <c r="B560" s="13"/>
      <c r="C560" s="13"/>
    </row>
    <row r="561" spans="1:3" ht="13" x14ac:dyDescent="0.15">
      <c r="A561" s="10"/>
      <c r="B561" s="13"/>
      <c r="C561" s="13"/>
    </row>
    <row r="562" spans="1:3" ht="13" x14ac:dyDescent="0.15">
      <c r="A562" s="10"/>
      <c r="B562" s="13"/>
      <c r="C562" s="13"/>
    </row>
    <row r="563" spans="1:3" ht="13" x14ac:dyDescent="0.15">
      <c r="A563" s="10"/>
      <c r="B563" s="13"/>
      <c r="C563" s="13"/>
    </row>
    <row r="564" spans="1:3" ht="13" x14ac:dyDescent="0.15">
      <c r="A564" s="10"/>
      <c r="B564" s="13"/>
      <c r="C564" s="13"/>
    </row>
    <row r="565" spans="1:3" ht="13" x14ac:dyDescent="0.15">
      <c r="A565" s="10"/>
      <c r="B565" s="13"/>
      <c r="C565" s="13"/>
    </row>
    <row r="566" spans="1:3" ht="13" x14ac:dyDescent="0.15">
      <c r="A566" s="10"/>
      <c r="B566" s="13"/>
      <c r="C566" s="13"/>
    </row>
    <row r="567" spans="1:3" ht="13" x14ac:dyDescent="0.15">
      <c r="A567" s="10"/>
      <c r="B567" s="13"/>
      <c r="C567" s="13"/>
    </row>
    <row r="568" spans="1:3" ht="13" x14ac:dyDescent="0.15">
      <c r="A568" s="10"/>
      <c r="B568" s="13"/>
      <c r="C568" s="13"/>
    </row>
    <row r="569" spans="1:3" ht="13" x14ac:dyDescent="0.15">
      <c r="A569" s="10"/>
      <c r="B569" s="13"/>
      <c r="C569" s="13"/>
    </row>
    <row r="570" spans="1:3" ht="13" x14ac:dyDescent="0.15">
      <c r="A570" s="10"/>
      <c r="B570" s="13"/>
      <c r="C570" s="13"/>
    </row>
    <row r="571" spans="1:3" ht="13" x14ac:dyDescent="0.15">
      <c r="A571" s="10"/>
      <c r="B571" s="13"/>
      <c r="C571" s="13"/>
    </row>
    <row r="572" spans="1:3" ht="13" x14ac:dyDescent="0.15">
      <c r="A572" s="10"/>
      <c r="B572" s="13"/>
      <c r="C572" s="13"/>
    </row>
    <row r="573" spans="1:3" ht="13" x14ac:dyDescent="0.15">
      <c r="A573" s="10"/>
      <c r="B573" s="13"/>
      <c r="C573" s="13"/>
    </row>
    <row r="574" spans="1:3" ht="13" x14ac:dyDescent="0.15">
      <c r="A574" s="10"/>
      <c r="B574" s="13"/>
      <c r="C574" s="13"/>
    </row>
    <row r="575" spans="1:3" ht="13" x14ac:dyDescent="0.15">
      <c r="A575" s="10"/>
      <c r="B575" s="13"/>
      <c r="C575" s="13"/>
    </row>
    <row r="576" spans="1:3" ht="13" x14ac:dyDescent="0.15">
      <c r="A576" s="10"/>
      <c r="B576" s="13"/>
      <c r="C576" s="13"/>
    </row>
    <row r="577" spans="1:3" ht="13" x14ac:dyDescent="0.15">
      <c r="A577" s="10"/>
      <c r="B577" s="13"/>
      <c r="C577" s="13"/>
    </row>
    <row r="578" spans="1:3" ht="13" x14ac:dyDescent="0.15">
      <c r="A578" s="10"/>
      <c r="B578" s="13"/>
      <c r="C578" s="13"/>
    </row>
    <row r="579" spans="1:3" ht="13" x14ac:dyDescent="0.15">
      <c r="A579" s="10"/>
      <c r="B579" s="13"/>
      <c r="C579" s="13"/>
    </row>
    <row r="580" spans="1:3" ht="13" x14ac:dyDescent="0.15">
      <c r="A580" s="10"/>
      <c r="B580" s="13"/>
      <c r="C580" s="13"/>
    </row>
    <row r="581" spans="1:3" ht="13" x14ac:dyDescent="0.15">
      <c r="A581" s="10"/>
      <c r="B581" s="13"/>
      <c r="C581" s="13"/>
    </row>
    <row r="582" spans="1:3" ht="13" x14ac:dyDescent="0.15">
      <c r="A582" s="10"/>
      <c r="B582" s="13"/>
      <c r="C582" s="13"/>
    </row>
    <row r="583" spans="1:3" ht="13" x14ac:dyDescent="0.15">
      <c r="A583" s="10"/>
      <c r="B583" s="13"/>
      <c r="C583" s="13"/>
    </row>
    <row r="584" spans="1:3" ht="13" x14ac:dyDescent="0.15">
      <c r="A584" s="10"/>
      <c r="B584" s="13"/>
      <c r="C584" s="13"/>
    </row>
    <row r="585" spans="1:3" ht="13" x14ac:dyDescent="0.15">
      <c r="A585" s="10"/>
      <c r="B585" s="13"/>
      <c r="C585" s="13"/>
    </row>
    <row r="586" spans="1:3" ht="13" x14ac:dyDescent="0.15">
      <c r="A586" s="10"/>
      <c r="B586" s="13"/>
      <c r="C586" s="13"/>
    </row>
    <row r="587" spans="1:3" ht="13" x14ac:dyDescent="0.15">
      <c r="A587" s="10"/>
      <c r="B587" s="13"/>
      <c r="C587" s="13"/>
    </row>
    <row r="588" spans="1:3" ht="13" x14ac:dyDescent="0.15">
      <c r="A588" s="10"/>
      <c r="B588" s="13"/>
      <c r="C588" s="13"/>
    </row>
    <row r="589" spans="1:3" ht="13" x14ac:dyDescent="0.15">
      <c r="A589" s="10"/>
      <c r="B589" s="13"/>
      <c r="C589" s="13"/>
    </row>
    <row r="590" spans="1:3" ht="13" x14ac:dyDescent="0.15">
      <c r="A590" s="10"/>
      <c r="B590" s="13"/>
      <c r="C590" s="13"/>
    </row>
    <row r="591" spans="1:3" ht="13" x14ac:dyDescent="0.15">
      <c r="A591" s="10"/>
      <c r="B591" s="13"/>
      <c r="C591" s="13"/>
    </row>
    <row r="592" spans="1:3" ht="13" x14ac:dyDescent="0.15">
      <c r="A592" s="10"/>
      <c r="B592" s="13"/>
      <c r="C592" s="13"/>
    </row>
    <row r="593" spans="1:3" ht="13" x14ac:dyDescent="0.15">
      <c r="A593" s="10"/>
      <c r="B593" s="13"/>
      <c r="C593" s="13"/>
    </row>
    <row r="594" spans="1:3" ht="13" x14ac:dyDescent="0.15">
      <c r="A594" s="10"/>
      <c r="B594" s="13"/>
      <c r="C594" s="13"/>
    </row>
    <row r="595" spans="1:3" ht="13" x14ac:dyDescent="0.15">
      <c r="A595" s="10"/>
      <c r="B595" s="13"/>
      <c r="C595" s="13"/>
    </row>
    <row r="596" spans="1:3" ht="13" x14ac:dyDescent="0.15">
      <c r="A596" s="10"/>
      <c r="B596" s="13"/>
      <c r="C596" s="13"/>
    </row>
    <row r="597" spans="1:3" ht="13" x14ac:dyDescent="0.15">
      <c r="A597" s="10"/>
      <c r="B597" s="13"/>
      <c r="C597" s="13"/>
    </row>
    <row r="598" spans="1:3" ht="13" x14ac:dyDescent="0.15">
      <c r="A598" s="10"/>
      <c r="B598" s="13"/>
      <c r="C598" s="13"/>
    </row>
    <row r="599" spans="1:3" ht="13" x14ac:dyDescent="0.15">
      <c r="A599" s="10"/>
      <c r="B599" s="13"/>
      <c r="C599" s="13"/>
    </row>
    <row r="600" spans="1:3" ht="13" x14ac:dyDescent="0.15">
      <c r="A600" s="10"/>
      <c r="B600" s="13"/>
      <c r="C600" s="13"/>
    </row>
    <row r="601" spans="1:3" ht="13" x14ac:dyDescent="0.15">
      <c r="A601" s="10"/>
      <c r="B601" s="13"/>
      <c r="C601" s="13"/>
    </row>
    <row r="602" spans="1:3" ht="13" x14ac:dyDescent="0.15">
      <c r="A602" s="10"/>
      <c r="B602" s="13"/>
      <c r="C602" s="13"/>
    </row>
    <row r="603" spans="1:3" ht="13" x14ac:dyDescent="0.15">
      <c r="A603" s="10"/>
      <c r="B603" s="13"/>
      <c r="C603" s="13"/>
    </row>
    <row r="604" spans="1:3" ht="13" x14ac:dyDescent="0.15">
      <c r="A604" s="10"/>
      <c r="B604" s="13"/>
      <c r="C604" s="13"/>
    </row>
    <row r="605" spans="1:3" ht="13" x14ac:dyDescent="0.15">
      <c r="A605" s="10"/>
      <c r="B605" s="13"/>
      <c r="C605" s="13"/>
    </row>
    <row r="606" spans="1:3" ht="13" x14ac:dyDescent="0.15">
      <c r="A606" s="10"/>
      <c r="B606" s="13"/>
      <c r="C606" s="13"/>
    </row>
    <row r="607" spans="1:3" ht="13" x14ac:dyDescent="0.15">
      <c r="A607" s="10"/>
      <c r="B607" s="13"/>
      <c r="C607" s="13"/>
    </row>
    <row r="608" spans="1:3" ht="13" x14ac:dyDescent="0.15">
      <c r="A608" s="10"/>
      <c r="B608" s="13"/>
      <c r="C608" s="13"/>
    </row>
    <row r="609" spans="1:3" ht="13" x14ac:dyDescent="0.15">
      <c r="A609" s="10"/>
      <c r="B609" s="13"/>
      <c r="C609" s="13"/>
    </row>
    <row r="610" spans="1:3" ht="13" x14ac:dyDescent="0.15">
      <c r="A610" s="10"/>
      <c r="B610" s="13"/>
      <c r="C610" s="13"/>
    </row>
    <row r="611" spans="1:3" ht="13" x14ac:dyDescent="0.15">
      <c r="A611" s="10"/>
      <c r="B611" s="13"/>
      <c r="C611" s="13"/>
    </row>
    <row r="612" spans="1:3" ht="13" x14ac:dyDescent="0.15">
      <c r="A612" s="10"/>
      <c r="B612" s="13"/>
      <c r="C612" s="13"/>
    </row>
    <row r="613" spans="1:3" ht="13" x14ac:dyDescent="0.15">
      <c r="A613" s="10"/>
      <c r="B613" s="13"/>
      <c r="C613" s="13"/>
    </row>
    <row r="614" spans="1:3" ht="13" x14ac:dyDescent="0.15">
      <c r="A614" s="10"/>
      <c r="B614" s="13"/>
      <c r="C614" s="13"/>
    </row>
    <row r="615" spans="1:3" ht="13" x14ac:dyDescent="0.15">
      <c r="A615" s="10"/>
      <c r="B615" s="13"/>
      <c r="C615" s="13"/>
    </row>
    <row r="616" spans="1:3" ht="13" x14ac:dyDescent="0.15">
      <c r="A616" s="10"/>
      <c r="B616" s="13"/>
      <c r="C616" s="13"/>
    </row>
    <row r="617" spans="1:3" ht="13" x14ac:dyDescent="0.15">
      <c r="A617" s="10"/>
      <c r="B617" s="13"/>
      <c r="C617" s="13"/>
    </row>
    <row r="618" spans="1:3" ht="13" x14ac:dyDescent="0.15">
      <c r="A618" s="10"/>
      <c r="B618" s="13"/>
      <c r="C618" s="13"/>
    </row>
    <row r="619" spans="1:3" ht="13" x14ac:dyDescent="0.15">
      <c r="A619" s="10"/>
      <c r="B619" s="13"/>
      <c r="C619" s="13"/>
    </row>
    <row r="620" spans="1:3" ht="13" x14ac:dyDescent="0.15">
      <c r="A620" s="10"/>
      <c r="B620" s="13"/>
      <c r="C620" s="13"/>
    </row>
    <row r="621" spans="1:3" ht="13" x14ac:dyDescent="0.15">
      <c r="A621" s="10"/>
      <c r="B621" s="13"/>
      <c r="C621" s="13"/>
    </row>
    <row r="622" spans="1:3" ht="13" x14ac:dyDescent="0.15">
      <c r="A622" s="10"/>
      <c r="B622" s="13"/>
      <c r="C622" s="13"/>
    </row>
    <row r="623" spans="1:3" ht="13" x14ac:dyDescent="0.15">
      <c r="A623" s="10"/>
      <c r="B623" s="13"/>
      <c r="C623" s="13"/>
    </row>
    <row r="624" spans="1:3" ht="13" x14ac:dyDescent="0.15">
      <c r="A624" s="10"/>
      <c r="B624" s="13"/>
      <c r="C624" s="13"/>
    </row>
    <row r="625" spans="1:3" ht="13" x14ac:dyDescent="0.15">
      <c r="A625" s="10"/>
      <c r="B625" s="13"/>
      <c r="C625" s="13"/>
    </row>
    <row r="626" spans="1:3" ht="13" x14ac:dyDescent="0.15">
      <c r="A626" s="10"/>
      <c r="B626" s="13"/>
      <c r="C626" s="13"/>
    </row>
    <row r="627" spans="1:3" ht="13" x14ac:dyDescent="0.15">
      <c r="A627" s="10"/>
      <c r="B627" s="13"/>
      <c r="C627" s="13"/>
    </row>
    <row r="628" spans="1:3" ht="13" x14ac:dyDescent="0.15">
      <c r="A628" s="10"/>
      <c r="B628" s="13"/>
      <c r="C628" s="13"/>
    </row>
    <row r="629" spans="1:3" ht="13" x14ac:dyDescent="0.15">
      <c r="A629" s="10"/>
      <c r="B629" s="13"/>
      <c r="C629" s="13"/>
    </row>
    <row r="630" spans="1:3" ht="13" x14ac:dyDescent="0.15">
      <c r="A630" s="10"/>
      <c r="B630" s="13"/>
      <c r="C630" s="13"/>
    </row>
    <row r="631" spans="1:3" ht="13" x14ac:dyDescent="0.15">
      <c r="A631" s="10"/>
      <c r="B631" s="13"/>
      <c r="C631" s="13"/>
    </row>
    <row r="632" spans="1:3" ht="13" x14ac:dyDescent="0.15">
      <c r="A632" s="10"/>
      <c r="B632" s="13"/>
      <c r="C632" s="13"/>
    </row>
    <row r="633" spans="1:3" ht="13" x14ac:dyDescent="0.15">
      <c r="A633" s="10"/>
      <c r="B633" s="13"/>
      <c r="C633" s="13"/>
    </row>
    <row r="634" spans="1:3" ht="13" x14ac:dyDescent="0.15">
      <c r="A634" s="10"/>
      <c r="B634" s="13"/>
      <c r="C634" s="13"/>
    </row>
    <row r="635" spans="1:3" ht="13" x14ac:dyDescent="0.15">
      <c r="A635" s="10"/>
      <c r="B635" s="13"/>
      <c r="C635" s="13"/>
    </row>
    <row r="636" spans="1:3" ht="13" x14ac:dyDescent="0.15">
      <c r="A636" s="10"/>
      <c r="B636" s="13"/>
      <c r="C636" s="13"/>
    </row>
    <row r="637" spans="1:3" ht="13" x14ac:dyDescent="0.15">
      <c r="A637" s="10"/>
      <c r="B637" s="13"/>
      <c r="C637" s="13"/>
    </row>
    <row r="638" spans="1:3" ht="13" x14ac:dyDescent="0.15">
      <c r="A638" s="10"/>
      <c r="B638" s="13"/>
      <c r="C638" s="13"/>
    </row>
    <row r="639" spans="1:3" ht="13" x14ac:dyDescent="0.15">
      <c r="A639" s="10"/>
      <c r="B639" s="13"/>
      <c r="C639" s="13"/>
    </row>
    <row r="640" spans="1:3" ht="13" x14ac:dyDescent="0.15">
      <c r="A640" s="10"/>
      <c r="B640" s="13"/>
      <c r="C640" s="13"/>
    </row>
    <row r="641" spans="1:3" ht="13" x14ac:dyDescent="0.15">
      <c r="A641" s="10"/>
      <c r="B641" s="13"/>
      <c r="C641" s="13"/>
    </row>
    <row r="642" spans="1:3" ht="13" x14ac:dyDescent="0.15">
      <c r="A642" s="10"/>
      <c r="B642" s="13"/>
      <c r="C642" s="13"/>
    </row>
    <row r="643" spans="1:3" ht="13" x14ac:dyDescent="0.15">
      <c r="A643" s="10"/>
      <c r="B643" s="13"/>
      <c r="C643" s="13"/>
    </row>
    <row r="644" spans="1:3" ht="13" x14ac:dyDescent="0.15">
      <c r="A644" s="10"/>
      <c r="B644" s="13"/>
      <c r="C644" s="13"/>
    </row>
    <row r="645" spans="1:3" ht="13" x14ac:dyDescent="0.15">
      <c r="A645" s="10"/>
      <c r="B645" s="13"/>
      <c r="C645" s="13"/>
    </row>
    <row r="646" spans="1:3" ht="13" x14ac:dyDescent="0.15">
      <c r="A646" s="10"/>
      <c r="B646" s="13"/>
      <c r="C646" s="13"/>
    </row>
    <row r="647" spans="1:3" ht="13" x14ac:dyDescent="0.15">
      <c r="A647" s="10"/>
      <c r="B647" s="13"/>
      <c r="C647" s="13"/>
    </row>
    <row r="648" spans="1:3" ht="13" x14ac:dyDescent="0.15">
      <c r="A648" s="10"/>
      <c r="B648" s="13"/>
      <c r="C648" s="13"/>
    </row>
    <row r="649" spans="1:3" ht="13" x14ac:dyDescent="0.15">
      <c r="A649" s="10"/>
      <c r="B649" s="13"/>
      <c r="C649" s="13"/>
    </row>
    <row r="650" spans="1:3" ht="13" x14ac:dyDescent="0.15">
      <c r="A650" s="10"/>
      <c r="B650" s="13"/>
      <c r="C650" s="13"/>
    </row>
    <row r="651" spans="1:3" ht="13" x14ac:dyDescent="0.15">
      <c r="A651" s="10"/>
      <c r="B651" s="13"/>
      <c r="C651" s="13"/>
    </row>
    <row r="652" spans="1:3" ht="13" x14ac:dyDescent="0.15">
      <c r="A652" s="10"/>
      <c r="B652" s="13"/>
      <c r="C652" s="13"/>
    </row>
    <row r="653" spans="1:3" ht="13" x14ac:dyDescent="0.15">
      <c r="A653" s="10"/>
      <c r="B653" s="13"/>
      <c r="C653" s="13"/>
    </row>
    <row r="654" spans="1:3" ht="13" x14ac:dyDescent="0.15">
      <c r="A654" s="10"/>
      <c r="B654" s="13"/>
      <c r="C654" s="13"/>
    </row>
    <row r="655" spans="1:3" ht="13" x14ac:dyDescent="0.15">
      <c r="A655" s="10"/>
      <c r="B655" s="13"/>
      <c r="C655" s="13"/>
    </row>
    <row r="656" spans="1:3" ht="13" x14ac:dyDescent="0.15">
      <c r="A656" s="10"/>
      <c r="B656" s="13"/>
      <c r="C656" s="13"/>
    </row>
    <row r="657" spans="1:3" ht="13" x14ac:dyDescent="0.15">
      <c r="A657" s="10"/>
      <c r="B657" s="13"/>
      <c r="C657" s="13"/>
    </row>
    <row r="658" spans="1:3" ht="13" x14ac:dyDescent="0.15">
      <c r="A658" s="10"/>
      <c r="B658" s="13"/>
      <c r="C658" s="13"/>
    </row>
    <row r="659" spans="1:3" ht="13" x14ac:dyDescent="0.15">
      <c r="A659" s="10"/>
      <c r="B659" s="13"/>
      <c r="C659" s="13"/>
    </row>
    <row r="660" spans="1:3" ht="13" x14ac:dyDescent="0.15">
      <c r="A660" s="10"/>
      <c r="B660" s="13"/>
      <c r="C660" s="13"/>
    </row>
    <row r="661" spans="1:3" ht="13" x14ac:dyDescent="0.15">
      <c r="A661" s="10"/>
      <c r="B661" s="13"/>
      <c r="C661" s="13"/>
    </row>
    <row r="662" spans="1:3" ht="13" x14ac:dyDescent="0.15">
      <c r="A662" s="10"/>
      <c r="B662" s="13"/>
      <c r="C662" s="13"/>
    </row>
    <row r="663" spans="1:3" ht="13" x14ac:dyDescent="0.15">
      <c r="A663" s="10"/>
      <c r="B663" s="13"/>
      <c r="C663" s="13"/>
    </row>
    <row r="664" spans="1:3" ht="13" x14ac:dyDescent="0.15">
      <c r="A664" s="10"/>
      <c r="B664" s="13"/>
      <c r="C664" s="13"/>
    </row>
    <row r="665" spans="1:3" ht="13" x14ac:dyDescent="0.15">
      <c r="A665" s="10"/>
      <c r="B665" s="13"/>
      <c r="C665" s="13"/>
    </row>
    <row r="666" spans="1:3" ht="13" x14ac:dyDescent="0.15">
      <c r="A666" s="10"/>
      <c r="B666" s="13"/>
      <c r="C666" s="13"/>
    </row>
    <row r="667" spans="1:3" ht="13" x14ac:dyDescent="0.15">
      <c r="A667" s="10"/>
      <c r="B667" s="13"/>
      <c r="C667" s="13"/>
    </row>
    <row r="668" spans="1:3" ht="13" x14ac:dyDescent="0.15">
      <c r="A668" s="10"/>
      <c r="B668" s="13"/>
      <c r="C668" s="13"/>
    </row>
    <row r="669" spans="1:3" ht="13" x14ac:dyDescent="0.15">
      <c r="A669" s="10"/>
      <c r="B669" s="13"/>
      <c r="C669" s="13"/>
    </row>
    <row r="670" spans="1:3" ht="13" x14ac:dyDescent="0.15">
      <c r="A670" s="10"/>
      <c r="B670" s="13"/>
      <c r="C670" s="13"/>
    </row>
    <row r="671" spans="1:3" ht="13" x14ac:dyDescent="0.15">
      <c r="A671" s="10"/>
      <c r="B671" s="13"/>
      <c r="C671" s="13"/>
    </row>
    <row r="672" spans="1:3" ht="13" x14ac:dyDescent="0.15">
      <c r="A672" s="10"/>
      <c r="B672" s="13"/>
      <c r="C672" s="13"/>
    </row>
    <row r="673" spans="1:3" ht="13" x14ac:dyDescent="0.15">
      <c r="A673" s="10"/>
      <c r="B673" s="13"/>
      <c r="C673" s="13"/>
    </row>
    <row r="674" spans="1:3" ht="13" x14ac:dyDescent="0.15">
      <c r="A674" s="10"/>
      <c r="B674" s="13"/>
      <c r="C674" s="13"/>
    </row>
    <row r="675" spans="1:3" ht="13" x14ac:dyDescent="0.15">
      <c r="A675" s="10"/>
      <c r="B675" s="13"/>
      <c r="C675" s="13"/>
    </row>
    <row r="676" spans="1:3" ht="13" x14ac:dyDescent="0.15">
      <c r="A676" s="10"/>
      <c r="B676" s="13"/>
      <c r="C676" s="13"/>
    </row>
    <row r="677" spans="1:3" ht="13" x14ac:dyDescent="0.15">
      <c r="A677" s="10"/>
      <c r="B677" s="13"/>
      <c r="C677" s="13"/>
    </row>
    <row r="678" spans="1:3" ht="13" x14ac:dyDescent="0.15">
      <c r="A678" s="10"/>
      <c r="B678" s="13"/>
      <c r="C678" s="13"/>
    </row>
    <row r="679" spans="1:3" ht="13" x14ac:dyDescent="0.15">
      <c r="A679" s="10"/>
      <c r="B679" s="13"/>
      <c r="C679" s="13"/>
    </row>
    <row r="680" spans="1:3" ht="13" x14ac:dyDescent="0.15">
      <c r="A680" s="10"/>
      <c r="B680" s="13"/>
      <c r="C680" s="13"/>
    </row>
    <row r="681" spans="1:3" ht="13" x14ac:dyDescent="0.15">
      <c r="A681" s="10"/>
      <c r="B681" s="13"/>
      <c r="C681" s="13"/>
    </row>
    <row r="682" spans="1:3" ht="13" x14ac:dyDescent="0.15">
      <c r="A682" s="10"/>
      <c r="B682" s="13"/>
      <c r="C682" s="13"/>
    </row>
    <row r="683" spans="1:3" ht="13" x14ac:dyDescent="0.15">
      <c r="A683" s="10"/>
      <c r="B683" s="13"/>
      <c r="C683" s="13"/>
    </row>
    <row r="684" spans="1:3" ht="13" x14ac:dyDescent="0.15">
      <c r="A684" s="10"/>
      <c r="B684" s="13"/>
      <c r="C684" s="13"/>
    </row>
    <row r="685" spans="1:3" ht="13" x14ac:dyDescent="0.15">
      <c r="A685" s="10"/>
      <c r="B685" s="13"/>
      <c r="C685" s="13"/>
    </row>
    <row r="686" spans="1:3" ht="13" x14ac:dyDescent="0.15">
      <c r="A686" s="10"/>
      <c r="B686" s="13"/>
      <c r="C686" s="13"/>
    </row>
    <row r="687" spans="1:3" ht="13" x14ac:dyDescent="0.15">
      <c r="A687" s="10"/>
      <c r="B687" s="13"/>
      <c r="C687" s="13"/>
    </row>
    <row r="688" spans="1:3" ht="13" x14ac:dyDescent="0.15">
      <c r="A688" s="10"/>
      <c r="B688" s="13"/>
      <c r="C688" s="13"/>
    </row>
    <row r="689" spans="1:3" ht="13" x14ac:dyDescent="0.15">
      <c r="A689" s="10"/>
      <c r="B689" s="13"/>
      <c r="C689" s="13"/>
    </row>
    <row r="690" spans="1:3" ht="13" x14ac:dyDescent="0.15">
      <c r="A690" s="10"/>
      <c r="B690" s="13"/>
      <c r="C690" s="13"/>
    </row>
    <row r="691" spans="1:3" ht="13" x14ac:dyDescent="0.15">
      <c r="A691" s="10"/>
      <c r="B691" s="13"/>
      <c r="C691" s="13"/>
    </row>
    <row r="692" spans="1:3" ht="13" x14ac:dyDescent="0.15">
      <c r="A692" s="10"/>
      <c r="B692" s="13"/>
      <c r="C692" s="13"/>
    </row>
    <row r="693" spans="1:3" ht="13" x14ac:dyDescent="0.15">
      <c r="A693" s="10"/>
      <c r="B693" s="13"/>
      <c r="C693" s="13"/>
    </row>
    <row r="694" spans="1:3" ht="13" x14ac:dyDescent="0.15">
      <c r="A694" s="10"/>
      <c r="B694" s="13"/>
      <c r="C694" s="13"/>
    </row>
    <row r="695" spans="1:3" ht="13" x14ac:dyDescent="0.15">
      <c r="A695" s="10"/>
      <c r="B695" s="13"/>
      <c r="C695" s="13"/>
    </row>
    <row r="696" spans="1:3" ht="13" x14ac:dyDescent="0.15">
      <c r="A696" s="10"/>
      <c r="B696" s="13"/>
      <c r="C696" s="13"/>
    </row>
    <row r="697" spans="1:3" ht="13" x14ac:dyDescent="0.15">
      <c r="A697" s="10"/>
      <c r="B697" s="13"/>
      <c r="C697" s="13"/>
    </row>
    <row r="698" spans="1:3" ht="13" x14ac:dyDescent="0.15">
      <c r="A698" s="10"/>
      <c r="B698" s="13"/>
      <c r="C698" s="13"/>
    </row>
    <row r="699" spans="1:3" ht="13" x14ac:dyDescent="0.15">
      <c r="A699" s="10"/>
      <c r="B699" s="13"/>
      <c r="C699" s="13"/>
    </row>
    <row r="700" spans="1:3" ht="13" x14ac:dyDescent="0.15">
      <c r="A700" s="10"/>
      <c r="B700" s="13"/>
      <c r="C700" s="13"/>
    </row>
    <row r="701" spans="1:3" ht="13" x14ac:dyDescent="0.15">
      <c r="A701" s="10"/>
      <c r="B701" s="13"/>
      <c r="C701" s="13"/>
    </row>
    <row r="702" spans="1:3" ht="13" x14ac:dyDescent="0.15">
      <c r="A702" s="10"/>
      <c r="B702" s="13"/>
      <c r="C702" s="13"/>
    </row>
    <row r="703" spans="1:3" ht="13" x14ac:dyDescent="0.15">
      <c r="A703" s="10"/>
      <c r="B703" s="13"/>
      <c r="C703" s="13"/>
    </row>
    <row r="704" spans="1:3" ht="13" x14ac:dyDescent="0.15">
      <c r="A704" s="10"/>
      <c r="B704" s="13"/>
      <c r="C704" s="13"/>
    </row>
    <row r="705" spans="1:3" ht="13" x14ac:dyDescent="0.15">
      <c r="A705" s="10"/>
      <c r="B705" s="13"/>
      <c r="C705" s="13"/>
    </row>
    <row r="706" spans="1:3" ht="13" x14ac:dyDescent="0.15">
      <c r="A706" s="10"/>
      <c r="B706" s="13"/>
      <c r="C706" s="13"/>
    </row>
    <row r="707" spans="1:3" ht="13" x14ac:dyDescent="0.15">
      <c r="A707" s="10"/>
      <c r="B707" s="13"/>
      <c r="C707" s="13"/>
    </row>
    <row r="708" spans="1:3" ht="13" x14ac:dyDescent="0.15">
      <c r="A708" s="10"/>
      <c r="B708" s="13"/>
      <c r="C708" s="13"/>
    </row>
    <row r="709" spans="1:3" ht="13" x14ac:dyDescent="0.15">
      <c r="A709" s="10"/>
      <c r="B709" s="13"/>
      <c r="C709" s="13"/>
    </row>
    <row r="710" spans="1:3" ht="13" x14ac:dyDescent="0.15">
      <c r="A710" s="10"/>
      <c r="B710" s="13"/>
      <c r="C710" s="13"/>
    </row>
    <row r="711" spans="1:3" ht="13" x14ac:dyDescent="0.15">
      <c r="A711" s="10"/>
      <c r="B711" s="13"/>
      <c r="C711" s="13"/>
    </row>
    <row r="712" spans="1:3" ht="13" x14ac:dyDescent="0.15">
      <c r="A712" s="10"/>
      <c r="B712" s="13"/>
      <c r="C712" s="13"/>
    </row>
    <row r="713" spans="1:3" ht="13" x14ac:dyDescent="0.15">
      <c r="A713" s="10"/>
      <c r="B713" s="13"/>
      <c r="C713" s="13"/>
    </row>
    <row r="714" spans="1:3" ht="13" x14ac:dyDescent="0.15">
      <c r="A714" s="10"/>
      <c r="B714" s="13"/>
      <c r="C714" s="13"/>
    </row>
    <row r="715" spans="1:3" ht="13" x14ac:dyDescent="0.15">
      <c r="A715" s="10"/>
      <c r="B715" s="13"/>
      <c r="C715" s="13"/>
    </row>
    <row r="716" spans="1:3" ht="13" x14ac:dyDescent="0.15">
      <c r="A716" s="10"/>
      <c r="B716" s="13"/>
      <c r="C716" s="13"/>
    </row>
    <row r="717" spans="1:3" ht="13" x14ac:dyDescent="0.15">
      <c r="A717" s="10"/>
      <c r="B717" s="13"/>
      <c r="C717" s="13"/>
    </row>
    <row r="718" spans="1:3" ht="13" x14ac:dyDescent="0.15">
      <c r="A718" s="10"/>
      <c r="B718" s="13"/>
      <c r="C718" s="13"/>
    </row>
    <row r="719" spans="1:3" ht="13" x14ac:dyDescent="0.15">
      <c r="A719" s="10"/>
      <c r="B719" s="13"/>
      <c r="C719" s="13"/>
    </row>
    <row r="720" spans="1:3" ht="13" x14ac:dyDescent="0.15">
      <c r="A720" s="10"/>
      <c r="B720" s="13"/>
      <c r="C720" s="13"/>
    </row>
    <row r="721" spans="1:3" ht="13" x14ac:dyDescent="0.15">
      <c r="A721" s="10"/>
      <c r="B721" s="13"/>
      <c r="C721" s="13"/>
    </row>
    <row r="722" spans="1:3" ht="13" x14ac:dyDescent="0.15">
      <c r="A722" s="10"/>
      <c r="B722" s="13"/>
      <c r="C722" s="13"/>
    </row>
    <row r="723" spans="1:3" ht="13" x14ac:dyDescent="0.15">
      <c r="A723" s="10"/>
      <c r="B723" s="13"/>
      <c r="C723" s="13"/>
    </row>
    <row r="724" spans="1:3" ht="13" x14ac:dyDescent="0.15">
      <c r="A724" s="10"/>
      <c r="B724" s="13"/>
      <c r="C724" s="13"/>
    </row>
    <row r="725" spans="1:3" ht="13" x14ac:dyDescent="0.15">
      <c r="A725" s="10"/>
      <c r="B725" s="13"/>
      <c r="C725" s="13"/>
    </row>
    <row r="726" spans="1:3" ht="13" x14ac:dyDescent="0.15">
      <c r="A726" s="10"/>
      <c r="B726" s="13"/>
      <c r="C726" s="13"/>
    </row>
    <row r="727" spans="1:3" ht="13" x14ac:dyDescent="0.15">
      <c r="A727" s="10"/>
      <c r="B727" s="13"/>
      <c r="C727" s="13"/>
    </row>
    <row r="728" spans="1:3" ht="13" x14ac:dyDescent="0.15">
      <c r="A728" s="10"/>
      <c r="B728" s="13"/>
      <c r="C728" s="13"/>
    </row>
    <row r="729" spans="1:3" ht="13" x14ac:dyDescent="0.15">
      <c r="A729" s="10"/>
      <c r="B729" s="13"/>
      <c r="C729" s="13"/>
    </row>
    <row r="730" spans="1:3" ht="13" x14ac:dyDescent="0.15">
      <c r="A730" s="10"/>
      <c r="B730" s="13"/>
      <c r="C730" s="13"/>
    </row>
    <row r="731" spans="1:3" ht="13" x14ac:dyDescent="0.15">
      <c r="A731" s="10"/>
      <c r="B731" s="13"/>
      <c r="C731" s="13"/>
    </row>
    <row r="732" spans="1:3" ht="13" x14ac:dyDescent="0.15">
      <c r="A732" s="10"/>
      <c r="B732" s="13"/>
      <c r="C732" s="13"/>
    </row>
    <row r="733" spans="1:3" ht="13" x14ac:dyDescent="0.15">
      <c r="A733" s="10"/>
      <c r="B733" s="13"/>
      <c r="C733" s="13"/>
    </row>
    <row r="734" spans="1:3" ht="13" x14ac:dyDescent="0.15">
      <c r="A734" s="10"/>
      <c r="B734" s="13"/>
      <c r="C734" s="13"/>
    </row>
    <row r="735" spans="1:3" ht="13" x14ac:dyDescent="0.15">
      <c r="A735" s="10"/>
      <c r="B735" s="13"/>
      <c r="C735" s="13"/>
    </row>
    <row r="736" spans="1:3" ht="13" x14ac:dyDescent="0.15">
      <c r="A736" s="10"/>
      <c r="B736" s="13"/>
      <c r="C736" s="13"/>
    </row>
    <row r="737" spans="1:3" ht="13" x14ac:dyDescent="0.15">
      <c r="A737" s="10"/>
      <c r="B737" s="13"/>
      <c r="C737" s="13"/>
    </row>
    <row r="738" spans="1:3" ht="13" x14ac:dyDescent="0.15">
      <c r="A738" s="10"/>
      <c r="B738" s="13"/>
      <c r="C738" s="13"/>
    </row>
    <row r="739" spans="1:3" ht="13" x14ac:dyDescent="0.15">
      <c r="A739" s="10"/>
      <c r="B739" s="13"/>
      <c r="C739" s="13"/>
    </row>
    <row r="740" spans="1:3" ht="13" x14ac:dyDescent="0.15">
      <c r="A740" s="10"/>
      <c r="B740" s="13"/>
      <c r="C740" s="13"/>
    </row>
    <row r="741" spans="1:3" ht="13" x14ac:dyDescent="0.15">
      <c r="A741" s="10"/>
      <c r="B741" s="13"/>
      <c r="C741" s="13"/>
    </row>
    <row r="742" spans="1:3" ht="13" x14ac:dyDescent="0.15">
      <c r="A742" s="10"/>
      <c r="B742" s="13"/>
      <c r="C742" s="13"/>
    </row>
    <row r="743" spans="1:3" ht="13" x14ac:dyDescent="0.15">
      <c r="A743" s="10"/>
      <c r="B743" s="13"/>
      <c r="C743" s="13"/>
    </row>
    <row r="744" spans="1:3" ht="13" x14ac:dyDescent="0.15">
      <c r="A744" s="10"/>
      <c r="B744" s="13"/>
      <c r="C744" s="13"/>
    </row>
    <row r="745" spans="1:3" ht="13" x14ac:dyDescent="0.15">
      <c r="A745" s="10"/>
      <c r="B745" s="13"/>
      <c r="C745" s="13"/>
    </row>
    <row r="746" spans="1:3" ht="13" x14ac:dyDescent="0.15">
      <c r="A746" s="10"/>
      <c r="B746" s="13"/>
      <c r="C746" s="13"/>
    </row>
    <row r="747" spans="1:3" ht="13" x14ac:dyDescent="0.15">
      <c r="A747" s="10"/>
      <c r="B747" s="13"/>
      <c r="C747" s="13"/>
    </row>
    <row r="748" spans="1:3" ht="13" x14ac:dyDescent="0.15">
      <c r="A748" s="10"/>
      <c r="B748" s="13"/>
      <c r="C748" s="13"/>
    </row>
    <row r="749" spans="1:3" ht="13" x14ac:dyDescent="0.15">
      <c r="A749" s="10"/>
      <c r="B749" s="13"/>
      <c r="C749" s="13"/>
    </row>
    <row r="750" spans="1:3" ht="13" x14ac:dyDescent="0.15">
      <c r="A750" s="10"/>
      <c r="B750" s="13"/>
      <c r="C750" s="13"/>
    </row>
    <row r="751" spans="1:3" ht="13" x14ac:dyDescent="0.15">
      <c r="A751" s="10"/>
      <c r="B751" s="13"/>
      <c r="C751" s="13"/>
    </row>
    <row r="752" spans="1:3" ht="13" x14ac:dyDescent="0.15">
      <c r="A752" s="10"/>
      <c r="B752" s="13"/>
      <c r="C752" s="13"/>
    </row>
    <row r="753" spans="1:3" ht="13" x14ac:dyDescent="0.15">
      <c r="A753" s="10"/>
      <c r="B753" s="13"/>
      <c r="C753" s="13"/>
    </row>
    <row r="754" spans="1:3" ht="13" x14ac:dyDescent="0.15">
      <c r="A754" s="10"/>
      <c r="B754" s="13"/>
      <c r="C754" s="13"/>
    </row>
    <row r="755" spans="1:3" ht="13" x14ac:dyDescent="0.15">
      <c r="A755" s="10"/>
      <c r="B755" s="13"/>
      <c r="C755" s="13"/>
    </row>
    <row r="756" spans="1:3" ht="13" x14ac:dyDescent="0.15">
      <c r="A756" s="10"/>
      <c r="B756" s="13"/>
      <c r="C756" s="13"/>
    </row>
    <row r="757" spans="1:3" ht="13" x14ac:dyDescent="0.15">
      <c r="A757" s="10"/>
      <c r="B757" s="13"/>
      <c r="C757" s="13"/>
    </row>
    <row r="758" spans="1:3" ht="13" x14ac:dyDescent="0.15">
      <c r="A758" s="10"/>
      <c r="B758" s="13"/>
      <c r="C758" s="13"/>
    </row>
    <row r="759" spans="1:3" ht="13" x14ac:dyDescent="0.15">
      <c r="A759" s="10"/>
      <c r="B759" s="13"/>
      <c r="C759" s="13"/>
    </row>
    <row r="760" spans="1:3" ht="13" x14ac:dyDescent="0.15">
      <c r="A760" s="10"/>
      <c r="B760" s="13"/>
      <c r="C760" s="13"/>
    </row>
    <row r="761" spans="1:3" ht="13" x14ac:dyDescent="0.15">
      <c r="A761" s="10"/>
      <c r="B761" s="13"/>
      <c r="C761" s="13"/>
    </row>
    <row r="762" spans="1:3" ht="13" x14ac:dyDescent="0.15">
      <c r="A762" s="10"/>
      <c r="B762" s="13"/>
      <c r="C762" s="13"/>
    </row>
    <row r="763" spans="1:3" ht="13" x14ac:dyDescent="0.15">
      <c r="A763" s="10"/>
      <c r="B763" s="13"/>
      <c r="C763" s="13"/>
    </row>
    <row r="764" spans="1:3" ht="13" x14ac:dyDescent="0.15">
      <c r="A764" s="10"/>
      <c r="B764" s="13"/>
      <c r="C764" s="13"/>
    </row>
    <row r="765" spans="1:3" ht="13" x14ac:dyDescent="0.15">
      <c r="A765" s="10"/>
      <c r="B765" s="13"/>
      <c r="C765" s="13"/>
    </row>
    <row r="766" spans="1:3" ht="13" x14ac:dyDescent="0.15">
      <c r="A766" s="10"/>
      <c r="B766" s="13"/>
      <c r="C766" s="13"/>
    </row>
    <row r="767" spans="1:3" ht="13" x14ac:dyDescent="0.15">
      <c r="A767" s="10"/>
      <c r="B767" s="13"/>
      <c r="C767" s="13"/>
    </row>
    <row r="768" spans="1:3" ht="13" x14ac:dyDescent="0.15">
      <c r="A768" s="10"/>
      <c r="B768" s="13"/>
      <c r="C768" s="13"/>
    </row>
    <row r="769" spans="1:3" ht="13" x14ac:dyDescent="0.15">
      <c r="A769" s="10"/>
      <c r="B769" s="13"/>
      <c r="C769" s="13"/>
    </row>
    <row r="770" spans="1:3" ht="13" x14ac:dyDescent="0.15">
      <c r="A770" s="10"/>
      <c r="B770" s="13"/>
      <c r="C770" s="13"/>
    </row>
    <row r="771" spans="1:3" ht="13" x14ac:dyDescent="0.15">
      <c r="A771" s="10"/>
      <c r="B771" s="13"/>
      <c r="C771" s="13"/>
    </row>
    <row r="772" spans="1:3" ht="13" x14ac:dyDescent="0.15">
      <c r="A772" s="10"/>
      <c r="B772" s="13"/>
      <c r="C772" s="13"/>
    </row>
    <row r="773" spans="1:3" ht="13" x14ac:dyDescent="0.15">
      <c r="A773" s="10"/>
      <c r="B773" s="13"/>
      <c r="C773" s="13"/>
    </row>
    <row r="774" spans="1:3" ht="13" x14ac:dyDescent="0.15">
      <c r="A774" s="10"/>
      <c r="B774" s="13"/>
      <c r="C774" s="13"/>
    </row>
    <row r="775" spans="1:3" ht="13" x14ac:dyDescent="0.15">
      <c r="A775" s="10"/>
      <c r="B775" s="13"/>
      <c r="C775" s="13"/>
    </row>
    <row r="776" spans="1:3" ht="13" x14ac:dyDescent="0.15">
      <c r="A776" s="10"/>
      <c r="B776" s="13"/>
      <c r="C776" s="13"/>
    </row>
    <row r="777" spans="1:3" ht="13" x14ac:dyDescent="0.15">
      <c r="A777" s="10"/>
      <c r="B777" s="13"/>
      <c r="C777" s="13"/>
    </row>
    <row r="778" spans="1:3" ht="13" x14ac:dyDescent="0.15">
      <c r="A778" s="10"/>
      <c r="B778" s="13"/>
      <c r="C778" s="13"/>
    </row>
    <row r="779" spans="1:3" ht="13" x14ac:dyDescent="0.15">
      <c r="A779" s="10"/>
      <c r="B779" s="13"/>
      <c r="C779" s="13"/>
    </row>
    <row r="780" spans="1:3" ht="13" x14ac:dyDescent="0.15">
      <c r="A780" s="10"/>
      <c r="B780" s="13"/>
      <c r="C780" s="13"/>
    </row>
    <row r="781" spans="1:3" ht="13" x14ac:dyDescent="0.15">
      <c r="A781" s="10"/>
      <c r="B781" s="13"/>
      <c r="C781" s="13"/>
    </row>
    <row r="782" spans="1:3" ht="13" x14ac:dyDescent="0.15">
      <c r="A782" s="10"/>
      <c r="B782" s="13"/>
      <c r="C782" s="13"/>
    </row>
    <row r="783" spans="1:3" ht="13" x14ac:dyDescent="0.15">
      <c r="A783" s="10"/>
      <c r="B783" s="13"/>
      <c r="C783" s="13"/>
    </row>
    <row r="784" spans="1:3" ht="13" x14ac:dyDescent="0.15">
      <c r="A784" s="10"/>
      <c r="B784" s="13"/>
      <c r="C784" s="13"/>
    </row>
    <row r="785" spans="1:3" ht="13" x14ac:dyDescent="0.15">
      <c r="A785" s="10"/>
      <c r="B785" s="13"/>
      <c r="C785" s="13"/>
    </row>
    <row r="786" spans="1:3" ht="13" x14ac:dyDescent="0.15">
      <c r="A786" s="10"/>
      <c r="B786" s="13"/>
      <c r="C786" s="13"/>
    </row>
    <row r="787" spans="1:3" ht="13" x14ac:dyDescent="0.15">
      <c r="A787" s="10"/>
      <c r="B787" s="13"/>
      <c r="C787" s="13"/>
    </row>
    <row r="788" spans="1:3" ht="13" x14ac:dyDescent="0.15">
      <c r="A788" s="10"/>
      <c r="B788" s="13"/>
      <c r="C788" s="13"/>
    </row>
    <row r="789" spans="1:3" ht="13" x14ac:dyDescent="0.15">
      <c r="A789" s="10"/>
      <c r="B789" s="13"/>
      <c r="C789" s="13"/>
    </row>
    <row r="790" spans="1:3" ht="13" x14ac:dyDescent="0.15">
      <c r="A790" s="10"/>
      <c r="B790" s="13"/>
      <c r="C790" s="13"/>
    </row>
    <row r="791" spans="1:3" ht="13" x14ac:dyDescent="0.15">
      <c r="A791" s="10"/>
      <c r="B791" s="13"/>
      <c r="C791" s="13"/>
    </row>
    <row r="792" spans="1:3" ht="13" x14ac:dyDescent="0.15">
      <c r="A792" s="10"/>
      <c r="B792" s="13"/>
      <c r="C792" s="13"/>
    </row>
    <row r="793" spans="1:3" ht="13" x14ac:dyDescent="0.15">
      <c r="A793" s="10"/>
      <c r="B793" s="13"/>
      <c r="C793" s="13"/>
    </row>
    <row r="794" spans="1:3" ht="13" x14ac:dyDescent="0.15">
      <c r="A794" s="10"/>
      <c r="B794" s="13"/>
      <c r="C794" s="13"/>
    </row>
    <row r="795" spans="1:3" ht="13" x14ac:dyDescent="0.15">
      <c r="A795" s="10"/>
      <c r="B795" s="13"/>
      <c r="C795" s="13"/>
    </row>
    <row r="796" spans="1:3" ht="13" x14ac:dyDescent="0.15">
      <c r="A796" s="10"/>
      <c r="B796" s="13"/>
      <c r="C796" s="13"/>
    </row>
    <row r="797" spans="1:3" ht="13" x14ac:dyDescent="0.15">
      <c r="A797" s="10"/>
      <c r="B797" s="13"/>
      <c r="C797" s="13"/>
    </row>
    <row r="798" spans="1:3" ht="13" x14ac:dyDescent="0.15">
      <c r="A798" s="10"/>
      <c r="B798" s="13"/>
      <c r="C798" s="13"/>
    </row>
    <row r="799" spans="1:3" ht="13" x14ac:dyDescent="0.15">
      <c r="A799" s="10"/>
      <c r="B799" s="13"/>
      <c r="C799" s="13"/>
    </row>
    <row r="800" spans="1:3" ht="13" x14ac:dyDescent="0.15">
      <c r="A800" s="10"/>
      <c r="B800" s="13"/>
      <c r="C800" s="13"/>
    </row>
    <row r="801" spans="1:3" ht="13" x14ac:dyDescent="0.15">
      <c r="A801" s="10"/>
      <c r="B801" s="13"/>
      <c r="C801" s="13"/>
    </row>
    <row r="802" spans="1:3" ht="13" x14ac:dyDescent="0.15">
      <c r="A802" s="10"/>
      <c r="B802" s="13"/>
      <c r="C802" s="13"/>
    </row>
    <row r="803" spans="1:3" ht="13" x14ac:dyDescent="0.15">
      <c r="A803" s="10"/>
      <c r="B803" s="13"/>
      <c r="C803" s="13"/>
    </row>
    <row r="804" spans="1:3" ht="13" x14ac:dyDescent="0.15">
      <c r="A804" s="10"/>
      <c r="B804" s="13"/>
      <c r="C804" s="13"/>
    </row>
    <row r="805" spans="1:3" ht="13" x14ac:dyDescent="0.15">
      <c r="A805" s="10"/>
      <c r="B805" s="13"/>
      <c r="C805" s="13"/>
    </row>
    <row r="806" spans="1:3" ht="13" x14ac:dyDescent="0.15">
      <c r="A806" s="10"/>
      <c r="B806" s="13"/>
      <c r="C806" s="13"/>
    </row>
    <row r="807" spans="1:3" ht="13" x14ac:dyDescent="0.15">
      <c r="A807" s="10"/>
      <c r="B807" s="13"/>
      <c r="C807" s="13"/>
    </row>
    <row r="808" spans="1:3" ht="13" x14ac:dyDescent="0.15">
      <c r="A808" s="10"/>
      <c r="B808" s="13"/>
      <c r="C808" s="13"/>
    </row>
    <row r="809" spans="1:3" ht="13" x14ac:dyDescent="0.15">
      <c r="A809" s="10"/>
      <c r="B809" s="13"/>
      <c r="C809" s="13"/>
    </row>
    <row r="810" spans="1:3" ht="13" x14ac:dyDescent="0.15">
      <c r="A810" s="10"/>
      <c r="B810" s="13"/>
      <c r="C810" s="13"/>
    </row>
    <row r="811" spans="1:3" ht="13" x14ac:dyDescent="0.15">
      <c r="A811" s="10"/>
      <c r="B811" s="13"/>
      <c r="C811" s="13"/>
    </row>
    <row r="812" spans="1:3" ht="13" x14ac:dyDescent="0.15">
      <c r="A812" s="10"/>
      <c r="B812" s="13"/>
      <c r="C812" s="13"/>
    </row>
    <row r="813" spans="1:3" ht="13" x14ac:dyDescent="0.15">
      <c r="A813" s="10"/>
      <c r="B813" s="13"/>
      <c r="C813" s="13"/>
    </row>
    <row r="814" spans="1:3" ht="13" x14ac:dyDescent="0.15">
      <c r="A814" s="10"/>
      <c r="B814" s="13"/>
      <c r="C814" s="13"/>
    </row>
    <row r="815" spans="1:3" ht="13" x14ac:dyDescent="0.15">
      <c r="A815" s="10"/>
      <c r="B815" s="13"/>
      <c r="C815" s="13"/>
    </row>
    <row r="816" spans="1:3" ht="13" x14ac:dyDescent="0.15">
      <c r="A816" s="10"/>
      <c r="B816" s="13"/>
      <c r="C816" s="13"/>
    </row>
    <row r="817" spans="1:3" ht="13" x14ac:dyDescent="0.15">
      <c r="A817" s="10"/>
      <c r="B817" s="13"/>
      <c r="C817" s="13"/>
    </row>
    <row r="818" spans="1:3" ht="13" x14ac:dyDescent="0.15">
      <c r="A818" s="10"/>
      <c r="B818" s="13"/>
      <c r="C818" s="13"/>
    </row>
    <row r="819" spans="1:3" ht="13" x14ac:dyDescent="0.15">
      <c r="A819" s="10"/>
      <c r="B819" s="13"/>
      <c r="C819" s="13"/>
    </row>
    <row r="820" spans="1:3" ht="13" x14ac:dyDescent="0.15">
      <c r="A820" s="10"/>
      <c r="B820" s="13"/>
      <c r="C820" s="13"/>
    </row>
    <row r="821" spans="1:3" ht="13" x14ac:dyDescent="0.15">
      <c r="A821" s="10"/>
      <c r="B821" s="13"/>
      <c r="C821" s="13"/>
    </row>
    <row r="822" spans="1:3" ht="13" x14ac:dyDescent="0.15">
      <c r="A822" s="10"/>
      <c r="B822" s="13"/>
      <c r="C822" s="13"/>
    </row>
    <row r="823" spans="1:3" ht="13" x14ac:dyDescent="0.15">
      <c r="A823" s="10"/>
      <c r="B823" s="13"/>
      <c r="C823" s="13"/>
    </row>
    <row r="824" spans="1:3" ht="13" x14ac:dyDescent="0.15">
      <c r="A824" s="10"/>
      <c r="B824" s="13"/>
      <c r="C824" s="13"/>
    </row>
    <row r="825" spans="1:3" ht="13" x14ac:dyDescent="0.15">
      <c r="A825" s="10"/>
      <c r="B825" s="13"/>
      <c r="C825" s="13"/>
    </row>
    <row r="826" spans="1:3" ht="13" x14ac:dyDescent="0.15">
      <c r="A826" s="10"/>
      <c r="B826" s="13"/>
      <c r="C826" s="13"/>
    </row>
    <row r="827" spans="1:3" ht="13" x14ac:dyDescent="0.15">
      <c r="A827" s="10"/>
      <c r="B827" s="13"/>
      <c r="C827" s="13"/>
    </row>
    <row r="828" spans="1:3" ht="13" x14ac:dyDescent="0.15">
      <c r="A828" s="10"/>
      <c r="B828" s="13"/>
      <c r="C828" s="13"/>
    </row>
    <row r="829" spans="1:3" ht="13" x14ac:dyDescent="0.15">
      <c r="A829" s="10"/>
      <c r="B829" s="13"/>
      <c r="C829" s="13"/>
    </row>
    <row r="830" spans="1:3" ht="13" x14ac:dyDescent="0.15">
      <c r="A830" s="10"/>
      <c r="B830" s="13"/>
      <c r="C830" s="13"/>
    </row>
    <row r="831" spans="1:3" ht="13" x14ac:dyDescent="0.15">
      <c r="A831" s="10"/>
      <c r="B831" s="13"/>
      <c r="C831" s="13"/>
    </row>
    <row r="832" spans="1:3" ht="13" x14ac:dyDescent="0.15">
      <c r="A832" s="10"/>
      <c r="B832" s="13"/>
      <c r="C832" s="13"/>
    </row>
    <row r="833" spans="1:3" ht="13" x14ac:dyDescent="0.15">
      <c r="A833" s="10"/>
      <c r="B833" s="13"/>
      <c r="C833" s="13"/>
    </row>
    <row r="834" spans="1:3" ht="13" x14ac:dyDescent="0.15">
      <c r="A834" s="10"/>
      <c r="B834" s="13"/>
      <c r="C834" s="13"/>
    </row>
    <row r="835" spans="1:3" ht="13" x14ac:dyDescent="0.15">
      <c r="A835" s="10"/>
      <c r="B835" s="13"/>
      <c r="C835" s="13"/>
    </row>
    <row r="836" spans="1:3" ht="13" x14ac:dyDescent="0.15">
      <c r="A836" s="10"/>
      <c r="B836" s="13"/>
      <c r="C836" s="13"/>
    </row>
    <row r="837" spans="1:3" ht="13" x14ac:dyDescent="0.15">
      <c r="A837" s="10"/>
      <c r="B837" s="13"/>
      <c r="C837" s="13"/>
    </row>
    <row r="838" spans="1:3" ht="13" x14ac:dyDescent="0.15">
      <c r="A838" s="10"/>
      <c r="B838" s="13"/>
      <c r="C838" s="13"/>
    </row>
    <row r="839" spans="1:3" ht="13" x14ac:dyDescent="0.15">
      <c r="A839" s="10"/>
      <c r="B839" s="13"/>
      <c r="C839" s="13"/>
    </row>
    <row r="840" spans="1:3" ht="13" x14ac:dyDescent="0.15">
      <c r="A840" s="10"/>
      <c r="B840" s="13"/>
      <c r="C840" s="13"/>
    </row>
    <row r="841" spans="1:3" ht="13" x14ac:dyDescent="0.15">
      <c r="A841" s="10"/>
      <c r="B841" s="13"/>
      <c r="C841" s="13"/>
    </row>
    <row r="842" spans="1:3" ht="13" x14ac:dyDescent="0.15">
      <c r="A842" s="10"/>
      <c r="B842" s="13"/>
      <c r="C842" s="13"/>
    </row>
    <row r="843" spans="1:3" ht="13" x14ac:dyDescent="0.15">
      <c r="A843" s="10"/>
      <c r="B843" s="13"/>
      <c r="C843" s="13"/>
    </row>
    <row r="844" spans="1:3" ht="13" x14ac:dyDescent="0.15">
      <c r="A844" s="10"/>
      <c r="B844" s="13"/>
      <c r="C844" s="13"/>
    </row>
    <row r="845" spans="1:3" ht="13" x14ac:dyDescent="0.15">
      <c r="A845" s="10"/>
      <c r="B845" s="13"/>
      <c r="C845" s="13"/>
    </row>
    <row r="846" spans="1:3" ht="13" x14ac:dyDescent="0.15">
      <c r="A846" s="10"/>
      <c r="B846" s="13"/>
      <c r="C846" s="13"/>
    </row>
    <row r="847" spans="1:3" ht="13" x14ac:dyDescent="0.15">
      <c r="A847" s="10"/>
      <c r="B847" s="13"/>
      <c r="C847" s="13"/>
    </row>
    <row r="848" spans="1:3" ht="13" x14ac:dyDescent="0.15">
      <c r="A848" s="10"/>
      <c r="B848" s="13"/>
      <c r="C848" s="13"/>
    </row>
    <row r="849" spans="1:3" ht="13" x14ac:dyDescent="0.15">
      <c r="A849" s="10"/>
      <c r="B849" s="13"/>
      <c r="C849" s="13"/>
    </row>
    <row r="850" spans="1:3" ht="13" x14ac:dyDescent="0.15">
      <c r="A850" s="10"/>
      <c r="B850" s="13"/>
      <c r="C850" s="13"/>
    </row>
    <row r="851" spans="1:3" ht="13" x14ac:dyDescent="0.15">
      <c r="A851" s="10"/>
      <c r="B851" s="13"/>
      <c r="C851" s="13"/>
    </row>
    <row r="852" spans="1:3" ht="13" x14ac:dyDescent="0.15">
      <c r="A852" s="10"/>
      <c r="B852" s="13"/>
      <c r="C852" s="13"/>
    </row>
    <row r="853" spans="1:3" ht="13" x14ac:dyDescent="0.15">
      <c r="A853" s="10"/>
      <c r="B853" s="13"/>
      <c r="C853" s="13"/>
    </row>
    <row r="854" spans="1:3" ht="13" x14ac:dyDescent="0.15">
      <c r="A854" s="10"/>
      <c r="B854" s="13"/>
      <c r="C854" s="13"/>
    </row>
    <row r="855" spans="1:3" ht="13" x14ac:dyDescent="0.15">
      <c r="A855" s="10"/>
      <c r="B855" s="13"/>
      <c r="C855" s="13"/>
    </row>
    <row r="856" spans="1:3" ht="13" x14ac:dyDescent="0.15">
      <c r="A856" s="10"/>
      <c r="B856" s="13"/>
      <c r="C856" s="13"/>
    </row>
    <row r="857" spans="1:3" ht="13" x14ac:dyDescent="0.15">
      <c r="A857" s="10"/>
      <c r="B857" s="13"/>
      <c r="C857" s="13"/>
    </row>
    <row r="858" spans="1:3" ht="13" x14ac:dyDescent="0.15">
      <c r="A858" s="10"/>
      <c r="B858" s="13"/>
      <c r="C858" s="13"/>
    </row>
    <row r="859" spans="1:3" ht="13" x14ac:dyDescent="0.15">
      <c r="A859" s="10"/>
      <c r="B859" s="13"/>
      <c r="C859" s="13"/>
    </row>
    <row r="860" spans="1:3" ht="13" x14ac:dyDescent="0.15">
      <c r="A860" s="10"/>
      <c r="B860" s="13"/>
      <c r="C860" s="13"/>
    </row>
    <row r="861" spans="1:3" ht="13" x14ac:dyDescent="0.15">
      <c r="A861" s="10"/>
      <c r="B861" s="13"/>
      <c r="C861" s="13"/>
    </row>
    <row r="862" spans="1:3" ht="13" x14ac:dyDescent="0.15">
      <c r="A862" s="10"/>
      <c r="B862" s="13"/>
      <c r="C862" s="13"/>
    </row>
    <row r="863" spans="1:3" ht="13" x14ac:dyDescent="0.15">
      <c r="A863" s="10"/>
      <c r="B863" s="13"/>
      <c r="C863" s="13"/>
    </row>
    <row r="864" spans="1:3" ht="13" x14ac:dyDescent="0.15">
      <c r="A864" s="10"/>
      <c r="B864" s="13"/>
      <c r="C864" s="13"/>
    </row>
    <row r="865" spans="1:3" ht="13" x14ac:dyDescent="0.15">
      <c r="A865" s="10"/>
      <c r="B865" s="13"/>
      <c r="C865" s="13"/>
    </row>
    <row r="866" spans="1:3" ht="13" x14ac:dyDescent="0.15">
      <c r="A866" s="10"/>
      <c r="B866" s="13"/>
      <c r="C866" s="13"/>
    </row>
    <row r="867" spans="1:3" ht="13" x14ac:dyDescent="0.15">
      <c r="A867" s="10"/>
      <c r="B867" s="13"/>
      <c r="C867" s="13"/>
    </row>
    <row r="868" spans="1:3" ht="13" x14ac:dyDescent="0.15">
      <c r="A868" s="10"/>
      <c r="B868" s="13"/>
      <c r="C868" s="13"/>
    </row>
    <row r="869" spans="1:3" ht="13" x14ac:dyDescent="0.15">
      <c r="A869" s="10"/>
      <c r="B869" s="13"/>
      <c r="C869" s="13"/>
    </row>
    <row r="870" spans="1:3" ht="13" x14ac:dyDescent="0.15">
      <c r="A870" s="10"/>
      <c r="B870" s="13"/>
      <c r="C870" s="13"/>
    </row>
    <row r="871" spans="1:3" ht="13" x14ac:dyDescent="0.15">
      <c r="A871" s="10"/>
      <c r="B871" s="13"/>
      <c r="C871" s="13"/>
    </row>
    <row r="872" spans="1:3" ht="13" x14ac:dyDescent="0.15">
      <c r="A872" s="10"/>
      <c r="B872" s="13"/>
      <c r="C872" s="13"/>
    </row>
    <row r="873" spans="1:3" ht="13" x14ac:dyDescent="0.15">
      <c r="A873" s="10"/>
      <c r="B873" s="13"/>
      <c r="C873" s="13"/>
    </row>
    <row r="874" spans="1:3" ht="13" x14ac:dyDescent="0.15">
      <c r="A874" s="10"/>
      <c r="B874" s="13"/>
      <c r="C874" s="13"/>
    </row>
    <row r="875" spans="1:3" ht="13" x14ac:dyDescent="0.15">
      <c r="A875" s="10"/>
      <c r="B875" s="13"/>
      <c r="C875" s="13"/>
    </row>
    <row r="876" spans="1:3" ht="13" x14ac:dyDescent="0.15">
      <c r="A876" s="10"/>
      <c r="B876" s="13"/>
      <c r="C876" s="13"/>
    </row>
    <row r="877" spans="1:3" ht="13" x14ac:dyDescent="0.15">
      <c r="A877" s="10"/>
      <c r="B877" s="13"/>
      <c r="C877" s="13"/>
    </row>
    <row r="878" spans="1:3" ht="13" x14ac:dyDescent="0.15">
      <c r="A878" s="10"/>
      <c r="B878" s="13"/>
      <c r="C878" s="13"/>
    </row>
    <row r="879" spans="1:3" ht="13" x14ac:dyDescent="0.15">
      <c r="A879" s="10"/>
      <c r="B879" s="13"/>
      <c r="C879" s="13"/>
    </row>
    <row r="880" spans="1:3" ht="13" x14ac:dyDescent="0.15">
      <c r="A880" s="10"/>
      <c r="B880" s="13"/>
      <c r="C880" s="13"/>
    </row>
    <row r="881" spans="1:3" ht="13" x14ac:dyDescent="0.15">
      <c r="A881" s="10"/>
      <c r="B881" s="13"/>
      <c r="C881" s="13"/>
    </row>
    <row r="882" spans="1:3" ht="13" x14ac:dyDescent="0.15">
      <c r="A882" s="10"/>
      <c r="B882" s="13"/>
      <c r="C882" s="13"/>
    </row>
    <row r="883" spans="1:3" ht="13" x14ac:dyDescent="0.15">
      <c r="A883" s="10"/>
      <c r="B883" s="13"/>
      <c r="C883" s="13"/>
    </row>
    <row r="884" spans="1:3" ht="13" x14ac:dyDescent="0.15">
      <c r="A884" s="10"/>
      <c r="B884" s="13"/>
      <c r="C884" s="13"/>
    </row>
    <row r="885" spans="1:3" ht="13" x14ac:dyDescent="0.15">
      <c r="A885" s="10"/>
      <c r="B885" s="13"/>
      <c r="C885" s="13"/>
    </row>
    <row r="886" spans="1:3" ht="13" x14ac:dyDescent="0.15">
      <c r="A886" s="10"/>
      <c r="B886" s="13"/>
      <c r="C886" s="13"/>
    </row>
    <row r="887" spans="1:3" ht="13" x14ac:dyDescent="0.15">
      <c r="A887" s="10"/>
      <c r="B887" s="13"/>
      <c r="C887" s="13"/>
    </row>
    <row r="888" spans="1:3" ht="13" x14ac:dyDescent="0.15">
      <c r="A888" s="10"/>
      <c r="B888" s="13"/>
      <c r="C888" s="13"/>
    </row>
    <row r="889" spans="1:3" ht="13" x14ac:dyDescent="0.15">
      <c r="A889" s="10"/>
      <c r="B889" s="13"/>
      <c r="C889" s="13"/>
    </row>
    <row r="890" spans="1:3" ht="13" x14ac:dyDescent="0.15">
      <c r="A890" s="10"/>
      <c r="B890" s="13"/>
      <c r="C890" s="13"/>
    </row>
    <row r="891" spans="1:3" ht="13" x14ac:dyDescent="0.15">
      <c r="A891" s="10"/>
      <c r="B891" s="13"/>
      <c r="C891" s="13"/>
    </row>
    <row r="892" spans="1:3" ht="13" x14ac:dyDescent="0.15">
      <c r="A892" s="10"/>
      <c r="B892" s="13"/>
      <c r="C892" s="13"/>
    </row>
    <row r="893" spans="1:3" ht="13" x14ac:dyDescent="0.15">
      <c r="A893" s="10"/>
      <c r="B893" s="13"/>
      <c r="C893" s="13"/>
    </row>
    <row r="894" spans="1:3" ht="13" x14ac:dyDescent="0.15">
      <c r="A894" s="10"/>
      <c r="B894" s="13"/>
      <c r="C894" s="13"/>
    </row>
    <row r="895" spans="1:3" ht="13" x14ac:dyDescent="0.15">
      <c r="A895" s="10"/>
      <c r="B895" s="13"/>
      <c r="C895" s="13"/>
    </row>
    <row r="896" spans="1:3" ht="13" x14ac:dyDescent="0.15">
      <c r="A896" s="10"/>
      <c r="B896" s="13"/>
      <c r="C896" s="13"/>
    </row>
    <row r="897" spans="1:3" ht="13" x14ac:dyDescent="0.15">
      <c r="A897" s="10"/>
      <c r="B897" s="13"/>
      <c r="C897" s="13"/>
    </row>
    <row r="898" spans="1:3" ht="13" x14ac:dyDescent="0.15">
      <c r="A898" s="10"/>
      <c r="B898" s="13"/>
      <c r="C898" s="13"/>
    </row>
    <row r="899" spans="1:3" ht="13" x14ac:dyDescent="0.15">
      <c r="A899" s="10"/>
      <c r="B899" s="13"/>
      <c r="C899" s="13"/>
    </row>
    <row r="900" spans="1:3" ht="13" x14ac:dyDescent="0.15">
      <c r="A900" s="10"/>
      <c r="B900" s="13"/>
      <c r="C900" s="13"/>
    </row>
    <row r="901" spans="1:3" ht="13" x14ac:dyDescent="0.15">
      <c r="A901" s="10"/>
      <c r="B901" s="13"/>
      <c r="C901" s="13"/>
    </row>
    <row r="902" spans="1:3" ht="13" x14ac:dyDescent="0.15">
      <c r="A902" s="10"/>
      <c r="B902" s="13"/>
      <c r="C902" s="13"/>
    </row>
    <row r="903" spans="1:3" ht="13" x14ac:dyDescent="0.15">
      <c r="A903" s="10"/>
      <c r="B903" s="13"/>
      <c r="C903" s="13"/>
    </row>
    <row r="904" spans="1:3" ht="13" x14ac:dyDescent="0.15">
      <c r="A904" s="10"/>
      <c r="B904" s="13"/>
      <c r="C904" s="13"/>
    </row>
    <row r="905" spans="1:3" ht="13" x14ac:dyDescent="0.15">
      <c r="A905" s="10"/>
      <c r="B905" s="13"/>
      <c r="C905" s="13"/>
    </row>
    <row r="906" spans="1:3" ht="13" x14ac:dyDescent="0.15">
      <c r="A906" s="10"/>
      <c r="B906" s="13"/>
      <c r="C906" s="13"/>
    </row>
    <row r="907" spans="1:3" ht="13" x14ac:dyDescent="0.15">
      <c r="A907" s="10"/>
      <c r="B907" s="13"/>
      <c r="C907" s="13"/>
    </row>
    <row r="908" spans="1:3" ht="13" x14ac:dyDescent="0.15">
      <c r="A908" s="10"/>
      <c r="B908" s="13"/>
      <c r="C908" s="13"/>
    </row>
    <row r="909" spans="1:3" ht="13" x14ac:dyDescent="0.15">
      <c r="A909" s="10"/>
      <c r="B909" s="13"/>
      <c r="C909" s="13"/>
    </row>
    <row r="910" spans="1:3" ht="13" x14ac:dyDescent="0.15">
      <c r="A910" s="10"/>
      <c r="B910" s="13"/>
      <c r="C910" s="13"/>
    </row>
    <row r="911" spans="1:3" ht="13" x14ac:dyDescent="0.15">
      <c r="A911" s="10"/>
      <c r="B911" s="13"/>
      <c r="C911" s="13"/>
    </row>
    <row r="912" spans="1:3" ht="13" x14ac:dyDescent="0.15">
      <c r="A912" s="10"/>
      <c r="B912" s="13"/>
      <c r="C912" s="13"/>
    </row>
    <row r="913" spans="1:3" ht="13" x14ac:dyDescent="0.15">
      <c r="A913" s="10"/>
      <c r="B913" s="13"/>
      <c r="C913" s="13"/>
    </row>
    <row r="914" spans="1:3" ht="13" x14ac:dyDescent="0.15">
      <c r="A914" s="10"/>
      <c r="B914" s="13"/>
      <c r="C914" s="13"/>
    </row>
    <row r="915" spans="1:3" ht="13" x14ac:dyDescent="0.15">
      <c r="A915" s="10"/>
      <c r="B915" s="13"/>
      <c r="C915" s="13"/>
    </row>
    <row r="916" spans="1:3" ht="13" x14ac:dyDescent="0.15">
      <c r="A916" s="10"/>
      <c r="B916" s="13"/>
      <c r="C916" s="13"/>
    </row>
    <row r="917" spans="1:3" ht="13" x14ac:dyDescent="0.15">
      <c r="A917" s="10"/>
      <c r="B917" s="13"/>
      <c r="C917" s="13"/>
    </row>
    <row r="918" spans="1:3" ht="13" x14ac:dyDescent="0.15">
      <c r="A918" s="10"/>
      <c r="B918" s="13"/>
      <c r="C918" s="13"/>
    </row>
    <row r="919" spans="1:3" ht="13" x14ac:dyDescent="0.15">
      <c r="A919" s="10"/>
      <c r="B919" s="13"/>
      <c r="C919" s="13"/>
    </row>
    <row r="920" spans="1:3" ht="13" x14ac:dyDescent="0.15">
      <c r="A920" s="10"/>
      <c r="B920" s="13"/>
      <c r="C920" s="13"/>
    </row>
    <row r="921" spans="1:3" ht="13" x14ac:dyDescent="0.15">
      <c r="A921" s="10"/>
      <c r="B921" s="13"/>
      <c r="C921" s="13"/>
    </row>
    <row r="922" spans="1:3" ht="13" x14ac:dyDescent="0.15">
      <c r="A922" s="10"/>
      <c r="B922" s="13"/>
      <c r="C922" s="13"/>
    </row>
    <row r="923" spans="1:3" ht="13" x14ac:dyDescent="0.15">
      <c r="A923" s="10"/>
      <c r="B923" s="13"/>
      <c r="C923" s="13"/>
    </row>
    <row r="924" spans="1:3" ht="13" x14ac:dyDescent="0.15">
      <c r="A924" s="10"/>
      <c r="B924" s="13"/>
      <c r="C924" s="13"/>
    </row>
    <row r="925" spans="1:3" ht="13" x14ac:dyDescent="0.15">
      <c r="A925" s="10"/>
      <c r="B925" s="13"/>
      <c r="C925" s="13"/>
    </row>
    <row r="926" spans="1:3" ht="13" x14ac:dyDescent="0.15">
      <c r="A926" s="10"/>
      <c r="B926" s="13"/>
      <c r="C926" s="13"/>
    </row>
    <row r="927" spans="1:3" ht="13" x14ac:dyDescent="0.15">
      <c r="A927" s="10"/>
      <c r="B927" s="13"/>
      <c r="C927" s="13"/>
    </row>
    <row r="928" spans="1:3" ht="13" x14ac:dyDescent="0.15">
      <c r="A928" s="10"/>
      <c r="B928" s="13"/>
      <c r="C928" s="13"/>
    </row>
    <row r="929" spans="1:3" ht="13" x14ac:dyDescent="0.15">
      <c r="A929" s="10"/>
      <c r="B929" s="13"/>
      <c r="C929" s="13"/>
    </row>
    <row r="930" spans="1:3" ht="13" x14ac:dyDescent="0.15">
      <c r="A930" s="10"/>
      <c r="B930" s="13"/>
      <c r="C930" s="13"/>
    </row>
    <row r="931" spans="1:3" ht="13" x14ac:dyDescent="0.15">
      <c r="A931" s="10"/>
      <c r="B931" s="13"/>
      <c r="C931" s="13"/>
    </row>
    <row r="932" spans="1:3" ht="13" x14ac:dyDescent="0.15">
      <c r="A932" s="10"/>
      <c r="B932" s="13"/>
      <c r="C932" s="13"/>
    </row>
    <row r="933" spans="1:3" ht="13" x14ac:dyDescent="0.15">
      <c r="A933" s="10"/>
      <c r="B933" s="13"/>
      <c r="C933" s="13"/>
    </row>
    <row r="934" spans="1:3" ht="13" x14ac:dyDescent="0.15">
      <c r="A934" s="10"/>
      <c r="B934" s="13"/>
      <c r="C934" s="13"/>
    </row>
    <row r="935" spans="1:3" ht="13" x14ac:dyDescent="0.15">
      <c r="A935" s="10"/>
      <c r="B935" s="13"/>
      <c r="C935" s="13"/>
    </row>
    <row r="936" spans="1:3" ht="13" x14ac:dyDescent="0.15">
      <c r="A936" s="10"/>
      <c r="B936" s="13"/>
      <c r="C936" s="13"/>
    </row>
    <row r="937" spans="1:3" ht="13" x14ac:dyDescent="0.15">
      <c r="A937" s="10"/>
      <c r="B937" s="13"/>
      <c r="C937" s="13"/>
    </row>
    <row r="938" spans="1:3" ht="13" x14ac:dyDescent="0.15">
      <c r="A938" s="10"/>
      <c r="B938" s="13"/>
      <c r="C938" s="13"/>
    </row>
    <row r="939" spans="1:3" ht="13" x14ac:dyDescent="0.15">
      <c r="A939" s="10"/>
      <c r="B939" s="13"/>
      <c r="C939" s="13"/>
    </row>
    <row r="940" spans="1:3" ht="13" x14ac:dyDescent="0.15">
      <c r="A940" s="10"/>
      <c r="B940" s="13"/>
      <c r="C940" s="13"/>
    </row>
    <row r="941" spans="1:3" ht="13" x14ac:dyDescent="0.15">
      <c r="A941" s="10"/>
      <c r="B941" s="13"/>
      <c r="C941" s="13"/>
    </row>
    <row r="942" spans="1:3" ht="13" x14ac:dyDescent="0.15">
      <c r="A942" s="10"/>
      <c r="B942" s="13"/>
      <c r="C942" s="13"/>
    </row>
    <row r="943" spans="1:3" ht="13" x14ac:dyDescent="0.15">
      <c r="A943" s="10"/>
      <c r="B943" s="13"/>
      <c r="C943" s="13"/>
    </row>
    <row r="944" spans="1:3" ht="13" x14ac:dyDescent="0.15">
      <c r="A944" s="10"/>
      <c r="B944" s="13"/>
      <c r="C944" s="13"/>
    </row>
    <row r="945" spans="1:3" ht="13" x14ac:dyDescent="0.15">
      <c r="A945" s="10"/>
      <c r="B945" s="13"/>
      <c r="C945" s="13"/>
    </row>
    <row r="946" spans="1:3" ht="13" x14ac:dyDescent="0.15">
      <c r="A946" s="10"/>
      <c r="B946" s="13"/>
      <c r="C946" s="13"/>
    </row>
    <row r="947" spans="1:3" ht="13" x14ac:dyDescent="0.15">
      <c r="A947" s="10"/>
      <c r="B947" s="13"/>
      <c r="C947" s="13"/>
    </row>
    <row r="948" spans="1:3" ht="13" x14ac:dyDescent="0.15">
      <c r="A948" s="10"/>
      <c r="B948" s="13"/>
      <c r="C948" s="13"/>
    </row>
    <row r="949" spans="1:3" ht="13" x14ac:dyDescent="0.15">
      <c r="A949" s="10"/>
      <c r="B949" s="13"/>
      <c r="C949" s="13"/>
    </row>
    <row r="950" spans="1:3" ht="13" x14ac:dyDescent="0.15">
      <c r="A950" s="10"/>
      <c r="B950" s="13"/>
      <c r="C950" s="13"/>
    </row>
    <row r="951" spans="1:3" ht="13" x14ac:dyDescent="0.15">
      <c r="A951" s="10"/>
      <c r="B951" s="13"/>
      <c r="C951" s="13"/>
    </row>
    <row r="952" spans="1:3" ht="13" x14ac:dyDescent="0.15">
      <c r="A952" s="10"/>
      <c r="B952" s="13"/>
      <c r="C952" s="13"/>
    </row>
    <row r="953" spans="1:3" ht="13" x14ac:dyDescent="0.15">
      <c r="A953" s="10"/>
      <c r="B953" s="13"/>
      <c r="C953" s="13"/>
    </row>
    <row r="954" spans="1:3" ht="13" x14ac:dyDescent="0.15">
      <c r="A954" s="10"/>
      <c r="B954" s="13"/>
      <c r="C954" s="13"/>
    </row>
    <row r="955" spans="1:3" ht="13" x14ac:dyDescent="0.15">
      <c r="A955" s="10"/>
      <c r="B955" s="13"/>
      <c r="C955" s="13"/>
    </row>
    <row r="956" spans="1:3" ht="13" x14ac:dyDescent="0.15">
      <c r="A956" s="10"/>
      <c r="B956" s="13"/>
      <c r="C956" s="13"/>
    </row>
    <row r="957" spans="1:3" ht="13" x14ac:dyDescent="0.15">
      <c r="A957" s="10"/>
      <c r="B957" s="13"/>
      <c r="C957" s="13"/>
    </row>
    <row r="958" spans="1:3" ht="13" x14ac:dyDescent="0.15">
      <c r="A958" s="10"/>
      <c r="B958" s="13"/>
      <c r="C958" s="13"/>
    </row>
    <row r="959" spans="1:3" ht="13" x14ac:dyDescent="0.15">
      <c r="A959" s="10"/>
      <c r="B959" s="13"/>
      <c r="C959" s="13"/>
    </row>
    <row r="960" spans="1:3" ht="13" x14ac:dyDescent="0.15">
      <c r="A960" s="10"/>
      <c r="B960" s="13"/>
      <c r="C960" s="13"/>
    </row>
    <row r="961" spans="1:3" ht="13" x14ac:dyDescent="0.15">
      <c r="A961" s="10"/>
      <c r="B961" s="13"/>
      <c r="C961" s="13"/>
    </row>
    <row r="962" spans="1:3" ht="13" x14ac:dyDescent="0.15">
      <c r="A962" s="10"/>
      <c r="B962" s="13"/>
      <c r="C962" s="13"/>
    </row>
    <row r="963" spans="1:3" ht="13" x14ac:dyDescent="0.15">
      <c r="A963" s="10"/>
      <c r="B963" s="13"/>
      <c r="C963" s="13"/>
    </row>
    <row r="964" spans="1:3" ht="13" x14ac:dyDescent="0.15">
      <c r="A964" s="10"/>
      <c r="B964" s="13"/>
      <c r="C964" s="13"/>
    </row>
    <row r="965" spans="1:3" ht="13" x14ac:dyDescent="0.15">
      <c r="A965" s="10"/>
      <c r="B965" s="13"/>
      <c r="C965" s="13"/>
    </row>
    <row r="966" spans="1:3" ht="13" x14ac:dyDescent="0.15">
      <c r="A966" s="10"/>
      <c r="B966" s="13"/>
      <c r="C966" s="13"/>
    </row>
    <row r="967" spans="1:3" ht="13" x14ac:dyDescent="0.15">
      <c r="A967" s="10"/>
      <c r="B967" s="13"/>
      <c r="C967" s="13"/>
    </row>
    <row r="968" spans="1:3" ht="13" x14ac:dyDescent="0.15">
      <c r="A968" s="10"/>
      <c r="B968" s="13"/>
      <c r="C968" s="13"/>
    </row>
    <row r="969" spans="1:3" ht="13" x14ac:dyDescent="0.15">
      <c r="A969" s="10"/>
      <c r="B969" s="13"/>
      <c r="C969" s="13"/>
    </row>
    <row r="970" spans="1:3" ht="13" x14ac:dyDescent="0.15">
      <c r="A970" s="10"/>
      <c r="B970" s="13"/>
      <c r="C970" s="13"/>
    </row>
    <row r="971" spans="1:3" ht="13" x14ac:dyDescent="0.15">
      <c r="A971" s="10"/>
      <c r="B971" s="13"/>
      <c r="C971" s="13"/>
    </row>
    <row r="972" spans="1:3" ht="13" x14ac:dyDescent="0.15">
      <c r="A972" s="10"/>
      <c r="B972" s="13"/>
      <c r="C972" s="13"/>
    </row>
    <row r="973" spans="1:3" ht="13" x14ac:dyDescent="0.15">
      <c r="A973" s="10"/>
      <c r="B973" s="13"/>
      <c r="C973" s="13"/>
    </row>
    <row r="974" spans="1:3" ht="13" x14ac:dyDescent="0.15">
      <c r="A974" s="10"/>
      <c r="B974" s="13"/>
      <c r="C974" s="13"/>
    </row>
    <row r="975" spans="1:3" ht="13" x14ac:dyDescent="0.15">
      <c r="A975" s="10"/>
      <c r="B975" s="13"/>
      <c r="C975" s="13"/>
    </row>
    <row r="976" spans="1:3" ht="13" x14ac:dyDescent="0.15">
      <c r="A976" s="10"/>
      <c r="B976" s="13"/>
      <c r="C976" s="13"/>
    </row>
    <row r="977" spans="1:3" ht="13" x14ac:dyDescent="0.15">
      <c r="A977" s="10"/>
      <c r="B977" s="13"/>
      <c r="C977" s="13"/>
    </row>
    <row r="978" spans="1:3" ht="13" x14ac:dyDescent="0.15">
      <c r="A978" s="10"/>
      <c r="B978" s="13"/>
      <c r="C978" s="13"/>
    </row>
    <row r="979" spans="1:3" ht="13" x14ac:dyDescent="0.15">
      <c r="A979" s="10"/>
      <c r="B979" s="13"/>
      <c r="C979" s="13"/>
    </row>
    <row r="980" spans="1:3" ht="13" x14ac:dyDescent="0.15">
      <c r="A980" s="10"/>
      <c r="B980" s="13"/>
      <c r="C980" s="13"/>
    </row>
    <row r="981" spans="1:3" ht="13" x14ac:dyDescent="0.15">
      <c r="A981" s="10"/>
      <c r="B981" s="13"/>
      <c r="C981" s="13"/>
    </row>
    <row r="982" spans="1:3" ht="13" x14ac:dyDescent="0.15">
      <c r="A982" s="10"/>
      <c r="B982" s="13"/>
      <c r="C982" s="13"/>
    </row>
    <row r="983" spans="1:3" ht="13" x14ac:dyDescent="0.15">
      <c r="A983" s="10"/>
      <c r="B983" s="13"/>
      <c r="C983" s="13"/>
    </row>
    <row r="984" spans="1:3" ht="13" x14ac:dyDescent="0.15">
      <c r="A984" s="10"/>
      <c r="B984" s="13"/>
      <c r="C984" s="13"/>
    </row>
    <row r="985" spans="1:3" ht="13" x14ac:dyDescent="0.15">
      <c r="A985" s="10"/>
      <c r="B985" s="13"/>
      <c r="C985" s="13"/>
    </row>
    <row r="986" spans="1:3" ht="13" x14ac:dyDescent="0.15">
      <c r="A986" s="10"/>
      <c r="B986" s="13"/>
      <c r="C986" s="13"/>
    </row>
    <row r="987" spans="1:3" ht="13" x14ac:dyDescent="0.15">
      <c r="A987" s="10"/>
      <c r="B987" s="13"/>
      <c r="C987" s="13"/>
    </row>
    <row r="988" spans="1:3" ht="13" x14ac:dyDescent="0.15">
      <c r="A988" s="10"/>
      <c r="B988" s="13"/>
      <c r="C988" s="13"/>
    </row>
    <row r="989" spans="1:3" ht="13" x14ac:dyDescent="0.15">
      <c r="A989" s="10"/>
      <c r="B989" s="13"/>
      <c r="C989" s="13"/>
    </row>
    <row r="990" spans="1:3" ht="13" x14ac:dyDescent="0.15">
      <c r="A990" s="10"/>
      <c r="B990" s="13"/>
      <c r="C990" s="13"/>
    </row>
    <row r="991" spans="1:3" ht="13" x14ac:dyDescent="0.15">
      <c r="A991" s="10"/>
      <c r="B991" s="13"/>
      <c r="C991" s="13"/>
    </row>
    <row r="992" spans="1:3" ht="13" x14ac:dyDescent="0.15">
      <c r="A992" s="10"/>
      <c r="B992" s="13"/>
      <c r="C992" s="13"/>
    </row>
    <row r="993" spans="1:3" ht="13" x14ac:dyDescent="0.15">
      <c r="A993" s="10"/>
      <c r="B993" s="13"/>
      <c r="C993" s="13"/>
    </row>
    <row r="994" spans="1:3" ht="13" x14ac:dyDescent="0.15">
      <c r="A994" s="10"/>
      <c r="B994" s="13"/>
      <c r="C994" s="13"/>
    </row>
    <row r="995" spans="1:3" ht="13" x14ac:dyDescent="0.15">
      <c r="A995" s="10"/>
      <c r="B995" s="13"/>
      <c r="C995" s="13"/>
    </row>
    <row r="996" spans="1:3" ht="13" x14ac:dyDescent="0.15">
      <c r="A996" s="10"/>
      <c r="B996" s="13"/>
      <c r="C996" s="13"/>
    </row>
    <row r="997" spans="1:3" ht="13" x14ac:dyDescent="0.15">
      <c r="A997" s="10"/>
      <c r="B997" s="13"/>
      <c r="C997" s="13"/>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outlinePr summaryBelow="0" summaryRight="0"/>
  </sheetPr>
  <dimension ref="A1:D997"/>
  <sheetViews>
    <sheetView workbookViewId="0"/>
  </sheetViews>
  <sheetFormatPr baseColWidth="10" defaultColWidth="12.6640625" defaultRowHeight="15.75" customHeight="1" x14ac:dyDescent="0.15"/>
  <cols>
    <col min="1" max="1" width="71.5" customWidth="1"/>
    <col min="2" max="4" width="37.6640625" customWidth="1"/>
  </cols>
  <sheetData>
    <row r="1" spans="1:4" ht="15.75" customHeight="1" x14ac:dyDescent="0.15">
      <c r="A1" s="1"/>
      <c r="B1" s="12" t="str">
        <f ca="1">IFERROR(__xludf.DUMMYFUNCTION("IMPORTRANGE(""https://docs.google.com/spreadsheets/d/1C06Vs6H0Eg3__x1-dePLdZcY_bo1r3ReCeWRxqLlaS4"",""A35!B1:B22"")"),"Layla Baldwin")</f>
        <v>Layla Baldwin</v>
      </c>
      <c r="C1" s="13" t="str">
        <f ca="1">IFERROR(__xludf.DUMMYFUNCTION("IMPORTRANGE(""https://docs.google.com/spreadsheets/u/0/d/1v3alDV9sI-Ng7OoZouCf4a0CI5tv_Xg2T3WprxxRGRs"", ""A35!B1:B22"")"),"Tyler M.")</f>
        <v>Tyler M.</v>
      </c>
      <c r="D1" s="10" t="str">
        <f ca="1">IFERROR(__xludf.DUMMYFUNCTION("IMPORTRANGE(""https://docs.google.com/spreadsheets/d/1QLAeYl5D81_Myo-agZdCgYFm7rliPzxg4xkt-QHL9OA"", ""A35!B1:B22"")"),"Rin Godfrey")</f>
        <v>Rin Godfrey</v>
      </c>
    </row>
    <row r="2" spans="1:4" ht="15.75" customHeight="1" x14ac:dyDescent="0.15">
      <c r="A2" s="3" t="s">
        <v>2</v>
      </c>
      <c r="B2" s="15" t="str">
        <f ca="1">IFERROR(__xludf.DUMMYFUNCTION("""COMPUTED_VALUE"""),"23756 - 24037, forward")</f>
        <v>23756 - 24037, forward</v>
      </c>
      <c r="C2" s="15" t="str">
        <f ca="1">IFERROR(__xludf.DUMMYFUNCTION("""COMPUTED_VALUE"""),"23756-24037 FOW")</f>
        <v>23756-24037 FOW</v>
      </c>
      <c r="D2" s="15" t="str">
        <f ca="1">IFERROR(__xludf.DUMMYFUNCTION("""COMPUTED_VALUE"""),"Start: 23756
Stop: 24037 FOR")</f>
        <v>Start: 23756
Stop: 24037 FOR</v>
      </c>
    </row>
    <row r="3" spans="1:4" ht="15.75" customHeight="1" x14ac:dyDescent="0.15">
      <c r="A3" s="5" t="s">
        <v>3</v>
      </c>
      <c r="B3" s="17" t="str">
        <f ca="1">IFERROR(__xludf.DUMMYFUNCTION("""COMPUTED_VALUE"""),"35 in Pham and PDB, 34 in DNAM")</f>
        <v>35 in Pham and PDB, 34 in DNAM</v>
      </c>
      <c r="C3" s="17" t="str">
        <f ca="1">IFERROR(__xludf.DUMMYFUNCTION("""COMPUTED_VALUE"""),"DNA Master_34
Phamerator_35")</f>
        <v>DNA Master_34
Phamerator_35</v>
      </c>
      <c r="D3" s="17" t="str">
        <f ca="1">IFERROR(__xludf.DUMMYFUNCTION("""COMPUTED_VALUE"""),"DNA Master: 34
Phamorater: 35")</f>
        <v>DNA Master: 34
Phamorater: 35</v>
      </c>
    </row>
    <row r="4" spans="1:4" ht="15.75" customHeight="1" x14ac:dyDescent="0.15">
      <c r="A4" s="5" t="s">
        <v>4</v>
      </c>
      <c r="B4" s="17" t="str">
        <f ca="1">IFERROR(__xludf.DUMMYFUNCTION("""COMPUTED_VALUE"""),"7261 - 3/2/25")</f>
        <v>7261 - 3/2/25</v>
      </c>
      <c r="C4" s="17" t="str">
        <f ca="1">IFERROR(__xludf.DUMMYFUNCTION("""COMPUTED_VALUE""")," 7261 3/24/25")</f>
        <v xml:space="preserve"> 7261 3/24/25</v>
      </c>
      <c r="D4" s="17" t="str">
        <f ca="1">IFERROR(__xludf.DUMMYFUNCTION("""COMPUTED_VALUE"""),"  7261 3/24/25")</f>
        <v xml:space="preserve">  7261 3/24/25</v>
      </c>
    </row>
    <row r="5" spans="1:4" ht="15.75" customHeight="1" x14ac:dyDescent="0.15">
      <c r="A5" s="5" t="s">
        <v>5</v>
      </c>
      <c r="B5" s="17" t="str">
        <f ca="1">IFERROR(__xludf.DUMMYFUNCTION("""COMPUTED_VALUE"""),"Kovu_36, Edmundo_34, LiSara_34")</f>
        <v>Kovu_36, Edmundo_34, LiSara_34</v>
      </c>
      <c r="C5" s="17" t="str">
        <f ca="1">IFERROR(__xludf.DUMMYFUNCTION("""COMPUTED_VALUE"""),"Kovu_36 Edmundo_34")</f>
        <v>Kovu_36 Edmundo_34</v>
      </c>
      <c r="D5" s="17" t="str">
        <f ca="1">IFERROR(__xludf.DUMMYFUNCTION("""COMPUTED_VALUE"""),"Edmundo_34
Kovu_36")</f>
        <v>Edmundo_34
Kovu_36</v>
      </c>
    </row>
    <row r="6" spans="1:4" ht="15.75" customHeight="1" x14ac:dyDescent="0.15">
      <c r="A6" s="5" t="s">
        <v>6</v>
      </c>
      <c r="B6" s="17" t="str">
        <f ca="1">IFERROR(__xludf.DUMMYFUNCTION("""COMPUTED_VALUE"""),"Glimmer calls at 23756, GeneMark calls at 23804")</f>
        <v>Glimmer calls at 23756, GeneMark calls at 23804</v>
      </c>
      <c r="C6" s="17" t="str">
        <f ca="1">IFERROR(__xludf.DUMMYFUNCTION("""COMPUTED_VALUE"""),"glimmer calls @bp 23756 strength 9.05; GeneMarks calls at 23804")</f>
        <v>glimmer calls @bp 23756 strength 9.05; GeneMarks calls at 23804</v>
      </c>
      <c r="D6" s="17" t="str">
        <f ca="1">IFERROR(__xludf.DUMMYFUNCTION("""COMPUTED_VALUE"""),"Glimmer start 23756 
GeneMark strat 23804")</f>
        <v>Glimmer start 23756 
GeneMark strat 23804</v>
      </c>
    </row>
    <row r="7" spans="1:4" ht="15.75" customHeight="1" x14ac:dyDescent="0.15">
      <c r="A7" s="5" t="s">
        <v>7</v>
      </c>
      <c r="B7" s="17" t="str">
        <f ca="1">IFERROR(__xludf.DUMMYFUNCTION("""COMPUTED_VALUE"""),"Called start captures coding potential. If you moved starts, you would be losing out on a little coding potential. ")</f>
        <v xml:space="preserve">Called start captures coding potential. If you moved starts, you would be losing out on a little coding potential. </v>
      </c>
      <c r="C7" s="17" t="str">
        <f ca="1">IFERROR(__xludf.DUMMYFUNCTION("""COMPUTED_VALUE"""),"yes, all coding potential included all coding potential included")</f>
        <v>yes, all coding potential included all coding potential included</v>
      </c>
      <c r="D7" s="17" t="str">
        <f ca="1">IFERROR(__xludf.DUMMYFUNCTION("""COMPUTED_VALUE"""),"It is good but leaves off some of the stat.")</f>
        <v>It is good but leaves off some of the stat.</v>
      </c>
    </row>
    <row r="8" spans="1:4" ht="15.75" customHeight="1" x14ac:dyDescent="0.15">
      <c r="A8" s="5" t="s">
        <v>8</v>
      </c>
      <c r="B8" s="17" t="str">
        <f ca="1">IFERROR(__xludf.DUMMYFUNCTION("""COMPUTED_VALUE"""),"No, two previous starts")</f>
        <v>No, two previous starts</v>
      </c>
      <c r="C8" s="17" t="str">
        <f ca="1">IFERROR(__xludf.DUMMYFUNCTION("""COMPUTED_VALUE"""),"yes")</f>
        <v>yes</v>
      </c>
      <c r="D8" s="17"/>
    </row>
    <row r="9" spans="1:4" ht="15.75" customHeight="1" x14ac:dyDescent="0.15">
      <c r="A9" s="5" t="s">
        <v>9</v>
      </c>
      <c r="B9" s="17" t="str">
        <f ca="1">IFERROR(__xludf.DUMMYFUNCTION("""COMPUTED_VALUE"""),"10 bp overlap with the previous gene.")</f>
        <v>10 bp overlap with the previous gene.</v>
      </c>
      <c r="C9" s="17" t="str">
        <f ca="1">IFERROR(__xludf.DUMMYFUNCTION("""COMPUTED_VALUE"""),"10 nt overlap")</f>
        <v>10 nt overlap</v>
      </c>
      <c r="D9" s="17"/>
    </row>
    <row r="10" spans="1:4" ht="15.75" customHeight="1" x14ac:dyDescent="0.15">
      <c r="A10" s="5" t="s">
        <v>10</v>
      </c>
      <c r="B10" s="17" t="str">
        <f ca="1">IFERROR(__xludf.DUMMYFUNCTION("""COMPUTED_VALUE"""),"Glimmer called start: Z value = 2.050, final = -4.534. GeneMark called start: Z value = 2.807, final = -2.756. GeneMark start has overall best scores. ")</f>
        <v xml:space="preserve">Glimmer called start: Z value = 2.050, final = -4.534. GeneMark called start: Z value = 2.807, final = -2.756. GeneMark start has overall best scores. </v>
      </c>
      <c r="C10" s="17" t="str">
        <f ca="1">IFERROR(__xludf.DUMMYFUNCTION("""COMPUTED_VALUE"""),"current start has a good Z score (2.107); next start has a better score (2.462)")</f>
        <v>current start has a good Z score (2.107); next start has a better score (2.462)</v>
      </c>
      <c r="D10" s="17"/>
    </row>
    <row r="11" spans="1:4" ht="15.75" customHeight="1" x14ac:dyDescent="0.15">
      <c r="A11" s="5" t="s">
        <v>11</v>
      </c>
      <c r="B11" s="17" t="str">
        <f ca="1">IFERROR(__xludf.DUMMYFUNCTION("""COMPUTED_VALUE"""),"Kovu_36, % identity = 81.52, e value = 0, q1:s1")</f>
        <v>Kovu_36, % identity = 81.52, e value = 0, q1:s1</v>
      </c>
      <c r="C11" s="17" t="str">
        <f ca="1">IFERROR(__xludf.DUMMYFUNCTION("""COMPUTED_VALUE"""),"Kovu_36: 81.52 %identity; 0.0E0; Q:1 T:1")</f>
        <v>Kovu_36: 81.52 %identity; 0.0E0; Q:1 T:1</v>
      </c>
      <c r="D11" s="17"/>
    </row>
    <row r="12" spans="1:4" ht="15.75" customHeight="1" x14ac:dyDescent="0.15">
      <c r="A12" s="5" t="s">
        <v>12</v>
      </c>
      <c r="B12" s="17" t="str">
        <f ca="1">IFERROR(__xludf.DUMMYFUNCTION("""COMPUTED_VALUE"""),"Yes. Called 100% of the time when present. GeneMark start found in 4/9 families but called 0% of the time.")</f>
        <v>Yes. Called 100% of the time when present. GeneMark start found in 4/9 families but called 0% of the time.</v>
      </c>
      <c r="C12" s="17" t="str">
        <f ca="1">IFERROR(__xludf.DUMMYFUNCTION("""COMPUTED_VALUE"""),"yes, called 8 out of 8 times")</f>
        <v>yes, called 8 out of 8 times</v>
      </c>
      <c r="D12" s="17"/>
    </row>
    <row r="13" spans="1:4" ht="15.75" customHeight="1" x14ac:dyDescent="0.15">
      <c r="A13" s="5" t="s">
        <v>13</v>
      </c>
      <c r="B13" s="17" t="str">
        <f ca="1">IFERROR(__xludf.DUMMYFUNCTION("""COMPUTED_VALUE""")," I wouldn't move the start just because the evidence supports the Glimmer called start. It has good Z and final scores, and the start is conserved in all members of the pham. Moving the start would miss out on coding potential. ")</f>
        <v xml:space="preserve"> I wouldn't move the start just because the evidence supports the Glimmer called start. It has good Z and final scores, and the start is conserved in all members of the pham. Moving the start would miss out on coding potential. </v>
      </c>
      <c r="C13" s="17" t="str">
        <f ca="1">IFERROR(__xludf.DUMMYFUNCTION("""COMPUTED_VALUE"""),"No, current start does not impose any problems and has a good Z score as well as sharing a start with other genes in the pham. ")</f>
        <v xml:space="preserve">No, current start does not impose any problems and has a good Z score as well as sharing a start with other genes in the pham. </v>
      </c>
      <c r="D13" s="17"/>
    </row>
    <row r="14" spans="1:4" ht="15.75" customHeight="1" x14ac:dyDescent="0.15">
      <c r="A14" s="5" t="s">
        <v>14</v>
      </c>
      <c r="B14" s="17" t="str">
        <f ca="1">IFERROR(__xludf.DUMMYFUNCTION("""COMPUTED_VALUE"""),"Unknown function, Kovu_36, e = 3E-49")</f>
        <v>Unknown function, Kovu_36, e = 3E-49</v>
      </c>
      <c r="C14" s="17" t="str">
        <f ca="1">IFERROR(__xludf.DUMMYFUNCTION("""COMPUTED_VALUE"""),"Kovu_36; 3e-49 ")</f>
        <v xml:space="preserve">Kovu_36; 3e-49 </v>
      </c>
      <c r="D14" s="17"/>
    </row>
    <row r="15" spans="1:4" ht="15.75" customHeight="1" x14ac:dyDescent="0.15">
      <c r="A15" s="5" t="s">
        <v>15</v>
      </c>
      <c r="B15" s="17" t="str">
        <f ca="1">IFERROR(__xludf.DUMMYFUNCTION("""COMPUTED_VALUE"""),"Unknown function, Kovu_36. ")</f>
        <v xml:space="preserve">Unknown function, Kovu_36. </v>
      </c>
      <c r="C15" s="17" t="str">
        <f ca="1">IFERROR(__xludf.DUMMYFUNCTION("""COMPUTED_VALUE"""),"function unknown ")</f>
        <v xml:space="preserve">function unknown </v>
      </c>
      <c r="D15" s="17"/>
    </row>
    <row r="16" spans="1:4" ht="15.75" customHeight="1" x14ac:dyDescent="0.15">
      <c r="A16" s="5" t="s">
        <v>16</v>
      </c>
      <c r="B16" s="17" t="str">
        <f ca="1">IFERROR(__xludf.DUMMYFUNCTION("""COMPUTED_VALUE"""),"Yes, Kovu_36 is found in the same pham")</f>
        <v>Yes, Kovu_36 is found in the same pham</v>
      </c>
      <c r="C16" s="17" t="str">
        <f ca="1">IFERROR(__xludf.DUMMYFUNCTION("""COMPUTED_VALUE"""),"found in same genetic environment as Kovu")</f>
        <v>found in same genetic environment as Kovu</v>
      </c>
      <c r="D16" s="17"/>
    </row>
    <row r="17" spans="1:4" ht="15.75" customHeight="1" x14ac:dyDescent="0.15">
      <c r="A17" s="5" t="s">
        <v>17</v>
      </c>
      <c r="B17" s="17" t="str">
        <f ca="1">IFERROR(__xludf.DUMMYFUNCTION("""COMPUTED_VALUE"""),"Not many good results. No results with score over 85%. Results vary from transcription factor to carrier protein. ; TFIIB_Zn-ribbon_Tryp ; Transcription factor IIB, zinc ribbon, Trypanosome. AOQ% = 42%, %AOT = 98%. Probability = 82.23%")</f>
        <v>Not many good results. No results with score over 85%. Results vary from transcription factor to carrier protein. ; TFIIB_Zn-ribbon_Tryp ; Transcription factor IIB, zinc ribbon, Trypanosome. AOQ% = 42%, %AOT = 98%. Probability = 82.23%</v>
      </c>
      <c r="C17" s="17" t="str">
        <f ca="1">IFERROR(__xludf.DUMMYFUNCTION("""COMPUTED_VALUE"""),"Transcription factor IIB, zinc ribbon, Trypanosome
probability: 82.23%
% alignment Q: 41.94%
% alignment T: 97.50%
")</f>
        <v xml:space="preserve">Transcription factor IIB, zinc ribbon, Trypanosome
probability: 82.23%
% alignment Q: 41.94%
% alignment T: 97.50%
</v>
      </c>
      <c r="D17" s="17"/>
    </row>
    <row r="18" spans="1:4" ht="15.75" customHeight="1" x14ac:dyDescent="0.15">
      <c r="A18" s="5" t="s">
        <v>18</v>
      </c>
      <c r="B18" s="17" t="str">
        <f ca="1">IFERROR(__xludf.DUMMYFUNCTION("""COMPUTED_VALUE"""),"No")</f>
        <v>No</v>
      </c>
      <c r="C18" s="17" t="str">
        <f ca="1">IFERROR(__xludf.DUMMYFUNCTION("""COMPUTED_VALUE"""),"No ")</f>
        <v xml:space="preserve">No </v>
      </c>
      <c r="D18" s="17"/>
    </row>
    <row r="19" spans="1:4" ht="15.75" customHeight="1" x14ac:dyDescent="0.15">
      <c r="A19" s="5" t="s">
        <v>19</v>
      </c>
      <c r="B19" s="17" t="str">
        <f ca="1">IFERROR(__xludf.DUMMYFUNCTION("""COMPUTED_VALUE"""),"No")</f>
        <v>No</v>
      </c>
      <c r="C19" s="17" t="str">
        <f ca="1">IFERROR(__xludf.DUMMYFUNCTION("""COMPUTED_VALUE"""),"No")</f>
        <v>No</v>
      </c>
      <c r="D19" s="17"/>
    </row>
    <row r="20" spans="1:4" ht="15.75" customHeight="1" x14ac:dyDescent="0.15">
      <c r="A20" s="5" t="s">
        <v>20</v>
      </c>
      <c r="B20" s="17" t="str">
        <f ca="1">IFERROR(__xludf.DUMMYFUNCTION("""COMPUTED_VALUE"""),"Hypothetical protein, phages db blast and ncbi blast support. HHPred had multiple results, but none with high enough probability scores.")</f>
        <v>Hypothetical protein, phages db blast and ncbi blast support. HHPred had multiple results, but none with high enough probability scores.</v>
      </c>
      <c r="C20" s="17" t="str">
        <f ca="1">IFERROR(__xludf.DUMMYFUNCTION("""COMPUTED_VALUE"""),"Hypothetical protein, HHpred results are not good but it matches well with Kovu ")</f>
        <v xml:space="preserve">Hypothetical protein, HHpred results are not good but it matches well with Kovu </v>
      </c>
      <c r="D20" s="17"/>
    </row>
    <row r="21" spans="1:4" x14ac:dyDescent="0.2">
      <c r="A21" s="7"/>
      <c r="B21" s="19"/>
      <c r="C21" s="19"/>
      <c r="D21" s="19"/>
    </row>
    <row r="22" spans="1:4" ht="15.75" customHeight="1" x14ac:dyDescent="0.15">
      <c r="A22" s="9" t="s">
        <v>21</v>
      </c>
      <c r="B22" s="19" t="str">
        <f ca="1">IFERROR(__xludf.DUMMYFUNCTION("""COMPUTED_VALUE"""),"Might have to revisit HHPred results in the future, still kind of confused with the databases")</f>
        <v>Might have to revisit HHPred results in the future, still kind of confused with the databases</v>
      </c>
      <c r="C22" s="19"/>
      <c r="D22" s="19"/>
    </row>
    <row r="23" spans="1:4" ht="15.75" customHeight="1" x14ac:dyDescent="0.15">
      <c r="A23" s="10"/>
      <c r="B23" s="13"/>
      <c r="C23" s="13"/>
      <c r="D23" s="13"/>
    </row>
    <row r="24" spans="1:4" ht="15.75" customHeight="1" x14ac:dyDescent="0.15">
      <c r="A24" s="10"/>
      <c r="B24" s="13"/>
      <c r="C24" s="13"/>
      <c r="D24" s="13"/>
    </row>
    <row r="25" spans="1:4" ht="15.75" customHeight="1" x14ac:dyDescent="0.15">
      <c r="A25" s="10"/>
      <c r="B25" s="13"/>
      <c r="C25" s="13"/>
      <c r="D25" s="13"/>
    </row>
    <row r="26" spans="1:4" ht="15.75" customHeight="1" x14ac:dyDescent="0.15">
      <c r="A26" s="10"/>
      <c r="B26" s="13"/>
      <c r="C26" s="13"/>
      <c r="D26" s="13"/>
    </row>
    <row r="27" spans="1:4" ht="15.75" customHeight="1" x14ac:dyDescent="0.15">
      <c r="A27" s="10"/>
      <c r="B27" s="13"/>
      <c r="C27" s="13"/>
      <c r="D27" s="13"/>
    </row>
    <row r="28" spans="1:4" ht="15.75" customHeight="1" x14ac:dyDescent="0.15">
      <c r="A28" s="10"/>
      <c r="B28" s="13"/>
      <c r="C28" s="13"/>
      <c r="D28" s="13"/>
    </row>
    <row r="29" spans="1:4" ht="15.75" customHeight="1" x14ac:dyDescent="0.15">
      <c r="A29" s="10"/>
      <c r="B29" s="13"/>
      <c r="C29" s="13"/>
      <c r="D29" s="13"/>
    </row>
    <row r="30" spans="1:4" ht="15.75" customHeight="1" x14ac:dyDescent="0.15">
      <c r="A30" s="10"/>
      <c r="B30" s="13"/>
      <c r="C30" s="13"/>
      <c r="D30" s="13"/>
    </row>
    <row r="31" spans="1:4" ht="15.75" customHeight="1" x14ac:dyDescent="0.15">
      <c r="A31" s="10"/>
      <c r="B31" s="13"/>
      <c r="C31" s="13"/>
      <c r="D31" s="13"/>
    </row>
    <row r="32" spans="1:4" ht="15.75" customHeight="1" x14ac:dyDescent="0.15">
      <c r="A32" s="10"/>
      <c r="B32" s="13"/>
      <c r="C32" s="13"/>
      <c r="D32" s="13"/>
    </row>
    <row r="33" spans="1:4" ht="15.75" customHeight="1" x14ac:dyDescent="0.15">
      <c r="A33" s="10"/>
      <c r="B33" s="13"/>
      <c r="C33" s="13"/>
      <c r="D33" s="13"/>
    </row>
    <row r="34" spans="1:4" ht="15.75" customHeight="1" x14ac:dyDescent="0.15">
      <c r="A34" s="10"/>
      <c r="B34" s="13"/>
      <c r="C34" s="13"/>
      <c r="D34" s="13"/>
    </row>
    <row r="35" spans="1:4" ht="15.75" customHeight="1" x14ac:dyDescent="0.15">
      <c r="A35" s="10"/>
      <c r="B35" s="13"/>
      <c r="C35" s="13"/>
      <c r="D35" s="13"/>
    </row>
    <row r="36" spans="1:4" ht="15.75" customHeight="1" x14ac:dyDescent="0.15">
      <c r="A36" s="10"/>
      <c r="B36" s="13"/>
      <c r="C36" s="13"/>
      <c r="D36" s="13"/>
    </row>
    <row r="37" spans="1:4" ht="15.75" customHeight="1" x14ac:dyDescent="0.15">
      <c r="A37" s="10"/>
      <c r="B37" s="13"/>
      <c r="C37" s="13"/>
      <c r="D37" s="13"/>
    </row>
    <row r="38" spans="1:4" ht="15.75" customHeight="1" x14ac:dyDescent="0.15">
      <c r="A38" s="10"/>
      <c r="B38" s="13"/>
      <c r="C38" s="13"/>
      <c r="D38" s="13"/>
    </row>
    <row r="39" spans="1:4" ht="13" x14ac:dyDescent="0.15">
      <c r="A39" s="10"/>
      <c r="B39" s="13"/>
      <c r="C39" s="13"/>
      <c r="D39" s="13"/>
    </row>
    <row r="40" spans="1:4" ht="13" x14ac:dyDescent="0.15">
      <c r="A40" s="10"/>
      <c r="B40" s="13"/>
      <c r="C40" s="13"/>
      <c r="D40" s="13"/>
    </row>
    <row r="41" spans="1:4" ht="13" x14ac:dyDescent="0.15">
      <c r="A41" s="10"/>
      <c r="B41" s="13"/>
      <c r="C41" s="13"/>
      <c r="D41" s="13"/>
    </row>
    <row r="42" spans="1:4" ht="13" x14ac:dyDescent="0.15">
      <c r="A42" s="10"/>
      <c r="B42" s="13"/>
      <c r="C42" s="13"/>
      <c r="D42" s="13"/>
    </row>
    <row r="43" spans="1:4" ht="13" x14ac:dyDescent="0.15">
      <c r="A43" s="10"/>
      <c r="B43" s="13"/>
      <c r="C43" s="13"/>
      <c r="D43" s="13"/>
    </row>
    <row r="44" spans="1:4" ht="13" x14ac:dyDescent="0.15">
      <c r="A44" s="10"/>
      <c r="B44" s="13"/>
      <c r="C44" s="13"/>
      <c r="D44" s="13"/>
    </row>
    <row r="45" spans="1:4" ht="13" x14ac:dyDescent="0.15">
      <c r="A45" s="10"/>
      <c r="B45" s="13"/>
      <c r="C45" s="13"/>
      <c r="D45" s="13"/>
    </row>
    <row r="46" spans="1:4" ht="13" x14ac:dyDescent="0.15">
      <c r="A46" s="10"/>
      <c r="B46" s="13"/>
      <c r="C46" s="13"/>
      <c r="D46" s="13"/>
    </row>
    <row r="47" spans="1:4" ht="13" x14ac:dyDescent="0.15">
      <c r="A47" s="10"/>
      <c r="B47" s="13"/>
      <c r="C47" s="13"/>
      <c r="D47" s="13"/>
    </row>
    <row r="48" spans="1:4" ht="13" x14ac:dyDescent="0.15">
      <c r="A48" s="10"/>
      <c r="B48" s="13"/>
      <c r="C48" s="13"/>
      <c r="D48" s="13"/>
    </row>
    <row r="49" spans="1:4" ht="13" x14ac:dyDescent="0.15">
      <c r="A49" s="10"/>
      <c r="B49" s="13"/>
      <c r="C49" s="13"/>
      <c r="D49" s="13"/>
    </row>
    <row r="50" spans="1:4" ht="13" x14ac:dyDescent="0.15">
      <c r="A50" s="10"/>
      <c r="B50" s="13"/>
      <c r="C50" s="13"/>
      <c r="D50" s="13"/>
    </row>
    <row r="51" spans="1:4" ht="13" x14ac:dyDescent="0.15">
      <c r="A51" s="10"/>
      <c r="B51" s="13"/>
      <c r="C51" s="13"/>
      <c r="D51" s="13"/>
    </row>
    <row r="52" spans="1:4" ht="13" x14ac:dyDescent="0.15">
      <c r="A52" s="10"/>
      <c r="B52" s="13"/>
      <c r="C52" s="13"/>
      <c r="D52" s="13"/>
    </row>
    <row r="53" spans="1:4" ht="13" x14ac:dyDescent="0.15">
      <c r="A53" s="10"/>
      <c r="B53" s="13"/>
      <c r="C53" s="13"/>
      <c r="D53" s="13"/>
    </row>
    <row r="54" spans="1:4" ht="13" x14ac:dyDescent="0.15">
      <c r="A54" s="10"/>
      <c r="B54" s="13"/>
      <c r="C54" s="13"/>
      <c r="D54" s="13"/>
    </row>
    <row r="55" spans="1:4" ht="13" x14ac:dyDescent="0.15">
      <c r="A55" s="10"/>
      <c r="B55" s="13"/>
      <c r="C55" s="13"/>
      <c r="D55" s="13"/>
    </row>
    <row r="56" spans="1:4" ht="13" x14ac:dyDescent="0.15">
      <c r="A56" s="10"/>
      <c r="B56" s="13"/>
      <c r="C56" s="13"/>
      <c r="D56" s="13"/>
    </row>
    <row r="57" spans="1:4" ht="13" x14ac:dyDescent="0.15">
      <c r="A57" s="10"/>
      <c r="B57" s="13"/>
      <c r="C57" s="13"/>
      <c r="D57" s="13"/>
    </row>
    <row r="58" spans="1:4" ht="13" x14ac:dyDescent="0.15">
      <c r="A58" s="10"/>
      <c r="B58" s="13"/>
      <c r="C58" s="13"/>
      <c r="D58" s="13"/>
    </row>
    <row r="59" spans="1:4" ht="13" x14ac:dyDescent="0.15">
      <c r="A59" s="10"/>
      <c r="B59" s="13"/>
      <c r="C59" s="13"/>
      <c r="D59" s="13"/>
    </row>
    <row r="60" spans="1:4" ht="13" x14ac:dyDescent="0.15">
      <c r="A60" s="10"/>
      <c r="B60" s="13"/>
      <c r="C60" s="13"/>
      <c r="D60" s="13"/>
    </row>
    <row r="61" spans="1:4" ht="13" x14ac:dyDescent="0.15">
      <c r="A61" s="10"/>
      <c r="B61" s="13"/>
      <c r="C61" s="13"/>
      <c r="D61" s="13"/>
    </row>
    <row r="62" spans="1:4" ht="13" x14ac:dyDescent="0.15">
      <c r="A62" s="10"/>
      <c r="B62" s="13"/>
      <c r="C62" s="13"/>
      <c r="D62" s="13"/>
    </row>
    <row r="63" spans="1:4" ht="13" x14ac:dyDescent="0.15">
      <c r="A63" s="10"/>
      <c r="B63" s="13"/>
      <c r="C63" s="13"/>
      <c r="D63" s="13"/>
    </row>
    <row r="64" spans="1:4" ht="13" x14ac:dyDescent="0.15">
      <c r="A64" s="10"/>
      <c r="B64" s="13"/>
      <c r="C64" s="13"/>
      <c r="D64" s="13"/>
    </row>
    <row r="65" spans="1:4" ht="13" x14ac:dyDescent="0.15">
      <c r="A65" s="10"/>
      <c r="B65" s="13"/>
      <c r="C65" s="13"/>
      <c r="D65" s="13"/>
    </row>
    <row r="66" spans="1:4" ht="13" x14ac:dyDescent="0.15">
      <c r="A66" s="10"/>
      <c r="B66" s="13"/>
      <c r="C66" s="13"/>
      <c r="D66" s="13"/>
    </row>
    <row r="67" spans="1:4" ht="13" x14ac:dyDescent="0.15">
      <c r="A67" s="10"/>
      <c r="B67" s="13"/>
      <c r="C67" s="13"/>
      <c r="D67" s="13"/>
    </row>
    <row r="68" spans="1:4" ht="13" x14ac:dyDescent="0.15">
      <c r="A68" s="10"/>
      <c r="B68" s="13"/>
      <c r="C68" s="13"/>
      <c r="D68" s="13"/>
    </row>
    <row r="69" spans="1:4" ht="13" x14ac:dyDescent="0.15">
      <c r="A69" s="10"/>
      <c r="B69" s="13"/>
      <c r="C69" s="13"/>
      <c r="D69" s="13"/>
    </row>
    <row r="70" spans="1:4" ht="13" x14ac:dyDescent="0.15">
      <c r="A70" s="10"/>
      <c r="B70" s="13"/>
      <c r="C70" s="13"/>
      <c r="D70" s="13"/>
    </row>
    <row r="71" spans="1:4" ht="13" x14ac:dyDescent="0.15">
      <c r="A71" s="10"/>
      <c r="B71" s="13"/>
      <c r="C71" s="13"/>
      <c r="D71" s="13"/>
    </row>
    <row r="72" spans="1:4" ht="13" x14ac:dyDescent="0.15">
      <c r="A72" s="10"/>
      <c r="B72" s="13"/>
      <c r="C72" s="13"/>
      <c r="D72" s="13"/>
    </row>
    <row r="73" spans="1:4" ht="13" x14ac:dyDescent="0.15">
      <c r="A73" s="10"/>
      <c r="B73" s="13"/>
      <c r="C73" s="13"/>
      <c r="D73" s="13"/>
    </row>
    <row r="74" spans="1:4" ht="13" x14ac:dyDescent="0.15">
      <c r="A74" s="10"/>
      <c r="B74" s="13"/>
      <c r="C74" s="13"/>
      <c r="D74" s="13"/>
    </row>
    <row r="75" spans="1:4" ht="13" x14ac:dyDescent="0.15">
      <c r="A75" s="10"/>
      <c r="B75" s="13"/>
      <c r="C75" s="13"/>
      <c r="D75" s="13"/>
    </row>
    <row r="76" spans="1:4" ht="13" x14ac:dyDescent="0.15">
      <c r="A76" s="10"/>
      <c r="B76" s="13"/>
      <c r="C76" s="13"/>
      <c r="D76" s="13"/>
    </row>
    <row r="77" spans="1:4" ht="13" x14ac:dyDescent="0.15">
      <c r="A77" s="10"/>
      <c r="B77" s="13"/>
      <c r="C77" s="13"/>
      <c r="D77" s="13"/>
    </row>
    <row r="78" spans="1:4" ht="13" x14ac:dyDescent="0.15">
      <c r="A78" s="10"/>
      <c r="B78" s="13"/>
      <c r="C78" s="13"/>
      <c r="D78" s="13"/>
    </row>
    <row r="79" spans="1:4" ht="13" x14ac:dyDescent="0.15">
      <c r="A79" s="10"/>
      <c r="B79" s="13"/>
      <c r="C79" s="13"/>
      <c r="D79" s="13"/>
    </row>
    <row r="80" spans="1:4" ht="13" x14ac:dyDescent="0.15">
      <c r="A80" s="10"/>
      <c r="B80" s="13"/>
      <c r="C80" s="13"/>
      <c r="D80" s="13"/>
    </row>
    <row r="81" spans="1:4" ht="13" x14ac:dyDescent="0.15">
      <c r="A81" s="10"/>
      <c r="B81" s="13"/>
      <c r="C81" s="13"/>
      <c r="D81" s="13"/>
    </row>
    <row r="82" spans="1:4" ht="13" x14ac:dyDescent="0.15">
      <c r="A82" s="10"/>
      <c r="B82" s="13"/>
      <c r="C82" s="13"/>
      <c r="D82" s="13"/>
    </row>
    <row r="83" spans="1:4" ht="13" x14ac:dyDescent="0.15">
      <c r="A83" s="10"/>
      <c r="B83" s="13"/>
      <c r="C83" s="13"/>
      <c r="D83" s="13"/>
    </row>
    <row r="84" spans="1:4" ht="13" x14ac:dyDescent="0.15">
      <c r="A84" s="10"/>
      <c r="B84" s="13"/>
      <c r="C84" s="13"/>
      <c r="D84" s="13"/>
    </row>
    <row r="85" spans="1:4" ht="13" x14ac:dyDescent="0.15">
      <c r="A85" s="10"/>
      <c r="B85" s="13"/>
      <c r="C85" s="13"/>
      <c r="D85" s="13"/>
    </row>
    <row r="86" spans="1:4" ht="13" x14ac:dyDescent="0.15">
      <c r="A86" s="10"/>
      <c r="B86" s="13"/>
      <c r="C86" s="13"/>
      <c r="D86" s="13"/>
    </row>
    <row r="87" spans="1:4" ht="13" x14ac:dyDescent="0.15">
      <c r="A87" s="10"/>
      <c r="B87" s="13"/>
      <c r="C87" s="13"/>
      <c r="D87" s="13"/>
    </row>
    <row r="88" spans="1:4" ht="13" x14ac:dyDescent="0.15">
      <c r="A88" s="10"/>
      <c r="B88" s="13"/>
      <c r="C88" s="13"/>
      <c r="D88" s="13"/>
    </row>
    <row r="89" spans="1:4" ht="13" x14ac:dyDescent="0.15">
      <c r="A89" s="10"/>
      <c r="B89" s="13"/>
      <c r="C89" s="13"/>
      <c r="D89" s="13"/>
    </row>
    <row r="90" spans="1:4" ht="13" x14ac:dyDescent="0.15">
      <c r="A90" s="10"/>
      <c r="B90" s="13"/>
      <c r="C90" s="13"/>
      <c r="D90" s="13"/>
    </row>
    <row r="91" spans="1:4" ht="13" x14ac:dyDescent="0.15">
      <c r="A91" s="10"/>
      <c r="B91" s="13"/>
      <c r="C91" s="13"/>
      <c r="D91" s="13"/>
    </row>
    <row r="92" spans="1:4" ht="13" x14ac:dyDescent="0.15">
      <c r="A92" s="10"/>
      <c r="B92" s="13"/>
      <c r="C92" s="13"/>
      <c r="D92" s="13"/>
    </row>
    <row r="93" spans="1:4" ht="13" x14ac:dyDescent="0.15">
      <c r="A93" s="10"/>
      <c r="B93" s="13"/>
      <c r="C93" s="13"/>
      <c r="D93" s="13"/>
    </row>
    <row r="94" spans="1:4" ht="13" x14ac:dyDescent="0.15">
      <c r="A94" s="10"/>
      <c r="B94" s="13"/>
      <c r="C94" s="13"/>
      <c r="D94" s="13"/>
    </row>
    <row r="95" spans="1:4" ht="13" x14ac:dyDescent="0.15">
      <c r="A95" s="10"/>
      <c r="B95" s="13"/>
      <c r="C95" s="13"/>
      <c r="D95" s="13"/>
    </row>
    <row r="96" spans="1:4" ht="13" x14ac:dyDescent="0.15">
      <c r="A96" s="10"/>
      <c r="B96" s="13"/>
      <c r="C96" s="13"/>
      <c r="D96" s="13"/>
    </row>
    <row r="97" spans="1:4" ht="13" x14ac:dyDescent="0.15">
      <c r="A97" s="10"/>
      <c r="B97" s="13"/>
      <c r="C97" s="13"/>
      <c r="D97" s="13"/>
    </row>
    <row r="98" spans="1:4" ht="13" x14ac:dyDescent="0.15">
      <c r="A98" s="10"/>
      <c r="B98" s="13"/>
      <c r="C98" s="13"/>
      <c r="D98" s="13"/>
    </row>
    <row r="99" spans="1:4" ht="13" x14ac:dyDescent="0.15">
      <c r="A99" s="10"/>
      <c r="B99" s="13"/>
      <c r="C99" s="13"/>
      <c r="D99" s="13"/>
    </row>
    <row r="100" spans="1:4" ht="13" x14ac:dyDescent="0.15">
      <c r="A100" s="10"/>
      <c r="B100" s="13"/>
      <c r="C100" s="13"/>
      <c r="D100" s="13"/>
    </row>
    <row r="101" spans="1:4" ht="13" x14ac:dyDescent="0.15">
      <c r="A101" s="10"/>
      <c r="B101" s="13"/>
      <c r="C101" s="13"/>
      <c r="D101" s="13"/>
    </row>
    <row r="102" spans="1:4" ht="13" x14ac:dyDescent="0.15">
      <c r="A102" s="10"/>
      <c r="B102" s="13"/>
      <c r="C102" s="13"/>
      <c r="D102" s="13"/>
    </row>
    <row r="103" spans="1:4" ht="13" x14ac:dyDescent="0.15">
      <c r="A103" s="10"/>
      <c r="B103" s="13"/>
      <c r="C103" s="13"/>
      <c r="D103" s="13"/>
    </row>
    <row r="104" spans="1:4" ht="13" x14ac:dyDescent="0.15">
      <c r="A104" s="10"/>
      <c r="B104" s="13"/>
      <c r="C104" s="13"/>
      <c r="D104" s="13"/>
    </row>
    <row r="105" spans="1:4" ht="13" x14ac:dyDescent="0.15">
      <c r="A105" s="10"/>
      <c r="B105" s="13"/>
      <c r="C105" s="13"/>
      <c r="D105" s="13"/>
    </row>
    <row r="106" spans="1:4" ht="13" x14ac:dyDescent="0.15">
      <c r="A106" s="10"/>
      <c r="B106" s="13"/>
      <c r="C106" s="13"/>
      <c r="D106" s="13"/>
    </row>
    <row r="107" spans="1:4" ht="13" x14ac:dyDescent="0.15">
      <c r="A107" s="10"/>
      <c r="B107" s="13"/>
      <c r="C107" s="13"/>
      <c r="D107" s="13"/>
    </row>
    <row r="108" spans="1:4" ht="13" x14ac:dyDescent="0.15">
      <c r="A108" s="10"/>
      <c r="B108" s="13"/>
      <c r="C108" s="13"/>
      <c r="D108" s="13"/>
    </row>
    <row r="109" spans="1:4" ht="13" x14ac:dyDescent="0.15">
      <c r="A109" s="10"/>
      <c r="B109" s="13"/>
      <c r="C109" s="13"/>
      <c r="D109" s="13"/>
    </row>
    <row r="110" spans="1:4" ht="13" x14ac:dyDescent="0.15">
      <c r="A110" s="10"/>
      <c r="B110" s="13"/>
      <c r="C110" s="13"/>
      <c r="D110" s="13"/>
    </row>
    <row r="111" spans="1:4" ht="13" x14ac:dyDescent="0.15">
      <c r="A111" s="10"/>
      <c r="B111" s="13"/>
      <c r="C111" s="13"/>
      <c r="D111" s="13"/>
    </row>
    <row r="112" spans="1:4" ht="13" x14ac:dyDescent="0.15">
      <c r="A112" s="10"/>
      <c r="B112" s="13"/>
      <c r="C112" s="13"/>
      <c r="D112" s="13"/>
    </row>
    <row r="113" spans="1:4" ht="13" x14ac:dyDescent="0.15">
      <c r="A113" s="10"/>
      <c r="B113" s="13"/>
      <c r="C113" s="13"/>
      <c r="D113" s="13"/>
    </row>
    <row r="114" spans="1:4" ht="13" x14ac:dyDescent="0.15">
      <c r="A114" s="10"/>
      <c r="B114" s="13"/>
      <c r="C114" s="13"/>
      <c r="D114" s="13"/>
    </row>
    <row r="115" spans="1:4" ht="13" x14ac:dyDescent="0.15">
      <c r="A115" s="10"/>
      <c r="B115" s="13"/>
      <c r="C115" s="13"/>
      <c r="D115" s="13"/>
    </row>
    <row r="116" spans="1:4" ht="13" x14ac:dyDescent="0.15">
      <c r="A116" s="10"/>
      <c r="B116" s="13"/>
      <c r="C116" s="13"/>
      <c r="D116" s="13"/>
    </row>
    <row r="117" spans="1:4" ht="13" x14ac:dyDescent="0.15">
      <c r="A117" s="10"/>
      <c r="B117" s="13"/>
      <c r="C117" s="13"/>
      <c r="D117" s="13"/>
    </row>
    <row r="118" spans="1:4" ht="13" x14ac:dyDescent="0.15">
      <c r="A118" s="10"/>
      <c r="B118" s="13"/>
      <c r="C118" s="13"/>
      <c r="D118" s="13"/>
    </row>
    <row r="119" spans="1:4" ht="13" x14ac:dyDescent="0.15">
      <c r="A119" s="10"/>
      <c r="B119" s="13"/>
      <c r="C119" s="13"/>
      <c r="D119" s="13"/>
    </row>
    <row r="120" spans="1:4" ht="13" x14ac:dyDescent="0.15">
      <c r="A120" s="10"/>
      <c r="B120" s="13"/>
      <c r="C120" s="13"/>
      <c r="D120" s="13"/>
    </row>
    <row r="121" spans="1:4" ht="13" x14ac:dyDescent="0.15">
      <c r="A121" s="10"/>
      <c r="B121" s="13"/>
      <c r="C121" s="13"/>
      <c r="D121" s="13"/>
    </row>
    <row r="122" spans="1:4" ht="13" x14ac:dyDescent="0.15">
      <c r="A122" s="10"/>
      <c r="B122" s="13"/>
      <c r="C122" s="13"/>
      <c r="D122" s="13"/>
    </row>
    <row r="123" spans="1:4" ht="13" x14ac:dyDescent="0.15">
      <c r="A123" s="10"/>
      <c r="B123" s="13"/>
      <c r="C123" s="13"/>
      <c r="D123" s="13"/>
    </row>
    <row r="124" spans="1:4" ht="13" x14ac:dyDescent="0.15">
      <c r="A124" s="10"/>
      <c r="B124" s="13"/>
      <c r="C124" s="13"/>
      <c r="D124" s="13"/>
    </row>
    <row r="125" spans="1:4" ht="13" x14ac:dyDescent="0.15">
      <c r="A125" s="10"/>
      <c r="B125" s="13"/>
      <c r="C125" s="13"/>
      <c r="D125" s="13"/>
    </row>
    <row r="126" spans="1:4" ht="13" x14ac:dyDescent="0.15">
      <c r="A126" s="10"/>
      <c r="B126" s="13"/>
      <c r="C126" s="13"/>
      <c r="D126" s="13"/>
    </row>
    <row r="127" spans="1:4" ht="13" x14ac:dyDescent="0.15">
      <c r="A127" s="10"/>
      <c r="B127" s="13"/>
      <c r="C127" s="13"/>
      <c r="D127" s="13"/>
    </row>
    <row r="128" spans="1:4" ht="13" x14ac:dyDescent="0.15">
      <c r="A128" s="10"/>
      <c r="B128" s="13"/>
      <c r="C128" s="13"/>
      <c r="D128" s="13"/>
    </row>
    <row r="129" spans="1:4" ht="13" x14ac:dyDescent="0.15">
      <c r="A129" s="10"/>
      <c r="B129" s="13"/>
      <c r="C129" s="13"/>
      <c r="D129" s="13"/>
    </row>
    <row r="130" spans="1:4" ht="13" x14ac:dyDescent="0.15">
      <c r="A130" s="10"/>
      <c r="B130" s="13"/>
      <c r="C130" s="13"/>
      <c r="D130" s="13"/>
    </row>
    <row r="131" spans="1:4" ht="13" x14ac:dyDescent="0.15">
      <c r="A131" s="10"/>
      <c r="B131" s="13"/>
      <c r="C131" s="13"/>
      <c r="D131" s="13"/>
    </row>
    <row r="132" spans="1:4" ht="13" x14ac:dyDescent="0.15">
      <c r="A132" s="10"/>
      <c r="B132" s="13"/>
      <c r="C132" s="13"/>
      <c r="D132" s="13"/>
    </row>
    <row r="133" spans="1:4" ht="13" x14ac:dyDescent="0.15">
      <c r="A133" s="10"/>
      <c r="B133" s="13"/>
      <c r="C133" s="13"/>
      <c r="D133" s="13"/>
    </row>
    <row r="134" spans="1:4" ht="13" x14ac:dyDescent="0.15">
      <c r="A134" s="10"/>
      <c r="B134" s="13"/>
      <c r="C134" s="13"/>
      <c r="D134" s="13"/>
    </row>
    <row r="135" spans="1:4" ht="13" x14ac:dyDescent="0.15">
      <c r="A135" s="10"/>
      <c r="B135" s="13"/>
      <c r="C135" s="13"/>
      <c r="D135" s="13"/>
    </row>
    <row r="136" spans="1:4" ht="13" x14ac:dyDescent="0.15">
      <c r="A136" s="10"/>
      <c r="B136" s="13"/>
      <c r="C136" s="13"/>
      <c r="D136" s="13"/>
    </row>
    <row r="137" spans="1:4" ht="13" x14ac:dyDescent="0.15">
      <c r="A137" s="10"/>
      <c r="B137" s="13"/>
      <c r="C137" s="13"/>
      <c r="D137" s="13"/>
    </row>
    <row r="138" spans="1:4" ht="13" x14ac:dyDescent="0.15">
      <c r="A138" s="10"/>
      <c r="B138" s="13"/>
      <c r="C138" s="13"/>
      <c r="D138" s="13"/>
    </row>
    <row r="139" spans="1:4" ht="13" x14ac:dyDescent="0.15">
      <c r="A139" s="10"/>
      <c r="B139" s="13"/>
      <c r="C139" s="13"/>
      <c r="D139" s="13"/>
    </row>
    <row r="140" spans="1:4" ht="13" x14ac:dyDescent="0.15">
      <c r="A140" s="10"/>
      <c r="B140" s="13"/>
      <c r="C140" s="13"/>
      <c r="D140" s="13"/>
    </row>
    <row r="141" spans="1:4" ht="13" x14ac:dyDescent="0.15">
      <c r="A141" s="10"/>
      <c r="B141" s="13"/>
      <c r="C141" s="13"/>
      <c r="D141" s="13"/>
    </row>
    <row r="142" spans="1:4" ht="13" x14ac:dyDescent="0.15">
      <c r="A142" s="10"/>
      <c r="B142" s="13"/>
      <c r="C142" s="13"/>
      <c r="D142" s="13"/>
    </row>
    <row r="143" spans="1:4" ht="13" x14ac:dyDescent="0.15">
      <c r="A143" s="10"/>
      <c r="B143" s="13"/>
      <c r="C143" s="13"/>
      <c r="D143" s="13"/>
    </row>
    <row r="144" spans="1:4" ht="13" x14ac:dyDescent="0.15">
      <c r="A144" s="10"/>
      <c r="B144" s="13"/>
      <c r="C144" s="13"/>
      <c r="D144" s="13"/>
    </row>
    <row r="145" spans="1:4" ht="13" x14ac:dyDescent="0.15">
      <c r="A145" s="10"/>
      <c r="B145" s="13"/>
      <c r="C145" s="13"/>
      <c r="D145" s="13"/>
    </row>
    <row r="146" spans="1:4" ht="13" x14ac:dyDescent="0.15">
      <c r="A146" s="10"/>
      <c r="B146" s="13"/>
      <c r="C146" s="13"/>
      <c r="D146" s="13"/>
    </row>
    <row r="147" spans="1:4" ht="13" x14ac:dyDescent="0.15">
      <c r="A147" s="10"/>
      <c r="B147" s="13"/>
      <c r="C147" s="13"/>
      <c r="D147" s="13"/>
    </row>
    <row r="148" spans="1:4" ht="13" x14ac:dyDescent="0.15">
      <c r="A148" s="10"/>
      <c r="B148" s="13"/>
      <c r="C148" s="13"/>
      <c r="D148" s="13"/>
    </row>
    <row r="149" spans="1:4" ht="13" x14ac:dyDescent="0.15">
      <c r="A149" s="10"/>
      <c r="B149" s="13"/>
      <c r="C149" s="13"/>
      <c r="D149" s="13"/>
    </row>
    <row r="150" spans="1:4" ht="13" x14ac:dyDescent="0.15">
      <c r="A150" s="10"/>
      <c r="B150" s="13"/>
      <c r="C150" s="13"/>
      <c r="D150" s="13"/>
    </row>
    <row r="151" spans="1:4" ht="13" x14ac:dyDescent="0.15">
      <c r="A151" s="10"/>
      <c r="B151" s="13"/>
      <c r="C151" s="13"/>
      <c r="D151" s="13"/>
    </row>
    <row r="152" spans="1:4" ht="13" x14ac:dyDescent="0.15">
      <c r="A152" s="10"/>
      <c r="B152" s="13"/>
      <c r="C152" s="13"/>
      <c r="D152" s="13"/>
    </row>
    <row r="153" spans="1:4" ht="13" x14ac:dyDescent="0.15">
      <c r="A153" s="10"/>
      <c r="B153" s="13"/>
      <c r="C153" s="13"/>
      <c r="D153" s="13"/>
    </row>
    <row r="154" spans="1:4" ht="13" x14ac:dyDescent="0.15">
      <c r="A154" s="10"/>
      <c r="B154" s="13"/>
      <c r="C154" s="13"/>
      <c r="D154" s="13"/>
    </row>
    <row r="155" spans="1:4" ht="13" x14ac:dyDescent="0.15">
      <c r="A155" s="10"/>
      <c r="B155" s="13"/>
      <c r="C155" s="13"/>
      <c r="D155" s="13"/>
    </row>
    <row r="156" spans="1:4" ht="13" x14ac:dyDescent="0.15">
      <c r="A156" s="10"/>
      <c r="B156" s="13"/>
      <c r="C156" s="13"/>
      <c r="D156" s="13"/>
    </row>
    <row r="157" spans="1:4" ht="13" x14ac:dyDescent="0.15">
      <c r="A157" s="10"/>
      <c r="B157" s="13"/>
      <c r="C157" s="13"/>
      <c r="D157" s="13"/>
    </row>
    <row r="158" spans="1:4" ht="13" x14ac:dyDescent="0.15">
      <c r="A158" s="10"/>
      <c r="B158" s="13"/>
      <c r="C158" s="13"/>
      <c r="D158" s="13"/>
    </row>
    <row r="159" spans="1:4" ht="13" x14ac:dyDescent="0.15">
      <c r="A159" s="10"/>
      <c r="B159" s="13"/>
      <c r="C159" s="13"/>
      <c r="D159" s="13"/>
    </row>
    <row r="160" spans="1:4" ht="13" x14ac:dyDescent="0.15">
      <c r="A160" s="10"/>
      <c r="B160" s="13"/>
      <c r="C160" s="13"/>
      <c r="D160" s="13"/>
    </row>
    <row r="161" spans="1:4" ht="13" x14ac:dyDescent="0.15">
      <c r="A161" s="10"/>
      <c r="B161" s="13"/>
      <c r="C161" s="13"/>
      <c r="D161" s="13"/>
    </row>
    <row r="162" spans="1:4" ht="13" x14ac:dyDescent="0.15">
      <c r="A162" s="10"/>
      <c r="B162" s="13"/>
      <c r="C162" s="13"/>
      <c r="D162" s="13"/>
    </row>
    <row r="163" spans="1:4" ht="13" x14ac:dyDescent="0.15">
      <c r="A163" s="10"/>
      <c r="B163" s="13"/>
      <c r="C163" s="13"/>
      <c r="D163" s="13"/>
    </row>
    <row r="164" spans="1:4" ht="13" x14ac:dyDescent="0.15">
      <c r="A164" s="10"/>
      <c r="B164" s="13"/>
      <c r="C164" s="13"/>
      <c r="D164" s="13"/>
    </row>
    <row r="165" spans="1:4" ht="13" x14ac:dyDescent="0.15">
      <c r="A165" s="10"/>
      <c r="B165" s="13"/>
      <c r="C165" s="13"/>
      <c r="D165" s="13"/>
    </row>
    <row r="166" spans="1:4" ht="13" x14ac:dyDescent="0.15">
      <c r="A166" s="10"/>
      <c r="B166" s="13"/>
      <c r="C166" s="13"/>
      <c r="D166" s="13"/>
    </row>
    <row r="167" spans="1:4" ht="13" x14ac:dyDescent="0.15">
      <c r="A167" s="10"/>
      <c r="B167" s="13"/>
      <c r="C167" s="13"/>
      <c r="D167" s="13"/>
    </row>
    <row r="168" spans="1:4" ht="13" x14ac:dyDescent="0.15">
      <c r="A168" s="10"/>
      <c r="B168" s="13"/>
      <c r="C168" s="13"/>
      <c r="D168" s="13"/>
    </row>
    <row r="169" spans="1:4" ht="13" x14ac:dyDescent="0.15">
      <c r="A169" s="10"/>
      <c r="B169" s="13"/>
      <c r="C169" s="13"/>
      <c r="D169" s="13"/>
    </row>
    <row r="170" spans="1:4" ht="13" x14ac:dyDescent="0.15">
      <c r="A170" s="10"/>
      <c r="B170" s="13"/>
      <c r="C170" s="13"/>
      <c r="D170" s="13"/>
    </row>
    <row r="171" spans="1:4" ht="13" x14ac:dyDescent="0.15">
      <c r="A171" s="10"/>
      <c r="B171" s="13"/>
      <c r="C171" s="13"/>
      <c r="D171" s="13"/>
    </row>
    <row r="172" spans="1:4" ht="13" x14ac:dyDescent="0.15">
      <c r="A172" s="10"/>
      <c r="B172" s="13"/>
      <c r="C172" s="13"/>
      <c r="D172" s="13"/>
    </row>
    <row r="173" spans="1:4" ht="13" x14ac:dyDescent="0.15">
      <c r="A173" s="10"/>
      <c r="B173" s="13"/>
      <c r="C173" s="13"/>
      <c r="D173" s="13"/>
    </row>
    <row r="174" spans="1:4" ht="13" x14ac:dyDescent="0.15">
      <c r="A174" s="10"/>
      <c r="B174" s="13"/>
      <c r="C174" s="13"/>
      <c r="D174" s="13"/>
    </row>
    <row r="175" spans="1:4" ht="13" x14ac:dyDescent="0.15">
      <c r="A175" s="10"/>
      <c r="B175" s="13"/>
      <c r="C175" s="13"/>
      <c r="D175" s="13"/>
    </row>
    <row r="176" spans="1:4" ht="13" x14ac:dyDescent="0.15">
      <c r="A176" s="10"/>
      <c r="B176" s="13"/>
      <c r="C176" s="13"/>
      <c r="D176" s="13"/>
    </row>
    <row r="177" spans="1:4" ht="13" x14ac:dyDescent="0.15">
      <c r="A177" s="10"/>
      <c r="B177" s="13"/>
      <c r="C177" s="13"/>
      <c r="D177" s="13"/>
    </row>
    <row r="178" spans="1:4" ht="13" x14ac:dyDescent="0.15">
      <c r="A178" s="10"/>
      <c r="B178" s="13"/>
      <c r="C178" s="13"/>
      <c r="D178" s="13"/>
    </row>
    <row r="179" spans="1:4" ht="13" x14ac:dyDescent="0.15">
      <c r="A179" s="10"/>
      <c r="B179" s="13"/>
      <c r="C179" s="13"/>
      <c r="D179" s="13"/>
    </row>
    <row r="180" spans="1:4" ht="13" x14ac:dyDescent="0.15">
      <c r="A180" s="10"/>
      <c r="B180" s="13"/>
      <c r="C180" s="13"/>
      <c r="D180" s="13"/>
    </row>
    <row r="181" spans="1:4" ht="13" x14ac:dyDescent="0.15">
      <c r="A181" s="10"/>
      <c r="B181" s="13"/>
      <c r="C181" s="13"/>
      <c r="D181" s="13"/>
    </row>
    <row r="182" spans="1:4" ht="13" x14ac:dyDescent="0.15">
      <c r="A182" s="10"/>
      <c r="B182" s="13"/>
      <c r="C182" s="13"/>
      <c r="D182" s="13"/>
    </row>
    <row r="183" spans="1:4" ht="13" x14ac:dyDescent="0.15">
      <c r="A183" s="10"/>
      <c r="B183" s="13"/>
      <c r="C183" s="13"/>
      <c r="D183" s="13"/>
    </row>
    <row r="184" spans="1:4" ht="13" x14ac:dyDescent="0.15">
      <c r="A184" s="10"/>
      <c r="B184" s="13"/>
      <c r="C184" s="13"/>
      <c r="D184" s="13"/>
    </row>
    <row r="185" spans="1:4" ht="13" x14ac:dyDescent="0.15">
      <c r="A185" s="10"/>
      <c r="B185" s="13"/>
      <c r="C185" s="13"/>
      <c r="D185" s="13"/>
    </row>
    <row r="186" spans="1:4" ht="13" x14ac:dyDescent="0.15">
      <c r="A186" s="10"/>
      <c r="B186" s="13"/>
      <c r="C186" s="13"/>
      <c r="D186" s="13"/>
    </row>
    <row r="187" spans="1:4" ht="13" x14ac:dyDescent="0.15">
      <c r="A187" s="10"/>
      <c r="B187" s="13"/>
      <c r="C187" s="13"/>
      <c r="D187" s="13"/>
    </row>
    <row r="188" spans="1:4" ht="13" x14ac:dyDescent="0.15">
      <c r="A188" s="10"/>
      <c r="B188" s="13"/>
      <c r="C188" s="13"/>
      <c r="D188" s="13"/>
    </row>
    <row r="189" spans="1:4" ht="13" x14ac:dyDescent="0.15">
      <c r="A189" s="10"/>
      <c r="B189" s="13"/>
      <c r="C189" s="13"/>
      <c r="D189" s="13"/>
    </row>
    <row r="190" spans="1:4" ht="13" x14ac:dyDescent="0.15">
      <c r="A190" s="10"/>
      <c r="B190" s="13"/>
      <c r="C190" s="13"/>
      <c r="D190" s="13"/>
    </row>
    <row r="191" spans="1:4" ht="13" x14ac:dyDescent="0.15">
      <c r="A191" s="10"/>
      <c r="B191" s="13"/>
      <c r="C191" s="13"/>
      <c r="D191" s="13"/>
    </row>
    <row r="192" spans="1:4" ht="13" x14ac:dyDescent="0.15">
      <c r="A192" s="10"/>
      <c r="B192" s="13"/>
      <c r="C192" s="13"/>
      <c r="D192" s="13"/>
    </row>
    <row r="193" spans="1:4" ht="13" x14ac:dyDescent="0.15">
      <c r="A193" s="10"/>
      <c r="B193" s="13"/>
      <c r="C193" s="13"/>
      <c r="D193" s="13"/>
    </row>
    <row r="194" spans="1:4" ht="13" x14ac:dyDescent="0.15">
      <c r="A194" s="10"/>
      <c r="B194" s="13"/>
      <c r="C194" s="13"/>
      <c r="D194" s="13"/>
    </row>
    <row r="195" spans="1:4" ht="13" x14ac:dyDescent="0.15">
      <c r="A195" s="10"/>
      <c r="B195" s="13"/>
      <c r="C195" s="13"/>
      <c r="D195" s="13"/>
    </row>
    <row r="196" spans="1:4" ht="13" x14ac:dyDescent="0.15">
      <c r="A196" s="10"/>
      <c r="B196" s="13"/>
      <c r="C196" s="13"/>
      <c r="D196" s="13"/>
    </row>
    <row r="197" spans="1:4" ht="13" x14ac:dyDescent="0.15">
      <c r="A197" s="10"/>
      <c r="B197" s="13"/>
      <c r="C197" s="13"/>
      <c r="D197" s="13"/>
    </row>
    <row r="198" spans="1:4" ht="13" x14ac:dyDescent="0.15">
      <c r="A198" s="10"/>
      <c r="B198" s="13"/>
      <c r="C198" s="13"/>
      <c r="D198" s="13"/>
    </row>
    <row r="199" spans="1:4" ht="13" x14ac:dyDescent="0.15">
      <c r="A199" s="10"/>
      <c r="B199" s="13"/>
      <c r="C199" s="13"/>
      <c r="D199" s="13"/>
    </row>
    <row r="200" spans="1:4" ht="13" x14ac:dyDescent="0.15">
      <c r="A200" s="10"/>
      <c r="B200" s="13"/>
      <c r="C200" s="13"/>
      <c r="D200" s="13"/>
    </row>
    <row r="201" spans="1:4" ht="13" x14ac:dyDescent="0.15">
      <c r="A201" s="10"/>
      <c r="B201" s="13"/>
      <c r="C201" s="13"/>
      <c r="D201" s="13"/>
    </row>
    <row r="202" spans="1:4" ht="13" x14ac:dyDescent="0.15">
      <c r="A202" s="10"/>
      <c r="B202" s="13"/>
      <c r="C202" s="13"/>
      <c r="D202" s="13"/>
    </row>
    <row r="203" spans="1:4" ht="13" x14ac:dyDescent="0.15">
      <c r="A203" s="10"/>
      <c r="B203" s="13"/>
      <c r="C203" s="13"/>
      <c r="D203" s="13"/>
    </row>
    <row r="204" spans="1:4" ht="13" x14ac:dyDescent="0.15">
      <c r="A204" s="10"/>
      <c r="B204" s="13"/>
      <c r="C204" s="13"/>
      <c r="D204" s="13"/>
    </row>
    <row r="205" spans="1:4" ht="13" x14ac:dyDescent="0.15">
      <c r="A205" s="10"/>
      <c r="B205" s="13"/>
      <c r="C205" s="13"/>
      <c r="D205" s="13"/>
    </row>
    <row r="206" spans="1:4" ht="13" x14ac:dyDescent="0.15">
      <c r="A206" s="10"/>
      <c r="B206" s="13"/>
      <c r="C206" s="13"/>
      <c r="D206" s="13"/>
    </row>
    <row r="207" spans="1:4" ht="13" x14ac:dyDescent="0.15">
      <c r="A207" s="10"/>
      <c r="B207" s="13"/>
      <c r="C207" s="13"/>
      <c r="D207" s="13"/>
    </row>
    <row r="208" spans="1:4" ht="13" x14ac:dyDescent="0.15">
      <c r="A208" s="10"/>
      <c r="B208" s="13"/>
      <c r="C208" s="13"/>
      <c r="D208" s="13"/>
    </row>
    <row r="209" spans="1:4" ht="13" x14ac:dyDescent="0.15">
      <c r="A209" s="10"/>
      <c r="B209" s="13"/>
      <c r="C209" s="13"/>
      <c r="D209" s="13"/>
    </row>
    <row r="210" spans="1:4" ht="13" x14ac:dyDescent="0.15">
      <c r="A210" s="10"/>
      <c r="B210" s="13"/>
      <c r="C210" s="13"/>
      <c r="D210" s="13"/>
    </row>
    <row r="211" spans="1:4" ht="13" x14ac:dyDescent="0.15">
      <c r="A211" s="10"/>
      <c r="B211" s="13"/>
      <c r="C211" s="13"/>
      <c r="D211" s="13"/>
    </row>
    <row r="212" spans="1:4" ht="13" x14ac:dyDescent="0.15">
      <c r="A212" s="10"/>
      <c r="B212" s="13"/>
      <c r="C212" s="13"/>
      <c r="D212" s="13"/>
    </row>
    <row r="213" spans="1:4" ht="13" x14ac:dyDescent="0.15">
      <c r="A213" s="10"/>
      <c r="B213" s="13"/>
      <c r="C213" s="13"/>
      <c r="D213" s="13"/>
    </row>
    <row r="214" spans="1:4" ht="13" x14ac:dyDescent="0.15">
      <c r="A214" s="10"/>
      <c r="B214" s="13"/>
      <c r="C214" s="13"/>
      <c r="D214" s="13"/>
    </row>
    <row r="215" spans="1:4" ht="13" x14ac:dyDescent="0.15">
      <c r="A215" s="10"/>
      <c r="B215" s="13"/>
      <c r="C215" s="13"/>
      <c r="D215" s="13"/>
    </row>
    <row r="216" spans="1:4" ht="13" x14ac:dyDescent="0.15">
      <c r="A216" s="10"/>
      <c r="B216" s="13"/>
      <c r="C216" s="13"/>
      <c r="D216" s="13"/>
    </row>
    <row r="217" spans="1:4" ht="13" x14ac:dyDescent="0.15">
      <c r="A217" s="10"/>
      <c r="B217" s="13"/>
      <c r="C217" s="13"/>
      <c r="D217" s="13"/>
    </row>
    <row r="218" spans="1:4" ht="13" x14ac:dyDescent="0.15">
      <c r="A218" s="10"/>
      <c r="B218" s="13"/>
      <c r="C218" s="13"/>
      <c r="D218" s="13"/>
    </row>
    <row r="219" spans="1:4" ht="13" x14ac:dyDescent="0.15">
      <c r="A219" s="10"/>
      <c r="B219" s="13"/>
      <c r="C219" s="13"/>
      <c r="D219" s="13"/>
    </row>
    <row r="220" spans="1:4" ht="13" x14ac:dyDescent="0.15">
      <c r="A220" s="10"/>
      <c r="B220" s="13"/>
      <c r="C220" s="13"/>
      <c r="D220" s="13"/>
    </row>
    <row r="221" spans="1:4" ht="13" x14ac:dyDescent="0.15">
      <c r="A221" s="10"/>
      <c r="B221" s="13"/>
      <c r="C221" s="13"/>
      <c r="D221" s="13"/>
    </row>
    <row r="222" spans="1:4" ht="13" x14ac:dyDescent="0.15">
      <c r="A222" s="10"/>
      <c r="B222" s="13"/>
      <c r="C222" s="13"/>
      <c r="D222" s="13"/>
    </row>
    <row r="223" spans="1:4" ht="13" x14ac:dyDescent="0.15">
      <c r="A223" s="10"/>
      <c r="B223" s="13"/>
      <c r="C223" s="13"/>
      <c r="D223" s="13"/>
    </row>
    <row r="224" spans="1:4" ht="13" x14ac:dyDescent="0.15">
      <c r="A224" s="10"/>
      <c r="B224" s="13"/>
      <c r="C224" s="13"/>
      <c r="D224" s="13"/>
    </row>
    <row r="225" spans="1:4" ht="13" x14ac:dyDescent="0.15">
      <c r="A225" s="10"/>
      <c r="B225" s="13"/>
      <c r="C225" s="13"/>
      <c r="D225" s="13"/>
    </row>
    <row r="226" spans="1:4" ht="13" x14ac:dyDescent="0.15">
      <c r="A226" s="10"/>
      <c r="B226" s="13"/>
      <c r="C226" s="13"/>
      <c r="D226" s="13"/>
    </row>
    <row r="227" spans="1:4" ht="13" x14ac:dyDescent="0.15">
      <c r="A227" s="10"/>
      <c r="B227" s="13"/>
      <c r="C227" s="13"/>
      <c r="D227" s="13"/>
    </row>
    <row r="228" spans="1:4" ht="13" x14ac:dyDescent="0.15">
      <c r="A228" s="10"/>
      <c r="B228" s="13"/>
      <c r="C228" s="13"/>
      <c r="D228" s="13"/>
    </row>
    <row r="229" spans="1:4" ht="13" x14ac:dyDescent="0.15">
      <c r="A229" s="10"/>
      <c r="B229" s="13"/>
      <c r="C229" s="13"/>
      <c r="D229" s="13"/>
    </row>
    <row r="230" spans="1:4" ht="13" x14ac:dyDescent="0.15">
      <c r="A230" s="10"/>
      <c r="B230" s="13"/>
      <c r="C230" s="13"/>
      <c r="D230" s="13"/>
    </row>
    <row r="231" spans="1:4" ht="13" x14ac:dyDescent="0.15">
      <c r="A231" s="10"/>
      <c r="B231" s="13"/>
      <c r="C231" s="13"/>
      <c r="D231" s="13"/>
    </row>
    <row r="232" spans="1:4" ht="13" x14ac:dyDescent="0.15">
      <c r="A232" s="10"/>
      <c r="B232" s="13"/>
      <c r="C232" s="13"/>
      <c r="D232" s="13"/>
    </row>
    <row r="233" spans="1:4" ht="13" x14ac:dyDescent="0.15">
      <c r="A233" s="10"/>
      <c r="B233" s="13"/>
      <c r="C233" s="13"/>
      <c r="D233" s="13"/>
    </row>
    <row r="234" spans="1:4" ht="13" x14ac:dyDescent="0.15">
      <c r="A234" s="10"/>
      <c r="B234" s="13"/>
      <c r="C234" s="13"/>
      <c r="D234" s="13"/>
    </row>
    <row r="235" spans="1:4" ht="13" x14ac:dyDescent="0.15">
      <c r="A235" s="10"/>
      <c r="B235" s="13"/>
      <c r="C235" s="13"/>
      <c r="D235" s="13"/>
    </row>
    <row r="236" spans="1:4" ht="13" x14ac:dyDescent="0.15">
      <c r="A236" s="10"/>
      <c r="B236" s="13"/>
      <c r="C236" s="13"/>
      <c r="D236" s="13"/>
    </row>
    <row r="237" spans="1:4" ht="13" x14ac:dyDescent="0.15">
      <c r="A237" s="10"/>
      <c r="B237" s="13"/>
      <c r="C237" s="13"/>
      <c r="D237" s="13"/>
    </row>
    <row r="238" spans="1:4" ht="13" x14ac:dyDescent="0.15">
      <c r="A238" s="10"/>
      <c r="B238" s="13"/>
      <c r="C238" s="13"/>
      <c r="D238" s="13"/>
    </row>
    <row r="239" spans="1:4" ht="13" x14ac:dyDescent="0.15">
      <c r="A239" s="10"/>
      <c r="B239" s="13"/>
      <c r="C239" s="13"/>
      <c r="D239" s="13"/>
    </row>
    <row r="240" spans="1:4" ht="13" x14ac:dyDescent="0.15">
      <c r="A240" s="10"/>
      <c r="B240" s="13"/>
      <c r="C240" s="13"/>
      <c r="D240" s="13"/>
    </row>
    <row r="241" spans="1:4" ht="13" x14ac:dyDescent="0.15">
      <c r="A241" s="10"/>
      <c r="B241" s="13"/>
      <c r="C241" s="13"/>
      <c r="D241" s="13"/>
    </row>
    <row r="242" spans="1:4" ht="13" x14ac:dyDescent="0.15">
      <c r="A242" s="10"/>
      <c r="B242" s="13"/>
      <c r="C242" s="13"/>
      <c r="D242" s="13"/>
    </row>
    <row r="243" spans="1:4" ht="13" x14ac:dyDescent="0.15">
      <c r="A243" s="10"/>
      <c r="B243" s="13"/>
      <c r="C243" s="13"/>
      <c r="D243" s="13"/>
    </row>
    <row r="244" spans="1:4" ht="13" x14ac:dyDescent="0.15">
      <c r="A244" s="10"/>
      <c r="B244" s="13"/>
      <c r="C244" s="13"/>
      <c r="D244" s="13"/>
    </row>
    <row r="245" spans="1:4" ht="13" x14ac:dyDescent="0.15">
      <c r="A245" s="10"/>
      <c r="B245" s="13"/>
      <c r="C245" s="13"/>
      <c r="D245" s="13"/>
    </row>
    <row r="246" spans="1:4" ht="13" x14ac:dyDescent="0.15">
      <c r="A246" s="10"/>
      <c r="B246" s="13"/>
      <c r="C246" s="13"/>
      <c r="D246" s="13"/>
    </row>
    <row r="247" spans="1:4" ht="13" x14ac:dyDescent="0.15">
      <c r="A247" s="10"/>
      <c r="B247" s="13"/>
      <c r="C247" s="13"/>
      <c r="D247" s="13"/>
    </row>
    <row r="248" spans="1:4" ht="13" x14ac:dyDescent="0.15">
      <c r="A248" s="10"/>
      <c r="B248" s="13"/>
      <c r="C248" s="13"/>
      <c r="D248" s="13"/>
    </row>
    <row r="249" spans="1:4" ht="13" x14ac:dyDescent="0.15">
      <c r="A249" s="10"/>
      <c r="B249" s="13"/>
      <c r="C249" s="13"/>
      <c r="D249" s="13"/>
    </row>
    <row r="250" spans="1:4" ht="13" x14ac:dyDescent="0.15">
      <c r="A250" s="10"/>
      <c r="B250" s="13"/>
      <c r="C250" s="13"/>
      <c r="D250" s="13"/>
    </row>
    <row r="251" spans="1:4" ht="13" x14ac:dyDescent="0.15">
      <c r="A251" s="10"/>
      <c r="B251" s="13"/>
      <c r="C251" s="13"/>
      <c r="D251" s="13"/>
    </row>
    <row r="252" spans="1:4" ht="13" x14ac:dyDescent="0.15">
      <c r="A252" s="10"/>
      <c r="B252" s="13"/>
      <c r="C252" s="13"/>
      <c r="D252" s="13"/>
    </row>
    <row r="253" spans="1:4" ht="13" x14ac:dyDescent="0.15">
      <c r="A253" s="10"/>
      <c r="B253" s="13"/>
      <c r="C253" s="13"/>
      <c r="D253" s="13"/>
    </row>
    <row r="254" spans="1:4" ht="13" x14ac:dyDescent="0.15">
      <c r="A254" s="10"/>
      <c r="B254" s="13"/>
      <c r="C254" s="13"/>
      <c r="D254" s="13"/>
    </row>
    <row r="255" spans="1:4" ht="13" x14ac:dyDescent="0.15">
      <c r="A255" s="10"/>
      <c r="B255" s="13"/>
      <c r="C255" s="13"/>
      <c r="D255" s="13"/>
    </row>
    <row r="256" spans="1:4" ht="13" x14ac:dyDescent="0.15">
      <c r="A256" s="10"/>
      <c r="B256" s="13"/>
      <c r="C256" s="13"/>
      <c r="D256" s="13"/>
    </row>
    <row r="257" spans="1:4" ht="13" x14ac:dyDescent="0.15">
      <c r="A257" s="10"/>
      <c r="B257" s="13"/>
      <c r="C257" s="13"/>
      <c r="D257" s="13"/>
    </row>
    <row r="258" spans="1:4" ht="13" x14ac:dyDescent="0.15">
      <c r="A258" s="10"/>
      <c r="B258" s="13"/>
      <c r="C258" s="13"/>
      <c r="D258" s="13"/>
    </row>
    <row r="259" spans="1:4" ht="13" x14ac:dyDescent="0.15">
      <c r="A259" s="10"/>
      <c r="B259" s="13"/>
      <c r="C259" s="13"/>
      <c r="D259" s="13"/>
    </row>
    <row r="260" spans="1:4" ht="13" x14ac:dyDescent="0.15">
      <c r="A260" s="10"/>
      <c r="B260" s="13"/>
      <c r="C260" s="13"/>
      <c r="D260" s="13"/>
    </row>
    <row r="261" spans="1:4" ht="13" x14ac:dyDescent="0.15">
      <c r="A261" s="10"/>
      <c r="B261" s="13"/>
      <c r="C261" s="13"/>
      <c r="D261" s="13"/>
    </row>
    <row r="262" spans="1:4" ht="13" x14ac:dyDescent="0.15">
      <c r="A262" s="10"/>
      <c r="B262" s="13"/>
      <c r="C262" s="13"/>
      <c r="D262" s="13"/>
    </row>
    <row r="263" spans="1:4" ht="13" x14ac:dyDescent="0.15">
      <c r="A263" s="10"/>
      <c r="B263" s="13"/>
      <c r="C263" s="13"/>
      <c r="D263" s="13"/>
    </row>
    <row r="264" spans="1:4" ht="13" x14ac:dyDescent="0.15">
      <c r="A264" s="10"/>
      <c r="B264" s="13"/>
      <c r="C264" s="13"/>
      <c r="D264" s="13"/>
    </row>
    <row r="265" spans="1:4" ht="13" x14ac:dyDescent="0.15">
      <c r="A265" s="10"/>
      <c r="B265" s="13"/>
      <c r="C265" s="13"/>
      <c r="D265" s="13"/>
    </row>
    <row r="266" spans="1:4" ht="13" x14ac:dyDescent="0.15">
      <c r="A266" s="10"/>
      <c r="B266" s="13"/>
      <c r="C266" s="13"/>
      <c r="D266" s="13"/>
    </row>
    <row r="267" spans="1:4" ht="13" x14ac:dyDescent="0.15">
      <c r="A267" s="10"/>
      <c r="B267" s="13"/>
      <c r="C267" s="13"/>
      <c r="D267" s="13"/>
    </row>
    <row r="268" spans="1:4" ht="13" x14ac:dyDescent="0.15">
      <c r="A268" s="10"/>
      <c r="B268" s="13"/>
      <c r="C268" s="13"/>
      <c r="D268" s="13"/>
    </row>
    <row r="269" spans="1:4" ht="13" x14ac:dyDescent="0.15">
      <c r="A269" s="10"/>
      <c r="B269" s="13"/>
      <c r="C269" s="13"/>
      <c r="D269" s="13"/>
    </row>
    <row r="270" spans="1:4" ht="13" x14ac:dyDescent="0.15">
      <c r="A270" s="10"/>
      <c r="B270" s="13"/>
      <c r="C270" s="13"/>
      <c r="D270" s="13"/>
    </row>
    <row r="271" spans="1:4" ht="13" x14ac:dyDescent="0.15">
      <c r="A271" s="10"/>
      <c r="B271" s="13"/>
      <c r="C271" s="13"/>
      <c r="D271" s="13"/>
    </row>
    <row r="272" spans="1:4" ht="13" x14ac:dyDescent="0.15">
      <c r="A272" s="10"/>
      <c r="B272" s="13"/>
      <c r="C272" s="13"/>
      <c r="D272" s="13"/>
    </row>
    <row r="273" spans="1:4" ht="13" x14ac:dyDescent="0.15">
      <c r="A273" s="10"/>
      <c r="B273" s="13"/>
      <c r="C273" s="13"/>
      <c r="D273" s="13"/>
    </row>
    <row r="274" spans="1:4" ht="13" x14ac:dyDescent="0.15">
      <c r="A274" s="10"/>
      <c r="B274" s="13"/>
      <c r="C274" s="13"/>
      <c r="D274" s="13"/>
    </row>
    <row r="275" spans="1:4" ht="13" x14ac:dyDescent="0.15">
      <c r="A275" s="10"/>
      <c r="B275" s="13"/>
      <c r="C275" s="13"/>
      <c r="D275" s="13"/>
    </row>
    <row r="276" spans="1:4" ht="13" x14ac:dyDescent="0.15">
      <c r="A276" s="10"/>
      <c r="B276" s="13"/>
      <c r="C276" s="13"/>
      <c r="D276" s="13"/>
    </row>
    <row r="277" spans="1:4" ht="13" x14ac:dyDescent="0.15">
      <c r="A277" s="10"/>
      <c r="B277" s="13"/>
      <c r="C277" s="13"/>
      <c r="D277" s="13"/>
    </row>
    <row r="278" spans="1:4" ht="13" x14ac:dyDescent="0.15">
      <c r="A278" s="10"/>
      <c r="B278" s="13"/>
      <c r="C278" s="13"/>
      <c r="D278" s="13"/>
    </row>
    <row r="279" spans="1:4" ht="13" x14ac:dyDescent="0.15">
      <c r="A279" s="10"/>
      <c r="B279" s="13"/>
      <c r="C279" s="13"/>
      <c r="D279" s="13"/>
    </row>
    <row r="280" spans="1:4" ht="13" x14ac:dyDescent="0.15">
      <c r="A280" s="10"/>
      <c r="B280" s="13"/>
      <c r="C280" s="13"/>
      <c r="D280" s="13"/>
    </row>
    <row r="281" spans="1:4" ht="13" x14ac:dyDescent="0.15">
      <c r="A281" s="10"/>
      <c r="B281" s="13"/>
      <c r="C281" s="13"/>
      <c r="D281" s="13"/>
    </row>
    <row r="282" spans="1:4" ht="13" x14ac:dyDescent="0.15">
      <c r="A282" s="10"/>
      <c r="B282" s="13"/>
      <c r="C282" s="13"/>
      <c r="D282" s="13"/>
    </row>
    <row r="283" spans="1:4" ht="13" x14ac:dyDescent="0.15">
      <c r="A283" s="10"/>
      <c r="B283" s="13"/>
      <c r="C283" s="13"/>
      <c r="D283" s="13"/>
    </row>
    <row r="284" spans="1:4" ht="13" x14ac:dyDescent="0.15">
      <c r="A284" s="10"/>
      <c r="B284" s="13"/>
      <c r="C284" s="13"/>
      <c r="D284" s="13"/>
    </row>
    <row r="285" spans="1:4" ht="13" x14ac:dyDescent="0.15">
      <c r="A285" s="10"/>
      <c r="B285" s="13"/>
      <c r="C285" s="13"/>
      <c r="D285" s="13"/>
    </row>
    <row r="286" spans="1:4" ht="13" x14ac:dyDescent="0.15">
      <c r="A286" s="10"/>
      <c r="B286" s="13"/>
      <c r="C286" s="13"/>
      <c r="D286" s="13"/>
    </row>
    <row r="287" spans="1:4" ht="13" x14ac:dyDescent="0.15">
      <c r="A287" s="10"/>
      <c r="B287" s="13"/>
      <c r="C287" s="13"/>
      <c r="D287" s="13"/>
    </row>
    <row r="288" spans="1:4" ht="13" x14ac:dyDescent="0.15">
      <c r="A288" s="10"/>
      <c r="B288" s="13"/>
      <c r="C288" s="13"/>
      <c r="D288" s="13"/>
    </row>
    <row r="289" spans="1:4" ht="13" x14ac:dyDescent="0.15">
      <c r="A289" s="10"/>
      <c r="B289" s="13"/>
      <c r="C289" s="13"/>
      <c r="D289" s="13"/>
    </row>
    <row r="290" spans="1:4" ht="13" x14ac:dyDescent="0.15">
      <c r="A290" s="10"/>
      <c r="B290" s="13"/>
      <c r="C290" s="13"/>
      <c r="D290" s="13"/>
    </row>
    <row r="291" spans="1:4" ht="13" x14ac:dyDescent="0.15">
      <c r="A291" s="10"/>
      <c r="B291" s="13"/>
      <c r="C291" s="13"/>
      <c r="D291" s="13"/>
    </row>
    <row r="292" spans="1:4" ht="13" x14ac:dyDescent="0.15">
      <c r="A292" s="10"/>
      <c r="B292" s="13"/>
      <c r="C292" s="13"/>
      <c r="D292" s="13"/>
    </row>
    <row r="293" spans="1:4" ht="13" x14ac:dyDescent="0.15">
      <c r="A293" s="10"/>
      <c r="B293" s="13"/>
      <c r="C293" s="13"/>
      <c r="D293" s="13"/>
    </row>
    <row r="294" spans="1:4" ht="13" x14ac:dyDescent="0.15">
      <c r="A294" s="10"/>
      <c r="B294" s="13"/>
      <c r="C294" s="13"/>
      <c r="D294" s="13"/>
    </row>
    <row r="295" spans="1:4" ht="13" x14ac:dyDescent="0.15">
      <c r="A295" s="10"/>
      <c r="B295" s="13"/>
      <c r="C295" s="13"/>
      <c r="D295" s="13"/>
    </row>
    <row r="296" spans="1:4" ht="13" x14ac:dyDescent="0.15">
      <c r="A296" s="10"/>
      <c r="B296" s="13"/>
      <c r="C296" s="13"/>
      <c r="D296" s="13"/>
    </row>
    <row r="297" spans="1:4" ht="13" x14ac:dyDescent="0.15">
      <c r="A297" s="10"/>
      <c r="B297" s="13"/>
      <c r="C297" s="13"/>
      <c r="D297" s="13"/>
    </row>
    <row r="298" spans="1:4" ht="13" x14ac:dyDescent="0.15">
      <c r="A298" s="10"/>
      <c r="B298" s="13"/>
      <c r="C298" s="13"/>
      <c r="D298" s="13"/>
    </row>
    <row r="299" spans="1:4" ht="13" x14ac:dyDescent="0.15">
      <c r="A299" s="10"/>
      <c r="B299" s="13"/>
      <c r="C299" s="13"/>
      <c r="D299" s="13"/>
    </row>
    <row r="300" spans="1:4" ht="13" x14ac:dyDescent="0.15">
      <c r="A300" s="10"/>
      <c r="B300" s="13"/>
      <c r="C300" s="13"/>
      <c r="D300" s="13"/>
    </row>
    <row r="301" spans="1:4" ht="13" x14ac:dyDescent="0.15">
      <c r="A301" s="10"/>
      <c r="B301" s="13"/>
      <c r="C301" s="13"/>
      <c r="D301" s="13"/>
    </row>
    <row r="302" spans="1:4" ht="13" x14ac:dyDescent="0.15">
      <c r="A302" s="10"/>
      <c r="B302" s="13"/>
      <c r="C302" s="13"/>
      <c r="D302" s="13"/>
    </row>
    <row r="303" spans="1:4" ht="13" x14ac:dyDescent="0.15">
      <c r="A303" s="10"/>
      <c r="B303" s="13"/>
      <c r="C303" s="13"/>
      <c r="D303" s="13"/>
    </row>
    <row r="304" spans="1:4" ht="13" x14ac:dyDescent="0.15">
      <c r="A304" s="10"/>
      <c r="B304" s="13"/>
      <c r="C304" s="13"/>
      <c r="D304" s="13"/>
    </row>
    <row r="305" spans="1:4" ht="13" x14ac:dyDescent="0.15">
      <c r="A305" s="10"/>
      <c r="B305" s="13"/>
      <c r="C305" s="13"/>
      <c r="D305" s="13"/>
    </row>
    <row r="306" spans="1:4" ht="13" x14ac:dyDescent="0.15">
      <c r="A306" s="10"/>
      <c r="B306" s="13"/>
      <c r="C306" s="13"/>
      <c r="D306" s="13"/>
    </row>
    <row r="307" spans="1:4" ht="13" x14ac:dyDescent="0.15">
      <c r="A307" s="10"/>
      <c r="B307" s="13"/>
      <c r="C307" s="13"/>
      <c r="D307" s="13"/>
    </row>
    <row r="308" spans="1:4" ht="13" x14ac:dyDescent="0.15">
      <c r="A308" s="10"/>
      <c r="B308" s="13"/>
      <c r="C308" s="13"/>
      <c r="D308" s="13"/>
    </row>
    <row r="309" spans="1:4" ht="13" x14ac:dyDescent="0.15">
      <c r="A309" s="10"/>
      <c r="B309" s="13"/>
      <c r="C309" s="13"/>
      <c r="D309" s="13"/>
    </row>
    <row r="310" spans="1:4" ht="13" x14ac:dyDescent="0.15">
      <c r="A310" s="10"/>
      <c r="B310" s="13"/>
      <c r="C310" s="13"/>
      <c r="D310" s="13"/>
    </row>
    <row r="311" spans="1:4" ht="13" x14ac:dyDescent="0.15">
      <c r="A311" s="10"/>
      <c r="B311" s="13"/>
      <c r="C311" s="13"/>
      <c r="D311" s="13"/>
    </row>
    <row r="312" spans="1:4" ht="13" x14ac:dyDescent="0.15">
      <c r="A312" s="10"/>
      <c r="B312" s="13"/>
      <c r="C312" s="13"/>
      <c r="D312" s="13"/>
    </row>
    <row r="313" spans="1:4" ht="13" x14ac:dyDescent="0.15">
      <c r="A313" s="10"/>
      <c r="B313" s="13"/>
      <c r="C313" s="13"/>
      <c r="D313" s="13"/>
    </row>
    <row r="314" spans="1:4" ht="13" x14ac:dyDescent="0.15">
      <c r="A314" s="10"/>
      <c r="B314" s="13"/>
      <c r="C314" s="13"/>
      <c r="D314" s="13"/>
    </row>
    <row r="315" spans="1:4" ht="13" x14ac:dyDescent="0.15">
      <c r="A315" s="10"/>
      <c r="B315" s="13"/>
      <c r="C315" s="13"/>
      <c r="D315" s="13"/>
    </row>
    <row r="316" spans="1:4" ht="13" x14ac:dyDescent="0.15">
      <c r="A316" s="10"/>
      <c r="B316" s="13"/>
      <c r="C316" s="13"/>
      <c r="D316" s="13"/>
    </row>
    <row r="317" spans="1:4" ht="13" x14ac:dyDescent="0.15">
      <c r="A317" s="10"/>
      <c r="B317" s="13"/>
      <c r="C317" s="13"/>
      <c r="D317" s="13"/>
    </row>
    <row r="318" spans="1:4" ht="13" x14ac:dyDescent="0.15">
      <c r="A318" s="10"/>
      <c r="B318" s="13"/>
      <c r="C318" s="13"/>
      <c r="D318" s="13"/>
    </row>
    <row r="319" spans="1:4" ht="13" x14ac:dyDescent="0.15">
      <c r="A319" s="10"/>
      <c r="B319" s="13"/>
      <c r="C319" s="13"/>
      <c r="D319" s="13"/>
    </row>
    <row r="320" spans="1:4" ht="13" x14ac:dyDescent="0.15">
      <c r="A320" s="10"/>
      <c r="B320" s="13"/>
      <c r="C320" s="13"/>
      <c r="D320" s="13"/>
    </row>
    <row r="321" spans="1:4" ht="13" x14ac:dyDescent="0.15">
      <c r="A321" s="10"/>
      <c r="B321" s="13"/>
      <c r="C321" s="13"/>
      <c r="D321" s="13"/>
    </row>
    <row r="322" spans="1:4" ht="13" x14ac:dyDescent="0.15">
      <c r="A322" s="10"/>
      <c r="B322" s="13"/>
      <c r="C322" s="13"/>
      <c r="D322" s="13"/>
    </row>
    <row r="323" spans="1:4" ht="13" x14ac:dyDescent="0.15">
      <c r="A323" s="10"/>
      <c r="B323" s="13"/>
      <c r="C323" s="13"/>
      <c r="D323" s="13"/>
    </row>
    <row r="324" spans="1:4" ht="13" x14ac:dyDescent="0.15">
      <c r="A324" s="10"/>
      <c r="B324" s="13"/>
      <c r="C324" s="13"/>
      <c r="D324" s="13"/>
    </row>
    <row r="325" spans="1:4" ht="13" x14ac:dyDescent="0.15">
      <c r="A325" s="10"/>
      <c r="B325" s="13"/>
      <c r="C325" s="13"/>
      <c r="D325" s="13"/>
    </row>
    <row r="326" spans="1:4" ht="13" x14ac:dyDescent="0.15">
      <c r="A326" s="10"/>
      <c r="B326" s="13"/>
      <c r="C326" s="13"/>
      <c r="D326" s="13"/>
    </row>
    <row r="327" spans="1:4" ht="13" x14ac:dyDescent="0.15">
      <c r="A327" s="10"/>
      <c r="B327" s="13"/>
      <c r="C327" s="13"/>
      <c r="D327" s="13"/>
    </row>
    <row r="328" spans="1:4" ht="13" x14ac:dyDescent="0.15">
      <c r="A328" s="10"/>
      <c r="B328" s="13"/>
      <c r="C328" s="13"/>
      <c r="D328" s="13"/>
    </row>
    <row r="329" spans="1:4" ht="13" x14ac:dyDescent="0.15">
      <c r="A329" s="10"/>
      <c r="B329" s="13"/>
      <c r="C329" s="13"/>
      <c r="D329" s="13"/>
    </row>
    <row r="330" spans="1:4" ht="13" x14ac:dyDescent="0.15">
      <c r="A330" s="10"/>
      <c r="B330" s="13"/>
      <c r="C330" s="13"/>
      <c r="D330" s="13"/>
    </row>
    <row r="331" spans="1:4" ht="13" x14ac:dyDescent="0.15">
      <c r="A331" s="10"/>
      <c r="B331" s="13"/>
      <c r="C331" s="13"/>
      <c r="D331" s="13"/>
    </row>
    <row r="332" spans="1:4" ht="13" x14ac:dyDescent="0.15">
      <c r="A332" s="10"/>
      <c r="B332" s="13"/>
      <c r="C332" s="13"/>
      <c r="D332" s="13"/>
    </row>
    <row r="333" spans="1:4" ht="13" x14ac:dyDescent="0.15">
      <c r="A333" s="10"/>
      <c r="B333" s="13"/>
      <c r="C333" s="13"/>
      <c r="D333" s="13"/>
    </row>
    <row r="334" spans="1:4" ht="13" x14ac:dyDescent="0.15">
      <c r="A334" s="10"/>
      <c r="B334" s="13"/>
      <c r="C334" s="13"/>
      <c r="D334" s="13"/>
    </row>
    <row r="335" spans="1:4" ht="13" x14ac:dyDescent="0.15">
      <c r="A335" s="10"/>
      <c r="B335" s="13"/>
      <c r="C335" s="13"/>
      <c r="D335" s="13"/>
    </row>
    <row r="336" spans="1:4" ht="13" x14ac:dyDescent="0.15">
      <c r="A336" s="10"/>
      <c r="B336" s="13"/>
      <c r="C336" s="13"/>
      <c r="D336" s="13"/>
    </row>
    <row r="337" spans="1:4" ht="13" x14ac:dyDescent="0.15">
      <c r="A337" s="10"/>
      <c r="B337" s="13"/>
      <c r="C337" s="13"/>
      <c r="D337" s="13"/>
    </row>
    <row r="338" spans="1:4" ht="13" x14ac:dyDescent="0.15">
      <c r="A338" s="10"/>
      <c r="B338" s="13"/>
      <c r="C338" s="13"/>
      <c r="D338" s="13"/>
    </row>
    <row r="339" spans="1:4" ht="13" x14ac:dyDescent="0.15">
      <c r="A339" s="10"/>
      <c r="B339" s="13"/>
      <c r="C339" s="13"/>
      <c r="D339" s="13"/>
    </row>
    <row r="340" spans="1:4" ht="13" x14ac:dyDescent="0.15">
      <c r="A340" s="10"/>
      <c r="B340" s="13"/>
      <c r="C340" s="13"/>
      <c r="D340" s="13"/>
    </row>
    <row r="341" spans="1:4" ht="13" x14ac:dyDescent="0.15">
      <c r="A341" s="10"/>
      <c r="B341" s="13"/>
      <c r="C341" s="13"/>
      <c r="D341" s="13"/>
    </row>
    <row r="342" spans="1:4" ht="13" x14ac:dyDescent="0.15">
      <c r="A342" s="10"/>
      <c r="B342" s="13"/>
      <c r="C342" s="13"/>
      <c r="D342" s="13"/>
    </row>
    <row r="343" spans="1:4" ht="13" x14ac:dyDescent="0.15">
      <c r="A343" s="10"/>
      <c r="B343" s="13"/>
      <c r="C343" s="13"/>
      <c r="D343" s="13"/>
    </row>
    <row r="344" spans="1:4" ht="13" x14ac:dyDescent="0.15">
      <c r="A344" s="10"/>
      <c r="B344" s="13"/>
      <c r="C344" s="13"/>
      <c r="D344" s="13"/>
    </row>
    <row r="345" spans="1:4" ht="13" x14ac:dyDescent="0.15">
      <c r="A345" s="10"/>
      <c r="B345" s="13"/>
      <c r="C345" s="13"/>
      <c r="D345" s="13"/>
    </row>
    <row r="346" spans="1:4" ht="13" x14ac:dyDescent="0.15">
      <c r="A346" s="10"/>
      <c r="B346" s="13"/>
      <c r="C346" s="13"/>
      <c r="D346" s="13"/>
    </row>
    <row r="347" spans="1:4" ht="13" x14ac:dyDescent="0.15">
      <c r="A347" s="10"/>
      <c r="B347" s="13"/>
      <c r="C347" s="13"/>
      <c r="D347" s="13"/>
    </row>
    <row r="348" spans="1:4" ht="13" x14ac:dyDescent="0.15">
      <c r="A348" s="10"/>
      <c r="B348" s="13"/>
      <c r="C348" s="13"/>
      <c r="D348" s="13"/>
    </row>
    <row r="349" spans="1:4" ht="13" x14ac:dyDescent="0.15">
      <c r="A349" s="10"/>
      <c r="B349" s="13"/>
      <c r="C349" s="13"/>
      <c r="D349" s="13"/>
    </row>
    <row r="350" spans="1:4" ht="13" x14ac:dyDescent="0.15">
      <c r="A350" s="10"/>
      <c r="B350" s="13"/>
      <c r="C350" s="13"/>
      <c r="D350" s="13"/>
    </row>
    <row r="351" spans="1:4" ht="13" x14ac:dyDescent="0.15">
      <c r="A351" s="10"/>
      <c r="B351" s="13"/>
      <c r="C351" s="13"/>
      <c r="D351" s="13"/>
    </row>
    <row r="352" spans="1:4" ht="13" x14ac:dyDescent="0.15">
      <c r="A352" s="10"/>
      <c r="B352" s="13"/>
      <c r="C352" s="13"/>
      <c r="D352" s="13"/>
    </row>
    <row r="353" spans="1:4" ht="13" x14ac:dyDescent="0.15">
      <c r="A353" s="10"/>
      <c r="B353" s="13"/>
      <c r="C353" s="13"/>
      <c r="D353" s="13"/>
    </row>
    <row r="354" spans="1:4" ht="13" x14ac:dyDescent="0.15">
      <c r="A354" s="10"/>
      <c r="B354" s="13"/>
      <c r="C354" s="13"/>
      <c r="D354" s="13"/>
    </row>
    <row r="355" spans="1:4" ht="13" x14ac:dyDescent="0.15">
      <c r="A355" s="10"/>
      <c r="B355" s="13"/>
      <c r="C355" s="13"/>
      <c r="D355" s="13"/>
    </row>
    <row r="356" spans="1:4" ht="13" x14ac:dyDescent="0.15">
      <c r="A356" s="10"/>
      <c r="B356" s="13"/>
      <c r="C356" s="13"/>
      <c r="D356" s="13"/>
    </row>
    <row r="357" spans="1:4" ht="13" x14ac:dyDescent="0.15">
      <c r="A357" s="10"/>
      <c r="B357" s="13"/>
      <c r="C357" s="13"/>
      <c r="D357" s="13"/>
    </row>
    <row r="358" spans="1:4" ht="13" x14ac:dyDescent="0.15">
      <c r="A358" s="10"/>
      <c r="B358" s="13"/>
      <c r="C358" s="13"/>
      <c r="D358" s="13"/>
    </row>
    <row r="359" spans="1:4" ht="13" x14ac:dyDescent="0.15">
      <c r="A359" s="10"/>
      <c r="B359" s="13"/>
      <c r="C359" s="13"/>
      <c r="D359" s="13"/>
    </row>
    <row r="360" spans="1:4" ht="13" x14ac:dyDescent="0.15">
      <c r="A360" s="10"/>
      <c r="B360" s="13"/>
      <c r="C360" s="13"/>
      <c r="D360" s="13"/>
    </row>
    <row r="361" spans="1:4" ht="13" x14ac:dyDescent="0.15">
      <c r="A361" s="10"/>
      <c r="B361" s="13"/>
      <c r="C361" s="13"/>
      <c r="D361" s="13"/>
    </row>
    <row r="362" spans="1:4" ht="13" x14ac:dyDescent="0.15">
      <c r="A362" s="10"/>
      <c r="B362" s="13"/>
      <c r="C362" s="13"/>
      <c r="D362" s="13"/>
    </row>
    <row r="363" spans="1:4" ht="13" x14ac:dyDescent="0.15">
      <c r="A363" s="10"/>
      <c r="B363" s="13"/>
      <c r="C363" s="13"/>
      <c r="D363" s="13"/>
    </row>
    <row r="364" spans="1:4" ht="13" x14ac:dyDescent="0.15">
      <c r="A364" s="10"/>
      <c r="B364" s="13"/>
      <c r="C364" s="13"/>
      <c r="D364" s="13"/>
    </row>
    <row r="365" spans="1:4" ht="13" x14ac:dyDescent="0.15">
      <c r="A365" s="10"/>
      <c r="B365" s="13"/>
      <c r="C365" s="13"/>
      <c r="D365" s="13"/>
    </row>
    <row r="366" spans="1:4" ht="13" x14ac:dyDescent="0.15">
      <c r="A366" s="10"/>
      <c r="B366" s="13"/>
      <c r="C366" s="13"/>
      <c r="D366" s="13"/>
    </row>
    <row r="367" spans="1:4" ht="13" x14ac:dyDescent="0.15">
      <c r="A367" s="10"/>
      <c r="B367" s="13"/>
      <c r="C367" s="13"/>
      <c r="D367" s="13"/>
    </row>
    <row r="368" spans="1:4" ht="13" x14ac:dyDescent="0.15">
      <c r="A368" s="10"/>
      <c r="B368" s="13"/>
      <c r="C368" s="13"/>
      <c r="D368" s="13"/>
    </row>
    <row r="369" spans="1:4" ht="13" x14ac:dyDescent="0.15">
      <c r="A369" s="10"/>
      <c r="B369" s="13"/>
      <c r="C369" s="13"/>
      <c r="D369" s="13"/>
    </row>
    <row r="370" spans="1:4" ht="13" x14ac:dyDescent="0.15">
      <c r="A370" s="10"/>
      <c r="B370" s="13"/>
      <c r="C370" s="13"/>
      <c r="D370" s="13"/>
    </row>
    <row r="371" spans="1:4" ht="13" x14ac:dyDescent="0.15">
      <c r="A371" s="10"/>
      <c r="B371" s="13"/>
      <c r="C371" s="13"/>
      <c r="D371" s="13"/>
    </row>
    <row r="372" spans="1:4" ht="13" x14ac:dyDescent="0.15">
      <c r="A372" s="10"/>
      <c r="B372" s="13"/>
      <c r="C372" s="13"/>
      <c r="D372" s="13"/>
    </row>
    <row r="373" spans="1:4" ht="13" x14ac:dyDescent="0.15">
      <c r="A373" s="10"/>
      <c r="B373" s="13"/>
      <c r="C373" s="13"/>
      <c r="D373" s="13"/>
    </row>
    <row r="374" spans="1:4" ht="13" x14ac:dyDescent="0.15">
      <c r="A374" s="10"/>
      <c r="B374" s="13"/>
      <c r="C374" s="13"/>
      <c r="D374" s="13"/>
    </row>
    <row r="375" spans="1:4" ht="13" x14ac:dyDescent="0.15">
      <c r="A375" s="10"/>
      <c r="B375" s="13"/>
      <c r="C375" s="13"/>
      <c r="D375" s="13"/>
    </row>
    <row r="376" spans="1:4" ht="13" x14ac:dyDescent="0.15">
      <c r="A376" s="10"/>
      <c r="B376" s="13"/>
      <c r="C376" s="13"/>
      <c r="D376" s="13"/>
    </row>
    <row r="377" spans="1:4" ht="13" x14ac:dyDescent="0.15">
      <c r="A377" s="10"/>
      <c r="B377" s="13"/>
      <c r="C377" s="13"/>
      <c r="D377" s="13"/>
    </row>
    <row r="378" spans="1:4" ht="13" x14ac:dyDescent="0.15">
      <c r="A378" s="10"/>
      <c r="B378" s="13"/>
      <c r="C378" s="13"/>
      <c r="D378" s="13"/>
    </row>
    <row r="379" spans="1:4" ht="13" x14ac:dyDescent="0.15">
      <c r="A379" s="10"/>
      <c r="B379" s="13"/>
      <c r="C379" s="13"/>
      <c r="D379" s="13"/>
    </row>
    <row r="380" spans="1:4" ht="13" x14ac:dyDescent="0.15">
      <c r="A380" s="10"/>
      <c r="B380" s="13"/>
      <c r="C380" s="13"/>
      <c r="D380" s="13"/>
    </row>
    <row r="381" spans="1:4" ht="13" x14ac:dyDescent="0.15">
      <c r="A381" s="10"/>
      <c r="B381" s="13"/>
      <c r="C381" s="13"/>
      <c r="D381" s="13"/>
    </row>
    <row r="382" spans="1:4" ht="13" x14ac:dyDescent="0.15">
      <c r="A382" s="10"/>
      <c r="B382" s="13"/>
      <c r="C382" s="13"/>
      <c r="D382" s="13"/>
    </row>
    <row r="383" spans="1:4" ht="13" x14ac:dyDescent="0.15">
      <c r="A383" s="10"/>
      <c r="B383" s="13"/>
      <c r="C383" s="13"/>
      <c r="D383" s="13"/>
    </row>
    <row r="384" spans="1:4" ht="13" x14ac:dyDescent="0.15">
      <c r="A384" s="10"/>
      <c r="B384" s="13"/>
      <c r="C384" s="13"/>
      <c r="D384" s="13"/>
    </row>
    <row r="385" spans="1:4" ht="13" x14ac:dyDescent="0.15">
      <c r="A385" s="10"/>
      <c r="B385" s="13"/>
      <c r="C385" s="13"/>
      <c r="D385" s="13"/>
    </row>
    <row r="386" spans="1:4" ht="13" x14ac:dyDescent="0.15">
      <c r="A386" s="10"/>
      <c r="B386" s="13"/>
      <c r="C386" s="13"/>
      <c r="D386" s="13"/>
    </row>
    <row r="387" spans="1:4" ht="13" x14ac:dyDescent="0.15">
      <c r="A387" s="10"/>
      <c r="B387" s="13"/>
      <c r="C387" s="13"/>
      <c r="D387" s="13"/>
    </row>
    <row r="388" spans="1:4" ht="13" x14ac:dyDescent="0.15">
      <c r="A388" s="10"/>
      <c r="B388" s="13"/>
      <c r="C388" s="13"/>
      <c r="D388" s="13"/>
    </row>
    <row r="389" spans="1:4" ht="13" x14ac:dyDescent="0.15">
      <c r="A389" s="10"/>
      <c r="B389" s="13"/>
      <c r="C389" s="13"/>
      <c r="D389" s="13"/>
    </row>
    <row r="390" spans="1:4" ht="13" x14ac:dyDescent="0.15">
      <c r="A390" s="10"/>
      <c r="B390" s="13"/>
      <c r="C390" s="13"/>
      <c r="D390" s="13"/>
    </row>
    <row r="391" spans="1:4" ht="13" x14ac:dyDescent="0.15">
      <c r="A391" s="10"/>
      <c r="B391" s="13"/>
      <c r="C391" s="13"/>
      <c r="D391" s="13"/>
    </row>
    <row r="392" spans="1:4" ht="13" x14ac:dyDescent="0.15">
      <c r="A392" s="10"/>
      <c r="B392" s="13"/>
      <c r="C392" s="13"/>
      <c r="D392" s="13"/>
    </row>
    <row r="393" spans="1:4" ht="13" x14ac:dyDescent="0.15">
      <c r="A393" s="10"/>
      <c r="B393" s="13"/>
      <c r="C393" s="13"/>
      <c r="D393" s="13"/>
    </row>
    <row r="394" spans="1:4" ht="13" x14ac:dyDescent="0.15">
      <c r="A394" s="10"/>
      <c r="B394" s="13"/>
      <c r="C394" s="13"/>
      <c r="D394" s="13"/>
    </row>
    <row r="395" spans="1:4" ht="13" x14ac:dyDescent="0.15">
      <c r="A395" s="10"/>
      <c r="B395" s="13"/>
      <c r="C395" s="13"/>
      <c r="D395" s="13"/>
    </row>
    <row r="396" spans="1:4" ht="13" x14ac:dyDescent="0.15">
      <c r="A396" s="10"/>
      <c r="B396" s="13"/>
      <c r="C396" s="13"/>
      <c r="D396" s="13"/>
    </row>
    <row r="397" spans="1:4" ht="13" x14ac:dyDescent="0.15">
      <c r="A397" s="10"/>
      <c r="B397" s="13"/>
      <c r="C397" s="13"/>
      <c r="D397" s="13"/>
    </row>
    <row r="398" spans="1:4" ht="13" x14ac:dyDescent="0.15">
      <c r="A398" s="10"/>
      <c r="B398" s="13"/>
      <c r="C398" s="13"/>
      <c r="D398" s="13"/>
    </row>
    <row r="399" spans="1:4" ht="13" x14ac:dyDescent="0.15">
      <c r="A399" s="10"/>
      <c r="B399" s="13"/>
      <c r="C399" s="13"/>
      <c r="D399" s="13"/>
    </row>
    <row r="400" spans="1:4" ht="13" x14ac:dyDescent="0.15">
      <c r="A400" s="10"/>
      <c r="B400" s="13"/>
      <c r="C400" s="13"/>
      <c r="D400" s="13"/>
    </row>
    <row r="401" spans="1:4" ht="13" x14ac:dyDescent="0.15">
      <c r="A401" s="10"/>
      <c r="B401" s="13"/>
      <c r="C401" s="13"/>
      <c r="D401" s="13"/>
    </row>
    <row r="402" spans="1:4" ht="13" x14ac:dyDescent="0.15">
      <c r="A402" s="10"/>
      <c r="B402" s="13"/>
      <c r="C402" s="13"/>
      <c r="D402" s="13"/>
    </row>
    <row r="403" spans="1:4" ht="13" x14ac:dyDescent="0.15">
      <c r="A403" s="10"/>
      <c r="B403" s="13"/>
      <c r="C403" s="13"/>
      <c r="D403" s="13"/>
    </row>
    <row r="404" spans="1:4" ht="13" x14ac:dyDescent="0.15">
      <c r="A404" s="10"/>
      <c r="B404" s="13"/>
      <c r="C404" s="13"/>
      <c r="D404" s="13"/>
    </row>
    <row r="405" spans="1:4" ht="13" x14ac:dyDescent="0.15">
      <c r="A405" s="10"/>
      <c r="B405" s="13"/>
      <c r="C405" s="13"/>
      <c r="D405" s="13"/>
    </row>
    <row r="406" spans="1:4" ht="13" x14ac:dyDescent="0.15">
      <c r="A406" s="10"/>
      <c r="B406" s="13"/>
      <c r="C406" s="13"/>
      <c r="D406" s="13"/>
    </row>
    <row r="407" spans="1:4" ht="13" x14ac:dyDescent="0.15">
      <c r="A407" s="10"/>
      <c r="B407" s="13"/>
      <c r="C407" s="13"/>
      <c r="D407" s="13"/>
    </row>
    <row r="408" spans="1:4" ht="13" x14ac:dyDescent="0.15">
      <c r="A408" s="10"/>
      <c r="B408" s="13"/>
      <c r="C408" s="13"/>
      <c r="D408" s="13"/>
    </row>
    <row r="409" spans="1:4" ht="13" x14ac:dyDescent="0.15">
      <c r="A409" s="10"/>
      <c r="B409" s="13"/>
      <c r="C409" s="13"/>
      <c r="D409" s="13"/>
    </row>
    <row r="410" spans="1:4" ht="13" x14ac:dyDescent="0.15">
      <c r="A410" s="10"/>
      <c r="B410" s="13"/>
      <c r="C410" s="13"/>
      <c r="D410" s="13"/>
    </row>
    <row r="411" spans="1:4" ht="13" x14ac:dyDescent="0.15">
      <c r="A411" s="10"/>
      <c r="B411" s="13"/>
      <c r="C411" s="13"/>
      <c r="D411" s="13"/>
    </row>
    <row r="412" spans="1:4" ht="13" x14ac:dyDescent="0.15">
      <c r="A412" s="10"/>
      <c r="B412" s="13"/>
      <c r="C412" s="13"/>
      <c r="D412" s="13"/>
    </row>
    <row r="413" spans="1:4" ht="13" x14ac:dyDescent="0.15">
      <c r="A413" s="10"/>
      <c r="B413" s="13"/>
      <c r="C413" s="13"/>
      <c r="D413" s="13"/>
    </row>
    <row r="414" spans="1:4" ht="13" x14ac:dyDescent="0.15">
      <c r="A414" s="10"/>
      <c r="B414" s="13"/>
      <c r="C414" s="13"/>
      <c r="D414" s="13"/>
    </row>
    <row r="415" spans="1:4" ht="13" x14ac:dyDescent="0.15">
      <c r="A415" s="10"/>
      <c r="B415" s="13"/>
      <c r="C415" s="13"/>
      <c r="D415" s="13"/>
    </row>
    <row r="416" spans="1:4" ht="13" x14ac:dyDescent="0.15">
      <c r="A416" s="10"/>
      <c r="B416" s="13"/>
      <c r="C416" s="13"/>
      <c r="D416" s="13"/>
    </row>
    <row r="417" spans="1:4" ht="13" x14ac:dyDescent="0.15">
      <c r="A417" s="10"/>
      <c r="B417" s="13"/>
      <c r="C417" s="13"/>
      <c r="D417" s="13"/>
    </row>
    <row r="418" spans="1:4" ht="13" x14ac:dyDescent="0.15">
      <c r="A418" s="10"/>
      <c r="B418" s="13"/>
      <c r="C418" s="13"/>
      <c r="D418" s="13"/>
    </row>
    <row r="419" spans="1:4" ht="13" x14ac:dyDescent="0.15">
      <c r="A419" s="10"/>
      <c r="B419" s="13"/>
      <c r="C419" s="13"/>
      <c r="D419" s="13"/>
    </row>
    <row r="420" spans="1:4" ht="13" x14ac:dyDescent="0.15">
      <c r="A420" s="10"/>
      <c r="B420" s="13"/>
      <c r="C420" s="13"/>
      <c r="D420" s="13"/>
    </row>
    <row r="421" spans="1:4" ht="13" x14ac:dyDescent="0.15">
      <c r="A421" s="10"/>
      <c r="B421" s="13"/>
      <c r="C421" s="13"/>
      <c r="D421" s="13"/>
    </row>
    <row r="422" spans="1:4" ht="13" x14ac:dyDescent="0.15">
      <c r="A422" s="10"/>
      <c r="B422" s="13"/>
      <c r="C422" s="13"/>
      <c r="D422" s="13"/>
    </row>
    <row r="423" spans="1:4" ht="13" x14ac:dyDescent="0.15">
      <c r="A423" s="10"/>
      <c r="B423" s="13"/>
      <c r="C423" s="13"/>
      <c r="D423" s="13"/>
    </row>
    <row r="424" spans="1:4" ht="13" x14ac:dyDescent="0.15">
      <c r="A424" s="10"/>
      <c r="B424" s="13"/>
      <c r="C424" s="13"/>
      <c r="D424" s="13"/>
    </row>
    <row r="425" spans="1:4" ht="13" x14ac:dyDescent="0.15">
      <c r="A425" s="10"/>
      <c r="B425" s="13"/>
      <c r="C425" s="13"/>
      <c r="D425" s="13"/>
    </row>
    <row r="426" spans="1:4" ht="13" x14ac:dyDescent="0.15">
      <c r="A426" s="10"/>
      <c r="B426" s="13"/>
      <c r="C426" s="13"/>
      <c r="D426" s="13"/>
    </row>
    <row r="427" spans="1:4" ht="13" x14ac:dyDescent="0.15">
      <c r="A427" s="10"/>
      <c r="B427" s="13"/>
      <c r="C427" s="13"/>
      <c r="D427" s="13"/>
    </row>
    <row r="428" spans="1:4" ht="13" x14ac:dyDescent="0.15">
      <c r="A428" s="10"/>
      <c r="B428" s="13"/>
      <c r="C428" s="13"/>
      <c r="D428" s="13"/>
    </row>
    <row r="429" spans="1:4" ht="13" x14ac:dyDescent="0.15">
      <c r="A429" s="10"/>
      <c r="B429" s="13"/>
      <c r="C429" s="13"/>
      <c r="D429" s="13"/>
    </row>
    <row r="430" spans="1:4" ht="13" x14ac:dyDescent="0.15">
      <c r="A430" s="10"/>
      <c r="B430" s="13"/>
      <c r="C430" s="13"/>
      <c r="D430" s="13"/>
    </row>
    <row r="431" spans="1:4" ht="13" x14ac:dyDescent="0.15">
      <c r="A431" s="10"/>
      <c r="B431" s="13"/>
      <c r="C431" s="13"/>
      <c r="D431" s="13"/>
    </row>
    <row r="432" spans="1:4" ht="13" x14ac:dyDescent="0.15">
      <c r="A432" s="10"/>
      <c r="B432" s="13"/>
      <c r="C432" s="13"/>
      <c r="D432" s="13"/>
    </row>
    <row r="433" spans="1:4" ht="13" x14ac:dyDescent="0.15">
      <c r="A433" s="10"/>
      <c r="B433" s="13"/>
      <c r="C433" s="13"/>
      <c r="D433" s="13"/>
    </row>
    <row r="434" spans="1:4" ht="13" x14ac:dyDescent="0.15">
      <c r="A434" s="10"/>
      <c r="B434" s="13"/>
      <c r="C434" s="13"/>
      <c r="D434" s="13"/>
    </row>
    <row r="435" spans="1:4" ht="13" x14ac:dyDescent="0.15">
      <c r="A435" s="10"/>
      <c r="B435" s="13"/>
      <c r="C435" s="13"/>
      <c r="D435" s="13"/>
    </row>
    <row r="436" spans="1:4" ht="13" x14ac:dyDescent="0.15">
      <c r="A436" s="10"/>
      <c r="B436" s="13"/>
      <c r="C436" s="13"/>
      <c r="D436" s="13"/>
    </row>
    <row r="437" spans="1:4" ht="13" x14ac:dyDescent="0.15">
      <c r="A437" s="10"/>
      <c r="B437" s="13"/>
      <c r="C437" s="13"/>
      <c r="D437" s="13"/>
    </row>
    <row r="438" spans="1:4" ht="13" x14ac:dyDescent="0.15">
      <c r="A438" s="10"/>
      <c r="B438" s="13"/>
      <c r="C438" s="13"/>
      <c r="D438" s="13"/>
    </row>
    <row r="439" spans="1:4" ht="13" x14ac:dyDescent="0.15">
      <c r="A439" s="10"/>
      <c r="B439" s="13"/>
      <c r="C439" s="13"/>
      <c r="D439" s="13"/>
    </row>
    <row r="440" spans="1:4" ht="13" x14ac:dyDescent="0.15">
      <c r="A440" s="10"/>
      <c r="B440" s="13"/>
      <c r="C440" s="13"/>
      <c r="D440" s="13"/>
    </row>
    <row r="441" spans="1:4" ht="13" x14ac:dyDescent="0.15">
      <c r="A441" s="10"/>
      <c r="B441" s="13"/>
      <c r="C441" s="13"/>
      <c r="D441" s="13"/>
    </row>
    <row r="442" spans="1:4" ht="13" x14ac:dyDescent="0.15">
      <c r="A442" s="10"/>
      <c r="B442" s="13"/>
      <c r="C442" s="13"/>
      <c r="D442" s="13"/>
    </row>
    <row r="443" spans="1:4" ht="13" x14ac:dyDescent="0.15">
      <c r="A443" s="10"/>
      <c r="B443" s="13"/>
      <c r="C443" s="13"/>
      <c r="D443" s="13"/>
    </row>
    <row r="444" spans="1:4" ht="13" x14ac:dyDescent="0.15">
      <c r="A444" s="10"/>
      <c r="B444" s="13"/>
      <c r="C444" s="13"/>
      <c r="D444" s="13"/>
    </row>
    <row r="445" spans="1:4" ht="13" x14ac:dyDescent="0.15">
      <c r="A445" s="10"/>
      <c r="B445" s="13"/>
      <c r="C445" s="13"/>
      <c r="D445" s="13"/>
    </row>
    <row r="446" spans="1:4" ht="13" x14ac:dyDescent="0.15">
      <c r="A446" s="10"/>
      <c r="B446" s="13"/>
      <c r="C446" s="13"/>
      <c r="D446" s="13"/>
    </row>
    <row r="447" spans="1:4" ht="13" x14ac:dyDescent="0.15">
      <c r="A447" s="10"/>
      <c r="B447" s="13"/>
      <c r="C447" s="13"/>
      <c r="D447" s="13"/>
    </row>
    <row r="448" spans="1:4" ht="13" x14ac:dyDescent="0.15">
      <c r="A448" s="10"/>
      <c r="B448" s="13"/>
      <c r="C448" s="13"/>
      <c r="D448" s="13"/>
    </row>
    <row r="449" spans="1:4" ht="13" x14ac:dyDescent="0.15">
      <c r="A449" s="10"/>
      <c r="B449" s="13"/>
      <c r="C449" s="13"/>
      <c r="D449" s="13"/>
    </row>
    <row r="450" spans="1:4" ht="13" x14ac:dyDescent="0.15">
      <c r="A450" s="10"/>
      <c r="B450" s="13"/>
      <c r="C450" s="13"/>
      <c r="D450" s="13"/>
    </row>
    <row r="451" spans="1:4" ht="13" x14ac:dyDescent="0.15">
      <c r="A451" s="10"/>
      <c r="B451" s="13"/>
      <c r="C451" s="13"/>
      <c r="D451" s="13"/>
    </row>
    <row r="452" spans="1:4" ht="13" x14ac:dyDescent="0.15">
      <c r="A452" s="10"/>
      <c r="B452" s="13"/>
      <c r="C452" s="13"/>
      <c r="D452" s="13"/>
    </row>
    <row r="453" spans="1:4" ht="13" x14ac:dyDescent="0.15">
      <c r="A453" s="10"/>
      <c r="B453" s="13"/>
      <c r="C453" s="13"/>
      <c r="D453" s="13"/>
    </row>
    <row r="454" spans="1:4" ht="13" x14ac:dyDescent="0.15">
      <c r="A454" s="10"/>
      <c r="B454" s="13"/>
      <c r="C454" s="13"/>
      <c r="D454" s="13"/>
    </row>
    <row r="455" spans="1:4" ht="13" x14ac:dyDescent="0.15">
      <c r="A455" s="10"/>
      <c r="B455" s="13"/>
      <c r="C455" s="13"/>
      <c r="D455" s="13"/>
    </row>
    <row r="456" spans="1:4" ht="13" x14ac:dyDescent="0.15">
      <c r="A456" s="10"/>
      <c r="B456" s="13"/>
      <c r="C456" s="13"/>
      <c r="D456" s="13"/>
    </row>
    <row r="457" spans="1:4" ht="13" x14ac:dyDescent="0.15">
      <c r="A457" s="10"/>
      <c r="B457" s="13"/>
      <c r="C457" s="13"/>
      <c r="D457" s="13"/>
    </row>
    <row r="458" spans="1:4" ht="13" x14ac:dyDescent="0.15">
      <c r="A458" s="10"/>
      <c r="B458" s="13"/>
      <c r="C458" s="13"/>
      <c r="D458" s="13"/>
    </row>
    <row r="459" spans="1:4" ht="13" x14ac:dyDescent="0.15">
      <c r="A459" s="10"/>
      <c r="B459" s="13"/>
      <c r="C459" s="13"/>
      <c r="D459" s="13"/>
    </row>
    <row r="460" spans="1:4" ht="13" x14ac:dyDescent="0.15">
      <c r="A460" s="10"/>
      <c r="B460" s="13"/>
      <c r="C460" s="13"/>
      <c r="D460" s="13"/>
    </row>
    <row r="461" spans="1:4" ht="13" x14ac:dyDescent="0.15">
      <c r="A461" s="10"/>
      <c r="B461" s="13"/>
      <c r="C461" s="13"/>
      <c r="D461" s="13"/>
    </row>
    <row r="462" spans="1:4" ht="13" x14ac:dyDescent="0.15">
      <c r="A462" s="10"/>
      <c r="B462" s="13"/>
      <c r="C462" s="13"/>
      <c r="D462" s="13"/>
    </row>
    <row r="463" spans="1:4" ht="13" x14ac:dyDescent="0.15">
      <c r="A463" s="10"/>
      <c r="B463" s="13"/>
      <c r="C463" s="13"/>
      <c r="D463" s="13"/>
    </row>
    <row r="464" spans="1:4" ht="13" x14ac:dyDescent="0.15">
      <c r="A464" s="10"/>
      <c r="B464" s="13"/>
      <c r="C464" s="13"/>
      <c r="D464" s="13"/>
    </row>
    <row r="465" spans="1:4" ht="13" x14ac:dyDescent="0.15">
      <c r="A465" s="10"/>
      <c r="B465" s="13"/>
      <c r="C465" s="13"/>
      <c r="D465" s="13"/>
    </row>
    <row r="466" spans="1:4" ht="13" x14ac:dyDescent="0.15">
      <c r="A466" s="10"/>
      <c r="B466" s="13"/>
      <c r="C466" s="13"/>
      <c r="D466" s="13"/>
    </row>
    <row r="467" spans="1:4" ht="13" x14ac:dyDescent="0.15">
      <c r="A467" s="10"/>
      <c r="B467" s="13"/>
      <c r="C467" s="13"/>
      <c r="D467" s="13"/>
    </row>
    <row r="468" spans="1:4" ht="13" x14ac:dyDescent="0.15">
      <c r="A468" s="10"/>
      <c r="B468" s="13"/>
      <c r="C468" s="13"/>
      <c r="D468" s="13"/>
    </row>
    <row r="469" spans="1:4" ht="13" x14ac:dyDescent="0.15">
      <c r="A469" s="10"/>
      <c r="B469" s="13"/>
      <c r="C469" s="13"/>
      <c r="D469" s="13"/>
    </row>
    <row r="470" spans="1:4" ht="13" x14ac:dyDescent="0.15">
      <c r="A470" s="10"/>
      <c r="B470" s="13"/>
      <c r="C470" s="13"/>
      <c r="D470" s="13"/>
    </row>
    <row r="471" spans="1:4" ht="13" x14ac:dyDescent="0.15">
      <c r="A471" s="10"/>
      <c r="B471" s="13"/>
      <c r="C471" s="13"/>
      <c r="D471" s="13"/>
    </row>
    <row r="472" spans="1:4" ht="13" x14ac:dyDescent="0.15">
      <c r="A472" s="10"/>
      <c r="B472" s="13"/>
      <c r="C472" s="13"/>
      <c r="D472" s="13"/>
    </row>
    <row r="473" spans="1:4" ht="13" x14ac:dyDescent="0.15">
      <c r="A473" s="10"/>
      <c r="B473" s="13"/>
      <c r="C473" s="13"/>
      <c r="D473" s="13"/>
    </row>
    <row r="474" spans="1:4" ht="13" x14ac:dyDescent="0.15">
      <c r="A474" s="10"/>
      <c r="B474" s="13"/>
      <c r="C474" s="13"/>
      <c r="D474" s="13"/>
    </row>
    <row r="475" spans="1:4" ht="13" x14ac:dyDescent="0.15">
      <c r="A475" s="10"/>
      <c r="B475" s="13"/>
      <c r="C475" s="13"/>
      <c r="D475" s="13"/>
    </row>
    <row r="476" spans="1:4" ht="13" x14ac:dyDescent="0.15">
      <c r="A476" s="10"/>
      <c r="B476" s="13"/>
      <c r="C476" s="13"/>
      <c r="D476" s="13"/>
    </row>
    <row r="477" spans="1:4" ht="13" x14ac:dyDescent="0.15">
      <c r="A477" s="10"/>
      <c r="B477" s="13"/>
      <c r="C477" s="13"/>
      <c r="D477" s="13"/>
    </row>
    <row r="478" spans="1:4" ht="13" x14ac:dyDescent="0.15">
      <c r="A478" s="10"/>
      <c r="B478" s="13"/>
      <c r="C478" s="13"/>
      <c r="D478" s="13"/>
    </row>
    <row r="479" spans="1:4" ht="13" x14ac:dyDescent="0.15">
      <c r="A479" s="10"/>
      <c r="B479" s="13"/>
      <c r="C479" s="13"/>
      <c r="D479" s="13"/>
    </row>
    <row r="480" spans="1:4" ht="13" x14ac:dyDescent="0.15">
      <c r="A480" s="10"/>
      <c r="B480" s="13"/>
      <c r="C480" s="13"/>
      <c r="D480" s="13"/>
    </row>
    <row r="481" spans="1:4" ht="13" x14ac:dyDescent="0.15">
      <c r="A481" s="10"/>
      <c r="B481" s="13"/>
      <c r="C481" s="13"/>
      <c r="D481" s="13"/>
    </row>
    <row r="482" spans="1:4" ht="13" x14ac:dyDescent="0.15">
      <c r="A482" s="10"/>
      <c r="B482" s="13"/>
      <c r="C482" s="13"/>
      <c r="D482" s="13"/>
    </row>
    <row r="483" spans="1:4" ht="13" x14ac:dyDescent="0.15">
      <c r="A483" s="10"/>
      <c r="B483" s="13"/>
      <c r="C483" s="13"/>
      <c r="D483" s="13"/>
    </row>
    <row r="484" spans="1:4" ht="13" x14ac:dyDescent="0.15">
      <c r="A484" s="10"/>
      <c r="B484" s="13"/>
      <c r="C484" s="13"/>
      <c r="D484" s="13"/>
    </row>
    <row r="485" spans="1:4" ht="13" x14ac:dyDescent="0.15">
      <c r="A485" s="10"/>
      <c r="B485" s="13"/>
      <c r="C485" s="13"/>
      <c r="D485" s="13"/>
    </row>
    <row r="486" spans="1:4" ht="13" x14ac:dyDescent="0.15">
      <c r="A486" s="10"/>
      <c r="B486" s="13"/>
      <c r="C486" s="13"/>
      <c r="D486" s="13"/>
    </row>
    <row r="487" spans="1:4" ht="13" x14ac:dyDescent="0.15">
      <c r="A487" s="10"/>
      <c r="B487" s="13"/>
      <c r="C487" s="13"/>
      <c r="D487" s="13"/>
    </row>
    <row r="488" spans="1:4" ht="13" x14ac:dyDescent="0.15">
      <c r="A488" s="10"/>
      <c r="B488" s="13"/>
      <c r="C488" s="13"/>
      <c r="D488" s="13"/>
    </row>
    <row r="489" spans="1:4" ht="13" x14ac:dyDescent="0.15">
      <c r="A489" s="10"/>
      <c r="B489" s="13"/>
      <c r="C489" s="13"/>
      <c r="D489" s="13"/>
    </row>
    <row r="490" spans="1:4" ht="13" x14ac:dyDescent="0.15">
      <c r="A490" s="10"/>
      <c r="B490" s="13"/>
      <c r="C490" s="13"/>
      <c r="D490" s="13"/>
    </row>
    <row r="491" spans="1:4" ht="13" x14ac:dyDescent="0.15">
      <c r="A491" s="10"/>
      <c r="B491" s="13"/>
      <c r="C491" s="13"/>
      <c r="D491" s="13"/>
    </row>
    <row r="492" spans="1:4" ht="13" x14ac:dyDescent="0.15">
      <c r="A492" s="10"/>
      <c r="B492" s="13"/>
      <c r="C492" s="13"/>
      <c r="D492" s="13"/>
    </row>
    <row r="493" spans="1:4" ht="13" x14ac:dyDescent="0.15">
      <c r="A493" s="10"/>
      <c r="B493" s="13"/>
      <c r="C493" s="13"/>
      <c r="D493" s="13"/>
    </row>
    <row r="494" spans="1:4" ht="13" x14ac:dyDescent="0.15">
      <c r="A494" s="10"/>
      <c r="B494" s="13"/>
      <c r="C494" s="13"/>
      <c r="D494" s="13"/>
    </row>
    <row r="495" spans="1:4" ht="13" x14ac:dyDescent="0.15">
      <c r="A495" s="10"/>
      <c r="B495" s="13"/>
      <c r="C495" s="13"/>
      <c r="D495" s="13"/>
    </row>
    <row r="496" spans="1:4" ht="13" x14ac:dyDescent="0.15">
      <c r="A496" s="10"/>
      <c r="B496" s="13"/>
      <c r="C496" s="13"/>
      <c r="D496" s="13"/>
    </row>
    <row r="497" spans="1:4" ht="13" x14ac:dyDescent="0.15">
      <c r="A497" s="10"/>
      <c r="B497" s="13"/>
      <c r="C497" s="13"/>
      <c r="D497" s="13"/>
    </row>
    <row r="498" spans="1:4" ht="13" x14ac:dyDescent="0.15">
      <c r="A498" s="10"/>
      <c r="B498" s="13"/>
      <c r="C498" s="13"/>
      <c r="D498" s="13"/>
    </row>
    <row r="499" spans="1:4" ht="13" x14ac:dyDescent="0.15">
      <c r="A499" s="10"/>
      <c r="B499" s="13"/>
      <c r="C499" s="13"/>
      <c r="D499" s="13"/>
    </row>
    <row r="500" spans="1:4" ht="13" x14ac:dyDescent="0.15">
      <c r="A500" s="10"/>
      <c r="B500" s="13"/>
      <c r="C500" s="13"/>
      <c r="D500" s="13"/>
    </row>
    <row r="501" spans="1:4" ht="13" x14ac:dyDescent="0.15">
      <c r="A501" s="10"/>
      <c r="B501" s="13"/>
      <c r="C501" s="13"/>
      <c r="D501" s="13"/>
    </row>
    <row r="502" spans="1:4" ht="13" x14ac:dyDescent="0.15">
      <c r="A502" s="10"/>
      <c r="B502" s="13"/>
      <c r="C502" s="13"/>
      <c r="D502" s="13"/>
    </row>
    <row r="503" spans="1:4" ht="13" x14ac:dyDescent="0.15">
      <c r="A503" s="10"/>
      <c r="B503" s="13"/>
      <c r="C503" s="13"/>
      <c r="D503" s="13"/>
    </row>
    <row r="504" spans="1:4" ht="13" x14ac:dyDescent="0.15">
      <c r="A504" s="10"/>
      <c r="B504" s="13"/>
      <c r="C504" s="13"/>
      <c r="D504" s="13"/>
    </row>
    <row r="505" spans="1:4" ht="13" x14ac:dyDescent="0.15">
      <c r="A505" s="10"/>
      <c r="B505" s="13"/>
      <c r="C505" s="13"/>
      <c r="D505" s="13"/>
    </row>
    <row r="506" spans="1:4" ht="13" x14ac:dyDescent="0.15">
      <c r="A506" s="10"/>
      <c r="B506" s="13"/>
      <c r="C506" s="13"/>
      <c r="D506" s="13"/>
    </row>
    <row r="507" spans="1:4" ht="13" x14ac:dyDescent="0.15">
      <c r="A507" s="10"/>
      <c r="B507" s="13"/>
      <c r="C507" s="13"/>
      <c r="D507" s="13"/>
    </row>
    <row r="508" spans="1:4" ht="13" x14ac:dyDescent="0.15">
      <c r="A508" s="10"/>
      <c r="B508" s="13"/>
      <c r="C508" s="13"/>
      <c r="D508" s="13"/>
    </row>
    <row r="509" spans="1:4" ht="13" x14ac:dyDescent="0.15">
      <c r="A509" s="10"/>
      <c r="B509" s="13"/>
      <c r="C509" s="13"/>
      <c r="D509" s="13"/>
    </row>
    <row r="510" spans="1:4" ht="13" x14ac:dyDescent="0.15">
      <c r="A510" s="10"/>
      <c r="B510" s="13"/>
      <c r="C510" s="13"/>
      <c r="D510" s="13"/>
    </row>
    <row r="511" spans="1:4" ht="13" x14ac:dyDescent="0.15">
      <c r="A511" s="10"/>
      <c r="B511" s="13"/>
      <c r="C511" s="13"/>
      <c r="D511" s="13"/>
    </row>
    <row r="512" spans="1:4" ht="13" x14ac:dyDescent="0.15">
      <c r="A512" s="10"/>
      <c r="B512" s="13"/>
      <c r="C512" s="13"/>
      <c r="D512" s="13"/>
    </row>
    <row r="513" spans="1:4" ht="13" x14ac:dyDescent="0.15">
      <c r="A513" s="10"/>
      <c r="B513" s="13"/>
      <c r="C513" s="13"/>
      <c r="D513" s="13"/>
    </row>
    <row r="514" spans="1:4" ht="13" x14ac:dyDescent="0.15">
      <c r="A514" s="10"/>
      <c r="B514" s="13"/>
      <c r="C514" s="13"/>
      <c r="D514" s="13"/>
    </row>
    <row r="515" spans="1:4" ht="13" x14ac:dyDescent="0.15">
      <c r="A515" s="10"/>
      <c r="B515" s="13"/>
      <c r="C515" s="13"/>
      <c r="D515" s="13"/>
    </row>
    <row r="516" spans="1:4" ht="13" x14ac:dyDescent="0.15">
      <c r="A516" s="10"/>
      <c r="B516" s="13"/>
      <c r="C516" s="13"/>
      <c r="D516" s="13"/>
    </row>
    <row r="517" spans="1:4" ht="13" x14ac:dyDescent="0.15">
      <c r="A517" s="10"/>
      <c r="B517" s="13"/>
      <c r="C517" s="13"/>
      <c r="D517" s="13"/>
    </row>
    <row r="518" spans="1:4" ht="13" x14ac:dyDescent="0.15">
      <c r="A518" s="10"/>
      <c r="B518" s="13"/>
      <c r="C518" s="13"/>
      <c r="D518" s="13"/>
    </row>
    <row r="519" spans="1:4" ht="13" x14ac:dyDescent="0.15">
      <c r="A519" s="10"/>
      <c r="B519" s="13"/>
      <c r="C519" s="13"/>
      <c r="D519" s="13"/>
    </row>
    <row r="520" spans="1:4" ht="13" x14ac:dyDescent="0.15">
      <c r="A520" s="10"/>
      <c r="B520" s="13"/>
      <c r="C520" s="13"/>
      <c r="D520" s="13"/>
    </row>
    <row r="521" spans="1:4" ht="13" x14ac:dyDescent="0.15">
      <c r="A521" s="10"/>
      <c r="B521" s="13"/>
      <c r="C521" s="13"/>
      <c r="D521" s="13"/>
    </row>
    <row r="522" spans="1:4" ht="13" x14ac:dyDescent="0.15">
      <c r="A522" s="10"/>
      <c r="B522" s="13"/>
      <c r="C522" s="13"/>
      <c r="D522" s="13"/>
    </row>
    <row r="523" spans="1:4" ht="13" x14ac:dyDescent="0.15">
      <c r="A523" s="10"/>
      <c r="B523" s="13"/>
      <c r="C523" s="13"/>
      <c r="D523" s="13"/>
    </row>
    <row r="524" spans="1:4" ht="13" x14ac:dyDescent="0.15">
      <c r="A524" s="10"/>
      <c r="B524" s="13"/>
      <c r="C524" s="13"/>
      <c r="D524" s="13"/>
    </row>
    <row r="525" spans="1:4" ht="13" x14ac:dyDescent="0.15">
      <c r="A525" s="10"/>
      <c r="B525" s="13"/>
      <c r="C525" s="13"/>
      <c r="D525" s="13"/>
    </row>
    <row r="526" spans="1:4" ht="13" x14ac:dyDescent="0.15">
      <c r="A526" s="10"/>
      <c r="B526" s="13"/>
      <c r="C526" s="13"/>
      <c r="D526" s="13"/>
    </row>
    <row r="527" spans="1:4" ht="13" x14ac:dyDescent="0.15">
      <c r="A527" s="10"/>
      <c r="B527" s="13"/>
      <c r="C527" s="13"/>
      <c r="D527" s="13"/>
    </row>
    <row r="528" spans="1:4" ht="13" x14ac:dyDescent="0.15">
      <c r="A528" s="10"/>
      <c r="B528" s="13"/>
      <c r="C528" s="13"/>
      <c r="D528" s="13"/>
    </row>
    <row r="529" spans="1:4" ht="13" x14ac:dyDescent="0.15">
      <c r="A529" s="10"/>
      <c r="B529" s="13"/>
      <c r="C529" s="13"/>
      <c r="D529" s="13"/>
    </row>
    <row r="530" spans="1:4" ht="13" x14ac:dyDescent="0.15">
      <c r="A530" s="10"/>
      <c r="B530" s="13"/>
      <c r="C530" s="13"/>
      <c r="D530" s="13"/>
    </row>
    <row r="531" spans="1:4" ht="13" x14ac:dyDescent="0.15">
      <c r="A531" s="10"/>
      <c r="B531" s="13"/>
      <c r="C531" s="13"/>
      <c r="D531" s="13"/>
    </row>
    <row r="532" spans="1:4" ht="13" x14ac:dyDescent="0.15">
      <c r="A532" s="10"/>
      <c r="B532" s="13"/>
      <c r="C532" s="13"/>
      <c r="D532" s="13"/>
    </row>
    <row r="533" spans="1:4" ht="13" x14ac:dyDescent="0.15">
      <c r="A533" s="10"/>
      <c r="B533" s="13"/>
      <c r="C533" s="13"/>
      <c r="D533" s="13"/>
    </row>
    <row r="534" spans="1:4" ht="13" x14ac:dyDescent="0.15">
      <c r="A534" s="10"/>
      <c r="B534" s="13"/>
      <c r="C534" s="13"/>
      <c r="D534" s="13"/>
    </row>
    <row r="535" spans="1:4" ht="13" x14ac:dyDescent="0.15">
      <c r="A535" s="10"/>
      <c r="B535" s="13"/>
      <c r="C535" s="13"/>
      <c r="D535" s="13"/>
    </row>
    <row r="536" spans="1:4" ht="13" x14ac:dyDescent="0.15">
      <c r="A536" s="10"/>
      <c r="B536" s="13"/>
      <c r="C536" s="13"/>
      <c r="D536" s="13"/>
    </row>
    <row r="537" spans="1:4" ht="13" x14ac:dyDescent="0.15">
      <c r="A537" s="10"/>
      <c r="B537" s="13"/>
      <c r="C537" s="13"/>
      <c r="D537" s="13"/>
    </row>
    <row r="538" spans="1:4" ht="13" x14ac:dyDescent="0.15">
      <c r="A538" s="10"/>
      <c r="B538" s="13"/>
      <c r="C538" s="13"/>
      <c r="D538" s="13"/>
    </row>
    <row r="539" spans="1:4" ht="13" x14ac:dyDescent="0.15">
      <c r="A539" s="10"/>
      <c r="B539" s="13"/>
      <c r="C539" s="13"/>
      <c r="D539" s="13"/>
    </row>
    <row r="540" spans="1:4" ht="13" x14ac:dyDescent="0.15">
      <c r="A540" s="10"/>
      <c r="B540" s="13"/>
      <c r="C540" s="13"/>
      <c r="D540" s="13"/>
    </row>
    <row r="541" spans="1:4" ht="13" x14ac:dyDescent="0.15">
      <c r="A541" s="10"/>
      <c r="B541" s="13"/>
      <c r="C541" s="13"/>
      <c r="D541" s="13"/>
    </row>
    <row r="542" spans="1:4" ht="13" x14ac:dyDescent="0.15">
      <c r="A542" s="10"/>
      <c r="B542" s="13"/>
      <c r="C542" s="13"/>
      <c r="D542" s="13"/>
    </row>
    <row r="543" spans="1:4" ht="13" x14ac:dyDescent="0.15">
      <c r="A543" s="10"/>
      <c r="B543" s="13"/>
      <c r="C543" s="13"/>
      <c r="D543" s="13"/>
    </row>
    <row r="544" spans="1:4" ht="13" x14ac:dyDescent="0.15">
      <c r="A544" s="10"/>
      <c r="B544" s="13"/>
      <c r="C544" s="13"/>
      <c r="D544" s="13"/>
    </row>
    <row r="545" spans="1:4" ht="13" x14ac:dyDescent="0.15">
      <c r="A545" s="10"/>
      <c r="B545" s="13"/>
      <c r="C545" s="13"/>
      <c r="D545" s="13"/>
    </row>
    <row r="546" spans="1:4" ht="13" x14ac:dyDescent="0.15">
      <c r="A546" s="10"/>
      <c r="B546" s="13"/>
      <c r="C546" s="13"/>
      <c r="D546" s="13"/>
    </row>
    <row r="547" spans="1:4" ht="13" x14ac:dyDescent="0.15">
      <c r="A547" s="10"/>
      <c r="B547" s="13"/>
      <c r="C547" s="13"/>
      <c r="D547" s="13"/>
    </row>
    <row r="548" spans="1:4" ht="13" x14ac:dyDescent="0.15">
      <c r="A548" s="10"/>
      <c r="B548" s="13"/>
      <c r="C548" s="13"/>
      <c r="D548" s="13"/>
    </row>
    <row r="549" spans="1:4" ht="13" x14ac:dyDescent="0.15">
      <c r="A549" s="10"/>
      <c r="B549" s="13"/>
      <c r="C549" s="13"/>
      <c r="D549" s="13"/>
    </row>
    <row r="550" spans="1:4" ht="13" x14ac:dyDescent="0.15">
      <c r="A550" s="10"/>
      <c r="B550" s="13"/>
      <c r="C550" s="13"/>
      <c r="D550" s="13"/>
    </row>
    <row r="551" spans="1:4" ht="13" x14ac:dyDescent="0.15">
      <c r="A551" s="10"/>
      <c r="B551" s="13"/>
      <c r="C551" s="13"/>
      <c r="D551" s="13"/>
    </row>
    <row r="552" spans="1:4" ht="13" x14ac:dyDescent="0.15">
      <c r="A552" s="10"/>
      <c r="B552" s="13"/>
      <c r="C552" s="13"/>
      <c r="D552" s="13"/>
    </row>
    <row r="553" spans="1:4" ht="13" x14ac:dyDescent="0.15">
      <c r="A553" s="10"/>
      <c r="B553" s="13"/>
      <c r="C553" s="13"/>
      <c r="D553" s="13"/>
    </row>
    <row r="554" spans="1:4" ht="13" x14ac:dyDescent="0.15">
      <c r="A554" s="10"/>
      <c r="B554" s="13"/>
      <c r="C554" s="13"/>
      <c r="D554" s="13"/>
    </row>
    <row r="555" spans="1:4" ht="13" x14ac:dyDescent="0.15">
      <c r="A555" s="10"/>
      <c r="B555" s="13"/>
      <c r="C555" s="13"/>
      <c r="D555" s="13"/>
    </row>
    <row r="556" spans="1:4" ht="13" x14ac:dyDescent="0.15">
      <c r="A556" s="10"/>
      <c r="B556" s="13"/>
      <c r="C556" s="13"/>
      <c r="D556" s="13"/>
    </row>
    <row r="557" spans="1:4" ht="13" x14ac:dyDescent="0.15">
      <c r="A557" s="10"/>
      <c r="B557" s="13"/>
      <c r="C557" s="13"/>
      <c r="D557" s="13"/>
    </row>
    <row r="558" spans="1:4" ht="13" x14ac:dyDescent="0.15">
      <c r="A558" s="10"/>
      <c r="B558" s="13"/>
      <c r="C558" s="13"/>
      <c r="D558" s="13"/>
    </row>
    <row r="559" spans="1:4" ht="13" x14ac:dyDescent="0.15">
      <c r="A559" s="10"/>
      <c r="B559" s="13"/>
      <c r="C559" s="13"/>
      <c r="D559" s="13"/>
    </row>
    <row r="560" spans="1:4" ht="13" x14ac:dyDescent="0.15">
      <c r="A560" s="10"/>
      <c r="B560" s="13"/>
      <c r="C560" s="13"/>
      <c r="D560" s="13"/>
    </row>
    <row r="561" spans="1:4" ht="13" x14ac:dyDescent="0.15">
      <c r="A561" s="10"/>
      <c r="B561" s="13"/>
      <c r="C561" s="13"/>
      <c r="D561" s="13"/>
    </row>
    <row r="562" spans="1:4" ht="13" x14ac:dyDescent="0.15">
      <c r="A562" s="10"/>
      <c r="B562" s="13"/>
      <c r="C562" s="13"/>
      <c r="D562" s="13"/>
    </row>
    <row r="563" spans="1:4" ht="13" x14ac:dyDescent="0.15">
      <c r="A563" s="10"/>
      <c r="B563" s="13"/>
      <c r="C563" s="13"/>
      <c r="D563" s="13"/>
    </row>
    <row r="564" spans="1:4" ht="13" x14ac:dyDescent="0.15">
      <c r="A564" s="10"/>
      <c r="B564" s="13"/>
      <c r="C564" s="13"/>
      <c r="D564" s="13"/>
    </row>
    <row r="565" spans="1:4" ht="13" x14ac:dyDescent="0.15">
      <c r="A565" s="10"/>
      <c r="B565" s="13"/>
      <c r="C565" s="13"/>
      <c r="D565" s="13"/>
    </row>
    <row r="566" spans="1:4" ht="13" x14ac:dyDescent="0.15">
      <c r="A566" s="10"/>
      <c r="B566" s="13"/>
      <c r="C566" s="13"/>
      <c r="D566" s="13"/>
    </row>
    <row r="567" spans="1:4" ht="13" x14ac:dyDescent="0.15">
      <c r="A567" s="10"/>
      <c r="B567" s="13"/>
      <c r="C567" s="13"/>
      <c r="D567" s="13"/>
    </row>
    <row r="568" spans="1:4" ht="13" x14ac:dyDescent="0.15">
      <c r="A568" s="10"/>
      <c r="B568" s="13"/>
      <c r="C568" s="13"/>
      <c r="D568" s="13"/>
    </row>
    <row r="569" spans="1:4" ht="13" x14ac:dyDescent="0.15">
      <c r="A569" s="10"/>
      <c r="B569" s="13"/>
      <c r="C569" s="13"/>
      <c r="D569" s="13"/>
    </row>
    <row r="570" spans="1:4" ht="13" x14ac:dyDescent="0.15">
      <c r="A570" s="10"/>
      <c r="B570" s="13"/>
      <c r="C570" s="13"/>
      <c r="D570" s="13"/>
    </row>
    <row r="571" spans="1:4" ht="13" x14ac:dyDescent="0.15">
      <c r="A571" s="10"/>
      <c r="B571" s="13"/>
      <c r="C571" s="13"/>
      <c r="D571" s="13"/>
    </row>
    <row r="572" spans="1:4" ht="13" x14ac:dyDescent="0.15">
      <c r="A572" s="10"/>
      <c r="B572" s="13"/>
      <c r="C572" s="13"/>
      <c r="D572" s="13"/>
    </row>
    <row r="573" spans="1:4" ht="13" x14ac:dyDescent="0.15">
      <c r="A573" s="10"/>
      <c r="B573" s="13"/>
      <c r="C573" s="13"/>
      <c r="D573" s="13"/>
    </row>
    <row r="574" spans="1:4" ht="13" x14ac:dyDescent="0.15">
      <c r="A574" s="10"/>
      <c r="B574" s="13"/>
      <c r="C574" s="13"/>
      <c r="D574" s="13"/>
    </row>
    <row r="575" spans="1:4" ht="13" x14ac:dyDescent="0.15">
      <c r="A575" s="10"/>
      <c r="B575" s="13"/>
      <c r="C575" s="13"/>
      <c r="D575" s="13"/>
    </row>
    <row r="576" spans="1:4" ht="13" x14ac:dyDescent="0.15">
      <c r="A576" s="10"/>
      <c r="B576" s="13"/>
      <c r="C576" s="13"/>
      <c r="D576" s="13"/>
    </row>
    <row r="577" spans="1:4" ht="13" x14ac:dyDescent="0.15">
      <c r="A577" s="10"/>
      <c r="B577" s="13"/>
      <c r="C577" s="13"/>
      <c r="D577" s="13"/>
    </row>
    <row r="578" spans="1:4" ht="13" x14ac:dyDescent="0.15">
      <c r="A578" s="10"/>
      <c r="B578" s="13"/>
      <c r="C578" s="13"/>
      <c r="D578" s="13"/>
    </row>
    <row r="579" spans="1:4" ht="13" x14ac:dyDescent="0.15">
      <c r="A579" s="10"/>
      <c r="B579" s="13"/>
      <c r="C579" s="13"/>
      <c r="D579" s="13"/>
    </row>
    <row r="580" spans="1:4" ht="13" x14ac:dyDescent="0.15">
      <c r="A580" s="10"/>
      <c r="B580" s="13"/>
      <c r="C580" s="13"/>
      <c r="D580" s="13"/>
    </row>
    <row r="581" spans="1:4" ht="13" x14ac:dyDescent="0.15">
      <c r="A581" s="10"/>
      <c r="B581" s="13"/>
      <c r="C581" s="13"/>
      <c r="D581" s="13"/>
    </row>
    <row r="582" spans="1:4" ht="13" x14ac:dyDescent="0.15">
      <c r="A582" s="10"/>
      <c r="B582" s="13"/>
      <c r="C582" s="13"/>
      <c r="D582" s="13"/>
    </row>
    <row r="583" spans="1:4" ht="13" x14ac:dyDescent="0.15">
      <c r="A583" s="10"/>
      <c r="B583" s="13"/>
      <c r="C583" s="13"/>
      <c r="D583" s="13"/>
    </row>
    <row r="584" spans="1:4" ht="13" x14ac:dyDescent="0.15">
      <c r="A584" s="10"/>
      <c r="B584" s="13"/>
      <c r="C584" s="13"/>
      <c r="D584" s="13"/>
    </row>
    <row r="585" spans="1:4" ht="13" x14ac:dyDescent="0.15">
      <c r="A585" s="10"/>
      <c r="B585" s="13"/>
      <c r="C585" s="13"/>
      <c r="D585" s="13"/>
    </row>
    <row r="586" spans="1:4" ht="13" x14ac:dyDescent="0.15">
      <c r="A586" s="10"/>
      <c r="B586" s="13"/>
      <c r="C586" s="13"/>
      <c r="D586" s="13"/>
    </row>
    <row r="587" spans="1:4" ht="13" x14ac:dyDescent="0.15">
      <c r="A587" s="10"/>
      <c r="B587" s="13"/>
      <c r="C587" s="13"/>
      <c r="D587" s="13"/>
    </row>
    <row r="588" spans="1:4" ht="13" x14ac:dyDescent="0.15">
      <c r="A588" s="10"/>
      <c r="B588" s="13"/>
      <c r="C588" s="13"/>
      <c r="D588" s="13"/>
    </row>
    <row r="589" spans="1:4" ht="13" x14ac:dyDescent="0.15">
      <c r="A589" s="10"/>
      <c r="B589" s="13"/>
      <c r="C589" s="13"/>
      <c r="D589" s="13"/>
    </row>
    <row r="590" spans="1:4" ht="13" x14ac:dyDescent="0.15">
      <c r="A590" s="10"/>
      <c r="B590" s="13"/>
      <c r="C590" s="13"/>
      <c r="D590" s="13"/>
    </row>
    <row r="591" spans="1:4" ht="13" x14ac:dyDescent="0.15">
      <c r="A591" s="10"/>
      <c r="B591" s="13"/>
      <c r="C591" s="13"/>
      <c r="D591" s="13"/>
    </row>
    <row r="592" spans="1:4" ht="13" x14ac:dyDescent="0.15">
      <c r="A592" s="10"/>
      <c r="B592" s="13"/>
      <c r="C592" s="13"/>
      <c r="D592" s="13"/>
    </row>
    <row r="593" spans="1:4" ht="13" x14ac:dyDescent="0.15">
      <c r="A593" s="10"/>
      <c r="B593" s="13"/>
      <c r="C593" s="13"/>
      <c r="D593" s="13"/>
    </row>
    <row r="594" spans="1:4" ht="13" x14ac:dyDescent="0.15">
      <c r="A594" s="10"/>
      <c r="B594" s="13"/>
      <c r="C594" s="13"/>
      <c r="D594" s="13"/>
    </row>
    <row r="595" spans="1:4" ht="13" x14ac:dyDescent="0.15">
      <c r="A595" s="10"/>
      <c r="B595" s="13"/>
      <c r="C595" s="13"/>
      <c r="D595" s="13"/>
    </row>
    <row r="596" spans="1:4" ht="13" x14ac:dyDescent="0.15">
      <c r="A596" s="10"/>
      <c r="B596" s="13"/>
      <c r="C596" s="13"/>
      <c r="D596" s="13"/>
    </row>
    <row r="597" spans="1:4" ht="13" x14ac:dyDescent="0.15">
      <c r="A597" s="10"/>
      <c r="B597" s="13"/>
      <c r="C597" s="13"/>
      <c r="D597" s="13"/>
    </row>
    <row r="598" spans="1:4" ht="13" x14ac:dyDescent="0.15">
      <c r="A598" s="10"/>
      <c r="B598" s="13"/>
      <c r="C598" s="13"/>
      <c r="D598" s="13"/>
    </row>
    <row r="599" spans="1:4" ht="13" x14ac:dyDescent="0.15">
      <c r="A599" s="10"/>
      <c r="B599" s="13"/>
      <c r="C599" s="13"/>
      <c r="D599" s="13"/>
    </row>
    <row r="600" spans="1:4" ht="13" x14ac:dyDescent="0.15">
      <c r="A600" s="10"/>
      <c r="B600" s="13"/>
      <c r="C600" s="13"/>
      <c r="D600" s="13"/>
    </row>
    <row r="601" spans="1:4" ht="13" x14ac:dyDescent="0.15">
      <c r="A601" s="10"/>
      <c r="B601" s="13"/>
      <c r="C601" s="13"/>
      <c r="D601" s="13"/>
    </row>
    <row r="602" spans="1:4" ht="13" x14ac:dyDescent="0.15">
      <c r="A602" s="10"/>
      <c r="B602" s="13"/>
      <c r="C602" s="13"/>
      <c r="D602" s="13"/>
    </row>
    <row r="603" spans="1:4" ht="13" x14ac:dyDescent="0.15">
      <c r="A603" s="10"/>
      <c r="B603" s="13"/>
      <c r="C603" s="13"/>
      <c r="D603" s="13"/>
    </row>
    <row r="604" spans="1:4" ht="13" x14ac:dyDescent="0.15">
      <c r="A604" s="10"/>
      <c r="B604" s="13"/>
      <c r="C604" s="13"/>
      <c r="D604" s="13"/>
    </row>
    <row r="605" spans="1:4" ht="13" x14ac:dyDescent="0.15">
      <c r="A605" s="10"/>
      <c r="B605" s="13"/>
      <c r="C605" s="13"/>
      <c r="D605" s="13"/>
    </row>
    <row r="606" spans="1:4" ht="13" x14ac:dyDescent="0.15">
      <c r="A606" s="10"/>
      <c r="B606" s="13"/>
      <c r="C606" s="13"/>
      <c r="D606" s="13"/>
    </row>
    <row r="607" spans="1:4" ht="13" x14ac:dyDescent="0.15">
      <c r="A607" s="10"/>
      <c r="B607" s="13"/>
      <c r="C607" s="13"/>
      <c r="D607" s="13"/>
    </row>
    <row r="608" spans="1:4" ht="13" x14ac:dyDescent="0.15">
      <c r="A608" s="10"/>
      <c r="B608" s="13"/>
      <c r="C608" s="13"/>
      <c r="D608" s="13"/>
    </row>
    <row r="609" spans="1:4" ht="13" x14ac:dyDescent="0.15">
      <c r="A609" s="10"/>
      <c r="B609" s="13"/>
      <c r="C609" s="13"/>
      <c r="D609" s="13"/>
    </row>
    <row r="610" spans="1:4" ht="13" x14ac:dyDescent="0.15">
      <c r="A610" s="10"/>
      <c r="B610" s="13"/>
      <c r="C610" s="13"/>
      <c r="D610" s="13"/>
    </row>
    <row r="611" spans="1:4" ht="13" x14ac:dyDescent="0.15">
      <c r="A611" s="10"/>
      <c r="B611" s="13"/>
      <c r="C611" s="13"/>
      <c r="D611" s="13"/>
    </row>
    <row r="612" spans="1:4" ht="13" x14ac:dyDescent="0.15">
      <c r="A612" s="10"/>
      <c r="B612" s="13"/>
      <c r="C612" s="13"/>
      <c r="D612" s="13"/>
    </row>
    <row r="613" spans="1:4" ht="13" x14ac:dyDescent="0.15">
      <c r="A613" s="10"/>
      <c r="B613" s="13"/>
      <c r="C613" s="13"/>
      <c r="D613" s="13"/>
    </row>
    <row r="614" spans="1:4" ht="13" x14ac:dyDescent="0.15">
      <c r="A614" s="10"/>
      <c r="B614" s="13"/>
      <c r="C614" s="13"/>
      <c r="D614" s="13"/>
    </row>
    <row r="615" spans="1:4" ht="13" x14ac:dyDescent="0.15">
      <c r="A615" s="10"/>
      <c r="B615" s="13"/>
      <c r="C615" s="13"/>
      <c r="D615" s="13"/>
    </row>
    <row r="616" spans="1:4" ht="13" x14ac:dyDescent="0.15">
      <c r="A616" s="10"/>
      <c r="B616" s="13"/>
      <c r="C616" s="13"/>
      <c r="D616" s="13"/>
    </row>
    <row r="617" spans="1:4" ht="13" x14ac:dyDescent="0.15">
      <c r="A617" s="10"/>
      <c r="B617" s="13"/>
      <c r="C617" s="13"/>
      <c r="D617" s="13"/>
    </row>
    <row r="618" spans="1:4" ht="13" x14ac:dyDescent="0.15">
      <c r="A618" s="10"/>
      <c r="B618" s="13"/>
      <c r="C618" s="13"/>
      <c r="D618" s="13"/>
    </row>
    <row r="619" spans="1:4" ht="13" x14ac:dyDescent="0.15">
      <c r="A619" s="10"/>
      <c r="B619" s="13"/>
      <c r="C619" s="13"/>
      <c r="D619" s="13"/>
    </row>
    <row r="620" spans="1:4" ht="13" x14ac:dyDescent="0.15">
      <c r="A620" s="10"/>
      <c r="B620" s="13"/>
      <c r="C620" s="13"/>
      <c r="D620" s="13"/>
    </row>
    <row r="621" spans="1:4" ht="13" x14ac:dyDescent="0.15">
      <c r="A621" s="10"/>
      <c r="B621" s="13"/>
      <c r="C621" s="13"/>
      <c r="D621" s="13"/>
    </row>
    <row r="622" spans="1:4" ht="13" x14ac:dyDescent="0.15">
      <c r="A622" s="10"/>
      <c r="B622" s="13"/>
      <c r="C622" s="13"/>
      <c r="D622" s="13"/>
    </row>
    <row r="623" spans="1:4" ht="13" x14ac:dyDescent="0.15">
      <c r="A623" s="10"/>
      <c r="B623" s="13"/>
      <c r="C623" s="13"/>
      <c r="D623" s="13"/>
    </row>
    <row r="624" spans="1:4" ht="13" x14ac:dyDescent="0.15">
      <c r="A624" s="10"/>
      <c r="B624" s="13"/>
      <c r="C624" s="13"/>
      <c r="D624" s="13"/>
    </row>
    <row r="625" spans="1:4" ht="13" x14ac:dyDescent="0.15">
      <c r="A625" s="10"/>
      <c r="B625" s="13"/>
      <c r="C625" s="13"/>
      <c r="D625" s="13"/>
    </row>
    <row r="626" spans="1:4" ht="13" x14ac:dyDescent="0.15">
      <c r="A626" s="10"/>
      <c r="B626" s="13"/>
      <c r="C626" s="13"/>
      <c r="D626" s="13"/>
    </row>
    <row r="627" spans="1:4" ht="13" x14ac:dyDescent="0.15">
      <c r="A627" s="10"/>
      <c r="B627" s="13"/>
      <c r="C627" s="13"/>
      <c r="D627" s="13"/>
    </row>
    <row r="628" spans="1:4" ht="13" x14ac:dyDescent="0.15">
      <c r="A628" s="10"/>
      <c r="B628" s="13"/>
      <c r="C628" s="13"/>
      <c r="D628" s="13"/>
    </row>
    <row r="629" spans="1:4" ht="13" x14ac:dyDescent="0.15">
      <c r="A629" s="10"/>
      <c r="B629" s="13"/>
      <c r="C629" s="13"/>
      <c r="D629" s="13"/>
    </row>
    <row r="630" spans="1:4" ht="13" x14ac:dyDescent="0.15">
      <c r="A630" s="10"/>
      <c r="B630" s="13"/>
      <c r="C630" s="13"/>
      <c r="D630" s="13"/>
    </row>
    <row r="631" spans="1:4" ht="13" x14ac:dyDescent="0.15">
      <c r="A631" s="10"/>
      <c r="B631" s="13"/>
      <c r="C631" s="13"/>
      <c r="D631" s="13"/>
    </row>
    <row r="632" spans="1:4" ht="13" x14ac:dyDescent="0.15">
      <c r="A632" s="10"/>
      <c r="B632" s="13"/>
      <c r="C632" s="13"/>
      <c r="D632" s="13"/>
    </row>
    <row r="633" spans="1:4" ht="13" x14ac:dyDescent="0.15">
      <c r="A633" s="10"/>
      <c r="B633" s="13"/>
      <c r="C633" s="13"/>
      <c r="D633" s="13"/>
    </row>
    <row r="634" spans="1:4" ht="13" x14ac:dyDescent="0.15">
      <c r="A634" s="10"/>
      <c r="B634" s="13"/>
      <c r="C634" s="13"/>
      <c r="D634" s="13"/>
    </row>
    <row r="635" spans="1:4" ht="13" x14ac:dyDescent="0.15">
      <c r="A635" s="10"/>
      <c r="B635" s="13"/>
      <c r="C635" s="13"/>
      <c r="D635" s="13"/>
    </row>
    <row r="636" spans="1:4" ht="13" x14ac:dyDescent="0.15">
      <c r="A636" s="10"/>
      <c r="B636" s="13"/>
      <c r="C636" s="13"/>
      <c r="D636" s="13"/>
    </row>
    <row r="637" spans="1:4" ht="13" x14ac:dyDescent="0.15">
      <c r="A637" s="10"/>
      <c r="B637" s="13"/>
      <c r="C637" s="13"/>
      <c r="D637" s="13"/>
    </row>
    <row r="638" spans="1:4" ht="13" x14ac:dyDescent="0.15">
      <c r="A638" s="10"/>
      <c r="B638" s="13"/>
      <c r="C638" s="13"/>
      <c r="D638" s="13"/>
    </row>
    <row r="639" spans="1:4" ht="13" x14ac:dyDescent="0.15">
      <c r="A639" s="10"/>
      <c r="B639" s="13"/>
      <c r="C639" s="13"/>
      <c r="D639" s="13"/>
    </row>
    <row r="640" spans="1:4" ht="13" x14ac:dyDescent="0.15">
      <c r="A640" s="10"/>
      <c r="B640" s="13"/>
      <c r="C640" s="13"/>
      <c r="D640" s="13"/>
    </row>
    <row r="641" spans="1:4" ht="13" x14ac:dyDescent="0.15">
      <c r="A641" s="10"/>
      <c r="B641" s="13"/>
      <c r="C641" s="13"/>
      <c r="D641" s="13"/>
    </row>
    <row r="642" spans="1:4" ht="13" x14ac:dyDescent="0.15">
      <c r="A642" s="10"/>
      <c r="B642" s="13"/>
      <c r="C642" s="13"/>
      <c r="D642" s="13"/>
    </row>
    <row r="643" spans="1:4" ht="13" x14ac:dyDescent="0.15">
      <c r="A643" s="10"/>
      <c r="B643" s="13"/>
      <c r="C643" s="13"/>
      <c r="D643" s="13"/>
    </row>
    <row r="644" spans="1:4" ht="13" x14ac:dyDescent="0.15">
      <c r="A644" s="10"/>
      <c r="B644" s="13"/>
      <c r="C644" s="13"/>
      <c r="D644" s="13"/>
    </row>
    <row r="645" spans="1:4" ht="13" x14ac:dyDescent="0.15">
      <c r="A645" s="10"/>
      <c r="B645" s="13"/>
      <c r="C645" s="13"/>
      <c r="D645" s="13"/>
    </row>
    <row r="646" spans="1:4" ht="13" x14ac:dyDescent="0.15">
      <c r="A646" s="10"/>
      <c r="B646" s="13"/>
      <c r="C646" s="13"/>
      <c r="D646" s="13"/>
    </row>
    <row r="647" spans="1:4" ht="13" x14ac:dyDescent="0.15">
      <c r="A647" s="10"/>
      <c r="B647" s="13"/>
      <c r="C647" s="13"/>
      <c r="D647" s="13"/>
    </row>
    <row r="648" spans="1:4" ht="13" x14ac:dyDescent="0.15">
      <c r="A648" s="10"/>
      <c r="B648" s="13"/>
      <c r="C648" s="13"/>
      <c r="D648" s="13"/>
    </row>
    <row r="649" spans="1:4" ht="13" x14ac:dyDescent="0.15">
      <c r="A649" s="10"/>
      <c r="B649" s="13"/>
      <c r="C649" s="13"/>
      <c r="D649" s="13"/>
    </row>
    <row r="650" spans="1:4" ht="13" x14ac:dyDescent="0.15">
      <c r="A650" s="10"/>
      <c r="B650" s="13"/>
      <c r="C650" s="13"/>
      <c r="D650" s="13"/>
    </row>
    <row r="651" spans="1:4" ht="13" x14ac:dyDescent="0.15">
      <c r="A651" s="10"/>
      <c r="B651" s="13"/>
      <c r="C651" s="13"/>
      <c r="D651" s="13"/>
    </row>
    <row r="652" spans="1:4" ht="13" x14ac:dyDescent="0.15">
      <c r="A652" s="10"/>
      <c r="B652" s="13"/>
      <c r="C652" s="13"/>
      <c r="D652" s="13"/>
    </row>
    <row r="653" spans="1:4" ht="13" x14ac:dyDescent="0.15">
      <c r="A653" s="10"/>
      <c r="B653" s="13"/>
      <c r="C653" s="13"/>
      <c r="D653" s="13"/>
    </row>
    <row r="654" spans="1:4" ht="13" x14ac:dyDescent="0.15">
      <c r="A654" s="10"/>
      <c r="B654" s="13"/>
      <c r="C654" s="13"/>
      <c r="D654" s="13"/>
    </row>
    <row r="655" spans="1:4" ht="13" x14ac:dyDescent="0.15">
      <c r="A655" s="10"/>
      <c r="B655" s="13"/>
      <c r="C655" s="13"/>
      <c r="D655" s="13"/>
    </row>
    <row r="656" spans="1:4" ht="13" x14ac:dyDescent="0.15">
      <c r="A656" s="10"/>
      <c r="B656" s="13"/>
      <c r="C656" s="13"/>
      <c r="D656" s="13"/>
    </row>
    <row r="657" spans="1:4" ht="13" x14ac:dyDescent="0.15">
      <c r="A657" s="10"/>
      <c r="B657" s="13"/>
      <c r="C657" s="13"/>
      <c r="D657" s="13"/>
    </row>
    <row r="658" spans="1:4" ht="13" x14ac:dyDescent="0.15">
      <c r="A658" s="10"/>
      <c r="B658" s="13"/>
      <c r="C658" s="13"/>
      <c r="D658" s="13"/>
    </row>
    <row r="659" spans="1:4" ht="13" x14ac:dyDescent="0.15">
      <c r="A659" s="10"/>
      <c r="B659" s="13"/>
      <c r="C659" s="13"/>
      <c r="D659" s="13"/>
    </row>
    <row r="660" spans="1:4" ht="13" x14ac:dyDescent="0.15">
      <c r="A660" s="10"/>
      <c r="B660" s="13"/>
      <c r="C660" s="13"/>
      <c r="D660" s="13"/>
    </row>
    <row r="661" spans="1:4" ht="13" x14ac:dyDescent="0.15">
      <c r="A661" s="10"/>
      <c r="B661" s="13"/>
      <c r="C661" s="13"/>
      <c r="D661" s="13"/>
    </row>
    <row r="662" spans="1:4" ht="13" x14ac:dyDescent="0.15">
      <c r="A662" s="10"/>
      <c r="B662" s="13"/>
      <c r="C662" s="13"/>
      <c r="D662" s="13"/>
    </row>
    <row r="663" spans="1:4" ht="13" x14ac:dyDescent="0.15">
      <c r="A663" s="10"/>
      <c r="B663" s="13"/>
      <c r="C663" s="13"/>
      <c r="D663" s="13"/>
    </row>
    <row r="664" spans="1:4" ht="13" x14ac:dyDescent="0.15">
      <c r="A664" s="10"/>
      <c r="B664" s="13"/>
      <c r="C664" s="13"/>
      <c r="D664" s="13"/>
    </row>
    <row r="665" spans="1:4" ht="13" x14ac:dyDescent="0.15">
      <c r="A665" s="10"/>
      <c r="B665" s="13"/>
      <c r="C665" s="13"/>
      <c r="D665" s="13"/>
    </row>
    <row r="666" spans="1:4" ht="13" x14ac:dyDescent="0.15">
      <c r="A666" s="10"/>
      <c r="B666" s="13"/>
      <c r="C666" s="13"/>
      <c r="D666" s="13"/>
    </row>
    <row r="667" spans="1:4" ht="13" x14ac:dyDescent="0.15">
      <c r="A667" s="10"/>
      <c r="B667" s="13"/>
      <c r="C667" s="13"/>
      <c r="D667" s="13"/>
    </row>
    <row r="668" spans="1:4" ht="13" x14ac:dyDescent="0.15">
      <c r="A668" s="10"/>
      <c r="B668" s="13"/>
      <c r="C668" s="13"/>
      <c r="D668" s="13"/>
    </row>
    <row r="669" spans="1:4" ht="13" x14ac:dyDescent="0.15">
      <c r="A669" s="10"/>
      <c r="B669" s="13"/>
      <c r="C669" s="13"/>
      <c r="D669" s="13"/>
    </row>
    <row r="670" spans="1:4" ht="13" x14ac:dyDescent="0.15">
      <c r="A670" s="10"/>
      <c r="B670" s="13"/>
      <c r="C670" s="13"/>
      <c r="D670" s="13"/>
    </row>
    <row r="671" spans="1:4" ht="13" x14ac:dyDescent="0.15">
      <c r="A671" s="10"/>
      <c r="B671" s="13"/>
      <c r="C671" s="13"/>
      <c r="D671" s="13"/>
    </row>
    <row r="672" spans="1:4" ht="13" x14ac:dyDescent="0.15">
      <c r="A672" s="10"/>
      <c r="B672" s="13"/>
      <c r="C672" s="13"/>
      <c r="D672" s="13"/>
    </row>
    <row r="673" spans="1:4" ht="13" x14ac:dyDescent="0.15">
      <c r="A673" s="10"/>
      <c r="B673" s="13"/>
      <c r="C673" s="13"/>
      <c r="D673" s="13"/>
    </row>
    <row r="674" spans="1:4" ht="13" x14ac:dyDescent="0.15">
      <c r="A674" s="10"/>
      <c r="B674" s="13"/>
      <c r="C674" s="13"/>
      <c r="D674" s="13"/>
    </row>
    <row r="675" spans="1:4" ht="13" x14ac:dyDescent="0.15">
      <c r="A675" s="10"/>
      <c r="B675" s="13"/>
      <c r="C675" s="13"/>
      <c r="D675" s="13"/>
    </row>
    <row r="676" spans="1:4" ht="13" x14ac:dyDescent="0.15">
      <c r="A676" s="10"/>
      <c r="B676" s="13"/>
      <c r="C676" s="13"/>
      <c r="D676" s="13"/>
    </row>
    <row r="677" spans="1:4" ht="13" x14ac:dyDescent="0.15">
      <c r="A677" s="10"/>
      <c r="B677" s="13"/>
      <c r="C677" s="13"/>
      <c r="D677" s="13"/>
    </row>
    <row r="678" spans="1:4" ht="13" x14ac:dyDescent="0.15">
      <c r="A678" s="10"/>
      <c r="B678" s="13"/>
      <c r="C678" s="13"/>
      <c r="D678" s="13"/>
    </row>
    <row r="679" spans="1:4" ht="13" x14ac:dyDescent="0.15">
      <c r="A679" s="10"/>
      <c r="B679" s="13"/>
      <c r="C679" s="13"/>
      <c r="D679" s="13"/>
    </row>
    <row r="680" spans="1:4" ht="13" x14ac:dyDescent="0.15">
      <c r="A680" s="10"/>
      <c r="B680" s="13"/>
      <c r="C680" s="13"/>
      <c r="D680" s="13"/>
    </row>
    <row r="681" spans="1:4" ht="13" x14ac:dyDescent="0.15">
      <c r="A681" s="10"/>
      <c r="B681" s="13"/>
      <c r="C681" s="13"/>
      <c r="D681" s="13"/>
    </row>
    <row r="682" spans="1:4" ht="13" x14ac:dyDescent="0.15">
      <c r="A682" s="10"/>
      <c r="B682" s="13"/>
      <c r="C682" s="13"/>
      <c r="D682" s="13"/>
    </row>
    <row r="683" spans="1:4" ht="13" x14ac:dyDescent="0.15">
      <c r="A683" s="10"/>
      <c r="B683" s="13"/>
      <c r="C683" s="13"/>
      <c r="D683" s="13"/>
    </row>
    <row r="684" spans="1:4" ht="13" x14ac:dyDescent="0.15">
      <c r="A684" s="10"/>
      <c r="B684" s="13"/>
      <c r="C684" s="13"/>
      <c r="D684" s="13"/>
    </row>
    <row r="685" spans="1:4" ht="13" x14ac:dyDescent="0.15">
      <c r="A685" s="10"/>
      <c r="B685" s="13"/>
      <c r="C685" s="13"/>
      <c r="D685" s="13"/>
    </row>
    <row r="686" spans="1:4" ht="13" x14ac:dyDescent="0.15">
      <c r="A686" s="10"/>
      <c r="B686" s="13"/>
      <c r="C686" s="13"/>
      <c r="D686" s="13"/>
    </row>
    <row r="687" spans="1:4" ht="13" x14ac:dyDescent="0.15">
      <c r="A687" s="10"/>
      <c r="B687" s="13"/>
      <c r="C687" s="13"/>
      <c r="D687" s="13"/>
    </row>
    <row r="688" spans="1:4" ht="13" x14ac:dyDescent="0.15">
      <c r="A688" s="10"/>
      <c r="B688" s="13"/>
      <c r="C688" s="13"/>
      <c r="D688" s="13"/>
    </row>
    <row r="689" spans="1:4" ht="13" x14ac:dyDescent="0.15">
      <c r="A689" s="10"/>
      <c r="B689" s="13"/>
      <c r="C689" s="13"/>
      <c r="D689" s="13"/>
    </row>
    <row r="690" spans="1:4" ht="13" x14ac:dyDescent="0.15">
      <c r="A690" s="10"/>
      <c r="B690" s="13"/>
      <c r="C690" s="13"/>
      <c r="D690" s="13"/>
    </row>
    <row r="691" spans="1:4" ht="13" x14ac:dyDescent="0.15">
      <c r="A691" s="10"/>
      <c r="B691" s="13"/>
      <c r="C691" s="13"/>
      <c r="D691" s="13"/>
    </row>
    <row r="692" spans="1:4" ht="13" x14ac:dyDescent="0.15">
      <c r="A692" s="10"/>
      <c r="B692" s="13"/>
      <c r="C692" s="13"/>
      <c r="D692" s="13"/>
    </row>
    <row r="693" spans="1:4" ht="13" x14ac:dyDescent="0.15">
      <c r="A693" s="10"/>
      <c r="B693" s="13"/>
      <c r="C693" s="13"/>
      <c r="D693" s="13"/>
    </row>
    <row r="694" spans="1:4" ht="13" x14ac:dyDescent="0.15">
      <c r="A694" s="10"/>
      <c r="B694" s="13"/>
      <c r="C694" s="13"/>
      <c r="D694" s="13"/>
    </row>
    <row r="695" spans="1:4" ht="13" x14ac:dyDescent="0.15">
      <c r="A695" s="10"/>
      <c r="B695" s="13"/>
      <c r="C695" s="13"/>
      <c r="D695" s="13"/>
    </row>
    <row r="696" spans="1:4" ht="13" x14ac:dyDescent="0.15">
      <c r="A696" s="10"/>
      <c r="B696" s="13"/>
      <c r="C696" s="13"/>
      <c r="D696" s="13"/>
    </row>
    <row r="697" spans="1:4" ht="13" x14ac:dyDescent="0.15">
      <c r="A697" s="10"/>
      <c r="B697" s="13"/>
      <c r="C697" s="13"/>
      <c r="D697" s="13"/>
    </row>
    <row r="698" spans="1:4" ht="13" x14ac:dyDescent="0.15">
      <c r="A698" s="10"/>
      <c r="B698" s="13"/>
      <c r="C698" s="13"/>
      <c r="D698" s="13"/>
    </row>
    <row r="699" spans="1:4" ht="13" x14ac:dyDescent="0.15">
      <c r="A699" s="10"/>
      <c r="B699" s="13"/>
      <c r="C699" s="13"/>
      <c r="D699" s="13"/>
    </row>
    <row r="700" spans="1:4" ht="13" x14ac:dyDescent="0.15">
      <c r="A700" s="10"/>
      <c r="B700" s="13"/>
      <c r="C700" s="13"/>
      <c r="D700" s="13"/>
    </row>
    <row r="701" spans="1:4" ht="13" x14ac:dyDescent="0.15">
      <c r="A701" s="10"/>
      <c r="B701" s="13"/>
      <c r="C701" s="13"/>
      <c r="D701" s="13"/>
    </row>
    <row r="702" spans="1:4" ht="13" x14ac:dyDescent="0.15">
      <c r="A702" s="10"/>
      <c r="B702" s="13"/>
      <c r="C702" s="13"/>
      <c r="D702" s="13"/>
    </row>
    <row r="703" spans="1:4" ht="13" x14ac:dyDescent="0.15">
      <c r="A703" s="10"/>
      <c r="B703" s="13"/>
      <c r="C703" s="13"/>
      <c r="D703" s="13"/>
    </row>
    <row r="704" spans="1:4" ht="13" x14ac:dyDescent="0.15">
      <c r="A704" s="10"/>
      <c r="B704" s="13"/>
      <c r="C704" s="13"/>
      <c r="D704" s="13"/>
    </row>
    <row r="705" spans="1:4" ht="13" x14ac:dyDescent="0.15">
      <c r="A705" s="10"/>
      <c r="B705" s="13"/>
      <c r="C705" s="13"/>
      <c r="D705" s="13"/>
    </row>
    <row r="706" spans="1:4" ht="13" x14ac:dyDescent="0.15">
      <c r="A706" s="10"/>
      <c r="B706" s="13"/>
      <c r="C706" s="13"/>
      <c r="D706" s="13"/>
    </row>
    <row r="707" spans="1:4" ht="13" x14ac:dyDescent="0.15">
      <c r="A707" s="10"/>
      <c r="B707" s="13"/>
      <c r="C707" s="13"/>
      <c r="D707" s="13"/>
    </row>
    <row r="708" spans="1:4" ht="13" x14ac:dyDescent="0.15">
      <c r="A708" s="10"/>
      <c r="B708" s="13"/>
      <c r="C708" s="13"/>
      <c r="D708" s="13"/>
    </row>
    <row r="709" spans="1:4" ht="13" x14ac:dyDescent="0.15">
      <c r="A709" s="10"/>
      <c r="B709" s="13"/>
      <c r="C709" s="13"/>
      <c r="D709" s="13"/>
    </row>
    <row r="710" spans="1:4" ht="13" x14ac:dyDescent="0.15">
      <c r="A710" s="10"/>
      <c r="B710" s="13"/>
      <c r="C710" s="13"/>
      <c r="D710" s="13"/>
    </row>
    <row r="711" spans="1:4" ht="13" x14ac:dyDescent="0.15">
      <c r="A711" s="10"/>
      <c r="B711" s="13"/>
      <c r="C711" s="13"/>
      <c r="D711" s="13"/>
    </row>
    <row r="712" spans="1:4" ht="13" x14ac:dyDescent="0.15">
      <c r="A712" s="10"/>
      <c r="B712" s="13"/>
      <c r="C712" s="13"/>
      <c r="D712" s="13"/>
    </row>
    <row r="713" spans="1:4" ht="13" x14ac:dyDescent="0.15">
      <c r="A713" s="10"/>
      <c r="B713" s="13"/>
      <c r="C713" s="13"/>
      <c r="D713" s="13"/>
    </row>
    <row r="714" spans="1:4" ht="13" x14ac:dyDescent="0.15">
      <c r="A714" s="10"/>
      <c r="B714" s="13"/>
      <c r="C714" s="13"/>
      <c r="D714" s="13"/>
    </row>
    <row r="715" spans="1:4" ht="13" x14ac:dyDescent="0.15">
      <c r="A715" s="10"/>
      <c r="B715" s="13"/>
      <c r="C715" s="13"/>
      <c r="D715" s="13"/>
    </row>
    <row r="716" spans="1:4" ht="13" x14ac:dyDescent="0.15">
      <c r="A716" s="10"/>
      <c r="B716" s="13"/>
      <c r="C716" s="13"/>
      <c r="D716" s="13"/>
    </row>
    <row r="717" spans="1:4" ht="13" x14ac:dyDescent="0.15">
      <c r="A717" s="10"/>
      <c r="B717" s="13"/>
      <c r="C717" s="13"/>
      <c r="D717" s="13"/>
    </row>
    <row r="718" spans="1:4" ht="13" x14ac:dyDescent="0.15">
      <c r="A718" s="10"/>
      <c r="B718" s="13"/>
      <c r="C718" s="13"/>
      <c r="D718" s="13"/>
    </row>
    <row r="719" spans="1:4" ht="13" x14ac:dyDescent="0.15">
      <c r="A719" s="10"/>
      <c r="B719" s="13"/>
      <c r="C719" s="13"/>
      <c r="D719" s="13"/>
    </row>
    <row r="720" spans="1:4" ht="13" x14ac:dyDescent="0.15">
      <c r="A720" s="10"/>
      <c r="B720" s="13"/>
      <c r="C720" s="13"/>
      <c r="D720" s="13"/>
    </row>
    <row r="721" spans="1:4" ht="13" x14ac:dyDescent="0.15">
      <c r="A721" s="10"/>
      <c r="B721" s="13"/>
      <c r="C721" s="13"/>
      <c r="D721" s="13"/>
    </row>
    <row r="722" spans="1:4" ht="13" x14ac:dyDescent="0.15">
      <c r="A722" s="10"/>
      <c r="B722" s="13"/>
      <c r="C722" s="13"/>
      <c r="D722" s="13"/>
    </row>
    <row r="723" spans="1:4" ht="13" x14ac:dyDescent="0.15">
      <c r="A723" s="10"/>
      <c r="B723" s="13"/>
      <c r="C723" s="13"/>
      <c r="D723" s="13"/>
    </row>
    <row r="724" spans="1:4" ht="13" x14ac:dyDescent="0.15">
      <c r="A724" s="10"/>
      <c r="B724" s="13"/>
      <c r="C724" s="13"/>
      <c r="D724" s="13"/>
    </row>
    <row r="725" spans="1:4" ht="13" x14ac:dyDescent="0.15">
      <c r="A725" s="10"/>
      <c r="B725" s="13"/>
      <c r="C725" s="13"/>
      <c r="D725" s="13"/>
    </row>
    <row r="726" spans="1:4" ht="13" x14ac:dyDescent="0.15">
      <c r="A726" s="10"/>
      <c r="B726" s="13"/>
      <c r="C726" s="13"/>
      <c r="D726" s="13"/>
    </row>
    <row r="727" spans="1:4" ht="13" x14ac:dyDescent="0.15">
      <c r="A727" s="10"/>
      <c r="B727" s="13"/>
      <c r="C727" s="13"/>
      <c r="D727" s="13"/>
    </row>
    <row r="728" spans="1:4" ht="13" x14ac:dyDescent="0.15">
      <c r="A728" s="10"/>
      <c r="B728" s="13"/>
      <c r="C728" s="13"/>
      <c r="D728" s="13"/>
    </row>
    <row r="729" spans="1:4" ht="13" x14ac:dyDescent="0.15">
      <c r="A729" s="10"/>
      <c r="B729" s="13"/>
      <c r="C729" s="13"/>
      <c r="D729" s="13"/>
    </row>
    <row r="730" spans="1:4" ht="13" x14ac:dyDescent="0.15">
      <c r="A730" s="10"/>
      <c r="B730" s="13"/>
      <c r="C730" s="13"/>
      <c r="D730" s="13"/>
    </row>
    <row r="731" spans="1:4" ht="13" x14ac:dyDescent="0.15">
      <c r="A731" s="10"/>
      <c r="B731" s="13"/>
      <c r="C731" s="13"/>
      <c r="D731" s="13"/>
    </row>
    <row r="732" spans="1:4" ht="13" x14ac:dyDescent="0.15">
      <c r="A732" s="10"/>
      <c r="B732" s="13"/>
      <c r="C732" s="13"/>
      <c r="D732" s="13"/>
    </row>
    <row r="733" spans="1:4" ht="13" x14ac:dyDescent="0.15">
      <c r="A733" s="10"/>
      <c r="B733" s="13"/>
      <c r="C733" s="13"/>
      <c r="D733" s="13"/>
    </row>
    <row r="734" spans="1:4" ht="13" x14ac:dyDescent="0.15">
      <c r="A734" s="10"/>
      <c r="B734" s="13"/>
      <c r="C734" s="13"/>
      <c r="D734" s="13"/>
    </row>
    <row r="735" spans="1:4" ht="13" x14ac:dyDescent="0.15">
      <c r="A735" s="10"/>
      <c r="B735" s="13"/>
      <c r="C735" s="13"/>
      <c r="D735" s="13"/>
    </row>
    <row r="736" spans="1:4" ht="13" x14ac:dyDescent="0.15">
      <c r="A736" s="10"/>
      <c r="B736" s="13"/>
      <c r="C736" s="13"/>
      <c r="D736" s="13"/>
    </row>
    <row r="737" spans="1:4" ht="13" x14ac:dyDescent="0.15">
      <c r="A737" s="10"/>
      <c r="B737" s="13"/>
      <c r="C737" s="13"/>
      <c r="D737" s="13"/>
    </row>
    <row r="738" spans="1:4" ht="13" x14ac:dyDescent="0.15">
      <c r="A738" s="10"/>
      <c r="B738" s="13"/>
      <c r="C738" s="13"/>
      <c r="D738" s="13"/>
    </row>
    <row r="739" spans="1:4" ht="13" x14ac:dyDescent="0.15">
      <c r="A739" s="10"/>
      <c r="B739" s="13"/>
      <c r="C739" s="13"/>
      <c r="D739" s="13"/>
    </row>
    <row r="740" spans="1:4" ht="13" x14ac:dyDescent="0.15">
      <c r="A740" s="10"/>
      <c r="B740" s="13"/>
      <c r="C740" s="13"/>
      <c r="D740" s="13"/>
    </row>
    <row r="741" spans="1:4" ht="13" x14ac:dyDescent="0.15">
      <c r="A741" s="10"/>
      <c r="B741" s="13"/>
      <c r="C741" s="13"/>
      <c r="D741" s="13"/>
    </row>
    <row r="742" spans="1:4" ht="13" x14ac:dyDescent="0.15">
      <c r="A742" s="10"/>
      <c r="B742" s="13"/>
      <c r="C742" s="13"/>
      <c r="D742" s="13"/>
    </row>
    <row r="743" spans="1:4" ht="13" x14ac:dyDescent="0.15">
      <c r="A743" s="10"/>
      <c r="B743" s="13"/>
      <c r="C743" s="13"/>
      <c r="D743" s="13"/>
    </row>
    <row r="744" spans="1:4" ht="13" x14ac:dyDescent="0.15">
      <c r="A744" s="10"/>
      <c r="B744" s="13"/>
      <c r="C744" s="13"/>
      <c r="D744" s="13"/>
    </row>
    <row r="745" spans="1:4" ht="13" x14ac:dyDescent="0.15">
      <c r="A745" s="10"/>
      <c r="B745" s="13"/>
      <c r="C745" s="13"/>
      <c r="D745" s="13"/>
    </row>
    <row r="746" spans="1:4" ht="13" x14ac:dyDescent="0.15">
      <c r="A746" s="10"/>
      <c r="B746" s="13"/>
      <c r="C746" s="13"/>
      <c r="D746" s="13"/>
    </row>
    <row r="747" spans="1:4" ht="13" x14ac:dyDescent="0.15">
      <c r="A747" s="10"/>
      <c r="B747" s="13"/>
      <c r="C747" s="13"/>
      <c r="D747" s="13"/>
    </row>
    <row r="748" spans="1:4" ht="13" x14ac:dyDescent="0.15">
      <c r="A748" s="10"/>
      <c r="B748" s="13"/>
      <c r="C748" s="13"/>
      <c r="D748" s="13"/>
    </row>
    <row r="749" spans="1:4" ht="13" x14ac:dyDescent="0.15">
      <c r="A749" s="10"/>
      <c r="B749" s="13"/>
      <c r="C749" s="13"/>
      <c r="D749" s="13"/>
    </row>
    <row r="750" spans="1:4" ht="13" x14ac:dyDescent="0.15">
      <c r="A750" s="10"/>
      <c r="B750" s="13"/>
      <c r="C750" s="13"/>
      <c r="D750" s="13"/>
    </row>
    <row r="751" spans="1:4" ht="13" x14ac:dyDescent="0.15">
      <c r="A751" s="10"/>
      <c r="B751" s="13"/>
      <c r="C751" s="13"/>
      <c r="D751" s="13"/>
    </row>
    <row r="752" spans="1:4" ht="13" x14ac:dyDescent="0.15">
      <c r="A752" s="10"/>
      <c r="B752" s="13"/>
      <c r="C752" s="13"/>
      <c r="D752" s="13"/>
    </row>
    <row r="753" spans="1:4" ht="13" x14ac:dyDescent="0.15">
      <c r="A753" s="10"/>
      <c r="B753" s="13"/>
      <c r="C753" s="13"/>
      <c r="D753" s="13"/>
    </row>
    <row r="754" spans="1:4" ht="13" x14ac:dyDescent="0.15">
      <c r="A754" s="10"/>
      <c r="B754" s="13"/>
      <c r="C754" s="13"/>
      <c r="D754" s="13"/>
    </row>
    <row r="755" spans="1:4" ht="13" x14ac:dyDescent="0.15">
      <c r="A755" s="10"/>
      <c r="B755" s="13"/>
      <c r="C755" s="13"/>
      <c r="D755" s="13"/>
    </row>
    <row r="756" spans="1:4" ht="13" x14ac:dyDescent="0.15">
      <c r="A756" s="10"/>
      <c r="B756" s="13"/>
      <c r="C756" s="13"/>
      <c r="D756" s="13"/>
    </row>
    <row r="757" spans="1:4" ht="13" x14ac:dyDescent="0.15">
      <c r="A757" s="10"/>
      <c r="B757" s="13"/>
      <c r="C757" s="13"/>
      <c r="D757" s="13"/>
    </row>
    <row r="758" spans="1:4" ht="13" x14ac:dyDescent="0.15">
      <c r="A758" s="10"/>
      <c r="B758" s="13"/>
      <c r="C758" s="13"/>
      <c r="D758" s="13"/>
    </row>
    <row r="759" spans="1:4" ht="13" x14ac:dyDescent="0.15">
      <c r="A759" s="10"/>
      <c r="B759" s="13"/>
      <c r="C759" s="13"/>
      <c r="D759" s="13"/>
    </row>
    <row r="760" spans="1:4" ht="13" x14ac:dyDescent="0.15">
      <c r="A760" s="10"/>
      <c r="B760" s="13"/>
      <c r="C760" s="13"/>
      <c r="D760" s="13"/>
    </row>
    <row r="761" spans="1:4" ht="13" x14ac:dyDescent="0.15">
      <c r="A761" s="10"/>
      <c r="B761" s="13"/>
      <c r="C761" s="13"/>
      <c r="D761" s="13"/>
    </row>
    <row r="762" spans="1:4" ht="13" x14ac:dyDescent="0.15">
      <c r="A762" s="10"/>
      <c r="B762" s="13"/>
      <c r="C762" s="13"/>
      <c r="D762" s="13"/>
    </row>
    <row r="763" spans="1:4" ht="13" x14ac:dyDescent="0.15">
      <c r="A763" s="10"/>
      <c r="B763" s="13"/>
      <c r="C763" s="13"/>
      <c r="D763" s="13"/>
    </row>
    <row r="764" spans="1:4" ht="13" x14ac:dyDescent="0.15">
      <c r="A764" s="10"/>
      <c r="B764" s="13"/>
      <c r="C764" s="13"/>
      <c r="D764" s="13"/>
    </row>
    <row r="765" spans="1:4" ht="13" x14ac:dyDescent="0.15">
      <c r="A765" s="10"/>
      <c r="B765" s="13"/>
      <c r="C765" s="13"/>
      <c r="D765" s="13"/>
    </row>
    <row r="766" spans="1:4" ht="13" x14ac:dyDescent="0.15">
      <c r="A766" s="10"/>
      <c r="B766" s="13"/>
      <c r="C766" s="13"/>
      <c r="D766" s="13"/>
    </row>
    <row r="767" spans="1:4" ht="13" x14ac:dyDescent="0.15">
      <c r="A767" s="10"/>
      <c r="B767" s="13"/>
      <c r="C767" s="13"/>
      <c r="D767" s="13"/>
    </row>
    <row r="768" spans="1:4" ht="13" x14ac:dyDescent="0.15">
      <c r="A768" s="10"/>
      <c r="B768" s="13"/>
      <c r="C768" s="13"/>
      <c r="D768" s="13"/>
    </row>
    <row r="769" spans="1:4" ht="13" x14ac:dyDescent="0.15">
      <c r="A769" s="10"/>
      <c r="B769" s="13"/>
      <c r="C769" s="13"/>
      <c r="D769" s="13"/>
    </row>
    <row r="770" spans="1:4" ht="13" x14ac:dyDescent="0.15">
      <c r="A770" s="10"/>
      <c r="B770" s="13"/>
      <c r="C770" s="13"/>
      <c r="D770" s="13"/>
    </row>
    <row r="771" spans="1:4" ht="13" x14ac:dyDescent="0.15">
      <c r="A771" s="10"/>
      <c r="B771" s="13"/>
      <c r="C771" s="13"/>
      <c r="D771" s="13"/>
    </row>
    <row r="772" spans="1:4" ht="13" x14ac:dyDescent="0.15">
      <c r="A772" s="10"/>
      <c r="B772" s="13"/>
      <c r="C772" s="13"/>
      <c r="D772" s="13"/>
    </row>
    <row r="773" spans="1:4" ht="13" x14ac:dyDescent="0.15">
      <c r="A773" s="10"/>
      <c r="B773" s="13"/>
      <c r="C773" s="13"/>
      <c r="D773" s="13"/>
    </row>
    <row r="774" spans="1:4" ht="13" x14ac:dyDescent="0.15">
      <c r="A774" s="10"/>
      <c r="B774" s="13"/>
      <c r="C774" s="13"/>
      <c r="D774" s="13"/>
    </row>
    <row r="775" spans="1:4" ht="13" x14ac:dyDescent="0.15">
      <c r="A775" s="10"/>
      <c r="B775" s="13"/>
      <c r="C775" s="13"/>
      <c r="D775" s="13"/>
    </row>
    <row r="776" spans="1:4" ht="13" x14ac:dyDescent="0.15">
      <c r="A776" s="10"/>
      <c r="B776" s="13"/>
      <c r="C776" s="13"/>
      <c r="D776" s="13"/>
    </row>
    <row r="777" spans="1:4" ht="13" x14ac:dyDescent="0.15">
      <c r="A777" s="10"/>
      <c r="B777" s="13"/>
      <c r="C777" s="13"/>
      <c r="D777" s="13"/>
    </row>
    <row r="778" spans="1:4" ht="13" x14ac:dyDescent="0.15">
      <c r="A778" s="10"/>
      <c r="B778" s="13"/>
      <c r="C778" s="13"/>
      <c r="D778" s="13"/>
    </row>
    <row r="779" spans="1:4" ht="13" x14ac:dyDescent="0.15">
      <c r="A779" s="10"/>
      <c r="B779" s="13"/>
      <c r="C779" s="13"/>
      <c r="D779" s="13"/>
    </row>
    <row r="780" spans="1:4" ht="13" x14ac:dyDescent="0.15">
      <c r="A780" s="10"/>
      <c r="B780" s="13"/>
      <c r="C780" s="13"/>
      <c r="D780" s="13"/>
    </row>
    <row r="781" spans="1:4" ht="13" x14ac:dyDescent="0.15">
      <c r="A781" s="10"/>
      <c r="B781" s="13"/>
      <c r="C781" s="13"/>
      <c r="D781" s="13"/>
    </row>
    <row r="782" spans="1:4" ht="13" x14ac:dyDescent="0.15">
      <c r="A782" s="10"/>
      <c r="B782" s="13"/>
      <c r="C782" s="13"/>
      <c r="D782" s="13"/>
    </row>
    <row r="783" spans="1:4" ht="13" x14ac:dyDescent="0.15">
      <c r="A783" s="10"/>
      <c r="B783" s="13"/>
      <c r="C783" s="13"/>
      <c r="D783" s="13"/>
    </row>
    <row r="784" spans="1:4" ht="13" x14ac:dyDescent="0.15">
      <c r="A784" s="10"/>
      <c r="B784" s="13"/>
      <c r="C784" s="13"/>
      <c r="D784" s="13"/>
    </row>
    <row r="785" spans="1:4" ht="13" x14ac:dyDescent="0.15">
      <c r="A785" s="10"/>
      <c r="B785" s="13"/>
      <c r="C785" s="13"/>
      <c r="D785" s="13"/>
    </row>
    <row r="786" spans="1:4" ht="13" x14ac:dyDescent="0.15">
      <c r="A786" s="10"/>
      <c r="B786" s="13"/>
      <c r="C786" s="13"/>
      <c r="D786" s="13"/>
    </row>
    <row r="787" spans="1:4" ht="13" x14ac:dyDescent="0.15">
      <c r="A787" s="10"/>
      <c r="B787" s="13"/>
      <c r="C787" s="13"/>
      <c r="D787" s="13"/>
    </row>
    <row r="788" spans="1:4" ht="13" x14ac:dyDescent="0.15">
      <c r="A788" s="10"/>
      <c r="B788" s="13"/>
      <c r="C788" s="13"/>
      <c r="D788" s="13"/>
    </row>
    <row r="789" spans="1:4" ht="13" x14ac:dyDescent="0.15">
      <c r="A789" s="10"/>
      <c r="B789" s="13"/>
      <c r="C789" s="13"/>
      <c r="D789" s="13"/>
    </row>
    <row r="790" spans="1:4" ht="13" x14ac:dyDescent="0.15">
      <c r="A790" s="10"/>
      <c r="B790" s="13"/>
      <c r="C790" s="13"/>
      <c r="D790" s="13"/>
    </row>
    <row r="791" spans="1:4" ht="13" x14ac:dyDescent="0.15">
      <c r="A791" s="10"/>
      <c r="B791" s="13"/>
      <c r="C791" s="13"/>
      <c r="D791" s="13"/>
    </row>
    <row r="792" spans="1:4" ht="13" x14ac:dyDescent="0.15">
      <c r="A792" s="10"/>
      <c r="B792" s="13"/>
      <c r="C792" s="13"/>
      <c r="D792" s="13"/>
    </row>
    <row r="793" spans="1:4" ht="13" x14ac:dyDescent="0.15">
      <c r="A793" s="10"/>
      <c r="B793" s="13"/>
      <c r="C793" s="13"/>
      <c r="D793" s="13"/>
    </row>
    <row r="794" spans="1:4" ht="13" x14ac:dyDescent="0.15">
      <c r="A794" s="10"/>
      <c r="B794" s="13"/>
      <c r="C794" s="13"/>
      <c r="D794" s="13"/>
    </row>
    <row r="795" spans="1:4" ht="13" x14ac:dyDescent="0.15">
      <c r="A795" s="10"/>
      <c r="B795" s="13"/>
      <c r="C795" s="13"/>
      <c r="D795" s="13"/>
    </row>
    <row r="796" spans="1:4" ht="13" x14ac:dyDescent="0.15">
      <c r="A796" s="10"/>
      <c r="B796" s="13"/>
      <c r="C796" s="13"/>
      <c r="D796" s="13"/>
    </row>
    <row r="797" spans="1:4" ht="13" x14ac:dyDescent="0.15">
      <c r="A797" s="10"/>
      <c r="B797" s="13"/>
      <c r="C797" s="13"/>
      <c r="D797" s="13"/>
    </row>
    <row r="798" spans="1:4" ht="13" x14ac:dyDescent="0.15">
      <c r="A798" s="10"/>
      <c r="B798" s="13"/>
      <c r="C798" s="13"/>
      <c r="D798" s="13"/>
    </row>
    <row r="799" spans="1:4" ht="13" x14ac:dyDescent="0.15">
      <c r="A799" s="10"/>
      <c r="B799" s="13"/>
      <c r="C799" s="13"/>
      <c r="D799" s="13"/>
    </row>
    <row r="800" spans="1:4" ht="13" x14ac:dyDescent="0.15">
      <c r="A800" s="10"/>
      <c r="B800" s="13"/>
      <c r="C800" s="13"/>
      <c r="D800" s="13"/>
    </row>
    <row r="801" spans="1:4" ht="13" x14ac:dyDescent="0.15">
      <c r="A801" s="10"/>
      <c r="B801" s="13"/>
      <c r="C801" s="13"/>
      <c r="D801" s="13"/>
    </row>
    <row r="802" spans="1:4" ht="13" x14ac:dyDescent="0.15">
      <c r="A802" s="10"/>
      <c r="B802" s="13"/>
      <c r="C802" s="13"/>
      <c r="D802" s="13"/>
    </row>
    <row r="803" spans="1:4" ht="13" x14ac:dyDescent="0.15">
      <c r="A803" s="10"/>
      <c r="B803" s="13"/>
      <c r="C803" s="13"/>
      <c r="D803" s="13"/>
    </row>
    <row r="804" spans="1:4" ht="13" x14ac:dyDescent="0.15">
      <c r="A804" s="10"/>
      <c r="B804" s="13"/>
      <c r="C804" s="13"/>
      <c r="D804" s="13"/>
    </row>
    <row r="805" spans="1:4" ht="13" x14ac:dyDescent="0.15">
      <c r="A805" s="10"/>
      <c r="B805" s="13"/>
      <c r="C805" s="13"/>
      <c r="D805" s="13"/>
    </row>
    <row r="806" spans="1:4" ht="13" x14ac:dyDescent="0.15">
      <c r="A806" s="10"/>
      <c r="B806" s="13"/>
      <c r="C806" s="13"/>
      <c r="D806" s="13"/>
    </row>
    <row r="807" spans="1:4" ht="13" x14ac:dyDescent="0.15">
      <c r="A807" s="10"/>
      <c r="B807" s="13"/>
      <c r="C807" s="13"/>
      <c r="D807" s="13"/>
    </row>
    <row r="808" spans="1:4" ht="13" x14ac:dyDescent="0.15">
      <c r="A808" s="10"/>
      <c r="B808" s="13"/>
      <c r="C808" s="13"/>
      <c r="D808" s="13"/>
    </row>
    <row r="809" spans="1:4" ht="13" x14ac:dyDescent="0.15">
      <c r="A809" s="10"/>
      <c r="B809" s="13"/>
      <c r="C809" s="13"/>
      <c r="D809" s="13"/>
    </row>
    <row r="810" spans="1:4" ht="13" x14ac:dyDescent="0.15">
      <c r="A810" s="10"/>
      <c r="B810" s="13"/>
      <c r="C810" s="13"/>
      <c r="D810" s="13"/>
    </row>
    <row r="811" spans="1:4" ht="13" x14ac:dyDescent="0.15">
      <c r="A811" s="10"/>
      <c r="B811" s="13"/>
      <c r="C811" s="13"/>
      <c r="D811" s="13"/>
    </row>
    <row r="812" spans="1:4" ht="13" x14ac:dyDescent="0.15">
      <c r="A812" s="10"/>
      <c r="B812" s="13"/>
      <c r="C812" s="13"/>
      <c r="D812" s="13"/>
    </row>
    <row r="813" spans="1:4" ht="13" x14ac:dyDescent="0.15">
      <c r="A813" s="10"/>
      <c r="B813" s="13"/>
      <c r="C813" s="13"/>
      <c r="D813" s="13"/>
    </row>
    <row r="814" spans="1:4" ht="13" x14ac:dyDescent="0.15">
      <c r="A814" s="10"/>
      <c r="B814" s="13"/>
      <c r="C814" s="13"/>
      <c r="D814" s="13"/>
    </row>
    <row r="815" spans="1:4" ht="13" x14ac:dyDescent="0.15">
      <c r="A815" s="10"/>
      <c r="B815" s="13"/>
      <c r="C815" s="13"/>
      <c r="D815" s="13"/>
    </row>
    <row r="816" spans="1:4" ht="13" x14ac:dyDescent="0.15">
      <c r="A816" s="10"/>
      <c r="B816" s="13"/>
      <c r="C816" s="13"/>
      <c r="D816" s="13"/>
    </row>
    <row r="817" spans="1:4" ht="13" x14ac:dyDescent="0.15">
      <c r="A817" s="10"/>
      <c r="B817" s="13"/>
      <c r="C817" s="13"/>
      <c r="D817" s="13"/>
    </row>
    <row r="818" spans="1:4" ht="13" x14ac:dyDescent="0.15">
      <c r="A818" s="10"/>
      <c r="B818" s="13"/>
      <c r="C818" s="13"/>
      <c r="D818" s="13"/>
    </row>
    <row r="819" spans="1:4" ht="13" x14ac:dyDescent="0.15">
      <c r="A819" s="10"/>
      <c r="B819" s="13"/>
      <c r="C819" s="13"/>
      <c r="D819" s="13"/>
    </row>
    <row r="820" spans="1:4" ht="13" x14ac:dyDescent="0.15">
      <c r="A820" s="10"/>
      <c r="B820" s="13"/>
      <c r="C820" s="13"/>
      <c r="D820" s="13"/>
    </row>
    <row r="821" spans="1:4" ht="13" x14ac:dyDescent="0.15">
      <c r="A821" s="10"/>
      <c r="B821" s="13"/>
      <c r="C821" s="13"/>
      <c r="D821" s="13"/>
    </row>
    <row r="822" spans="1:4" ht="13" x14ac:dyDescent="0.15">
      <c r="A822" s="10"/>
      <c r="B822" s="13"/>
      <c r="C822" s="13"/>
      <c r="D822" s="13"/>
    </row>
    <row r="823" spans="1:4" ht="13" x14ac:dyDescent="0.15">
      <c r="A823" s="10"/>
      <c r="B823" s="13"/>
      <c r="C823" s="13"/>
      <c r="D823" s="13"/>
    </row>
    <row r="824" spans="1:4" ht="13" x14ac:dyDescent="0.15">
      <c r="A824" s="10"/>
      <c r="B824" s="13"/>
      <c r="C824" s="13"/>
      <c r="D824" s="13"/>
    </row>
    <row r="825" spans="1:4" ht="13" x14ac:dyDescent="0.15">
      <c r="A825" s="10"/>
      <c r="B825" s="13"/>
      <c r="C825" s="13"/>
      <c r="D825" s="13"/>
    </row>
    <row r="826" spans="1:4" ht="13" x14ac:dyDescent="0.15">
      <c r="A826" s="10"/>
      <c r="B826" s="13"/>
      <c r="C826" s="13"/>
      <c r="D826" s="13"/>
    </row>
    <row r="827" spans="1:4" ht="13" x14ac:dyDescent="0.15">
      <c r="A827" s="10"/>
      <c r="B827" s="13"/>
      <c r="C827" s="13"/>
      <c r="D827" s="13"/>
    </row>
    <row r="828" spans="1:4" ht="13" x14ac:dyDescent="0.15">
      <c r="A828" s="10"/>
      <c r="B828" s="13"/>
      <c r="C828" s="13"/>
      <c r="D828" s="13"/>
    </row>
    <row r="829" spans="1:4" ht="13" x14ac:dyDescent="0.15">
      <c r="A829" s="10"/>
      <c r="B829" s="13"/>
      <c r="C829" s="13"/>
      <c r="D829" s="13"/>
    </row>
    <row r="830" spans="1:4" ht="13" x14ac:dyDescent="0.15">
      <c r="A830" s="10"/>
      <c r="B830" s="13"/>
      <c r="C830" s="13"/>
      <c r="D830" s="13"/>
    </row>
    <row r="831" spans="1:4" ht="13" x14ac:dyDescent="0.15">
      <c r="A831" s="10"/>
      <c r="B831" s="13"/>
      <c r="C831" s="13"/>
      <c r="D831" s="13"/>
    </row>
    <row r="832" spans="1:4" ht="13" x14ac:dyDescent="0.15">
      <c r="A832" s="10"/>
      <c r="B832" s="13"/>
      <c r="C832" s="13"/>
      <c r="D832" s="13"/>
    </row>
    <row r="833" spans="1:4" ht="13" x14ac:dyDescent="0.15">
      <c r="A833" s="10"/>
      <c r="B833" s="13"/>
      <c r="C833" s="13"/>
      <c r="D833" s="13"/>
    </row>
    <row r="834" spans="1:4" ht="13" x14ac:dyDescent="0.15">
      <c r="A834" s="10"/>
      <c r="B834" s="13"/>
      <c r="C834" s="13"/>
      <c r="D834" s="13"/>
    </row>
    <row r="835" spans="1:4" ht="13" x14ac:dyDescent="0.15">
      <c r="A835" s="10"/>
      <c r="B835" s="13"/>
      <c r="C835" s="13"/>
      <c r="D835" s="13"/>
    </row>
    <row r="836" spans="1:4" ht="13" x14ac:dyDescent="0.15">
      <c r="A836" s="10"/>
      <c r="B836" s="13"/>
      <c r="C836" s="13"/>
      <c r="D836" s="13"/>
    </row>
    <row r="837" spans="1:4" ht="13" x14ac:dyDescent="0.15">
      <c r="A837" s="10"/>
      <c r="B837" s="13"/>
      <c r="C837" s="13"/>
      <c r="D837" s="13"/>
    </row>
    <row r="838" spans="1:4" ht="13" x14ac:dyDescent="0.15">
      <c r="A838" s="10"/>
      <c r="B838" s="13"/>
      <c r="C838" s="13"/>
      <c r="D838" s="13"/>
    </row>
    <row r="839" spans="1:4" ht="13" x14ac:dyDescent="0.15">
      <c r="A839" s="10"/>
      <c r="B839" s="13"/>
      <c r="C839" s="13"/>
      <c r="D839" s="13"/>
    </row>
    <row r="840" spans="1:4" ht="13" x14ac:dyDescent="0.15">
      <c r="A840" s="10"/>
      <c r="B840" s="13"/>
      <c r="C840" s="13"/>
      <c r="D840" s="13"/>
    </row>
    <row r="841" spans="1:4" ht="13" x14ac:dyDescent="0.15">
      <c r="A841" s="10"/>
      <c r="B841" s="13"/>
      <c r="C841" s="13"/>
      <c r="D841" s="13"/>
    </row>
    <row r="842" spans="1:4" ht="13" x14ac:dyDescent="0.15">
      <c r="A842" s="10"/>
      <c r="B842" s="13"/>
      <c r="C842" s="13"/>
      <c r="D842" s="13"/>
    </row>
    <row r="843" spans="1:4" ht="13" x14ac:dyDescent="0.15">
      <c r="A843" s="10"/>
      <c r="B843" s="13"/>
      <c r="C843" s="13"/>
      <c r="D843" s="13"/>
    </row>
    <row r="844" spans="1:4" ht="13" x14ac:dyDescent="0.15">
      <c r="A844" s="10"/>
      <c r="B844" s="13"/>
      <c r="C844" s="13"/>
      <c r="D844" s="13"/>
    </row>
    <row r="845" spans="1:4" ht="13" x14ac:dyDescent="0.15">
      <c r="A845" s="10"/>
      <c r="B845" s="13"/>
      <c r="C845" s="13"/>
      <c r="D845" s="13"/>
    </row>
    <row r="846" spans="1:4" ht="13" x14ac:dyDescent="0.15">
      <c r="A846" s="10"/>
      <c r="B846" s="13"/>
      <c r="C846" s="13"/>
      <c r="D846" s="13"/>
    </row>
    <row r="847" spans="1:4" ht="13" x14ac:dyDescent="0.15">
      <c r="A847" s="10"/>
      <c r="B847" s="13"/>
      <c r="C847" s="13"/>
      <c r="D847" s="13"/>
    </row>
    <row r="848" spans="1:4" ht="13" x14ac:dyDescent="0.15">
      <c r="A848" s="10"/>
      <c r="B848" s="13"/>
      <c r="C848" s="13"/>
      <c r="D848" s="13"/>
    </row>
    <row r="849" spans="1:4" ht="13" x14ac:dyDescent="0.15">
      <c r="A849" s="10"/>
      <c r="B849" s="13"/>
      <c r="C849" s="13"/>
      <c r="D849" s="13"/>
    </row>
    <row r="850" spans="1:4" ht="13" x14ac:dyDescent="0.15">
      <c r="A850" s="10"/>
      <c r="B850" s="13"/>
      <c r="C850" s="13"/>
      <c r="D850" s="13"/>
    </row>
    <row r="851" spans="1:4" ht="13" x14ac:dyDescent="0.15">
      <c r="A851" s="10"/>
      <c r="B851" s="13"/>
      <c r="C851" s="13"/>
      <c r="D851" s="13"/>
    </row>
    <row r="852" spans="1:4" ht="13" x14ac:dyDescent="0.15">
      <c r="A852" s="10"/>
      <c r="B852" s="13"/>
      <c r="C852" s="13"/>
      <c r="D852" s="13"/>
    </row>
    <row r="853" spans="1:4" ht="13" x14ac:dyDescent="0.15">
      <c r="A853" s="10"/>
      <c r="B853" s="13"/>
      <c r="C853" s="13"/>
      <c r="D853" s="13"/>
    </row>
    <row r="854" spans="1:4" ht="13" x14ac:dyDescent="0.15">
      <c r="A854" s="10"/>
      <c r="B854" s="13"/>
      <c r="C854" s="13"/>
      <c r="D854" s="13"/>
    </row>
    <row r="855" spans="1:4" ht="13" x14ac:dyDescent="0.15">
      <c r="A855" s="10"/>
      <c r="B855" s="13"/>
      <c r="C855" s="13"/>
      <c r="D855" s="13"/>
    </row>
    <row r="856" spans="1:4" ht="13" x14ac:dyDescent="0.15">
      <c r="A856" s="10"/>
      <c r="B856" s="13"/>
      <c r="C856" s="13"/>
      <c r="D856" s="13"/>
    </row>
    <row r="857" spans="1:4" ht="13" x14ac:dyDescent="0.15">
      <c r="A857" s="10"/>
      <c r="B857" s="13"/>
      <c r="C857" s="13"/>
      <c r="D857" s="13"/>
    </row>
    <row r="858" spans="1:4" ht="13" x14ac:dyDescent="0.15">
      <c r="A858" s="10"/>
      <c r="B858" s="13"/>
      <c r="C858" s="13"/>
      <c r="D858" s="13"/>
    </row>
    <row r="859" spans="1:4" ht="13" x14ac:dyDescent="0.15">
      <c r="A859" s="10"/>
      <c r="B859" s="13"/>
      <c r="C859" s="13"/>
      <c r="D859" s="13"/>
    </row>
    <row r="860" spans="1:4" ht="13" x14ac:dyDescent="0.15">
      <c r="A860" s="10"/>
      <c r="B860" s="13"/>
      <c r="C860" s="13"/>
      <c r="D860" s="13"/>
    </row>
    <row r="861" spans="1:4" ht="13" x14ac:dyDescent="0.15">
      <c r="A861" s="10"/>
      <c r="B861" s="13"/>
      <c r="C861" s="13"/>
      <c r="D861" s="13"/>
    </row>
    <row r="862" spans="1:4" ht="13" x14ac:dyDescent="0.15">
      <c r="A862" s="10"/>
      <c r="B862" s="13"/>
      <c r="C862" s="13"/>
      <c r="D862" s="13"/>
    </row>
    <row r="863" spans="1:4" ht="13" x14ac:dyDescent="0.15">
      <c r="A863" s="10"/>
      <c r="B863" s="13"/>
      <c r="C863" s="13"/>
      <c r="D863" s="13"/>
    </row>
    <row r="864" spans="1:4" ht="13" x14ac:dyDescent="0.15">
      <c r="A864" s="10"/>
      <c r="B864" s="13"/>
      <c r="C864" s="13"/>
      <c r="D864" s="13"/>
    </row>
    <row r="865" spans="1:4" ht="13" x14ac:dyDescent="0.15">
      <c r="A865" s="10"/>
      <c r="B865" s="13"/>
      <c r="C865" s="13"/>
      <c r="D865" s="13"/>
    </row>
    <row r="866" spans="1:4" ht="13" x14ac:dyDescent="0.15">
      <c r="A866" s="10"/>
      <c r="B866" s="13"/>
      <c r="C866" s="13"/>
      <c r="D866" s="13"/>
    </row>
    <row r="867" spans="1:4" ht="13" x14ac:dyDescent="0.15">
      <c r="A867" s="10"/>
      <c r="B867" s="13"/>
      <c r="C867" s="13"/>
      <c r="D867" s="13"/>
    </row>
    <row r="868" spans="1:4" ht="13" x14ac:dyDescent="0.15">
      <c r="A868" s="10"/>
      <c r="B868" s="13"/>
      <c r="C868" s="13"/>
      <c r="D868" s="13"/>
    </row>
    <row r="869" spans="1:4" ht="13" x14ac:dyDescent="0.15">
      <c r="A869" s="10"/>
      <c r="B869" s="13"/>
      <c r="C869" s="13"/>
      <c r="D869" s="13"/>
    </row>
    <row r="870" spans="1:4" ht="13" x14ac:dyDescent="0.15">
      <c r="A870" s="10"/>
      <c r="B870" s="13"/>
      <c r="C870" s="13"/>
      <c r="D870" s="13"/>
    </row>
    <row r="871" spans="1:4" ht="13" x14ac:dyDescent="0.15">
      <c r="A871" s="10"/>
      <c r="B871" s="13"/>
      <c r="C871" s="13"/>
      <c r="D871" s="13"/>
    </row>
    <row r="872" spans="1:4" ht="13" x14ac:dyDescent="0.15">
      <c r="A872" s="10"/>
      <c r="B872" s="13"/>
      <c r="C872" s="13"/>
      <c r="D872" s="13"/>
    </row>
    <row r="873" spans="1:4" ht="13" x14ac:dyDescent="0.15">
      <c r="A873" s="10"/>
      <c r="B873" s="13"/>
      <c r="C873" s="13"/>
      <c r="D873" s="13"/>
    </row>
    <row r="874" spans="1:4" ht="13" x14ac:dyDescent="0.15">
      <c r="A874" s="10"/>
      <c r="B874" s="13"/>
      <c r="C874" s="13"/>
      <c r="D874" s="13"/>
    </row>
    <row r="875" spans="1:4" ht="13" x14ac:dyDescent="0.15">
      <c r="A875" s="10"/>
      <c r="B875" s="13"/>
      <c r="C875" s="13"/>
      <c r="D875" s="13"/>
    </row>
    <row r="876" spans="1:4" ht="13" x14ac:dyDescent="0.15">
      <c r="A876" s="10"/>
      <c r="B876" s="13"/>
      <c r="C876" s="13"/>
      <c r="D876" s="13"/>
    </row>
    <row r="877" spans="1:4" ht="13" x14ac:dyDescent="0.15">
      <c r="A877" s="10"/>
      <c r="B877" s="13"/>
      <c r="C877" s="13"/>
      <c r="D877" s="13"/>
    </row>
    <row r="878" spans="1:4" ht="13" x14ac:dyDescent="0.15">
      <c r="A878" s="10"/>
      <c r="B878" s="13"/>
      <c r="C878" s="13"/>
      <c r="D878" s="13"/>
    </row>
    <row r="879" spans="1:4" ht="13" x14ac:dyDescent="0.15">
      <c r="A879" s="10"/>
      <c r="B879" s="13"/>
      <c r="C879" s="13"/>
      <c r="D879" s="13"/>
    </row>
    <row r="880" spans="1:4" ht="13" x14ac:dyDescent="0.15">
      <c r="A880" s="10"/>
      <c r="B880" s="13"/>
      <c r="C880" s="13"/>
      <c r="D880" s="13"/>
    </row>
    <row r="881" spans="1:4" ht="13" x14ac:dyDescent="0.15">
      <c r="A881" s="10"/>
      <c r="B881" s="13"/>
      <c r="C881" s="13"/>
      <c r="D881" s="13"/>
    </row>
    <row r="882" spans="1:4" ht="13" x14ac:dyDescent="0.15">
      <c r="A882" s="10"/>
      <c r="B882" s="13"/>
      <c r="C882" s="13"/>
      <c r="D882" s="13"/>
    </row>
    <row r="883" spans="1:4" ht="13" x14ac:dyDescent="0.15">
      <c r="A883" s="10"/>
      <c r="B883" s="13"/>
      <c r="C883" s="13"/>
      <c r="D883" s="13"/>
    </row>
    <row r="884" spans="1:4" ht="13" x14ac:dyDescent="0.15">
      <c r="A884" s="10"/>
      <c r="B884" s="13"/>
      <c r="C884" s="13"/>
      <c r="D884" s="13"/>
    </row>
    <row r="885" spans="1:4" ht="13" x14ac:dyDescent="0.15">
      <c r="A885" s="10"/>
      <c r="B885" s="13"/>
      <c r="C885" s="13"/>
      <c r="D885" s="13"/>
    </row>
    <row r="886" spans="1:4" ht="13" x14ac:dyDescent="0.15">
      <c r="A886" s="10"/>
      <c r="B886" s="13"/>
      <c r="C886" s="13"/>
      <c r="D886" s="13"/>
    </row>
    <row r="887" spans="1:4" ht="13" x14ac:dyDescent="0.15">
      <c r="A887" s="10"/>
      <c r="B887" s="13"/>
      <c r="C887" s="13"/>
      <c r="D887" s="13"/>
    </row>
    <row r="888" spans="1:4" ht="13" x14ac:dyDescent="0.15">
      <c r="A888" s="10"/>
      <c r="B888" s="13"/>
      <c r="C888" s="13"/>
      <c r="D888" s="13"/>
    </row>
    <row r="889" spans="1:4" ht="13" x14ac:dyDescent="0.15">
      <c r="A889" s="10"/>
      <c r="B889" s="13"/>
      <c r="C889" s="13"/>
      <c r="D889" s="13"/>
    </row>
    <row r="890" spans="1:4" ht="13" x14ac:dyDescent="0.15">
      <c r="A890" s="10"/>
      <c r="B890" s="13"/>
      <c r="C890" s="13"/>
      <c r="D890" s="13"/>
    </row>
    <row r="891" spans="1:4" ht="13" x14ac:dyDescent="0.15">
      <c r="A891" s="10"/>
      <c r="B891" s="13"/>
      <c r="C891" s="13"/>
      <c r="D891" s="13"/>
    </row>
    <row r="892" spans="1:4" ht="13" x14ac:dyDescent="0.15">
      <c r="A892" s="10"/>
      <c r="B892" s="13"/>
      <c r="C892" s="13"/>
      <c r="D892" s="13"/>
    </row>
    <row r="893" spans="1:4" ht="13" x14ac:dyDescent="0.15">
      <c r="A893" s="10"/>
      <c r="B893" s="13"/>
      <c r="C893" s="13"/>
      <c r="D893" s="13"/>
    </row>
    <row r="894" spans="1:4" ht="13" x14ac:dyDescent="0.15">
      <c r="A894" s="10"/>
      <c r="B894" s="13"/>
      <c r="C894" s="13"/>
      <c r="D894" s="13"/>
    </row>
    <row r="895" spans="1:4" ht="13" x14ac:dyDescent="0.15">
      <c r="A895" s="10"/>
      <c r="B895" s="13"/>
      <c r="C895" s="13"/>
      <c r="D895" s="13"/>
    </row>
    <row r="896" spans="1:4" ht="13" x14ac:dyDescent="0.15">
      <c r="A896" s="10"/>
      <c r="B896" s="13"/>
      <c r="C896" s="13"/>
      <c r="D896" s="13"/>
    </row>
    <row r="897" spans="1:4" ht="13" x14ac:dyDescent="0.15">
      <c r="A897" s="10"/>
      <c r="B897" s="13"/>
      <c r="C897" s="13"/>
      <c r="D897" s="13"/>
    </row>
    <row r="898" spans="1:4" ht="13" x14ac:dyDescent="0.15">
      <c r="A898" s="10"/>
      <c r="B898" s="13"/>
      <c r="C898" s="13"/>
      <c r="D898" s="13"/>
    </row>
    <row r="899" spans="1:4" ht="13" x14ac:dyDescent="0.15">
      <c r="A899" s="10"/>
      <c r="B899" s="13"/>
      <c r="C899" s="13"/>
      <c r="D899" s="13"/>
    </row>
    <row r="900" spans="1:4" ht="13" x14ac:dyDescent="0.15">
      <c r="A900" s="10"/>
      <c r="B900" s="13"/>
      <c r="C900" s="13"/>
      <c r="D900" s="13"/>
    </row>
    <row r="901" spans="1:4" ht="13" x14ac:dyDescent="0.15">
      <c r="A901" s="10"/>
      <c r="B901" s="13"/>
      <c r="C901" s="13"/>
      <c r="D901" s="13"/>
    </row>
    <row r="902" spans="1:4" ht="13" x14ac:dyDescent="0.15">
      <c r="A902" s="10"/>
      <c r="B902" s="13"/>
      <c r="C902" s="13"/>
      <c r="D902" s="13"/>
    </row>
    <row r="903" spans="1:4" ht="13" x14ac:dyDescent="0.15">
      <c r="A903" s="10"/>
      <c r="B903" s="13"/>
      <c r="C903" s="13"/>
      <c r="D903" s="13"/>
    </row>
    <row r="904" spans="1:4" ht="13" x14ac:dyDescent="0.15">
      <c r="A904" s="10"/>
      <c r="B904" s="13"/>
      <c r="C904" s="13"/>
      <c r="D904" s="13"/>
    </row>
    <row r="905" spans="1:4" ht="13" x14ac:dyDescent="0.15">
      <c r="A905" s="10"/>
      <c r="B905" s="13"/>
      <c r="C905" s="13"/>
      <c r="D905" s="13"/>
    </row>
    <row r="906" spans="1:4" ht="13" x14ac:dyDescent="0.15">
      <c r="A906" s="10"/>
      <c r="B906" s="13"/>
      <c r="C906" s="13"/>
      <c r="D906" s="13"/>
    </row>
    <row r="907" spans="1:4" ht="13" x14ac:dyDescent="0.15">
      <c r="A907" s="10"/>
      <c r="B907" s="13"/>
      <c r="C907" s="13"/>
      <c r="D907" s="13"/>
    </row>
    <row r="908" spans="1:4" ht="13" x14ac:dyDescent="0.15">
      <c r="A908" s="10"/>
      <c r="B908" s="13"/>
      <c r="C908" s="13"/>
      <c r="D908" s="13"/>
    </row>
    <row r="909" spans="1:4" ht="13" x14ac:dyDescent="0.15">
      <c r="A909" s="10"/>
      <c r="B909" s="13"/>
      <c r="C909" s="13"/>
      <c r="D909" s="13"/>
    </row>
    <row r="910" spans="1:4" ht="13" x14ac:dyDescent="0.15">
      <c r="A910" s="10"/>
      <c r="B910" s="13"/>
      <c r="C910" s="13"/>
      <c r="D910" s="13"/>
    </row>
    <row r="911" spans="1:4" ht="13" x14ac:dyDescent="0.15">
      <c r="A911" s="10"/>
      <c r="B911" s="13"/>
      <c r="C911" s="13"/>
      <c r="D911" s="13"/>
    </row>
    <row r="912" spans="1:4" ht="13" x14ac:dyDescent="0.15">
      <c r="A912" s="10"/>
      <c r="B912" s="13"/>
      <c r="C912" s="13"/>
      <c r="D912" s="13"/>
    </row>
    <row r="913" spans="1:4" ht="13" x14ac:dyDescent="0.15">
      <c r="A913" s="10"/>
      <c r="B913" s="13"/>
      <c r="C913" s="13"/>
      <c r="D913" s="13"/>
    </row>
    <row r="914" spans="1:4" ht="13" x14ac:dyDescent="0.15">
      <c r="A914" s="10"/>
      <c r="B914" s="13"/>
      <c r="C914" s="13"/>
      <c r="D914" s="13"/>
    </row>
    <row r="915" spans="1:4" ht="13" x14ac:dyDescent="0.15">
      <c r="A915" s="10"/>
      <c r="B915" s="13"/>
      <c r="C915" s="13"/>
      <c r="D915" s="13"/>
    </row>
    <row r="916" spans="1:4" ht="13" x14ac:dyDescent="0.15">
      <c r="A916" s="10"/>
      <c r="B916" s="13"/>
      <c r="C916" s="13"/>
      <c r="D916" s="13"/>
    </row>
    <row r="917" spans="1:4" ht="13" x14ac:dyDescent="0.15">
      <c r="A917" s="10"/>
      <c r="B917" s="13"/>
      <c r="C917" s="13"/>
      <c r="D917" s="13"/>
    </row>
    <row r="918" spans="1:4" ht="13" x14ac:dyDescent="0.15">
      <c r="A918" s="10"/>
      <c r="B918" s="13"/>
      <c r="C918" s="13"/>
      <c r="D918" s="13"/>
    </row>
    <row r="919" spans="1:4" ht="13" x14ac:dyDescent="0.15">
      <c r="A919" s="10"/>
      <c r="B919" s="13"/>
      <c r="C919" s="13"/>
      <c r="D919" s="13"/>
    </row>
    <row r="920" spans="1:4" ht="13" x14ac:dyDescent="0.15">
      <c r="A920" s="10"/>
      <c r="B920" s="13"/>
      <c r="C920" s="13"/>
      <c r="D920" s="13"/>
    </row>
    <row r="921" spans="1:4" ht="13" x14ac:dyDescent="0.15">
      <c r="A921" s="10"/>
      <c r="B921" s="13"/>
      <c r="C921" s="13"/>
      <c r="D921" s="13"/>
    </row>
    <row r="922" spans="1:4" ht="13" x14ac:dyDescent="0.15">
      <c r="A922" s="10"/>
      <c r="B922" s="13"/>
      <c r="C922" s="13"/>
      <c r="D922" s="13"/>
    </row>
    <row r="923" spans="1:4" ht="13" x14ac:dyDescent="0.15">
      <c r="A923" s="10"/>
      <c r="B923" s="13"/>
      <c r="C923" s="13"/>
      <c r="D923" s="13"/>
    </row>
    <row r="924" spans="1:4" ht="13" x14ac:dyDescent="0.15">
      <c r="A924" s="10"/>
      <c r="B924" s="13"/>
      <c r="C924" s="13"/>
      <c r="D924" s="13"/>
    </row>
    <row r="925" spans="1:4" ht="13" x14ac:dyDescent="0.15">
      <c r="A925" s="10"/>
      <c r="B925" s="13"/>
      <c r="C925" s="13"/>
      <c r="D925" s="13"/>
    </row>
    <row r="926" spans="1:4" ht="13" x14ac:dyDescent="0.15">
      <c r="A926" s="10"/>
      <c r="B926" s="13"/>
      <c r="C926" s="13"/>
      <c r="D926" s="13"/>
    </row>
    <row r="927" spans="1:4" ht="13" x14ac:dyDescent="0.15">
      <c r="A927" s="10"/>
      <c r="B927" s="13"/>
      <c r="C927" s="13"/>
      <c r="D927" s="13"/>
    </row>
    <row r="928" spans="1:4" ht="13" x14ac:dyDescent="0.15">
      <c r="A928" s="10"/>
      <c r="B928" s="13"/>
      <c r="C928" s="13"/>
      <c r="D928" s="13"/>
    </row>
    <row r="929" spans="1:4" ht="13" x14ac:dyDescent="0.15">
      <c r="A929" s="10"/>
      <c r="B929" s="13"/>
      <c r="C929" s="13"/>
      <c r="D929" s="13"/>
    </row>
    <row r="930" spans="1:4" ht="13" x14ac:dyDescent="0.15">
      <c r="A930" s="10"/>
      <c r="B930" s="13"/>
      <c r="C930" s="13"/>
      <c r="D930" s="13"/>
    </row>
    <row r="931" spans="1:4" ht="13" x14ac:dyDescent="0.15">
      <c r="A931" s="10"/>
      <c r="B931" s="13"/>
      <c r="C931" s="13"/>
      <c r="D931" s="13"/>
    </row>
    <row r="932" spans="1:4" ht="13" x14ac:dyDescent="0.15">
      <c r="A932" s="10"/>
      <c r="B932" s="13"/>
      <c r="C932" s="13"/>
      <c r="D932" s="13"/>
    </row>
    <row r="933" spans="1:4" ht="13" x14ac:dyDescent="0.15">
      <c r="A933" s="10"/>
      <c r="B933" s="13"/>
      <c r="C933" s="13"/>
      <c r="D933" s="13"/>
    </row>
    <row r="934" spans="1:4" ht="13" x14ac:dyDescent="0.15">
      <c r="A934" s="10"/>
      <c r="B934" s="13"/>
      <c r="C934" s="13"/>
      <c r="D934" s="13"/>
    </row>
    <row r="935" spans="1:4" ht="13" x14ac:dyDescent="0.15">
      <c r="A935" s="10"/>
      <c r="B935" s="13"/>
      <c r="C935" s="13"/>
      <c r="D935" s="13"/>
    </row>
    <row r="936" spans="1:4" ht="13" x14ac:dyDescent="0.15">
      <c r="A936" s="10"/>
      <c r="B936" s="13"/>
      <c r="C936" s="13"/>
      <c r="D936" s="13"/>
    </row>
    <row r="937" spans="1:4" ht="13" x14ac:dyDescent="0.15">
      <c r="A937" s="10"/>
      <c r="B937" s="13"/>
      <c r="C937" s="13"/>
      <c r="D937" s="13"/>
    </row>
    <row r="938" spans="1:4" ht="13" x14ac:dyDescent="0.15">
      <c r="A938" s="10"/>
      <c r="B938" s="13"/>
      <c r="C938" s="13"/>
      <c r="D938" s="13"/>
    </row>
    <row r="939" spans="1:4" ht="13" x14ac:dyDescent="0.15">
      <c r="A939" s="10"/>
      <c r="B939" s="13"/>
      <c r="C939" s="13"/>
      <c r="D939" s="13"/>
    </row>
    <row r="940" spans="1:4" ht="13" x14ac:dyDescent="0.15">
      <c r="A940" s="10"/>
      <c r="B940" s="13"/>
      <c r="C940" s="13"/>
      <c r="D940" s="13"/>
    </row>
    <row r="941" spans="1:4" ht="13" x14ac:dyDescent="0.15">
      <c r="A941" s="10"/>
      <c r="B941" s="13"/>
      <c r="C941" s="13"/>
      <c r="D941" s="13"/>
    </row>
    <row r="942" spans="1:4" ht="13" x14ac:dyDescent="0.15">
      <c r="A942" s="10"/>
      <c r="B942" s="13"/>
      <c r="C942" s="13"/>
      <c r="D942" s="13"/>
    </row>
    <row r="943" spans="1:4" ht="13" x14ac:dyDescent="0.15">
      <c r="A943" s="10"/>
      <c r="B943" s="13"/>
      <c r="C943" s="13"/>
      <c r="D943" s="13"/>
    </row>
    <row r="944" spans="1:4" ht="13" x14ac:dyDescent="0.15">
      <c r="A944" s="10"/>
      <c r="B944" s="13"/>
      <c r="C944" s="13"/>
      <c r="D944" s="13"/>
    </row>
    <row r="945" spans="1:4" ht="13" x14ac:dyDescent="0.15">
      <c r="A945" s="10"/>
      <c r="B945" s="13"/>
      <c r="C945" s="13"/>
      <c r="D945" s="13"/>
    </row>
    <row r="946" spans="1:4" ht="13" x14ac:dyDescent="0.15">
      <c r="A946" s="10"/>
      <c r="B946" s="13"/>
      <c r="C946" s="13"/>
      <c r="D946" s="13"/>
    </row>
    <row r="947" spans="1:4" ht="13" x14ac:dyDescent="0.15">
      <c r="A947" s="10"/>
      <c r="B947" s="13"/>
      <c r="C947" s="13"/>
      <c r="D947" s="13"/>
    </row>
    <row r="948" spans="1:4" ht="13" x14ac:dyDescent="0.15">
      <c r="A948" s="10"/>
      <c r="B948" s="13"/>
      <c r="C948" s="13"/>
      <c r="D948" s="13"/>
    </row>
    <row r="949" spans="1:4" ht="13" x14ac:dyDescent="0.15">
      <c r="A949" s="10"/>
      <c r="B949" s="13"/>
      <c r="C949" s="13"/>
      <c r="D949" s="13"/>
    </row>
    <row r="950" spans="1:4" ht="13" x14ac:dyDescent="0.15">
      <c r="A950" s="10"/>
      <c r="B950" s="13"/>
      <c r="C950" s="13"/>
      <c r="D950" s="13"/>
    </row>
    <row r="951" spans="1:4" ht="13" x14ac:dyDescent="0.15">
      <c r="A951" s="10"/>
      <c r="B951" s="13"/>
      <c r="C951" s="13"/>
      <c r="D951" s="13"/>
    </row>
    <row r="952" spans="1:4" ht="13" x14ac:dyDescent="0.15">
      <c r="A952" s="10"/>
      <c r="B952" s="13"/>
      <c r="C952" s="13"/>
      <c r="D952" s="13"/>
    </row>
    <row r="953" spans="1:4" ht="13" x14ac:dyDescent="0.15">
      <c r="A953" s="10"/>
      <c r="B953" s="13"/>
      <c r="C953" s="13"/>
      <c r="D953" s="13"/>
    </row>
    <row r="954" spans="1:4" ht="13" x14ac:dyDescent="0.15">
      <c r="A954" s="10"/>
      <c r="B954" s="13"/>
      <c r="C954" s="13"/>
      <c r="D954" s="13"/>
    </row>
    <row r="955" spans="1:4" ht="13" x14ac:dyDescent="0.15">
      <c r="A955" s="10"/>
      <c r="B955" s="13"/>
      <c r="C955" s="13"/>
      <c r="D955" s="13"/>
    </row>
    <row r="956" spans="1:4" ht="13" x14ac:dyDescent="0.15">
      <c r="A956" s="10"/>
      <c r="B956" s="13"/>
      <c r="C956" s="13"/>
      <c r="D956" s="13"/>
    </row>
    <row r="957" spans="1:4" ht="13" x14ac:dyDescent="0.15">
      <c r="A957" s="10"/>
      <c r="B957" s="13"/>
      <c r="C957" s="13"/>
      <c r="D957" s="13"/>
    </row>
    <row r="958" spans="1:4" ht="13" x14ac:dyDescent="0.15">
      <c r="A958" s="10"/>
      <c r="B958" s="13"/>
      <c r="C958" s="13"/>
      <c r="D958" s="13"/>
    </row>
    <row r="959" spans="1:4" ht="13" x14ac:dyDescent="0.15">
      <c r="A959" s="10"/>
      <c r="B959" s="13"/>
      <c r="C959" s="13"/>
      <c r="D959" s="13"/>
    </row>
    <row r="960" spans="1:4" ht="13" x14ac:dyDescent="0.15">
      <c r="A960" s="10"/>
      <c r="B960" s="13"/>
      <c r="C960" s="13"/>
      <c r="D960" s="13"/>
    </row>
    <row r="961" spans="1:4" ht="13" x14ac:dyDescent="0.15">
      <c r="A961" s="10"/>
      <c r="B961" s="13"/>
      <c r="C961" s="13"/>
      <c r="D961" s="13"/>
    </row>
    <row r="962" spans="1:4" ht="13" x14ac:dyDescent="0.15">
      <c r="A962" s="10"/>
      <c r="B962" s="13"/>
      <c r="C962" s="13"/>
      <c r="D962" s="13"/>
    </row>
    <row r="963" spans="1:4" ht="13" x14ac:dyDescent="0.15">
      <c r="A963" s="10"/>
      <c r="B963" s="13"/>
      <c r="C963" s="13"/>
      <c r="D963" s="13"/>
    </row>
    <row r="964" spans="1:4" ht="13" x14ac:dyDescent="0.15">
      <c r="A964" s="10"/>
      <c r="B964" s="13"/>
      <c r="C964" s="13"/>
      <c r="D964" s="13"/>
    </row>
    <row r="965" spans="1:4" ht="13" x14ac:dyDescent="0.15">
      <c r="A965" s="10"/>
      <c r="B965" s="13"/>
      <c r="C965" s="13"/>
      <c r="D965" s="13"/>
    </row>
    <row r="966" spans="1:4" ht="13" x14ac:dyDescent="0.15">
      <c r="A966" s="10"/>
      <c r="B966" s="13"/>
      <c r="C966" s="13"/>
      <c r="D966" s="13"/>
    </row>
    <row r="967" spans="1:4" ht="13" x14ac:dyDescent="0.15">
      <c r="A967" s="10"/>
      <c r="B967" s="13"/>
      <c r="C967" s="13"/>
      <c r="D967" s="13"/>
    </row>
    <row r="968" spans="1:4" ht="13" x14ac:dyDescent="0.15">
      <c r="A968" s="10"/>
      <c r="B968" s="13"/>
      <c r="C968" s="13"/>
      <c r="D968" s="13"/>
    </row>
    <row r="969" spans="1:4" ht="13" x14ac:dyDescent="0.15">
      <c r="A969" s="10"/>
      <c r="B969" s="13"/>
      <c r="C969" s="13"/>
      <c r="D969" s="13"/>
    </row>
    <row r="970" spans="1:4" ht="13" x14ac:dyDescent="0.15">
      <c r="A970" s="10"/>
      <c r="B970" s="13"/>
      <c r="C970" s="13"/>
      <c r="D970" s="13"/>
    </row>
    <row r="971" spans="1:4" ht="13" x14ac:dyDescent="0.15">
      <c r="A971" s="10"/>
      <c r="B971" s="13"/>
      <c r="C971" s="13"/>
      <c r="D971" s="13"/>
    </row>
    <row r="972" spans="1:4" ht="13" x14ac:dyDescent="0.15">
      <c r="A972" s="10"/>
      <c r="B972" s="13"/>
      <c r="C972" s="13"/>
      <c r="D972" s="13"/>
    </row>
    <row r="973" spans="1:4" ht="13" x14ac:dyDescent="0.15">
      <c r="A973" s="10"/>
      <c r="B973" s="13"/>
      <c r="C973" s="13"/>
      <c r="D973" s="13"/>
    </row>
    <row r="974" spans="1:4" ht="13" x14ac:dyDescent="0.15">
      <c r="A974" s="10"/>
      <c r="B974" s="13"/>
      <c r="C974" s="13"/>
      <c r="D974" s="13"/>
    </row>
    <row r="975" spans="1:4" ht="13" x14ac:dyDescent="0.15">
      <c r="A975" s="10"/>
      <c r="B975" s="13"/>
      <c r="C975" s="13"/>
      <c r="D975" s="13"/>
    </row>
    <row r="976" spans="1:4" ht="13" x14ac:dyDescent="0.15">
      <c r="A976" s="10"/>
      <c r="B976" s="13"/>
      <c r="C976" s="13"/>
      <c r="D976" s="13"/>
    </row>
    <row r="977" spans="1:4" ht="13" x14ac:dyDescent="0.15">
      <c r="A977" s="10"/>
      <c r="B977" s="13"/>
      <c r="C977" s="13"/>
      <c r="D977" s="13"/>
    </row>
    <row r="978" spans="1:4" ht="13" x14ac:dyDescent="0.15">
      <c r="A978" s="10"/>
      <c r="B978" s="13"/>
      <c r="C978" s="13"/>
      <c r="D978" s="13"/>
    </row>
    <row r="979" spans="1:4" ht="13" x14ac:dyDescent="0.15">
      <c r="A979" s="10"/>
      <c r="B979" s="13"/>
      <c r="C979" s="13"/>
      <c r="D979" s="13"/>
    </row>
    <row r="980" spans="1:4" ht="13" x14ac:dyDescent="0.15">
      <c r="A980" s="10"/>
      <c r="B980" s="13"/>
      <c r="C980" s="13"/>
      <c r="D980" s="13"/>
    </row>
    <row r="981" spans="1:4" ht="13" x14ac:dyDescent="0.15">
      <c r="A981" s="10"/>
      <c r="B981" s="13"/>
      <c r="C981" s="13"/>
      <c r="D981" s="13"/>
    </row>
    <row r="982" spans="1:4" ht="13" x14ac:dyDescent="0.15">
      <c r="A982" s="10"/>
      <c r="B982" s="13"/>
      <c r="C982" s="13"/>
      <c r="D982" s="13"/>
    </row>
    <row r="983" spans="1:4" ht="13" x14ac:dyDescent="0.15">
      <c r="A983" s="10"/>
      <c r="B983" s="13"/>
      <c r="C983" s="13"/>
      <c r="D983" s="13"/>
    </row>
    <row r="984" spans="1:4" ht="13" x14ac:dyDescent="0.15">
      <c r="A984" s="10"/>
      <c r="B984" s="13"/>
      <c r="C984" s="13"/>
      <c r="D984" s="13"/>
    </row>
    <row r="985" spans="1:4" ht="13" x14ac:dyDescent="0.15">
      <c r="A985" s="10"/>
      <c r="B985" s="13"/>
      <c r="C985" s="13"/>
      <c r="D985" s="13"/>
    </row>
    <row r="986" spans="1:4" ht="13" x14ac:dyDescent="0.15">
      <c r="A986" s="10"/>
      <c r="B986" s="13"/>
      <c r="C986" s="13"/>
      <c r="D986" s="13"/>
    </row>
    <row r="987" spans="1:4" ht="13" x14ac:dyDescent="0.15">
      <c r="A987" s="10"/>
      <c r="B987" s="13"/>
      <c r="C987" s="13"/>
      <c r="D987" s="13"/>
    </row>
    <row r="988" spans="1:4" ht="13" x14ac:dyDescent="0.15">
      <c r="A988" s="10"/>
      <c r="B988" s="13"/>
      <c r="C988" s="13"/>
      <c r="D988" s="13"/>
    </row>
    <row r="989" spans="1:4" ht="13" x14ac:dyDescent="0.15">
      <c r="A989" s="10"/>
      <c r="B989" s="13"/>
      <c r="C989" s="13"/>
      <c r="D989" s="13"/>
    </row>
    <row r="990" spans="1:4" ht="13" x14ac:dyDescent="0.15">
      <c r="A990" s="10"/>
      <c r="B990" s="13"/>
      <c r="C990" s="13"/>
      <c r="D990" s="13"/>
    </row>
    <row r="991" spans="1:4" ht="13" x14ac:dyDescent="0.15">
      <c r="A991" s="10"/>
      <c r="B991" s="13"/>
      <c r="C991" s="13"/>
      <c r="D991" s="13"/>
    </row>
    <row r="992" spans="1:4" ht="13" x14ac:dyDescent="0.15">
      <c r="A992" s="10"/>
      <c r="B992" s="13"/>
      <c r="C992" s="13"/>
      <c r="D992" s="13"/>
    </row>
    <row r="993" spans="1:4" ht="13" x14ac:dyDescent="0.15">
      <c r="A993" s="10"/>
      <c r="B993" s="13"/>
      <c r="C993" s="13"/>
      <c r="D993" s="13"/>
    </row>
    <row r="994" spans="1:4" ht="13" x14ac:dyDescent="0.15">
      <c r="A994" s="10"/>
      <c r="B994" s="13"/>
      <c r="C994" s="13"/>
      <c r="D994" s="13"/>
    </row>
    <row r="995" spans="1:4" ht="13" x14ac:dyDescent="0.15">
      <c r="A995" s="10"/>
      <c r="B995" s="13"/>
      <c r="C995" s="13"/>
      <c r="D995" s="13"/>
    </row>
    <row r="996" spans="1:4" ht="13" x14ac:dyDescent="0.15">
      <c r="A996" s="10"/>
      <c r="B996" s="13"/>
      <c r="C996" s="13"/>
      <c r="D996" s="13"/>
    </row>
    <row r="997" spans="1:4" ht="13" x14ac:dyDescent="0.15">
      <c r="A997" s="10"/>
      <c r="B997" s="13"/>
      <c r="C997" s="13"/>
      <c r="D997" s="13"/>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outlinePr summaryBelow="0" summaryRight="0"/>
  </sheetPr>
  <dimension ref="A1:D997"/>
  <sheetViews>
    <sheetView workbookViewId="0"/>
  </sheetViews>
  <sheetFormatPr baseColWidth="10" defaultColWidth="12.6640625" defaultRowHeight="15.75" customHeight="1" x14ac:dyDescent="0.15"/>
  <cols>
    <col min="1" max="1" width="71.5" customWidth="1"/>
    <col min="2" max="4" width="37.6640625" customWidth="1"/>
  </cols>
  <sheetData>
    <row r="1" spans="1:4" ht="15.75" customHeight="1" x14ac:dyDescent="0.15">
      <c r="A1" s="1"/>
      <c r="B1" s="12" t="str">
        <f ca="1">IFERROR(__xludf.DUMMYFUNCTION("IMPORTRANGE(""https://docs.google.com/spreadsheets/d/1C06Vs6H0Eg3__x1-dePLdZcY_bo1r3ReCeWRxqLlaS4"",""A36!B1:B22"")"),"Layla Baldwin")</f>
        <v>Layla Baldwin</v>
      </c>
      <c r="C1" s="10" t="str">
        <f ca="1">IFERROR(__xludf.DUMMYFUNCTION("IMPORTRANGE(""https://docs.google.com/spreadsheets/u/0/d/19yPRVnLV0A_2o92-w6L11RYWj24Qqnerv8i8p-ngiq4"", ""A36!B1:B22"")"),"Jackson Root")</f>
        <v>Jackson Root</v>
      </c>
      <c r="D1" s="12" t="str">
        <f ca="1">IFERROR(__xludf.DUMMYFUNCTION("IMPORTRANGE(""https://docs.google.com/spreadsheets/u/0/d/1e6QLf1_HeiTNz7JOFlwsfbt48UsSPCJuGTSppexqIJc"", ""35!B1:B22"")"),"Tyler Thibodeaux")</f>
        <v>Tyler Thibodeaux</v>
      </c>
    </row>
    <row r="2" spans="1:4" ht="15.75" customHeight="1" x14ac:dyDescent="0.15">
      <c r="A2" s="3" t="s">
        <v>2</v>
      </c>
      <c r="B2" s="15" t="str">
        <f ca="1">IFERROR(__xludf.DUMMYFUNCTION("""COMPUTED_VALUE"""),"24034 - 24264, Forward")</f>
        <v>24034 - 24264, Forward</v>
      </c>
      <c r="C2" s="15" t="str">
        <f ca="1">IFERROR(__xludf.DUMMYFUNCTION("""COMPUTED_VALUE"""),"Stop: 24264  FOR")</f>
        <v>Stop: 24264  FOR</v>
      </c>
      <c r="D2" s="15" t="str">
        <f ca="1">IFERROR(__xludf.DUMMYFUNCTION("""COMPUTED_VALUE"""),"24034 to 24264 (Forward)")</f>
        <v>24034 to 24264 (Forward)</v>
      </c>
    </row>
    <row r="3" spans="1:4" ht="15.75" customHeight="1" x14ac:dyDescent="0.15">
      <c r="A3" s="5" t="s">
        <v>3</v>
      </c>
      <c r="B3" s="17" t="str">
        <f ca="1">IFERROR(__xludf.DUMMYFUNCTION("""COMPUTED_VALUE"""),"35 in DNAM, 36 in PDB and Pham")</f>
        <v>35 in DNAM, 36 in PDB and Pham</v>
      </c>
      <c r="C3" s="17" t="str">
        <f ca="1">IFERROR(__xludf.DUMMYFUNCTION("""COMPUTED_VALUE"""),"Pham: gene 36    DNA master: gene 35")</f>
        <v>Pham: gene 36    DNA master: gene 35</v>
      </c>
      <c r="D3" s="17" t="str">
        <f ca="1">IFERROR(__xludf.DUMMYFUNCTION("""COMPUTED_VALUE"""),"35 in DNAm, 36 in PHAM &amp; Phagesdb")</f>
        <v>35 in DNAm, 36 in PHAM &amp; Phagesdb</v>
      </c>
    </row>
    <row r="4" spans="1:4" ht="15.75" customHeight="1" x14ac:dyDescent="0.15">
      <c r="A4" s="5" t="s">
        <v>4</v>
      </c>
      <c r="B4" s="17" t="str">
        <f ca="1">IFERROR(__xludf.DUMMYFUNCTION("""COMPUTED_VALUE"""),"199333 - 3/2/2025")</f>
        <v>199333 - 3/2/2025</v>
      </c>
      <c r="C4" s="17" t="str">
        <f ca="1">IFERROR(__xludf.DUMMYFUNCTION("""COMPUTED_VALUE"""),"pham 199333   06 March 2025")</f>
        <v>pham 199333   06 March 2025</v>
      </c>
      <c r="D4" s="17" t="str">
        <f ca="1">IFERROR(__xludf.DUMMYFUNCTION("""COMPUTED_VALUE"""),"pham 199333, 3-5-25")</f>
        <v>pham 199333, 3-5-25</v>
      </c>
    </row>
    <row r="5" spans="1:4" ht="15.75" customHeight="1" x14ac:dyDescent="0.15">
      <c r="A5" s="5" t="s">
        <v>5</v>
      </c>
      <c r="B5" s="17" t="str">
        <f ca="1">IFERROR(__xludf.DUMMYFUNCTION("""COMPUTED_VALUE"""),"Kovu_37")</f>
        <v>Kovu_37</v>
      </c>
      <c r="C5" s="17" t="str">
        <f ca="1">IFERROR(__xludf.DUMMYFUNCTION("""COMPUTED_VALUE"""),"Kovu_ 37")</f>
        <v>Kovu_ 37</v>
      </c>
      <c r="D5" s="17" t="str">
        <f ca="1">IFERROR(__xludf.DUMMYFUNCTION("""COMPUTED_VALUE"""),"Kovu_37")</f>
        <v>Kovu_37</v>
      </c>
    </row>
    <row r="6" spans="1:4" ht="15.75" customHeight="1" x14ac:dyDescent="0.15">
      <c r="A6" s="5" t="s">
        <v>6</v>
      </c>
      <c r="B6" s="17" t="str">
        <f ca="1">IFERROR(__xludf.DUMMYFUNCTION("""COMPUTED_VALUE"""),"Both call")</f>
        <v>Both call</v>
      </c>
      <c r="C6" s="17" t="str">
        <f ca="1">IFERROR(__xludf.DUMMYFUNCTION("""COMPUTED_VALUE"""),"both called 24034      (after looking at the gene mark s, there isnt a black line under the coding potential which makes me believe that genemark didn't call this)")</f>
        <v>both called 24034      (after looking at the gene mark s, there isnt a black line under the coding potential which makes me believe that genemark didn't call this)</v>
      </c>
      <c r="D6" s="17" t="str">
        <f ca="1">IFERROR(__xludf.DUMMYFUNCTION("""COMPUTED_VALUE"""),"Original Glimmer call @bp 24034, BOTH CALLED FOR THIS")</f>
        <v>Original Glimmer call @bp 24034, BOTH CALLED FOR THIS</v>
      </c>
    </row>
    <row r="7" spans="1:4" ht="15.75" customHeight="1" x14ac:dyDescent="0.15">
      <c r="A7" s="5" t="s">
        <v>7</v>
      </c>
      <c r="B7" s="17" t="str">
        <f ca="1">IFERROR(__xludf.DUMMYFUNCTION("""COMPUTED_VALUE"""),"Yes, although the end is lacking coding potential. The called start captures all potential. If you move to next start, you are missing out on more than half of the coding potential. ")</f>
        <v xml:space="preserve">Yes, although the end is lacking coding potential. The called start captures all potential. If you move to next start, you are missing out on more than half of the coding potential. </v>
      </c>
      <c r="C7" s="17" t="str">
        <f ca="1">IFERROR(__xludf.DUMMYFUNCTION("""COMPUTED_VALUE"""),"There is good coding potential    all coding potential is captured")</f>
        <v>There is good coding potential    all coding potential is captured</v>
      </c>
      <c r="D7" s="17" t="str">
        <f ca="1">IFERROR(__xludf.DUMMYFUNCTION("""COMPUTED_VALUE"""),"Good Coding potential, cuts off barely at the end of the sequence. All of it is included within the start")</f>
        <v>Good Coding potential, cuts off barely at the end of the sequence. All of it is included within the start</v>
      </c>
    </row>
    <row r="8" spans="1:4" ht="15.75" customHeight="1" x14ac:dyDescent="0.15">
      <c r="A8" s="5" t="s">
        <v>8</v>
      </c>
      <c r="B8" s="17" t="str">
        <f ca="1">IFERROR(__xludf.DUMMYFUNCTION("""COMPUTED_VALUE"""),"Yes")</f>
        <v>Yes</v>
      </c>
      <c r="C8" s="17" t="str">
        <f ca="1">IFERROR(__xludf.DUMMYFUNCTION("""COMPUTED_VALUE"""),"yes this is the longest ORF")</f>
        <v>yes this is the longest ORF</v>
      </c>
      <c r="D8" s="17" t="str">
        <f ca="1">IFERROR(__xludf.DUMMYFUNCTION("""COMPUTED_VALUE"""),"It is the longest possible ORF")</f>
        <v>It is the longest possible ORF</v>
      </c>
    </row>
    <row r="9" spans="1:4" ht="15.75" customHeight="1" x14ac:dyDescent="0.15">
      <c r="A9" s="5" t="s">
        <v>9</v>
      </c>
      <c r="B9" s="17" t="str">
        <f ca="1">IFERROR(__xludf.DUMMYFUNCTION("""COMPUTED_VALUE"""),"3 bp overlap with the previous gene")</f>
        <v>3 bp overlap with the previous gene</v>
      </c>
      <c r="C9" s="17" t="str">
        <f ca="1">IFERROR(__xludf.DUMMYFUNCTION("""COMPUTED_VALUE"""),"Three BP overlap with previous gene")</f>
        <v>Three BP overlap with previous gene</v>
      </c>
      <c r="D9" s="17" t="str">
        <f ca="1">IFERROR(__xludf.DUMMYFUNCTION("""COMPUTED_VALUE"""),"No gap or overlap")</f>
        <v>No gap or overlap</v>
      </c>
    </row>
    <row r="10" spans="1:4" ht="15.75" customHeight="1" x14ac:dyDescent="0.15">
      <c r="A10" s="5" t="s">
        <v>10</v>
      </c>
      <c r="B10" s="17" t="str">
        <f ca="1">IFERROR(__xludf.DUMMYFUNCTION("""COMPUTED_VALUE"""),"For chosen start: Z score = 2.107, final = -4.923. Second stop (24142): Z score = 2.462, final = -3.569")</f>
        <v>For chosen start: Z score = 2.107, final = -4.923. Second stop (24142): Z score = 2.462, final = -3.569</v>
      </c>
      <c r="C10" s="17" t="str">
        <f ca="1">IFERROR(__xludf.DUMMYFUNCTION("""COMPUTED_VALUE"""),"z-score is 2.107, but the second start has a 2.462 and the third has a 2.019")</f>
        <v>z-score is 2.107, but the second start has a 2.462 and the third has a 2.019</v>
      </c>
      <c r="D10" s="17" t="str">
        <f ca="1">IFERROR(__xludf.DUMMYFUNCTION("""COMPUTED_VALUE"""),"Z score= 2.107. It is the best score despite the next one being better, but would lose lots of coding potential.")</f>
        <v>Z score= 2.107. It is the best score despite the next one being better, but would lose lots of coding potential.</v>
      </c>
    </row>
    <row r="11" spans="1:4" ht="15.75" customHeight="1" x14ac:dyDescent="0.15">
      <c r="A11" s="5" t="s">
        <v>11</v>
      </c>
      <c r="B11" s="17" t="str">
        <f ca="1">IFERROR(__xludf.DUMMYFUNCTION("""COMPUTED_VALUE"""),"Kovu_37, % identity = 75%, e value = 5e-29. Edmundo_35, % identity = 65.45, e value = 3e-17. q1:s1 for both.")</f>
        <v>Kovu_37, % identity = 75%, e value = 5e-29. Edmundo_35, % identity = 65.45, e value = 3e-17. q1:s1 for both.</v>
      </c>
      <c r="C11" s="17" t="str">
        <f ca="1">IFERROR(__xludf.DUMMYFUNCTION("""COMPUTED_VALUE"""),"Best hit was Kovu_37; % identity: 75.00; E-value: 5.0e-29; Q: 1-76; T: 1-75")</f>
        <v>Best hit was Kovu_37; % identity: 75.00; E-value: 5.0e-29; Q: 1-76; T: 1-75</v>
      </c>
      <c r="D11" s="17" t="str">
        <f ca="1">IFERROR(__xludf.DUMMYFUNCTION("""COMPUTED_VALUE"""),"Kovu_37, %Idenity: 75%, e=5e^-29, start 1 in Apokipo = start 1 in Kovu")</f>
        <v>Kovu_37, %Idenity: 75%, e=5e^-29, start 1 in Apokipo = start 1 in Kovu</v>
      </c>
    </row>
    <row r="12" spans="1:4" ht="15.75" customHeight="1" x14ac:dyDescent="0.15">
      <c r="A12" s="5" t="s">
        <v>12</v>
      </c>
      <c r="B12" s="17" t="str">
        <f ca="1">IFERROR(__xludf.DUMMYFUNCTION("""COMPUTED_VALUE"""),"Yes. Called in 100% when present. Second start is only called in ApoKipo.")</f>
        <v>Yes. Called in 100% when present. Second start is only called in ApoKipo.</v>
      </c>
      <c r="C12" s="17" t="str">
        <f ca="1">IFERROR(__xludf.DUMMYFUNCTION("""COMPUTED_VALUE"""),"Yes, start is conserved, called 100% of the time when present (only kovu has the same start) ")</f>
        <v xml:space="preserve">Yes, start is conserved, called 100% of the time when present (only kovu has the same start) </v>
      </c>
      <c r="D12" s="17" t="str">
        <f ca="1">IFERROR(__xludf.DUMMYFUNCTION("""COMPUTED_VALUE"""),"The start is conserved in all members and is called 100% of the time")</f>
        <v>The start is conserved in all members and is called 100% of the time</v>
      </c>
    </row>
    <row r="13" spans="1:4" ht="15.75" customHeight="1" x14ac:dyDescent="0.15">
      <c r="A13" s="5" t="s">
        <v>13</v>
      </c>
      <c r="B13" s="17" t="str">
        <f ca="1">IFERROR(__xludf.DUMMYFUNCTION("""COMPUTED_VALUE"""),"No, moving it forward would miss out on more than half of the coding potential. Removing the gene would add about 400 bp gap. ")</f>
        <v xml:space="preserve">No, moving it forward would miss out on more than half of the coding potential. Removing the gene would add about 400 bp gap. </v>
      </c>
      <c r="C13" s="17" t="str">
        <f ca="1">IFERROR(__xludf.DUMMYFUNCTION("""COMPUTED_VALUE"""),"No start change because the start is conserved with other phages in the same pham, and although another start has a slightly better RBD score, it is not significant adn if the start were to move, it would create a large gap compared to the small overlap c"&amp;"urrently there. ")</f>
        <v xml:space="preserve">No start change because the start is conserved with other phages in the same pham, and although another start has a slightly better RBD score, it is not significant adn if the start were to move, it would create a large gap compared to the small overlap currently there. </v>
      </c>
      <c r="D13" s="17" t="str">
        <f ca="1">IFERROR(__xludf.DUMMYFUNCTION("""COMPUTED_VALUE"""),"No")</f>
        <v>No</v>
      </c>
    </row>
    <row r="14" spans="1:4" ht="15.75" customHeight="1" x14ac:dyDescent="0.15">
      <c r="A14" s="5" t="s">
        <v>14</v>
      </c>
      <c r="B14" s="17" t="str">
        <f ca="1">IFERROR(__xludf.DUMMYFUNCTION("""COMPUTED_VALUE"""),"Kovu_37, function unknown, e value = 3e-26. Edmundo_35, e value = 2e-16")</f>
        <v>Kovu_37, function unknown, e value = 3e-26. Edmundo_35, e value = 2e-16</v>
      </c>
      <c r="C14" s="17" t="str">
        <f ca="1">IFERROR(__xludf.DUMMYFUNCTION("""COMPUTED_VALUE"""),"best match was Kovu_37; e-value: 2e-16")</f>
        <v>best match was Kovu_37; e-value: 2e-16</v>
      </c>
      <c r="D14" s="17" t="str">
        <f ca="1">IFERROR(__xludf.DUMMYFUNCTION("""COMPUTED_VALUE"""),"Kovu, gene 37, E= 3e^-26: Function Unknown, Edmundo, gene 35, E= 2e^-16: Function Unknown")</f>
        <v>Kovu, gene 37, E= 3e^-26: Function Unknown, Edmundo, gene 35, E= 2e^-16: Function Unknown</v>
      </c>
    </row>
    <row r="15" spans="1:4" ht="15.75" customHeight="1" x14ac:dyDescent="0.15">
      <c r="A15" s="5" t="s">
        <v>15</v>
      </c>
      <c r="B15" s="17" t="str">
        <f ca="1">IFERROR(__xludf.DUMMYFUNCTION("""COMPUTED_VALUE"""),"Kovu_37 function unknown, Edmundo_35 unkown function")</f>
        <v>Kovu_37 function unknown, Edmundo_35 unkown function</v>
      </c>
      <c r="C15" s="17" t="str">
        <f ca="1">IFERROR(__xludf.DUMMYFUNCTION("""COMPUTED_VALUE"""),"Kovu_37: function unknown    Edmundo_35: funtion unknown      in ncbi, both are hypothetical protiens")</f>
        <v>Kovu_37: function unknown    Edmundo_35: funtion unknown      in ncbi, both are hypothetical protiens</v>
      </c>
      <c r="D15" s="17" t="str">
        <f ca="1">IFERROR(__xludf.DUMMYFUNCTION("""COMPUTED_VALUE"""),"Kovu_37: Function Unknown(hypothetical) ")</f>
        <v xml:space="preserve">Kovu_37: Function Unknown(hypothetical) </v>
      </c>
    </row>
    <row r="16" spans="1:4" ht="15.75" customHeight="1" x14ac:dyDescent="0.15">
      <c r="A16" s="5" t="s">
        <v>16</v>
      </c>
      <c r="B16" s="17" t="str">
        <f ca="1">IFERROR(__xludf.DUMMYFUNCTION("""COMPUTED_VALUE"""),"Yes")</f>
        <v>Yes</v>
      </c>
      <c r="C16" s="17" t="str">
        <f ca="1">IFERROR(__xludf.DUMMYFUNCTION("""COMPUTED_VALUE"""),"probability: 98.74%  % query: 51.3%     % target: 76.5%   Function is part of the alignment (but is sort of broken up, not one continous line/bar)")</f>
        <v>probability: 98.74%  % query: 51.3%     % target: 76.5%   Function is part of the alignment (but is sort of broken up, not one continous line/bar)</v>
      </c>
      <c r="D16" s="17" t="str">
        <f ca="1">IFERROR(__xludf.DUMMYFUNCTION("""COMPUTED_VALUE"""),"It is in the same genetic enviornment as Kovu")</f>
        <v>It is in the same genetic enviornment as Kovu</v>
      </c>
    </row>
    <row r="17" spans="1:4" ht="15.75" customHeight="1" x14ac:dyDescent="0.15">
      <c r="A17" s="5" t="s">
        <v>17</v>
      </c>
      <c r="B17" s="17" t="str">
        <f ca="1">IFERROR(__xludf.DUMMYFUNCTION("""COMPUTED_VALUE"""),"Crystal structure of euryarchaeal RNA polymerase from Thermococcus kodakarensis. Probability = 98.66, AOQ = 55, AOT = 86. No functional domian. ")</f>
        <v xml:space="preserve">Crystal structure of euryarchaeal RNA polymerase from Thermococcus kodakarensis. Probability = 98.66, AOQ = 55, AOT = 86. No functional domian. </v>
      </c>
      <c r="C17" s="17" t="str">
        <f ca="1">IFERROR(__xludf.DUMMYFUNCTION("""COMPUTED_VALUE"""),"no conserved domain")</f>
        <v>no conserved domain</v>
      </c>
      <c r="D17" s="17" t="str">
        <f ca="1">IFERROR(__xludf.DUMMYFUNCTION("""COMPUTED_VALUE"""),"Mu-like_Com ; Mu-like prophage protein Com, %=98.8, %Q=49%, %T=74%, Can't tell if functional domain is in target part. Poss. Further exploration")</f>
        <v>Mu-like_Com ; Mu-like prophage protein Com, %=98.8, %Q=49%, %T=74%, Can't tell if functional domain is in target part. Poss. Further exploration</v>
      </c>
    </row>
    <row r="18" spans="1:4" ht="15.75" customHeight="1" x14ac:dyDescent="0.15">
      <c r="A18" s="5" t="s">
        <v>18</v>
      </c>
      <c r="B18" s="17" t="str">
        <f ca="1">IFERROR(__xludf.DUMMYFUNCTION("""COMPUTED_VALUE"""),"No")</f>
        <v>No</v>
      </c>
      <c r="C18" s="17" t="str">
        <f ca="1">IFERROR(__xludf.DUMMYFUNCTION("""COMPUTED_VALUE"""),"not a membrane protien, most likely an inside protien")</f>
        <v>not a membrane protien, most likely an inside protien</v>
      </c>
      <c r="D18" s="17" t="str">
        <f ca="1">IFERROR(__xludf.DUMMYFUNCTION("""COMPUTED_VALUE"""),"no")</f>
        <v>no</v>
      </c>
    </row>
    <row r="19" spans="1:4" ht="15.75" customHeight="1" x14ac:dyDescent="0.15">
      <c r="A19" s="5" t="s">
        <v>19</v>
      </c>
      <c r="B19" s="17" t="str">
        <f ca="1">IFERROR(__xludf.DUMMYFUNCTION("""COMPUTED_VALUE"""),"No")</f>
        <v>No</v>
      </c>
      <c r="C19" s="17" t="str">
        <f ca="1">IFERROR(__xludf.DUMMYFUNCTION("""COMPUTED_VALUE"""),"Hypothetical protien     When blasted in phages db, the only match was Kovu_37 and the functions on both were deemed hypothetical protiens and there isnt a conserved domain. Even with the function alighnment being in the domain, there isnt enough evidence"&amp;" that it has a specific function because all the hits in HHpred were different.")</f>
        <v>Hypothetical protien     When blasted in phages db, the only match was Kovu_37 and the functions on both were deemed hypothetical protiens and there isnt a conserved domain. Even with the function alighnment being in the domain, there isnt enough evidence that it has a specific function because all the hits in HHpred were different.</v>
      </c>
      <c r="D19" s="17" t="str">
        <f ca="1">IFERROR(__xludf.DUMMYFUNCTION("""COMPUTED_VALUE"""),"no")</f>
        <v>no</v>
      </c>
    </row>
    <row r="20" spans="1:4" ht="15.75" customHeight="1" x14ac:dyDescent="0.15">
      <c r="A20" s="5" t="s">
        <v>20</v>
      </c>
      <c r="B20" s="17" t="str">
        <f ca="1">IFERROR(__xludf.DUMMYFUNCTION("""COMPUTED_VALUE"""),"Hypothetical protein, evidence supports, might have to relook at HHPred")</f>
        <v>Hypothetical protein, evidence supports, might have to relook at HHPred</v>
      </c>
      <c r="C20" s="17"/>
      <c r="D20" s="17" t="str">
        <f ca="1">IFERROR(__xludf.DUMMYFUNCTION("""COMPUTED_VALUE"""),"Hypothetical Protein. Rationale: NCBI blast, HHPRED same hypothetical description as functional assignments, PhagesDB blast. ")</f>
        <v xml:space="preserve">Hypothetical Protein. Rationale: NCBI blast, HHPRED same hypothetical description as functional assignments, PhagesDB blast. </v>
      </c>
    </row>
    <row r="21" spans="1:4" x14ac:dyDescent="0.2">
      <c r="A21" s="7"/>
      <c r="B21" s="19"/>
      <c r="C21" s="19"/>
      <c r="D21" s="19"/>
    </row>
    <row r="22" spans="1:4" ht="15.75" customHeight="1" x14ac:dyDescent="0.15">
      <c r="A22" s="9" t="s">
        <v>21</v>
      </c>
      <c r="B22" s="19" t="str">
        <f ca="1">IFERROR(__xludf.DUMMYFUNCTION("""COMPUTED_VALUE"""),"Still a little confused about the HHPred results, what does it mean if the box is not there for the functional domain part in the protein data bank, DNA binding protein?")</f>
        <v>Still a little confused about the HHPred results, what does it mean if the box is not there for the functional domain part in the protein data bank, DNA binding protein?</v>
      </c>
      <c r="C22" s="19"/>
      <c r="D22" s="19"/>
    </row>
    <row r="23" spans="1:4" ht="15.75" customHeight="1" x14ac:dyDescent="0.15">
      <c r="A23" s="10"/>
      <c r="B23" s="13"/>
      <c r="C23" s="13"/>
      <c r="D23" s="13"/>
    </row>
    <row r="24" spans="1:4" ht="15.75" customHeight="1" x14ac:dyDescent="0.15">
      <c r="A24" s="10"/>
      <c r="B24" s="13"/>
      <c r="C24" s="13"/>
      <c r="D24" s="13"/>
    </row>
    <row r="25" spans="1:4" ht="15.75" customHeight="1" x14ac:dyDescent="0.15">
      <c r="A25" s="10"/>
      <c r="B25" s="13"/>
      <c r="C25" s="13"/>
      <c r="D25" s="13"/>
    </row>
    <row r="26" spans="1:4" ht="15.75" customHeight="1" x14ac:dyDescent="0.15">
      <c r="A26" s="10"/>
      <c r="B26" s="13"/>
      <c r="C26" s="13"/>
      <c r="D26" s="13"/>
    </row>
    <row r="27" spans="1:4" ht="15.75" customHeight="1" x14ac:dyDescent="0.15">
      <c r="A27" s="10"/>
      <c r="B27" s="13"/>
      <c r="C27" s="13"/>
      <c r="D27" s="13"/>
    </row>
    <row r="28" spans="1:4" ht="15.75" customHeight="1" x14ac:dyDescent="0.15">
      <c r="A28" s="10"/>
      <c r="B28" s="13"/>
      <c r="C28" s="13"/>
      <c r="D28" s="13"/>
    </row>
    <row r="29" spans="1:4" ht="15.75" customHeight="1" x14ac:dyDescent="0.15">
      <c r="A29" s="10"/>
      <c r="B29" s="13"/>
      <c r="C29" s="13"/>
      <c r="D29" s="13"/>
    </row>
    <row r="30" spans="1:4" ht="15.75" customHeight="1" x14ac:dyDescent="0.15">
      <c r="A30" s="10"/>
      <c r="B30" s="13"/>
      <c r="C30" s="13"/>
      <c r="D30" s="13"/>
    </row>
    <row r="31" spans="1:4" ht="15.75" customHeight="1" x14ac:dyDescent="0.15">
      <c r="A31" s="10"/>
      <c r="B31" s="13"/>
      <c r="C31" s="13"/>
      <c r="D31" s="13"/>
    </row>
    <row r="32" spans="1:4" ht="15.75" customHeight="1" x14ac:dyDescent="0.15">
      <c r="A32" s="10"/>
      <c r="B32" s="13"/>
      <c r="C32" s="13"/>
      <c r="D32" s="13"/>
    </row>
    <row r="33" spans="1:4" ht="15.75" customHeight="1" x14ac:dyDescent="0.15">
      <c r="A33" s="10"/>
      <c r="B33" s="13"/>
      <c r="C33" s="13"/>
      <c r="D33" s="13"/>
    </row>
    <row r="34" spans="1:4" ht="15.75" customHeight="1" x14ac:dyDescent="0.15">
      <c r="A34" s="10"/>
      <c r="B34" s="13"/>
      <c r="C34" s="13"/>
      <c r="D34" s="13"/>
    </row>
    <row r="35" spans="1:4" ht="15.75" customHeight="1" x14ac:dyDescent="0.15">
      <c r="A35" s="10"/>
      <c r="B35" s="13"/>
      <c r="C35" s="13"/>
      <c r="D35" s="13"/>
    </row>
    <row r="36" spans="1:4" ht="15.75" customHeight="1" x14ac:dyDescent="0.15">
      <c r="A36" s="10"/>
      <c r="B36" s="13"/>
      <c r="C36" s="13"/>
      <c r="D36" s="13"/>
    </row>
    <row r="37" spans="1:4" ht="15.75" customHeight="1" x14ac:dyDescent="0.15">
      <c r="A37" s="10"/>
      <c r="B37" s="13"/>
      <c r="C37" s="13"/>
      <c r="D37" s="13"/>
    </row>
    <row r="38" spans="1:4" ht="15.75" customHeight="1" x14ac:dyDescent="0.15">
      <c r="A38" s="10"/>
      <c r="B38" s="13"/>
      <c r="C38" s="13"/>
      <c r="D38" s="13"/>
    </row>
    <row r="39" spans="1:4" ht="13" x14ac:dyDescent="0.15">
      <c r="A39" s="10"/>
      <c r="B39" s="13"/>
      <c r="C39" s="13"/>
      <c r="D39" s="13"/>
    </row>
    <row r="40" spans="1:4" ht="13" x14ac:dyDescent="0.15">
      <c r="A40" s="10"/>
      <c r="B40" s="13"/>
      <c r="C40" s="13"/>
      <c r="D40" s="13"/>
    </row>
    <row r="41" spans="1:4" ht="13" x14ac:dyDescent="0.15">
      <c r="A41" s="10"/>
      <c r="B41" s="13"/>
      <c r="C41" s="13"/>
      <c r="D41" s="13"/>
    </row>
    <row r="42" spans="1:4" ht="13" x14ac:dyDescent="0.15">
      <c r="A42" s="10"/>
      <c r="B42" s="13"/>
      <c r="C42" s="13"/>
      <c r="D42" s="13"/>
    </row>
    <row r="43" spans="1:4" ht="13" x14ac:dyDescent="0.15">
      <c r="A43" s="10"/>
      <c r="B43" s="13"/>
      <c r="C43" s="13"/>
      <c r="D43" s="13"/>
    </row>
    <row r="44" spans="1:4" ht="13" x14ac:dyDescent="0.15">
      <c r="A44" s="10"/>
      <c r="B44" s="13"/>
      <c r="C44" s="13"/>
      <c r="D44" s="13"/>
    </row>
    <row r="45" spans="1:4" ht="13" x14ac:dyDescent="0.15">
      <c r="A45" s="10"/>
      <c r="B45" s="13"/>
      <c r="C45" s="13"/>
      <c r="D45" s="13"/>
    </row>
    <row r="46" spans="1:4" ht="13" x14ac:dyDescent="0.15">
      <c r="A46" s="10"/>
      <c r="B46" s="13"/>
      <c r="C46" s="13"/>
      <c r="D46" s="13"/>
    </row>
    <row r="47" spans="1:4" ht="13" x14ac:dyDescent="0.15">
      <c r="A47" s="10"/>
      <c r="B47" s="13"/>
      <c r="C47" s="13"/>
      <c r="D47" s="13"/>
    </row>
    <row r="48" spans="1:4" ht="13" x14ac:dyDescent="0.15">
      <c r="A48" s="10"/>
      <c r="B48" s="13"/>
      <c r="C48" s="13"/>
      <c r="D48" s="13"/>
    </row>
    <row r="49" spans="1:4" ht="13" x14ac:dyDescent="0.15">
      <c r="A49" s="10"/>
      <c r="B49" s="13"/>
      <c r="C49" s="13"/>
      <c r="D49" s="13"/>
    </row>
    <row r="50" spans="1:4" ht="13" x14ac:dyDescent="0.15">
      <c r="A50" s="10"/>
      <c r="B50" s="13"/>
      <c r="C50" s="13"/>
      <c r="D50" s="13"/>
    </row>
    <row r="51" spans="1:4" ht="13" x14ac:dyDescent="0.15">
      <c r="A51" s="10"/>
      <c r="B51" s="13"/>
      <c r="C51" s="13"/>
      <c r="D51" s="13"/>
    </row>
    <row r="52" spans="1:4" ht="13" x14ac:dyDescent="0.15">
      <c r="A52" s="10"/>
      <c r="B52" s="13"/>
      <c r="C52" s="13"/>
      <c r="D52" s="13"/>
    </row>
    <row r="53" spans="1:4" ht="13" x14ac:dyDescent="0.15">
      <c r="A53" s="10"/>
      <c r="B53" s="13"/>
      <c r="C53" s="13"/>
      <c r="D53" s="13"/>
    </row>
    <row r="54" spans="1:4" ht="13" x14ac:dyDescent="0.15">
      <c r="A54" s="10"/>
      <c r="B54" s="13"/>
      <c r="C54" s="13"/>
      <c r="D54" s="13"/>
    </row>
    <row r="55" spans="1:4" ht="13" x14ac:dyDescent="0.15">
      <c r="A55" s="10"/>
      <c r="B55" s="13"/>
      <c r="C55" s="13"/>
      <c r="D55" s="13"/>
    </row>
    <row r="56" spans="1:4" ht="13" x14ac:dyDescent="0.15">
      <c r="A56" s="10"/>
      <c r="B56" s="13"/>
      <c r="C56" s="13"/>
      <c r="D56" s="13"/>
    </row>
    <row r="57" spans="1:4" ht="13" x14ac:dyDescent="0.15">
      <c r="A57" s="10"/>
      <c r="B57" s="13"/>
      <c r="C57" s="13"/>
      <c r="D57" s="13"/>
    </row>
    <row r="58" spans="1:4" ht="13" x14ac:dyDescent="0.15">
      <c r="A58" s="10"/>
      <c r="B58" s="13"/>
      <c r="C58" s="13"/>
      <c r="D58" s="13"/>
    </row>
    <row r="59" spans="1:4" ht="13" x14ac:dyDescent="0.15">
      <c r="A59" s="10"/>
      <c r="B59" s="13"/>
      <c r="C59" s="13"/>
      <c r="D59" s="13"/>
    </row>
    <row r="60" spans="1:4" ht="13" x14ac:dyDescent="0.15">
      <c r="A60" s="10"/>
      <c r="B60" s="13"/>
      <c r="C60" s="13"/>
      <c r="D60" s="13"/>
    </row>
    <row r="61" spans="1:4" ht="13" x14ac:dyDescent="0.15">
      <c r="A61" s="10"/>
      <c r="B61" s="13"/>
      <c r="C61" s="13"/>
      <c r="D61" s="13"/>
    </row>
    <row r="62" spans="1:4" ht="13" x14ac:dyDescent="0.15">
      <c r="A62" s="10"/>
      <c r="B62" s="13"/>
      <c r="C62" s="13"/>
      <c r="D62" s="13"/>
    </row>
    <row r="63" spans="1:4" ht="13" x14ac:dyDescent="0.15">
      <c r="A63" s="10"/>
      <c r="B63" s="13"/>
      <c r="C63" s="13"/>
      <c r="D63" s="13"/>
    </row>
    <row r="64" spans="1:4" ht="13" x14ac:dyDescent="0.15">
      <c r="A64" s="10"/>
      <c r="B64" s="13"/>
      <c r="C64" s="13"/>
      <c r="D64" s="13"/>
    </row>
    <row r="65" spans="1:4" ht="13" x14ac:dyDescent="0.15">
      <c r="A65" s="10"/>
      <c r="B65" s="13"/>
      <c r="C65" s="13"/>
      <c r="D65" s="13"/>
    </row>
    <row r="66" spans="1:4" ht="13" x14ac:dyDescent="0.15">
      <c r="A66" s="10"/>
      <c r="B66" s="13"/>
      <c r="C66" s="13"/>
      <c r="D66" s="13"/>
    </row>
    <row r="67" spans="1:4" ht="13" x14ac:dyDescent="0.15">
      <c r="A67" s="10"/>
      <c r="B67" s="13"/>
      <c r="C67" s="13"/>
      <c r="D67" s="13"/>
    </row>
    <row r="68" spans="1:4" ht="13" x14ac:dyDescent="0.15">
      <c r="A68" s="10"/>
      <c r="B68" s="13"/>
      <c r="C68" s="13"/>
      <c r="D68" s="13"/>
    </row>
    <row r="69" spans="1:4" ht="13" x14ac:dyDescent="0.15">
      <c r="A69" s="10"/>
      <c r="B69" s="13"/>
      <c r="C69" s="13"/>
      <c r="D69" s="13"/>
    </row>
    <row r="70" spans="1:4" ht="13" x14ac:dyDescent="0.15">
      <c r="A70" s="10"/>
      <c r="B70" s="13"/>
      <c r="C70" s="13"/>
      <c r="D70" s="13"/>
    </row>
    <row r="71" spans="1:4" ht="13" x14ac:dyDescent="0.15">
      <c r="A71" s="10"/>
      <c r="B71" s="13"/>
      <c r="C71" s="13"/>
      <c r="D71" s="13"/>
    </row>
    <row r="72" spans="1:4" ht="13" x14ac:dyDescent="0.15">
      <c r="A72" s="10"/>
      <c r="B72" s="13"/>
      <c r="C72" s="13"/>
      <c r="D72" s="13"/>
    </row>
    <row r="73" spans="1:4" ht="13" x14ac:dyDescent="0.15">
      <c r="A73" s="10"/>
      <c r="B73" s="13"/>
      <c r="C73" s="13"/>
      <c r="D73" s="13"/>
    </row>
    <row r="74" spans="1:4" ht="13" x14ac:dyDescent="0.15">
      <c r="A74" s="10"/>
      <c r="B74" s="13"/>
      <c r="C74" s="13"/>
      <c r="D74" s="13"/>
    </row>
    <row r="75" spans="1:4" ht="13" x14ac:dyDescent="0.15">
      <c r="A75" s="10"/>
      <c r="B75" s="13"/>
      <c r="C75" s="13"/>
      <c r="D75" s="13"/>
    </row>
    <row r="76" spans="1:4" ht="13" x14ac:dyDescent="0.15">
      <c r="A76" s="10"/>
      <c r="B76" s="13"/>
      <c r="C76" s="13"/>
      <c r="D76" s="13"/>
    </row>
    <row r="77" spans="1:4" ht="13" x14ac:dyDescent="0.15">
      <c r="A77" s="10"/>
      <c r="B77" s="13"/>
      <c r="C77" s="13"/>
      <c r="D77" s="13"/>
    </row>
    <row r="78" spans="1:4" ht="13" x14ac:dyDescent="0.15">
      <c r="A78" s="10"/>
      <c r="B78" s="13"/>
      <c r="C78" s="13"/>
      <c r="D78" s="13"/>
    </row>
    <row r="79" spans="1:4" ht="13" x14ac:dyDescent="0.15">
      <c r="A79" s="10"/>
      <c r="B79" s="13"/>
      <c r="C79" s="13"/>
      <c r="D79" s="13"/>
    </row>
    <row r="80" spans="1:4" ht="13" x14ac:dyDescent="0.15">
      <c r="A80" s="10"/>
      <c r="B80" s="13"/>
      <c r="C80" s="13"/>
      <c r="D80" s="13"/>
    </row>
    <row r="81" spans="1:4" ht="13" x14ac:dyDescent="0.15">
      <c r="A81" s="10"/>
      <c r="B81" s="13"/>
      <c r="C81" s="13"/>
      <c r="D81" s="13"/>
    </row>
    <row r="82" spans="1:4" ht="13" x14ac:dyDescent="0.15">
      <c r="A82" s="10"/>
      <c r="B82" s="13"/>
      <c r="C82" s="13"/>
      <c r="D82" s="13"/>
    </row>
    <row r="83" spans="1:4" ht="13" x14ac:dyDescent="0.15">
      <c r="A83" s="10"/>
      <c r="B83" s="13"/>
      <c r="C83" s="13"/>
      <c r="D83" s="13"/>
    </row>
    <row r="84" spans="1:4" ht="13" x14ac:dyDescent="0.15">
      <c r="A84" s="10"/>
      <c r="B84" s="13"/>
      <c r="C84" s="13"/>
      <c r="D84" s="13"/>
    </row>
    <row r="85" spans="1:4" ht="13" x14ac:dyDescent="0.15">
      <c r="A85" s="10"/>
      <c r="B85" s="13"/>
      <c r="C85" s="13"/>
      <c r="D85" s="13"/>
    </row>
    <row r="86" spans="1:4" ht="13" x14ac:dyDescent="0.15">
      <c r="A86" s="10"/>
      <c r="B86" s="13"/>
      <c r="C86" s="13"/>
      <c r="D86" s="13"/>
    </row>
    <row r="87" spans="1:4" ht="13" x14ac:dyDescent="0.15">
      <c r="A87" s="10"/>
      <c r="B87" s="13"/>
      <c r="C87" s="13"/>
      <c r="D87" s="13"/>
    </row>
    <row r="88" spans="1:4" ht="13" x14ac:dyDescent="0.15">
      <c r="A88" s="10"/>
      <c r="B88" s="13"/>
      <c r="C88" s="13"/>
      <c r="D88" s="13"/>
    </row>
    <row r="89" spans="1:4" ht="13" x14ac:dyDescent="0.15">
      <c r="A89" s="10"/>
      <c r="B89" s="13"/>
      <c r="C89" s="13"/>
      <c r="D89" s="13"/>
    </row>
    <row r="90" spans="1:4" ht="13" x14ac:dyDescent="0.15">
      <c r="A90" s="10"/>
      <c r="B90" s="13"/>
      <c r="C90" s="13"/>
      <c r="D90" s="13"/>
    </row>
    <row r="91" spans="1:4" ht="13" x14ac:dyDescent="0.15">
      <c r="A91" s="10"/>
      <c r="B91" s="13"/>
      <c r="C91" s="13"/>
      <c r="D91" s="13"/>
    </row>
    <row r="92" spans="1:4" ht="13" x14ac:dyDescent="0.15">
      <c r="A92" s="10"/>
      <c r="B92" s="13"/>
      <c r="C92" s="13"/>
      <c r="D92" s="13"/>
    </row>
    <row r="93" spans="1:4" ht="13" x14ac:dyDescent="0.15">
      <c r="A93" s="10"/>
      <c r="B93" s="13"/>
      <c r="C93" s="13"/>
      <c r="D93" s="13"/>
    </row>
    <row r="94" spans="1:4" ht="13" x14ac:dyDescent="0.15">
      <c r="A94" s="10"/>
      <c r="B94" s="13"/>
      <c r="C94" s="13"/>
      <c r="D94" s="13"/>
    </row>
    <row r="95" spans="1:4" ht="13" x14ac:dyDescent="0.15">
      <c r="A95" s="10"/>
      <c r="B95" s="13"/>
      <c r="C95" s="13"/>
      <c r="D95" s="13"/>
    </row>
    <row r="96" spans="1:4" ht="13" x14ac:dyDescent="0.15">
      <c r="A96" s="10"/>
      <c r="B96" s="13"/>
      <c r="C96" s="13"/>
      <c r="D96" s="13"/>
    </row>
    <row r="97" spans="1:4" ht="13" x14ac:dyDescent="0.15">
      <c r="A97" s="10"/>
      <c r="B97" s="13"/>
      <c r="C97" s="13"/>
      <c r="D97" s="13"/>
    </row>
    <row r="98" spans="1:4" ht="13" x14ac:dyDescent="0.15">
      <c r="A98" s="10"/>
      <c r="B98" s="13"/>
      <c r="C98" s="13"/>
      <c r="D98" s="13"/>
    </row>
    <row r="99" spans="1:4" ht="13" x14ac:dyDescent="0.15">
      <c r="A99" s="10"/>
      <c r="B99" s="13"/>
      <c r="C99" s="13"/>
      <c r="D99" s="13"/>
    </row>
    <row r="100" spans="1:4" ht="13" x14ac:dyDescent="0.15">
      <c r="A100" s="10"/>
      <c r="B100" s="13"/>
      <c r="C100" s="13"/>
      <c r="D100" s="13"/>
    </row>
    <row r="101" spans="1:4" ht="13" x14ac:dyDescent="0.15">
      <c r="A101" s="10"/>
      <c r="B101" s="13"/>
      <c r="C101" s="13"/>
      <c r="D101" s="13"/>
    </row>
    <row r="102" spans="1:4" ht="13" x14ac:dyDescent="0.15">
      <c r="A102" s="10"/>
      <c r="B102" s="13"/>
      <c r="C102" s="13"/>
      <c r="D102" s="13"/>
    </row>
    <row r="103" spans="1:4" ht="13" x14ac:dyDescent="0.15">
      <c r="A103" s="10"/>
      <c r="B103" s="13"/>
      <c r="C103" s="13"/>
      <c r="D103" s="13"/>
    </row>
    <row r="104" spans="1:4" ht="13" x14ac:dyDescent="0.15">
      <c r="A104" s="10"/>
      <c r="B104" s="13"/>
      <c r="C104" s="13"/>
      <c r="D104" s="13"/>
    </row>
    <row r="105" spans="1:4" ht="13" x14ac:dyDescent="0.15">
      <c r="A105" s="10"/>
      <c r="B105" s="13"/>
      <c r="C105" s="13"/>
      <c r="D105" s="13"/>
    </row>
    <row r="106" spans="1:4" ht="13" x14ac:dyDescent="0.15">
      <c r="A106" s="10"/>
      <c r="B106" s="13"/>
      <c r="C106" s="13"/>
      <c r="D106" s="13"/>
    </row>
    <row r="107" spans="1:4" ht="13" x14ac:dyDescent="0.15">
      <c r="A107" s="10"/>
      <c r="B107" s="13"/>
      <c r="C107" s="13"/>
      <c r="D107" s="13"/>
    </row>
    <row r="108" spans="1:4" ht="13" x14ac:dyDescent="0.15">
      <c r="A108" s="10"/>
      <c r="B108" s="13"/>
      <c r="C108" s="13"/>
      <c r="D108" s="13"/>
    </row>
    <row r="109" spans="1:4" ht="13" x14ac:dyDescent="0.15">
      <c r="A109" s="10"/>
      <c r="B109" s="13"/>
      <c r="C109" s="13"/>
      <c r="D109" s="13"/>
    </row>
    <row r="110" spans="1:4" ht="13" x14ac:dyDescent="0.15">
      <c r="A110" s="10"/>
      <c r="B110" s="13"/>
      <c r="C110" s="13"/>
      <c r="D110" s="13"/>
    </row>
    <row r="111" spans="1:4" ht="13" x14ac:dyDescent="0.15">
      <c r="A111" s="10"/>
      <c r="B111" s="13"/>
      <c r="C111" s="13"/>
      <c r="D111" s="13"/>
    </row>
    <row r="112" spans="1:4" ht="13" x14ac:dyDescent="0.15">
      <c r="A112" s="10"/>
      <c r="B112" s="13"/>
      <c r="C112" s="13"/>
      <c r="D112" s="13"/>
    </row>
    <row r="113" spans="1:4" ht="13" x14ac:dyDescent="0.15">
      <c r="A113" s="10"/>
      <c r="B113" s="13"/>
      <c r="C113" s="13"/>
      <c r="D113" s="13"/>
    </row>
    <row r="114" spans="1:4" ht="13" x14ac:dyDescent="0.15">
      <c r="A114" s="10"/>
      <c r="B114" s="13"/>
      <c r="C114" s="13"/>
      <c r="D114" s="13"/>
    </row>
    <row r="115" spans="1:4" ht="13" x14ac:dyDescent="0.15">
      <c r="A115" s="10"/>
      <c r="B115" s="13"/>
      <c r="C115" s="13"/>
      <c r="D115" s="13"/>
    </row>
    <row r="116" spans="1:4" ht="13" x14ac:dyDescent="0.15">
      <c r="A116" s="10"/>
      <c r="B116" s="13"/>
      <c r="C116" s="13"/>
      <c r="D116" s="13"/>
    </row>
    <row r="117" spans="1:4" ht="13" x14ac:dyDescent="0.15">
      <c r="A117" s="10"/>
      <c r="B117" s="13"/>
      <c r="C117" s="13"/>
      <c r="D117" s="13"/>
    </row>
    <row r="118" spans="1:4" ht="13" x14ac:dyDescent="0.15">
      <c r="A118" s="10"/>
      <c r="B118" s="13"/>
      <c r="C118" s="13"/>
      <c r="D118" s="13"/>
    </row>
    <row r="119" spans="1:4" ht="13" x14ac:dyDescent="0.15">
      <c r="A119" s="10"/>
      <c r="B119" s="13"/>
      <c r="C119" s="13"/>
      <c r="D119" s="13"/>
    </row>
    <row r="120" spans="1:4" ht="13" x14ac:dyDescent="0.15">
      <c r="A120" s="10"/>
      <c r="B120" s="13"/>
      <c r="C120" s="13"/>
      <c r="D120" s="13"/>
    </row>
    <row r="121" spans="1:4" ht="13" x14ac:dyDescent="0.15">
      <c r="A121" s="10"/>
      <c r="B121" s="13"/>
      <c r="C121" s="13"/>
      <c r="D121" s="13"/>
    </row>
    <row r="122" spans="1:4" ht="13" x14ac:dyDescent="0.15">
      <c r="A122" s="10"/>
      <c r="B122" s="13"/>
      <c r="C122" s="13"/>
      <c r="D122" s="13"/>
    </row>
    <row r="123" spans="1:4" ht="13" x14ac:dyDescent="0.15">
      <c r="A123" s="10"/>
      <c r="B123" s="13"/>
      <c r="C123" s="13"/>
      <c r="D123" s="13"/>
    </row>
    <row r="124" spans="1:4" ht="13" x14ac:dyDescent="0.15">
      <c r="A124" s="10"/>
      <c r="B124" s="13"/>
      <c r="C124" s="13"/>
      <c r="D124" s="13"/>
    </row>
    <row r="125" spans="1:4" ht="13" x14ac:dyDescent="0.15">
      <c r="A125" s="10"/>
      <c r="B125" s="13"/>
      <c r="C125" s="13"/>
      <c r="D125" s="13"/>
    </row>
    <row r="126" spans="1:4" ht="13" x14ac:dyDescent="0.15">
      <c r="A126" s="10"/>
      <c r="B126" s="13"/>
      <c r="C126" s="13"/>
      <c r="D126" s="13"/>
    </row>
    <row r="127" spans="1:4" ht="13" x14ac:dyDescent="0.15">
      <c r="A127" s="10"/>
      <c r="B127" s="13"/>
      <c r="C127" s="13"/>
      <c r="D127" s="13"/>
    </row>
    <row r="128" spans="1:4" ht="13" x14ac:dyDescent="0.15">
      <c r="A128" s="10"/>
      <c r="B128" s="13"/>
      <c r="C128" s="13"/>
      <c r="D128" s="13"/>
    </row>
    <row r="129" spans="1:4" ht="13" x14ac:dyDescent="0.15">
      <c r="A129" s="10"/>
      <c r="B129" s="13"/>
      <c r="C129" s="13"/>
      <c r="D129" s="13"/>
    </row>
    <row r="130" spans="1:4" ht="13" x14ac:dyDescent="0.15">
      <c r="A130" s="10"/>
      <c r="B130" s="13"/>
      <c r="C130" s="13"/>
      <c r="D130" s="13"/>
    </row>
    <row r="131" spans="1:4" ht="13" x14ac:dyDescent="0.15">
      <c r="A131" s="10"/>
      <c r="B131" s="13"/>
      <c r="C131" s="13"/>
      <c r="D131" s="13"/>
    </row>
    <row r="132" spans="1:4" ht="13" x14ac:dyDescent="0.15">
      <c r="A132" s="10"/>
      <c r="B132" s="13"/>
      <c r="C132" s="13"/>
      <c r="D132" s="13"/>
    </row>
    <row r="133" spans="1:4" ht="13" x14ac:dyDescent="0.15">
      <c r="A133" s="10"/>
      <c r="B133" s="13"/>
      <c r="C133" s="13"/>
      <c r="D133" s="13"/>
    </row>
    <row r="134" spans="1:4" ht="13" x14ac:dyDescent="0.15">
      <c r="A134" s="10"/>
      <c r="B134" s="13"/>
      <c r="C134" s="13"/>
      <c r="D134" s="13"/>
    </row>
    <row r="135" spans="1:4" ht="13" x14ac:dyDescent="0.15">
      <c r="A135" s="10"/>
      <c r="B135" s="13"/>
      <c r="C135" s="13"/>
      <c r="D135" s="13"/>
    </row>
    <row r="136" spans="1:4" ht="13" x14ac:dyDescent="0.15">
      <c r="A136" s="10"/>
      <c r="B136" s="13"/>
      <c r="C136" s="13"/>
      <c r="D136" s="13"/>
    </row>
    <row r="137" spans="1:4" ht="13" x14ac:dyDescent="0.15">
      <c r="A137" s="10"/>
      <c r="B137" s="13"/>
      <c r="C137" s="13"/>
      <c r="D137" s="13"/>
    </row>
    <row r="138" spans="1:4" ht="13" x14ac:dyDescent="0.15">
      <c r="A138" s="10"/>
      <c r="B138" s="13"/>
      <c r="C138" s="13"/>
      <c r="D138" s="13"/>
    </row>
    <row r="139" spans="1:4" ht="13" x14ac:dyDescent="0.15">
      <c r="A139" s="10"/>
      <c r="B139" s="13"/>
      <c r="C139" s="13"/>
      <c r="D139" s="13"/>
    </row>
    <row r="140" spans="1:4" ht="13" x14ac:dyDescent="0.15">
      <c r="A140" s="10"/>
      <c r="B140" s="13"/>
      <c r="C140" s="13"/>
      <c r="D140" s="13"/>
    </row>
    <row r="141" spans="1:4" ht="13" x14ac:dyDescent="0.15">
      <c r="A141" s="10"/>
      <c r="B141" s="13"/>
      <c r="C141" s="13"/>
      <c r="D141" s="13"/>
    </row>
    <row r="142" spans="1:4" ht="13" x14ac:dyDescent="0.15">
      <c r="A142" s="10"/>
      <c r="B142" s="13"/>
      <c r="C142" s="13"/>
      <c r="D142" s="13"/>
    </row>
    <row r="143" spans="1:4" ht="13" x14ac:dyDescent="0.15">
      <c r="A143" s="10"/>
      <c r="B143" s="13"/>
      <c r="C143" s="13"/>
      <c r="D143" s="13"/>
    </row>
    <row r="144" spans="1:4" ht="13" x14ac:dyDescent="0.15">
      <c r="A144" s="10"/>
      <c r="B144" s="13"/>
      <c r="C144" s="13"/>
      <c r="D144" s="13"/>
    </row>
    <row r="145" spans="1:4" ht="13" x14ac:dyDescent="0.15">
      <c r="A145" s="10"/>
      <c r="B145" s="13"/>
      <c r="C145" s="13"/>
      <c r="D145" s="13"/>
    </row>
    <row r="146" spans="1:4" ht="13" x14ac:dyDescent="0.15">
      <c r="A146" s="10"/>
      <c r="B146" s="13"/>
      <c r="C146" s="13"/>
      <c r="D146" s="13"/>
    </row>
    <row r="147" spans="1:4" ht="13" x14ac:dyDescent="0.15">
      <c r="A147" s="10"/>
      <c r="B147" s="13"/>
      <c r="C147" s="13"/>
      <c r="D147" s="13"/>
    </row>
    <row r="148" spans="1:4" ht="13" x14ac:dyDescent="0.15">
      <c r="A148" s="10"/>
      <c r="B148" s="13"/>
      <c r="C148" s="13"/>
      <c r="D148" s="13"/>
    </row>
    <row r="149" spans="1:4" ht="13" x14ac:dyDescent="0.15">
      <c r="A149" s="10"/>
      <c r="B149" s="13"/>
      <c r="C149" s="13"/>
      <c r="D149" s="13"/>
    </row>
    <row r="150" spans="1:4" ht="13" x14ac:dyDescent="0.15">
      <c r="A150" s="10"/>
      <c r="B150" s="13"/>
      <c r="C150" s="13"/>
      <c r="D150" s="13"/>
    </row>
    <row r="151" spans="1:4" ht="13" x14ac:dyDescent="0.15">
      <c r="A151" s="10"/>
      <c r="B151" s="13"/>
      <c r="C151" s="13"/>
      <c r="D151" s="13"/>
    </row>
    <row r="152" spans="1:4" ht="13" x14ac:dyDescent="0.15">
      <c r="A152" s="10"/>
      <c r="B152" s="13"/>
      <c r="C152" s="13"/>
      <c r="D152" s="13"/>
    </row>
    <row r="153" spans="1:4" ht="13" x14ac:dyDescent="0.15">
      <c r="A153" s="10"/>
      <c r="B153" s="13"/>
      <c r="C153" s="13"/>
      <c r="D153" s="13"/>
    </row>
    <row r="154" spans="1:4" ht="13" x14ac:dyDescent="0.15">
      <c r="A154" s="10"/>
      <c r="B154" s="13"/>
      <c r="C154" s="13"/>
      <c r="D154" s="13"/>
    </row>
    <row r="155" spans="1:4" ht="13" x14ac:dyDescent="0.15">
      <c r="A155" s="10"/>
      <c r="B155" s="13"/>
      <c r="C155" s="13"/>
      <c r="D155" s="13"/>
    </row>
    <row r="156" spans="1:4" ht="13" x14ac:dyDescent="0.15">
      <c r="A156" s="10"/>
      <c r="B156" s="13"/>
      <c r="C156" s="13"/>
      <c r="D156" s="13"/>
    </row>
    <row r="157" spans="1:4" ht="13" x14ac:dyDescent="0.15">
      <c r="A157" s="10"/>
      <c r="B157" s="13"/>
      <c r="C157" s="13"/>
      <c r="D157" s="13"/>
    </row>
    <row r="158" spans="1:4" ht="13" x14ac:dyDescent="0.15">
      <c r="A158" s="10"/>
      <c r="B158" s="13"/>
      <c r="C158" s="13"/>
      <c r="D158" s="13"/>
    </row>
    <row r="159" spans="1:4" ht="13" x14ac:dyDescent="0.15">
      <c r="A159" s="10"/>
      <c r="B159" s="13"/>
      <c r="C159" s="13"/>
      <c r="D159" s="13"/>
    </row>
    <row r="160" spans="1:4" ht="13" x14ac:dyDescent="0.15">
      <c r="A160" s="10"/>
      <c r="B160" s="13"/>
      <c r="C160" s="13"/>
      <c r="D160" s="13"/>
    </row>
    <row r="161" spans="1:4" ht="13" x14ac:dyDescent="0.15">
      <c r="A161" s="10"/>
      <c r="B161" s="13"/>
      <c r="C161" s="13"/>
      <c r="D161" s="13"/>
    </row>
    <row r="162" spans="1:4" ht="13" x14ac:dyDescent="0.15">
      <c r="A162" s="10"/>
      <c r="B162" s="13"/>
      <c r="C162" s="13"/>
      <c r="D162" s="13"/>
    </row>
    <row r="163" spans="1:4" ht="13" x14ac:dyDescent="0.15">
      <c r="A163" s="10"/>
      <c r="B163" s="13"/>
      <c r="C163" s="13"/>
      <c r="D163" s="13"/>
    </row>
    <row r="164" spans="1:4" ht="13" x14ac:dyDescent="0.15">
      <c r="A164" s="10"/>
      <c r="B164" s="13"/>
      <c r="C164" s="13"/>
      <c r="D164" s="13"/>
    </row>
    <row r="165" spans="1:4" ht="13" x14ac:dyDescent="0.15">
      <c r="A165" s="10"/>
      <c r="B165" s="13"/>
      <c r="C165" s="13"/>
      <c r="D165" s="13"/>
    </row>
    <row r="166" spans="1:4" ht="13" x14ac:dyDescent="0.15">
      <c r="A166" s="10"/>
      <c r="B166" s="13"/>
      <c r="C166" s="13"/>
      <c r="D166" s="13"/>
    </row>
    <row r="167" spans="1:4" ht="13" x14ac:dyDescent="0.15">
      <c r="A167" s="10"/>
      <c r="B167" s="13"/>
      <c r="C167" s="13"/>
      <c r="D167" s="13"/>
    </row>
    <row r="168" spans="1:4" ht="13" x14ac:dyDescent="0.15">
      <c r="A168" s="10"/>
      <c r="B168" s="13"/>
      <c r="C168" s="13"/>
      <c r="D168" s="13"/>
    </row>
    <row r="169" spans="1:4" ht="13" x14ac:dyDescent="0.15">
      <c r="A169" s="10"/>
      <c r="B169" s="13"/>
      <c r="C169" s="13"/>
      <c r="D169" s="13"/>
    </row>
    <row r="170" spans="1:4" ht="13" x14ac:dyDescent="0.15">
      <c r="A170" s="10"/>
      <c r="B170" s="13"/>
      <c r="C170" s="13"/>
      <c r="D170" s="13"/>
    </row>
    <row r="171" spans="1:4" ht="13" x14ac:dyDescent="0.15">
      <c r="A171" s="10"/>
      <c r="B171" s="13"/>
      <c r="C171" s="13"/>
      <c r="D171" s="13"/>
    </row>
    <row r="172" spans="1:4" ht="13" x14ac:dyDescent="0.15">
      <c r="A172" s="10"/>
      <c r="B172" s="13"/>
      <c r="C172" s="13"/>
      <c r="D172" s="13"/>
    </row>
    <row r="173" spans="1:4" ht="13" x14ac:dyDescent="0.15">
      <c r="A173" s="10"/>
      <c r="B173" s="13"/>
      <c r="C173" s="13"/>
      <c r="D173" s="13"/>
    </row>
    <row r="174" spans="1:4" ht="13" x14ac:dyDescent="0.15">
      <c r="A174" s="10"/>
      <c r="B174" s="13"/>
      <c r="C174" s="13"/>
      <c r="D174" s="13"/>
    </row>
    <row r="175" spans="1:4" ht="13" x14ac:dyDescent="0.15">
      <c r="A175" s="10"/>
      <c r="B175" s="13"/>
      <c r="C175" s="13"/>
      <c r="D175" s="13"/>
    </row>
    <row r="176" spans="1:4" ht="13" x14ac:dyDescent="0.15">
      <c r="A176" s="10"/>
      <c r="B176" s="13"/>
      <c r="C176" s="13"/>
      <c r="D176" s="13"/>
    </row>
    <row r="177" spans="1:4" ht="13" x14ac:dyDescent="0.15">
      <c r="A177" s="10"/>
      <c r="B177" s="13"/>
      <c r="C177" s="13"/>
      <c r="D177" s="13"/>
    </row>
    <row r="178" spans="1:4" ht="13" x14ac:dyDescent="0.15">
      <c r="A178" s="10"/>
      <c r="B178" s="13"/>
      <c r="C178" s="13"/>
      <c r="D178" s="13"/>
    </row>
    <row r="179" spans="1:4" ht="13" x14ac:dyDescent="0.15">
      <c r="A179" s="10"/>
      <c r="B179" s="13"/>
      <c r="C179" s="13"/>
      <c r="D179" s="13"/>
    </row>
    <row r="180" spans="1:4" ht="13" x14ac:dyDescent="0.15">
      <c r="A180" s="10"/>
      <c r="B180" s="13"/>
      <c r="C180" s="13"/>
      <c r="D180" s="13"/>
    </row>
    <row r="181" spans="1:4" ht="13" x14ac:dyDescent="0.15">
      <c r="A181" s="10"/>
      <c r="B181" s="13"/>
      <c r="C181" s="13"/>
      <c r="D181" s="13"/>
    </row>
    <row r="182" spans="1:4" ht="13" x14ac:dyDescent="0.15">
      <c r="A182" s="10"/>
      <c r="B182" s="13"/>
      <c r="C182" s="13"/>
      <c r="D182" s="13"/>
    </row>
    <row r="183" spans="1:4" ht="13" x14ac:dyDescent="0.15">
      <c r="A183" s="10"/>
      <c r="B183" s="13"/>
      <c r="C183" s="13"/>
      <c r="D183" s="13"/>
    </row>
    <row r="184" spans="1:4" ht="13" x14ac:dyDescent="0.15">
      <c r="A184" s="10"/>
      <c r="B184" s="13"/>
      <c r="C184" s="13"/>
      <c r="D184" s="13"/>
    </row>
    <row r="185" spans="1:4" ht="13" x14ac:dyDescent="0.15">
      <c r="A185" s="10"/>
      <c r="B185" s="13"/>
      <c r="C185" s="13"/>
      <c r="D185" s="13"/>
    </row>
    <row r="186" spans="1:4" ht="13" x14ac:dyDescent="0.15">
      <c r="A186" s="10"/>
      <c r="B186" s="13"/>
      <c r="C186" s="13"/>
      <c r="D186" s="13"/>
    </row>
    <row r="187" spans="1:4" ht="13" x14ac:dyDescent="0.15">
      <c r="A187" s="10"/>
      <c r="B187" s="13"/>
      <c r="C187" s="13"/>
      <c r="D187" s="13"/>
    </row>
    <row r="188" spans="1:4" ht="13" x14ac:dyDescent="0.15">
      <c r="A188" s="10"/>
      <c r="B188" s="13"/>
      <c r="C188" s="13"/>
      <c r="D188" s="13"/>
    </row>
    <row r="189" spans="1:4" ht="13" x14ac:dyDescent="0.15">
      <c r="A189" s="10"/>
      <c r="B189" s="13"/>
      <c r="C189" s="13"/>
      <c r="D189" s="13"/>
    </row>
    <row r="190" spans="1:4" ht="13" x14ac:dyDescent="0.15">
      <c r="A190" s="10"/>
      <c r="B190" s="13"/>
      <c r="C190" s="13"/>
      <c r="D190" s="13"/>
    </row>
    <row r="191" spans="1:4" ht="13" x14ac:dyDescent="0.15">
      <c r="A191" s="10"/>
      <c r="B191" s="13"/>
      <c r="C191" s="13"/>
      <c r="D191" s="13"/>
    </row>
    <row r="192" spans="1:4" ht="13" x14ac:dyDescent="0.15">
      <c r="A192" s="10"/>
      <c r="B192" s="13"/>
      <c r="C192" s="13"/>
      <c r="D192" s="13"/>
    </row>
    <row r="193" spans="1:4" ht="13" x14ac:dyDescent="0.15">
      <c r="A193" s="10"/>
      <c r="B193" s="13"/>
      <c r="C193" s="13"/>
      <c r="D193" s="13"/>
    </row>
    <row r="194" spans="1:4" ht="13" x14ac:dyDescent="0.15">
      <c r="A194" s="10"/>
      <c r="B194" s="13"/>
      <c r="C194" s="13"/>
      <c r="D194" s="13"/>
    </row>
    <row r="195" spans="1:4" ht="13" x14ac:dyDescent="0.15">
      <c r="A195" s="10"/>
      <c r="B195" s="13"/>
      <c r="C195" s="13"/>
      <c r="D195" s="13"/>
    </row>
    <row r="196" spans="1:4" ht="13" x14ac:dyDescent="0.15">
      <c r="A196" s="10"/>
      <c r="B196" s="13"/>
      <c r="C196" s="13"/>
      <c r="D196" s="13"/>
    </row>
    <row r="197" spans="1:4" ht="13" x14ac:dyDescent="0.15">
      <c r="A197" s="10"/>
      <c r="B197" s="13"/>
      <c r="C197" s="13"/>
      <c r="D197" s="13"/>
    </row>
    <row r="198" spans="1:4" ht="13" x14ac:dyDescent="0.15">
      <c r="A198" s="10"/>
      <c r="B198" s="13"/>
      <c r="C198" s="13"/>
      <c r="D198" s="13"/>
    </row>
    <row r="199" spans="1:4" ht="13" x14ac:dyDescent="0.15">
      <c r="A199" s="10"/>
      <c r="B199" s="13"/>
      <c r="C199" s="13"/>
      <c r="D199" s="13"/>
    </row>
    <row r="200" spans="1:4" ht="13" x14ac:dyDescent="0.15">
      <c r="A200" s="10"/>
      <c r="B200" s="13"/>
      <c r="C200" s="13"/>
      <c r="D200" s="13"/>
    </row>
    <row r="201" spans="1:4" ht="13" x14ac:dyDescent="0.15">
      <c r="A201" s="10"/>
      <c r="B201" s="13"/>
      <c r="C201" s="13"/>
      <c r="D201" s="13"/>
    </row>
    <row r="202" spans="1:4" ht="13" x14ac:dyDescent="0.15">
      <c r="A202" s="10"/>
      <c r="B202" s="13"/>
      <c r="C202" s="13"/>
      <c r="D202" s="13"/>
    </row>
    <row r="203" spans="1:4" ht="13" x14ac:dyDescent="0.15">
      <c r="A203" s="10"/>
      <c r="B203" s="13"/>
      <c r="C203" s="13"/>
      <c r="D203" s="13"/>
    </row>
    <row r="204" spans="1:4" ht="13" x14ac:dyDescent="0.15">
      <c r="A204" s="10"/>
      <c r="B204" s="13"/>
      <c r="C204" s="13"/>
      <c r="D204" s="13"/>
    </row>
    <row r="205" spans="1:4" ht="13" x14ac:dyDescent="0.15">
      <c r="A205" s="10"/>
      <c r="B205" s="13"/>
      <c r="C205" s="13"/>
      <c r="D205" s="13"/>
    </row>
    <row r="206" spans="1:4" ht="13" x14ac:dyDescent="0.15">
      <c r="A206" s="10"/>
      <c r="B206" s="13"/>
      <c r="C206" s="13"/>
      <c r="D206" s="13"/>
    </row>
    <row r="207" spans="1:4" ht="13" x14ac:dyDescent="0.15">
      <c r="A207" s="10"/>
      <c r="B207" s="13"/>
      <c r="C207" s="13"/>
      <c r="D207" s="13"/>
    </row>
    <row r="208" spans="1:4" ht="13" x14ac:dyDescent="0.15">
      <c r="A208" s="10"/>
      <c r="B208" s="13"/>
      <c r="C208" s="13"/>
      <c r="D208" s="13"/>
    </row>
    <row r="209" spans="1:4" ht="13" x14ac:dyDescent="0.15">
      <c r="A209" s="10"/>
      <c r="B209" s="13"/>
      <c r="C209" s="13"/>
      <c r="D209" s="13"/>
    </row>
    <row r="210" spans="1:4" ht="13" x14ac:dyDescent="0.15">
      <c r="A210" s="10"/>
      <c r="B210" s="13"/>
      <c r="C210" s="13"/>
      <c r="D210" s="13"/>
    </row>
    <row r="211" spans="1:4" ht="13" x14ac:dyDescent="0.15">
      <c r="A211" s="10"/>
      <c r="B211" s="13"/>
      <c r="C211" s="13"/>
      <c r="D211" s="13"/>
    </row>
    <row r="212" spans="1:4" ht="13" x14ac:dyDescent="0.15">
      <c r="A212" s="10"/>
      <c r="B212" s="13"/>
      <c r="C212" s="13"/>
      <c r="D212" s="13"/>
    </row>
    <row r="213" spans="1:4" ht="13" x14ac:dyDescent="0.15">
      <c r="A213" s="10"/>
      <c r="B213" s="13"/>
      <c r="C213" s="13"/>
      <c r="D213" s="13"/>
    </row>
    <row r="214" spans="1:4" ht="13" x14ac:dyDescent="0.15">
      <c r="A214" s="10"/>
      <c r="B214" s="13"/>
      <c r="C214" s="13"/>
      <c r="D214" s="13"/>
    </row>
    <row r="215" spans="1:4" ht="13" x14ac:dyDescent="0.15">
      <c r="A215" s="10"/>
      <c r="B215" s="13"/>
      <c r="C215" s="13"/>
      <c r="D215" s="13"/>
    </row>
    <row r="216" spans="1:4" ht="13" x14ac:dyDescent="0.15">
      <c r="A216" s="10"/>
      <c r="B216" s="13"/>
      <c r="C216" s="13"/>
      <c r="D216" s="13"/>
    </row>
    <row r="217" spans="1:4" ht="13" x14ac:dyDescent="0.15">
      <c r="A217" s="10"/>
      <c r="B217" s="13"/>
      <c r="C217" s="13"/>
      <c r="D217" s="13"/>
    </row>
    <row r="218" spans="1:4" ht="13" x14ac:dyDescent="0.15">
      <c r="A218" s="10"/>
      <c r="B218" s="13"/>
      <c r="C218" s="13"/>
      <c r="D218" s="13"/>
    </row>
    <row r="219" spans="1:4" ht="13" x14ac:dyDescent="0.15">
      <c r="A219" s="10"/>
      <c r="B219" s="13"/>
      <c r="C219" s="13"/>
      <c r="D219" s="13"/>
    </row>
    <row r="220" spans="1:4" ht="13" x14ac:dyDescent="0.15">
      <c r="A220" s="10"/>
      <c r="B220" s="13"/>
      <c r="C220" s="13"/>
      <c r="D220" s="13"/>
    </row>
    <row r="221" spans="1:4" ht="13" x14ac:dyDescent="0.15">
      <c r="A221" s="10"/>
      <c r="B221" s="13"/>
      <c r="C221" s="13"/>
      <c r="D221" s="13"/>
    </row>
    <row r="222" spans="1:4" ht="13" x14ac:dyDescent="0.15">
      <c r="A222" s="10"/>
      <c r="B222" s="13"/>
      <c r="C222" s="13"/>
      <c r="D222" s="13"/>
    </row>
    <row r="223" spans="1:4" ht="13" x14ac:dyDescent="0.15">
      <c r="A223" s="10"/>
      <c r="B223" s="13"/>
      <c r="C223" s="13"/>
      <c r="D223" s="13"/>
    </row>
    <row r="224" spans="1:4" ht="13" x14ac:dyDescent="0.15">
      <c r="A224" s="10"/>
      <c r="B224" s="13"/>
      <c r="C224" s="13"/>
      <c r="D224" s="13"/>
    </row>
    <row r="225" spans="1:4" ht="13" x14ac:dyDescent="0.15">
      <c r="A225" s="10"/>
      <c r="B225" s="13"/>
      <c r="C225" s="13"/>
      <c r="D225" s="13"/>
    </row>
    <row r="226" spans="1:4" ht="13" x14ac:dyDescent="0.15">
      <c r="A226" s="10"/>
      <c r="B226" s="13"/>
      <c r="C226" s="13"/>
      <c r="D226" s="13"/>
    </row>
    <row r="227" spans="1:4" ht="13" x14ac:dyDescent="0.15">
      <c r="A227" s="10"/>
      <c r="B227" s="13"/>
      <c r="C227" s="13"/>
      <c r="D227" s="13"/>
    </row>
    <row r="228" spans="1:4" ht="13" x14ac:dyDescent="0.15">
      <c r="A228" s="10"/>
      <c r="B228" s="13"/>
      <c r="C228" s="13"/>
      <c r="D228" s="13"/>
    </row>
    <row r="229" spans="1:4" ht="13" x14ac:dyDescent="0.15">
      <c r="A229" s="10"/>
      <c r="B229" s="13"/>
      <c r="C229" s="13"/>
      <c r="D229" s="13"/>
    </row>
    <row r="230" spans="1:4" ht="13" x14ac:dyDescent="0.15">
      <c r="A230" s="10"/>
      <c r="B230" s="13"/>
      <c r="C230" s="13"/>
      <c r="D230" s="13"/>
    </row>
    <row r="231" spans="1:4" ht="13" x14ac:dyDescent="0.15">
      <c r="A231" s="10"/>
      <c r="B231" s="13"/>
      <c r="C231" s="13"/>
      <c r="D231" s="13"/>
    </row>
    <row r="232" spans="1:4" ht="13" x14ac:dyDescent="0.15">
      <c r="A232" s="10"/>
      <c r="B232" s="13"/>
      <c r="C232" s="13"/>
      <c r="D232" s="13"/>
    </row>
    <row r="233" spans="1:4" ht="13" x14ac:dyDescent="0.15">
      <c r="A233" s="10"/>
      <c r="B233" s="13"/>
      <c r="C233" s="13"/>
      <c r="D233" s="13"/>
    </row>
    <row r="234" spans="1:4" ht="13" x14ac:dyDescent="0.15">
      <c r="A234" s="10"/>
      <c r="B234" s="13"/>
      <c r="C234" s="13"/>
      <c r="D234" s="13"/>
    </row>
    <row r="235" spans="1:4" ht="13" x14ac:dyDescent="0.15">
      <c r="A235" s="10"/>
      <c r="B235" s="13"/>
      <c r="C235" s="13"/>
      <c r="D235" s="13"/>
    </row>
    <row r="236" spans="1:4" ht="13" x14ac:dyDescent="0.15">
      <c r="A236" s="10"/>
      <c r="B236" s="13"/>
      <c r="C236" s="13"/>
      <c r="D236" s="13"/>
    </row>
    <row r="237" spans="1:4" ht="13" x14ac:dyDescent="0.15">
      <c r="A237" s="10"/>
      <c r="B237" s="13"/>
      <c r="C237" s="13"/>
      <c r="D237" s="13"/>
    </row>
    <row r="238" spans="1:4" ht="13" x14ac:dyDescent="0.15">
      <c r="A238" s="10"/>
      <c r="B238" s="13"/>
      <c r="C238" s="13"/>
      <c r="D238" s="13"/>
    </row>
    <row r="239" spans="1:4" ht="13" x14ac:dyDescent="0.15">
      <c r="A239" s="10"/>
      <c r="B239" s="13"/>
      <c r="C239" s="13"/>
      <c r="D239" s="13"/>
    </row>
    <row r="240" spans="1:4" ht="13" x14ac:dyDescent="0.15">
      <c r="A240" s="10"/>
      <c r="B240" s="13"/>
      <c r="C240" s="13"/>
      <c r="D240" s="13"/>
    </row>
    <row r="241" spans="1:4" ht="13" x14ac:dyDescent="0.15">
      <c r="A241" s="10"/>
      <c r="B241" s="13"/>
      <c r="C241" s="13"/>
      <c r="D241" s="13"/>
    </row>
    <row r="242" spans="1:4" ht="13" x14ac:dyDescent="0.15">
      <c r="A242" s="10"/>
      <c r="B242" s="13"/>
      <c r="C242" s="13"/>
      <c r="D242" s="13"/>
    </row>
    <row r="243" spans="1:4" ht="13" x14ac:dyDescent="0.15">
      <c r="A243" s="10"/>
      <c r="B243" s="13"/>
      <c r="C243" s="13"/>
      <c r="D243" s="13"/>
    </row>
    <row r="244" spans="1:4" ht="13" x14ac:dyDescent="0.15">
      <c r="A244" s="10"/>
      <c r="B244" s="13"/>
      <c r="C244" s="13"/>
      <c r="D244" s="13"/>
    </row>
    <row r="245" spans="1:4" ht="13" x14ac:dyDescent="0.15">
      <c r="A245" s="10"/>
      <c r="B245" s="13"/>
      <c r="C245" s="13"/>
      <c r="D245" s="13"/>
    </row>
    <row r="246" spans="1:4" ht="13" x14ac:dyDescent="0.15">
      <c r="A246" s="10"/>
      <c r="B246" s="13"/>
      <c r="C246" s="13"/>
      <c r="D246" s="13"/>
    </row>
    <row r="247" spans="1:4" ht="13" x14ac:dyDescent="0.15">
      <c r="A247" s="10"/>
      <c r="B247" s="13"/>
      <c r="C247" s="13"/>
      <c r="D247" s="13"/>
    </row>
    <row r="248" spans="1:4" ht="13" x14ac:dyDescent="0.15">
      <c r="A248" s="10"/>
      <c r="B248" s="13"/>
      <c r="C248" s="13"/>
      <c r="D248" s="13"/>
    </row>
    <row r="249" spans="1:4" ht="13" x14ac:dyDescent="0.15">
      <c r="A249" s="10"/>
      <c r="B249" s="13"/>
      <c r="C249" s="13"/>
      <c r="D249" s="13"/>
    </row>
    <row r="250" spans="1:4" ht="13" x14ac:dyDescent="0.15">
      <c r="A250" s="10"/>
      <c r="B250" s="13"/>
      <c r="C250" s="13"/>
      <c r="D250" s="13"/>
    </row>
    <row r="251" spans="1:4" ht="13" x14ac:dyDescent="0.15">
      <c r="A251" s="10"/>
      <c r="B251" s="13"/>
      <c r="C251" s="13"/>
      <c r="D251" s="13"/>
    </row>
    <row r="252" spans="1:4" ht="13" x14ac:dyDescent="0.15">
      <c r="A252" s="10"/>
      <c r="B252" s="13"/>
      <c r="C252" s="13"/>
      <c r="D252" s="13"/>
    </row>
    <row r="253" spans="1:4" ht="13" x14ac:dyDescent="0.15">
      <c r="A253" s="10"/>
      <c r="B253" s="13"/>
      <c r="C253" s="13"/>
      <c r="D253" s="13"/>
    </row>
    <row r="254" spans="1:4" ht="13" x14ac:dyDescent="0.15">
      <c r="A254" s="10"/>
      <c r="B254" s="13"/>
      <c r="C254" s="13"/>
      <c r="D254" s="13"/>
    </row>
    <row r="255" spans="1:4" ht="13" x14ac:dyDescent="0.15">
      <c r="A255" s="10"/>
      <c r="B255" s="13"/>
      <c r="C255" s="13"/>
      <c r="D255" s="13"/>
    </row>
    <row r="256" spans="1:4" ht="13" x14ac:dyDescent="0.15">
      <c r="A256" s="10"/>
      <c r="B256" s="13"/>
      <c r="C256" s="13"/>
      <c r="D256" s="13"/>
    </row>
    <row r="257" spans="1:4" ht="13" x14ac:dyDescent="0.15">
      <c r="A257" s="10"/>
      <c r="B257" s="13"/>
      <c r="C257" s="13"/>
      <c r="D257" s="13"/>
    </row>
    <row r="258" spans="1:4" ht="13" x14ac:dyDescent="0.15">
      <c r="A258" s="10"/>
      <c r="B258" s="13"/>
      <c r="C258" s="13"/>
      <c r="D258" s="13"/>
    </row>
    <row r="259" spans="1:4" ht="13" x14ac:dyDescent="0.15">
      <c r="A259" s="10"/>
      <c r="B259" s="13"/>
      <c r="C259" s="13"/>
      <c r="D259" s="13"/>
    </row>
    <row r="260" spans="1:4" ht="13" x14ac:dyDescent="0.15">
      <c r="A260" s="10"/>
      <c r="B260" s="13"/>
      <c r="C260" s="13"/>
      <c r="D260" s="13"/>
    </row>
    <row r="261" spans="1:4" ht="13" x14ac:dyDescent="0.15">
      <c r="A261" s="10"/>
      <c r="B261" s="13"/>
      <c r="C261" s="13"/>
      <c r="D261" s="13"/>
    </row>
    <row r="262" spans="1:4" ht="13" x14ac:dyDescent="0.15">
      <c r="A262" s="10"/>
      <c r="B262" s="13"/>
      <c r="C262" s="13"/>
      <c r="D262" s="13"/>
    </row>
    <row r="263" spans="1:4" ht="13" x14ac:dyDescent="0.15">
      <c r="A263" s="10"/>
      <c r="B263" s="13"/>
      <c r="C263" s="13"/>
      <c r="D263" s="13"/>
    </row>
    <row r="264" spans="1:4" ht="13" x14ac:dyDescent="0.15">
      <c r="A264" s="10"/>
      <c r="B264" s="13"/>
      <c r="C264" s="13"/>
      <c r="D264" s="13"/>
    </row>
    <row r="265" spans="1:4" ht="13" x14ac:dyDescent="0.15">
      <c r="A265" s="10"/>
      <c r="B265" s="13"/>
      <c r="C265" s="13"/>
      <c r="D265" s="13"/>
    </row>
    <row r="266" spans="1:4" ht="13" x14ac:dyDescent="0.15">
      <c r="A266" s="10"/>
      <c r="B266" s="13"/>
      <c r="C266" s="13"/>
      <c r="D266" s="13"/>
    </row>
    <row r="267" spans="1:4" ht="13" x14ac:dyDescent="0.15">
      <c r="A267" s="10"/>
      <c r="B267" s="13"/>
      <c r="C267" s="13"/>
      <c r="D267" s="13"/>
    </row>
    <row r="268" spans="1:4" ht="13" x14ac:dyDescent="0.15">
      <c r="A268" s="10"/>
      <c r="B268" s="13"/>
      <c r="C268" s="13"/>
      <c r="D268" s="13"/>
    </row>
    <row r="269" spans="1:4" ht="13" x14ac:dyDescent="0.15">
      <c r="A269" s="10"/>
      <c r="B269" s="13"/>
      <c r="C269" s="13"/>
      <c r="D269" s="13"/>
    </row>
    <row r="270" spans="1:4" ht="13" x14ac:dyDescent="0.15">
      <c r="A270" s="10"/>
      <c r="B270" s="13"/>
      <c r="C270" s="13"/>
      <c r="D270" s="13"/>
    </row>
    <row r="271" spans="1:4" ht="13" x14ac:dyDescent="0.15">
      <c r="A271" s="10"/>
      <c r="B271" s="13"/>
      <c r="C271" s="13"/>
      <c r="D271" s="13"/>
    </row>
    <row r="272" spans="1:4" ht="13" x14ac:dyDescent="0.15">
      <c r="A272" s="10"/>
      <c r="B272" s="13"/>
      <c r="C272" s="13"/>
      <c r="D272" s="13"/>
    </row>
    <row r="273" spans="1:4" ht="13" x14ac:dyDescent="0.15">
      <c r="A273" s="10"/>
      <c r="B273" s="13"/>
      <c r="C273" s="13"/>
      <c r="D273" s="13"/>
    </row>
    <row r="274" spans="1:4" ht="13" x14ac:dyDescent="0.15">
      <c r="A274" s="10"/>
      <c r="B274" s="13"/>
      <c r="C274" s="13"/>
      <c r="D274" s="13"/>
    </row>
    <row r="275" spans="1:4" ht="13" x14ac:dyDescent="0.15">
      <c r="A275" s="10"/>
      <c r="B275" s="13"/>
      <c r="C275" s="13"/>
      <c r="D275" s="13"/>
    </row>
    <row r="276" spans="1:4" ht="13" x14ac:dyDescent="0.15">
      <c r="A276" s="10"/>
      <c r="B276" s="13"/>
      <c r="C276" s="13"/>
      <c r="D276" s="13"/>
    </row>
    <row r="277" spans="1:4" ht="13" x14ac:dyDescent="0.15">
      <c r="A277" s="10"/>
      <c r="B277" s="13"/>
      <c r="C277" s="13"/>
      <c r="D277" s="13"/>
    </row>
    <row r="278" spans="1:4" ht="13" x14ac:dyDescent="0.15">
      <c r="A278" s="10"/>
      <c r="B278" s="13"/>
      <c r="C278" s="13"/>
      <c r="D278" s="13"/>
    </row>
    <row r="279" spans="1:4" ht="13" x14ac:dyDescent="0.15">
      <c r="A279" s="10"/>
      <c r="B279" s="13"/>
      <c r="C279" s="13"/>
      <c r="D279" s="13"/>
    </row>
    <row r="280" spans="1:4" ht="13" x14ac:dyDescent="0.15">
      <c r="A280" s="10"/>
      <c r="B280" s="13"/>
      <c r="C280" s="13"/>
      <c r="D280" s="13"/>
    </row>
    <row r="281" spans="1:4" ht="13" x14ac:dyDescent="0.15">
      <c r="A281" s="10"/>
      <c r="B281" s="13"/>
      <c r="C281" s="13"/>
      <c r="D281" s="13"/>
    </row>
    <row r="282" spans="1:4" ht="13" x14ac:dyDescent="0.15">
      <c r="A282" s="10"/>
      <c r="B282" s="13"/>
      <c r="C282" s="13"/>
      <c r="D282" s="13"/>
    </row>
    <row r="283" spans="1:4" ht="13" x14ac:dyDescent="0.15">
      <c r="A283" s="10"/>
      <c r="B283" s="13"/>
      <c r="C283" s="13"/>
      <c r="D283" s="13"/>
    </row>
    <row r="284" spans="1:4" ht="13" x14ac:dyDescent="0.15">
      <c r="A284" s="10"/>
      <c r="B284" s="13"/>
      <c r="C284" s="13"/>
      <c r="D284" s="13"/>
    </row>
    <row r="285" spans="1:4" ht="13" x14ac:dyDescent="0.15">
      <c r="A285" s="10"/>
      <c r="B285" s="13"/>
      <c r="C285" s="13"/>
      <c r="D285" s="13"/>
    </row>
    <row r="286" spans="1:4" ht="13" x14ac:dyDescent="0.15">
      <c r="A286" s="10"/>
      <c r="B286" s="13"/>
      <c r="C286" s="13"/>
      <c r="D286" s="13"/>
    </row>
    <row r="287" spans="1:4" ht="13" x14ac:dyDescent="0.15">
      <c r="A287" s="10"/>
      <c r="B287" s="13"/>
      <c r="C287" s="13"/>
      <c r="D287" s="13"/>
    </row>
    <row r="288" spans="1:4" ht="13" x14ac:dyDescent="0.15">
      <c r="A288" s="10"/>
      <c r="B288" s="13"/>
      <c r="C288" s="13"/>
      <c r="D288" s="13"/>
    </row>
    <row r="289" spans="1:4" ht="13" x14ac:dyDescent="0.15">
      <c r="A289" s="10"/>
      <c r="B289" s="13"/>
      <c r="C289" s="13"/>
      <c r="D289" s="13"/>
    </row>
    <row r="290" spans="1:4" ht="13" x14ac:dyDescent="0.15">
      <c r="A290" s="10"/>
      <c r="B290" s="13"/>
      <c r="C290" s="13"/>
      <c r="D290" s="13"/>
    </row>
    <row r="291" spans="1:4" ht="13" x14ac:dyDescent="0.15">
      <c r="A291" s="10"/>
      <c r="B291" s="13"/>
      <c r="C291" s="13"/>
      <c r="D291" s="13"/>
    </row>
    <row r="292" spans="1:4" ht="13" x14ac:dyDescent="0.15">
      <c r="A292" s="10"/>
      <c r="B292" s="13"/>
      <c r="C292" s="13"/>
      <c r="D292" s="13"/>
    </row>
    <row r="293" spans="1:4" ht="13" x14ac:dyDescent="0.15">
      <c r="A293" s="10"/>
      <c r="B293" s="13"/>
      <c r="C293" s="13"/>
      <c r="D293" s="13"/>
    </row>
    <row r="294" spans="1:4" ht="13" x14ac:dyDescent="0.15">
      <c r="A294" s="10"/>
      <c r="B294" s="13"/>
      <c r="C294" s="13"/>
      <c r="D294" s="13"/>
    </row>
    <row r="295" spans="1:4" ht="13" x14ac:dyDescent="0.15">
      <c r="A295" s="10"/>
      <c r="B295" s="13"/>
      <c r="C295" s="13"/>
      <c r="D295" s="13"/>
    </row>
    <row r="296" spans="1:4" ht="13" x14ac:dyDescent="0.15">
      <c r="A296" s="10"/>
      <c r="B296" s="13"/>
      <c r="C296" s="13"/>
      <c r="D296" s="13"/>
    </row>
    <row r="297" spans="1:4" ht="13" x14ac:dyDescent="0.15">
      <c r="A297" s="10"/>
      <c r="B297" s="13"/>
      <c r="C297" s="13"/>
      <c r="D297" s="13"/>
    </row>
    <row r="298" spans="1:4" ht="13" x14ac:dyDescent="0.15">
      <c r="A298" s="10"/>
      <c r="B298" s="13"/>
      <c r="C298" s="13"/>
      <c r="D298" s="13"/>
    </row>
    <row r="299" spans="1:4" ht="13" x14ac:dyDescent="0.15">
      <c r="A299" s="10"/>
      <c r="B299" s="13"/>
      <c r="C299" s="13"/>
      <c r="D299" s="13"/>
    </row>
    <row r="300" spans="1:4" ht="13" x14ac:dyDescent="0.15">
      <c r="A300" s="10"/>
      <c r="B300" s="13"/>
      <c r="C300" s="13"/>
      <c r="D300" s="13"/>
    </row>
    <row r="301" spans="1:4" ht="13" x14ac:dyDescent="0.15">
      <c r="A301" s="10"/>
      <c r="B301" s="13"/>
      <c r="C301" s="13"/>
      <c r="D301" s="13"/>
    </row>
    <row r="302" spans="1:4" ht="13" x14ac:dyDescent="0.15">
      <c r="A302" s="10"/>
      <c r="B302" s="13"/>
      <c r="C302" s="13"/>
      <c r="D302" s="13"/>
    </row>
    <row r="303" spans="1:4" ht="13" x14ac:dyDescent="0.15">
      <c r="A303" s="10"/>
      <c r="B303" s="13"/>
      <c r="C303" s="13"/>
      <c r="D303" s="13"/>
    </row>
    <row r="304" spans="1:4" ht="13" x14ac:dyDescent="0.15">
      <c r="A304" s="10"/>
      <c r="B304" s="13"/>
      <c r="C304" s="13"/>
      <c r="D304" s="13"/>
    </row>
    <row r="305" spans="1:4" ht="13" x14ac:dyDescent="0.15">
      <c r="A305" s="10"/>
      <c r="B305" s="13"/>
      <c r="C305" s="13"/>
      <c r="D305" s="13"/>
    </row>
    <row r="306" spans="1:4" ht="13" x14ac:dyDescent="0.15">
      <c r="A306" s="10"/>
      <c r="B306" s="13"/>
      <c r="C306" s="13"/>
      <c r="D306" s="13"/>
    </row>
    <row r="307" spans="1:4" ht="13" x14ac:dyDescent="0.15">
      <c r="A307" s="10"/>
      <c r="B307" s="13"/>
      <c r="C307" s="13"/>
      <c r="D307" s="13"/>
    </row>
    <row r="308" spans="1:4" ht="13" x14ac:dyDescent="0.15">
      <c r="A308" s="10"/>
      <c r="B308" s="13"/>
      <c r="C308" s="13"/>
      <c r="D308" s="13"/>
    </row>
    <row r="309" spans="1:4" ht="13" x14ac:dyDescent="0.15">
      <c r="A309" s="10"/>
      <c r="B309" s="13"/>
      <c r="C309" s="13"/>
      <c r="D309" s="13"/>
    </row>
    <row r="310" spans="1:4" ht="13" x14ac:dyDescent="0.15">
      <c r="A310" s="10"/>
      <c r="B310" s="13"/>
      <c r="C310" s="13"/>
      <c r="D310" s="13"/>
    </row>
    <row r="311" spans="1:4" ht="13" x14ac:dyDescent="0.15">
      <c r="A311" s="10"/>
      <c r="B311" s="13"/>
      <c r="C311" s="13"/>
      <c r="D311" s="13"/>
    </row>
    <row r="312" spans="1:4" ht="13" x14ac:dyDescent="0.15">
      <c r="A312" s="10"/>
      <c r="B312" s="13"/>
      <c r="C312" s="13"/>
      <c r="D312" s="13"/>
    </row>
    <row r="313" spans="1:4" ht="13" x14ac:dyDescent="0.15">
      <c r="A313" s="10"/>
      <c r="B313" s="13"/>
      <c r="C313" s="13"/>
      <c r="D313" s="13"/>
    </row>
    <row r="314" spans="1:4" ht="13" x14ac:dyDescent="0.15">
      <c r="A314" s="10"/>
      <c r="B314" s="13"/>
      <c r="C314" s="13"/>
      <c r="D314" s="13"/>
    </row>
    <row r="315" spans="1:4" ht="13" x14ac:dyDescent="0.15">
      <c r="A315" s="10"/>
      <c r="B315" s="13"/>
      <c r="C315" s="13"/>
      <c r="D315" s="13"/>
    </row>
    <row r="316" spans="1:4" ht="13" x14ac:dyDescent="0.15">
      <c r="A316" s="10"/>
      <c r="B316" s="13"/>
      <c r="C316" s="13"/>
      <c r="D316" s="13"/>
    </row>
    <row r="317" spans="1:4" ht="13" x14ac:dyDescent="0.15">
      <c r="A317" s="10"/>
      <c r="B317" s="13"/>
      <c r="C317" s="13"/>
      <c r="D317" s="13"/>
    </row>
    <row r="318" spans="1:4" ht="13" x14ac:dyDescent="0.15">
      <c r="A318" s="10"/>
      <c r="B318" s="13"/>
      <c r="C318" s="13"/>
      <c r="D318" s="13"/>
    </row>
    <row r="319" spans="1:4" ht="13" x14ac:dyDescent="0.15">
      <c r="A319" s="10"/>
      <c r="B319" s="13"/>
      <c r="C319" s="13"/>
      <c r="D319" s="13"/>
    </row>
    <row r="320" spans="1:4" ht="13" x14ac:dyDescent="0.15">
      <c r="A320" s="10"/>
      <c r="B320" s="13"/>
      <c r="C320" s="13"/>
      <c r="D320" s="13"/>
    </row>
    <row r="321" spans="1:4" ht="13" x14ac:dyDescent="0.15">
      <c r="A321" s="10"/>
      <c r="B321" s="13"/>
      <c r="C321" s="13"/>
      <c r="D321" s="13"/>
    </row>
    <row r="322" spans="1:4" ht="13" x14ac:dyDescent="0.15">
      <c r="A322" s="10"/>
      <c r="B322" s="13"/>
      <c r="C322" s="13"/>
      <c r="D322" s="13"/>
    </row>
    <row r="323" spans="1:4" ht="13" x14ac:dyDescent="0.15">
      <c r="A323" s="10"/>
      <c r="B323" s="13"/>
      <c r="C323" s="13"/>
      <c r="D323" s="13"/>
    </row>
    <row r="324" spans="1:4" ht="13" x14ac:dyDescent="0.15">
      <c r="A324" s="10"/>
      <c r="B324" s="13"/>
      <c r="C324" s="13"/>
      <c r="D324" s="13"/>
    </row>
    <row r="325" spans="1:4" ht="13" x14ac:dyDescent="0.15">
      <c r="A325" s="10"/>
      <c r="B325" s="13"/>
      <c r="C325" s="13"/>
      <c r="D325" s="13"/>
    </row>
    <row r="326" spans="1:4" ht="13" x14ac:dyDescent="0.15">
      <c r="A326" s="10"/>
      <c r="B326" s="13"/>
      <c r="C326" s="13"/>
      <c r="D326" s="13"/>
    </row>
    <row r="327" spans="1:4" ht="13" x14ac:dyDescent="0.15">
      <c r="A327" s="10"/>
      <c r="B327" s="13"/>
      <c r="C327" s="13"/>
      <c r="D327" s="13"/>
    </row>
    <row r="328" spans="1:4" ht="13" x14ac:dyDescent="0.15">
      <c r="A328" s="10"/>
      <c r="B328" s="13"/>
      <c r="C328" s="13"/>
      <c r="D328" s="13"/>
    </row>
    <row r="329" spans="1:4" ht="13" x14ac:dyDescent="0.15">
      <c r="A329" s="10"/>
      <c r="B329" s="13"/>
      <c r="C329" s="13"/>
      <c r="D329" s="13"/>
    </row>
    <row r="330" spans="1:4" ht="13" x14ac:dyDescent="0.15">
      <c r="A330" s="10"/>
      <c r="B330" s="13"/>
      <c r="C330" s="13"/>
      <c r="D330" s="13"/>
    </row>
    <row r="331" spans="1:4" ht="13" x14ac:dyDescent="0.15">
      <c r="A331" s="10"/>
      <c r="B331" s="13"/>
      <c r="C331" s="13"/>
      <c r="D331" s="13"/>
    </row>
    <row r="332" spans="1:4" ht="13" x14ac:dyDescent="0.15">
      <c r="A332" s="10"/>
      <c r="B332" s="13"/>
      <c r="C332" s="13"/>
      <c r="D332" s="13"/>
    </row>
    <row r="333" spans="1:4" ht="13" x14ac:dyDescent="0.15">
      <c r="A333" s="10"/>
      <c r="B333" s="13"/>
      <c r="C333" s="13"/>
      <c r="D333" s="13"/>
    </row>
    <row r="334" spans="1:4" ht="13" x14ac:dyDescent="0.15">
      <c r="A334" s="10"/>
      <c r="B334" s="13"/>
      <c r="C334" s="13"/>
      <c r="D334" s="13"/>
    </row>
    <row r="335" spans="1:4" ht="13" x14ac:dyDescent="0.15">
      <c r="A335" s="10"/>
      <c r="B335" s="13"/>
      <c r="C335" s="13"/>
      <c r="D335" s="13"/>
    </row>
    <row r="336" spans="1:4" ht="13" x14ac:dyDescent="0.15">
      <c r="A336" s="10"/>
      <c r="B336" s="13"/>
      <c r="C336" s="13"/>
      <c r="D336" s="13"/>
    </row>
    <row r="337" spans="1:4" ht="13" x14ac:dyDescent="0.15">
      <c r="A337" s="10"/>
      <c r="B337" s="13"/>
      <c r="C337" s="13"/>
      <c r="D337" s="13"/>
    </row>
    <row r="338" spans="1:4" ht="13" x14ac:dyDescent="0.15">
      <c r="A338" s="10"/>
      <c r="B338" s="13"/>
      <c r="C338" s="13"/>
      <c r="D338" s="13"/>
    </row>
    <row r="339" spans="1:4" ht="13" x14ac:dyDescent="0.15">
      <c r="A339" s="10"/>
      <c r="B339" s="13"/>
      <c r="C339" s="13"/>
      <c r="D339" s="13"/>
    </row>
    <row r="340" spans="1:4" ht="13" x14ac:dyDescent="0.15">
      <c r="A340" s="10"/>
      <c r="B340" s="13"/>
      <c r="C340" s="13"/>
      <c r="D340" s="13"/>
    </row>
    <row r="341" spans="1:4" ht="13" x14ac:dyDescent="0.15">
      <c r="A341" s="10"/>
      <c r="B341" s="13"/>
      <c r="C341" s="13"/>
      <c r="D341" s="13"/>
    </row>
    <row r="342" spans="1:4" ht="13" x14ac:dyDescent="0.15">
      <c r="A342" s="10"/>
      <c r="B342" s="13"/>
      <c r="C342" s="13"/>
      <c r="D342" s="13"/>
    </row>
    <row r="343" spans="1:4" ht="13" x14ac:dyDescent="0.15">
      <c r="A343" s="10"/>
      <c r="B343" s="13"/>
      <c r="C343" s="13"/>
      <c r="D343" s="13"/>
    </row>
    <row r="344" spans="1:4" ht="13" x14ac:dyDescent="0.15">
      <c r="A344" s="10"/>
      <c r="B344" s="13"/>
      <c r="C344" s="13"/>
      <c r="D344" s="13"/>
    </row>
    <row r="345" spans="1:4" ht="13" x14ac:dyDescent="0.15">
      <c r="A345" s="10"/>
      <c r="B345" s="13"/>
      <c r="C345" s="13"/>
      <c r="D345" s="13"/>
    </row>
    <row r="346" spans="1:4" ht="13" x14ac:dyDescent="0.15">
      <c r="A346" s="10"/>
      <c r="B346" s="13"/>
      <c r="C346" s="13"/>
      <c r="D346" s="13"/>
    </row>
    <row r="347" spans="1:4" ht="13" x14ac:dyDescent="0.15">
      <c r="A347" s="10"/>
      <c r="B347" s="13"/>
      <c r="C347" s="13"/>
      <c r="D347" s="13"/>
    </row>
    <row r="348" spans="1:4" ht="13" x14ac:dyDescent="0.15">
      <c r="A348" s="10"/>
      <c r="B348" s="13"/>
      <c r="C348" s="13"/>
      <c r="D348" s="13"/>
    </row>
    <row r="349" spans="1:4" ht="13" x14ac:dyDescent="0.15">
      <c r="A349" s="10"/>
      <c r="B349" s="13"/>
      <c r="C349" s="13"/>
      <c r="D349" s="13"/>
    </row>
    <row r="350" spans="1:4" ht="13" x14ac:dyDescent="0.15">
      <c r="A350" s="10"/>
      <c r="B350" s="13"/>
      <c r="C350" s="13"/>
      <c r="D350" s="13"/>
    </row>
    <row r="351" spans="1:4" ht="13" x14ac:dyDescent="0.15">
      <c r="A351" s="10"/>
      <c r="B351" s="13"/>
      <c r="C351" s="13"/>
      <c r="D351" s="13"/>
    </row>
    <row r="352" spans="1:4" ht="13" x14ac:dyDescent="0.15">
      <c r="A352" s="10"/>
      <c r="B352" s="13"/>
      <c r="C352" s="13"/>
      <c r="D352" s="13"/>
    </row>
    <row r="353" spans="1:4" ht="13" x14ac:dyDescent="0.15">
      <c r="A353" s="10"/>
      <c r="B353" s="13"/>
      <c r="C353" s="13"/>
      <c r="D353" s="13"/>
    </row>
    <row r="354" spans="1:4" ht="13" x14ac:dyDescent="0.15">
      <c r="A354" s="10"/>
      <c r="B354" s="13"/>
      <c r="C354" s="13"/>
      <c r="D354" s="13"/>
    </row>
    <row r="355" spans="1:4" ht="13" x14ac:dyDescent="0.15">
      <c r="A355" s="10"/>
      <c r="B355" s="13"/>
      <c r="C355" s="13"/>
      <c r="D355" s="13"/>
    </row>
    <row r="356" spans="1:4" ht="13" x14ac:dyDescent="0.15">
      <c r="A356" s="10"/>
      <c r="B356" s="13"/>
      <c r="C356" s="13"/>
      <c r="D356" s="13"/>
    </row>
    <row r="357" spans="1:4" ht="13" x14ac:dyDescent="0.15">
      <c r="A357" s="10"/>
      <c r="B357" s="13"/>
      <c r="C357" s="13"/>
      <c r="D357" s="13"/>
    </row>
    <row r="358" spans="1:4" ht="13" x14ac:dyDescent="0.15">
      <c r="A358" s="10"/>
      <c r="B358" s="13"/>
      <c r="C358" s="13"/>
      <c r="D358" s="13"/>
    </row>
    <row r="359" spans="1:4" ht="13" x14ac:dyDescent="0.15">
      <c r="A359" s="10"/>
      <c r="B359" s="13"/>
      <c r="C359" s="13"/>
      <c r="D359" s="13"/>
    </row>
    <row r="360" spans="1:4" ht="13" x14ac:dyDescent="0.15">
      <c r="A360" s="10"/>
      <c r="B360" s="13"/>
      <c r="C360" s="13"/>
      <c r="D360" s="13"/>
    </row>
    <row r="361" spans="1:4" ht="13" x14ac:dyDescent="0.15">
      <c r="A361" s="10"/>
      <c r="B361" s="13"/>
      <c r="C361" s="13"/>
      <c r="D361" s="13"/>
    </row>
    <row r="362" spans="1:4" ht="13" x14ac:dyDescent="0.15">
      <c r="A362" s="10"/>
      <c r="B362" s="13"/>
      <c r="C362" s="13"/>
      <c r="D362" s="13"/>
    </row>
    <row r="363" spans="1:4" ht="13" x14ac:dyDescent="0.15">
      <c r="A363" s="10"/>
      <c r="B363" s="13"/>
      <c r="C363" s="13"/>
      <c r="D363" s="13"/>
    </row>
    <row r="364" spans="1:4" ht="13" x14ac:dyDescent="0.15">
      <c r="A364" s="10"/>
      <c r="B364" s="13"/>
      <c r="C364" s="13"/>
      <c r="D364" s="13"/>
    </row>
    <row r="365" spans="1:4" ht="13" x14ac:dyDescent="0.15">
      <c r="A365" s="10"/>
      <c r="B365" s="13"/>
      <c r="C365" s="13"/>
      <c r="D365" s="13"/>
    </row>
    <row r="366" spans="1:4" ht="13" x14ac:dyDescent="0.15">
      <c r="A366" s="10"/>
      <c r="B366" s="13"/>
      <c r="C366" s="13"/>
      <c r="D366" s="13"/>
    </row>
    <row r="367" spans="1:4" ht="13" x14ac:dyDescent="0.15">
      <c r="A367" s="10"/>
      <c r="B367" s="13"/>
      <c r="C367" s="13"/>
      <c r="D367" s="13"/>
    </row>
    <row r="368" spans="1:4" ht="13" x14ac:dyDescent="0.15">
      <c r="A368" s="10"/>
      <c r="B368" s="13"/>
      <c r="C368" s="13"/>
      <c r="D368" s="13"/>
    </row>
    <row r="369" spans="1:4" ht="13" x14ac:dyDescent="0.15">
      <c r="A369" s="10"/>
      <c r="B369" s="13"/>
      <c r="C369" s="13"/>
      <c r="D369" s="13"/>
    </row>
    <row r="370" spans="1:4" ht="13" x14ac:dyDescent="0.15">
      <c r="A370" s="10"/>
      <c r="B370" s="13"/>
      <c r="C370" s="13"/>
      <c r="D370" s="13"/>
    </row>
    <row r="371" spans="1:4" ht="13" x14ac:dyDescent="0.15">
      <c r="A371" s="10"/>
      <c r="B371" s="13"/>
      <c r="C371" s="13"/>
      <c r="D371" s="13"/>
    </row>
    <row r="372" spans="1:4" ht="13" x14ac:dyDescent="0.15">
      <c r="A372" s="10"/>
      <c r="B372" s="13"/>
      <c r="C372" s="13"/>
      <c r="D372" s="13"/>
    </row>
    <row r="373" spans="1:4" ht="13" x14ac:dyDescent="0.15">
      <c r="A373" s="10"/>
      <c r="B373" s="13"/>
      <c r="C373" s="13"/>
      <c r="D373" s="13"/>
    </row>
    <row r="374" spans="1:4" ht="13" x14ac:dyDescent="0.15">
      <c r="A374" s="10"/>
      <c r="B374" s="13"/>
      <c r="C374" s="13"/>
      <c r="D374" s="13"/>
    </row>
    <row r="375" spans="1:4" ht="13" x14ac:dyDescent="0.15">
      <c r="A375" s="10"/>
      <c r="B375" s="13"/>
      <c r="C375" s="13"/>
      <c r="D375" s="13"/>
    </row>
    <row r="376" spans="1:4" ht="13" x14ac:dyDescent="0.15">
      <c r="A376" s="10"/>
      <c r="B376" s="13"/>
      <c r="C376" s="13"/>
      <c r="D376" s="13"/>
    </row>
    <row r="377" spans="1:4" ht="13" x14ac:dyDescent="0.15">
      <c r="A377" s="10"/>
      <c r="B377" s="13"/>
      <c r="C377" s="13"/>
      <c r="D377" s="13"/>
    </row>
    <row r="378" spans="1:4" ht="13" x14ac:dyDescent="0.15">
      <c r="A378" s="10"/>
      <c r="B378" s="13"/>
      <c r="C378" s="13"/>
      <c r="D378" s="13"/>
    </row>
    <row r="379" spans="1:4" ht="13" x14ac:dyDescent="0.15">
      <c r="A379" s="10"/>
      <c r="B379" s="13"/>
      <c r="C379" s="13"/>
      <c r="D379" s="13"/>
    </row>
    <row r="380" spans="1:4" ht="13" x14ac:dyDescent="0.15">
      <c r="A380" s="10"/>
      <c r="B380" s="13"/>
      <c r="C380" s="13"/>
      <c r="D380" s="13"/>
    </row>
    <row r="381" spans="1:4" ht="13" x14ac:dyDescent="0.15">
      <c r="A381" s="10"/>
      <c r="B381" s="13"/>
      <c r="C381" s="13"/>
      <c r="D381" s="13"/>
    </row>
    <row r="382" spans="1:4" ht="13" x14ac:dyDescent="0.15">
      <c r="A382" s="10"/>
      <c r="B382" s="13"/>
      <c r="C382" s="13"/>
      <c r="D382" s="13"/>
    </row>
    <row r="383" spans="1:4" ht="13" x14ac:dyDescent="0.15">
      <c r="A383" s="10"/>
      <c r="B383" s="13"/>
      <c r="C383" s="13"/>
      <c r="D383" s="13"/>
    </row>
    <row r="384" spans="1:4" ht="13" x14ac:dyDescent="0.15">
      <c r="A384" s="10"/>
      <c r="B384" s="13"/>
      <c r="C384" s="13"/>
      <c r="D384" s="13"/>
    </row>
    <row r="385" spans="1:4" ht="13" x14ac:dyDescent="0.15">
      <c r="A385" s="10"/>
      <c r="B385" s="13"/>
      <c r="C385" s="13"/>
      <c r="D385" s="13"/>
    </row>
    <row r="386" spans="1:4" ht="13" x14ac:dyDescent="0.15">
      <c r="A386" s="10"/>
      <c r="B386" s="13"/>
      <c r="C386" s="13"/>
      <c r="D386" s="13"/>
    </row>
    <row r="387" spans="1:4" ht="13" x14ac:dyDescent="0.15">
      <c r="A387" s="10"/>
      <c r="B387" s="13"/>
      <c r="C387" s="13"/>
      <c r="D387" s="13"/>
    </row>
    <row r="388" spans="1:4" ht="13" x14ac:dyDescent="0.15">
      <c r="A388" s="10"/>
      <c r="B388" s="13"/>
      <c r="C388" s="13"/>
      <c r="D388" s="13"/>
    </row>
    <row r="389" spans="1:4" ht="13" x14ac:dyDescent="0.15">
      <c r="A389" s="10"/>
      <c r="B389" s="13"/>
      <c r="C389" s="13"/>
      <c r="D389" s="13"/>
    </row>
    <row r="390" spans="1:4" ht="13" x14ac:dyDescent="0.15">
      <c r="A390" s="10"/>
      <c r="B390" s="13"/>
      <c r="C390" s="13"/>
      <c r="D390" s="13"/>
    </row>
    <row r="391" spans="1:4" ht="13" x14ac:dyDescent="0.15">
      <c r="A391" s="10"/>
      <c r="B391" s="13"/>
      <c r="C391" s="13"/>
      <c r="D391" s="13"/>
    </row>
    <row r="392" spans="1:4" ht="13" x14ac:dyDescent="0.15">
      <c r="A392" s="10"/>
      <c r="B392" s="13"/>
      <c r="C392" s="13"/>
      <c r="D392" s="13"/>
    </row>
    <row r="393" spans="1:4" ht="13" x14ac:dyDescent="0.15">
      <c r="A393" s="10"/>
      <c r="B393" s="13"/>
      <c r="C393" s="13"/>
      <c r="D393" s="13"/>
    </row>
    <row r="394" spans="1:4" ht="13" x14ac:dyDescent="0.15">
      <c r="A394" s="10"/>
      <c r="B394" s="13"/>
      <c r="C394" s="13"/>
      <c r="D394" s="13"/>
    </row>
    <row r="395" spans="1:4" ht="13" x14ac:dyDescent="0.15">
      <c r="A395" s="10"/>
      <c r="B395" s="13"/>
      <c r="C395" s="13"/>
      <c r="D395" s="13"/>
    </row>
    <row r="396" spans="1:4" ht="13" x14ac:dyDescent="0.15">
      <c r="A396" s="10"/>
      <c r="B396" s="13"/>
      <c r="C396" s="13"/>
      <c r="D396" s="13"/>
    </row>
    <row r="397" spans="1:4" ht="13" x14ac:dyDescent="0.15">
      <c r="A397" s="10"/>
      <c r="B397" s="13"/>
      <c r="C397" s="13"/>
      <c r="D397" s="13"/>
    </row>
    <row r="398" spans="1:4" ht="13" x14ac:dyDescent="0.15">
      <c r="A398" s="10"/>
      <c r="B398" s="13"/>
      <c r="C398" s="13"/>
      <c r="D398" s="13"/>
    </row>
    <row r="399" spans="1:4" ht="13" x14ac:dyDescent="0.15">
      <c r="A399" s="10"/>
      <c r="B399" s="13"/>
      <c r="C399" s="13"/>
      <c r="D399" s="13"/>
    </row>
    <row r="400" spans="1:4" ht="13" x14ac:dyDescent="0.15">
      <c r="A400" s="10"/>
      <c r="B400" s="13"/>
      <c r="C400" s="13"/>
      <c r="D400" s="13"/>
    </row>
    <row r="401" spans="1:4" ht="13" x14ac:dyDescent="0.15">
      <c r="A401" s="10"/>
      <c r="B401" s="13"/>
      <c r="C401" s="13"/>
      <c r="D401" s="13"/>
    </row>
    <row r="402" spans="1:4" ht="13" x14ac:dyDescent="0.15">
      <c r="A402" s="10"/>
      <c r="B402" s="13"/>
      <c r="C402" s="13"/>
      <c r="D402" s="13"/>
    </row>
    <row r="403" spans="1:4" ht="13" x14ac:dyDescent="0.15">
      <c r="A403" s="10"/>
      <c r="B403" s="13"/>
      <c r="C403" s="13"/>
      <c r="D403" s="13"/>
    </row>
    <row r="404" spans="1:4" ht="13" x14ac:dyDescent="0.15">
      <c r="A404" s="10"/>
      <c r="B404" s="13"/>
      <c r="C404" s="13"/>
      <c r="D404" s="13"/>
    </row>
    <row r="405" spans="1:4" ht="13" x14ac:dyDescent="0.15">
      <c r="A405" s="10"/>
      <c r="B405" s="13"/>
      <c r="C405" s="13"/>
      <c r="D405" s="13"/>
    </row>
    <row r="406" spans="1:4" ht="13" x14ac:dyDescent="0.15">
      <c r="A406" s="10"/>
      <c r="B406" s="13"/>
      <c r="C406" s="13"/>
      <c r="D406" s="13"/>
    </row>
    <row r="407" spans="1:4" ht="13" x14ac:dyDescent="0.15">
      <c r="A407" s="10"/>
      <c r="B407" s="13"/>
      <c r="C407" s="13"/>
      <c r="D407" s="13"/>
    </row>
    <row r="408" spans="1:4" ht="13" x14ac:dyDescent="0.15">
      <c r="A408" s="10"/>
      <c r="B408" s="13"/>
      <c r="C408" s="13"/>
      <c r="D408" s="13"/>
    </row>
    <row r="409" spans="1:4" ht="13" x14ac:dyDescent="0.15">
      <c r="A409" s="10"/>
      <c r="B409" s="13"/>
      <c r="C409" s="13"/>
      <c r="D409" s="13"/>
    </row>
    <row r="410" spans="1:4" ht="13" x14ac:dyDescent="0.15">
      <c r="A410" s="10"/>
      <c r="B410" s="13"/>
      <c r="C410" s="13"/>
      <c r="D410" s="13"/>
    </row>
    <row r="411" spans="1:4" ht="13" x14ac:dyDescent="0.15">
      <c r="A411" s="10"/>
      <c r="B411" s="13"/>
      <c r="C411" s="13"/>
      <c r="D411" s="13"/>
    </row>
    <row r="412" spans="1:4" ht="13" x14ac:dyDescent="0.15">
      <c r="A412" s="10"/>
      <c r="B412" s="13"/>
      <c r="C412" s="13"/>
      <c r="D412" s="13"/>
    </row>
    <row r="413" spans="1:4" ht="13" x14ac:dyDescent="0.15">
      <c r="A413" s="10"/>
      <c r="B413" s="13"/>
      <c r="C413" s="13"/>
      <c r="D413" s="13"/>
    </row>
    <row r="414" spans="1:4" ht="13" x14ac:dyDescent="0.15">
      <c r="A414" s="10"/>
      <c r="B414" s="13"/>
      <c r="C414" s="13"/>
      <c r="D414" s="13"/>
    </row>
    <row r="415" spans="1:4" ht="13" x14ac:dyDescent="0.15">
      <c r="A415" s="10"/>
      <c r="B415" s="13"/>
      <c r="C415" s="13"/>
      <c r="D415" s="13"/>
    </row>
    <row r="416" spans="1:4" ht="13" x14ac:dyDescent="0.15">
      <c r="A416" s="10"/>
      <c r="B416" s="13"/>
      <c r="C416" s="13"/>
      <c r="D416" s="13"/>
    </row>
    <row r="417" spans="1:4" ht="13" x14ac:dyDescent="0.15">
      <c r="A417" s="10"/>
      <c r="B417" s="13"/>
      <c r="C417" s="13"/>
      <c r="D417" s="13"/>
    </row>
    <row r="418" spans="1:4" ht="13" x14ac:dyDescent="0.15">
      <c r="A418" s="10"/>
      <c r="B418" s="13"/>
      <c r="C418" s="13"/>
      <c r="D418" s="13"/>
    </row>
    <row r="419" spans="1:4" ht="13" x14ac:dyDescent="0.15">
      <c r="A419" s="10"/>
      <c r="B419" s="13"/>
      <c r="C419" s="13"/>
      <c r="D419" s="13"/>
    </row>
    <row r="420" spans="1:4" ht="13" x14ac:dyDescent="0.15">
      <c r="A420" s="10"/>
      <c r="B420" s="13"/>
      <c r="C420" s="13"/>
      <c r="D420" s="13"/>
    </row>
    <row r="421" spans="1:4" ht="13" x14ac:dyDescent="0.15">
      <c r="A421" s="10"/>
      <c r="B421" s="13"/>
      <c r="C421" s="13"/>
      <c r="D421" s="13"/>
    </row>
    <row r="422" spans="1:4" ht="13" x14ac:dyDescent="0.15">
      <c r="A422" s="10"/>
      <c r="B422" s="13"/>
      <c r="C422" s="13"/>
      <c r="D422" s="13"/>
    </row>
    <row r="423" spans="1:4" ht="13" x14ac:dyDescent="0.15">
      <c r="A423" s="10"/>
      <c r="B423" s="13"/>
      <c r="C423" s="13"/>
      <c r="D423" s="13"/>
    </row>
    <row r="424" spans="1:4" ht="13" x14ac:dyDescent="0.15">
      <c r="A424" s="10"/>
      <c r="B424" s="13"/>
      <c r="C424" s="13"/>
      <c r="D424" s="13"/>
    </row>
    <row r="425" spans="1:4" ht="13" x14ac:dyDescent="0.15">
      <c r="A425" s="10"/>
      <c r="B425" s="13"/>
      <c r="C425" s="13"/>
      <c r="D425" s="13"/>
    </row>
    <row r="426" spans="1:4" ht="13" x14ac:dyDescent="0.15">
      <c r="A426" s="10"/>
      <c r="B426" s="13"/>
      <c r="C426" s="13"/>
      <c r="D426" s="13"/>
    </row>
    <row r="427" spans="1:4" ht="13" x14ac:dyDescent="0.15">
      <c r="A427" s="10"/>
      <c r="B427" s="13"/>
      <c r="C427" s="13"/>
      <c r="D427" s="13"/>
    </row>
    <row r="428" spans="1:4" ht="13" x14ac:dyDescent="0.15">
      <c r="A428" s="10"/>
      <c r="B428" s="13"/>
      <c r="C428" s="13"/>
      <c r="D428" s="13"/>
    </row>
    <row r="429" spans="1:4" ht="13" x14ac:dyDescent="0.15">
      <c r="A429" s="10"/>
      <c r="B429" s="13"/>
      <c r="C429" s="13"/>
      <c r="D429" s="13"/>
    </row>
    <row r="430" spans="1:4" ht="13" x14ac:dyDescent="0.15">
      <c r="A430" s="10"/>
      <c r="B430" s="13"/>
      <c r="C430" s="13"/>
      <c r="D430" s="13"/>
    </row>
    <row r="431" spans="1:4" ht="13" x14ac:dyDescent="0.15">
      <c r="A431" s="10"/>
      <c r="B431" s="13"/>
      <c r="C431" s="13"/>
      <c r="D431" s="13"/>
    </row>
    <row r="432" spans="1:4" ht="13" x14ac:dyDescent="0.15">
      <c r="A432" s="10"/>
      <c r="B432" s="13"/>
      <c r="C432" s="13"/>
      <c r="D432" s="13"/>
    </row>
    <row r="433" spans="1:4" ht="13" x14ac:dyDescent="0.15">
      <c r="A433" s="10"/>
      <c r="B433" s="13"/>
      <c r="C433" s="13"/>
      <c r="D433" s="13"/>
    </row>
    <row r="434" spans="1:4" ht="13" x14ac:dyDescent="0.15">
      <c r="A434" s="10"/>
      <c r="B434" s="13"/>
      <c r="C434" s="13"/>
      <c r="D434" s="13"/>
    </row>
    <row r="435" spans="1:4" ht="13" x14ac:dyDescent="0.15">
      <c r="A435" s="10"/>
      <c r="B435" s="13"/>
      <c r="C435" s="13"/>
      <c r="D435" s="13"/>
    </row>
    <row r="436" spans="1:4" ht="13" x14ac:dyDescent="0.15">
      <c r="A436" s="10"/>
      <c r="B436" s="13"/>
      <c r="C436" s="13"/>
      <c r="D436" s="13"/>
    </row>
    <row r="437" spans="1:4" ht="13" x14ac:dyDescent="0.15">
      <c r="A437" s="10"/>
      <c r="B437" s="13"/>
      <c r="C437" s="13"/>
      <c r="D437" s="13"/>
    </row>
    <row r="438" spans="1:4" ht="13" x14ac:dyDescent="0.15">
      <c r="A438" s="10"/>
      <c r="B438" s="13"/>
      <c r="C438" s="13"/>
      <c r="D438" s="13"/>
    </row>
    <row r="439" spans="1:4" ht="13" x14ac:dyDescent="0.15">
      <c r="A439" s="10"/>
      <c r="B439" s="13"/>
      <c r="C439" s="13"/>
      <c r="D439" s="13"/>
    </row>
    <row r="440" spans="1:4" ht="13" x14ac:dyDescent="0.15">
      <c r="A440" s="10"/>
      <c r="B440" s="13"/>
      <c r="C440" s="13"/>
      <c r="D440" s="13"/>
    </row>
    <row r="441" spans="1:4" ht="13" x14ac:dyDescent="0.15">
      <c r="A441" s="10"/>
      <c r="B441" s="13"/>
      <c r="C441" s="13"/>
      <c r="D441" s="13"/>
    </row>
    <row r="442" spans="1:4" ht="13" x14ac:dyDescent="0.15">
      <c r="A442" s="10"/>
      <c r="B442" s="13"/>
      <c r="C442" s="13"/>
      <c r="D442" s="13"/>
    </row>
    <row r="443" spans="1:4" ht="13" x14ac:dyDescent="0.15">
      <c r="A443" s="10"/>
      <c r="B443" s="13"/>
      <c r="C443" s="13"/>
      <c r="D443" s="13"/>
    </row>
    <row r="444" spans="1:4" ht="13" x14ac:dyDescent="0.15">
      <c r="A444" s="10"/>
      <c r="B444" s="13"/>
      <c r="C444" s="13"/>
      <c r="D444" s="13"/>
    </row>
    <row r="445" spans="1:4" ht="13" x14ac:dyDescent="0.15">
      <c r="A445" s="10"/>
      <c r="B445" s="13"/>
      <c r="C445" s="13"/>
      <c r="D445" s="13"/>
    </row>
    <row r="446" spans="1:4" ht="13" x14ac:dyDescent="0.15">
      <c r="A446" s="10"/>
      <c r="B446" s="13"/>
      <c r="C446" s="13"/>
      <c r="D446" s="13"/>
    </row>
    <row r="447" spans="1:4" ht="13" x14ac:dyDescent="0.15">
      <c r="A447" s="10"/>
      <c r="B447" s="13"/>
      <c r="C447" s="13"/>
      <c r="D447" s="13"/>
    </row>
    <row r="448" spans="1:4" ht="13" x14ac:dyDescent="0.15">
      <c r="A448" s="10"/>
      <c r="B448" s="13"/>
      <c r="C448" s="13"/>
      <c r="D448" s="13"/>
    </row>
    <row r="449" spans="1:4" ht="13" x14ac:dyDescent="0.15">
      <c r="A449" s="10"/>
      <c r="B449" s="13"/>
      <c r="C449" s="13"/>
      <c r="D449" s="13"/>
    </row>
    <row r="450" spans="1:4" ht="13" x14ac:dyDescent="0.15">
      <c r="A450" s="10"/>
      <c r="B450" s="13"/>
      <c r="C450" s="13"/>
      <c r="D450" s="13"/>
    </row>
    <row r="451" spans="1:4" ht="13" x14ac:dyDescent="0.15">
      <c r="A451" s="10"/>
      <c r="B451" s="13"/>
      <c r="C451" s="13"/>
      <c r="D451" s="13"/>
    </row>
    <row r="452" spans="1:4" ht="13" x14ac:dyDescent="0.15">
      <c r="A452" s="10"/>
      <c r="B452" s="13"/>
      <c r="C452" s="13"/>
      <c r="D452" s="13"/>
    </row>
    <row r="453" spans="1:4" ht="13" x14ac:dyDescent="0.15">
      <c r="A453" s="10"/>
      <c r="B453" s="13"/>
      <c r="C453" s="13"/>
      <c r="D453" s="13"/>
    </row>
    <row r="454" spans="1:4" ht="13" x14ac:dyDescent="0.15">
      <c r="A454" s="10"/>
      <c r="B454" s="13"/>
      <c r="C454" s="13"/>
      <c r="D454" s="13"/>
    </row>
    <row r="455" spans="1:4" ht="13" x14ac:dyDescent="0.15">
      <c r="A455" s="10"/>
      <c r="B455" s="13"/>
      <c r="C455" s="13"/>
      <c r="D455" s="13"/>
    </row>
    <row r="456" spans="1:4" ht="13" x14ac:dyDescent="0.15">
      <c r="A456" s="10"/>
      <c r="B456" s="13"/>
      <c r="C456" s="13"/>
      <c r="D456" s="13"/>
    </row>
    <row r="457" spans="1:4" ht="13" x14ac:dyDescent="0.15">
      <c r="A457" s="10"/>
      <c r="B457" s="13"/>
      <c r="C457" s="13"/>
      <c r="D457" s="13"/>
    </row>
    <row r="458" spans="1:4" ht="13" x14ac:dyDescent="0.15">
      <c r="A458" s="10"/>
      <c r="B458" s="13"/>
      <c r="C458" s="13"/>
      <c r="D458" s="13"/>
    </row>
    <row r="459" spans="1:4" ht="13" x14ac:dyDescent="0.15">
      <c r="A459" s="10"/>
      <c r="B459" s="13"/>
      <c r="C459" s="13"/>
      <c r="D459" s="13"/>
    </row>
    <row r="460" spans="1:4" ht="13" x14ac:dyDescent="0.15">
      <c r="A460" s="10"/>
      <c r="B460" s="13"/>
      <c r="C460" s="13"/>
      <c r="D460" s="13"/>
    </row>
    <row r="461" spans="1:4" ht="13" x14ac:dyDescent="0.15">
      <c r="A461" s="10"/>
      <c r="B461" s="13"/>
      <c r="C461" s="13"/>
      <c r="D461" s="13"/>
    </row>
    <row r="462" spans="1:4" ht="13" x14ac:dyDescent="0.15">
      <c r="A462" s="10"/>
      <c r="B462" s="13"/>
      <c r="C462" s="13"/>
      <c r="D462" s="13"/>
    </row>
    <row r="463" spans="1:4" ht="13" x14ac:dyDescent="0.15">
      <c r="A463" s="10"/>
      <c r="B463" s="13"/>
      <c r="C463" s="13"/>
      <c r="D463" s="13"/>
    </row>
    <row r="464" spans="1:4" ht="13" x14ac:dyDescent="0.15">
      <c r="A464" s="10"/>
      <c r="B464" s="13"/>
      <c r="C464" s="13"/>
      <c r="D464" s="13"/>
    </row>
    <row r="465" spans="1:4" ht="13" x14ac:dyDescent="0.15">
      <c r="A465" s="10"/>
      <c r="B465" s="13"/>
      <c r="C465" s="13"/>
      <c r="D465" s="13"/>
    </row>
    <row r="466" spans="1:4" ht="13" x14ac:dyDescent="0.15">
      <c r="A466" s="10"/>
      <c r="B466" s="13"/>
      <c r="C466" s="13"/>
      <c r="D466" s="13"/>
    </row>
    <row r="467" spans="1:4" ht="13" x14ac:dyDescent="0.15">
      <c r="A467" s="10"/>
      <c r="B467" s="13"/>
      <c r="C467" s="13"/>
      <c r="D467" s="13"/>
    </row>
    <row r="468" spans="1:4" ht="13" x14ac:dyDescent="0.15">
      <c r="A468" s="10"/>
      <c r="B468" s="13"/>
      <c r="C468" s="13"/>
      <c r="D468" s="13"/>
    </row>
    <row r="469" spans="1:4" ht="13" x14ac:dyDescent="0.15">
      <c r="A469" s="10"/>
      <c r="B469" s="13"/>
      <c r="C469" s="13"/>
      <c r="D469" s="13"/>
    </row>
    <row r="470" spans="1:4" ht="13" x14ac:dyDescent="0.15">
      <c r="A470" s="10"/>
      <c r="B470" s="13"/>
      <c r="C470" s="13"/>
      <c r="D470" s="13"/>
    </row>
    <row r="471" spans="1:4" ht="13" x14ac:dyDescent="0.15">
      <c r="A471" s="10"/>
      <c r="B471" s="13"/>
      <c r="C471" s="13"/>
      <c r="D471" s="13"/>
    </row>
    <row r="472" spans="1:4" ht="13" x14ac:dyDescent="0.15">
      <c r="A472" s="10"/>
      <c r="B472" s="13"/>
      <c r="C472" s="13"/>
      <c r="D472" s="13"/>
    </row>
    <row r="473" spans="1:4" ht="13" x14ac:dyDescent="0.15">
      <c r="A473" s="10"/>
      <c r="B473" s="13"/>
      <c r="C473" s="13"/>
      <c r="D473" s="13"/>
    </row>
    <row r="474" spans="1:4" ht="13" x14ac:dyDescent="0.15">
      <c r="A474" s="10"/>
      <c r="B474" s="13"/>
      <c r="C474" s="13"/>
      <c r="D474" s="13"/>
    </row>
    <row r="475" spans="1:4" ht="13" x14ac:dyDescent="0.15">
      <c r="A475" s="10"/>
      <c r="B475" s="13"/>
      <c r="C475" s="13"/>
      <c r="D475" s="13"/>
    </row>
    <row r="476" spans="1:4" ht="13" x14ac:dyDescent="0.15">
      <c r="A476" s="10"/>
      <c r="B476" s="13"/>
      <c r="C476" s="13"/>
      <c r="D476" s="13"/>
    </row>
    <row r="477" spans="1:4" ht="13" x14ac:dyDescent="0.15">
      <c r="A477" s="10"/>
      <c r="B477" s="13"/>
      <c r="C477" s="13"/>
      <c r="D477" s="13"/>
    </row>
    <row r="478" spans="1:4" ht="13" x14ac:dyDescent="0.15">
      <c r="A478" s="10"/>
      <c r="B478" s="13"/>
      <c r="C478" s="13"/>
      <c r="D478" s="13"/>
    </row>
    <row r="479" spans="1:4" ht="13" x14ac:dyDescent="0.15">
      <c r="A479" s="10"/>
      <c r="B479" s="13"/>
      <c r="C479" s="13"/>
      <c r="D479" s="13"/>
    </row>
    <row r="480" spans="1:4" ht="13" x14ac:dyDescent="0.15">
      <c r="A480" s="10"/>
      <c r="B480" s="13"/>
      <c r="C480" s="13"/>
      <c r="D480" s="13"/>
    </row>
    <row r="481" spans="1:4" ht="13" x14ac:dyDescent="0.15">
      <c r="A481" s="10"/>
      <c r="B481" s="13"/>
      <c r="C481" s="13"/>
      <c r="D481" s="13"/>
    </row>
    <row r="482" spans="1:4" ht="13" x14ac:dyDescent="0.15">
      <c r="A482" s="10"/>
      <c r="B482" s="13"/>
      <c r="C482" s="13"/>
      <c r="D482" s="13"/>
    </row>
    <row r="483" spans="1:4" ht="13" x14ac:dyDescent="0.15">
      <c r="A483" s="10"/>
      <c r="B483" s="13"/>
      <c r="C483" s="13"/>
      <c r="D483" s="13"/>
    </row>
    <row r="484" spans="1:4" ht="13" x14ac:dyDescent="0.15">
      <c r="A484" s="10"/>
      <c r="B484" s="13"/>
      <c r="C484" s="13"/>
      <c r="D484" s="13"/>
    </row>
    <row r="485" spans="1:4" ht="13" x14ac:dyDescent="0.15">
      <c r="A485" s="10"/>
      <c r="B485" s="13"/>
      <c r="C485" s="13"/>
      <c r="D485" s="13"/>
    </row>
    <row r="486" spans="1:4" ht="13" x14ac:dyDescent="0.15">
      <c r="A486" s="10"/>
      <c r="B486" s="13"/>
      <c r="C486" s="13"/>
      <c r="D486" s="13"/>
    </row>
    <row r="487" spans="1:4" ht="13" x14ac:dyDescent="0.15">
      <c r="A487" s="10"/>
      <c r="B487" s="13"/>
      <c r="C487" s="13"/>
      <c r="D487" s="13"/>
    </row>
    <row r="488" spans="1:4" ht="13" x14ac:dyDescent="0.15">
      <c r="A488" s="10"/>
      <c r="B488" s="13"/>
      <c r="C488" s="13"/>
      <c r="D488" s="13"/>
    </row>
    <row r="489" spans="1:4" ht="13" x14ac:dyDescent="0.15">
      <c r="A489" s="10"/>
      <c r="B489" s="13"/>
      <c r="C489" s="13"/>
      <c r="D489" s="13"/>
    </row>
    <row r="490" spans="1:4" ht="13" x14ac:dyDescent="0.15">
      <c r="A490" s="10"/>
      <c r="B490" s="13"/>
      <c r="C490" s="13"/>
      <c r="D490" s="13"/>
    </row>
    <row r="491" spans="1:4" ht="13" x14ac:dyDescent="0.15">
      <c r="A491" s="10"/>
      <c r="B491" s="13"/>
      <c r="C491" s="13"/>
      <c r="D491" s="13"/>
    </row>
    <row r="492" spans="1:4" ht="13" x14ac:dyDescent="0.15">
      <c r="A492" s="10"/>
      <c r="B492" s="13"/>
      <c r="C492" s="13"/>
      <c r="D492" s="13"/>
    </row>
    <row r="493" spans="1:4" ht="13" x14ac:dyDescent="0.15">
      <c r="A493" s="10"/>
      <c r="B493" s="13"/>
      <c r="C493" s="13"/>
      <c r="D493" s="13"/>
    </row>
    <row r="494" spans="1:4" ht="13" x14ac:dyDescent="0.15">
      <c r="A494" s="10"/>
      <c r="B494" s="13"/>
      <c r="C494" s="13"/>
      <c r="D494" s="13"/>
    </row>
    <row r="495" spans="1:4" ht="13" x14ac:dyDescent="0.15">
      <c r="A495" s="10"/>
      <c r="B495" s="13"/>
      <c r="C495" s="13"/>
      <c r="D495" s="13"/>
    </row>
    <row r="496" spans="1:4" ht="13" x14ac:dyDescent="0.15">
      <c r="A496" s="10"/>
      <c r="B496" s="13"/>
      <c r="C496" s="13"/>
      <c r="D496" s="13"/>
    </row>
    <row r="497" spans="1:4" ht="13" x14ac:dyDescent="0.15">
      <c r="A497" s="10"/>
      <c r="B497" s="13"/>
      <c r="C497" s="13"/>
      <c r="D497" s="13"/>
    </row>
    <row r="498" spans="1:4" ht="13" x14ac:dyDescent="0.15">
      <c r="A498" s="10"/>
      <c r="B498" s="13"/>
      <c r="C498" s="13"/>
      <c r="D498" s="13"/>
    </row>
    <row r="499" spans="1:4" ht="13" x14ac:dyDescent="0.15">
      <c r="A499" s="10"/>
      <c r="B499" s="13"/>
      <c r="C499" s="13"/>
      <c r="D499" s="13"/>
    </row>
    <row r="500" spans="1:4" ht="13" x14ac:dyDescent="0.15">
      <c r="A500" s="10"/>
      <c r="B500" s="13"/>
      <c r="C500" s="13"/>
      <c r="D500" s="13"/>
    </row>
    <row r="501" spans="1:4" ht="13" x14ac:dyDescent="0.15">
      <c r="A501" s="10"/>
      <c r="B501" s="13"/>
      <c r="C501" s="13"/>
      <c r="D501" s="13"/>
    </row>
    <row r="502" spans="1:4" ht="13" x14ac:dyDescent="0.15">
      <c r="A502" s="10"/>
      <c r="B502" s="13"/>
      <c r="C502" s="13"/>
      <c r="D502" s="13"/>
    </row>
    <row r="503" spans="1:4" ht="13" x14ac:dyDescent="0.15">
      <c r="A503" s="10"/>
      <c r="B503" s="13"/>
      <c r="C503" s="13"/>
      <c r="D503" s="13"/>
    </row>
    <row r="504" spans="1:4" ht="13" x14ac:dyDescent="0.15">
      <c r="A504" s="10"/>
      <c r="B504" s="13"/>
      <c r="C504" s="13"/>
      <c r="D504" s="13"/>
    </row>
    <row r="505" spans="1:4" ht="13" x14ac:dyDescent="0.15">
      <c r="A505" s="10"/>
      <c r="B505" s="13"/>
      <c r="C505" s="13"/>
      <c r="D505" s="13"/>
    </row>
    <row r="506" spans="1:4" ht="13" x14ac:dyDescent="0.15">
      <c r="A506" s="10"/>
      <c r="B506" s="13"/>
      <c r="C506" s="13"/>
      <c r="D506" s="13"/>
    </row>
    <row r="507" spans="1:4" ht="13" x14ac:dyDescent="0.15">
      <c r="A507" s="10"/>
      <c r="B507" s="13"/>
      <c r="C507" s="13"/>
      <c r="D507" s="13"/>
    </row>
    <row r="508" spans="1:4" ht="13" x14ac:dyDescent="0.15">
      <c r="A508" s="10"/>
      <c r="B508" s="13"/>
      <c r="C508" s="13"/>
      <c r="D508" s="13"/>
    </row>
    <row r="509" spans="1:4" ht="13" x14ac:dyDescent="0.15">
      <c r="A509" s="10"/>
      <c r="B509" s="13"/>
      <c r="C509" s="13"/>
      <c r="D509" s="13"/>
    </row>
    <row r="510" spans="1:4" ht="13" x14ac:dyDescent="0.15">
      <c r="A510" s="10"/>
      <c r="B510" s="13"/>
      <c r="C510" s="13"/>
      <c r="D510" s="13"/>
    </row>
    <row r="511" spans="1:4" ht="13" x14ac:dyDescent="0.15">
      <c r="A511" s="10"/>
      <c r="B511" s="13"/>
      <c r="C511" s="13"/>
      <c r="D511" s="13"/>
    </row>
    <row r="512" spans="1:4" ht="13" x14ac:dyDescent="0.15">
      <c r="A512" s="10"/>
      <c r="B512" s="13"/>
      <c r="C512" s="13"/>
      <c r="D512" s="13"/>
    </row>
    <row r="513" spans="1:4" ht="13" x14ac:dyDescent="0.15">
      <c r="A513" s="10"/>
      <c r="B513" s="13"/>
      <c r="C513" s="13"/>
      <c r="D513" s="13"/>
    </row>
    <row r="514" spans="1:4" ht="13" x14ac:dyDescent="0.15">
      <c r="A514" s="10"/>
      <c r="B514" s="13"/>
      <c r="C514" s="13"/>
      <c r="D514" s="13"/>
    </row>
    <row r="515" spans="1:4" ht="13" x14ac:dyDescent="0.15">
      <c r="A515" s="10"/>
      <c r="B515" s="13"/>
      <c r="C515" s="13"/>
      <c r="D515" s="13"/>
    </row>
    <row r="516" spans="1:4" ht="13" x14ac:dyDescent="0.15">
      <c r="A516" s="10"/>
      <c r="B516" s="13"/>
      <c r="C516" s="13"/>
      <c r="D516" s="13"/>
    </row>
    <row r="517" spans="1:4" ht="13" x14ac:dyDescent="0.15">
      <c r="A517" s="10"/>
      <c r="B517" s="13"/>
      <c r="C517" s="13"/>
      <c r="D517" s="13"/>
    </row>
    <row r="518" spans="1:4" ht="13" x14ac:dyDescent="0.15">
      <c r="A518" s="10"/>
      <c r="B518" s="13"/>
      <c r="C518" s="13"/>
      <c r="D518" s="13"/>
    </row>
    <row r="519" spans="1:4" ht="13" x14ac:dyDescent="0.15">
      <c r="A519" s="10"/>
      <c r="B519" s="13"/>
      <c r="C519" s="13"/>
      <c r="D519" s="13"/>
    </row>
    <row r="520" spans="1:4" ht="13" x14ac:dyDescent="0.15">
      <c r="A520" s="10"/>
      <c r="B520" s="13"/>
      <c r="C520" s="13"/>
      <c r="D520" s="13"/>
    </row>
    <row r="521" spans="1:4" ht="13" x14ac:dyDescent="0.15">
      <c r="A521" s="10"/>
      <c r="B521" s="13"/>
      <c r="C521" s="13"/>
      <c r="D521" s="13"/>
    </row>
    <row r="522" spans="1:4" ht="13" x14ac:dyDescent="0.15">
      <c r="A522" s="10"/>
      <c r="B522" s="13"/>
      <c r="C522" s="13"/>
      <c r="D522" s="13"/>
    </row>
    <row r="523" spans="1:4" ht="13" x14ac:dyDescent="0.15">
      <c r="A523" s="10"/>
      <c r="B523" s="13"/>
      <c r="C523" s="13"/>
      <c r="D523" s="13"/>
    </row>
    <row r="524" spans="1:4" ht="13" x14ac:dyDescent="0.15">
      <c r="A524" s="10"/>
      <c r="B524" s="13"/>
      <c r="C524" s="13"/>
      <c r="D524" s="13"/>
    </row>
    <row r="525" spans="1:4" ht="13" x14ac:dyDescent="0.15">
      <c r="A525" s="10"/>
      <c r="B525" s="13"/>
      <c r="C525" s="13"/>
      <c r="D525" s="13"/>
    </row>
    <row r="526" spans="1:4" ht="13" x14ac:dyDescent="0.15">
      <c r="A526" s="10"/>
      <c r="B526" s="13"/>
      <c r="C526" s="13"/>
      <c r="D526" s="13"/>
    </row>
    <row r="527" spans="1:4" ht="13" x14ac:dyDescent="0.15">
      <c r="A527" s="10"/>
      <c r="B527" s="13"/>
      <c r="C527" s="13"/>
      <c r="D527" s="13"/>
    </row>
    <row r="528" spans="1:4" ht="13" x14ac:dyDescent="0.15">
      <c r="A528" s="10"/>
      <c r="B528" s="13"/>
      <c r="C528" s="13"/>
      <c r="D528" s="13"/>
    </row>
    <row r="529" spans="1:4" ht="13" x14ac:dyDescent="0.15">
      <c r="A529" s="10"/>
      <c r="B529" s="13"/>
      <c r="C529" s="13"/>
      <c r="D529" s="13"/>
    </row>
    <row r="530" spans="1:4" ht="13" x14ac:dyDescent="0.15">
      <c r="A530" s="10"/>
      <c r="B530" s="13"/>
      <c r="C530" s="13"/>
      <c r="D530" s="13"/>
    </row>
    <row r="531" spans="1:4" ht="13" x14ac:dyDescent="0.15">
      <c r="A531" s="10"/>
      <c r="B531" s="13"/>
      <c r="C531" s="13"/>
      <c r="D531" s="13"/>
    </row>
    <row r="532" spans="1:4" ht="13" x14ac:dyDescent="0.15">
      <c r="A532" s="10"/>
      <c r="B532" s="13"/>
      <c r="C532" s="13"/>
      <c r="D532" s="13"/>
    </row>
    <row r="533" spans="1:4" ht="13" x14ac:dyDescent="0.15">
      <c r="A533" s="10"/>
      <c r="B533" s="13"/>
      <c r="C533" s="13"/>
      <c r="D533" s="13"/>
    </row>
    <row r="534" spans="1:4" ht="13" x14ac:dyDescent="0.15">
      <c r="A534" s="10"/>
      <c r="B534" s="13"/>
      <c r="C534" s="13"/>
      <c r="D534" s="13"/>
    </row>
    <row r="535" spans="1:4" ht="13" x14ac:dyDescent="0.15">
      <c r="A535" s="10"/>
      <c r="B535" s="13"/>
      <c r="C535" s="13"/>
      <c r="D535" s="13"/>
    </row>
    <row r="536" spans="1:4" ht="13" x14ac:dyDescent="0.15">
      <c r="A536" s="10"/>
      <c r="B536" s="13"/>
      <c r="C536" s="13"/>
      <c r="D536" s="13"/>
    </row>
    <row r="537" spans="1:4" ht="13" x14ac:dyDescent="0.15">
      <c r="A537" s="10"/>
      <c r="B537" s="13"/>
      <c r="C537" s="13"/>
      <c r="D537" s="13"/>
    </row>
    <row r="538" spans="1:4" ht="13" x14ac:dyDescent="0.15">
      <c r="A538" s="10"/>
      <c r="B538" s="13"/>
      <c r="C538" s="13"/>
      <c r="D538" s="13"/>
    </row>
    <row r="539" spans="1:4" ht="13" x14ac:dyDescent="0.15">
      <c r="A539" s="10"/>
      <c r="B539" s="13"/>
      <c r="C539" s="13"/>
      <c r="D539" s="13"/>
    </row>
    <row r="540" spans="1:4" ht="13" x14ac:dyDescent="0.15">
      <c r="A540" s="10"/>
      <c r="B540" s="13"/>
      <c r="C540" s="13"/>
      <c r="D540" s="13"/>
    </row>
    <row r="541" spans="1:4" ht="13" x14ac:dyDescent="0.15">
      <c r="A541" s="10"/>
      <c r="B541" s="13"/>
      <c r="C541" s="13"/>
      <c r="D541" s="13"/>
    </row>
    <row r="542" spans="1:4" ht="13" x14ac:dyDescent="0.15">
      <c r="A542" s="10"/>
      <c r="B542" s="13"/>
      <c r="C542" s="13"/>
      <c r="D542" s="13"/>
    </row>
    <row r="543" spans="1:4" ht="13" x14ac:dyDescent="0.15">
      <c r="A543" s="10"/>
      <c r="B543" s="13"/>
      <c r="C543" s="13"/>
      <c r="D543" s="13"/>
    </row>
    <row r="544" spans="1:4" ht="13" x14ac:dyDescent="0.15">
      <c r="A544" s="10"/>
      <c r="B544" s="13"/>
      <c r="C544" s="13"/>
      <c r="D544" s="13"/>
    </row>
    <row r="545" spans="1:4" ht="13" x14ac:dyDescent="0.15">
      <c r="A545" s="10"/>
      <c r="B545" s="13"/>
      <c r="C545" s="13"/>
      <c r="D545" s="13"/>
    </row>
    <row r="546" spans="1:4" ht="13" x14ac:dyDescent="0.15">
      <c r="A546" s="10"/>
      <c r="B546" s="13"/>
      <c r="C546" s="13"/>
      <c r="D546" s="13"/>
    </row>
    <row r="547" spans="1:4" ht="13" x14ac:dyDescent="0.15">
      <c r="A547" s="10"/>
      <c r="B547" s="13"/>
      <c r="C547" s="13"/>
      <c r="D547" s="13"/>
    </row>
    <row r="548" spans="1:4" ht="13" x14ac:dyDescent="0.15">
      <c r="A548" s="10"/>
      <c r="B548" s="13"/>
      <c r="C548" s="13"/>
      <c r="D548" s="13"/>
    </row>
    <row r="549" spans="1:4" ht="13" x14ac:dyDescent="0.15">
      <c r="A549" s="10"/>
      <c r="B549" s="13"/>
      <c r="C549" s="13"/>
      <c r="D549" s="13"/>
    </row>
    <row r="550" spans="1:4" ht="13" x14ac:dyDescent="0.15">
      <c r="A550" s="10"/>
      <c r="B550" s="13"/>
      <c r="C550" s="13"/>
      <c r="D550" s="13"/>
    </row>
    <row r="551" spans="1:4" ht="13" x14ac:dyDescent="0.15">
      <c r="A551" s="10"/>
      <c r="B551" s="13"/>
      <c r="C551" s="13"/>
      <c r="D551" s="13"/>
    </row>
    <row r="552" spans="1:4" ht="13" x14ac:dyDescent="0.15">
      <c r="A552" s="10"/>
      <c r="B552" s="13"/>
      <c r="C552" s="13"/>
      <c r="D552" s="13"/>
    </row>
    <row r="553" spans="1:4" ht="13" x14ac:dyDescent="0.15">
      <c r="A553" s="10"/>
      <c r="B553" s="13"/>
      <c r="C553" s="13"/>
      <c r="D553" s="13"/>
    </row>
    <row r="554" spans="1:4" ht="13" x14ac:dyDescent="0.15">
      <c r="A554" s="10"/>
      <c r="B554" s="13"/>
      <c r="C554" s="13"/>
      <c r="D554" s="13"/>
    </row>
    <row r="555" spans="1:4" ht="13" x14ac:dyDescent="0.15">
      <c r="A555" s="10"/>
      <c r="B555" s="13"/>
      <c r="C555" s="13"/>
      <c r="D555" s="13"/>
    </row>
    <row r="556" spans="1:4" ht="13" x14ac:dyDescent="0.15">
      <c r="A556" s="10"/>
      <c r="B556" s="13"/>
      <c r="C556" s="13"/>
      <c r="D556" s="13"/>
    </row>
    <row r="557" spans="1:4" ht="13" x14ac:dyDescent="0.15">
      <c r="A557" s="10"/>
      <c r="B557" s="13"/>
      <c r="C557" s="13"/>
      <c r="D557" s="13"/>
    </row>
    <row r="558" spans="1:4" ht="13" x14ac:dyDescent="0.15">
      <c r="A558" s="10"/>
      <c r="B558" s="13"/>
      <c r="C558" s="13"/>
      <c r="D558" s="13"/>
    </row>
    <row r="559" spans="1:4" ht="13" x14ac:dyDescent="0.15">
      <c r="A559" s="10"/>
      <c r="B559" s="13"/>
      <c r="C559" s="13"/>
      <c r="D559" s="13"/>
    </row>
    <row r="560" spans="1:4" ht="13" x14ac:dyDescent="0.15">
      <c r="A560" s="10"/>
      <c r="B560" s="13"/>
      <c r="C560" s="13"/>
      <c r="D560" s="13"/>
    </row>
    <row r="561" spans="1:4" ht="13" x14ac:dyDescent="0.15">
      <c r="A561" s="10"/>
      <c r="B561" s="13"/>
      <c r="C561" s="13"/>
      <c r="D561" s="13"/>
    </row>
    <row r="562" spans="1:4" ht="13" x14ac:dyDescent="0.15">
      <c r="A562" s="10"/>
      <c r="B562" s="13"/>
      <c r="C562" s="13"/>
      <c r="D562" s="13"/>
    </row>
    <row r="563" spans="1:4" ht="13" x14ac:dyDescent="0.15">
      <c r="A563" s="10"/>
      <c r="B563" s="13"/>
      <c r="C563" s="13"/>
      <c r="D563" s="13"/>
    </row>
    <row r="564" spans="1:4" ht="13" x14ac:dyDescent="0.15">
      <c r="A564" s="10"/>
      <c r="B564" s="13"/>
      <c r="C564" s="13"/>
      <c r="D564" s="13"/>
    </row>
    <row r="565" spans="1:4" ht="13" x14ac:dyDescent="0.15">
      <c r="A565" s="10"/>
      <c r="B565" s="13"/>
      <c r="C565" s="13"/>
      <c r="D565" s="13"/>
    </row>
    <row r="566" spans="1:4" ht="13" x14ac:dyDescent="0.15">
      <c r="A566" s="10"/>
      <c r="B566" s="13"/>
      <c r="C566" s="13"/>
      <c r="D566" s="13"/>
    </row>
    <row r="567" spans="1:4" ht="13" x14ac:dyDescent="0.15">
      <c r="A567" s="10"/>
      <c r="B567" s="13"/>
      <c r="C567" s="13"/>
      <c r="D567" s="13"/>
    </row>
    <row r="568" spans="1:4" ht="13" x14ac:dyDescent="0.15">
      <c r="A568" s="10"/>
      <c r="B568" s="13"/>
      <c r="C568" s="13"/>
      <c r="D568" s="13"/>
    </row>
    <row r="569" spans="1:4" ht="13" x14ac:dyDescent="0.15">
      <c r="A569" s="10"/>
      <c r="B569" s="13"/>
      <c r="C569" s="13"/>
      <c r="D569" s="13"/>
    </row>
    <row r="570" spans="1:4" ht="13" x14ac:dyDescent="0.15">
      <c r="A570" s="10"/>
      <c r="B570" s="13"/>
      <c r="C570" s="13"/>
      <c r="D570" s="13"/>
    </row>
    <row r="571" spans="1:4" ht="13" x14ac:dyDescent="0.15">
      <c r="A571" s="10"/>
      <c r="B571" s="13"/>
      <c r="C571" s="13"/>
      <c r="D571" s="13"/>
    </row>
    <row r="572" spans="1:4" ht="13" x14ac:dyDescent="0.15">
      <c r="A572" s="10"/>
      <c r="B572" s="13"/>
      <c r="C572" s="13"/>
      <c r="D572" s="13"/>
    </row>
    <row r="573" spans="1:4" ht="13" x14ac:dyDescent="0.15">
      <c r="A573" s="10"/>
      <c r="B573" s="13"/>
      <c r="C573" s="13"/>
      <c r="D573" s="13"/>
    </row>
    <row r="574" spans="1:4" ht="13" x14ac:dyDescent="0.15">
      <c r="A574" s="10"/>
      <c r="B574" s="13"/>
      <c r="C574" s="13"/>
      <c r="D574" s="13"/>
    </row>
    <row r="575" spans="1:4" ht="13" x14ac:dyDescent="0.15">
      <c r="A575" s="10"/>
      <c r="B575" s="13"/>
      <c r="C575" s="13"/>
      <c r="D575" s="13"/>
    </row>
    <row r="576" spans="1:4" ht="13" x14ac:dyDescent="0.15">
      <c r="A576" s="10"/>
      <c r="B576" s="13"/>
      <c r="C576" s="13"/>
      <c r="D576" s="13"/>
    </row>
    <row r="577" spans="1:4" ht="13" x14ac:dyDescent="0.15">
      <c r="A577" s="10"/>
      <c r="B577" s="13"/>
      <c r="C577" s="13"/>
      <c r="D577" s="13"/>
    </row>
    <row r="578" spans="1:4" ht="13" x14ac:dyDescent="0.15">
      <c r="A578" s="10"/>
      <c r="B578" s="13"/>
      <c r="C578" s="13"/>
      <c r="D578" s="13"/>
    </row>
    <row r="579" spans="1:4" ht="13" x14ac:dyDescent="0.15">
      <c r="A579" s="10"/>
      <c r="B579" s="13"/>
      <c r="C579" s="13"/>
      <c r="D579" s="13"/>
    </row>
    <row r="580" spans="1:4" ht="13" x14ac:dyDescent="0.15">
      <c r="A580" s="10"/>
      <c r="B580" s="13"/>
      <c r="C580" s="13"/>
      <c r="D580" s="13"/>
    </row>
    <row r="581" spans="1:4" ht="13" x14ac:dyDescent="0.15">
      <c r="A581" s="10"/>
      <c r="B581" s="13"/>
      <c r="C581" s="13"/>
      <c r="D581" s="13"/>
    </row>
    <row r="582" spans="1:4" ht="13" x14ac:dyDescent="0.15">
      <c r="A582" s="10"/>
      <c r="B582" s="13"/>
      <c r="C582" s="13"/>
      <c r="D582" s="13"/>
    </row>
    <row r="583" spans="1:4" ht="13" x14ac:dyDescent="0.15">
      <c r="A583" s="10"/>
      <c r="B583" s="13"/>
      <c r="C583" s="13"/>
      <c r="D583" s="13"/>
    </row>
    <row r="584" spans="1:4" ht="13" x14ac:dyDescent="0.15">
      <c r="A584" s="10"/>
      <c r="B584" s="13"/>
      <c r="C584" s="13"/>
      <c r="D584" s="13"/>
    </row>
    <row r="585" spans="1:4" ht="13" x14ac:dyDescent="0.15">
      <c r="A585" s="10"/>
      <c r="B585" s="13"/>
      <c r="C585" s="13"/>
      <c r="D585" s="13"/>
    </row>
    <row r="586" spans="1:4" ht="13" x14ac:dyDescent="0.15">
      <c r="A586" s="10"/>
      <c r="B586" s="13"/>
      <c r="C586" s="13"/>
      <c r="D586" s="13"/>
    </row>
    <row r="587" spans="1:4" ht="13" x14ac:dyDescent="0.15">
      <c r="A587" s="10"/>
      <c r="B587" s="13"/>
      <c r="C587" s="13"/>
      <c r="D587" s="13"/>
    </row>
    <row r="588" spans="1:4" ht="13" x14ac:dyDescent="0.15">
      <c r="A588" s="10"/>
      <c r="B588" s="13"/>
      <c r="C588" s="13"/>
      <c r="D588" s="13"/>
    </row>
    <row r="589" spans="1:4" ht="13" x14ac:dyDescent="0.15">
      <c r="A589" s="10"/>
      <c r="B589" s="13"/>
      <c r="C589" s="13"/>
      <c r="D589" s="13"/>
    </row>
    <row r="590" spans="1:4" ht="13" x14ac:dyDescent="0.15">
      <c r="A590" s="10"/>
      <c r="B590" s="13"/>
      <c r="C590" s="13"/>
      <c r="D590" s="13"/>
    </row>
    <row r="591" spans="1:4" ht="13" x14ac:dyDescent="0.15">
      <c r="A591" s="10"/>
      <c r="B591" s="13"/>
      <c r="C591" s="13"/>
      <c r="D591" s="13"/>
    </row>
    <row r="592" spans="1:4" ht="13" x14ac:dyDescent="0.15">
      <c r="A592" s="10"/>
      <c r="B592" s="13"/>
      <c r="C592" s="13"/>
      <c r="D592" s="13"/>
    </row>
    <row r="593" spans="1:4" ht="13" x14ac:dyDescent="0.15">
      <c r="A593" s="10"/>
      <c r="B593" s="13"/>
      <c r="C593" s="13"/>
      <c r="D593" s="13"/>
    </row>
    <row r="594" spans="1:4" ht="13" x14ac:dyDescent="0.15">
      <c r="A594" s="10"/>
      <c r="B594" s="13"/>
      <c r="C594" s="13"/>
      <c r="D594" s="13"/>
    </row>
    <row r="595" spans="1:4" ht="13" x14ac:dyDescent="0.15">
      <c r="A595" s="10"/>
      <c r="B595" s="13"/>
      <c r="C595" s="13"/>
      <c r="D595" s="13"/>
    </row>
    <row r="596" spans="1:4" ht="13" x14ac:dyDescent="0.15">
      <c r="A596" s="10"/>
      <c r="B596" s="13"/>
      <c r="C596" s="13"/>
      <c r="D596" s="13"/>
    </row>
    <row r="597" spans="1:4" ht="13" x14ac:dyDescent="0.15">
      <c r="A597" s="10"/>
      <c r="B597" s="13"/>
      <c r="C597" s="13"/>
      <c r="D597" s="13"/>
    </row>
    <row r="598" spans="1:4" ht="13" x14ac:dyDescent="0.15">
      <c r="A598" s="10"/>
      <c r="B598" s="13"/>
      <c r="C598" s="13"/>
      <c r="D598" s="13"/>
    </row>
    <row r="599" spans="1:4" ht="13" x14ac:dyDescent="0.15">
      <c r="A599" s="10"/>
      <c r="B599" s="13"/>
      <c r="C599" s="13"/>
      <c r="D599" s="13"/>
    </row>
    <row r="600" spans="1:4" ht="13" x14ac:dyDescent="0.15">
      <c r="A600" s="10"/>
      <c r="B600" s="13"/>
      <c r="C600" s="13"/>
      <c r="D600" s="13"/>
    </row>
    <row r="601" spans="1:4" ht="13" x14ac:dyDescent="0.15">
      <c r="A601" s="10"/>
      <c r="B601" s="13"/>
      <c r="C601" s="13"/>
      <c r="D601" s="13"/>
    </row>
    <row r="602" spans="1:4" ht="13" x14ac:dyDescent="0.15">
      <c r="A602" s="10"/>
      <c r="B602" s="13"/>
      <c r="C602" s="13"/>
      <c r="D602" s="13"/>
    </row>
    <row r="603" spans="1:4" ht="13" x14ac:dyDescent="0.15">
      <c r="A603" s="10"/>
      <c r="B603" s="13"/>
      <c r="C603" s="13"/>
      <c r="D603" s="13"/>
    </row>
    <row r="604" spans="1:4" ht="13" x14ac:dyDescent="0.15">
      <c r="A604" s="10"/>
      <c r="B604" s="13"/>
      <c r="C604" s="13"/>
      <c r="D604" s="13"/>
    </row>
    <row r="605" spans="1:4" ht="13" x14ac:dyDescent="0.15">
      <c r="A605" s="10"/>
      <c r="B605" s="13"/>
      <c r="C605" s="13"/>
      <c r="D605" s="13"/>
    </row>
    <row r="606" spans="1:4" ht="13" x14ac:dyDescent="0.15">
      <c r="A606" s="10"/>
      <c r="B606" s="13"/>
      <c r="C606" s="13"/>
      <c r="D606" s="13"/>
    </row>
    <row r="607" spans="1:4" ht="13" x14ac:dyDescent="0.15">
      <c r="A607" s="10"/>
      <c r="B607" s="13"/>
      <c r="C607" s="13"/>
      <c r="D607" s="13"/>
    </row>
    <row r="608" spans="1:4" ht="13" x14ac:dyDescent="0.15">
      <c r="A608" s="10"/>
      <c r="B608" s="13"/>
      <c r="C608" s="13"/>
      <c r="D608" s="13"/>
    </row>
    <row r="609" spans="1:4" ht="13" x14ac:dyDescent="0.15">
      <c r="A609" s="10"/>
      <c r="B609" s="13"/>
      <c r="C609" s="13"/>
      <c r="D609" s="13"/>
    </row>
    <row r="610" spans="1:4" ht="13" x14ac:dyDescent="0.15">
      <c r="A610" s="10"/>
      <c r="B610" s="13"/>
      <c r="C610" s="13"/>
      <c r="D610" s="13"/>
    </row>
    <row r="611" spans="1:4" ht="13" x14ac:dyDescent="0.15">
      <c r="A611" s="10"/>
      <c r="B611" s="13"/>
      <c r="C611" s="13"/>
      <c r="D611" s="13"/>
    </row>
    <row r="612" spans="1:4" ht="13" x14ac:dyDescent="0.15">
      <c r="A612" s="10"/>
      <c r="B612" s="13"/>
      <c r="C612" s="13"/>
      <c r="D612" s="13"/>
    </row>
    <row r="613" spans="1:4" ht="13" x14ac:dyDescent="0.15">
      <c r="A613" s="10"/>
      <c r="B613" s="13"/>
      <c r="C613" s="13"/>
      <c r="D613" s="13"/>
    </row>
    <row r="614" spans="1:4" ht="13" x14ac:dyDescent="0.15">
      <c r="A614" s="10"/>
      <c r="B614" s="13"/>
      <c r="C614" s="13"/>
      <c r="D614" s="13"/>
    </row>
    <row r="615" spans="1:4" ht="13" x14ac:dyDescent="0.15">
      <c r="A615" s="10"/>
      <c r="B615" s="13"/>
      <c r="C615" s="13"/>
      <c r="D615" s="13"/>
    </row>
    <row r="616" spans="1:4" ht="13" x14ac:dyDescent="0.15">
      <c r="A616" s="10"/>
      <c r="B616" s="13"/>
      <c r="C616" s="13"/>
      <c r="D616" s="13"/>
    </row>
    <row r="617" spans="1:4" ht="13" x14ac:dyDescent="0.15">
      <c r="A617" s="10"/>
      <c r="B617" s="13"/>
      <c r="C617" s="13"/>
      <c r="D617" s="13"/>
    </row>
    <row r="618" spans="1:4" ht="13" x14ac:dyDescent="0.15">
      <c r="A618" s="10"/>
      <c r="B618" s="13"/>
      <c r="C618" s="13"/>
      <c r="D618" s="13"/>
    </row>
    <row r="619" spans="1:4" ht="13" x14ac:dyDescent="0.15">
      <c r="A619" s="10"/>
      <c r="B619" s="13"/>
      <c r="C619" s="13"/>
      <c r="D619" s="13"/>
    </row>
    <row r="620" spans="1:4" ht="13" x14ac:dyDescent="0.15">
      <c r="A620" s="10"/>
      <c r="B620" s="13"/>
      <c r="C620" s="13"/>
      <c r="D620" s="13"/>
    </row>
    <row r="621" spans="1:4" ht="13" x14ac:dyDescent="0.15">
      <c r="A621" s="10"/>
      <c r="B621" s="13"/>
      <c r="C621" s="13"/>
      <c r="D621" s="13"/>
    </row>
    <row r="622" spans="1:4" ht="13" x14ac:dyDescent="0.15">
      <c r="A622" s="10"/>
      <c r="B622" s="13"/>
      <c r="C622" s="13"/>
      <c r="D622" s="13"/>
    </row>
    <row r="623" spans="1:4" ht="13" x14ac:dyDescent="0.15">
      <c r="A623" s="10"/>
      <c r="B623" s="13"/>
      <c r="C623" s="13"/>
      <c r="D623" s="13"/>
    </row>
    <row r="624" spans="1:4" ht="13" x14ac:dyDescent="0.15">
      <c r="A624" s="10"/>
      <c r="B624" s="13"/>
      <c r="C624" s="13"/>
      <c r="D624" s="13"/>
    </row>
    <row r="625" spans="1:4" ht="13" x14ac:dyDescent="0.15">
      <c r="A625" s="10"/>
      <c r="B625" s="13"/>
      <c r="C625" s="13"/>
      <c r="D625" s="13"/>
    </row>
    <row r="626" spans="1:4" ht="13" x14ac:dyDescent="0.15">
      <c r="A626" s="10"/>
      <c r="B626" s="13"/>
      <c r="C626" s="13"/>
      <c r="D626" s="13"/>
    </row>
    <row r="627" spans="1:4" ht="13" x14ac:dyDescent="0.15">
      <c r="A627" s="10"/>
      <c r="B627" s="13"/>
      <c r="C627" s="13"/>
      <c r="D627" s="13"/>
    </row>
    <row r="628" spans="1:4" ht="13" x14ac:dyDescent="0.15">
      <c r="A628" s="10"/>
      <c r="B628" s="13"/>
      <c r="C628" s="13"/>
      <c r="D628" s="13"/>
    </row>
    <row r="629" spans="1:4" ht="13" x14ac:dyDescent="0.15">
      <c r="A629" s="10"/>
      <c r="B629" s="13"/>
      <c r="C629" s="13"/>
      <c r="D629" s="13"/>
    </row>
    <row r="630" spans="1:4" ht="13" x14ac:dyDescent="0.15">
      <c r="A630" s="10"/>
      <c r="B630" s="13"/>
      <c r="C630" s="13"/>
      <c r="D630" s="13"/>
    </row>
    <row r="631" spans="1:4" ht="13" x14ac:dyDescent="0.15">
      <c r="A631" s="10"/>
      <c r="B631" s="13"/>
      <c r="C631" s="13"/>
      <c r="D631" s="13"/>
    </row>
    <row r="632" spans="1:4" ht="13" x14ac:dyDescent="0.15">
      <c r="A632" s="10"/>
      <c r="B632" s="13"/>
      <c r="C632" s="13"/>
      <c r="D632" s="13"/>
    </row>
    <row r="633" spans="1:4" ht="13" x14ac:dyDescent="0.15">
      <c r="A633" s="10"/>
      <c r="B633" s="13"/>
      <c r="C633" s="13"/>
      <c r="D633" s="13"/>
    </row>
    <row r="634" spans="1:4" ht="13" x14ac:dyDescent="0.15">
      <c r="A634" s="10"/>
      <c r="B634" s="13"/>
      <c r="C634" s="13"/>
      <c r="D634" s="13"/>
    </row>
    <row r="635" spans="1:4" ht="13" x14ac:dyDescent="0.15">
      <c r="A635" s="10"/>
      <c r="B635" s="13"/>
      <c r="C635" s="13"/>
      <c r="D635" s="13"/>
    </row>
    <row r="636" spans="1:4" ht="13" x14ac:dyDescent="0.15">
      <c r="A636" s="10"/>
      <c r="B636" s="13"/>
      <c r="C636" s="13"/>
      <c r="D636" s="13"/>
    </row>
    <row r="637" spans="1:4" ht="13" x14ac:dyDescent="0.15">
      <c r="A637" s="10"/>
      <c r="B637" s="13"/>
      <c r="C637" s="13"/>
      <c r="D637" s="13"/>
    </row>
    <row r="638" spans="1:4" ht="13" x14ac:dyDescent="0.15">
      <c r="A638" s="10"/>
      <c r="B638" s="13"/>
      <c r="C638" s="13"/>
      <c r="D638" s="13"/>
    </row>
    <row r="639" spans="1:4" ht="13" x14ac:dyDescent="0.15">
      <c r="A639" s="10"/>
      <c r="B639" s="13"/>
      <c r="C639" s="13"/>
      <c r="D639" s="13"/>
    </row>
    <row r="640" spans="1:4" ht="13" x14ac:dyDescent="0.15">
      <c r="A640" s="10"/>
      <c r="B640" s="13"/>
      <c r="C640" s="13"/>
      <c r="D640" s="13"/>
    </row>
    <row r="641" spans="1:4" ht="13" x14ac:dyDescent="0.15">
      <c r="A641" s="10"/>
      <c r="B641" s="13"/>
      <c r="C641" s="13"/>
      <c r="D641" s="13"/>
    </row>
    <row r="642" spans="1:4" ht="13" x14ac:dyDescent="0.15">
      <c r="A642" s="10"/>
      <c r="B642" s="13"/>
      <c r="C642" s="13"/>
      <c r="D642" s="13"/>
    </row>
    <row r="643" spans="1:4" ht="13" x14ac:dyDescent="0.15">
      <c r="A643" s="10"/>
      <c r="B643" s="13"/>
      <c r="C643" s="13"/>
      <c r="D643" s="13"/>
    </row>
    <row r="644" spans="1:4" ht="13" x14ac:dyDescent="0.15">
      <c r="A644" s="10"/>
      <c r="B644" s="13"/>
      <c r="C644" s="13"/>
      <c r="D644" s="13"/>
    </row>
    <row r="645" spans="1:4" ht="13" x14ac:dyDescent="0.15">
      <c r="A645" s="10"/>
      <c r="B645" s="13"/>
      <c r="C645" s="13"/>
      <c r="D645" s="13"/>
    </row>
    <row r="646" spans="1:4" ht="13" x14ac:dyDescent="0.15">
      <c r="A646" s="10"/>
      <c r="B646" s="13"/>
      <c r="C646" s="13"/>
      <c r="D646" s="13"/>
    </row>
    <row r="647" spans="1:4" ht="13" x14ac:dyDescent="0.15">
      <c r="A647" s="10"/>
      <c r="B647" s="13"/>
      <c r="C647" s="13"/>
      <c r="D647" s="13"/>
    </row>
    <row r="648" spans="1:4" ht="13" x14ac:dyDescent="0.15">
      <c r="A648" s="10"/>
      <c r="B648" s="13"/>
      <c r="C648" s="13"/>
      <c r="D648" s="13"/>
    </row>
    <row r="649" spans="1:4" ht="13" x14ac:dyDescent="0.15">
      <c r="A649" s="10"/>
      <c r="B649" s="13"/>
      <c r="C649" s="13"/>
      <c r="D649" s="13"/>
    </row>
    <row r="650" spans="1:4" ht="13" x14ac:dyDescent="0.15">
      <c r="A650" s="10"/>
      <c r="B650" s="13"/>
      <c r="C650" s="13"/>
      <c r="D650" s="13"/>
    </row>
    <row r="651" spans="1:4" ht="13" x14ac:dyDescent="0.15">
      <c r="A651" s="10"/>
      <c r="B651" s="13"/>
      <c r="C651" s="13"/>
      <c r="D651" s="13"/>
    </row>
    <row r="652" spans="1:4" ht="13" x14ac:dyDescent="0.15">
      <c r="A652" s="10"/>
      <c r="B652" s="13"/>
      <c r="C652" s="13"/>
      <c r="D652" s="13"/>
    </row>
    <row r="653" spans="1:4" ht="13" x14ac:dyDescent="0.15">
      <c r="A653" s="10"/>
      <c r="B653" s="13"/>
      <c r="C653" s="13"/>
      <c r="D653" s="13"/>
    </row>
    <row r="654" spans="1:4" ht="13" x14ac:dyDescent="0.15">
      <c r="A654" s="10"/>
      <c r="B654" s="13"/>
      <c r="C654" s="13"/>
      <c r="D654" s="13"/>
    </row>
    <row r="655" spans="1:4" ht="13" x14ac:dyDescent="0.15">
      <c r="A655" s="10"/>
      <c r="B655" s="13"/>
      <c r="C655" s="13"/>
      <c r="D655" s="13"/>
    </row>
    <row r="656" spans="1:4" ht="13" x14ac:dyDescent="0.15">
      <c r="A656" s="10"/>
      <c r="B656" s="13"/>
      <c r="C656" s="13"/>
      <c r="D656" s="13"/>
    </row>
    <row r="657" spans="1:4" ht="13" x14ac:dyDescent="0.15">
      <c r="A657" s="10"/>
      <c r="B657" s="13"/>
      <c r="C657" s="13"/>
      <c r="D657" s="13"/>
    </row>
    <row r="658" spans="1:4" ht="13" x14ac:dyDescent="0.15">
      <c r="A658" s="10"/>
      <c r="B658" s="13"/>
      <c r="C658" s="13"/>
      <c r="D658" s="13"/>
    </row>
    <row r="659" spans="1:4" ht="13" x14ac:dyDescent="0.15">
      <c r="A659" s="10"/>
      <c r="B659" s="13"/>
      <c r="C659" s="13"/>
      <c r="D659" s="13"/>
    </row>
    <row r="660" spans="1:4" ht="13" x14ac:dyDescent="0.15">
      <c r="A660" s="10"/>
      <c r="B660" s="13"/>
      <c r="C660" s="13"/>
      <c r="D660" s="13"/>
    </row>
    <row r="661" spans="1:4" ht="13" x14ac:dyDescent="0.15">
      <c r="A661" s="10"/>
      <c r="B661" s="13"/>
      <c r="C661" s="13"/>
      <c r="D661" s="13"/>
    </row>
    <row r="662" spans="1:4" ht="13" x14ac:dyDescent="0.15">
      <c r="A662" s="10"/>
      <c r="B662" s="13"/>
      <c r="C662" s="13"/>
      <c r="D662" s="13"/>
    </row>
    <row r="663" spans="1:4" ht="13" x14ac:dyDescent="0.15">
      <c r="A663" s="10"/>
      <c r="B663" s="13"/>
      <c r="C663" s="13"/>
      <c r="D663" s="13"/>
    </row>
    <row r="664" spans="1:4" ht="13" x14ac:dyDescent="0.15">
      <c r="A664" s="10"/>
      <c r="B664" s="13"/>
      <c r="C664" s="13"/>
      <c r="D664" s="13"/>
    </row>
    <row r="665" spans="1:4" ht="13" x14ac:dyDescent="0.15">
      <c r="A665" s="10"/>
      <c r="B665" s="13"/>
      <c r="C665" s="13"/>
      <c r="D665" s="13"/>
    </row>
    <row r="666" spans="1:4" ht="13" x14ac:dyDescent="0.15">
      <c r="A666" s="10"/>
      <c r="B666" s="13"/>
      <c r="C666" s="13"/>
      <c r="D666" s="13"/>
    </row>
    <row r="667" spans="1:4" ht="13" x14ac:dyDescent="0.15">
      <c r="A667" s="10"/>
      <c r="B667" s="13"/>
      <c r="C667" s="13"/>
      <c r="D667" s="13"/>
    </row>
    <row r="668" spans="1:4" ht="13" x14ac:dyDescent="0.15">
      <c r="A668" s="10"/>
      <c r="B668" s="13"/>
      <c r="C668" s="13"/>
      <c r="D668" s="13"/>
    </row>
    <row r="669" spans="1:4" ht="13" x14ac:dyDescent="0.15">
      <c r="A669" s="10"/>
      <c r="B669" s="13"/>
      <c r="C669" s="13"/>
      <c r="D669" s="13"/>
    </row>
    <row r="670" spans="1:4" ht="13" x14ac:dyDescent="0.15">
      <c r="A670" s="10"/>
      <c r="B670" s="13"/>
      <c r="C670" s="13"/>
      <c r="D670" s="13"/>
    </row>
    <row r="671" spans="1:4" ht="13" x14ac:dyDescent="0.15">
      <c r="A671" s="10"/>
      <c r="B671" s="13"/>
      <c r="C671" s="13"/>
      <c r="D671" s="13"/>
    </row>
    <row r="672" spans="1:4" ht="13" x14ac:dyDescent="0.15">
      <c r="A672" s="10"/>
      <c r="B672" s="13"/>
      <c r="C672" s="13"/>
      <c r="D672" s="13"/>
    </row>
    <row r="673" spans="1:4" ht="13" x14ac:dyDescent="0.15">
      <c r="A673" s="10"/>
      <c r="B673" s="13"/>
      <c r="C673" s="13"/>
      <c r="D673" s="13"/>
    </row>
    <row r="674" spans="1:4" ht="13" x14ac:dyDescent="0.15">
      <c r="A674" s="10"/>
      <c r="B674" s="13"/>
      <c r="C674" s="13"/>
      <c r="D674" s="13"/>
    </row>
    <row r="675" spans="1:4" ht="13" x14ac:dyDescent="0.15">
      <c r="A675" s="10"/>
      <c r="B675" s="13"/>
      <c r="C675" s="13"/>
      <c r="D675" s="13"/>
    </row>
    <row r="676" spans="1:4" ht="13" x14ac:dyDescent="0.15">
      <c r="A676" s="10"/>
      <c r="B676" s="13"/>
      <c r="C676" s="13"/>
      <c r="D676" s="13"/>
    </row>
    <row r="677" spans="1:4" ht="13" x14ac:dyDescent="0.15">
      <c r="A677" s="10"/>
      <c r="B677" s="13"/>
      <c r="C677" s="13"/>
      <c r="D677" s="13"/>
    </row>
    <row r="678" spans="1:4" ht="13" x14ac:dyDescent="0.15">
      <c r="A678" s="10"/>
      <c r="B678" s="13"/>
      <c r="C678" s="13"/>
      <c r="D678" s="13"/>
    </row>
    <row r="679" spans="1:4" ht="13" x14ac:dyDescent="0.15">
      <c r="A679" s="10"/>
      <c r="B679" s="13"/>
      <c r="C679" s="13"/>
      <c r="D679" s="13"/>
    </row>
    <row r="680" spans="1:4" ht="13" x14ac:dyDescent="0.15">
      <c r="A680" s="10"/>
      <c r="B680" s="13"/>
      <c r="C680" s="13"/>
      <c r="D680" s="13"/>
    </row>
    <row r="681" spans="1:4" ht="13" x14ac:dyDescent="0.15">
      <c r="A681" s="10"/>
      <c r="B681" s="13"/>
      <c r="C681" s="13"/>
      <c r="D681" s="13"/>
    </row>
    <row r="682" spans="1:4" ht="13" x14ac:dyDescent="0.15">
      <c r="A682" s="10"/>
      <c r="B682" s="13"/>
      <c r="C682" s="13"/>
      <c r="D682" s="13"/>
    </row>
    <row r="683" spans="1:4" ht="13" x14ac:dyDescent="0.15">
      <c r="A683" s="10"/>
      <c r="B683" s="13"/>
      <c r="C683" s="13"/>
      <c r="D683" s="13"/>
    </row>
    <row r="684" spans="1:4" ht="13" x14ac:dyDescent="0.15">
      <c r="A684" s="10"/>
      <c r="B684" s="13"/>
      <c r="C684" s="13"/>
      <c r="D684" s="13"/>
    </row>
    <row r="685" spans="1:4" ht="13" x14ac:dyDescent="0.15">
      <c r="A685" s="10"/>
      <c r="B685" s="13"/>
      <c r="C685" s="13"/>
      <c r="D685" s="13"/>
    </row>
    <row r="686" spans="1:4" ht="13" x14ac:dyDescent="0.15">
      <c r="A686" s="10"/>
      <c r="B686" s="13"/>
      <c r="C686" s="13"/>
      <c r="D686" s="13"/>
    </row>
    <row r="687" spans="1:4" ht="13" x14ac:dyDescent="0.15">
      <c r="A687" s="10"/>
      <c r="B687" s="13"/>
      <c r="C687" s="13"/>
      <c r="D687" s="13"/>
    </row>
    <row r="688" spans="1:4" ht="13" x14ac:dyDescent="0.15">
      <c r="A688" s="10"/>
      <c r="B688" s="13"/>
      <c r="C688" s="13"/>
      <c r="D688" s="13"/>
    </row>
    <row r="689" spans="1:4" ht="13" x14ac:dyDescent="0.15">
      <c r="A689" s="10"/>
      <c r="B689" s="13"/>
      <c r="C689" s="13"/>
      <c r="D689" s="13"/>
    </row>
    <row r="690" spans="1:4" ht="13" x14ac:dyDescent="0.15">
      <c r="A690" s="10"/>
      <c r="B690" s="13"/>
      <c r="C690" s="13"/>
      <c r="D690" s="13"/>
    </row>
    <row r="691" spans="1:4" ht="13" x14ac:dyDescent="0.15">
      <c r="A691" s="10"/>
      <c r="B691" s="13"/>
      <c r="C691" s="13"/>
      <c r="D691" s="13"/>
    </row>
    <row r="692" spans="1:4" ht="13" x14ac:dyDescent="0.15">
      <c r="A692" s="10"/>
      <c r="B692" s="13"/>
      <c r="C692" s="13"/>
      <c r="D692" s="13"/>
    </row>
    <row r="693" spans="1:4" ht="13" x14ac:dyDescent="0.15">
      <c r="A693" s="10"/>
      <c r="B693" s="13"/>
      <c r="C693" s="13"/>
      <c r="D693" s="13"/>
    </row>
    <row r="694" spans="1:4" ht="13" x14ac:dyDescent="0.15">
      <c r="A694" s="10"/>
      <c r="B694" s="13"/>
      <c r="C694" s="13"/>
      <c r="D694" s="13"/>
    </row>
    <row r="695" spans="1:4" ht="13" x14ac:dyDescent="0.15">
      <c r="A695" s="10"/>
      <c r="B695" s="13"/>
      <c r="C695" s="13"/>
      <c r="D695" s="13"/>
    </row>
    <row r="696" spans="1:4" ht="13" x14ac:dyDescent="0.15">
      <c r="A696" s="10"/>
      <c r="B696" s="13"/>
      <c r="C696" s="13"/>
      <c r="D696" s="13"/>
    </row>
    <row r="697" spans="1:4" ht="13" x14ac:dyDescent="0.15">
      <c r="A697" s="10"/>
      <c r="B697" s="13"/>
      <c r="C697" s="13"/>
      <c r="D697" s="13"/>
    </row>
    <row r="698" spans="1:4" ht="13" x14ac:dyDescent="0.15">
      <c r="A698" s="10"/>
      <c r="B698" s="13"/>
      <c r="C698" s="13"/>
      <c r="D698" s="13"/>
    </row>
    <row r="699" spans="1:4" ht="13" x14ac:dyDescent="0.15">
      <c r="A699" s="10"/>
      <c r="B699" s="13"/>
      <c r="C699" s="13"/>
      <c r="D699" s="13"/>
    </row>
    <row r="700" spans="1:4" ht="13" x14ac:dyDescent="0.15">
      <c r="A700" s="10"/>
      <c r="B700" s="13"/>
      <c r="C700" s="13"/>
      <c r="D700" s="13"/>
    </row>
    <row r="701" spans="1:4" ht="13" x14ac:dyDescent="0.15">
      <c r="A701" s="10"/>
      <c r="B701" s="13"/>
      <c r="C701" s="13"/>
      <c r="D701" s="13"/>
    </row>
    <row r="702" spans="1:4" ht="13" x14ac:dyDescent="0.15">
      <c r="A702" s="10"/>
      <c r="B702" s="13"/>
      <c r="C702" s="13"/>
      <c r="D702" s="13"/>
    </row>
    <row r="703" spans="1:4" ht="13" x14ac:dyDescent="0.15">
      <c r="A703" s="10"/>
      <c r="B703" s="13"/>
      <c r="C703" s="13"/>
      <c r="D703" s="13"/>
    </row>
    <row r="704" spans="1:4" ht="13" x14ac:dyDescent="0.15">
      <c r="A704" s="10"/>
      <c r="B704" s="13"/>
      <c r="C704" s="13"/>
      <c r="D704" s="13"/>
    </row>
    <row r="705" spans="1:4" ht="13" x14ac:dyDescent="0.15">
      <c r="A705" s="10"/>
      <c r="B705" s="13"/>
      <c r="C705" s="13"/>
      <c r="D705" s="13"/>
    </row>
    <row r="706" spans="1:4" ht="13" x14ac:dyDescent="0.15">
      <c r="A706" s="10"/>
      <c r="B706" s="13"/>
      <c r="C706" s="13"/>
      <c r="D706" s="13"/>
    </row>
    <row r="707" spans="1:4" ht="13" x14ac:dyDescent="0.15">
      <c r="A707" s="10"/>
      <c r="B707" s="13"/>
      <c r="C707" s="13"/>
      <c r="D707" s="13"/>
    </row>
    <row r="708" spans="1:4" ht="13" x14ac:dyDescent="0.15">
      <c r="A708" s="10"/>
      <c r="B708" s="13"/>
      <c r="C708" s="13"/>
      <c r="D708" s="13"/>
    </row>
    <row r="709" spans="1:4" ht="13" x14ac:dyDescent="0.15">
      <c r="A709" s="10"/>
      <c r="B709" s="13"/>
      <c r="C709" s="13"/>
      <c r="D709" s="13"/>
    </row>
    <row r="710" spans="1:4" ht="13" x14ac:dyDescent="0.15">
      <c r="A710" s="10"/>
      <c r="B710" s="13"/>
      <c r="C710" s="13"/>
      <c r="D710" s="13"/>
    </row>
    <row r="711" spans="1:4" ht="13" x14ac:dyDescent="0.15">
      <c r="A711" s="10"/>
      <c r="B711" s="13"/>
      <c r="C711" s="13"/>
      <c r="D711" s="13"/>
    </row>
    <row r="712" spans="1:4" ht="13" x14ac:dyDescent="0.15">
      <c r="A712" s="10"/>
      <c r="B712" s="13"/>
      <c r="C712" s="13"/>
      <c r="D712" s="13"/>
    </row>
    <row r="713" spans="1:4" ht="13" x14ac:dyDescent="0.15">
      <c r="A713" s="10"/>
      <c r="B713" s="13"/>
      <c r="C713" s="13"/>
      <c r="D713" s="13"/>
    </row>
    <row r="714" spans="1:4" ht="13" x14ac:dyDescent="0.15">
      <c r="A714" s="10"/>
      <c r="B714" s="13"/>
      <c r="C714" s="13"/>
      <c r="D714" s="13"/>
    </row>
    <row r="715" spans="1:4" ht="13" x14ac:dyDescent="0.15">
      <c r="A715" s="10"/>
      <c r="B715" s="13"/>
      <c r="C715" s="13"/>
      <c r="D715" s="13"/>
    </row>
    <row r="716" spans="1:4" ht="13" x14ac:dyDescent="0.15">
      <c r="A716" s="10"/>
      <c r="B716" s="13"/>
      <c r="C716" s="13"/>
      <c r="D716" s="13"/>
    </row>
    <row r="717" spans="1:4" ht="13" x14ac:dyDescent="0.15">
      <c r="A717" s="10"/>
      <c r="B717" s="13"/>
      <c r="C717" s="13"/>
      <c r="D717" s="13"/>
    </row>
    <row r="718" spans="1:4" ht="13" x14ac:dyDescent="0.15">
      <c r="A718" s="10"/>
      <c r="B718" s="13"/>
      <c r="C718" s="13"/>
      <c r="D718" s="13"/>
    </row>
    <row r="719" spans="1:4" ht="13" x14ac:dyDescent="0.15">
      <c r="A719" s="10"/>
      <c r="B719" s="13"/>
      <c r="C719" s="13"/>
      <c r="D719" s="13"/>
    </row>
    <row r="720" spans="1:4" ht="13" x14ac:dyDescent="0.15">
      <c r="A720" s="10"/>
      <c r="B720" s="13"/>
      <c r="C720" s="13"/>
      <c r="D720" s="13"/>
    </row>
    <row r="721" spans="1:4" ht="13" x14ac:dyDescent="0.15">
      <c r="A721" s="10"/>
      <c r="B721" s="13"/>
      <c r="C721" s="13"/>
      <c r="D721" s="13"/>
    </row>
    <row r="722" spans="1:4" ht="13" x14ac:dyDescent="0.15">
      <c r="A722" s="10"/>
      <c r="B722" s="13"/>
      <c r="C722" s="13"/>
      <c r="D722" s="13"/>
    </row>
    <row r="723" spans="1:4" ht="13" x14ac:dyDescent="0.15">
      <c r="A723" s="10"/>
      <c r="B723" s="13"/>
      <c r="C723" s="13"/>
      <c r="D723" s="13"/>
    </row>
    <row r="724" spans="1:4" ht="13" x14ac:dyDescent="0.15">
      <c r="A724" s="10"/>
      <c r="B724" s="13"/>
      <c r="C724" s="13"/>
      <c r="D724" s="13"/>
    </row>
    <row r="725" spans="1:4" ht="13" x14ac:dyDescent="0.15">
      <c r="A725" s="10"/>
      <c r="B725" s="13"/>
      <c r="C725" s="13"/>
      <c r="D725" s="13"/>
    </row>
    <row r="726" spans="1:4" ht="13" x14ac:dyDescent="0.15">
      <c r="A726" s="10"/>
      <c r="B726" s="13"/>
      <c r="C726" s="13"/>
      <c r="D726" s="13"/>
    </row>
    <row r="727" spans="1:4" ht="13" x14ac:dyDescent="0.15">
      <c r="A727" s="10"/>
      <c r="B727" s="13"/>
      <c r="C727" s="13"/>
      <c r="D727" s="13"/>
    </row>
    <row r="728" spans="1:4" ht="13" x14ac:dyDescent="0.15">
      <c r="A728" s="10"/>
      <c r="B728" s="13"/>
      <c r="C728" s="13"/>
      <c r="D728" s="13"/>
    </row>
    <row r="729" spans="1:4" ht="13" x14ac:dyDescent="0.15">
      <c r="A729" s="10"/>
      <c r="B729" s="13"/>
      <c r="C729" s="13"/>
      <c r="D729" s="13"/>
    </row>
    <row r="730" spans="1:4" ht="13" x14ac:dyDescent="0.15">
      <c r="A730" s="10"/>
      <c r="B730" s="13"/>
      <c r="C730" s="13"/>
      <c r="D730" s="13"/>
    </row>
    <row r="731" spans="1:4" ht="13" x14ac:dyDescent="0.15">
      <c r="A731" s="10"/>
      <c r="B731" s="13"/>
      <c r="C731" s="13"/>
      <c r="D731" s="13"/>
    </row>
    <row r="732" spans="1:4" ht="13" x14ac:dyDescent="0.15">
      <c r="A732" s="10"/>
      <c r="B732" s="13"/>
      <c r="C732" s="13"/>
      <c r="D732" s="13"/>
    </row>
    <row r="733" spans="1:4" ht="13" x14ac:dyDescent="0.15">
      <c r="A733" s="10"/>
      <c r="B733" s="13"/>
      <c r="C733" s="13"/>
      <c r="D733" s="13"/>
    </row>
    <row r="734" spans="1:4" ht="13" x14ac:dyDescent="0.15">
      <c r="A734" s="10"/>
      <c r="B734" s="13"/>
      <c r="C734" s="13"/>
      <c r="D734" s="13"/>
    </row>
    <row r="735" spans="1:4" ht="13" x14ac:dyDescent="0.15">
      <c r="A735" s="10"/>
      <c r="B735" s="13"/>
      <c r="C735" s="13"/>
      <c r="D735" s="13"/>
    </row>
    <row r="736" spans="1:4" ht="13" x14ac:dyDescent="0.15">
      <c r="A736" s="10"/>
      <c r="B736" s="13"/>
      <c r="C736" s="13"/>
      <c r="D736" s="13"/>
    </row>
    <row r="737" spans="1:4" ht="13" x14ac:dyDescent="0.15">
      <c r="A737" s="10"/>
      <c r="B737" s="13"/>
      <c r="C737" s="13"/>
      <c r="D737" s="13"/>
    </row>
    <row r="738" spans="1:4" ht="13" x14ac:dyDescent="0.15">
      <c r="A738" s="10"/>
      <c r="B738" s="13"/>
      <c r="C738" s="13"/>
      <c r="D738" s="13"/>
    </row>
    <row r="739" spans="1:4" ht="13" x14ac:dyDescent="0.15">
      <c r="A739" s="10"/>
      <c r="B739" s="13"/>
      <c r="C739" s="13"/>
      <c r="D739" s="13"/>
    </row>
    <row r="740" spans="1:4" ht="13" x14ac:dyDescent="0.15">
      <c r="A740" s="10"/>
      <c r="B740" s="13"/>
      <c r="C740" s="13"/>
      <c r="D740" s="13"/>
    </row>
    <row r="741" spans="1:4" ht="13" x14ac:dyDescent="0.15">
      <c r="A741" s="10"/>
      <c r="B741" s="13"/>
      <c r="C741" s="13"/>
      <c r="D741" s="13"/>
    </row>
    <row r="742" spans="1:4" ht="13" x14ac:dyDescent="0.15">
      <c r="A742" s="10"/>
      <c r="B742" s="13"/>
      <c r="C742" s="13"/>
      <c r="D742" s="13"/>
    </row>
    <row r="743" spans="1:4" ht="13" x14ac:dyDescent="0.15">
      <c r="A743" s="10"/>
      <c r="B743" s="13"/>
      <c r="C743" s="13"/>
      <c r="D743" s="13"/>
    </row>
    <row r="744" spans="1:4" ht="13" x14ac:dyDescent="0.15">
      <c r="A744" s="10"/>
      <c r="B744" s="13"/>
      <c r="C744" s="13"/>
      <c r="D744" s="13"/>
    </row>
    <row r="745" spans="1:4" ht="13" x14ac:dyDescent="0.15">
      <c r="A745" s="10"/>
      <c r="B745" s="13"/>
      <c r="C745" s="13"/>
      <c r="D745" s="13"/>
    </row>
    <row r="746" spans="1:4" ht="13" x14ac:dyDescent="0.15">
      <c r="A746" s="10"/>
      <c r="B746" s="13"/>
      <c r="C746" s="13"/>
      <c r="D746" s="13"/>
    </row>
    <row r="747" spans="1:4" ht="13" x14ac:dyDescent="0.15">
      <c r="A747" s="10"/>
      <c r="B747" s="13"/>
      <c r="C747" s="13"/>
      <c r="D747" s="13"/>
    </row>
    <row r="748" spans="1:4" ht="13" x14ac:dyDescent="0.15">
      <c r="A748" s="10"/>
      <c r="B748" s="13"/>
      <c r="C748" s="13"/>
      <c r="D748" s="13"/>
    </row>
    <row r="749" spans="1:4" ht="13" x14ac:dyDescent="0.15">
      <c r="A749" s="10"/>
      <c r="B749" s="13"/>
      <c r="C749" s="13"/>
      <c r="D749" s="13"/>
    </row>
    <row r="750" spans="1:4" ht="13" x14ac:dyDescent="0.15">
      <c r="A750" s="10"/>
      <c r="B750" s="13"/>
      <c r="C750" s="13"/>
      <c r="D750" s="13"/>
    </row>
    <row r="751" spans="1:4" ht="13" x14ac:dyDescent="0.15">
      <c r="A751" s="10"/>
      <c r="B751" s="13"/>
      <c r="C751" s="13"/>
      <c r="D751" s="13"/>
    </row>
    <row r="752" spans="1:4" ht="13" x14ac:dyDescent="0.15">
      <c r="A752" s="10"/>
      <c r="B752" s="13"/>
      <c r="C752" s="13"/>
      <c r="D752" s="13"/>
    </row>
    <row r="753" spans="1:4" ht="13" x14ac:dyDescent="0.15">
      <c r="A753" s="10"/>
      <c r="B753" s="13"/>
      <c r="C753" s="13"/>
      <c r="D753" s="13"/>
    </row>
    <row r="754" spans="1:4" ht="13" x14ac:dyDescent="0.15">
      <c r="A754" s="10"/>
      <c r="B754" s="13"/>
      <c r="C754" s="13"/>
      <c r="D754" s="13"/>
    </row>
    <row r="755" spans="1:4" ht="13" x14ac:dyDescent="0.15">
      <c r="A755" s="10"/>
      <c r="B755" s="13"/>
      <c r="C755" s="13"/>
      <c r="D755" s="13"/>
    </row>
    <row r="756" spans="1:4" ht="13" x14ac:dyDescent="0.15">
      <c r="A756" s="10"/>
      <c r="B756" s="13"/>
      <c r="C756" s="13"/>
      <c r="D756" s="13"/>
    </row>
    <row r="757" spans="1:4" ht="13" x14ac:dyDescent="0.15">
      <c r="A757" s="10"/>
      <c r="B757" s="13"/>
      <c r="C757" s="13"/>
      <c r="D757" s="13"/>
    </row>
    <row r="758" spans="1:4" ht="13" x14ac:dyDescent="0.15">
      <c r="A758" s="10"/>
      <c r="B758" s="13"/>
      <c r="C758" s="13"/>
      <c r="D758" s="13"/>
    </row>
    <row r="759" spans="1:4" ht="13" x14ac:dyDescent="0.15">
      <c r="A759" s="10"/>
      <c r="B759" s="13"/>
      <c r="C759" s="13"/>
      <c r="D759" s="13"/>
    </row>
    <row r="760" spans="1:4" ht="13" x14ac:dyDescent="0.15">
      <c r="A760" s="10"/>
      <c r="B760" s="13"/>
      <c r="C760" s="13"/>
      <c r="D760" s="13"/>
    </row>
    <row r="761" spans="1:4" ht="13" x14ac:dyDescent="0.15">
      <c r="A761" s="10"/>
      <c r="B761" s="13"/>
      <c r="C761" s="13"/>
      <c r="D761" s="13"/>
    </row>
    <row r="762" spans="1:4" ht="13" x14ac:dyDescent="0.15">
      <c r="A762" s="10"/>
      <c r="B762" s="13"/>
      <c r="C762" s="13"/>
      <c r="D762" s="13"/>
    </row>
    <row r="763" spans="1:4" ht="13" x14ac:dyDescent="0.15">
      <c r="A763" s="10"/>
      <c r="B763" s="13"/>
      <c r="C763" s="13"/>
      <c r="D763" s="13"/>
    </row>
    <row r="764" spans="1:4" ht="13" x14ac:dyDescent="0.15">
      <c r="A764" s="10"/>
      <c r="B764" s="13"/>
      <c r="C764" s="13"/>
      <c r="D764" s="13"/>
    </row>
    <row r="765" spans="1:4" ht="13" x14ac:dyDescent="0.15">
      <c r="A765" s="10"/>
      <c r="B765" s="13"/>
      <c r="C765" s="13"/>
      <c r="D765" s="13"/>
    </row>
    <row r="766" spans="1:4" ht="13" x14ac:dyDescent="0.15">
      <c r="A766" s="10"/>
      <c r="B766" s="13"/>
      <c r="C766" s="13"/>
      <c r="D766" s="13"/>
    </row>
    <row r="767" spans="1:4" ht="13" x14ac:dyDescent="0.15">
      <c r="A767" s="10"/>
      <c r="B767" s="13"/>
      <c r="C767" s="13"/>
      <c r="D767" s="13"/>
    </row>
    <row r="768" spans="1:4" ht="13" x14ac:dyDescent="0.15">
      <c r="A768" s="10"/>
      <c r="B768" s="13"/>
      <c r="C768" s="13"/>
      <c r="D768" s="13"/>
    </row>
    <row r="769" spans="1:4" ht="13" x14ac:dyDescent="0.15">
      <c r="A769" s="10"/>
      <c r="B769" s="13"/>
      <c r="C769" s="13"/>
      <c r="D769" s="13"/>
    </row>
    <row r="770" spans="1:4" ht="13" x14ac:dyDescent="0.15">
      <c r="A770" s="10"/>
      <c r="B770" s="13"/>
      <c r="C770" s="13"/>
      <c r="D770" s="13"/>
    </row>
    <row r="771" spans="1:4" ht="13" x14ac:dyDescent="0.15">
      <c r="A771" s="10"/>
      <c r="B771" s="13"/>
      <c r="C771" s="13"/>
      <c r="D771" s="13"/>
    </row>
    <row r="772" spans="1:4" ht="13" x14ac:dyDescent="0.15">
      <c r="A772" s="10"/>
      <c r="B772" s="13"/>
      <c r="C772" s="13"/>
      <c r="D772" s="13"/>
    </row>
    <row r="773" spans="1:4" ht="13" x14ac:dyDescent="0.15">
      <c r="A773" s="10"/>
      <c r="B773" s="13"/>
      <c r="C773" s="13"/>
      <c r="D773" s="13"/>
    </row>
    <row r="774" spans="1:4" ht="13" x14ac:dyDescent="0.15">
      <c r="A774" s="10"/>
      <c r="B774" s="13"/>
      <c r="C774" s="13"/>
      <c r="D774" s="13"/>
    </row>
    <row r="775" spans="1:4" ht="13" x14ac:dyDescent="0.15">
      <c r="A775" s="10"/>
      <c r="B775" s="13"/>
      <c r="C775" s="13"/>
      <c r="D775" s="13"/>
    </row>
    <row r="776" spans="1:4" ht="13" x14ac:dyDescent="0.15">
      <c r="A776" s="10"/>
      <c r="B776" s="13"/>
      <c r="C776" s="13"/>
      <c r="D776" s="13"/>
    </row>
    <row r="777" spans="1:4" ht="13" x14ac:dyDescent="0.15">
      <c r="A777" s="10"/>
      <c r="B777" s="13"/>
      <c r="C777" s="13"/>
      <c r="D777" s="13"/>
    </row>
    <row r="778" spans="1:4" ht="13" x14ac:dyDescent="0.15">
      <c r="A778" s="10"/>
      <c r="B778" s="13"/>
      <c r="C778" s="13"/>
      <c r="D778" s="13"/>
    </row>
    <row r="779" spans="1:4" ht="13" x14ac:dyDescent="0.15">
      <c r="A779" s="10"/>
      <c r="B779" s="13"/>
      <c r="C779" s="13"/>
      <c r="D779" s="13"/>
    </row>
    <row r="780" spans="1:4" ht="13" x14ac:dyDescent="0.15">
      <c r="A780" s="10"/>
      <c r="B780" s="13"/>
      <c r="C780" s="13"/>
      <c r="D780" s="13"/>
    </row>
    <row r="781" spans="1:4" ht="13" x14ac:dyDescent="0.15">
      <c r="A781" s="10"/>
      <c r="B781" s="13"/>
      <c r="C781" s="13"/>
      <c r="D781" s="13"/>
    </row>
    <row r="782" spans="1:4" ht="13" x14ac:dyDescent="0.15">
      <c r="A782" s="10"/>
      <c r="B782" s="13"/>
      <c r="C782" s="13"/>
      <c r="D782" s="13"/>
    </row>
    <row r="783" spans="1:4" ht="13" x14ac:dyDescent="0.15">
      <c r="A783" s="10"/>
      <c r="B783" s="13"/>
      <c r="C783" s="13"/>
      <c r="D783" s="13"/>
    </row>
    <row r="784" spans="1:4" ht="13" x14ac:dyDescent="0.15">
      <c r="A784" s="10"/>
      <c r="B784" s="13"/>
      <c r="C784" s="13"/>
      <c r="D784" s="13"/>
    </row>
    <row r="785" spans="1:4" ht="13" x14ac:dyDescent="0.15">
      <c r="A785" s="10"/>
      <c r="B785" s="13"/>
      <c r="C785" s="13"/>
      <c r="D785" s="13"/>
    </row>
    <row r="786" spans="1:4" ht="13" x14ac:dyDescent="0.15">
      <c r="A786" s="10"/>
      <c r="B786" s="13"/>
      <c r="C786" s="13"/>
      <c r="D786" s="13"/>
    </row>
    <row r="787" spans="1:4" ht="13" x14ac:dyDescent="0.15">
      <c r="A787" s="10"/>
      <c r="B787" s="13"/>
      <c r="C787" s="13"/>
      <c r="D787" s="13"/>
    </row>
    <row r="788" spans="1:4" ht="13" x14ac:dyDescent="0.15">
      <c r="A788" s="10"/>
      <c r="B788" s="13"/>
      <c r="C788" s="13"/>
      <c r="D788" s="13"/>
    </row>
    <row r="789" spans="1:4" ht="13" x14ac:dyDescent="0.15">
      <c r="A789" s="10"/>
      <c r="B789" s="13"/>
      <c r="C789" s="13"/>
      <c r="D789" s="13"/>
    </row>
    <row r="790" spans="1:4" ht="13" x14ac:dyDescent="0.15">
      <c r="A790" s="10"/>
      <c r="B790" s="13"/>
      <c r="C790" s="13"/>
      <c r="D790" s="13"/>
    </row>
    <row r="791" spans="1:4" ht="13" x14ac:dyDescent="0.15">
      <c r="A791" s="10"/>
      <c r="B791" s="13"/>
      <c r="C791" s="13"/>
      <c r="D791" s="13"/>
    </row>
    <row r="792" spans="1:4" ht="13" x14ac:dyDescent="0.15">
      <c r="A792" s="10"/>
      <c r="B792" s="13"/>
      <c r="C792" s="13"/>
      <c r="D792" s="13"/>
    </row>
    <row r="793" spans="1:4" ht="13" x14ac:dyDescent="0.15">
      <c r="A793" s="10"/>
      <c r="B793" s="13"/>
      <c r="C793" s="13"/>
      <c r="D793" s="13"/>
    </row>
    <row r="794" spans="1:4" ht="13" x14ac:dyDescent="0.15">
      <c r="A794" s="10"/>
      <c r="B794" s="13"/>
      <c r="C794" s="13"/>
      <c r="D794" s="13"/>
    </row>
    <row r="795" spans="1:4" ht="13" x14ac:dyDescent="0.15">
      <c r="A795" s="10"/>
      <c r="B795" s="13"/>
      <c r="C795" s="13"/>
      <c r="D795" s="13"/>
    </row>
    <row r="796" spans="1:4" ht="13" x14ac:dyDescent="0.15">
      <c r="A796" s="10"/>
      <c r="B796" s="13"/>
      <c r="C796" s="13"/>
      <c r="D796" s="13"/>
    </row>
    <row r="797" spans="1:4" ht="13" x14ac:dyDescent="0.15">
      <c r="A797" s="10"/>
      <c r="B797" s="13"/>
      <c r="C797" s="13"/>
      <c r="D797" s="13"/>
    </row>
    <row r="798" spans="1:4" ht="13" x14ac:dyDescent="0.15">
      <c r="A798" s="10"/>
      <c r="B798" s="13"/>
      <c r="C798" s="13"/>
      <c r="D798" s="13"/>
    </row>
    <row r="799" spans="1:4" ht="13" x14ac:dyDescent="0.15">
      <c r="A799" s="10"/>
      <c r="B799" s="13"/>
      <c r="C799" s="13"/>
      <c r="D799" s="13"/>
    </row>
    <row r="800" spans="1:4" ht="13" x14ac:dyDescent="0.15">
      <c r="A800" s="10"/>
      <c r="B800" s="13"/>
      <c r="C800" s="13"/>
      <c r="D800" s="13"/>
    </row>
    <row r="801" spans="1:4" ht="13" x14ac:dyDescent="0.15">
      <c r="A801" s="10"/>
      <c r="B801" s="13"/>
      <c r="C801" s="13"/>
      <c r="D801" s="13"/>
    </row>
    <row r="802" spans="1:4" ht="13" x14ac:dyDescent="0.15">
      <c r="A802" s="10"/>
      <c r="B802" s="13"/>
      <c r="C802" s="13"/>
      <c r="D802" s="13"/>
    </row>
    <row r="803" spans="1:4" ht="13" x14ac:dyDescent="0.15">
      <c r="A803" s="10"/>
      <c r="B803" s="13"/>
      <c r="C803" s="13"/>
      <c r="D803" s="13"/>
    </row>
    <row r="804" spans="1:4" ht="13" x14ac:dyDescent="0.15">
      <c r="A804" s="10"/>
      <c r="B804" s="13"/>
      <c r="C804" s="13"/>
      <c r="D804" s="13"/>
    </row>
    <row r="805" spans="1:4" ht="13" x14ac:dyDescent="0.15">
      <c r="A805" s="10"/>
      <c r="B805" s="13"/>
      <c r="C805" s="13"/>
      <c r="D805" s="13"/>
    </row>
    <row r="806" spans="1:4" ht="13" x14ac:dyDescent="0.15">
      <c r="A806" s="10"/>
      <c r="B806" s="13"/>
      <c r="C806" s="13"/>
      <c r="D806" s="13"/>
    </row>
    <row r="807" spans="1:4" ht="13" x14ac:dyDescent="0.15">
      <c r="A807" s="10"/>
      <c r="B807" s="13"/>
      <c r="C807" s="13"/>
      <c r="D807" s="13"/>
    </row>
    <row r="808" spans="1:4" ht="13" x14ac:dyDescent="0.15">
      <c r="A808" s="10"/>
      <c r="B808" s="13"/>
      <c r="C808" s="13"/>
      <c r="D808" s="13"/>
    </row>
    <row r="809" spans="1:4" ht="13" x14ac:dyDescent="0.15">
      <c r="A809" s="10"/>
      <c r="B809" s="13"/>
      <c r="C809" s="13"/>
      <c r="D809" s="13"/>
    </row>
    <row r="810" spans="1:4" ht="13" x14ac:dyDescent="0.15">
      <c r="A810" s="10"/>
      <c r="B810" s="13"/>
      <c r="C810" s="13"/>
      <c r="D810" s="13"/>
    </row>
    <row r="811" spans="1:4" ht="13" x14ac:dyDescent="0.15">
      <c r="A811" s="10"/>
      <c r="B811" s="13"/>
      <c r="C811" s="13"/>
      <c r="D811" s="13"/>
    </row>
    <row r="812" spans="1:4" ht="13" x14ac:dyDescent="0.15">
      <c r="A812" s="10"/>
      <c r="B812" s="13"/>
      <c r="C812" s="13"/>
      <c r="D812" s="13"/>
    </row>
    <row r="813" spans="1:4" ht="13" x14ac:dyDescent="0.15">
      <c r="A813" s="10"/>
      <c r="B813" s="13"/>
      <c r="C813" s="13"/>
      <c r="D813" s="13"/>
    </row>
    <row r="814" spans="1:4" ht="13" x14ac:dyDescent="0.15">
      <c r="A814" s="10"/>
      <c r="B814" s="13"/>
      <c r="C814" s="13"/>
      <c r="D814" s="13"/>
    </row>
    <row r="815" spans="1:4" ht="13" x14ac:dyDescent="0.15">
      <c r="A815" s="10"/>
      <c r="B815" s="13"/>
      <c r="C815" s="13"/>
      <c r="D815" s="13"/>
    </row>
    <row r="816" spans="1:4" ht="13" x14ac:dyDescent="0.15">
      <c r="A816" s="10"/>
      <c r="B816" s="13"/>
      <c r="C816" s="13"/>
      <c r="D816" s="13"/>
    </row>
    <row r="817" spans="1:4" ht="13" x14ac:dyDescent="0.15">
      <c r="A817" s="10"/>
      <c r="B817" s="13"/>
      <c r="C817" s="13"/>
      <c r="D817" s="13"/>
    </row>
    <row r="818" spans="1:4" ht="13" x14ac:dyDescent="0.15">
      <c r="A818" s="10"/>
      <c r="B818" s="13"/>
      <c r="C818" s="13"/>
      <c r="D818" s="13"/>
    </row>
    <row r="819" spans="1:4" ht="13" x14ac:dyDescent="0.15">
      <c r="A819" s="10"/>
      <c r="B819" s="13"/>
      <c r="C819" s="13"/>
      <c r="D819" s="13"/>
    </row>
    <row r="820" spans="1:4" ht="13" x14ac:dyDescent="0.15">
      <c r="A820" s="10"/>
      <c r="B820" s="13"/>
      <c r="C820" s="13"/>
      <c r="D820" s="13"/>
    </row>
    <row r="821" spans="1:4" ht="13" x14ac:dyDescent="0.15">
      <c r="A821" s="10"/>
      <c r="B821" s="13"/>
      <c r="C821" s="13"/>
      <c r="D821" s="13"/>
    </row>
    <row r="822" spans="1:4" ht="13" x14ac:dyDescent="0.15">
      <c r="A822" s="10"/>
      <c r="B822" s="13"/>
      <c r="C822" s="13"/>
      <c r="D822" s="13"/>
    </row>
    <row r="823" spans="1:4" ht="13" x14ac:dyDescent="0.15">
      <c r="A823" s="10"/>
      <c r="B823" s="13"/>
      <c r="C823" s="13"/>
      <c r="D823" s="13"/>
    </row>
    <row r="824" spans="1:4" ht="13" x14ac:dyDescent="0.15">
      <c r="A824" s="10"/>
      <c r="B824" s="13"/>
      <c r="C824" s="13"/>
      <c r="D824" s="13"/>
    </row>
    <row r="825" spans="1:4" ht="13" x14ac:dyDescent="0.15">
      <c r="A825" s="10"/>
      <c r="B825" s="13"/>
      <c r="C825" s="13"/>
      <c r="D825" s="13"/>
    </row>
    <row r="826" spans="1:4" ht="13" x14ac:dyDescent="0.15">
      <c r="A826" s="10"/>
      <c r="B826" s="13"/>
      <c r="C826" s="13"/>
      <c r="D826" s="13"/>
    </row>
    <row r="827" spans="1:4" ht="13" x14ac:dyDescent="0.15">
      <c r="A827" s="10"/>
      <c r="B827" s="13"/>
      <c r="C827" s="13"/>
      <c r="D827" s="13"/>
    </row>
    <row r="828" spans="1:4" ht="13" x14ac:dyDescent="0.15">
      <c r="A828" s="10"/>
      <c r="B828" s="13"/>
      <c r="C828" s="13"/>
      <c r="D828" s="13"/>
    </row>
    <row r="829" spans="1:4" ht="13" x14ac:dyDescent="0.15">
      <c r="A829" s="10"/>
      <c r="B829" s="13"/>
      <c r="C829" s="13"/>
      <c r="D829" s="13"/>
    </row>
    <row r="830" spans="1:4" ht="13" x14ac:dyDescent="0.15">
      <c r="A830" s="10"/>
      <c r="B830" s="13"/>
      <c r="C830" s="13"/>
      <c r="D830" s="13"/>
    </row>
    <row r="831" spans="1:4" ht="13" x14ac:dyDescent="0.15">
      <c r="A831" s="10"/>
      <c r="B831" s="13"/>
      <c r="C831" s="13"/>
      <c r="D831" s="13"/>
    </row>
    <row r="832" spans="1:4" ht="13" x14ac:dyDescent="0.15">
      <c r="A832" s="10"/>
      <c r="B832" s="13"/>
      <c r="C832" s="13"/>
      <c r="D832" s="13"/>
    </row>
    <row r="833" spans="1:4" ht="13" x14ac:dyDescent="0.15">
      <c r="A833" s="10"/>
      <c r="B833" s="13"/>
      <c r="C833" s="13"/>
      <c r="D833" s="13"/>
    </row>
    <row r="834" spans="1:4" ht="13" x14ac:dyDescent="0.15">
      <c r="A834" s="10"/>
      <c r="B834" s="13"/>
      <c r="C834" s="13"/>
      <c r="D834" s="13"/>
    </row>
    <row r="835" spans="1:4" ht="13" x14ac:dyDescent="0.15">
      <c r="A835" s="10"/>
      <c r="B835" s="13"/>
      <c r="C835" s="13"/>
      <c r="D835" s="13"/>
    </row>
    <row r="836" spans="1:4" ht="13" x14ac:dyDescent="0.15">
      <c r="A836" s="10"/>
      <c r="B836" s="13"/>
      <c r="C836" s="13"/>
      <c r="D836" s="13"/>
    </row>
    <row r="837" spans="1:4" ht="13" x14ac:dyDescent="0.15">
      <c r="A837" s="10"/>
      <c r="B837" s="13"/>
      <c r="C837" s="13"/>
      <c r="D837" s="13"/>
    </row>
    <row r="838" spans="1:4" ht="13" x14ac:dyDescent="0.15">
      <c r="A838" s="10"/>
      <c r="B838" s="13"/>
      <c r="C838" s="13"/>
      <c r="D838" s="13"/>
    </row>
    <row r="839" spans="1:4" ht="13" x14ac:dyDescent="0.15">
      <c r="A839" s="10"/>
      <c r="B839" s="13"/>
      <c r="C839" s="13"/>
      <c r="D839" s="13"/>
    </row>
    <row r="840" spans="1:4" ht="13" x14ac:dyDescent="0.15">
      <c r="A840" s="10"/>
      <c r="B840" s="13"/>
      <c r="C840" s="13"/>
      <c r="D840" s="13"/>
    </row>
    <row r="841" spans="1:4" ht="13" x14ac:dyDescent="0.15">
      <c r="A841" s="10"/>
      <c r="B841" s="13"/>
      <c r="C841" s="13"/>
      <c r="D841" s="13"/>
    </row>
    <row r="842" spans="1:4" ht="13" x14ac:dyDescent="0.15">
      <c r="A842" s="10"/>
      <c r="B842" s="13"/>
      <c r="C842" s="13"/>
      <c r="D842" s="13"/>
    </row>
    <row r="843" spans="1:4" ht="13" x14ac:dyDescent="0.15">
      <c r="A843" s="10"/>
      <c r="B843" s="13"/>
      <c r="C843" s="13"/>
      <c r="D843" s="13"/>
    </row>
    <row r="844" spans="1:4" ht="13" x14ac:dyDescent="0.15">
      <c r="A844" s="10"/>
      <c r="B844" s="13"/>
      <c r="C844" s="13"/>
      <c r="D844" s="13"/>
    </row>
    <row r="845" spans="1:4" ht="13" x14ac:dyDescent="0.15">
      <c r="A845" s="10"/>
      <c r="B845" s="13"/>
      <c r="C845" s="13"/>
      <c r="D845" s="13"/>
    </row>
    <row r="846" spans="1:4" ht="13" x14ac:dyDescent="0.15">
      <c r="A846" s="10"/>
      <c r="B846" s="13"/>
      <c r="C846" s="13"/>
      <c r="D846" s="13"/>
    </row>
    <row r="847" spans="1:4" ht="13" x14ac:dyDescent="0.15">
      <c r="A847" s="10"/>
      <c r="B847" s="13"/>
      <c r="C847" s="13"/>
      <c r="D847" s="13"/>
    </row>
    <row r="848" spans="1:4" ht="13" x14ac:dyDescent="0.15">
      <c r="A848" s="10"/>
      <c r="B848" s="13"/>
      <c r="C848" s="13"/>
      <c r="D848" s="13"/>
    </row>
    <row r="849" spans="1:4" ht="13" x14ac:dyDescent="0.15">
      <c r="A849" s="10"/>
      <c r="B849" s="13"/>
      <c r="C849" s="13"/>
      <c r="D849" s="13"/>
    </row>
    <row r="850" spans="1:4" ht="13" x14ac:dyDescent="0.15">
      <c r="A850" s="10"/>
      <c r="B850" s="13"/>
      <c r="C850" s="13"/>
      <c r="D850" s="13"/>
    </row>
    <row r="851" spans="1:4" ht="13" x14ac:dyDescent="0.15">
      <c r="A851" s="10"/>
      <c r="B851" s="13"/>
      <c r="C851" s="13"/>
      <c r="D851" s="13"/>
    </row>
    <row r="852" spans="1:4" ht="13" x14ac:dyDescent="0.15">
      <c r="A852" s="10"/>
      <c r="B852" s="13"/>
      <c r="C852" s="13"/>
      <c r="D852" s="13"/>
    </row>
    <row r="853" spans="1:4" ht="13" x14ac:dyDescent="0.15">
      <c r="A853" s="10"/>
      <c r="B853" s="13"/>
      <c r="C853" s="13"/>
      <c r="D853" s="13"/>
    </row>
    <row r="854" spans="1:4" ht="13" x14ac:dyDescent="0.15">
      <c r="A854" s="10"/>
      <c r="B854" s="13"/>
      <c r="C854" s="13"/>
      <c r="D854" s="13"/>
    </row>
    <row r="855" spans="1:4" ht="13" x14ac:dyDescent="0.15">
      <c r="A855" s="10"/>
      <c r="B855" s="13"/>
      <c r="C855" s="13"/>
      <c r="D855" s="13"/>
    </row>
    <row r="856" spans="1:4" ht="13" x14ac:dyDescent="0.15">
      <c r="A856" s="10"/>
      <c r="B856" s="13"/>
      <c r="C856" s="13"/>
      <c r="D856" s="13"/>
    </row>
    <row r="857" spans="1:4" ht="13" x14ac:dyDescent="0.15">
      <c r="A857" s="10"/>
      <c r="B857" s="13"/>
      <c r="C857" s="13"/>
      <c r="D857" s="13"/>
    </row>
    <row r="858" spans="1:4" ht="13" x14ac:dyDescent="0.15">
      <c r="A858" s="10"/>
      <c r="B858" s="13"/>
      <c r="C858" s="13"/>
      <c r="D858" s="13"/>
    </row>
    <row r="859" spans="1:4" ht="13" x14ac:dyDescent="0.15">
      <c r="A859" s="10"/>
      <c r="B859" s="13"/>
      <c r="C859" s="13"/>
      <c r="D859" s="13"/>
    </row>
    <row r="860" spans="1:4" ht="13" x14ac:dyDescent="0.15">
      <c r="A860" s="10"/>
      <c r="B860" s="13"/>
      <c r="C860" s="13"/>
      <c r="D860" s="13"/>
    </row>
    <row r="861" spans="1:4" ht="13" x14ac:dyDescent="0.15">
      <c r="A861" s="10"/>
      <c r="B861" s="13"/>
      <c r="C861" s="13"/>
      <c r="D861" s="13"/>
    </row>
    <row r="862" spans="1:4" ht="13" x14ac:dyDescent="0.15">
      <c r="A862" s="10"/>
      <c r="B862" s="13"/>
      <c r="C862" s="13"/>
      <c r="D862" s="13"/>
    </row>
    <row r="863" spans="1:4" ht="13" x14ac:dyDescent="0.15">
      <c r="A863" s="10"/>
      <c r="B863" s="13"/>
      <c r="C863" s="13"/>
      <c r="D863" s="13"/>
    </row>
    <row r="864" spans="1:4" ht="13" x14ac:dyDescent="0.15">
      <c r="A864" s="10"/>
      <c r="B864" s="13"/>
      <c r="C864" s="13"/>
      <c r="D864" s="13"/>
    </row>
    <row r="865" spans="1:4" ht="13" x14ac:dyDescent="0.15">
      <c r="A865" s="10"/>
      <c r="B865" s="13"/>
      <c r="C865" s="13"/>
      <c r="D865" s="13"/>
    </row>
    <row r="866" spans="1:4" ht="13" x14ac:dyDescent="0.15">
      <c r="A866" s="10"/>
      <c r="B866" s="13"/>
      <c r="C866" s="13"/>
      <c r="D866" s="13"/>
    </row>
    <row r="867" spans="1:4" ht="13" x14ac:dyDescent="0.15">
      <c r="A867" s="10"/>
      <c r="B867" s="13"/>
      <c r="C867" s="13"/>
      <c r="D867" s="13"/>
    </row>
    <row r="868" spans="1:4" ht="13" x14ac:dyDescent="0.15">
      <c r="A868" s="10"/>
      <c r="B868" s="13"/>
      <c r="C868" s="13"/>
      <c r="D868" s="13"/>
    </row>
    <row r="869" spans="1:4" ht="13" x14ac:dyDescent="0.15">
      <c r="A869" s="10"/>
      <c r="B869" s="13"/>
      <c r="C869" s="13"/>
      <c r="D869" s="13"/>
    </row>
    <row r="870" spans="1:4" ht="13" x14ac:dyDescent="0.15">
      <c r="A870" s="10"/>
      <c r="B870" s="13"/>
      <c r="C870" s="13"/>
      <c r="D870" s="13"/>
    </row>
    <row r="871" spans="1:4" ht="13" x14ac:dyDescent="0.15">
      <c r="A871" s="10"/>
      <c r="B871" s="13"/>
      <c r="C871" s="13"/>
      <c r="D871" s="13"/>
    </row>
    <row r="872" spans="1:4" ht="13" x14ac:dyDescent="0.15">
      <c r="A872" s="10"/>
      <c r="B872" s="13"/>
      <c r="C872" s="13"/>
      <c r="D872" s="13"/>
    </row>
    <row r="873" spans="1:4" ht="13" x14ac:dyDescent="0.15">
      <c r="A873" s="10"/>
      <c r="B873" s="13"/>
      <c r="C873" s="13"/>
      <c r="D873" s="13"/>
    </row>
    <row r="874" spans="1:4" ht="13" x14ac:dyDescent="0.15">
      <c r="A874" s="10"/>
      <c r="B874" s="13"/>
      <c r="C874" s="13"/>
      <c r="D874" s="13"/>
    </row>
    <row r="875" spans="1:4" ht="13" x14ac:dyDescent="0.15">
      <c r="A875" s="10"/>
      <c r="B875" s="13"/>
      <c r="C875" s="13"/>
      <c r="D875" s="13"/>
    </row>
    <row r="876" spans="1:4" ht="13" x14ac:dyDescent="0.15">
      <c r="A876" s="10"/>
      <c r="B876" s="13"/>
      <c r="C876" s="13"/>
      <c r="D876" s="13"/>
    </row>
    <row r="877" spans="1:4" ht="13" x14ac:dyDescent="0.15">
      <c r="A877" s="10"/>
      <c r="B877" s="13"/>
      <c r="C877" s="13"/>
      <c r="D877" s="13"/>
    </row>
    <row r="878" spans="1:4" ht="13" x14ac:dyDescent="0.15">
      <c r="A878" s="10"/>
      <c r="B878" s="13"/>
      <c r="C878" s="13"/>
      <c r="D878" s="13"/>
    </row>
    <row r="879" spans="1:4" ht="13" x14ac:dyDescent="0.15">
      <c r="A879" s="10"/>
      <c r="B879" s="13"/>
      <c r="C879" s="13"/>
      <c r="D879" s="13"/>
    </row>
    <row r="880" spans="1:4" ht="13" x14ac:dyDescent="0.15">
      <c r="A880" s="10"/>
      <c r="B880" s="13"/>
      <c r="C880" s="13"/>
      <c r="D880" s="13"/>
    </row>
    <row r="881" spans="1:4" ht="13" x14ac:dyDescent="0.15">
      <c r="A881" s="10"/>
      <c r="B881" s="13"/>
      <c r="C881" s="13"/>
      <c r="D881" s="13"/>
    </row>
    <row r="882" spans="1:4" ht="13" x14ac:dyDescent="0.15">
      <c r="A882" s="10"/>
      <c r="B882" s="13"/>
      <c r="C882" s="13"/>
      <c r="D882" s="13"/>
    </row>
    <row r="883" spans="1:4" ht="13" x14ac:dyDescent="0.15">
      <c r="A883" s="10"/>
      <c r="B883" s="13"/>
      <c r="C883" s="13"/>
      <c r="D883" s="13"/>
    </row>
    <row r="884" spans="1:4" ht="13" x14ac:dyDescent="0.15">
      <c r="A884" s="10"/>
      <c r="B884" s="13"/>
      <c r="C884" s="13"/>
      <c r="D884" s="13"/>
    </row>
    <row r="885" spans="1:4" ht="13" x14ac:dyDescent="0.15">
      <c r="A885" s="10"/>
      <c r="B885" s="13"/>
      <c r="C885" s="13"/>
      <c r="D885" s="13"/>
    </row>
    <row r="886" spans="1:4" ht="13" x14ac:dyDescent="0.15">
      <c r="A886" s="10"/>
      <c r="B886" s="13"/>
      <c r="C886" s="13"/>
      <c r="D886" s="13"/>
    </row>
    <row r="887" spans="1:4" ht="13" x14ac:dyDescent="0.15">
      <c r="A887" s="10"/>
      <c r="B887" s="13"/>
      <c r="C887" s="13"/>
      <c r="D887" s="13"/>
    </row>
    <row r="888" spans="1:4" ht="13" x14ac:dyDescent="0.15">
      <c r="A888" s="10"/>
      <c r="B888" s="13"/>
      <c r="C888" s="13"/>
      <c r="D888" s="13"/>
    </row>
    <row r="889" spans="1:4" ht="13" x14ac:dyDescent="0.15">
      <c r="A889" s="10"/>
      <c r="B889" s="13"/>
      <c r="C889" s="13"/>
      <c r="D889" s="13"/>
    </row>
    <row r="890" spans="1:4" ht="13" x14ac:dyDescent="0.15">
      <c r="A890" s="10"/>
      <c r="B890" s="13"/>
      <c r="C890" s="13"/>
      <c r="D890" s="13"/>
    </row>
    <row r="891" spans="1:4" ht="13" x14ac:dyDescent="0.15">
      <c r="A891" s="10"/>
      <c r="B891" s="13"/>
      <c r="C891" s="13"/>
      <c r="D891" s="13"/>
    </row>
    <row r="892" spans="1:4" ht="13" x14ac:dyDescent="0.15">
      <c r="A892" s="10"/>
      <c r="B892" s="13"/>
      <c r="C892" s="13"/>
      <c r="D892" s="13"/>
    </row>
    <row r="893" spans="1:4" ht="13" x14ac:dyDescent="0.15">
      <c r="A893" s="10"/>
      <c r="B893" s="13"/>
      <c r="C893" s="13"/>
      <c r="D893" s="13"/>
    </row>
    <row r="894" spans="1:4" ht="13" x14ac:dyDescent="0.15">
      <c r="A894" s="10"/>
      <c r="B894" s="13"/>
      <c r="C894" s="13"/>
      <c r="D894" s="13"/>
    </row>
    <row r="895" spans="1:4" ht="13" x14ac:dyDescent="0.15">
      <c r="A895" s="10"/>
      <c r="B895" s="13"/>
      <c r="C895" s="13"/>
      <c r="D895" s="13"/>
    </row>
    <row r="896" spans="1:4" ht="13" x14ac:dyDescent="0.15">
      <c r="A896" s="10"/>
      <c r="B896" s="13"/>
      <c r="C896" s="13"/>
      <c r="D896" s="13"/>
    </row>
    <row r="897" spans="1:4" ht="13" x14ac:dyDescent="0.15">
      <c r="A897" s="10"/>
      <c r="B897" s="13"/>
      <c r="C897" s="13"/>
      <c r="D897" s="13"/>
    </row>
    <row r="898" spans="1:4" ht="13" x14ac:dyDescent="0.15">
      <c r="A898" s="10"/>
      <c r="B898" s="13"/>
      <c r="C898" s="13"/>
      <c r="D898" s="13"/>
    </row>
    <row r="899" spans="1:4" ht="13" x14ac:dyDescent="0.15">
      <c r="A899" s="10"/>
      <c r="B899" s="13"/>
      <c r="C899" s="13"/>
      <c r="D899" s="13"/>
    </row>
    <row r="900" spans="1:4" ht="13" x14ac:dyDescent="0.15">
      <c r="A900" s="10"/>
      <c r="B900" s="13"/>
      <c r="C900" s="13"/>
      <c r="D900" s="13"/>
    </row>
    <row r="901" spans="1:4" ht="13" x14ac:dyDescent="0.15">
      <c r="A901" s="10"/>
      <c r="B901" s="13"/>
      <c r="C901" s="13"/>
      <c r="D901" s="13"/>
    </row>
    <row r="902" spans="1:4" ht="13" x14ac:dyDescent="0.15">
      <c r="A902" s="10"/>
      <c r="B902" s="13"/>
      <c r="C902" s="13"/>
      <c r="D902" s="13"/>
    </row>
    <row r="903" spans="1:4" ht="13" x14ac:dyDescent="0.15">
      <c r="A903" s="10"/>
      <c r="B903" s="13"/>
      <c r="C903" s="13"/>
      <c r="D903" s="13"/>
    </row>
    <row r="904" spans="1:4" ht="13" x14ac:dyDescent="0.15">
      <c r="A904" s="10"/>
      <c r="B904" s="13"/>
      <c r="C904" s="13"/>
      <c r="D904" s="13"/>
    </row>
    <row r="905" spans="1:4" ht="13" x14ac:dyDescent="0.15">
      <c r="A905" s="10"/>
      <c r="B905" s="13"/>
      <c r="C905" s="13"/>
      <c r="D905" s="13"/>
    </row>
    <row r="906" spans="1:4" ht="13" x14ac:dyDescent="0.15">
      <c r="A906" s="10"/>
      <c r="B906" s="13"/>
      <c r="C906" s="13"/>
      <c r="D906" s="13"/>
    </row>
    <row r="907" spans="1:4" ht="13" x14ac:dyDescent="0.15">
      <c r="A907" s="10"/>
      <c r="B907" s="13"/>
      <c r="C907" s="13"/>
      <c r="D907" s="13"/>
    </row>
    <row r="908" spans="1:4" ht="13" x14ac:dyDescent="0.15">
      <c r="A908" s="10"/>
      <c r="B908" s="13"/>
      <c r="C908" s="13"/>
      <c r="D908" s="13"/>
    </row>
    <row r="909" spans="1:4" ht="13" x14ac:dyDescent="0.15">
      <c r="A909" s="10"/>
      <c r="B909" s="13"/>
      <c r="C909" s="13"/>
      <c r="D909" s="13"/>
    </row>
    <row r="910" spans="1:4" ht="13" x14ac:dyDescent="0.15">
      <c r="A910" s="10"/>
      <c r="B910" s="13"/>
      <c r="C910" s="13"/>
      <c r="D910" s="13"/>
    </row>
    <row r="911" spans="1:4" ht="13" x14ac:dyDescent="0.15">
      <c r="A911" s="10"/>
      <c r="B911" s="13"/>
      <c r="C911" s="13"/>
      <c r="D911" s="13"/>
    </row>
    <row r="912" spans="1:4" ht="13" x14ac:dyDescent="0.15">
      <c r="A912" s="10"/>
      <c r="B912" s="13"/>
      <c r="C912" s="13"/>
      <c r="D912" s="13"/>
    </row>
    <row r="913" spans="1:4" ht="13" x14ac:dyDescent="0.15">
      <c r="A913" s="10"/>
      <c r="B913" s="13"/>
      <c r="C913" s="13"/>
      <c r="D913" s="13"/>
    </row>
    <row r="914" spans="1:4" ht="13" x14ac:dyDescent="0.15">
      <c r="A914" s="10"/>
      <c r="B914" s="13"/>
      <c r="C914" s="13"/>
      <c r="D914" s="13"/>
    </row>
    <row r="915" spans="1:4" ht="13" x14ac:dyDescent="0.15">
      <c r="A915" s="10"/>
      <c r="B915" s="13"/>
      <c r="C915" s="13"/>
      <c r="D915" s="13"/>
    </row>
    <row r="916" spans="1:4" ht="13" x14ac:dyDescent="0.15">
      <c r="A916" s="10"/>
      <c r="B916" s="13"/>
      <c r="C916" s="13"/>
      <c r="D916" s="13"/>
    </row>
    <row r="917" spans="1:4" ht="13" x14ac:dyDescent="0.15">
      <c r="A917" s="10"/>
      <c r="B917" s="13"/>
      <c r="C917" s="13"/>
      <c r="D917" s="13"/>
    </row>
    <row r="918" spans="1:4" ht="13" x14ac:dyDescent="0.15">
      <c r="A918" s="10"/>
      <c r="B918" s="13"/>
      <c r="C918" s="13"/>
      <c r="D918" s="13"/>
    </row>
    <row r="919" spans="1:4" ht="13" x14ac:dyDescent="0.15">
      <c r="A919" s="10"/>
      <c r="B919" s="13"/>
      <c r="C919" s="13"/>
      <c r="D919" s="13"/>
    </row>
    <row r="920" spans="1:4" ht="13" x14ac:dyDescent="0.15">
      <c r="A920" s="10"/>
      <c r="B920" s="13"/>
      <c r="C920" s="13"/>
      <c r="D920" s="13"/>
    </row>
    <row r="921" spans="1:4" ht="13" x14ac:dyDescent="0.15">
      <c r="A921" s="10"/>
      <c r="B921" s="13"/>
      <c r="C921" s="13"/>
      <c r="D921" s="13"/>
    </row>
    <row r="922" spans="1:4" ht="13" x14ac:dyDescent="0.15">
      <c r="A922" s="10"/>
      <c r="B922" s="13"/>
      <c r="C922" s="13"/>
      <c r="D922" s="13"/>
    </row>
    <row r="923" spans="1:4" ht="13" x14ac:dyDescent="0.15">
      <c r="A923" s="10"/>
      <c r="B923" s="13"/>
      <c r="C923" s="13"/>
      <c r="D923" s="13"/>
    </row>
    <row r="924" spans="1:4" ht="13" x14ac:dyDescent="0.15">
      <c r="A924" s="10"/>
      <c r="B924" s="13"/>
      <c r="C924" s="13"/>
      <c r="D924" s="13"/>
    </row>
    <row r="925" spans="1:4" ht="13" x14ac:dyDescent="0.15">
      <c r="A925" s="10"/>
      <c r="B925" s="13"/>
      <c r="C925" s="13"/>
      <c r="D925" s="13"/>
    </row>
    <row r="926" spans="1:4" ht="13" x14ac:dyDescent="0.15">
      <c r="A926" s="10"/>
      <c r="B926" s="13"/>
      <c r="C926" s="13"/>
      <c r="D926" s="13"/>
    </row>
    <row r="927" spans="1:4" ht="13" x14ac:dyDescent="0.15">
      <c r="A927" s="10"/>
      <c r="B927" s="13"/>
      <c r="C927" s="13"/>
      <c r="D927" s="13"/>
    </row>
    <row r="928" spans="1:4" ht="13" x14ac:dyDescent="0.15">
      <c r="A928" s="10"/>
      <c r="B928" s="13"/>
      <c r="C928" s="13"/>
      <c r="D928" s="13"/>
    </row>
    <row r="929" spans="1:4" ht="13" x14ac:dyDescent="0.15">
      <c r="A929" s="10"/>
      <c r="B929" s="13"/>
      <c r="C929" s="13"/>
      <c r="D929" s="13"/>
    </row>
    <row r="930" spans="1:4" ht="13" x14ac:dyDescent="0.15">
      <c r="A930" s="10"/>
      <c r="B930" s="13"/>
      <c r="C930" s="13"/>
      <c r="D930" s="13"/>
    </row>
    <row r="931" spans="1:4" ht="13" x14ac:dyDescent="0.15">
      <c r="A931" s="10"/>
      <c r="B931" s="13"/>
      <c r="C931" s="13"/>
      <c r="D931" s="13"/>
    </row>
    <row r="932" spans="1:4" ht="13" x14ac:dyDescent="0.15">
      <c r="A932" s="10"/>
      <c r="B932" s="13"/>
      <c r="C932" s="13"/>
      <c r="D932" s="13"/>
    </row>
    <row r="933" spans="1:4" ht="13" x14ac:dyDescent="0.15">
      <c r="A933" s="10"/>
      <c r="B933" s="13"/>
      <c r="C933" s="13"/>
      <c r="D933" s="13"/>
    </row>
    <row r="934" spans="1:4" ht="13" x14ac:dyDescent="0.15">
      <c r="A934" s="10"/>
      <c r="B934" s="13"/>
      <c r="C934" s="13"/>
      <c r="D934" s="13"/>
    </row>
    <row r="935" spans="1:4" ht="13" x14ac:dyDescent="0.15">
      <c r="A935" s="10"/>
      <c r="B935" s="13"/>
      <c r="C935" s="13"/>
      <c r="D935" s="13"/>
    </row>
    <row r="936" spans="1:4" ht="13" x14ac:dyDescent="0.15">
      <c r="A936" s="10"/>
      <c r="B936" s="13"/>
      <c r="C936" s="13"/>
      <c r="D936" s="13"/>
    </row>
    <row r="937" spans="1:4" ht="13" x14ac:dyDescent="0.15">
      <c r="A937" s="10"/>
      <c r="B937" s="13"/>
      <c r="C937" s="13"/>
      <c r="D937" s="13"/>
    </row>
    <row r="938" spans="1:4" ht="13" x14ac:dyDescent="0.15">
      <c r="A938" s="10"/>
      <c r="B938" s="13"/>
      <c r="C938" s="13"/>
      <c r="D938" s="13"/>
    </row>
    <row r="939" spans="1:4" ht="13" x14ac:dyDescent="0.15">
      <c r="A939" s="10"/>
      <c r="B939" s="13"/>
      <c r="C939" s="13"/>
      <c r="D939" s="13"/>
    </row>
    <row r="940" spans="1:4" ht="13" x14ac:dyDescent="0.15">
      <c r="A940" s="10"/>
      <c r="B940" s="13"/>
      <c r="C940" s="13"/>
      <c r="D940" s="13"/>
    </row>
    <row r="941" spans="1:4" ht="13" x14ac:dyDescent="0.15">
      <c r="A941" s="10"/>
      <c r="B941" s="13"/>
      <c r="C941" s="13"/>
      <c r="D941" s="13"/>
    </row>
    <row r="942" spans="1:4" ht="13" x14ac:dyDescent="0.15">
      <c r="A942" s="10"/>
      <c r="B942" s="13"/>
      <c r="C942" s="13"/>
      <c r="D942" s="13"/>
    </row>
    <row r="943" spans="1:4" ht="13" x14ac:dyDescent="0.15">
      <c r="A943" s="10"/>
      <c r="B943" s="13"/>
      <c r="C943" s="13"/>
      <c r="D943" s="13"/>
    </row>
    <row r="944" spans="1:4" ht="13" x14ac:dyDescent="0.15">
      <c r="A944" s="10"/>
      <c r="B944" s="13"/>
      <c r="C944" s="13"/>
      <c r="D944" s="13"/>
    </row>
    <row r="945" spans="1:4" ht="13" x14ac:dyDescent="0.15">
      <c r="A945" s="10"/>
      <c r="B945" s="13"/>
      <c r="C945" s="13"/>
      <c r="D945" s="13"/>
    </row>
    <row r="946" spans="1:4" ht="13" x14ac:dyDescent="0.15">
      <c r="A946" s="10"/>
      <c r="B946" s="13"/>
      <c r="C946" s="13"/>
      <c r="D946" s="13"/>
    </row>
    <row r="947" spans="1:4" ht="13" x14ac:dyDescent="0.15">
      <c r="A947" s="10"/>
      <c r="B947" s="13"/>
      <c r="C947" s="13"/>
      <c r="D947" s="13"/>
    </row>
    <row r="948" spans="1:4" ht="13" x14ac:dyDescent="0.15">
      <c r="A948" s="10"/>
      <c r="B948" s="13"/>
      <c r="C948" s="13"/>
      <c r="D948" s="13"/>
    </row>
    <row r="949" spans="1:4" ht="13" x14ac:dyDescent="0.15">
      <c r="A949" s="10"/>
      <c r="B949" s="13"/>
      <c r="C949" s="13"/>
      <c r="D949" s="13"/>
    </row>
    <row r="950" spans="1:4" ht="13" x14ac:dyDescent="0.15">
      <c r="A950" s="10"/>
      <c r="B950" s="13"/>
      <c r="C950" s="13"/>
      <c r="D950" s="13"/>
    </row>
    <row r="951" spans="1:4" ht="13" x14ac:dyDescent="0.15">
      <c r="A951" s="10"/>
      <c r="B951" s="13"/>
      <c r="C951" s="13"/>
      <c r="D951" s="13"/>
    </row>
    <row r="952" spans="1:4" ht="13" x14ac:dyDescent="0.15">
      <c r="A952" s="10"/>
      <c r="B952" s="13"/>
      <c r="C952" s="13"/>
      <c r="D952" s="13"/>
    </row>
    <row r="953" spans="1:4" ht="13" x14ac:dyDescent="0.15">
      <c r="A953" s="10"/>
      <c r="B953" s="13"/>
      <c r="C953" s="13"/>
      <c r="D953" s="13"/>
    </row>
    <row r="954" spans="1:4" ht="13" x14ac:dyDescent="0.15">
      <c r="A954" s="10"/>
      <c r="B954" s="13"/>
      <c r="C954" s="13"/>
      <c r="D954" s="13"/>
    </row>
    <row r="955" spans="1:4" ht="13" x14ac:dyDescent="0.15">
      <c r="A955" s="10"/>
      <c r="B955" s="13"/>
      <c r="C955" s="13"/>
      <c r="D955" s="13"/>
    </row>
    <row r="956" spans="1:4" ht="13" x14ac:dyDescent="0.15">
      <c r="A956" s="10"/>
      <c r="B956" s="13"/>
      <c r="C956" s="13"/>
      <c r="D956" s="13"/>
    </row>
    <row r="957" spans="1:4" ht="13" x14ac:dyDescent="0.15">
      <c r="A957" s="10"/>
      <c r="B957" s="13"/>
      <c r="C957" s="13"/>
      <c r="D957" s="13"/>
    </row>
    <row r="958" spans="1:4" ht="13" x14ac:dyDescent="0.15">
      <c r="A958" s="10"/>
      <c r="B958" s="13"/>
      <c r="C958" s="13"/>
      <c r="D958" s="13"/>
    </row>
    <row r="959" spans="1:4" ht="13" x14ac:dyDescent="0.15">
      <c r="A959" s="10"/>
      <c r="B959" s="13"/>
      <c r="C959" s="13"/>
      <c r="D959" s="13"/>
    </row>
    <row r="960" spans="1:4" ht="13" x14ac:dyDescent="0.15">
      <c r="A960" s="10"/>
      <c r="B960" s="13"/>
      <c r="C960" s="13"/>
      <c r="D960" s="13"/>
    </row>
    <row r="961" spans="1:4" ht="13" x14ac:dyDescent="0.15">
      <c r="A961" s="10"/>
      <c r="B961" s="13"/>
      <c r="C961" s="13"/>
      <c r="D961" s="13"/>
    </row>
    <row r="962" spans="1:4" ht="13" x14ac:dyDescent="0.15">
      <c r="A962" s="10"/>
      <c r="B962" s="13"/>
      <c r="C962" s="13"/>
      <c r="D962" s="13"/>
    </row>
    <row r="963" spans="1:4" ht="13" x14ac:dyDescent="0.15">
      <c r="A963" s="10"/>
      <c r="B963" s="13"/>
      <c r="C963" s="13"/>
      <c r="D963" s="13"/>
    </row>
    <row r="964" spans="1:4" ht="13" x14ac:dyDescent="0.15">
      <c r="A964" s="10"/>
      <c r="B964" s="13"/>
      <c r="C964" s="13"/>
      <c r="D964" s="13"/>
    </row>
    <row r="965" spans="1:4" ht="13" x14ac:dyDescent="0.15">
      <c r="A965" s="10"/>
      <c r="B965" s="13"/>
      <c r="C965" s="13"/>
      <c r="D965" s="13"/>
    </row>
    <row r="966" spans="1:4" ht="13" x14ac:dyDescent="0.15">
      <c r="A966" s="10"/>
      <c r="B966" s="13"/>
      <c r="C966" s="13"/>
      <c r="D966" s="13"/>
    </row>
    <row r="967" spans="1:4" ht="13" x14ac:dyDescent="0.15">
      <c r="A967" s="10"/>
      <c r="B967" s="13"/>
      <c r="C967" s="13"/>
      <c r="D967" s="13"/>
    </row>
    <row r="968" spans="1:4" ht="13" x14ac:dyDescent="0.15">
      <c r="A968" s="10"/>
      <c r="B968" s="13"/>
      <c r="C968" s="13"/>
      <c r="D968" s="13"/>
    </row>
    <row r="969" spans="1:4" ht="13" x14ac:dyDescent="0.15">
      <c r="A969" s="10"/>
      <c r="B969" s="13"/>
      <c r="C969" s="13"/>
      <c r="D969" s="13"/>
    </row>
    <row r="970" spans="1:4" ht="13" x14ac:dyDescent="0.15">
      <c r="A970" s="10"/>
      <c r="B970" s="13"/>
      <c r="C970" s="13"/>
      <c r="D970" s="13"/>
    </row>
    <row r="971" spans="1:4" ht="13" x14ac:dyDescent="0.15">
      <c r="A971" s="10"/>
      <c r="B971" s="13"/>
      <c r="C971" s="13"/>
      <c r="D971" s="13"/>
    </row>
    <row r="972" spans="1:4" ht="13" x14ac:dyDescent="0.15">
      <c r="A972" s="10"/>
      <c r="B972" s="13"/>
      <c r="C972" s="13"/>
      <c r="D972" s="13"/>
    </row>
    <row r="973" spans="1:4" ht="13" x14ac:dyDescent="0.15">
      <c r="A973" s="10"/>
      <c r="B973" s="13"/>
      <c r="C973" s="13"/>
      <c r="D973" s="13"/>
    </row>
    <row r="974" spans="1:4" ht="13" x14ac:dyDescent="0.15">
      <c r="A974" s="10"/>
      <c r="B974" s="13"/>
      <c r="C974" s="13"/>
      <c r="D974" s="13"/>
    </row>
    <row r="975" spans="1:4" ht="13" x14ac:dyDescent="0.15">
      <c r="A975" s="10"/>
      <c r="B975" s="13"/>
      <c r="C975" s="13"/>
      <c r="D975" s="13"/>
    </row>
    <row r="976" spans="1:4" ht="13" x14ac:dyDescent="0.15">
      <c r="A976" s="10"/>
      <c r="B976" s="13"/>
      <c r="C976" s="13"/>
      <c r="D976" s="13"/>
    </row>
    <row r="977" spans="1:4" ht="13" x14ac:dyDescent="0.15">
      <c r="A977" s="10"/>
      <c r="B977" s="13"/>
      <c r="C977" s="13"/>
      <c r="D977" s="13"/>
    </row>
    <row r="978" spans="1:4" ht="13" x14ac:dyDescent="0.15">
      <c r="A978" s="10"/>
      <c r="B978" s="13"/>
      <c r="C978" s="13"/>
      <c r="D978" s="13"/>
    </row>
    <row r="979" spans="1:4" ht="13" x14ac:dyDescent="0.15">
      <c r="A979" s="10"/>
      <c r="B979" s="13"/>
      <c r="C979" s="13"/>
      <c r="D979" s="13"/>
    </row>
    <row r="980" spans="1:4" ht="13" x14ac:dyDescent="0.15">
      <c r="A980" s="10"/>
      <c r="B980" s="13"/>
      <c r="C980" s="13"/>
      <c r="D980" s="13"/>
    </row>
    <row r="981" spans="1:4" ht="13" x14ac:dyDescent="0.15">
      <c r="A981" s="10"/>
      <c r="B981" s="13"/>
      <c r="C981" s="13"/>
      <c r="D981" s="13"/>
    </row>
    <row r="982" spans="1:4" ht="13" x14ac:dyDescent="0.15">
      <c r="A982" s="10"/>
      <c r="B982" s="13"/>
      <c r="C982" s="13"/>
      <c r="D982" s="13"/>
    </row>
    <row r="983" spans="1:4" ht="13" x14ac:dyDescent="0.15">
      <c r="A983" s="10"/>
      <c r="B983" s="13"/>
      <c r="C983" s="13"/>
      <c r="D983" s="13"/>
    </row>
    <row r="984" spans="1:4" ht="13" x14ac:dyDescent="0.15">
      <c r="A984" s="10"/>
      <c r="B984" s="13"/>
      <c r="C984" s="13"/>
      <c r="D984" s="13"/>
    </row>
    <row r="985" spans="1:4" ht="13" x14ac:dyDescent="0.15">
      <c r="A985" s="10"/>
      <c r="B985" s="13"/>
      <c r="C985" s="13"/>
      <c r="D985" s="13"/>
    </row>
    <row r="986" spans="1:4" ht="13" x14ac:dyDescent="0.15">
      <c r="A986" s="10"/>
      <c r="B986" s="13"/>
      <c r="C986" s="13"/>
      <c r="D986" s="13"/>
    </row>
    <row r="987" spans="1:4" ht="13" x14ac:dyDescent="0.15">
      <c r="A987" s="10"/>
      <c r="B987" s="13"/>
      <c r="C987" s="13"/>
      <c r="D987" s="13"/>
    </row>
    <row r="988" spans="1:4" ht="13" x14ac:dyDescent="0.15">
      <c r="A988" s="10"/>
      <c r="B988" s="13"/>
      <c r="C988" s="13"/>
      <c r="D988" s="13"/>
    </row>
    <row r="989" spans="1:4" ht="13" x14ac:dyDescent="0.15">
      <c r="A989" s="10"/>
      <c r="B989" s="13"/>
      <c r="C989" s="13"/>
      <c r="D989" s="13"/>
    </row>
    <row r="990" spans="1:4" ht="13" x14ac:dyDescent="0.15">
      <c r="A990" s="10"/>
      <c r="B990" s="13"/>
      <c r="C990" s="13"/>
      <c r="D990" s="13"/>
    </row>
    <row r="991" spans="1:4" ht="13" x14ac:dyDescent="0.15">
      <c r="A991" s="10"/>
      <c r="B991" s="13"/>
      <c r="C991" s="13"/>
      <c r="D991" s="13"/>
    </row>
    <row r="992" spans="1:4" ht="13" x14ac:dyDescent="0.15">
      <c r="A992" s="10"/>
      <c r="B992" s="13"/>
      <c r="C992" s="13"/>
      <c r="D992" s="13"/>
    </row>
    <row r="993" spans="1:4" ht="13" x14ac:dyDescent="0.15">
      <c r="A993" s="10"/>
      <c r="B993" s="13"/>
      <c r="C993" s="13"/>
      <c r="D993" s="13"/>
    </row>
    <row r="994" spans="1:4" ht="13" x14ac:dyDescent="0.15">
      <c r="A994" s="10"/>
      <c r="B994" s="13"/>
      <c r="C994" s="13"/>
      <c r="D994" s="13"/>
    </row>
    <row r="995" spans="1:4" ht="13" x14ac:dyDescent="0.15">
      <c r="A995" s="10"/>
      <c r="B995" s="13"/>
      <c r="C995" s="13"/>
      <c r="D995" s="13"/>
    </row>
    <row r="996" spans="1:4" ht="13" x14ac:dyDescent="0.15">
      <c r="A996" s="10"/>
      <c r="B996" s="13"/>
      <c r="C996" s="13"/>
      <c r="D996" s="13"/>
    </row>
    <row r="997" spans="1:4" ht="13" x14ac:dyDescent="0.15">
      <c r="A997" s="10"/>
      <c r="B997" s="13"/>
      <c r="C997" s="13"/>
      <c r="D997" s="13"/>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outlinePr summaryBelow="0" summaryRight="0"/>
  </sheetPr>
  <dimension ref="A1:D997"/>
  <sheetViews>
    <sheetView workbookViewId="0"/>
  </sheetViews>
  <sheetFormatPr baseColWidth="10" defaultColWidth="12.6640625" defaultRowHeight="15.75" customHeight="1" x14ac:dyDescent="0.15"/>
  <cols>
    <col min="1" max="1" width="71.5" customWidth="1"/>
    <col min="2" max="4" width="37.6640625" customWidth="1"/>
  </cols>
  <sheetData>
    <row r="1" spans="1:4" ht="15.75" customHeight="1" x14ac:dyDescent="0.15">
      <c r="A1" s="1"/>
      <c r="B1" s="12" t="str">
        <f ca="1">IFERROR(__xludf.DUMMYFUNCTION("IMPORTRANGE(""https://docs.google.com/spreadsheets/d/13SmE7eku7nG0PwUe_FIOCUfCnXVjPMNZ0Q_x8FW6s5I"",""A37!B1:B22"")"),"Josiah Bolton")</f>
        <v>Josiah Bolton</v>
      </c>
      <c r="C1" s="10" t="str">
        <f ca="1">IFERROR(__xludf.DUMMYFUNCTION("IMPORTRANGE(""https://docs.google.com/spreadsheets/u/0/d/1Eq2M_a4_TeZImjU1FJcBSaIp6Xib8-RIHm3cQ24mbRI"", ""A37!B1:B22"")"),"Zach")</f>
        <v>Zach</v>
      </c>
      <c r="D1" s="2" t="s">
        <v>1</v>
      </c>
    </row>
    <row r="2" spans="1:4" ht="15.75" customHeight="1" x14ac:dyDescent="0.15">
      <c r="A2" s="3" t="s">
        <v>2</v>
      </c>
      <c r="B2" s="15" t="str">
        <f ca="1">IFERROR(__xludf.DUMMYFUNCTION("""COMPUTED_VALUE"""),"24415-24660 FOR")</f>
        <v>24415-24660 FOR</v>
      </c>
      <c r="C2" s="15" t="str">
        <f ca="1">IFERROR(__xludf.DUMMYFUNCTION("""COMPUTED_VALUE"""),"PHAM Start:24415 Stop:24660
DNAM Start:24415 Stop:24660
FOR ")</f>
        <v xml:space="preserve">PHAM Start:24415 Stop:24660
DNAM Start:24415 Stop:24660
FOR </v>
      </c>
      <c r="D2" s="4"/>
    </row>
    <row r="3" spans="1:4" ht="15.75" customHeight="1" x14ac:dyDescent="0.15">
      <c r="A3" s="5" t="s">
        <v>3</v>
      </c>
      <c r="B3" s="17" t="str">
        <f ca="1">IFERROR(__xludf.DUMMYFUNCTION("""COMPUTED_VALUE"""),"36 in DNA Master
37 on Phamerator")</f>
        <v>36 in DNA Master
37 on Phamerator</v>
      </c>
      <c r="C3" s="17" t="str">
        <f ca="1">IFERROR(__xludf.DUMMYFUNCTION("""COMPUTED_VALUE"""),"Pham: Gene 37
DNAM: Gene 36")</f>
        <v>Pham: Gene 37
DNAM: Gene 36</v>
      </c>
      <c r="D3" s="6"/>
    </row>
    <row r="4" spans="1:4" ht="15.75" customHeight="1" x14ac:dyDescent="0.15">
      <c r="A4" s="5" t="s">
        <v>4</v>
      </c>
      <c r="B4" s="17" t="str">
        <f ca="1">IFERROR(__xludf.DUMMYFUNCTION("""COMPUTED_VALUE"""),"199590 3/9/2025")</f>
        <v>199590 3/9/2025</v>
      </c>
      <c r="C4" s="17" t="str">
        <f ca="1">IFERROR(__xludf.DUMMYFUNCTION("""COMPUTED_VALUE"""),"195590 3/24/25")</f>
        <v>195590 3/24/25</v>
      </c>
      <c r="D4" s="6"/>
    </row>
    <row r="5" spans="1:4" ht="15.75" customHeight="1" x14ac:dyDescent="0.15">
      <c r="A5" s="5" t="s">
        <v>5</v>
      </c>
      <c r="B5" s="17" t="str">
        <f ca="1">IFERROR(__xludf.DUMMYFUNCTION("""COMPUTED_VALUE"""),"Kovu 38")</f>
        <v>Kovu 38</v>
      </c>
      <c r="C5" s="17" t="str">
        <f ca="1">IFERROR(__xludf.DUMMYFUNCTION("""COMPUTED_VALUE"""),"Kovu_38")</f>
        <v>Kovu_38</v>
      </c>
      <c r="D5" s="6"/>
    </row>
    <row r="6" spans="1:4" ht="15.75" customHeight="1" x14ac:dyDescent="0.15">
      <c r="A6" s="5" t="s">
        <v>6</v>
      </c>
      <c r="B6" s="17" t="str">
        <f ca="1">IFERROR(__xludf.DUMMYFUNCTION("""COMPUTED_VALUE"""),"Both call this gene")</f>
        <v>Both call this gene</v>
      </c>
      <c r="C6" s="17" t="str">
        <f ca="1">IFERROR(__xludf.DUMMYFUNCTION("""COMPUTED_VALUE"""),"Both call it a gene")</f>
        <v>Both call it a gene</v>
      </c>
      <c r="D6" s="6"/>
    </row>
    <row r="7" spans="1:4" ht="15.75" customHeight="1" x14ac:dyDescent="0.15">
      <c r="A7" s="5" t="s">
        <v>7</v>
      </c>
      <c r="B7" s="17" t="str">
        <f ca="1">IFERROR(__xludf.DUMMYFUNCTION("""COMPUTED_VALUE"""),"Has some coding potential not great. Does not include everything.")</f>
        <v>Has some coding potential not great. Does not include everything.</v>
      </c>
      <c r="C7" s="17" t="str">
        <f ca="1">IFERROR(__xludf.DUMMYFUNCTION("""COMPUTED_VALUE"""),"All coding included")</f>
        <v>All coding included</v>
      </c>
      <c r="D7" s="6"/>
    </row>
    <row r="8" spans="1:4" ht="15.75" customHeight="1" x14ac:dyDescent="0.15">
      <c r="A8" s="5" t="s">
        <v>8</v>
      </c>
      <c r="B8" s="17" t="str">
        <f ca="1">IFERROR(__xludf.DUMMYFUNCTION("""COMPUTED_VALUE"""),"Not longest possible ORF, there is a start at 24373.")</f>
        <v>Not longest possible ORF, there is a start at 24373.</v>
      </c>
      <c r="C8" s="17" t="str">
        <f ca="1">IFERROR(__xludf.DUMMYFUNCTION("""COMPUTED_VALUE"""),"No, earlier start")</f>
        <v>No, earlier start</v>
      </c>
      <c r="D8" s="6"/>
    </row>
    <row r="9" spans="1:4" ht="15.75" customHeight="1" x14ac:dyDescent="0.15">
      <c r="A9" s="5" t="s">
        <v>9</v>
      </c>
      <c r="B9" s="17" t="str">
        <f ca="1">IFERROR(__xludf.DUMMYFUNCTION("""COMPUTED_VALUE"""),"151 nucleotide gap.")</f>
        <v>151 nucleotide gap.</v>
      </c>
      <c r="C9" s="17" t="str">
        <f ca="1">IFERROR(__xludf.DUMMYFUNCTION("""COMPUTED_VALUE"""),"151 Gap")</f>
        <v>151 Gap</v>
      </c>
      <c r="D9" s="6"/>
    </row>
    <row r="10" spans="1:4" ht="15.75" customHeight="1" x14ac:dyDescent="0.15">
      <c r="A10" s="5" t="s">
        <v>10</v>
      </c>
      <c r="B10" s="17" t="str">
        <f ca="1">IFERROR(__xludf.DUMMYFUNCTION("""COMPUTED_VALUE"""),"Z score is 1.804 and final score is -5.574. Another considered site is at 24373 with a z score of 2.087 with final score of -5.620.")</f>
        <v>Z score is 1.804 and final score is -5.574. Another considered site is at 24373 with a z score of 2.087 with final score of -5.620.</v>
      </c>
      <c r="C10" s="17" t="str">
        <f ca="1">IFERROR(__xludf.DUMMYFUNCTION("""COMPUTED_VALUE"""),"Current (1.804). Earlier (2.087)")</f>
        <v>Current (1.804). Earlier (2.087)</v>
      </c>
      <c r="D10" s="6"/>
    </row>
    <row r="11" spans="1:4" ht="15.75" customHeight="1" x14ac:dyDescent="0.15">
      <c r="A11" s="5" t="s">
        <v>11</v>
      </c>
      <c r="B11" s="17" t="str">
        <f ca="1">IFERROR(__xludf.DUMMYFUNCTION("""COMPUTED_VALUE"""),"Kovu 38 with 77% identity and e value 3e-37  Q 1-81 and Target is 1-82")</f>
        <v>Kovu 38 with 77% identity and e value 3e-37  Q 1-81 and Target is 1-82</v>
      </c>
      <c r="C11" s="17" t="str">
        <f ca="1">IFERROR(__xludf.DUMMYFUNCTION("""COMPUTED_VALUE"""),"Kovu_38
%ID
E: 2.6e-37
1:1 ")</f>
        <v xml:space="preserve">Kovu_38
%ID
E: 2.6e-37
1:1 </v>
      </c>
      <c r="D11" s="6"/>
    </row>
    <row r="12" spans="1:4" ht="15.75" customHeight="1" x14ac:dyDescent="0.15">
      <c r="A12" s="5" t="s">
        <v>12</v>
      </c>
      <c r="B12" s="17" t="str">
        <f ca="1">IFERROR(__xludf.DUMMYFUNCTION("""COMPUTED_VALUE"""),"In Kovu 38 at Start 2 called 100% of time when present.")</f>
        <v>In Kovu 38 at Start 2 called 100% of time when present.</v>
      </c>
      <c r="C12" s="17" t="str">
        <f ca="1">IFERROR(__xludf.DUMMYFUNCTION("""COMPUTED_VALUE"""),"2 of 2 call current start")</f>
        <v>2 of 2 call current start</v>
      </c>
      <c r="D12" s="6"/>
    </row>
    <row r="13" spans="1:4" ht="15.75" customHeight="1" x14ac:dyDescent="0.15">
      <c r="A13" s="5" t="s">
        <v>13</v>
      </c>
      <c r="B13" s="17" t="str">
        <f ca="1">IFERROR(__xludf.DUMMYFUNCTION("""COMPUTED_VALUE"""),"Yes, because the z score is better and the gap will be smaller.")</f>
        <v>Yes, because the z score is better and the gap will be smaller.</v>
      </c>
      <c r="C13" s="17" t="str">
        <f ca="1">IFERROR(__xludf.DUMMYFUNCTION("""COMPUTED_VALUE"""),"No, not enough evidence")</f>
        <v>No, not enough evidence</v>
      </c>
      <c r="D13" s="6"/>
    </row>
    <row r="14" spans="1:4" ht="15.75" customHeight="1" x14ac:dyDescent="0.15">
      <c r="A14" s="5" t="s">
        <v>14</v>
      </c>
      <c r="B14" s="17" t="str">
        <f ca="1">IFERROR(__xludf.DUMMYFUNCTION("""COMPUTED_VALUE"""),"Kovu 38")</f>
        <v>Kovu 38</v>
      </c>
      <c r="C14" s="17" t="str">
        <f ca="1">IFERROR(__xludf.DUMMYFUNCTION("""COMPUTED_VALUE"""),"Kovu_38
 4e-31 ")</f>
        <v xml:space="preserve">Kovu_38
 4e-31 </v>
      </c>
      <c r="D14" s="6"/>
    </row>
    <row r="15" spans="1:4" ht="15.75" customHeight="1" x14ac:dyDescent="0.15">
      <c r="A15" s="5" t="s">
        <v>15</v>
      </c>
      <c r="B15" s="17" t="str">
        <f ca="1">IFERROR(__xludf.DUMMYFUNCTION("""COMPUTED_VALUE"""),"Hypothetical Protein for Kovu 38")</f>
        <v>Hypothetical Protein for Kovu 38</v>
      </c>
      <c r="C15" s="17" t="str">
        <f ca="1">IFERROR(__xludf.DUMMYFUNCTION("""COMPUTED_VALUE"""),"Unknown Function")</f>
        <v>Unknown Function</v>
      </c>
      <c r="D15" s="6"/>
    </row>
    <row r="16" spans="1:4" ht="15.75" customHeight="1" x14ac:dyDescent="0.15">
      <c r="A16" s="5" t="s">
        <v>16</v>
      </c>
      <c r="B16" s="17" t="str">
        <f ca="1">IFERROR(__xludf.DUMMYFUNCTION("""COMPUTED_VALUE"""),"Yes.")</f>
        <v>Yes.</v>
      </c>
      <c r="C16" s="17" t="str">
        <f ca="1">IFERROR(__xludf.DUMMYFUNCTION("""COMPUTED_VALUE"""),"Same genetic environment as Kovu")</f>
        <v>Same genetic environment as Kovu</v>
      </c>
      <c r="D16" s="6"/>
    </row>
    <row r="17" spans="1:4" ht="15.75" customHeight="1" x14ac:dyDescent="0.15">
      <c r="A17" s="5" t="s">
        <v>17</v>
      </c>
      <c r="B17" s="17" t="str">
        <f ca="1">IFERROR(__xludf.DUMMYFUNCTION("""COMPUTED_VALUE"""),"hypothetical protein PA2021; Pat85, NESG, GFT-NMR, Structural Genomics, PSI, Protein Structure Initiative, Northeast Structural Genomics Consortium, UNKNOWN FUNCTION; NMR {Pseudomonas aeruginosa} SCOP: b.55.2.1 85. 41% probability % alignment of query is "&amp;"69.51% and % alignment of Target 77.02% snd functional domain is not full in target part of alignment")</f>
        <v>hypothetical protein PA2021; Pat85, NESG, GFT-NMR, Structural Genomics, PSI, Protein Structure Initiative, Northeast Structural Genomics Consortium, UNKNOWN FUNCTION; NMR {Pseudomonas aeruginosa} SCOP: b.55.2.1 85. 41% probability % alignment of query is 69.51% and % alignment of Target 77.02% snd functional domain is not full in target part of alignment</v>
      </c>
      <c r="C17" s="17" t="str">
        <f ca="1">IFERROR(__xludf.DUMMYFUNCTION("""COMPUTED_VALUE"""),"Q05252 VG41_BPML5 Gene 41 protein OS=Mycobacterium phage L5 OX=31757 GN=41 PE=4 SV=1
Probability: 95.97%
Align T: 46.99%
Align Q: 48.15%")</f>
        <v>Q05252 VG41_BPML5 Gene 41 protein OS=Mycobacterium phage L5 OX=31757 GN=41 PE=4 SV=1
Probability: 95.97%
Align T: 46.99%
Align Q: 48.15%</v>
      </c>
      <c r="D17" s="6"/>
    </row>
    <row r="18" spans="1:4" ht="15.75" customHeight="1" x14ac:dyDescent="0.15">
      <c r="A18" s="5" t="s">
        <v>18</v>
      </c>
      <c r="B18" s="17" t="str">
        <f ca="1">IFERROR(__xludf.DUMMYFUNCTION("""COMPUTED_VALUE"""),"Hypothetical protein")</f>
        <v>Hypothetical protein</v>
      </c>
      <c r="C18" s="17" t="str">
        <f ca="1">IFERROR(__xludf.DUMMYFUNCTION("""COMPUTED_VALUE"""),"DUF")</f>
        <v>DUF</v>
      </c>
      <c r="D18" s="6"/>
    </row>
    <row r="19" spans="1:4" ht="15.75" customHeight="1" x14ac:dyDescent="0.15">
      <c r="A19" s="5" t="s">
        <v>19</v>
      </c>
      <c r="B19" s="17" t="str">
        <f ca="1">IFERROR(__xludf.DUMMYFUNCTION("""COMPUTED_VALUE"""),"None.")</f>
        <v>None.</v>
      </c>
      <c r="C19" s="17" t="str">
        <f ca="1">IFERROR(__xludf.DUMMYFUNCTION("""COMPUTED_VALUE"""),"No")</f>
        <v>No</v>
      </c>
      <c r="D19" s="6"/>
    </row>
    <row r="20" spans="1:4" ht="15.75" customHeight="1" x14ac:dyDescent="0.15">
      <c r="A20" s="5" t="s">
        <v>20</v>
      </c>
      <c r="B20" s="17" t="str">
        <f ca="1">IFERROR(__xludf.DUMMYFUNCTION("""COMPUTED_VALUE"""),"Hypothetical Protein due to all the information from HHPred, PhagesDB, and DNA Master.")</f>
        <v>Hypothetical Protein due to all the information from HHPred, PhagesDB, and DNA Master.</v>
      </c>
      <c r="C20" s="17" t="str">
        <f ca="1">IFERROR(__xludf.DUMMYFUNCTION("""COMPUTED_VALUE"""),"Hypotehtical Protein")</f>
        <v>Hypotehtical Protein</v>
      </c>
      <c r="D20" s="6"/>
    </row>
    <row r="21" spans="1:4" x14ac:dyDescent="0.2">
      <c r="A21" s="7"/>
      <c r="B21" s="19"/>
      <c r="C21" s="19"/>
      <c r="D21" s="8"/>
    </row>
    <row r="22" spans="1:4" ht="15.75" customHeight="1" x14ac:dyDescent="0.15">
      <c r="A22" s="9" t="s">
        <v>21</v>
      </c>
      <c r="B22" s="19"/>
      <c r="C22" s="19"/>
      <c r="D22" s="8"/>
    </row>
    <row r="23" spans="1:4" ht="15.75" customHeight="1" x14ac:dyDescent="0.15">
      <c r="A23" s="10"/>
      <c r="B23" s="13"/>
      <c r="C23" s="13"/>
    </row>
    <row r="24" spans="1:4" ht="15.75" customHeight="1" x14ac:dyDescent="0.15">
      <c r="A24" s="10"/>
      <c r="B24" s="13"/>
      <c r="C24" s="13"/>
    </row>
    <row r="25" spans="1:4" ht="15.75" customHeight="1" x14ac:dyDescent="0.15">
      <c r="A25" s="10"/>
      <c r="B25" s="13"/>
      <c r="C25" s="13"/>
    </row>
    <row r="26" spans="1:4" ht="15.75" customHeight="1" x14ac:dyDescent="0.15">
      <c r="A26" s="10"/>
      <c r="B26" s="13"/>
      <c r="C26" s="13"/>
    </row>
    <row r="27" spans="1:4" ht="15.75" customHeight="1" x14ac:dyDescent="0.15">
      <c r="A27" s="10"/>
      <c r="B27" s="13"/>
      <c r="C27" s="13"/>
    </row>
    <row r="28" spans="1:4" ht="15.75" customHeight="1" x14ac:dyDescent="0.15">
      <c r="A28" s="10"/>
      <c r="B28" s="13"/>
      <c r="C28" s="13"/>
    </row>
    <row r="29" spans="1:4" ht="15.75" customHeight="1" x14ac:dyDescent="0.15">
      <c r="A29" s="10"/>
      <c r="B29" s="13"/>
      <c r="C29" s="13"/>
    </row>
    <row r="30" spans="1:4" ht="15.75" customHeight="1" x14ac:dyDescent="0.15">
      <c r="A30" s="10"/>
      <c r="B30" s="13"/>
      <c r="C30" s="13"/>
    </row>
    <row r="31" spans="1:4" ht="15.75" customHeight="1" x14ac:dyDescent="0.15">
      <c r="A31" s="10"/>
      <c r="B31" s="13"/>
      <c r="C31" s="13"/>
    </row>
    <row r="32" spans="1:4" ht="15.75" customHeight="1" x14ac:dyDescent="0.15">
      <c r="A32" s="10"/>
      <c r="B32" s="13"/>
      <c r="C32" s="13"/>
    </row>
    <row r="33" spans="1:3" ht="15.75" customHeight="1" x14ac:dyDescent="0.15">
      <c r="A33" s="10"/>
      <c r="B33" s="13"/>
      <c r="C33" s="13"/>
    </row>
    <row r="34" spans="1:3" ht="15.75" customHeight="1" x14ac:dyDescent="0.15">
      <c r="A34" s="10"/>
      <c r="B34" s="13"/>
      <c r="C34" s="13"/>
    </row>
    <row r="35" spans="1:3" ht="15.75" customHeight="1" x14ac:dyDescent="0.15">
      <c r="A35" s="10"/>
      <c r="B35" s="13"/>
      <c r="C35" s="13"/>
    </row>
    <row r="36" spans="1:3" ht="15.75" customHeight="1" x14ac:dyDescent="0.15">
      <c r="A36" s="10"/>
      <c r="B36" s="13"/>
      <c r="C36" s="13"/>
    </row>
    <row r="37" spans="1:3" ht="15.75" customHeight="1" x14ac:dyDescent="0.15">
      <c r="A37" s="10"/>
      <c r="B37" s="13"/>
      <c r="C37" s="13"/>
    </row>
    <row r="38" spans="1:3" ht="15.75" customHeight="1" x14ac:dyDescent="0.15">
      <c r="A38" s="10"/>
      <c r="B38" s="13"/>
      <c r="C38" s="13"/>
    </row>
    <row r="39" spans="1:3" ht="13" x14ac:dyDescent="0.15">
      <c r="A39" s="10"/>
      <c r="B39" s="13"/>
      <c r="C39" s="13"/>
    </row>
    <row r="40" spans="1:3" ht="13" x14ac:dyDescent="0.15">
      <c r="A40" s="10"/>
      <c r="B40" s="13"/>
      <c r="C40" s="13"/>
    </row>
    <row r="41" spans="1:3" ht="13" x14ac:dyDescent="0.15">
      <c r="A41" s="10"/>
      <c r="B41" s="13"/>
      <c r="C41" s="13"/>
    </row>
    <row r="42" spans="1:3" ht="13" x14ac:dyDescent="0.15">
      <c r="A42" s="10"/>
      <c r="B42" s="13"/>
      <c r="C42" s="13"/>
    </row>
    <row r="43" spans="1:3" ht="13" x14ac:dyDescent="0.15">
      <c r="A43" s="10"/>
      <c r="B43" s="13"/>
      <c r="C43" s="13"/>
    </row>
    <row r="44" spans="1:3" ht="13" x14ac:dyDescent="0.15">
      <c r="A44" s="10"/>
      <c r="B44" s="13"/>
      <c r="C44" s="13"/>
    </row>
    <row r="45" spans="1:3" ht="13" x14ac:dyDescent="0.15">
      <c r="A45" s="10"/>
      <c r="B45" s="13"/>
      <c r="C45" s="13"/>
    </row>
    <row r="46" spans="1:3" ht="13" x14ac:dyDescent="0.15">
      <c r="A46" s="10"/>
      <c r="B46" s="13"/>
      <c r="C46" s="13"/>
    </row>
    <row r="47" spans="1:3" ht="13" x14ac:dyDescent="0.15">
      <c r="A47" s="10"/>
      <c r="B47" s="13"/>
      <c r="C47" s="13"/>
    </row>
    <row r="48" spans="1:3" ht="13" x14ac:dyDescent="0.15">
      <c r="A48" s="10"/>
      <c r="B48" s="13"/>
      <c r="C48" s="13"/>
    </row>
    <row r="49" spans="1:3" ht="13" x14ac:dyDescent="0.15">
      <c r="A49" s="10"/>
      <c r="B49" s="13"/>
      <c r="C49" s="13"/>
    </row>
    <row r="50" spans="1:3" ht="13" x14ac:dyDescent="0.15">
      <c r="A50" s="10"/>
      <c r="B50" s="13"/>
      <c r="C50" s="13"/>
    </row>
    <row r="51" spans="1:3" ht="13" x14ac:dyDescent="0.15">
      <c r="A51" s="10"/>
      <c r="B51" s="13"/>
      <c r="C51" s="13"/>
    </row>
    <row r="52" spans="1:3" ht="13" x14ac:dyDescent="0.15">
      <c r="A52" s="10"/>
      <c r="B52" s="13"/>
      <c r="C52" s="13"/>
    </row>
    <row r="53" spans="1:3" ht="13" x14ac:dyDescent="0.15">
      <c r="A53" s="10"/>
      <c r="B53" s="13"/>
      <c r="C53" s="13"/>
    </row>
    <row r="54" spans="1:3" ht="13" x14ac:dyDescent="0.15">
      <c r="A54" s="10"/>
      <c r="B54" s="13"/>
      <c r="C54" s="13"/>
    </row>
    <row r="55" spans="1:3" ht="13" x14ac:dyDescent="0.15">
      <c r="A55" s="10"/>
      <c r="B55" s="13"/>
      <c r="C55" s="13"/>
    </row>
    <row r="56" spans="1:3" ht="13" x14ac:dyDescent="0.15">
      <c r="A56" s="10"/>
      <c r="B56" s="13"/>
      <c r="C56" s="13"/>
    </row>
    <row r="57" spans="1:3" ht="13" x14ac:dyDescent="0.15">
      <c r="A57" s="10"/>
      <c r="B57" s="13"/>
      <c r="C57" s="13"/>
    </row>
    <row r="58" spans="1:3" ht="13" x14ac:dyDescent="0.15">
      <c r="A58" s="10"/>
      <c r="B58" s="13"/>
      <c r="C58" s="13"/>
    </row>
    <row r="59" spans="1:3" ht="13" x14ac:dyDescent="0.15">
      <c r="A59" s="10"/>
      <c r="B59" s="13"/>
      <c r="C59" s="13"/>
    </row>
    <row r="60" spans="1:3" ht="13" x14ac:dyDescent="0.15">
      <c r="A60" s="10"/>
      <c r="B60" s="13"/>
      <c r="C60" s="13"/>
    </row>
    <row r="61" spans="1:3" ht="13" x14ac:dyDescent="0.15">
      <c r="A61" s="10"/>
      <c r="B61" s="13"/>
      <c r="C61" s="13"/>
    </row>
    <row r="62" spans="1:3" ht="13" x14ac:dyDescent="0.15">
      <c r="A62" s="10"/>
      <c r="B62" s="13"/>
      <c r="C62" s="13"/>
    </row>
    <row r="63" spans="1:3" ht="13" x14ac:dyDescent="0.15">
      <c r="A63" s="10"/>
      <c r="B63" s="13"/>
      <c r="C63" s="13"/>
    </row>
    <row r="64" spans="1:3" ht="13" x14ac:dyDescent="0.15">
      <c r="A64" s="10"/>
      <c r="B64" s="13"/>
      <c r="C64" s="13"/>
    </row>
    <row r="65" spans="1:3" ht="13" x14ac:dyDescent="0.15">
      <c r="A65" s="10"/>
      <c r="B65" s="13"/>
      <c r="C65" s="13"/>
    </row>
    <row r="66" spans="1:3" ht="13" x14ac:dyDescent="0.15">
      <c r="A66" s="10"/>
      <c r="B66" s="13"/>
      <c r="C66" s="13"/>
    </row>
    <row r="67" spans="1:3" ht="13" x14ac:dyDescent="0.15">
      <c r="A67" s="10"/>
      <c r="B67" s="13"/>
      <c r="C67" s="13"/>
    </row>
    <row r="68" spans="1:3" ht="13" x14ac:dyDescent="0.15">
      <c r="A68" s="10"/>
      <c r="B68" s="13"/>
      <c r="C68" s="13"/>
    </row>
    <row r="69" spans="1:3" ht="13" x14ac:dyDescent="0.15">
      <c r="A69" s="10"/>
      <c r="B69" s="13"/>
      <c r="C69" s="13"/>
    </row>
    <row r="70" spans="1:3" ht="13" x14ac:dyDescent="0.15">
      <c r="A70" s="10"/>
      <c r="B70" s="13"/>
      <c r="C70" s="13"/>
    </row>
    <row r="71" spans="1:3" ht="13" x14ac:dyDescent="0.15">
      <c r="A71" s="10"/>
      <c r="B71" s="13"/>
      <c r="C71" s="13"/>
    </row>
    <row r="72" spans="1:3" ht="13" x14ac:dyDescent="0.15">
      <c r="A72" s="10"/>
      <c r="B72" s="13"/>
      <c r="C72" s="13"/>
    </row>
    <row r="73" spans="1:3" ht="13" x14ac:dyDescent="0.15">
      <c r="A73" s="10"/>
      <c r="B73" s="13"/>
      <c r="C73" s="13"/>
    </row>
    <row r="74" spans="1:3" ht="13" x14ac:dyDescent="0.15">
      <c r="A74" s="10"/>
      <c r="B74" s="13"/>
      <c r="C74" s="13"/>
    </row>
    <row r="75" spans="1:3" ht="13" x14ac:dyDescent="0.15">
      <c r="A75" s="10"/>
      <c r="B75" s="13"/>
      <c r="C75" s="13"/>
    </row>
    <row r="76" spans="1:3" ht="13" x14ac:dyDescent="0.15">
      <c r="A76" s="10"/>
      <c r="B76" s="13"/>
      <c r="C76" s="13"/>
    </row>
    <row r="77" spans="1:3" ht="13" x14ac:dyDescent="0.15">
      <c r="A77" s="10"/>
      <c r="B77" s="13"/>
      <c r="C77" s="13"/>
    </row>
    <row r="78" spans="1:3" ht="13" x14ac:dyDescent="0.15">
      <c r="A78" s="10"/>
      <c r="B78" s="13"/>
      <c r="C78" s="13"/>
    </row>
    <row r="79" spans="1:3" ht="13" x14ac:dyDescent="0.15">
      <c r="A79" s="10"/>
      <c r="B79" s="13"/>
      <c r="C79" s="13"/>
    </row>
    <row r="80" spans="1:3" ht="13" x14ac:dyDescent="0.15">
      <c r="A80" s="10"/>
      <c r="B80" s="13"/>
      <c r="C80" s="13"/>
    </row>
    <row r="81" spans="1:3" ht="13" x14ac:dyDescent="0.15">
      <c r="A81" s="10"/>
      <c r="B81" s="13"/>
      <c r="C81" s="13"/>
    </row>
    <row r="82" spans="1:3" ht="13" x14ac:dyDescent="0.15">
      <c r="A82" s="10"/>
      <c r="B82" s="13"/>
      <c r="C82" s="13"/>
    </row>
    <row r="83" spans="1:3" ht="13" x14ac:dyDescent="0.15">
      <c r="A83" s="10"/>
      <c r="B83" s="13"/>
      <c r="C83" s="13"/>
    </row>
    <row r="84" spans="1:3" ht="13" x14ac:dyDescent="0.15">
      <c r="A84" s="10"/>
      <c r="B84" s="13"/>
      <c r="C84" s="13"/>
    </row>
    <row r="85" spans="1:3" ht="13" x14ac:dyDescent="0.15">
      <c r="A85" s="10"/>
      <c r="B85" s="13"/>
      <c r="C85" s="13"/>
    </row>
    <row r="86" spans="1:3" ht="13" x14ac:dyDescent="0.15">
      <c r="A86" s="10"/>
      <c r="B86" s="13"/>
      <c r="C86" s="13"/>
    </row>
    <row r="87" spans="1:3" ht="13" x14ac:dyDescent="0.15">
      <c r="A87" s="10"/>
      <c r="B87" s="13"/>
      <c r="C87" s="13"/>
    </row>
    <row r="88" spans="1:3" ht="13" x14ac:dyDescent="0.15">
      <c r="A88" s="10"/>
      <c r="B88" s="13"/>
      <c r="C88" s="13"/>
    </row>
    <row r="89" spans="1:3" ht="13" x14ac:dyDescent="0.15">
      <c r="A89" s="10"/>
      <c r="B89" s="13"/>
      <c r="C89" s="13"/>
    </row>
    <row r="90" spans="1:3" ht="13" x14ac:dyDescent="0.15">
      <c r="A90" s="10"/>
      <c r="B90" s="13"/>
      <c r="C90" s="13"/>
    </row>
    <row r="91" spans="1:3" ht="13" x14ac:dyDescent="0.15">
      <c r="A91" s="10"/>
      <c r="B91" s="13"/>
      <c r="C91" s="13"/>
    </row>
    <row r="92" spans="1:3" ht="13" x14ac:dyDescent="0.15">
      <c r="A92" s="10"/>
      <c r="B92" s="13"/>
      <c r="C92" s="13"/>
    </row>
    <row r="93" spans="1:3" ht="13" x14ac:dyDescent="0.15">
      <c r="A93" s="10"/>
      <c r="B93" s="13"/>
      <c r="C93" s="13"/>
    </row>
    <row r="94" spans="1:3" ht="13" x14ac:dyDescent="0.15">
      <c r="A94" s="10"/>
      <c r="B94" s="13"/>
      <c r="C94" s="13"/>
    </row>
    <row r="95" spans="1:3" ht="13" x14ac:dyDescent="0.15">
      <c r="A95" s="10"/>
      <c r="B95" s="13"/>
      <c r="C95" s="13"/>
    </row>
    <row r="96" spans="1:3" ht="13" x14ac:dyDescent="0.15">
      <c r="A96" s="10"/>
      <c r="B96" s="13"/>
      <c r="C96" s="13"/>
    </row>
    <row r="97" spans="1:3" ht="13" x14ac:dyDescent="0.15">
      <c r="A97" s="10"/>
      <c r="B97" s="13"/>
      <c r="C97" s="13"/>
    </row>
    <row r="98" spans="1:3" ht="13" x14ac:dyDescent="0.15">
      <c r="A98" s="10"/>
      <c r="B98" s="13"/>
      <c r="C98" s="13"/>
    </row>
    <row r="99" spans="1:3" ht="13" x14ac:dyDescent="0.15">
      <c r="A99" s="10"/>
      <c r="B99" s="13"/>
      <c r="C99" s="13"/>
    </row>
    <row r="100" spans="1:3" ht="13" x14ac:dyDescent="0.15">
      <c r="A100" s="10"/>
      <c r="B100" s="13"/>
      <c r="C100" s="13"/>
    </row>
    <row r="101" spans="1:3" ht="13" x14ac:dyDescent="0.15">
      <c r="A101" s="10"/>
      <c r="B101" s="13"/>
      <c r="C101" s="13"/>
    </row>
    <row r="102" spans="1:3" ht="13" x14ac:dyDescent="0.15">
      <c r="A102" s="10"/>
      <c r="B102" s="13"/>
      <c r="C102" s="13"/>
    </row>
    <row r="103" spans="1:3" ht="13" x14ac:dyDescent="0.15">
      <c r="A103" s="10"/>
      <c r="B103" s="13"/>
      <c r="C103" s="13"/>
    </row>
    <row r="104" spans="1:3" ht="13" x14ac:dyDescent="0.15">
      <c r="A104" s="10"/>
      <c r="B104" s="13"/>
      <c r="C104" s="13"/>
    </row>
    <row r="105" spans="1:3" ht="13" x14ac:dyDescent="0.15">
      <c r="A105" s="10"/>
      <c r="B105" s="13"/>
      <c r="C105" s="13"/>
    </row>
    <row r="106" spans="1:3" ht="13" x14ac:dyDescent="0.15">
      <c r="A106" s="10"/>
      <c r="B106" s="13"/>
      <c r="C106" s="13"/>
    </row>
    <row r="107" spans="1:3" ht="13" x14ac:dyDescent="0.15">
      <c r="A107" s="10"/>
      <c r="B107" s="13"/>
      <c r="C107" s="13"/>
    </row>
    <row r="108" spans="1:3" ht="13" x14ac:dyDescent="0.15">
      <c r="A108" s="10"/>
      <c r="B108" s="13"/>
      <c r="C108" s="13"/>
    </row>
    <row r="109" spans="1:3" ht="13" x14ac:dyDescent="0.15">
      <c r="A109" s="10"/>
      <c r="B109" s="13"/>
      <c r="C109" s="13"/>
    </row>
    <row r="110" spans="1:3" ht="13" x14ac:dyDescent="0.15">
      <c r="A110" s="10"/>
      <c r="B110" s="13"/>
      <c r="C110" s="13"/>
    </row>
    <row r="111" spans="1:3" ht="13" x14ac:dyDescent="0.15">
      <c r="A111" s="10"/>
      <c r="B111" s="13"/>
      <c r="C111" s="13"/>
    </row>
    <row r="112" spans="1:3" ht="13" x14ac:dyDescent="0.15">
      <c r="A112" s="10"/>
      <c r="B112" s="13"/>
      <c r="C112" s="13"/>
    </row>
    <row r="113" spans="1:3" ht="13" x14ac:dyDescent="0.15">
      <c r="A113" s="10"/>
      <c r="B113" s="13"/>
      <c r="C113" s="13"/>
    </row>
    <row r="114" spans="1:3" ht="13" x14ac:dyDescent="0.15">
      <c r="A114" s="10"/>
      <c r="B114" s="13"/>
      <c r="C114" s="13"/>
    </row>
    <row r="115" spans="1:3" ht="13" x14ac:dyDescent="0.15">
      <c r="A115" s="10"/>
      <c r="B115" s="13"/>
      <c r="C115" s="13"/>
    </row>
    <row r="116" spans="1:3" ht="13" x14ac:dyDescent="0.15">
      <c r="A116" s="10"/>
      <c r="B116" s="13"/>
      <c r="C116" s="13"/>
    </row>
    <row r="117" spans="1:3" ht="13" x14ac:dyDescent="0.15">
      <c r="A117" s="10"/>
      <c r="B117" s="13"/>
      <c r="C117" s="13"/>
    </row>
    <row r="118" spans="1:3" ht="13" x14ac:dyDescent="0.15">
      <c r="A118" s="10"/>
      <c r="B118" s="13"/>
      <c r="C118" s="13"/>
    </row>
    <row r="119" spans="1:3" ht="13" x14ac:dyDescent="0.15">
      <c r="A119" s="10"/>
      <c r="B119" s="13"/>
      <c r="C119" s="13"/>
    </row>
    <row r="120" spans="1:3" ht="13" x14ac:dyDescent="0.15">
      <c r="A120" s="10"/>
      <c r="B120" s="13"/>
      <c r="C120" s="13"/>
    </row>
    <row r="121" spans="1:3" ht="13" x14ac:dyDescent="0.15">
      <c r="A121" s="10"/>
      <c r="B121" s="13"/>
      <c r="C121" s="13"/>
    </row>
    <row r="122" spans="1:3" ht="13" x14ac:dyDescent="0.15">
      <c r="A122" s="10"/>
      <c r="B122" s="13"/>
      <c r="C122" s="13"/>
    </row>
    <row r="123" spans="1:3" ht="13" x14ac:dyDescent="0.15">
      <c r="A123" s="10"/>
      <c r="B123" s="13"/>
      <c r="C123" s="13"/>
    </row>
    <row r="124" spans="1:3" ht="13" x14ac:dyDescent="0.15">
      <c r="A124" s="10"/>
      <c r="B124" s="13"/>
      <c r="C124" s="13"/>
    </row>
    <row r="125" spans="1:3" ht="13" x14ac:dyDescent="0.15">
      <c r="A125" s="10"/>
      <c r="B125" s="13"/>
      <c r="C125" s="13"/>
    </row>
    <row r="126" spans="1:3" ht="13" x14ac:dyDescent="0.15">
      <c r="A126" s="10"/>
      <c r="B126" s="13"/>
      <c r="C126" s="13"/>
    </row>
    <row r="127" spans="1:3" ht="13" x14ac:dyDescent="0.15">
      <c r="A127" s="10"/>
      <c r="B127" s="13"/>
      <c r="C127" s="13"/>
    </row>
    <row r="128" spans="1:3" ht="13" x14ac:dyDescent="0.15">
      <c r="A128" s="10"/>
      <c r="B128" s="13"/>
      <c r="C128" s="13"/>
    </row>
    <row r="129" spans="1:3" ht="13" x14ac:dyDescent="0.15">
      <c r="A129" s="10"/>
      <c r="B129" s="13"/>
      <c r="C129" s="13"/>
    </row>
    <row r="130" spans="1:3" ht="13" x14ac:dyDescent="0.15">
      <c r="A130" s="10"/>
      <c r="B130" s="13"/>
      <c r="C130" s="13"/>
    </row>
    <row r="131" spans="1:3" ht="13" x14ac:dyDescent="0.15">
      <c r="A131" s="10"/>
      <c r="B131" s="13"/>
      <c r="C131" s="13"/>
    </row>
    <row r="132" spans="1:3" ht="13" x14ac:dyDescent="0.15">
      <c r="A132" s="10"/>
      <c r="B132" s="13"/>
      <c r="C132" s="13"/>
    </row>
    <row r="133" spans="1:3" ht="13" x14ac:dyDescent="0.15">
      <c r="A133" s="10"/>
      <c r="B133" s="13"/>
      <c r="C133" s="13"/>
    </row>
    <row r="134" spans="1:3" ht="13" x14ac:dyDescent="0.15">
      <c r="A134" s="10"/>
      <c r="B134" s="13"/>
      <c r="C134" s="13"/>
    </row>
    <row r="135" spans="1:3" ht="13" x14ac:dyDescent="0.15">
      <c r="A135" s="10"/>
      <c r="B135" s="13"/>
      <c r="C135" s="13"/>
    </row>
    <row r="136" spans="1:3" ht="13" x14ac:dyDescent="0.15">
      <c r="A136" s="10"/>
      <c r="B136" s="13"/>
      <c r="C136" s="13"/>
    </row>
    <row r="137" spans="1:3" ht="13" x14ac:dyDescent="0.15">
      <c r="A137" s="10"/>
      <c r="B137" s="13"/>
      <c r="C137" s="13"/>
    </row>
    <row r="138" spans="1:3" ht="13" x14ac:dyDescent="0.15">
      <c r="A138" s="10"/>
      <c r="B138" s="13"/>
      <c r="C138" s="13"/>
    </row>
    <row r="139" spans="1:3" ht="13" x14ac:dyDescent="0.15">
      <c r="A139" s="10"/>
      <c r="B139" s="13"/>
      <c r="C139" s="13"/>
    </row>
    <row r="140" spans="1:3" ht="13" x14ac:dyDescent="0.15">
      <c r="A140" s="10"/>
      <c r="B140" s="13"/>
      <c r="C140" s="13"/>
    </row>
    <row r="141" spans="1:3" ht="13" x14ac:dyDescent="0.15">
      <c r="A141" s="10"/>
      <c r="B141" s="13"/>
      <c r="C141" s="13"/>
    </row>
    <row r="142" spans="1:3" ht="13" x14ac:dyDescent="0.15">
      <c r="A142" s="10"/>
      <c r="B142" s="13"/>
      <c r="C142" s="13"/>
    </row>
    <row r="143" spans="1:3" ht="13" x14ac:dyDescent="0.15">
      <c r="A143" s="10"/>
      <c r="B143" s="13"/>
      <c r="C143" s="13"/>
    </row>
    <row r="144" spans="1:3" ht="13" x14ac:dyDescent="0.15">
      <c r="A144" s="10"/>
      <c r="B144" s="13"/>
      <c r="C144" s="13"/>
    </row>
    <row r="145" spans="1:3" ht="13" x14ac:dyDescent="0.15">
      <c r="A145" s="10"/>
      <c r="B145" s="13"/>
      <c r="C145" s="13"/>
    </row>
    <row r="146" spans="1:3" ht="13" x14ac:dyDescent="0.15">
      <c r="A146" s="10"/>
      <c r="B146" s="13"/>
      <c r="C146" s="13"/>
    </row>
    <row r="147" spans="1:3" ht="13" x14ac:dyDescent="0.15">
      <c r="A147" s="10"/>
      <c r="B147" s="13"/>
      <c r="C147" s="13"/>
    </row>
    <row r="148" spans="1:3" ht="13" x14ac:dyDescent="0.15">
      <c r="A148" s="10"/>
      <c r="B148" s="13"/>
      <c r="C148" s="13"/>
    </row>
    <row r="149" spans="1:3" ht="13" x14ac:dyDescent="0.15">
      <c r="A149" s="10"/>
      <c r="B149" s="13"/>
      <c r="C149" s="13"/>
    </row>
    <row r="150" spans="1:3" ht="13" x14ac:dyDescent="0.15">
      <c r="A150" s="10"/>
      <c r="B150" s="13"/>
      <c r="C150" s="13"/>
    </row>
    <row r="151" spans="1:3" ht="13" x14ac:dyDescent="0.15">
      <c r="A151" s="10"/>
      <c r="B151" s="13"/>
      <c r="C151" s="13"/>
    </row>
    <row r="152" spans="1:3" ht="13" x14ac:dyDescent="0.15">
      <c r="A152" s="10"/>
      <c r="B152" s="13"/>
      <c r="C152" s="13"/>
    </row>
    <row r="153" spans="1:3" ht="13" x14ac:dyDescent="0.15">
      <c r="A153" s="10"/>
      <c r="B153" s="13"/>
      <c r="C153" s="13"/>
    </row>
    <row r="154" spans="1:3" ht="13" x14ac:dyDescent="0.15">
      <c r="A154" s="10"/>
      <c r="B154" s="13"/>
      <c r="C154" s="13"/>
    </row>
    <row r="155" spans="1:3" ht="13" x14ac:dyDescent="0.15">
      <c r="A155" s="10"/>
      <c r="B155" s="13"/>
      <c r="C155" s="13"/>
    </row>
    <row r="156" spans="1:3" ht="13" x14ac:dyDescent="0.15">
      <c r="A156" s="10"/>
      <c r="B156" s="13"/>
      <c r="C156" s="13"/>
    </row>
    <row r="157" spans="1:3" ht="13" x14ac:dyDescent="0.15">
      <c r="A157" s="10"/>
      <c r="B157" s="13"/>
      <c r="C157" s="13"/>
    </row>
    <row r="158" spans="1:3" ht="13" x14ac:dyDescent="0.15">
      <c r="A158" s="10"/>
      <c r="B158" s="13"/>
      <c r="C158" s="13"/>
    </row>
    <row r="159" spans="1:3" ht="13" x14ac:dyDescent="0.15">
      <c r="A159" s="10"/>
      <c r="B159" s="13"/>
      <c r="C159" s="13"/>
    </row>
    <row r="160" spans="1:3" ht="13" x14ac:dyDescent="0.15">
      <c r="A160" s="10"/>
      <c r="B160" s="13"/>
      <c r="C160" s="13"/>
    </row>
    <row r="161" spans="1:3" ht="13" x14ac:dyDescent="0.15">
      <c r="A161" s="10"/>
      <c r="B161" s="13"/>
      <c r="C161" s="13"/>
    </row>
    <row r="162" spans="1:3" ht="13" x14ac:dyDescent="0.15">
      <c r="A162" s="10"/>
      <c r="B162" s="13"/>
      <c r="C162" s="13"/>
    </row>
    <row r="163" spans="1:3" ht="13" x14ac:dyDescent="0.15">
      <c r="A163" s="10"/>
      <c r="B163" s="13"/>
      <c r="C163" s="13"/>
    </row>
    <row r="164" spans="1:3" ht="13" x14ac:dyDescent="0.15">
      <c r="A164" s="10"/>
      <c r="B164" s="13"/>
      <c r="C164" s="13"/>
    </row>
    <row r="165" spans="1:3" ht="13" x14ac:dyDescent="0.15">
      <c r="A165" s="10"/>
      <c r="B165" s="13"/>
      <c r="C165" s="13"/>
    </row>
    <row r="166" spans="1:3" ht="13" x14ac:dyDescent="0.15">
      <c r="A166" s="10"/>
      <c r="B166" s="13"/>
      <c r="C166" s="13"/>
    </row>
    <row r="167" spans="1:3" ht="13" x14ac:dyDescent="0.15">
      <c r="A167" s="10"/>
      <c r="B167" s="13"/>
      <c r="C167" s="13"/>
    </row>
    <row r="168" spans="1:3" ht="13" x14ac:dyDescent="0.15">
      <c r="A168" s="10"/>
      <c r="B168" s="13"/>
      <c r="C168" s="13"/>
    </row>
    <row r="169" spans="1:3" ht="13" x14ac:dyDescent="0.15">
      <c r="A169" s="10"/>
      <c r="B169" s="13"/>
      <c r="C169" s="13"/>
    </row>
    <row r="170" spans="1:3" ht="13" x14ac:dyDescent="0.15">
      <c r="A170" s="10"/>
      <c r="B170" s="13"/>
      <c r="C170" s="13"/>
    </row>
    <row r="171" spans="1:3" ht="13" x14ac:dyDescent="0.15">
      <c r="A171" s="10"/>
      <c r="B171" s="13"/>
      <c r="C171" s="13"/>
    </row>
    <row r="172" spans="1:3" ht="13" x14ac:dyDescent="0.15">
      <c r="A172" s="10"/>
      <c r="B172" s="13"/>
      <c r="C172" s="13"/>
    </row>
    <row r="173" spans="1:3" ht="13" x14ac:dyDescent="0.15">
      <c r="A173" s="10"/>
      <c r="B173" s="13"/>
      <c r="C173" s="13"/>
    </row>
    <row r="174" spans="1:3" ht="13" x14ac:dyDescent="0.15">
      <c r="A174" s="10"/>
      <c r="B174" s="13"/>
      <c r="C174" s="13"/>
    </row>
    <row r="175" spans="1:3" ht="13" x14ac:dyDescent="0.15">
      <c r="A175" s="10"/>
      <c r="B175" s="13"/>
      <c r="C175" s="13"/>
    </row>
    <row r="176" spans="1:3" ht="13" x14ac:dyDescent="0.15">
      <c r="A176" s="10"/>
      <c r="B176" s="13"/>
      <c r="C176" s="13"/>
    </row>
    <row r="177" spans="1:3" ht="13" x14ac:dyDescent="0.15">
      <c r="A177" s="10"/>
      <c r="B177" s="13"/>
      <c r="C177" s="13"/>
    </row>
    <row r="178" spans="1:3" ht="13" x14ac:dyDescent="0.15">
      <c r="A178" s="10"/>
      <c r="B178" s="13"/>
      <c r="C178" s="13"/>
    </row>
    <row r="179" spans="1:3" ht="13" x14ac:dyDescent="0.15">
      <c r="A179" s="10"/>
      <c r="B179" s="13"/>
      <c r="C179" s="13"/>
    </row>
    <row r="180" spans="1:3" ht="13" x14ac:dyDescent="0.15">
      <c r="A180" s="10"/>
      <c r="B180" s="13"/>
      <c r="C180" s="13"/>
    </row>
    <row r="181" spans="1:3" ht="13" x14ac:dyDescent="0.15">
      <c r="A181" s="10"/>
      <c r="B181" s="13"/>
      <c r="C181" s="13"/>
    </row>
    <row r="182" spans="1:3" ht="13" x14ac:dyDescent="0.15">
      <c r="A182" s="10"/>
      <c r="B182" s="13"/>
      <c r="C182" s="13"/>
    </row>
    <row r="183" spans="1:3" ht="13" x14ac:dyDescent="0.15">
      <c r="A183" s="10"/>
      <c r="B183" s="13"/>
      <c r="C183" s="13"/>
    </row>
    <row r="184" spans="1:3" ht="13" x14ac:dyDescent="0.15">
      <c r="A184" s="10"/>
      <c r="B184" s="13"/>
      <c r="C184" s="13"/>
    </row>
    <row r="185" spans="1:3" ht="13" x14ac:dyDescent="0.15">
      <c r="A185" s="10"/>
      <c r="B185" s="13"/>
      <c r="C185" s="13"/>
    </row>
    <row r="186" spans="1:3" ht="13" x14ac:dyDescent="0.15">
      <c r="A186" s="10"/>
      <c r="B186" s="13"/>
      <c r="C186" s="13"/>
    </row>
    <row r="187" spans="1:3" ht="13" x14ac:dyDescent="0.15">
      <c r="A187" s="10"/>
      <c r="B187" s="13"/>
      <c r="C187" s="13"/>
    </row>
    <row r="188" spans="1:3" ht="13" x14ac:dyDescent="0.15">
      <c r="A188" s="10"/>
      <c r="B188" s="13"/>
      <c r="C188" s="13"/>
    </row>
    <row r="189" spans="1:3" ht="13" x14ac:dyDescent="0.15">
      <c r="A189" s="10"/>
      <c r="B189" s="13"/>
      <c r="C189" s="13"/>
    </row>
    <row r="190" spans="1:3" ht="13" x14ac:dyDescent="0.15">
      <c r="A190" s="10"/>
      <c r="B190" s="13"/>
      <c r="C190" s="13"/>
    </row>
    <row r="191" spans="1:3" ht="13" x14ac:dyDescent="0.15">
      <c r="A191" s="10"/>
      <c r="B191" s="13"/>
      <c r="C191" s="13"/>
    </row>
    <row r="192" spans="1:3" ht="13" x14ac:dyDescent="0.15">
      <c r="A192" s="10"/>
      <c r="B192" s="13"/>
      <c r="C192" s="13"/>
    </row>
    <row r="193" spans="1:3" ht="13" x14ac:dyDescent="0.15">
      <c r="A193" s="10"/>
      <c r="B193" s="13"/>
      <c r="C193" s="13"/>
    </row>
    <row r="194" spans="1:3" ht="13" x14ac:dyDescent="0.15">
      <c r="A194" s="10"/>
      <c r="B194" s="13"/>
      <c r="C194" s="13"/>
    </row>
    <row r="195" spans="1:3" ht="13" x14ac:dyDescent="0.15">
      <c r="A195" s="10"/>
      <c r="B195" s="13"/>
      <c r="C195" s="13"/>
    </row>
    <row r="196" spans="1:3" ht="13" x14ac:dyDescent="0.15">
      <c r="A196" s="10"/>
      <c r="B196" s="13"/>
      <c r="C196" s="13"/>
    </row>
    <row r="197" spans="1:3" ht="13" x14ac:dyDescent="0.15">
      <c r="A197" s="10"/>
      <c r="B197" s="13"/>
      <c r="C197" s="13"/>
    </row>
    <row r="198" spans="1:3" ht="13" x14ac:dyDescent="0.15">
      <c r="A198" s="10"/>
      <c r="B198" s="13"/>
      <c r="C198" s="13"/>
    </row>
    <row r="199" spans="1:3" ht="13" x14ac:dyDescent="0.15">
      <c r="A199" s="10"/>
      <c r="B199" s="13"/>
      <c r="C199" s="13"/>
    </row>
    <row r="200" spans="1:3" ht="13" x14ac:dyDescent="0.15">
      <c r="A200" s="10"/>
      <c r="B200" s="13"/>
      <c r="C200" s="13"/>
    </row>
    <row r="201" spans="1:3" ht="13" x14ac:dyDescent="0.15">
      <c r="A201" s="10"/>
      <c r="B201" s="13"/>
      <c r="C201" s="13"/>
    </row>
    <row r="202" spans="1:3" ht="13" x14ac:dyDescent="0.15">
      <c r="A202" s="10"/>
      <c r="B202" s="13"/>
      <c r="C202" s="13"/>
    </row>
    <row r="203" spans="1:3" ht="13" x14ac:dyDescent="0.15">
      <c r="A203" s="10"/>
      <c r="B203" s="13"/>
      <c r="C203" s="13"/>
    </row>
    <row r="204" spans="1:3" ht="13" x14ac:dyDescent="0.15">
      <c r="A204" s="10"/>
      <c r="B204" s="13"/>
      <c r="C204" s="13"/>
    </row>
    <row r="205" spans="1:3" ht="13" x14ac:dyDescent="0.15">
      <c r="A205" s="10"/>
      <c r="B205" s="13"/>
      <c r="C205" s="13"/>
    </row>
    <row r="206" spans="1:3" ht="13" x14ac:dyDescent="0.15">
      <c r="A206" s="10"/>
      <c r="B206" s="13"/>
      <c r="C206" s="13"/>
    </row>
    <row r="207" spans="1:3" ht="13" x14ac:dyDescent="0.15">
      <c r="A207" s="10"/>
      <c r="B207" s="13"/>
      <c r="C207" s="13"/>
    </row>
    <row r="208" spans="1:3" ht="13" x14ac:dyDescent="0.15">
      <c r="A208" s="10"/>
      <c r="B208" s="13"/>
      <c r="C208" s="13"/>
    </row>
    <row r="209" spans="1:3" ht="13" x14ac:dyDescent="0.15">
      <c r="A209" s="10"/>
      <c r="B209" s="13"/>
      <c r="C209" s="13"/>
    </row>
    <row r="210" spans="1:3" ht="13" x14ac:dyDescent="0.15">
      <c r="A210" s="10"/>
      <c r="B210" s="13"/>
      <c r="C210" s="13"/>
    </row>
    <row r="211" spans="1:3" ht="13" x14ac:dyDescent="0.15">
      <c r="A211" s="10"/>
      <c r="B211" s="13"/>
      <c r="C211" s="13"/>
    </row>
    <row r="212" spans="1:3" ht="13" x14ac:dyDescent="0.15">
      <c r="A212" s="10"/>
      <c r="B212" s="13"/>
      <c r="C212" s="13"/>
    </row>
    <row r="213" spans="1:3" ht="13" x14ac:dyDescent="0.15">
      <c r="A213" s="10"/>
      <c r="B213" s="13"/>
      <c r="C213" s="13"/>
    </row>
    <row r="214" spans="1:3" ht="13" x14ac:dyDescent="0.15">
      <c r="A214" s="10"/>
      <c r="B214" s="13"/>
      <c r="C214" s="13"/>
    </row>
    <row r="215" spans="1:3" ht="13" x14ac:dyDescent="0.15">
      <c r="A215" s="10"/>
      <c r="B215" s="13"/>
      <c r="C215" s="13"/>
    </row>
    <row r="216" spans="1:3" ht="13" x14ac:dyDescent="0.15">
      <c r="A216" s="10"/>
      <c r="B216" s="13"/>
      <c r="C216" s="13"/>
    </row>
    <row r="217" spans="1:3" ht="13" x14ac:dyDescent="0.15">
      <c r="A217" s="10"/>
      <c r="B217" s="13"/>
      <c r="C217" s="13"/>
    </row>
    <row r="218" spans="1:3" ht="13" x14ac:dyDescent="0.15">
      <c r="A218" s="10"/>
      <c r="B218" s="13"/>
      <c r="C218" s="13"/>
    </row>
    <row r="219" spans="1:3" ht="13" x14ac:dyDescent="0.15">
      <c r="A219" s="10"/>
      <c r="B219" s="13"/>
      <c r="C219" s="13"/>
    </row>
    <row r="220" spans="1:3" ht="13" x14ac:dyDescent="0.15">
      <c r="A220" s="10"/>
      <c r="B220" s="13"/>
      <c r="C220" s="13"/>
    </row>
    <row r="221" spans="1:3" ht="13" x14ac:dyDescent="0.15">
      <c r="A221" s="10"/>
      <c r="B221" s="13"/>
      <c r="C221" s="13"/>
    </row>
    <row r="222" spans="1:3" ht="13" x14ac:dyDescent="0.15">
      <c r="A222" s="10"/>
      <c r="B222" s="13"/>
      <c r="C222" s="13"/>
    </row>
    <row r="223" spans="1:3" ht="13" x14ac:dyDescent="0.15">
      <c r="A223" s="10"/>
      <c r="B223" s="13"/>
      <c r="C223" s="13"/>
    </row>
    <row r="224" spans="1:3" ht="13" x14ac:dyDescent="0.15">
      <c r="A224" s="10"/>
      <c r="B224" s="13"/>
      <c r="C224" s="13"/>
    </row>
    <row r="225" spans="1:3" ht="13" x14ac:dyDescent="0.15">
      <c r="A225" s="10"/>
      <c r="B225" s="13"/>
      <c r="C225" s="13"/>
    </row>
    <row r="226" spans="1:3" ht="13" x14ac:dyDescent="0.15">
      <c r="A226" s="10"/>
      <c r="B226" s="13"/>
      <c r="C226" s="13"/>
    </row>
    <row r="227" spans="1:3" ht="13" x14ac:dyDescent="0.15">
      <c r="A227" s="10"/>
      <c r="B227" s="13"/>
      <c r="C227" s="13"/>
    </row>
    <row r="228" spans="1:3" ht="13" x14ac:dyDescent="0.15">
      <c r="A228" s="10"/>
      <c r="B228" s="13"/>
      <c r="C228" s="13"/>
    </row>
    <row r="229" spans="1:3" ht="13" x14ac:dyDescent="0.15">
      <c r="A229" s="10"/>
      <c r="B229" s="13"/>
      <c r="C229" s="13"/>
    </row>
    <row r="230" spans="1:3" ht="13" x14ac:dyDescent="0.15">
      <c r="A230" s="10"/>
      <c r="B230" s="13"/>
      <c r="C230" s="13"/>
    </row>
    <row r="231" spans="1:3" ht="13" x14ac:dyDescent="0.15">
      <c r="A231" s="10"/>
      <c r="B231" s="13"/>
      <c r="C231" s="13"/>
    </row>
    <row r="232" spans="1:3" ht="13" x14ac:dyDescent="0.15">
      <c r="A232" s="10"/>
      <c r="B232" s="13"/>
      <c r="C232" s="13"/>
    </row>
    <row r="233" spans="1:3" ht="13" x14ac:dyDescent="0.15">
      <c r="A233" s="10"/>
      <c r="B233" s="13"/>
      <c r="C233" s="13"/>
    </row>
    <row r="234" spans="1:3" ht="13" x14ac:dyDescent="0.15">
      <c r="A234" s="10"/>
      <c r="B234" s="13"/>
      <c r="C234" s="13"/>
    </row>
    <row r="235" spans="1:3" ht="13" x14ac:dyDescent="0.15">
      <c r="A235" s="10"/>
      <c r="B235" s="13"/>
      <c r="C235" s="13"/>
    </row>
    <row r="236" spans="1:3" ht="13" x14ac:dyDescent="0.15">
      <c r="A236" s="10"/>
      <c r="B236" s="13"/>
      <c r="C236" s="13"/>
    </row>
    <row r="237" spans="1:3" ht="13" x14ac:dyDescent="0.15">
      <c r="A237" s="10"/>
      <c r="B237" s="13"/>
      <c r="C237" s="13"/>
    </row>
    <row r="238" spans="1:3" ht="13" x14ac:dyDescent="0.15">
      <c r="A238" s="10"/>
      <c r="B238" s="13"/>
      <c r="C238" s="13"/>
    </row>
    <row r="239" spans="1:3" ht="13" x14ac:dyDescent="0.15">
      <c r="A239" s="10"/>
      <c r="B239" s="13"/>
      <c r="C239" s="13"/>
    </row>
    <row r="240" spans="1:3" ht="13" x14ac:dyDescent="0.15">
      <c r="A240" s="10"/>
      <c r="B240" s="13"/>
      <c r="C240" s="13"/>
    </row>
    <row r="241" spans="1:3" ht="13" x14ac:dyDescent="0.15">
      <c r="A241" s="10"/>
      <c r="B241" s="13"/>
      <c r="C241" s="13"/>
    </row>
    <row r="242" spans="1:3" ht="13" x14ac:dyDescent="0.15">
      <c r="A242" s="10"/>
      <c r="B242" s="13"/>
      <c r="C242" s="13"/>
    </row>
    <row r="243" spans="1:3" ht="13" x14ac:dyDescent="0.15">
      <c r="A243" s="10"/>
      <c r="B243" s="13"/>
      <c r="C243" s="13"/>
    </row>
    <row r="244" spans="1:3" ht="13" x14ac:dyDescent="0.15">
      <c r="A244" s="10"/>
      <c r="B244" s="13"/>
      <c r="C244" s="13"/>
    </row>
    <row r="245" spans="1:3" ht="13" x14ac:dyDescent="0.15">
      <c r="A245" s="10"/>
      <c r="B245" s="13"/>
      <c r="C245" s="13"/>
    </row>
    <row r="246" spans="1:3" ht="13" x14ac:dyDescent="0.15">
      <c r="A246" s="10"/>
      <c r="B246" s="13"/>
      <c r="C246" s="13"/>
    </row>
    <row r="247" spans="1:3" ht="13" x14ac:dyDescent="0.15">
      <c r="A247" s="10"/>
      <c r="B247" s="13"/>
      <c r="C247" s="13"/>
    </row>
    <row r="248" spans="1:3" ht="13" x14ac:dyDescent="0.15">
      <c r="A248" s="10"/>
      <c r="B248" s="13"/>
      <c r="C248" s="13"/>
    </row>
    <row r="249" spans="1:3" ht="13" x14ac:dyDescent="0.15">
      <c r="A249" s="10"/>
      <c r="B249" s="13"/>
      <c r="C249" s="13"/>
    </row>
    <row r="250" spans="1:3" ht="13" x14ac:dyDescent="0.15">
      <c r="A250" s="10"/>
      <c r="B250" s="13"/>
      <c r="C250" s="13"/>
    </row>
    <row r="251" spans="1:3" ht="13" x14ac:dyDescent="0.15">
      <c r="A251" s="10"/>
      <c r="B251" s="13"/>
      <c r="C251" s="13"/>
    </row>
    <row r="252" spans="1:3" ht="13" x14ac:dyDescent="0.15">
      <c r="A252" s="10"/>
      <c r="B252" s="13"/>
      <c r="C252" s="13"/>
    </row>
    <row r="253" spans="1:3" ht="13" x14ac:dyDescent="0.15">
      <c r="A253" s="10"/>
      <c r="B253" s="13"/>
      <c r="C253" s="13"/>
    </row>
    <row r="254" spans="1:3" ht="13" x14ac:dyDescent="0.15">
      <c r="A254" s="10"/>
      <c r="B254" s="13"/>
      <c r="C254" s="13"/>
    </row>
    <row r="255" spans="1:3" ht="13" x14ac:dyDescent="0.15">
      <c r="A255" s="10"/>
      <c r="B255" s="13"/>
      <c r="C255" s="13"/>
    </row>
    <row r="256" spans="1:3" ht="13" x14ac:dyDescent="0.15">
      <c r="A256" s="10"/>
      <c r="B256" s="13"/>
      <c r="C256" s="13"/>
    </row>
    <row r="257" spans="1:3" ht="13" x14ac:dyDescent="0.15">
      <c r="A257" s="10"/>
      <c r="B257" s="13"/>
      <c r="C257" s="13"/>
    </row>
    <row r="258" spans="1:3" ht="13" x14ac:dyDescent="0.15">
      <c r="A258" s="10"/>
      <c r="B258" s="13"/>
      <c r="C258" s="13"/>
    </row>
    <row r="259" spans="1:3" ht="13" x14ac:dyDescent="0.15">
      <c r="A259" s="10"/>
      <c r="B259" s="13"/>
      <c r="C259" s="13"/>
    </row>
    <row r="260" spans="1:3" ht="13" x14ac:dyDescent="0.15">
      <c r="A260" s="10"/>
      <c r="B260" s="13"/>
      <c r="C260" s="13"/>
    </row>
    <row r="261" spans="1:3" ht="13" x14ac:dyDescent="0.15">
      <c r="A261" s="10"/>
      <c r="B261" s="13"/>
      <c r="C261" s="13"/>
    </row>
    <row r="262" spans="1:3" ht="13" x14ac:dyDescent="0.15">
      <c r="A262" s="10"/>
      <c r="B262" s="13"/>
      <c r="C262" s="13"/>
    </row>
    <row r="263" spans="1:3" ht="13" x14ac:dyDescent="0.15">
      <c r="A263" s="10"/>
      <c r="B263" s="13"/>
      <c r="C263" s="13"/>
    </row>
    <row r="264" spans="1:3" ht="13" x14ac:dyDescent="0.15">
      <c r="A264" s="10"/>
      <c r="B264" s="13"/>
      <c r="C264" s="13"/>
    </row>
    <row r="265" spans="1:3" ht="13" x14ac:dyDescent="0.15">
      <c r="A265" s="10"/>
      <c r="B265" s="13"/>
      <c r="C265" s="13"/>
    </row>
    <row r="266" spans="1:3" ht="13" x14ac:dyDescent="0.15">
      <c r="A266" s="10"/>
      <c r="B266" s="13"/>
      <c r="C266" s="13"/>
    </row>
    <row r="267" spans="1:3" ht="13" x14ac:dyDescent="0.15">
      <c r="A267" s="10"/>
      <c r="B267" s="13"/>
      <c r="C267" s="13"/>
    </row>
    <row r="268" spans="1:3" ht="13" x14ac:dyDescent="0.15">
      <c r="A268" s="10"/>
      <c r="B268" s="13"/>
      <c r="C268" s="13"/>
    </row>
    <row r="269" spans="1:3" ht="13" x14ac:dyDescent="0.15">
      <c r="A269" s="10"/>
      <c r="B269" s="13"/>
      <c r="C269" s="13"/>
    </row>
    <row r="270" spans="1:3" ht="13" x14ac:dyDescent="0.15">
      <c r="A270" s="10"/>
      <c r="B270" s="13"/>
      <c r="C270" s="13"/>
    </row>
    <row r="271" spans="1:3" ht="13" x14ac:dyDescent="0.15">
      <c r="A271" s="10"/>
      <c r="B271" s="13"/>
      <c r="C271" s="13"/>
    </row>
    <row r="272" spans="1:3" ht="13" x14ac:dyDescent="0.15">
      <c r="A272" s="10"/>
      <c r="B272" s="13"/>
      <c r="C272" s="13"/>
    </row>
    <row r="273" spans="1:3" ht="13" x14ac:dyDescent="0.15">
      <c r="A273" s="10"/>
      <c r="B273" s="13"/>
      <c r="C273" s="13"/>
    </row>
    <row r="274" spans="1:3" ht="13" x14ac:dyDescent="0.15">
      <c r="A274" s="10"/>
      <c r="B274" s="13"/>
      <c r="C274" s="13"/>
    </row>
    <row r="275" spans="1:3" ht="13" x14ac:dyDescent="0.15">
      <c r="A275" s="10"/>
      <c r="B275" s="13"/>
      <c r="C275" s="13"/>
    </row>
    <row r="276" spans="1:3" ht="13" x14ac:dyDescent="0.15">
      <c r="A276" s="10"/>
      <c r="B276" s="13"/>
      <c r="C276" s="13"/>
    </row>
    <row r="277" spans="1:3" ht="13" x14ac:dyDescent="0.15">
      <c r="A277" s="10"/>
      <c r="B277" s="13"/>
      <c r="C277" s="13"/>
    </row>
    <row r="278" spans="1:3" ht="13" x14ac:dyDescent="0.15">
      <c r="A278" s="10"/>
      <c r="B278" s="13"/>
      <c r="C278" s="13"/>
    </row>
    <row r="279" spans="1:3" ht="13" x14ac:dyDescent="0.15">
      <c r="A279" s="10"/>
      <c r="B279" s="13"/>
      <c r="C279" s="13"/>
    </row>
    <row r="280" spans="1:3" ht="13" x14ac:dyDescent="0.15">
      <c r="A280" s="10"/>
      <c r="B280" s="13"/>
      <c r="C280" s="13"/>
    </row>
    <row r="281" spans="1:3" ht="13" x14ac:dyDescent="0.15">
      <c r="A281" s="10"/>
      <c r="B281" s="13"/>
      <c r="C281" s="13"/>
    </row>
    <row r="282" spans="1:3" ht="13" x14ac:dyDescent="0.15">
      <c r="A282" s="10"/>
      <c r="B282" s="13"/>
      <c r="C282" s="13"/>
    </row>
    <row r="283" spans="1:3" ht="13" x14ac:dyDescent="0.15">
      <c r="A283" s="10"/>
      <c r="B283" s="13"/>
      <c r="C283" s="13"/>
    </row>
    <row r="284" spans="1:3" ht="13" x14ac:dyDescent="0.15">
      <c r="A284" s="10"/>
      <c r="B284" s="13"/>
      <c r="C284" s="13"/>
    </row>
    <row r="285" spans="1:3" ht="13" x14ac:dyDescent="0.15">
      <c r="A285" s="10"/>
      <c r="B285" s="13"/>
      <c r="C285" s="13"/>
    </row>
    <row r="286" spans="1:3" ht="13" x14ac:dyDescent="0.15">
      <c r="A286" s="10"/>
      <c r="B286" s="13"/>
      <c r="C286" s="13"/>
    </row>
    <row r="287" spans="1:3" ht="13" x14ac:dyDescent="0.15">
      <c r="A287" s="10"/>
      <c r="B287" s="13"/>
      <c r="C287" s="13"/>
    </row>
    <row r="288" spans="1:3" ht="13" x14ac:dyDescent="0.15">
      <c r="A288" s="10"/>
      <c r="B288" s="13"/>
      <c r="C288" s="13"/>
    </row>
    <row r="289" spans="1:3" ht="13" x14ac:dyDescent="0.15">
      <c r="A289" s="10"/>
      <c r="B289" s="13"/>
      <c r="C289" s="13"/>
    </row>
    <row r="290" spans="1:3" ht="13" x14ac:dyDescent="0.15">
      <c r="A290" s="10"/>
      <c r="B290" s="13"/>
      <c r="C290" s="13"/>
    </row>
    <row r="291" spans="1:3" ht="13" x14ac:dyDescent="0.15">
      <c r="A291" s="10"/>
      <c r="B291" s="13"/>
      <c r="C291" s="13"/>
    </row>
    <row r="292" spans="1:3" ht="13" x14ac:dyDescent="0.15">
      <c r="A292" s="10"/>
      <c r="B292" s="13"/>
      <c r="C292" s="13"/>
    </row>
    <row r="293" spans="1:3" ht="13" x14ac:dyDescent="0.15">
      <c r="A293" s="10"/>
      <c r="B293" s="13"/>
      <c r="C293" s="13"/>
    </row>
    <row r="294" spans="1:3" ht="13" x14ac:dyDescent="0.15">
      <c r="A294" s="10"/>
      <c r="B294" s="13"/>
      <c r="C294" s="13"/>
    </row>
    <row r="295" spans="1:3" ht="13" x14ac:dyDescent="0.15">
      <c r="A295" s="10"/>
      <c r="B295" s="13"/>
      <c r="C295" s="13"/>
    </row>
    <row r="296" spans="1:3" ht="13" x14ac:dyDescent="0.15">
      <c r="A296" s="10"/>
      <c r="B296" s="13"/>
      <c r="C296" s="13"/>
    </row>
    <row r="297" spans="1:3" ht="13" x14ac:dyDescent="0.15">
      <c r="A297" s="10"/>
      <c r="B297" s="13"/>
      <c r="C297" s="13"/>
    </row>
    <row r="298" spans="1:3" ht="13" x14ac:dyDescent="0.15">
      <c r="A298" s="10"/>
      <c r="B298" s="13"/>
      <c r="C298" s="13"/>
    </row>
    <row r="299" spans="1:3" ht="13" x14ac:dyDescent="0.15">
      <c r="A299" s="10"/>
      <c r="B299" s="13"/>
      <c r="C299" s="13"/>
    </row>
    <row r="300" spans="1:3" ht="13" x14ac:dyDescent="0.15">
      <c r="A300" s="10"/>
      <c r="B300" s="13"/>
      <c r="C300" s="13"/>
    </row>
    <row r="301" spans="1:3" ht="13" x14ac:dyDescent="0.15">
      <c r="A301" s="10"/>
      <c r="B301" s="13"/>
      <c r="C301" s="13"/>
    </row>
    <row r="302" spans="1:3" ht="13" x14ac:dyDescent="0.15">
      <c r="A302" s="10"/>
      <c r="B302" s="13"/>
      <c r="C302" s="13"/>
    </row>
    <row r="303" spans="1:3" ht="13" x14ac:dyDescent="0.15">
      <c r="A303" s="10"/>
      <c r="B303" s="13"/>
      <c r="C303" s="13"/>
    </row>
    <row r="304" spans="1:3" ht="13" x14ac:dyDescent="0.15">
      <c r="A304" s="10"/>
      <c r="B304" s="13"/>
      <c r="C304" s="13"/>
    </row>
    <row r="305" spans="1:3" ht="13" x14ac:dyDescent="0.15">
      <c r="A305" s="10"/>
      <c r="B305" s="13"/>
      <c r="C305" s="13"/>
    </row>
    <row r="306" spans="1:3" ht="13" x14ac:dyDescent="0.15">
      <c r="A306" s="10"/>
      <c r="B306" s="13"/>
      <c r="C306" s="13"/>
    </row>
    <row r="307" spans="1:3" ht="13" x14ac:dyDescent="0.15">
      <c r="A307" s="10"/>
      <c r="B307" s="13"/>
      <c r="C307" s="13"/>
    </row>
    <row r="308" spans="1:3" ht="13" x14ac:dyDescent="0.15">
      <c r="A308" s="10"/>
      <c r="B308" s="13"/>
      <c r="C308" s="13"/>
    </row>
    <row r="309" spans="1:3" ht="13" x14ac:dyDescent="0.15">
      <c r="A309" s="10"/>
      <c r="B309" s="13"/>
      <c r="C309" s="13"/>
    </row>
    <row r="310" spans="1:3" ht="13" x14ac:dyDescent="0.15">
      <c r="A310" s="10"/>
      <c r="B310" s="13"/>
      <c r="C310" s="13"/>
    </row>
    <row r="311" spans="1:3" ht="13" x14ac:dyDescent="0.15">
      <c r="A311" s="10"/>
      <c r="B311" s="13"/>
      <c r="C311" s="13"/>
    </row>
    <row r="312" spans="1:3" ht="13" x14ac:dyDescent="0.15">
      <c r="A312" s="10"/>
      <c r="B312" s="13"/>
      <c r="C312" s="13"/>
    </row>
    <row r="313" spans="1:3" ht="13" x14ac:dyDescent="0.15">
      <c r="A313" s="10"/>
      <c r="B313" s="13"/>
      <c r="C313" s="13"/>
    </row>
    <row r="314" spans="1:3" ht="13" x14ac:dyDescent="0.15">
      <c r="A314" s="10"/>
      <c r="B314" s="13"/>
      <c r="C314" s="13"/>
    </row>
    <row r="315" spans="1:3" ht="13" x14ac:dyDescent="0.15">
      <c r="A315" s="10"/>
      <c r="B315" s="13"/>
      <c r="C315" s="13"/>
    </row>
    <row r="316" spans="1:3" ht="13" x14ac:dyDescent="0.15">
      <c r="A316" s="10"/>
      <c r="B316" s="13"/>
      <c r="C316" s="13"/>
    </row>
    <row r="317" spans="1:3" ht="13" x14ac:dyDescent="0.15">
      <c r="A317" s="10"/>
      <c r="B317" s="13"/>
      <c r="C317" s="13"/>
    </row>
    <row r="318" spans="1:3" ht="13" x14ac:dyDescent="0.15">
      <c r="A318" s="10"/>
      <c r="B318" s="13"/>
      <c r="C318" s="13"/>
    </row>
    <row r="319" spans="1:3" ht="13" x14ac:dyDescent="0.15">
      <c r="A319" s="10"/>
      <c r="B319" s="13"/>
      <c r="C319" s="13"/>
    </row>
    <row r="320" spans="1:3" ht="13" x14ac:dyDescent="0.15">
      <c r="A320" s="10"/>
      <c r="B320" s="13"/>
      <c r="C320" s="13"/>
    </row>
    <row r="321" spans="1:3" ht="13" x14ac:dyDescent="0.15">
      <c r="A321" s="10"/>
      <c r="B321" s="13"/>
      <c r="C321" s="13"/>
    </row>
    <row r="322" spans="1:3" ht="13" x14ac:dyDescent="0.15">
      <c r="A322" s="10"/>
      <c r="B322" s="13"/>
      <c r="C322" s="13"/>
    </row>
    <row r="323" spans="1:3" ht="13" x14ac:dyDescent="0.15">
      <c r="A323" s="10"/>
      <c r="B323" s="13"/>
      <c r="C323" s="13"/>
    </row>
    <row r="324" spans="1:3" ht="13" x14ac:dyDescent="0.15">
      <c r="A324" s="10"/>
      <c r="B324" s="13"/>
      <c r="C324" s="13"/>
    </row>
    <row r="325" spans="1:3" ht="13" x14ac:dyDescent="0.15">
      <c r="A325" s="10"/>
      <c r="B325" s="13"/>
      <c r="C325" s="13"/>
    </row>
    <row r="326" spans="1:3" ht="13" x14ac:dyDescent="0.15">
      <c r="A326" s="10"/>
      <c r="B326" s="13"/>
      <c r="C326" s="13"/>
    </row>
    <row r="327" spans="1:3" ht="13" x14ac:dyDescent="0.15">
      <c r="A327" s="10"/>
      <c r="B327" s="13"/>
      <c r="C327" s="13"/>
    </row>
    <row r="328" spans="1:3" ht="13" x14ac:dyDescent="0.15">
      <c r="A328" s="10"/>
      <c r="B328" s="13"/>
      <c r="C328" s="13"/>
    </row>
    <row r="329" spans="1:3" ht="13" x14ac:dyDescent="0.15">
      <c r="A329" s="10"/>
      <c r="B329" s="13"/>
      <c r="C329" s="13"/>
    </row>
    <row r="330" spans="1:3" ht="13" x14ac:dyDescent="0.15">
      <c r="A330" s="10"/>
      <c r="B330" s="13"/>
      <c r="C330" s="13"/>
    </row>
    <row r="331" spans="1:3" ht="13" x14ac:dyDescent="0.15">
      <c r="A331" s="10"/>
      <c r="B331" s="13"/>
      <c r="C331" s="13"/>
    </row>
    <row r="332" spans="1:3" ht="13" x14ac:dyDescent="0.15">
      <c r="A332" s="10"/>
      <c r="B332" s="13"/>
      <c r="C332" s="13"/>
    </row>
    <row r="333" spans="1:3" ht="13" x14ac:dyDescent="0.15">
      <c r="A333" s="10"/>
      <c r="B333" s="13"/>
      <c r="C333" s="13"/>
    </row>
    <row r="334" spans="1:3" ht="13" x14ac:dyDescent="0.15">
      <c r="A334" s="10"/>
      <c r="B334" s="13"/>
      <c r="C334" s="13"/>
    </row>
    <row r="335" spans="1:3" ht="13" x14ac:dyDescent="0.15">
      <c r="A335" s="10"/>
      <c r="B335" s="13"/>
      <c r="C335" s="13"/>
    </row>
    <row r="336" spans="1:3" ht="13" x14ac:dyDescent="0.15">
      <c r="A336" s="10"/>
      <c r="B336" s="13"/>
      <c r="C336" s="13"/>
    </row>
    <row r="337" spans="1:3" ht="13" x14ac:dyDescent="0.15">
      <c r="A337" s="10"/>
      <c r="B337" s="13"/>
      <c r="C337" s="13"/>
    </row>
    <row r="338" spans="1:3" ht="13" x14ac:dyDescent="0.15">
      <c r="A338" s="10"/>
      <c r="B338" s="13"/>
      <c r="C338" s="13"/>
    </row>
    <row r="339" spans="1:3" ht="13" x14ac:dyDescent="0.15">
      <c r="A339" s="10"/>
      <c r="B339" s="13"/>
      <c r="C339" s="13"/>
    </row>
    <row r="340" spans="1:3" ht="13" x14ac:dyDescent="0.15">
      <c r="A340" s="10"/>
      <c r="B340" s="13"/>
      <c r="C340" s="13"/>
    </row>
    <row r="341" spans="1:3" ht="13" x14ac:dyDescent="0.15">
      <c r="A341" s="10"/>
      <c r="B341" s="13"/>
      <c r="C341" s="13"/>
    </row>
    <row r="342" spans="1:3" ht="13" x14ac:dyDescent="0.15">
      <c r="A342" s="10"/>
      <c r="B342" s="13"/>
      <c r="C342" s="13"/>
    </row>
    <row r="343" spans="1:3" ht="13" x14ac:dyDescent="0.15">
      <c r="A343" s="10"/>
      <c r="B343" s="13"/>
      <c r="C343" s="13"/>
    </row>
    <row r="344" spans="1:3" ht="13" x14ac:dyDescent="0.15">
      <c r="A344" s="10"/>
      <c r="B344" s="13"/>
      <c r="C344" s="13"/>
    </row>
    <row r="345" spans="1:3" ht="13" x14ac:dyDescent="0.15">
      <c r="A345" s="10"/>
      <c r="B345" s="13"/>
      <c r="C345" s="13"/>
    </row>
    <row r="346" spans="1:3" ht="13" x14ac:dyDescent="0.15">
      <c r="A346" s="10"/>
      <c r="B346" s="13"/>
      <c r="C346" s="13"/>
    </row>
    <row r="347" spans="1:3" ht="13" x14ac:dyDescent="0.15">
      <c r="A347" s="10"/>
      <c r="B347" s="13"/>
      <c r="C347" s="13"/>
    </row>
    <row r="348" spans="1:3" ht="13" x14ac:dyDescent="0.15">
      <c r="A348" s="10"/>
      <c r="B348" s="13"/>
      <c r="C348" s="13"/>
    </row>
    <row r="349" spans="1:3" ht="13" x14ac:dyDescent="0.15">
      <c r="A349" s="10"/>
      <c r="B349" s="13"/>
      <c r="C349" s="13"/>
    </row>
    <row r="350" spans="1:3" ht="13" x14ac:dyDescent="0.15">
      <c r="A350" s="10"/>
      <c r="B350" s="13"/>
      <c r="C350" s="13"/>
    </row>
    <row r="351" spans="1:3" ht="13" x14ac:dyDescent="0.15">
      <c r="A351" s="10"/>
      <c r="B351" s="13"/>
      <c r="C351" s="13"/>
    </row>
    <row r="352" spans="1:3" ht="13" x14ac:dyDescent="0.15">
      <c r="A352" s="10"/>
      <c r="B352" s="13"/>
      <c r="C352" s="13"/>
    </row>
    <row r="353" spans="1:3" ht="13" x14ac:dyDescent="0.15">
      <c r="A353" s="10"/>
      <c r="B353" s="13"/>
      <c r="C353" s="13"/>
    </row>
    <row r="354" spans="1:3" ht="13" x14ac:dyDescent="0.15">
      <c r="A354" s="10"/>
      <c r="B354" s="13"/>
      <c r="C354" s="13"/>
    </row>
    <row r="355" spans="1:3" ht="13" x14ac:dyDescent="0.15">
      <c r="A355" s="10"/>
      <c r="B355" s="13"/>
      <c r="C355" s="13"/>
    </row>
    <row r="356" spans="1:3" ht="13" x14ac:dyDescent="0.15">
      <c r="A356" s="10"/>
      <c r="B356" s="13"/>
      <c r="C356" s="13"/>
    </row>
    <row r="357" spans="1:3" ht="13" x14ac:dyDescent="0.15">
      <c r="A357" s="10"/>
      <c r="B357" s="13"/>
      <c r="C357" s="13"/>
    </row>
    <row r="358" spans="1:3" ht="13" x14ac:dyDescent="0.15">
      <c r="A358" s="10"/>
      <c r="B358" s="13"/>
      <c r="C358" s="13"/>
    </row>
    <row r="359" spans="1:3" ht="13" x14ac:dyDescent="0.15">
      <c r="A359" s="10"/>
      <c r="B359" s="13"/>
      <c r="C359" s="13"/>
    </row>
    <row r="360" spans="1:3" ht="13" x14ac:dyDescent="0.15">
      <c r="A360" s="10"/>
      <c r="B360" s="13"/>
      <c r="C360" s="13"/>
    </row>
    <row r="361" spans="1:3" ht="13" x14ac:dyDescent="0.15">
      <c r="A361" s="10"/>
      <c r="B361" s="13"/>
      <c r="C361" s="13"/>
    </row>
    <row r="362" spans="1:3" ht="13" x14ac:dyDescent="0.15">
      <c r="A362" s="10"/>
      <c r="B362" s="13"/>
      <c r="C362" s="13"/>
    </row>
    <row r="363" spans="1:3" ht="13" x14ac:dyDescent="0.15">
      <c r="A363" s="10"/>
      <c r="B363" s="13"/>
      <c r="C363" s="13"/>
    </row>
    <row r="364" spans="1:3" ht="13" x14ac:dyDescent="0.15">
      <c r="A364" s="10"/>
      <c r="B364" s="13"/>
      <c r="C364" s="13"/>
    </row>
    <row r="365" spans="1:3" ht="13" x14ac:dyDescent="0.15">
      <c r="A365" s="10"/>
      <c r="B365" s="13"/>
      <c r="C365" s="13"/>
    </row>
    <row r="366" spans="1:3" ht="13" x14ac:dyDescent="0.15">
      <c r="A366" s="10"/>
      <c r="B366" s="13"/>
      <c r="C366" s="13"/>
    </row>
    <row r="367" spans="1:3" ht="13" x14ac:dyDescent="0.15">
      <c r="A367" s="10"/>
      <c r="B367" s="13"/>
      <c r="C367" s="13"/>
    </row>
    <row r="368" spans="1:3" ht="13" x14ac:dyDescent="0.15">
      <c r="A368" s="10"/>
      <c r="B368" s="13"/>
      <c r="C368" s="13"/>
    </row>
    <row r="369" spans="1:3" ht="13" x14ac:dyDescent="0.15">
      <c r="A369" s="10"/>
      <c r="B369" s="13"/>
      <c r="C369" s="13"/>
    </row>
    <row r="370" spans="1:3" ht="13" x14ac:dyDescent="0.15">
      <c r="A370" s="10"/>
      <c r="B370" s="13"/>
      <c r="C370" s="13"/>
    </row>
    <row r="371" spans="1:3" ht="13" x14ac:dyDescent="0.15">
      <c r="A371" s="10"/>
      <c r="B371" s="13"/>
      <c r="C371" s="13"/>
    </row>
    <row r="372" spans="1:3" ht="13" x14ac:dyDescent="0.15">
      <c r="A372" s="10"/>
      <c r="B372" s="13"/>
      <c r="C372" s="13"/>
    </row>
    <row r="373" spans="1:3" ht="13" x14ac:dyDescent="0.15">
      <c r="A373" s="10"/>
      <c r="B373" s="13"/>
      <c r="C373" s="13"/>
    </row>
    <row r="374" spans="1:3" ht="13" x14ac:dyDescent="0.15">
      <c r="A374" s="10"/>
      <c r="B374" s="13"/>
      <c r="C374" s="13"/>
    </row>
    <row r="375" spans="1:3" ht="13" x14ac:dyDescent="0.15">
      <c r="A375" s="10"/>
      <c r="B375" s="13"/>
      <c r="C375" s="13"/>
    </row>
    <row r="376" spans="1:3" ht="13" x14ac:dyDescent="0.15">
      <c r="A376" s="10"/>
      <c r="B376" s="13"/>
      <c r="C376" s="13"/>
    </row>
    <row r="377" spans="1:3" ht="13" x14ac:dyDescent="0.15">
      <c r="A377" s="10"/>
      <c r="B377" s="13"/>
      <c r="C377" s="13"/>
    </row>
    <row r="378" spans="1:3" ht="13" x14ac:dyDescent="0.15">
      <c r="A378" s="10"/>
      <c r="B378" s="13"/>
      <c r="C378" s="13"/>
    </row>
    <row r="379" spans="1:3" ht="13" x14ac:dyDescent="0.15">
      <c r="A379" s="10"/>
      <c r="B379" s="13"/>
      <c r="C379" s="13"/>
    </row>
    <row r="380" spans="1:3" ht="13" x14ac:dyDescent="0.15">
      <c r="A380" s="10"/>
      <c r="B380" s="13"/>
      <c r="C380" s="13"/>
    </row>
    <row r="381" spans="1:3" ht="13" x14ac:dyDescent="0.15">
      <c r="A381" s="10"/>
      <c r="B381" s="13"/>
      <c r="C381" s="13"/>
    </row>
    <row r="382" spans="1:3" ht="13" x14ac:dyDescent="0.15">
      <c r="A382" s="10"/>
      <c r="B382" s="13"/>
      <c r="C382" s="13"/>
    </row>
    <row r="383" spans="1:3" ht="13" x14ac:dyDescent="0.15">
      <c r="A383" s="10"/>
      <c r="B383" s="13"/>
      <c r="C383" s="13"/>
    </row>
    <row r="384" spans="1:3" ht="13" x14ac:dyDescent="0.15">
      <c r="A384" s="10"/>
      <c r="B384" s="13"/>
      <c r="C384" s="13"/>
    </row>
    <row r="385" spans="1:3" ht="13" x14ac:dyDescent="0.15">
      <c r="A385" s="10"/>
      <c r="B385" s="13"/>
      <c r="C385" s="13"/>
    </row>
    <row r="386" spans="1:3" ht="13" x14ac:dyDescent="0.15">
      <c r="A386" s="10"/>
      <c r="B386" s="13"/>
      <c r="C386" s="13"/>
    </row>
    <row r="387" spans="1:3" ht="13" x14ac:dyDescent="0.15">
      <c r="A387" s="10"/>
      <c r="B387" s="13"/>
      <c r="C387" s="13"/>
    </row>
    <row r="388" spans="1:3" ht="13" x14ac:dyDescent="0.15">
      <c r="A388" s="10"/>
      <c r="B388" s="13"/>
      <c r="C388" s="13"/>
    </row>
    <row r="389" spans="1:3" ht="13" x14ac:dyDescent="0.15">
      <c r="A389" s="10"/>
      <c r="B389" s="13"/>
      <c r="C389" s="13"/>
    </row>
    <row r="390" spans="1:3" ht="13" x14ac:dyDescent="0.15">
      <c r="A390" s="10"/>
      <c r="B390" s="13"/>
      <c r="C390" s="13"/>
    </row>
    <row r="391" spans="1:3" ht="13" x14ac:dyDescent="0.15">
      <c r="A391" s="10"/>
      <c r="B391" s="13"/>
      <c r="C391" s="13"/>
    </row>
    <row r="392" spans="1:3" ht="13" x14ac:dyDescent="0.15">
      <c r="A392" s="10"/>
      <c r="B392" s="13"/>
      <c r="C392" s="13"/>
    </row>
    <row r="393" spans="1:3" ht="13" x14ac:dyDescent="0.15">
      <c r="A393" s="10"/>
      <c r="B393" s="13"/>
      <c r="C393" s="13"/>
    </row>
    <row r="394" spans="1:3" ht="13" x14ac:dyDescent="0.15">
      <c r="A394" s="10"/>
      <c r="B394" s="13"/>
      <c r="C394" s="13"/>
    </row>
    <row r="395" spans="1:3" ht="13" x14ac:dyDescent="0.15">
      <c r="A395" s="10"/>
      <c r="B395" s="13"/>
      <c r="C395" s="13"/>
    </row>
    <row r="396" spans="1:3" ht="13" x14ac:dyDescent="0.15">
      <c r="A396" s="10"/>
      <c r="B396" s="13"/>
      <c r="C396" s="13"/>
    </row>
    <row r="397" spans="1:3" ht="13" x14ac:dyDescent="0.15">
      <c r="A397" s="10"/>
      <c r="B397" s="13"/>
      <c r="C397" s="13"/>
    </row>
    <row r="398" spans="1:3" ht="13" x14ac:dyDescent="0.15">
      <c r="A398" s="10"/>
      <c r="B398" s="13"/>
      <c r="C398" s="13"/>
    </row>
    <row r="399" spans="1:3" ht="13" x14ac:dyDescent="0.15">
      <c r="A399" s="10"/>
      <c r="B399" s="13"/>
      <c r="C399" s="13"/>
    </row>
    <row r="400" spans="1:3" ht="13" x14ac:dyDescent="0.15">
      <c r="A400" s="10"/>
      <c r="B400" s="13"/>
      <c r="C400" s="13"/>
    </row>
    <row r="401" spans="1:3" ht="13" x14ac:dyDescent="0.15">
      <c r="A401" s="10"/>
      <c r="B401" s="13"/>
      <c r="C401" s="13"/>
    </row>
    <row r="402" spans="1:3" ht="13" x14ac:dyDescent="0.15">
      <c r="A402" s="10"/>
      <c r="B402" s="13"/>
      <c r="C402" s="13"/>
    </row>
    <row r="403" spans="1:3" ht="13" x14ac:dyDescent="0.15">
      <c r="A403" s="10"/>
      <c r="B403" s="13"/>
      <c r="C403" s="13"/>
    </row>
    <row r="404" spans="1:3" ht="13" x14ac:dyDescent="0.15">
      <c r="A404" s="10"/>
      <c r="B404" s="13"/>
      <c r="C404" s="13"/>
    </row>
    <row r="405" spans="1:3" ht="13" x14ac:dyDescent="0.15">
      <c r="A405" s="10"/>
      <c r="B405" s="13"/>
      <c r="C405" s="13"/>
    </row>
    <row r="406" spans="1:3" ht="13" x14ac:dyDescent="0.15">
      <c r="A406" s="10"/>
      <c r="B406" s="13"/>
      <c r="C406" s="13"/>
    </row>
    <row r="407" spans="1:3" ht="13" x14ac:dyDescent="0.15">
      <c r="A407" s="10"/>
      <c r="B407" s="13"/>
      <c r="C407" s="13"/>
    </row>
    <row r="408" spans="1:3" ht="13" x14ac:dyDescent="0.15">
      <c r="A408" s="10"/>
      <c r="B408" s="13"/>
      <c r="C408" s="13"/>
    </row>
    <row r="409" spans="1:3" ht="13" x14ac:dyDescent="0.15">
      <c r="A409" s="10"/>
      <c r="B409" s="13"/>
      <c r="C409" s="13"/>
    </row>
    <row r="410" spans="1:3" ht="13" x14ac:dyDescent="0.15">
      <c r="A410" s="10"/>
      <c r="B410" s="13"/>
      <c r="C410" s="13"/>
    </row>
    <row r="411" spans="1:3" ht="13" x14ac:dyDescent="0.15">
      <c r="A411" s="10"/>
      <c r="B411" s="13"/>
      <c r="C411" s="13"/>
    </row>
    <row r="412" spans="1:3" ht="13" x14ac:dyDescent="0.15">
      <c r="A412" s="10"/>
      <c r="B412" s="13"/>
      <c r="C412" s="13"/>
    </row>
    <row r="413" spans="1:3" ht="13" x14ac:dyDescent="0.15">
      <c r="A413" s="10"/>
      <c r="B413" s="13"/>
      <c r="C413" s="13"/>
    </row>
    <row r="414" spans="1:3" ht="13" x14ac:dyDescent="0.15">
      <c r="A414" s="10"/>
      <c r="B414" s="13"/>
      <c r="C414" s="13"/>
    </row>
    <row r="415" spans="1:3" ht="13" x14ac:dyDescent="0.15">
      <c r="A415" s="10"/>
      <c r="B415" s="13"/>
      <c r="C415" s="13"/>
    </row>
    <row r="416" spans="1:3" ht="13" x14ac:dyDescent="0.15">
      <c r="A416" s="10"/>
      <c r="B416" s="13"/>
      <c r="C416" s="13"/>
    </row>
    <row r="417" spans="1:3" ht="13" x14ac:dyDescent="0.15">
      <c r="A417" s="10"/>
      <c r="B417" s="13"/>
      <c r="C417" s="13"/>
    </row>
    <row r="418" spans="1:3" ht="13" x14ac:dyDescent="0.15">
      <c r="A418" s="10"/>
      <c r="B418" s="13"/>
      <c r="C418" s="13"/>
    </row>
    <row r="419" spans="1:3" ht="13" x14ac:dyDescent="0.15">
      <c r="A419" s="10"/>
      <c r="B419" s="13"/>
      <c r="C419" s="13"/>
    </row>
    <row r="420" spans="1:3" ht="13" x14ac:dyDescent="0.15">
      <c r="A420" s="10"/>
      <c r="B420" s="13"/>
      <c r="C420" s="13"/>
    </row>
    <row r="421" spans="1:3" ht="13" x14ac:dyDescent="0.15">
      <c r="A421" s="10"/>
      <c r="B421" s="13"/>
      <c r="C421" s="13"/>
    </row>
    <row r="422" spans="1:3" ht="13" x14ac:dyDescent="0.15">
      <c r="A422" s="10"/>
      <c r="B422" s="13"/>
      <c r="C422" s="13"/>
    </row>
    <row r="423" spans="1:3" ht="13" x14ac:dyDescent="0.15">
      <c r="A423" s="10"/>
      <c r="B423" s="13"/>
      <c r="C423" s="13"/>
    </row>
    <row r="424" spans="1:3" ht="13" x14ac:dyDescent="0.15">
      <c r="A424" s="10"/>
      <c r="B424" s="13"/>
      <c r="C424" s="13"/>
    </row>
    <row r="425" spans="1:3" ht="13" x14ac:dyDescent="0.15">
      <c r="A425" s="10"/>
      <c r="B425" s="13"/>
      <c r="C425" s="13"/>
    </row>
    <row r="426" spans="1:3" ht="13" x14ac:dyDescent="0.15">
      <c r="A426" s="10"/>
      <c r="B426" s="13"/>
      <c r="C426" s="13"/>
    </row>
    <row r="427" spans="1:3" ht="13" x14ac:dyDescent="0.15">
      <c r="A427" s="10"/>
      <c r="B427" s="13"/>
      <c r="C427" s="13"/>
    </row>
    <row r="428" spans="1:3" ht="13" x14ac:dyDescent="0.15">
      <c r="A428" s="10"/>
      <c r="B428" s="13"/>
      <c r="C428" s="13"/>
    </row>
    <row r="429" spans="1:3" ht="13" x14ac:dyDescent="0.15">
      <c r="A429" s="10"/>
      <c r="B429" s="13"/>
      <c r="C429" s="13"/>
    </row>
    <row r="430" spans="1:3" ht="13" x14ac:dyDescent="0.15">
      <c r="A430" s="10"/>
      <c r="B430" s="13"/>
      <c r="C430" s="13"/>
    </row>
    <row r="431" spans="1:3" ht="13" x14ac:dyDescent="0.15">
      <c r="A431" s="10"/>
      <c r="B431" s="13"/>
      <c r="C431" s="13"/>
    </row>
    <row r="432" spans="1:3" ht="13" x14ac:dyDescent="0.15">
      <c r="A432" s="10"/>
      <c r="B432" s="13"/>
      <c r="C432" s="13"/>
    </row>
    <row r="433" spans="1:3" ht="13" x14ac:dyDescent="0.15">
      <c r="A433" s="10"/>
      <c r="B433" s="13"/>
      <c r="C433" s="13"/>
    </row>
    <row r="434" spans="1:3" ht="13" x14ac:dyDescent="0.15">
      <c r="A434" s="10"/>
      <c r="B434" s="13"/>
      <c r="C434" s="13"/>
    </row>
    <row r="435" spans="1:3" ht="13" x14ac:dyDescent="0.15">
      <c r="A435" s="10"/>
      <c r="B435" s="13"/>
      <c r="C435" s="13"/>
    </row>
    <row r="436" spans="1:3" ht="13" x14ac:dyDescent="0.15">
      <c r="A436" s="10"/>
      <c r="B436" s="13"/>
      <c r="C436" s="13"/>
    </row>
    <row r="437" spans="1:3" ht="13" x14ac:dyDescent="0.15">
      <c r="A437" s="10"/>
      <c r="B437" s="13"/>
      <c r="C437" s="13"/>
    </row>
    <row r="438" spans="1:3" ht="13" x14ac:dyDescent="0.15">
      <c r="A438" s="10"/>
      <c r="B438" s="13"/>
      <c r="C438" s="13"/>
    </row>
    <row r="439" spans="1:3" ht="13" x14ac:dyDescent="0.15">
      <c r="A439" s="10"/>
      <c r="B439" s="13"/>
      <c r="C439" s="13"/>
    </row>
    <row r="440" spans="1:3" ht="13" x14ac:dyDescent="0.15">
      <c r="A440" s="10"/>
      <c r="B440" s="13"/>
      <c r="C440" s="13"/>
    </row>
    <row r="441" spans="1:3" ht="13" x14ac:dyDescent="0.15">
      <c r="A441" s="10"/>
      <c r="B441" s="13"/>
      <c r="C441" s="13"/>
    </row>
    <row r="442" spans="1:3" ht="13" x14ac:dyDescent="0.15">
      <c r="A442" s="10"/>
      <c r="B442" s="13"/>
      <c r="C442" s="13"/>
    </row>
    <row r="443" spans="1:3" ht="13" x14ac:dyDescent="0.15">
      <c r="A443" s="10"/>
      <c r="B443" s="13"/>
      <c r="C443" s="13"/>
    </row>
    <row r="444" spans="1:3" ht="13" x14ac:dyDescent="0.15">
      <c r="A444" s="10"/>
      <c r="B444" s="13"/>
      <c r="C444" s="13"/>
    </row>
    <row r="445" spans="1:3" ht="13" x14ac:dyDescent="0.15">
      <c r="A445" s="10"/>
      <c r="B445" s="13"/>
      <c r="C445" s="13"/>
    </row>
    <row r="446" spans="1:3" ht="13" x14ac:dyDescent="0.15">
      <c r="A446" s="10"/>
      <c r="B446" s="13"/>
      <c r="C446" s="13"/>
    </row>
    <row r="447" spans="1:3" ht="13" x14ac:dyDescent="0.15">
      <c r="A447" s="10"/>
      <c r="B447" s="13"/>
      <c r="C447" s="13"/>
    </row>
    <row r="448" spans="1:3" ht="13" x14ac:dyDescent="0.15">
      <c r="A448" s="10"/>
      <c r="B448" s="13"/>
      <c r="C448" s="13"/>
    </row>
    <row r="449" spans="1:3" ht="13" x14ac:dyDescent="0.15">
      <c r="A449" s="10"/>
      <c r="B449" s="13"/>
      <c r="C449" s="13"/>
    </row>
    <row r="450" spans="1:3" ht="13" x14ac:dyDescent="0.15">
      <c r="A450" s="10"/>
      <c r="B450" s="13"/>
      <c r="C450" s="13"/>
    </row>
    <row r="451" spans="1:3" ht="13" x14ac:dyDescent="0.15">
      <c r="A451" s="10"/>
      <c r="B451" s="13"/>
      <c r="C451" s="13"/>
    </row>
    <row r="452" spans="1:3" ht="13" x14ac:dyDescent="0.15">
      <c r="A452" s="10"/>
      <c r="B452" s="13"/>
      <c r="C452" s="13"/>
    </row>
    <row r="453" spans="1:3" ht="13" x14ac:dyDescent="0.15">
      <c r="A453" s="10"/>
      <c r="B453" s="13"/>
      <c r="C453" s="13"/>
    </row>
    <row r="454" spans="1:3" ht="13" x14ac:dyDescent="0.15">
      <c r="A454" s="10"/>
      <c r="B454" s="13"/>
      <c r="C454" s="13"/>
    </row>
    <row r="455" spans="1:3" ht="13" x14ac:dyDescent="0.15">
      <c r="A455" s="10"/>
      <c r="B455" s="13"/>
      <c r="C455" s="13"/>
    </row>
    <row r="456" spans="1:3" ht="13" x14ac:dyDescent="0.15">
      <c r="A456" s="10"/>
      <c r="B456" s="13"/>
      <c r="C456" s="13"/>
    </row>
    <row r="457" spans="1:3" ht="13" x14ac:dyDescent="0.15">
      <c r="A457" s="10"/>
      <c r="B457" s="13"/>
      <c r="C457" s="13"/>
    </row>
    <row r="458" spans="1:3" ht="13" x14ac:dyDescent="0.15">
      <c r="A458" s="10"/>
      <c r="B458" s="13"/>
      <c r="C458" s="13"/>
    </row>
    <row r="459" spans="1:3" ht="13" x14ac:dyDescent="0.15">
      <c r="A459" s="10"/>
      <c r="B459" s="13"/>
      <c r="C459" s="13"/>
    </row>
    <row r="460" spans="1:3" ht="13" x14ac:dyDescent="0.15">
      <c r="A460" s="10"/>
      <c r="B460" s="13"/>
      <c r="C460" s="13"/>
    </row>
    <row r="461" spans="1:3" ht="13" x14ac:dyDescent="0.15">
      <c r="A461" s="10"/>
      <c r="B461" s="13"/>
      <c r="C461" s="13"/>
    </row>
    <row r="462" spans="1:3" ht="13" x14ac:dyDescent="0.15">
      <c r="A462" s="10"/>
      <c r="B462" s="13"/>
      <c r="C462" s="13"/>
    </row>
    <row r="463" spans="1:3" ht="13" x14ac:dyDescent="0.15">
      <c r="A463" s="10"/>
      <c r="B463" s="13"/>
      <c r="C463" s="13"/>
    </row>
    <row r="464" spans="1:3" ht="13" x14ac:dyDescent="0.15">
      <c r="A464" s="10"/>
      <c r="B464" s="13"/>
      <c r="C464" s="13"/>
    </row>
    <row r="465" spans="1:3" ht="13" x14ac:dyDescent="0.15">
      <c r="A465" s="10"/>
      <c r="B465" s="13"/>
      <c r="C465" s="13"/>
    </row>
    <row r="466" spans="1:3" ht="13" x14ac:dyDescent="0.15">
      <c r="A466" s="10"/>
      <c r="B466" s="13"/>
      <c r="C466" s="13"/>
    </row>
    <row r="467" spans="1:3" ht="13" x14ac:dyDescent="0.15">
      <c r="A467" s="10"/>
      <c r="B467" s="13"/>
      <c r="C467" s="13"/>
    </row>
    <row r="468" spans="1:3" ht="13" x14ac:dyDescent="0.15">
      <c r="A468" s="10"/>
      <c r="B468" s="13"/>
      <c r="C468" s="13"/>
    </row>
    <row r="469" spans="1:3" ht="13" x14ac:dyDescent="0.15">
      <c r="A469" s="10"/>
      <c r="B469" s="13"/>
      <c r="C469" s="13"/>
    </row>
    <row r="470" spans="1:3" ht="13" x14ac:dyDescent="0.15">
      <c r="A470" s="10"/>
      <c r="B470" s="13"/>
      <c r="C470" s="13"/>
    </row>
    <row r="471" spans="1:3" ht="13" x14ac:dyDescent="0.15">
      <c r="A471" s="10"/>
      <c r="B471" s="13"/>
      <c r="C471" s="13"/>
    </row>
    <row r="472" spans="1:3" ht="13" x14ac:dyDescent="0.15">
      <c r="A472" s="10"/>
      <c r="B472" s="13"/>
      <c r="C472" s="13"/>
    </row>
    <row r="473" spans="1:3" ht="13" x14ac:dyDescent="0.15">
      <c r="A473" s="10"/>
      <c r="B473" s="13"/>
      <c r="C473" s="13"/>
    </row>
    <row r="474" spans="1:3" ht="13" x14ac:dyDescent="0.15">
      <c r="A474" s="10"/>
      <c r="B474" s="13"/>
      <c r="C474" s="13"/>
    </row>
    <row r="475" spans="1:3" ht="13" x14ac:dyDescent="0.15">
      <c r="A475" s="10"/>
      <c r="B475" s="13"/>
      <c r="C475" s="13"/>
    </row>
    <row r="476" spans="1:3" ht="13" x14ac:dyDescent="0.15">
      <c r="A476" s="10"/>
      <c r="B476" s="13"/>
      <c r="C476" s="13"/>
    </row>
    <row r="477" spans="1:3" ht="13" x14ac:dyDescent="0.15">
      <c r="A477" s="10"/>
      <c r="B477" s="13"/>
      <c r="C477" s="13"/>
    </row>
    <row r="478" spans="1:3" ht="13" x14ac:dyDescent="0.15">
      <c r="A478" s="10"/>
      <c r="B478" s="13"/>
      <c r="C478" s="13"/>
    </row>
    <row r="479" spans="1:3" ht="13" x14ac:dyDescent="0.15">
      <c r="A479" s="10"/>
      <c r="B479" s="13"/>
      <c r="C479" s="13"/>
    </row>
    <row r="480" spans="1:3" ht="13" x14ac:dyDescent="0.15">
      <c r="A480" s="10"/>
      <c r="B480" s="13"/>
      <c r="C480" s="13"/>
    </row>
    <row r="481" spans="1:3" ht="13" x14ac:dyDescent="0.15">
      <c r="A481" s="10"/>
      <c r="B481" s="13"/>
      <c r="C481" s="13"/>
    </row>
    <row r="482" spans="1:3" ht="13" x14ac:dyDescent="0.15">
      <c r="A482" s="10"/>
      <c r="B482" s="13"/>
      <c r="C482" s="13"/>
    </row>
    <row r="483" spans="1:3" ht="13" x14ac:dyDescent="0.15">
      <c r="A483" s="10"/>
      <c r="B483" s="13"/>
      <c r="C483" s="13"/>
    </row>
    <row r="484" spans="1:3" ht="13" x14ac:dyDescent="0.15">
      <c r="A484" s="10"/>
      <c r="B484" s="13"/>
      <c r="C484" s="13"/>
    </row>
    <row r="485" spans="1:3" ht="13" x14ac:dyDescent="0.15">
      <c r="A485" s="10"/>
      <c r="B485" s="13"/>
      <c r="C485" s="13"/>
    </row>
    <row r="486" spans="1:3" ht="13" x14ac:dyDescent="0.15">
      <c r="A486" s="10"/>
      <c r="B486" s="13"/>
      <c r="C486" s="13"/>
    </row>
    <row r="487" spans="1:3" ht="13" x14ac:dyDescent="0.15">
      <c r="A487" s="10"/>
      <c r="B487" s="13"/>
      <c r="C487" s="13"/>
    </row>
    <row r="488" spans="1:3" ht="13" x14ac:dyDescent="0.15">
      <c r="A488" s="10"/>
      <c r="B488" s="13"/>
      <c r="C488" s="13"/>
    </row>
    <row r="489" spans="1:3" ht="13" x14ac:dyDescent="0.15">
      <c r="A489" s="10"/>
      <c r="B489" s="13"/>
      <c r="C489" s="13"/>
    </row>
    <row r="490" spans="1:3" ht="13" x14ac:dyDescent="0.15">
      <c r="A490" s="10"/>
      <c r="B490" s="13"/>
      <c r="C490" s="13"/>
    </row>
    <row r="491" spans="1:3" ht="13" x14ac:dyDescent="0.15">
      <c r="A491" s="10"/>
      <c r="B491" s="13"/>
      <c r="C491" s="13"/>
    </row>
    <row r="492" spans="1:3" ht="13" x14ac:dyDescent="0.15">
      <c r="A492" s="10"/>
      <c r="B492" s="13"/>
      <c r="C492" s="13"/>
    </row>
    <row r="493" spans="1:3" ht="13" x14ac:dyDescent="0.15">
      <c r="A493" s="10"/>
      <c r="B493" s="13"/>
      <c r="C493" s="13"/>
    </row>
    <row r="494" spans="1:3" ht="13" x14ac:dyDescent="0.15">
      <c r="A494" s="10"/>
      <c r="B494" s="13"/>
      <c r="C494" s="13"/>
    </row>
    <row r="495" spans="1:3" ht="13" x14ac:dyDescent="0.15">
      <c r="A495" s="10"/>
      <c r="B495" s="13"/>
      <c r="C495" s="13"/>
    </row>
    <row r="496" spans="1:3" ht="13" x14ac:dyDescent="0.15">
      <c r="A496" s="10"/>
      <c r="B496" s="13"/>
      <c r="C496" s="13"/>
    </row>
    <row r="497" spans="1:3" ht="13" x14ac:dyDescent="0.15">
      <c r="A497" s="10"/>
      <c r="B497" s="13"/>
      <c r="C497" s="13"/>
    </row>
    <row r="498" spans="1:3" ht="13" x14ac:dyDescent="0.15">
      <c r="A498" s="10"/>
      <c r="B498" s="13"/>
      <c r="C498" s="13"/>
    </row>
    <row r="499" spans="1:3" ht="13" x14ac:dyDescent="0.15">
      <c r="A499" s="10"/>
      <c r="B499" s="13"/>
      <c r="C499" s="13"/>
    </row>
    <row r="500" spans="1:3" ht="13" x14ac:dyDescent="0.15">
      <c r="A500" s="10"/>
      <c r="B500" s="13"/>
      <c r="C500" s="13"/>
    </row>
    <row r="501" spans="1:3" ht="13" x14ac:dyDescent="0.15">
      <c r="A501" s="10"/>
      <c r="B501" s="13"/>
      <c r="C501" s="13"/>
    </row>
    <row r="502" spans="1:3" ht="13" x14ac:dyDescent="0.15">
      <c r="A502" s="10"/>
      <c r="B502" s="13"/>
      <c r="C502" s="13"/>
    </row>
    <row r="503" spans="1:3" ht="13" x14ac:dyDescent="0.15">
      <c r="A503" s="10"/>
      <c r="B503" s="13"/>
      <c r="C503" s="13"/>
    </row>
    <row r="504" spans="1:3" ht="13" x14ac:dyDescent="0.15">
      <c r="A504" s="10"/>
      <c r="B504" s="13"/>
      <c r="C504" s="13"/>
    </row>
    <row r="505" spans="1:3" ht="13" x14ac:dyDescent="0.15">
      <c r="A505" s="10"/>
      <c r="B505" s="13"/>
      <c r="C505" s="13"/>
    </row>
    <row r="506" spans="1:3" ht="13" x14ac:dyDescent="0.15">
      <c r="A506" s="10"/>
      <c r="B506" s="13"/>
      <c r="C506" s="13"/>
    </row>
    <row r="507" spans="1:3" ht="13" x14ac:dyDescent="0.15">
      <c r="A507" s="10"/>
      <c r="B507" s="13"/>
      <c r="C507" s="13"/>
    </row>
    <row r="508" spans="1:3" ht="13" x14ac:dyDescent="0.15">
      <c r="A508" s="10"/>
      <c r="B508" s="13"/>
      <c r="C508" s="13"/>
    </row>
    <row r="509" spans="1:3" ht="13" x14ac:dyDescent="0.15">
      <c r="A509" s="10"/>
      <c r="B509" s="13"/>
      <c r="C509" s="13"/>
    </row>
    <row r="510" spans="1:3" ht="13" x14ac:dyDescent="0.15">
      <c r="A510" s="10"/>
      <c r="B510" s="13"/>
      <c r="C510" s="13"/>
    </row>
    <row r="511" spans="1:3" ht="13" x14ac:dyDescent="0.15">
      <c r="A511" s="10"/>
      <c r="B511" s="13"/>
      <c r="C511" s="13"/>
    </row>
    <row r="512" spans="1:3" ht="13" x14ac:dyDescent="0.15">
      <c r="A512" s="10"/>
      <c r="B512" s="13"/>
      <c r="C512" s="13"/>
    </row>
    <row r="513" spans="1:3" ht="13" x14ac:dyDescent="0.15">
      <c r="A513" s="10"/>
      <c r="B513" s="13"/>
      <c r="C513" s="13"/>
    </row>
    <row r="514" spans="1:3" ht="13" x14ac:dyDescent="0.15">
      <c r="A514" s="10"/>
      <c r="B514" s="13"/>
      <c r="C514" s="13"/>
    </row>
    <row r="515" spans="1:3" ht="13" x14ac:dyDescent="0.15">
      <c r="A515" s="10"/>
      <c r="B515" s="13"/>
      <c r="C515" s="13"/>
    </row>
    <row r="516" spans="1:3" ht="13" x14ac:dyDescent="0.15">
      <c r="A516" s="10"/>
      <c r="B516" s="13"/>
      <c r="C516" s="13"/>
    </row>
    <row r="517" spans="1:3" ht="13" x14ac:dyDescent="0.15">
      <c r="A517" s="10"/>
      <c r="B517" s="13"/>
      <c r="C517" s="13"/>
    </row>
    <row r="518" spans="1:3" ht="13" x14ac:dyDescent="0.15">
      <c r="A518" s="10"/>
      <c r="B518" s="13"/>
      <c r="C518" s="13"/>
    </row>
    <row r="519" spans="1:3" ht="13" x14ac:dyDescent="0.15">
      <c r="A519" s="10"/>
      <c r="B519" s="13"/>
      <c r="C519" s="13"/>
    </row>
    <row r="520" spans="1:3" ht="13" x14ac:dyDescent="0.15">
      <c r="A520" s="10"/>
      <c r="B520" s="13"/>
      <c r="C520" s="13"/>
    </row>
    <row r="521" spans="1:3" ht="13" x14ac:dyDescent="0.15">
      <c r="A521" s="10"/>
      <c r="B521" s="13"/>
      <c r="C521" s="13"/>
    </row>
    <row r="522" spans="1:3" ht="13" x14ac:dyDescent="0.15">
      <c r="A522" s="10"/>
      <c r="B522" s="13"/>
      <c r="C522" s="13"/>
    </row>
    <row r="523" spans="1:3" ht="13" x14ac:dyDescent="0.15">
      <c r="A523" s="10"/>
      <c r="B523" s="13"/>
      <c r="C523" s="13"/>
    </row>
    <row r="524" spans="1:3" ht="13" x14ac:dyDescent="0.15">
      <c r="A524" s="10"/>
      <c r="B524" s="13"/>
      <c r="C524" s="13"/>
    </row>
    <row r="525" spans="1:3" ht="13" x14ac:dyDescent="0.15">
      <c r="A525" s="10"/>
      <c r="B525" s="13"/>
      <c r="C525" s="13"/>
    </row>
    <row r="526" spans="1:3" ht="13" x14ac:dyDescent="0.15">
      <c r="A526" s="10"/>
      <c r="B526" s="13"/>
      <c r="C526" s="13"/>
    </row>
    <row r="527" spans="1:3" ht="13" x14ac:dyDescent="0.15">
      <c r="A527" s="10"/>
      <c r="B527" s="13"/>
      <c r="C527" s="13"/>
    </row>
    <row r="528" spans="1:3" ht="13" x14ac:dyDescent="0.15">
      <c r="A528" s="10"/>
      <c r="B528" s="13"/>
      <c r="C528" s="13"/>
    </row>
    <row r="529" spans="1:3" ht="13" x14ac:dyDescent="0.15">
      <c r="A529" s="10"/>
      <c r="B529" s="13"/>
      <c r="C529" s="13"/>
    </row>
    <row r="530" spans="1:3" ht="13" x14ac:dyDescent="0.15">
      <c r="A530" s="10"/>
      <c r="B530" s="13"/>
      <c r="C530" s="13"/>
    </row>
    <row r="531" spans="1:3" ht="13" x14ac:dyDescent="0.15">
      <c r="A531" s="10"/>
      <c r="B531" s="13"/>
      <c r="C531" s="13"/>
    </row>
    <row r="532" spans="1:3" ht="13" x14ac:dyDescent="0.15">
      <c r="A532" s="10"/>
      <c r="B532" s="13"/>
      <c r="C532" s="13"/>
    </row>
    <row r="533" spans="1:3" ht="13" x14ac:dyDescent="0.15">
      <c r="A533" s="10"/>
      <c r="B533" s="13"/>
      <c r="C533" s="13"/>
    </row>
    <row r="534" spans="1:3" ht="13" x14ac:dyDescent="0.15">
      <c r="A534" s="10"/>
      <c r="B534" s="13"/>
      <c r="C534" s="13"/>
    </row>
    <row r="535" spans="1:3" ht="13" x14ac:dyDescent="0.15">
      <c r="A535" s="10"/>
      <c r="B535" s="13"/>
      <c r="C535" s="13"/>
    </row>
    <row r="536" spans="1:3" ht="13" x14ac:dyDescent="0.15">
      <c r="A536" s="10"/>
      <c r="B536" s="13"/>
      <c r="C536" s="13"/>
    </row>
    <row r="537" spans="1:3" ht="13" x14ac:dyDescent="0.15">
      <c r="A537" s="10"/>
      <c r="B537" s="13"/>
      <c r="C537" s="13"/>
    </row>
    <row r="538" spans="1:3" ht="13" x14ac:dyDescent="0.15">
      <c r="A538" s="10"/>
      <c r="B538" s="13"/>
      <c r="C538" s="13"/>
    </row>
    <row r="539" spans="1:3" ht="13" x14ac:dyDescent="0.15">
      <c r="A539" s="10"/>
      <c r="B539" s="13"/>
      <c r="C539" s="13"/>
    </row>
    <row r="540" spans="1:3" ht="13" x14ac:dyDescent="0.15">
      <c r="A540" s="10"/>
      <c r="B540" s="13"/>
      <c r="C540" s="13"/>
    </row>
    <row r="541" spans="1:3" ht="13" x14ac:dyDescent="0.15">
      <c r="A541" s="10"/>
      <c r="B541" s="13"/>
      <c r="C541" s="13"/>
    </row>
    <row r="542" spans="1:3" ht="13" x14ac:dyDescent="0.15">
      <c r="A542" s="10"/>
      <c r="B542" s="13"/>
      <c r="C542" s="13"/>
    </row>
    <row r="543" spans="1:3" ht="13" x14ac:dyDescent="0.15">
      <c r="A543" s="10"/>
      <c r="B543" s="13"/>
      <c r="C543" s="13"/>
    </row>
    <row r="544" spans="1:3" ht="13" x14ac:dyDescent="0.15">
      <c r="A544" s="10"/>
      <c r="B544" s="13"/>
      <c r="C544" s="13"/>
    </row>
    <row r="545" spans="1:3" ht="13" x14ac:dyDescent="0.15">
      <c r="A545" s="10"/>
      <c r="B545" s="13"/>
      <c r="C545" s="13"/>
    </row>
    <row r="546" spans="1:3" ht="13" x14ac:dyDescent="0.15">
      <c r="A546" s="10"/>
      <c r="B546" s="13"/>
      <c r="C546" s="13"/>
    </row>
    <row r="547" spans="1:3" ht="13" x14ac:dyDescent="0.15">
      <c r="A547" s="10"/>
      <c r="B547" s="13"/>
      <c r="C547" s="13"/>
    </row>
    <row r="548" spans="1:3" ht="13" x14ac:dyDescent="0.15">
      <c r="A548" s="10"/>
      <c r="B548" s="13"/>
      <c r="C548" s="13"/>
    </row>
    <row r="549" spans="1:3" ht="13" x14ac:dyDescent="0.15">
      <c r="A549" s="10"/>
      <c r="B549" s="13"/>
      <c r="C549" s="13"/>
    </row>
    <row r="550" spans="1:3" ht="13" x14ac:dyDescent="0.15">
      <c r="A550" s="10"/>
      <c r="B550" s="13"/>
      <c r="C550" s="13"/>
    </row>
    <row r="551" spans="1:3" ht="13" x14ac:dyDescent="0.15">
      <c r="A551" s="10"/>
      <c r="B551" s="13"/>
      <c r="C551" s="13"/>
    </row>
    <row r="552" spans="1:3" ht="13" x14ac:dyDescent="0.15">
      <c r="A552" s="10"/>
      <c r="B552" s="13"/>
      <c r="C552" s="13"/>
    </row>
    <row r="553" spans="1:3" ht="13" x14ac:dyDescent="0.15">
      <c r="A553" s="10"/>
      <c r="B553" s="13"/>
      <c r="C553" s="13"/>
    </row>
    <row r="554" spans="1:3" ht="13" x14ac:dyDescent="0.15">
      <c r="A554" s="10"/>
      <c r="B554" s="13"/>
      <c r="C554" s="13"/>
    </row>
    <row r="555" spans="1:3" ht="13" x14ac:dyDescent="0.15">
      <c r="A555" s="10"/>
      <c r="B555" s="13"/>
      <c r="C555" s="13"/>
    </row>
    <row r="556" spans="1:3" ht="13" x14ac:dyDescent="0.15">
      <c r="A556" s="10"/>
      <c r="B556" s="13"/>
      <c r="C556" s="13"/>
    </row>
    <row r="557" spans="1:3" ht="13" x14ac:dyDescent="0.15">
      <c r="A557" s="10"/>
      <c r="B557" s="13"/>
      <c r="C557" s="13"/>
    </row>
    <row r="558" spans="1:3" ht="13" x14ac:dyDescent="0.15">
      <c r="A558" s="10"/>
      <c r="B558" s="13"/>
      <c r="C558" s="13"/>
    </row>
    <row r="559" spans="1:3" ht="13" x14ac:dyDescent="0.15">
      <c r="A559" s="10"/>
      <c r="B559" s="13"/>
      <c r="C559" s="13"/>
    </row>
    <row r="560" spans="1:3" ht="13" x14ac:dyDescent="0.15">
      <c r="A560" s="10"/>
      <c r="B560" s="13"/>
      <c r="C560" s="13"/>
    </row>
    <row r="561" spans="1:3" ht="13" x14ac:dyDescent="0.15">
      <c r="A561" s="10"/>
      <c r="B561" s="13"/>
      <c r="C561" s="13"/>
    </row>
    <row r="562" spans="1:3" ht="13" x14ac:dyDescent="0.15">
      <c r="A562" s="10"/>
      <c r="B562" s="13"/>
      <c r="C562" s="13"/>
    </row>
    <row r="563" spans="1:3" ht="13" x14ac:dyDescent="0.15">
      <c r="A563" s="10"/>
      <c r="B563" s="13"/>
      <c r="C563" s="13"/>
    </row>
    <row r="564" spans="1:3" ht="13" x14ac:dyDescent="0.15">
      <c r="A564" s="10"/>
      <c r="B564" s="13"/>
      <c r="C564" s="13"/>
    </row>
    <row r="565" spans="1:3" ht="13" x14ac:dyDescent="0.15">
      <c r="A565" s="10"/>
      <c r="B565" s="13"/>
      <c r="C565" s="13"/>
    </row>
    <row r="566" spans="1:3" ht="13" x14ac:dyDescent="0.15">
      <c r="A566" s="10"/>
      <c r="B566" s="13"/>
      <c r="C566" s="13"/>
    </row>
    <row r="567" spans="1:3" ht="13" x14ac:dyDescent="0.15">
      <c r="A567" s="10"/>
      <c r="B567" s="13"/>
      <c r="C567" s="13"/>
    </row>
    <row r="568" spans="1:3" ht="13" x14ac:dyDescent="0.15">
      <c r="A568" s="10"/>
      <c r="B568" s="13"/>
      <c r="C568" s="13"/>
    </row>
    <row r="569" spans="1:3" ht="13" x14ac:dyDescent="0.15">
      <c r="A569" s="10"/>
      <c r="B569" s="13"/>
      <c r="C569" s="13"/>
    </row>
    <row r="570" spans="1:3" ht="13" x14ac:dyDescent="0.15">
      <c r="A570" s="10"/>
      <c r="B570" s="13"/>
      <c r="C570" s="13"/>
    </row>
    <row r="571" spans="1:3" ht="13" x14ac:dyDescent="0.15">
      <c r="A571" s="10"/>
      <c r="B571" s="13"/>
      <c r="C571" s="13"/>
    </row>
    <row r="572" spans="1:3" ht="13" x14ac:dyDescent="0.15">
      <c r="A572" s="10"/>
      <c r="B572" s="13"/>
      <c r="C572" s="13"/>
    </row>
    <row r="573" spans="1:3" ht="13" x14ac:dyDescent="0.15">
      <c r="A573" s="10"/>
      <c r="B573" s="13"/>
      <c r="C573" s="13"/>
    </row>
    <row r="574" spans="1:3" ht="13" x14ac:dyDescent="0.15">
      <c r="A574" s="10"/>
      <c r="B574" s="13"/>
      <c r="C574" s="13"/>
    </row>
    <row r="575" spans="1:3" ht="13" x14ac:dyDescent="0.15">
      <c r="A575" s="10"/>
      <c r="B575" s="13"/>
      <c r="C575" s="13"/>
    </row>
    <row r="576" spans="1:3" ht="13" x14ac:dyDescent="0.15">
      <c r="A576" s="10"/>
      <c r="B576" s="13"/>
      <c r="C576" s="13"/>
    </row>
    <row r="577" spans="1:3" ht="13" x14ac:dyDescent="0.15">
      <c r="A577" s="10"/>
      <c r="B577" s="13"/>
      <c r="C577" s="13"/>
    </row>
    <row r="578" spans="1:3" ht="13" x14ac:dyDescent="0.15">
      <c r="A578" s="10"/>
      <c r="B578" s="13"/>
      <c r="C578" s="13"/>
    </row>
    <row r="579" spans="1:3" ht="13" x14ac:dyDescent="0.15">
      <c r="A579" s="10"/>
      <c r="B579" s="13"/>
      <c r="C579" s="13"/>
    </row>
    <row r="580" spans="1:3" ht="13" x14ac:dyDescent="0.15">
      <c r="A580" s="10"/>
      <c r="B580" s="13"/>
      <c r="C580" s="13"/>
    </row>
    <row r="581" spans="1:3" ht="13" x14ac:dyDescent="0.15">
      <c r="A581" s="10"/>
      <c r="B581" s="13"/>
      <c r="C581" s="13"/>
    </row>
    <row r="582" spans="1:3" ht="13" x14ac:dyDescent="0.15">
      <c r="A582" s="10"/>
      <c r="B582" s="13"/>
      <c r="C582" s="13"/>
    </row>
    <row r="583" spans="1:3" ht="13" x14ac:dyDescent="0.15">
      <c r="A583" s="10"/>
      <c r="B583" s="13"/>
      <c r="C583" s="13"/>
    </row>
    <row r="584" spans="1:3" ht="13" x14ac:dyDescent="0.15">
      <c r="A584" s="10"/>
      <c r="B584" s="13"/>
      <c r="C584" s="13"/>
    </row>
    <row r="585" spans="1:3" ht="13" x14ac:dyDescent="0.15">
      <c r="A585" s="10"/>
      <c r="B585" s="13"/>
      <c r="C585" s="13"/>
    </row>
    <row r="586" spans="1:3" ht="13" x14ac:dyDescent="0.15">
      <c r="A586" s="10"/>
      <c r="B586" s="13"/>
      <c r="C586" s="13"/>
    </row>
    <row r="587" spans="1:3" ht="13" x14ac:dyDescent="0.15">
      <c r="A587" s="10"/>
      <c r="B587" s="13"/>
      <c r="C587" s="13"/>
    </row>
    <row r="588" spans="1:3" ht="13" x14ac:dyDescent="0.15">
      <c r="A588" s="10"/>
      <c r="B588" s="13"/>
      <c r="C588" s="13"/>
    </row>
    <row r="589" spans="1:3" ht="13" x14ac:dyDescent="0.15">
      <c r="A589" s="10"/>
      <c r="B589" s="13"/>
      <c r="C589" s="13"/>
    </row>
    <row r="590" spans="1:3" ht="13" x14ac:dyDescent="0.15">
      <c r="A590" s="10"/>
      <c r="B590" s="13"/>
      <c r="C590" s="13"/>
    </row>
    <row r="591" spans="1:3" ht="13" x14ac:dyDescent="0.15">
      <c r="A591" s="10"/>
      <c r="B591" s="13"/>
      <c r="C591" s="13"/>
    </row>
    <row r="592" spans="1:3" ht="13" x14ac:dyDescent="0.15">
      <c r="A592" s="10"/>
      <c r="B592" s="13"/>
      <c r="C592" s="13"/>
    </row>
    <row r="593" spans="1:3" ht="13" x14ac:dyDescent="0.15">
      <c r="A593" s="10"/>
      <c r="B593" s="13"/>
      <c r="C593" s="13"/>
    </row>
    <row r="594" spans="1:3" ht="13" x14ac:dyDescent="0.15">
      <c r="A594" s="10"/>
      <c r="B594" s="13"/>
      <c r="C594" s="13"/>
    </row>
    <row r="595" spans="1:3" ht="13" x14ac:dyDescent="0.15">
      <c r="A595" s="10"/>
      <c r="B595" s="13"/>
      <c r="C595" s="13"/>
    </row>
    <row r="596" spans="1:3" ht="13" x14ac:dyDescent="0.15">
      <c r="A596" s="10"/>
      <c r="B596" s="13"/>
      <c r="C596" s="13"/>
    </row>
    <row r="597" spans="1:3" ht="13" x14ac:dyDescent="0.15">
      <c r="A597" s="10"/>
      <c r="B597" s="13"/>
      <c r="C597" s="13"/>
    </row>
    <row r="598" spans="1:3" ht="13" x14ac:dyDescent="0.15">
      <c r="A598" s="10"/>
      <c r="B598" s="13"/>
      <c r="C598" s="13"/>
    </row>
    <row r="599" spans="1:3" ht="13" x14ac:dyDescent="0.15">
      <c r="A599" s="10"/>
      <c r="B599" s="13"/>
      <c r="C599" s="13"/>
    </row>
    <row r="600" spans="1:3" ht="13" x14ac:dyDescent="0.15">
      <c r="A600" s="10"/>
      <c r="B600" s="13"/>
      <c r="C600" s="13"/>
    </row>
    <row r="601" spans="1:3" ht="13" x14ac:dyDescent="0.15">
      <c r="A601" s="10"/>
      <c r="B601" s="13"/>
      <c r="C601" s="13"/>
    </row>
    <row r="602" spans="1:3" ht="13" x14ac:dyDescent="0.15">
      <c r="A602" s="10"/>
      <c r="B602" s="13"/>
      <c r="C602" s="13"/>
    </row>
    <row r="603" spans="1:3" ht="13" x14ac:dyDescent="0.15">
      <c r="A603" s="10"/>
      <c r="B603" s="13"/>
      <c r="C603" s="13"/>
    </row>
    <row r="604" spans="1:3" ht="13" x14ac:dyDescent="0.15">
      <c r="A604" s="10"/>
      <c r="B604" s="13"/>
      <c r="C604" s="13"/>
    </row>
    <row r="605" spans="1:3" ht="13" x14ac:dyDescent="0.15">
      <c r="A605" s="10"/>
      <c r="B605" s="13"/>
      <c r="C605" s="13"/>
    </row>
    <row r="606" spans="1:3" ht="13" x14ac:dyDescent="0.15">
      <c r="A606" s="10"/>
      <c r="B606" s="13"/>
      <c r="C606" s="13"/>
    </row>
    <row r="607" spans="1:3" ht="13" x14ac:dyDescent="0.15">
      <c r="A607" s="10"/>
      <c r="B607" s="13"/>
      <c r="C607" s="13"/>
    </row>
    <row r="608" spans="1:3" ht="13" x14ac:dyDescent="0.15">
      <c r="A608" s="10"/>
      <c r="B608" s="13"/>
      <c r="C608" s="13"/>
    </row>
    <row r="609" spans="1:3" ht="13" x14ac:dyDescent="0.15">
      <c r="A609" s="10"/>
      <c r="B609" s="13"/>
      <c r="C609" s="13"/>
    </row>
    <row r="610" spans="1:3" ht="13" x14ac:dyDescent="0.15">
      <c r="A610" s="10"/>
      <c r="B610" s="13"/>
      <c r="C610" s="13"/>
    </row>
    <row r="611" spans="1:3" ht="13" x14ac:dyDescent="0.15">
      <c r="A611" s="10"/>
      <c r="B611" s="13"/>
      <c r="C611" s="13"/>
    </row>
    <row r="612" spans="1:3" ht="13" x14ac:dyDescent="0.15">
      <c r="A612" s="10"/>
      <c r="B612" s="13"/>
      <c r="C612" s="13"/>
    </row>
    <row r="613" spans="1:3" ht="13" x14ac:dyDescent="0.15">
      <c r="A613" s="10"/>
      <c r="B613" s="13"/>
      <c r="C613" s="13"/>
    </row>
    <row r="614" spans="1:3" ht="13" x14ac:dyDescent="0.15">
      <c r="A614" s="10"/>
      <c r="B614" s="13"/>
      <c r="C614" s="13"/>
    </row>
    <row r="615" spans="1:3" ht="13" x14ac:dyDescent="0.15">
      <c r="A615" s="10"/>
      <c r="B615" s="13"/>
      <c r="C615" s="13"/>
    </row>
    <row r="616" spans="1:3" ht="13" x14ac:dyDescent="0.15">
      <c r="A616" s="10"/>
      <c r="B616" s="13"/>
      <c r="C616" s="13"/>
    </row>
    <row r="617" spans="1:3" ht="13" x14ac:dyDescent="0.15">
      <c r="A617" s="10"/>
      <c r="B617" s="13"/>
      <c r="C617" s="13"/>
    </row>
    <row r="618" spans="1:3" ht="13" x14ac:dyDescent="0.15">
      <c r="A618" s="10"/>
      <c r="B618" s="13"/>
      <c r="C618" s="13"/>
    </row>
    <row r="619" spans="1:3" ht="13" x14ac:dyDescent="0.15">
      <c r="A619" s="10"/>
      <c r="B619" s="13"/>
      <c r="C619" s="13"/>
    </row>
    <row r="620" spans="1:3" ht="13" x14ac:dyDescent="0.15">
      <c r="A620" s="10"/>
      <c r="B620" s="13"/>
      <c r="C620" s="13"/>
    </row>
    <row r="621" spans="1:3" ht="13" x14ac:dyDescent="0.15">
      <c r="A621" s="10"/>
      <c r="B621" s="13"/>
      <c r="C621" s="13"/>
    </row>
    <row r="622" spans="1:3" ht="13" x14ac:dyDescent="0.15">
      <c r="A622" s="10"/>
      <c r="B622" s="13"/>
      <c r="C622" s="13"/>
    </row>
    <row r="623" spans="1:3" ht="13" x14ac:dyDescent="0.15">
      <c r="A623" s="10"/>
      <c r="B623" s="13"/>
      <c r="C623" s="13"/>
    </row>
    <row r="624" spans="1:3" ht="13" x14ac:dyDescent="0.15">
      <c r="A624" s="10"/>
      <c r="B624" s="13"/>
      <c r="C624" s="13"/>
    </row>
    <row r="625" spans="1:3" ht="13" x14ac:dyDescent="0.15">
      <c r="A625" s="10"/>
      <c r="B625" s="13"/>
      <c r="C625" s="13"/>
    </row>
    <row r="626" spans="1:3" ht="13" x14ac:dyDescent="0.15">
      <c r="A626" s="10"/>
      <c r="B626" s="13"/>
      <c r="C626" s="13"/>
    </row>
    <row r="627" spans="1:3" ht="13" x14ac:dyDescent="0.15">
      <c r="A627" s="10"/>
      <c r="B627" s="13"/>
      <c r="C627" s="13"/>
    </row>
    <row r="628" spans="1:3" ht="13" x14ac:dyDescent="0.15">
      <c r="A628" s="10"/>
      <c r="B628" s="13"/>
      <c r="C628" s="13"/>
    </row>
    <row r="629" spans="1:3" ht="13" x14ac:dyDescent="0.15">
      <c r="A629" s="10"/>
      <c r="B629" s="13"/>
      <c r="C629" s="13"/>
    </row>
    <row r="630" spans="1:3" ht="13" x14ac:dyDescent="0.15">
      <c r="A630" s="10"/>
      <c r="B630" s="13"/>
      <c r="C630" s="13"/>
    </row>
    <row r="631" spans="1:3" ht="13" x14ac:dyDescent="0.15">
      <c r="A631" s="10"/>
      <c r="B631" s="13"/>
      <c r="C631" s="13"/>
    </row>
    <row r="632" spans="1:3" ht="13" x14ac:dyDescent="0.15">
      <c r="A632" s="10"/>
      <c r="B632" s="13"/>
      <c r="C632" s="13"/>
    </row>
    <row r="633" spans="1:3" ht="13" x14ac:dyDescent="0.15">
      <c r="A633" s="10"/>
      <c r="B633" s="13"/>
      <c r="C633" s="13"/>
    </row>
    <row r="634" spans="1:3" ht="13" x14ac:dyDescent="0.15">
      <c r="A634" s="10"/>
      <c r="B634" s="13"/>
      <c r="C634" s="13"/>
    </row>
    <row r="635" spans="1:3" ht="13" x14ac:dyDescent="0.15">
      <c r="A635" s="10"/>
      <c r="B635" s="13"/>
      <c r="C635" s="13"/>
    </row>
    <row r="636" spans="1:3" ht="13" x14ac:dyDescent="0.15">
      <c r="A636" s="10"/>
      <c r="B636" s="13"/>
      <c r="C636" s="13"/>
    </row>
    <row r="637" spans="1:3" ht="13" x14ac:dyDescent="0.15">
      <c r="A637" s="10"/>
      <c r="B637" s="13"/>
      <c r="C637" s="13"/>
    </row>
    <row r="638" spans="1:3" ht="13" x14ac:dyDescent="0.15">
      <c r="A638" s="10"/>
      <c r="B638" s="13"/>
      <c r="C638" s="13"/>
    </row>
    <row r="639" spans="1:3" ht="13" x14ac:dyDescent="0.15">
      <c r="A639" s="10"/>
      <c r="B639" s="13"/>
      <c r="C639" s="13"/>
    </row>
    <row r="640" spans="1:3" ht="13" x14ac:dyDescent="0.15">
      <c r="A640" s="10"/>
      <c r="B640" s="13"/>
      <c r="C640" s="13"/>
    </row>
    <row r="641" spans="1:3" ht="13" x14ac:dyDescent="0.15">
      <c r="A641" s="10"/>
      <c r="B641" s="13"/>
      <c r="C641" s="13"/>
    </row>
    <row r="642" spans="1:3" ht="13" x14ac:dyDescent="0.15">
      <c r="A642" s="10"/>
      <c r="B642" s="13"/>
      <c r="C642" s="13"/>
    </row>
    <row r="643" spans="1:3" ht="13" x14ac:dyDescent="0.15">
      <c r="A643" s="10"/>
      <c r="B643" s="13"/>
      <c r="C643" s="13"/>
    </row>
    <row r="644" spans="1:3" ht="13" x14ac:dyDescent="0.15">
      <c r="A644" s="10"/>
      <c r="B644" s="13"/>
      <c r="C644" s="13"/>
    </row>
    <row r="645" spans="1:3" ht="13" x14ac:dyDescent="0.15">
      <c r="A645" s="10"/>
      <c r="B645" s="13"/>
      <c r="C645" s="13"/>
    </row>
    <row r="646" spans="1:3" ht="13" x14ac:dyDescent="0.15">
      <c r="A646" s="10"/>
      <c r="B646" s="13"/>
      <c r="C646" s="13"/>
    </row>
    <row r="647" spans="1:3" ht="13" x14ac:dyDescent="0.15">
      <c r="A647" s="10"/>
      <c r="B647" s="13"/>
      <c r="C647" s="13"/>
    </row>
    <row r="648" spans="1:3" ht="13" x14ac:dyDescent="0.15">
      <c r="A648" s="10"/>
      <c r="B648" s="13"/>
      <c r="C648" s="13"/>
    </row>
    <row r="649" spans="1:3" ht="13" x14ac:dyDescent="0.15">
      <c r="A649" s="10"/>
      <c r="B649" s="13"/>
      <c r="C649" s="13"/>
    </row>
    <row r="650" spans="1:3" ht="13" x14ac:dyDescent="0.15">
      <c r="A650" s="10"/>
      <c r="B650" s="13"/>
      <c r="C650" s="13"/>
    </row>
    <row r="651" spans="1:3" ht="13" x14ac:dyDescent="0.15">
      <c r="A651" s="10"/>
      <c r="B651" s="13"/>
      <c r="C651" s="13"/>
    </row>
    <row r="652" spans="1:3" ht="13" x14ac:dyDescent="0.15">
      <c r="A652" s="10"/>
      <c r="B652" s="13"/>
      <c r="C652" s="13"/>
    </row>
    <row r="653" spans="1:3" ht="13" x14ac:dyDescent="0.15">
      <c r="A653" s="10"/>
      <c r="B653" s="13"/>
      <c r="C653" s="13"/>
    </row>
    <row r="654" spans="1:3" ht="13" x14ac:dyDescent="0.15">
      <c r="A654" s="10"/>
      <c r="B654" s="13"/>
      <c r="C654" s="13"/>
    </row>
    <row r="655" spans="1:3" ht="13" x14ac:dyDescent="0.15">
      <c r="A655" s="10"/>
      <c r="B655" s="13"/>
      <c r="C655" s="13"/>
    </row>
    <row r="656" spans="1:3" ht="13" x14ac:dyDescent="0.15">
      <c r="A656" s="10"/>
      <c r="B656" s="13"/>
      <c r="C656" s="13"/>
    </row>
    <row r="657" spans="1:3" ht="13" x14ac:dyDescent="0.15">
      <c r="A657" s="10"/>
      <c r="B657" s="13"/>
      <c r="C657" s="13"/>
    </row>
    <row r="658" spans="1:3" ht="13" x14ac:dyDescent="0.15">
      <c r="A658" s="10"/>
      <c r="B658" s="13"/>
      <c r="C658" s="13"/>
    </row>
    <row r="659" spans="1:3" ht="13" x14ac:dyDescent="0.15">
      <c r="A659" s="10"/>
      <c r="B659" s="13"/>
      <c r="C659" s="13"/>
    </row>
    <row r="660" spans="1:3" ht="13" x14ac:dyDescent="0.15">
      <c r="A660" s="10"/>
      <c r="B660" s="13"/>
      <c r="C660" s="13"/>
    </row>
    <row r="661" spans="1:3" ht="13" x14ac:dyDescent="0.15">
      <c r="A661" s="10"/>
      <c r="B661" s="13"/>
      <c r="C661" s="13"/>
    </row>
    <row r="662" spans="1:3" ht="13" x14ac:dyDescent="0.15">
      <c r="A662" s="10"/>
      <c r="B662" s="13"/>
      <c r="C662" s="13"/>
    </row>
    <row r="663" spans="1:3" ht="13" x14ac:dyDescent="0.15">
      <c r="A663" s="10"/>
      <c r="B663" s="13"/>
      <c r="C663" s="13"/>
    </row>
    <row r="664" spans="1:3" ht="13" x14ac:dyDescent="0.15">
      <c r="A664" s="10"/>
      <c r="B664" s="13"/>
      <c r="C664" s="13"/>
    </row>
    <row r="665" spans="1:3" ht="13" x14ac:dyDescent="0.15">
      <c r="A665" s="10"/>
      <c r="B665" s="13"/>
      <c r="C665" s="13"/>
    </row>
    <row r="666" spans="1:3" ht="13" x14ac:dyDescent="0.15">
      <c r="A666" s="10"/>
      <c r="B666" s="13"/>
      <c r="C666" s="13"/>
    </row>
    <row r="667" spans="1:3" ht="13" x14ac:dyDescent="0.15">
      <c r="A667" s="10"/>
      <c r="B667" s="13"/>
      <c r="C667" s="13"/>
    </row>
    <row r="668" spans="1:3" ht="13" x14ac:dyDescent="0.15">
      <c r="A668" s="10"/>
      <c r="B668" s="13"/>
      <c r="C668" s="13"/>
    </row>
    <row r="669" spans="1:3" ht="13" x14ac:dyDescent="0.15">
      <c r="A669" s="10"/>
      <c r="B669" s="13"/>
      <c r="C669" s="13"/>
    </row>
    <row r="670" spans="1:3" ht="13" x14ac:dyDescent="0.15">
      <c r="A670" s="10"/>
      <c r="B670" s="13"/>
      <c r="C670" s="13"/>
    </row>
    <row r="671" spans="1:3" ht="13" x14ac:dyDescent="0.15">
      <c r="A671" s="10"/>
      <c r="B671" s="13"/>
      <c r="C671" s="13"/>
    </row>
    <row r="672" spans="1:3" ht="13" x14ac:dyDescent="0.15">
      <c r="A672" s="10"/>
      <c r="B672" s="13"/>
      <c r="C672" s="13"/>
    </row>
    <row r="673" spans="1:3" ht="13" x14ac:dyDescent="0.15">
      <c r="A673" s="10"/>
      <c r="B673" s="13"/>
      <c r="C673" s="13"/>
    </row>
    <row r="674" spans="1:3" ht="13" x14ac:dyDescent="0.15">
      <c r="A674" s="10"/>
      <c r="B674" s="13"/>
      <c r="C674" s="13"/>
    </row>
    <row r="675" spans="1:3" ht="13" x14ac:dyDescent="0.15">
      <c r="A675" s="10"/>
      <c r="B675" s="13"/>
      <c r="C675" s="13"/>
    </row>
    <row r="676" spans="1:3" ht="13" x14ac:dyDescent="0.15">
      <c r="A676" s="10"/>
      <c r="B676" s="13"/>
      <c r="C676" s="13"/>
    </row>
    <row r="677" spans="1:3" ht="13" x14ac:dyDescent="0.15">
      <c r="A677" s="10"/>
      <c r="B677" s="13"/>
      <c r="C677" s="13"/>
    </row>
    <row r="678" spans="1:3" ht="13" x14ac:dyDescent="0.15">
      <c r="A678" s="10"/>
      <c r="B678" s="13"/>
      <c r="C678" s="13"/>
    </row>
    <row r="679" spans="1:3" ht="13" x14ac:dyDescent="0.15">
      <c r="A679" s="10"/>
      <c r="B679" s="13"/>
      <c r="C679" s="13"/>
    </row>
    <row r="680" spans="1:3" ht="13" x14ac:dyDescent="0.15">
      <c r="A680" s="10"/>
      <c r="B680" s="13"/>
      <c r="C680" s="13"/>
    </row>
    <row r="681" spans="1:3" ht="13" x14ac:dyDescent="0.15">
      <c r="A681" s="10"/>
      <c r="B681" s="13"/>
      <c r="C681" s="13"/>
    </row>
    <row r="682" spans="1:3" ht="13" x14ac:dyDescent="0.15">
      <c r="A682" s="10"/>
      <c r="B682" s="13"/>
      <c r="C682" s="13"/>
    </row>
    <row r="683" spans="1:3" ht="13" x14ac:dyDescent="0.15">
      <c r="A683" s="10"/>
      <c r="B683" s="13"/>
      <c r="C683" s="13"/>
    </row>
    <row r="684" spans="1:3" ht="13" x14ac:dyDescent="0.15">
      <c r="A684" s="10"/>
      <c r="B684" s="13"/>
      <c r="C684" s="13"/>
    </row>
    <row r="685" spans="1:3" ht="13" x14ac:dyDescent="0.15">
      <c r="A685" s="10"/>
      <c r="B685" s="13"/>
      <c r="C685" s="13"/>
    </row>
    <row r="686" spans="1:3" ht="13" x14ac:dyDescent="0.15">
      <c r="A686" s="10"/>
      <c r="B686" s="13"/>
      <c r="C686" s="13"/>
    </row>
    <row r="687" spans="1:3" ht="13" x14ac:dyDescent="0.15">
      <c r="A687" s="10"/>
      <c r="B687" s="13"/>
      <c r="C687" s="13"/>
    </row>
    <row r="688" spans="1:3" ht="13" x14ac:dyDescent="0.15">
      <c r="A688" s="10"/>
      <c r="B688" s="13"/>
      <c r="C688" s="13"/>
    </row>
    <row r="689" spans="1:3" ht="13" x14ac:dyDescent="0.15">
      <c r="A689" s="10"/>
      <c r="B689" s="13"/>
      <c r="C689" s="13"/>
    </row>
    <row r="690" spans="1:3" ht="13" x14ac:dyDescent="0.15">
      <c r="A690" s="10"/>
      <c r="B690" s="13"/>
      <c r="C690" s="13"/>
    </row>
    <row r="691" spans="1:3" ht="13" x14ac:dyDescent="0.15">
      <c r="A691" s="10"/>
      <c r="B691" s="13"/>
      <c r="C691" s="13"/>
    </row>
    <row r="692" spans="1:3" ht="13" x14ac:dyDescent="0.15">
      <c r="A692" s="10"/>
      <c r="B692" s="13"/>
      <c r="C692" s="13"/>
    </row>
    <row r="693" spans="1:3" ht="13" x14ac:dyDescent="0.15">
      <c r="A693" s="10"/>
      <c r="B693" s="13"/>
      <c r="C693" s="13"/>
    </row>
    <row r="694" spans="1:3" ht="13" x14ac:dyDescent="0.15">
      <c r="A694" s="10"/>
      <c r="B694" s="13"/>
      <c r="C694" s="13"/>
    </row>
    <row r="695" spans="1:3" ht="13" x14ac:dyDescent="0.15">
      <c r="A695" s="10"/>
      <c r="B695" s="13"/>
      <c r="C695" s="13"/>
    </row>
    <row r="696" spans="1:3" ht="13" x14ac:dyDescent="0.15">
      <c r="A696" s="10"/>
      <c r="B696" s="13"/>
      <c r="C696" s="13"/>
    </row>
    <row r="697" spans="1:3" ht="13" x14ac:dyDescent="0.15">
      <c r="A697" s="10"/>
      <c r="B697" s="13"/>
      <c r="C697" s="13"/>
    </row>
    <row r="698" spans="1:3" ht="13" x14ac:dyDescent="0.15">
      <c r="A698" s="10"/>
      <c r="B698" s="13"/>
      <c r="C698" s="13"/>
    </row>
    <row r="699" spans="1:3" ht="13" x14ac:dyDescent="0.15">
      <c r="A699" s="10"/>
      <c r="B699" s="13"/>
      <c r="C699" s="13"/>
    </row>
    <row r="700" spans="1:3" ht="13" x14ac:dyDescent="0.15">
      <c r="A700" s="10"/>
      <c r="B700" s="13"/>
      <c r="C700" s="13"/>
    </row>
    <row r="701" spans="1:3" ht="13" x14ac:dyDescent="0.15">
      <c r="A701" s="10"/>
      <c r="B701" s="13"/>
      <c r="C701" s="13"/>
    </row>
    <row r="702" spans="1:3" ht="13" x14ac:dyDescent="0.15">
      <c r="A702" s="10"/>
      <c r="B702" s="13"/>
      <c r="C702" s="13"/>
    </row>
    <row r="703" spans="1:3" ht="13" x14ac:dyDescent="0.15">
      <c r="A703" s="10"/>
      <c r="B703" s="13"/>
      <c r="C703" s="13"/>
    </row>
    <row r="704" spans="1:3" ht="13" x14ac:dyDescent="0.15">
      <c r="A704" s="10"/>
      <c r="B704" s="13"/>
      <c r="C704" s="13"/>
    </row>
    <row r="705" spans="1:3" ht="13" x14ac:dyDescent="0.15">
      <c r="A705" s="10"/>
      <c r="B705" s="13"/>
      <c r="C705" s="13"/>
    </row>
    <row r="706" spans="1:3" ht="13" x14ac:dyDescent="0.15">
      <c r="A706" s="10"/>
      <c r="B706" s="13"/>
      <c r="C706" s="13"/>
    </row>
    <row r="707" spans="1:3" ht="13" x14ac:dyDescent="0.15">
      <c r="A707" s="10"/>
      <c r="B707" s="13"/>
      <c r="C707" s="13"/>
    </row>
    <row r="708" spans="1:3" ht="13" x14ac:dyDescent="0.15">
      <c r="A708" s="10"/>
      <c r="B708" s="13"/>
      <c r="C708" s="13"/>
    </row>
    <row r="709" spans="1:3" ht="13" x14ac:dyDescent="0.15">
      <c r="A709" s="10"/>
      <c r="B709" s="13"/>
      <c r="C709" s="13"/>
    </row>
    <row r="710" spans="1:3" ht="13" x14ac:dyDescent="0.15">
      <c r="A710" s="10"/>
      <c r="B710" s="13"/>
      <c r="C710" s="13"/>
    </row>
    <row r="711" spans="1:3" ht="13" x14ac:dyDescent="0.15">
      <c r="A711" s="10"/>
      <c r="B711" s="13"/>
      <c r="C711" s="13"/>
    </row>
    <row r="712" spans="1:3" ht="13" x14ac:dyDescent="0.15">
      <c r="A712" s="10"/>
      <c r="B712" s="13"/>
      <c r="C712" s="13"/>
    </row>
    <row r="713" spans="1:3" ht="13" x14ac:dyDescent="0.15">
      <c r="A713" s="10"/>
      <c r="B713" s="13"/>
      <c r="C713" s="13"/>
    </row>
    <row r="714" spans="1:3" ht="13" x14ac:dyDescent="0.15">
      <c r="A714" s="10"/>
      <c r="B714" s="13"/>
      <c r="C714" s="13"/>
    </row>
    <row r="715" spans="1:3" ht="13" x14ac:dyDescent="0.15">
      <c r="A715" s="10"/>
      <c r="B715" s="13"/>
      <c r="C715" s="13"/>
    </row>
    <row r="716" spans="1:3" ht="13" x14ac:dyDescent="0.15">
      <c r="A716" s="10"/>
      <c r="B716" s="13"/>
      <c r="C716" s="13"/>
    </row>
    <row r="717" spans="1:3" ht="13" x14ac:dyDescent="0.15">
      <c r="A717" s="10"/>
      <c r="B717" s="13"/>
      <c r="C717" s="13"/>
    </row>
    <row r="718" spans="1:3" ht="13" x14ac:dyDescent="0.15">
      <c r="A718" s="10"/>
      <c r="B718" s="13"/>
      <c r="C718" s="13"/>
    </row>
    <row r="719" spans="1:3" ht="13" x14ac:dyDescent="0.15">
      <c r="A719" s="10"/>
      <c r="B719" s="13"/>
      <c r="C719" s="13"/>
    </row>
    <row r="720" spans="1:3" ht="13" x14ac:dyDescent="0.15">
      <c r="A720" s="10"/>
      <c r="B720" s="13"/>
      <c r="C720" s="13"/>
    </row>
    <row r="721" spans="1:3" ht="13" x14ac:dyDescent="0.15">
      <c r="A721" s="10"/>
      <c r="B721" s="13"/>
      <c r="C721" s="13"/>
    </row>
    <row r="722" spans="1:3" ht="13" x14ac:dyDescent="0.15">
      <c r="A722" s="10"/>
      <c r="B722" s="13"/>
      <c r="C722" s="13"/>
    </row>
    <row r="723" spans="1:3" ht="13" x14ac:dyDescent="0.15">
      <c r="A723" s="10"/>
      <c r="B723" s="13"/>
      <c r="C723" s="13"/>
    </row>
    <row r="724" spans="1:3" ht="13" x14ac:dyDescent="0.15">
      <c r="A724" s="10"/>
      <c r="B724" s="13"/>
      <c r="C724" s="13"/>
    </row>
    <row r="725" spans="1:3" ht="13" x14ac:dyDescent="0.15">
      <c r="A725" s="10"/>
      <c r="B725" s="13"/>
      <c r="C725" s="13"/>
    </row>
    <row r="726" spans="1:3" ht="13" x14ac:dyDescent="0.15">
      <c r="A726" s="10"/>
      <c r="B726" s="13"/>
      <c r="C726" s="13"/>
    </row>
    <row r="727" spans="1:3" ht="13" x14ac:dyDescent="0.15">
      <c r="A727" s="10"/>
      <c r="B727" s="13"/>
      <c r="C727" s="13"/>
    </row>
    <row r="728" spans="1:3" ht="13" x14ac:dyDescent="0.15">
      <c r="A728" s="10"/>
      <c r="B728" s="13"/>
      <c r="C728" s="13"/>
    </row>
    <row r="729" spans="1:3" ht="13" x14ac:dyDescent="0.15">
      <c r="A729" s="10"/>
      <c r="B729" s="13"/>
      <c r="C729" s="13"/>
    </row>
    <row r="730" spans="1:3" ht="13" x14ac:dyDescent="0.15">
      <c r="A730" s="10"/>
      <c r="B730" s="13"/>
      <c r="C730" s="13"/>
    </row>
    <row r="731" spans="1:3" ht="13" x14ac:dyDescent="0.15">
      <c r="A731" s="10"/>
      <c r="B731" s="13"/>
      <c r="C731" s="13"/>
    </row>
    <row r="732" spans="1:3" ht="13" x14ac:dyDescent="0.15">
      <c r="A732" s="10"/>
      <c r="B732" s="13"/>
      <c r="C732" s="13"/>
    </row>
    <row r="733" spans="1:3" ht="13" x14ac:dyDescent="0.15">
      <c r="A733" s="10"/>
      <c r="B733" s="13"/>
      <c r="C733" s="13"/>
    </row>
    <row r="734" spans="1:3" ht="13" x14ac:dyDescent="0.15">
      <c r="A734" s="10"/>
      <c r="B734" s="13"/>
      <c r="C734" s="13"/>
    </row>
    <row r="735" spans="1:3" ht="13" x14ac:dyDescent="0.15">
      <c r="A735" s="10"/>
      <c r="B735" s="13"/>
      <c r="C735" s="13"/>
    </row>
    <row r="736" spans="1:3" ht="13" x14ac:dyDescent="0.15">
      <c r="A736" s="10"/>
      <c r="B736" s="13"/>
      <c r="C736" s="13"/>
    </row>
    <row r="737" spans="1:3" ht="13" x14ac:dyDescent="0.15">
      <c r="A737" s="10"/>
      <c r="B737" s="13"/>
      <c r="C737" s="13"/>
    </row>
    <row r="738" spans="1:3" ht="13" x14ac:dyDescent="0.15">
      <c r="A738" s="10"/>
      <c r="B738" s="13"/>
      <c r="C738" s="13"/>
    </row>
    <row r="739" spans="1:3" ht="13" x14ac:dyDescent="0.15">
      <c r="A739" s="10"/>
      <c r="B739" s="13"/>
      <c r="C739" s="13"/>
    </row>
    <row r="740" spans="1:3" ht="13" x14ac:dyDescent="0.15">
      <c r="A740" s="10"/>
      <c r="B740" s="13"/>
      <c r="C740" s="13"/>
    </row>
    <row r="741" spans="1:3" ht="13" x14ac:dyDescent="0.15">
      <c r="A741" s="10"/>
      <c r="B741" s="13"/>
      <c r="C741" s="13"/>
    </row>
    <row r="742" spans="1:3" ht="13" x14ac:dyDescent="0.15">
      <c r="A742" s="10"/>
      <c r="B742" s="13"/>
      <c r="C742" s="13"/>
    </row>
    <row r="743" spans="1:3" ht="13" x14ac:dyDescent="0.15">
      <c r="A743" s="10"/>
      <c r="B743" s="13"/>
      <c r="C743" s="13"/>
    </row>
    <row r="744" spans="1:3" ht="13" x14ac:dyDescent="0.15">
      <c r="A744" s="10"/>
      <c r="B744" s="13"/>
      <c r="C744" s="13"/>
    </row>
    <row r="745" spans="1:3" ht="13" x14ac:dyDescent="0.15">
      <c r="A745" s="10"/>
      <c r="B745" s="13"/>
      <c r="C745" s="13"/>
    </row>
    <row r="746" spans="1:3" ht="13" x14ac:dyDescent="0.15">
      <c r="A746" s="10"/>
      <c r="B746" s="13"/>
      <c r="C746" s="13"/>
    </row>
    <row r="747" spans="1:3" ht="13" x14ac:dyDescent="0.15">
      <c r="A747" s="10"/>
      <c r="B747" s="13"/>
      <c r="C747" s="13"/>
    </row>
    <row r="748" spans="1:3" ht="13" x14ac:dyDescent="0.15">
      <c r="A748" s="10"/>
      <c r="B748" s="13"/>
      <c r="C748" s="13"/>
    </row>
    <row r="749" spans="1:3" ht="13" x14ac:dyDescent="0.15">
      <c r="A749" s="10"/>
      <c r="B749" s="13"/>
      <c r="C749" s="13"/>
    </row>
    <row r="750" spans="1:3" ht="13" x14ac:dyDescent="0.15">
      <c r="A750" s="10"/>
      <c r="B750" s="13"/>
      <c r="C750" s="13"/>
    </row>
    <row r="751" spans="1:3" ht="13" x14ac:dyDescent="0.15">
      <c r="A751" s="10"/>
      <c r="B751" s="13"/>
      <c r="C751" s="13"/>
    </row>
    <row r="752" spans="1:3" ht="13" x14ac:dyDescent="0.15">
      <c r="A752" s="10"/>
      <c r="B752" s="13"/>
      <c r="C752" s="13"/>
    </row>
    <row r="753" spans="1:3" ht="13" x14ac:dyDescent="0.15">
      <c r="A753" s="10"/>
      <c r="B753" s="13"/>
      <c r="C753" s="13"/>
    </row>
    <row r="754" spans="1:3" ht="13" x14ac:dyDescent="0.15">
      <c r="A754" s="10"/>
      <c r="B754" s="13"/>
      <c r="C754" s="13"/>
    </row>
    <row r="755" spans="1:3" ht="13" x14ac:dyDescent="0.15">
      <c r="A755" s="10"/>
      <c r="B755" s="13"/>
      <c r="C755" s="13"/>
    </row>
    <row r="756" spans="1:3" ht="13" x14ac:dyDescent="0.15">
      <c r="A756" s="10"/>
      <c r="B756" s="13"/>
      <c r="C756" s="13"/>
    </row>
    <row r="757" spans="1:3" ht="13" x14ac:dyDescent="0.15">
      <c r="A757" s="10"/>
      <c r="B757" s="13"/>
      <c r="C757" s="13"/>
    </row>
    <row r="758" spans="1:3" ht="13" x14ac:dyDescent="0.15">
      <c r="A758" s="10"/>
      <c r="B758" s="13"/>
      <c r="C758" s="13"/>
    </row>
    <row r="759" spans="1:3" ht="13" x14ac:dyDescent="0.15">
      <c r="A759" s="10"/>
      <c r="B759" s="13"/>
      <c r="C759" s="13"/>
    </row>
    <row r="760" spans="1:3" ht="13" x14ac:dyDescent="0.15">
      <c r="A760" s="10"/>
      <c r="B760" s="13"/>
      <c r="C760" s="13"/>
    </row>
    <row r="761" spans="1:3" ht="13" x14ac:dyDescent="0.15">
      <c r="A761" s="10"/>
      <c r="B761" s="13"/>
      <c r="C761" s="13"/>
    </row>
    <row r="762" spans="1:3" ht="13" x14ac:dyDescent="0.15">
      <c r="A762" s="10"/>
      <c r="B762" s="13"/>
      <c r="C762" s="13"/>
    </row>
    <row r="763" spans="1:3" ht="13" x14ac:dyDescent="0.15">
      <c r="A763" s="10"/>
      <c r="B763" s="13"/>
      <c r="C763" s="13"/>
    </row>
    <row r="764" spans="1:3" ht="13" x14ac:dyDescent="0.15">
      <c r="A764" s="10"/>
      <c r="B764" s="13"/>
      <c r="C764" s="13"/>
    </row>
    <row r="765" spans="1:3" ht="13" x14ac:dyDescent="0.15">
      <c r="A765" s="10"/>
      <c r="B765" s="13"/>
      <c r="C765" s="13"/>
    </row>
    <row r="766" spans="1:3" ht="13" x14ac:dyDescent="0.15">
      <c r="A766" s="10"/>
      <c r="B766" s="13"/>
      <c r="C766" s="13"/>
    </row>
    <row r="767" spans="1:3" ht="13" x14ac:dyDescent="0.15">
      <c r="A767" s="10"/>
      <c r="B767" s="13"/>
      <c r="C767" s="13"/>
    </row>
    <row r="768" spans="1:3" ht="13" x14ac:dyDescent="0.15">
      <c r="A768" s="10"/>
      <c r="B768" s="13"/>
      <c r="C768" s="13"/>
    </row>
    <row r="769" spans="1:3" ht="13" x14ac:dyDescent="0.15">
      <c r="A769" s="10"/>
      <c r="B769" s="13"/>
      <c r="C769" s="13"/>
    </row>
    <row r="770" spans="1:3" ht="13" x14ac:dyDescent="0.15">
      <c r="A770" s="10"/>
      <c r="B770" s="13"/>
      <c r="C770" s="13"/>
    </row>
    <row r="771" spans="1:3" ht="13" x14ac:dyDescent="0.15">
      <c r="A771" s="10"/>
      <c r="B771" s="13"/>
      <c r="C771" s="13"/>
    </row>
    <row r="772" spans="1:3" ht="13" x14ac:dyDescent="0.15">
      <c r="A772" s="10"/>
      <c r="B772" s="13"/>
      <c r="C772" s="13"/>
    </row>
    <row r="773" spans="1:3" ht="13" x14ac:dyDescent="0.15">
      <c r="A773" s="10"/>
      <c r="B773" s="13"/>
      <c r="C773" s="13"/>
    </row>
    <row r="774" spans="1:3" ht="13" x14ac:dyDescent="0.15">
      <c r="A774" s="10"/>
      <c r="B774" s="13"/>
      <c r="C774" s="13"/>
    </row>
    <row r="775" spans="1:3" ht="13" x14ac:dyDescent="0.15">
      <c r="A775" s="10"/>
      <c r="B775" s="13"/>
      <c r="C775" s="13"/>
    </row>
    <row r="776" spans="1:3" ht="13" x14ac:dyDescent="0.15">
      <c r="A776" s="10"/>
      <c r="B776" s="13"/>
      <c r="C776" s="13"/>
    </row>
    <row r="777" spans="1:3" ht="13" x14ac:dyDescent="0.15">
      <c r="A777" s="10"/>
      <c r="B777" s="13"/>
      <c r="C777" s="13"/>
    </row>
    <row r="778" spans="1:3" ht="13" x14ac:dyDescent="0.15">
      <c r="A778" s="10"/>
      <c r="B778" s="13"/>
      <c r="C778" s="13"/>
    </row>
    <row r="779" spans="1:3" ht="13" x14ac:dyDescent="0.15">
      <c r="A779" s="10"/>
      <c r="B779" s="13"/>
      <c r="C779" s="13"/>
    </row>
    <row r="780" spans="1:3" ht="13" x14ac:dyDescent="0.15">
      <c r="A780" s="10"/>
      <c r="B780" s="13"/>
      <c r="C780" s="13"/>
    </row>
    <row r="781" spans="1:3" ht="13" x14ac:dyDescent="0.15">
      <c r="A781" s="10"/>
      <c r="B781" s="13"/>
      <c r="C781" s="13"/>
    </row>
    <row r="782" spans="1:3" ht="13" x14ac:dyDescent="0.15">
      <c r="A782" s="10"/>
      <c r="B782" s="13"/>
      <c r="C782" s="13"/>
    </row>
    <row r="783" spans="1:3" ht="13" x14ac:dyDescent="0.15">
      <c r="A783" s="10"/>
      <c r="B783" s="13"/>
      <c r="C783" s="13"/>
    </row>
    <row r="784" spans="1:3" ht="13" x14ac:dyDescent="0.15">
      <c r="A784" s="10"/>
      <c r="B784" s="13"/>
      <c r="C784" s="13"/>
    </row>
    <row r="785" spans="1:3" ht="13" x14ac:dyDescent="0.15">
      <c r="A785" s="10"/>
      <c r="B785" s="13"/>
      <c r="C785" s="13"/>
    </row>
    <row r="786" spans="1:3" ht="13" x14ac:dyDescent="0.15">
      <c r="A786" s="10"/>
      <c r="B786" s="13"/>
      <c r="C786" s="13"/>
    </row>
    <row r="787" spans="1:3" ht="13" x14ac:dyDescent="0.15">
      <c r="A787" s="10"/>
      <c r="B787" s="13"/>
      <c r="C787" s="13"/>
    </row>
    <row r="788" spans="1:3" ht="13" x14ac:dyDescent="0.15">
      <c r="A788" s="10"/>
      <c r="B788" s="13"/>
      <c r="C788" s="13"/>
    </row>
    <row r="789" spans="1:3" ht="13" x14ac:dyDescent="0.15">
      <c r="A789" s="10"/>
      <c r="B789" s="13"/>
      <c r="C789" s="13"/>
    </row>
    <row r="790" spans="1:3" ht="13" x14ac:dyDescent="0.15">
      <c r="A790" s="10"/>
      <c r="B790" s="13"/>
      <c r="C790" s="13"/>
    </row>
    <row r="791" spans="1:3" ht="13" x14ac:dyDescent="0.15">
      <c r="A791" s="10"/>
      <c r="B791" s="13"/>
      <c r="C791" s="13"/>
    </row>
    <row r="792" spans="1:3" ht="13" x14ac:dyDescent="0.15">
      <c r="A792" s="10"/>
      <c r="B792" s="13"/>
      <c r="C792" s="13"/>
    </row>
    <row r="793" spans="1:3" ht="13" x14ac:dyDescent="0.15">
      <c r="A793" s="10"/>
      <c r="B793" s="13"/>
      <c r="C793" s="13"/>
    </row>
    <row r="794" spans="1:3" ht="13" x14ac:dyDescent="0.15">
      <c r="A794" s="10"/>
      <c r="B794" s="13"/>
      <c r="C794" s="13"/>
    </row>
    <row r="795" spans="1:3" ht="13" x14ac:dyDescent="0.15">
      <c r="A795" s="10"/>
      <c r="B795" s="13"/>
      <c r="C795" s="13"/>
    </row>
    <row r="796" spans="1:3" ht="13" x14ac:dyDescent="0.15">
      <c r="A796" s="10"/>
      <c r="B796" s="13"/>
      <c r="C796" s="13"/>
    </row>
    <row r="797" spans="1:3" ht="13" x14ac:dyDescent="0.15">
      <c r="A797" s="10"/>
      <c r="B797" s="13"/>
      <c r="C797" s="13"/>
    </row>
    <row r="798" spans="1:3" ht="13" x14ac:dyDescent="0.15">
      <c r="A798" s="10"/>
      <c r="B798" s="13"/>
      <c r="C798" s="13"/>
    </row>
    <row r="799" spans="1:3" ht="13" x14ac:dyDescent="0.15">
      <c r="A799" s="10"/>
      <c r="B799" s="13"/>
      <c r="C799" s="13"/>
    </row>
    <row r="800" spans="1:3" ht="13" x14ac:dyDescent="0.15">
      <c r="A800" s="10"/>
      <c r="B800" s="13"/>
      <c r="C800" s="13"/>
    </row>
    <row r="801" spans="1:3" ht="13" x14ac:dyDescent="0.15">
      <c r="A801" s="10"/>
      <c r="B801" s="13"/>
      <c r="C801" s="13"/>
    </row>
    <row r="802" spans="1:3" ht="13" x14ac:dyDescent="0.15">
      <c r="A802" s="10"/>
      <c r="B802" s="13"/>
      <c r="C802" s="13"/>
    </row>
    <row r="803" spans="1:3" ht="13" x14ac:dyDescent="0.15">
      <c r="A803" s="10"/>
      <c r="B803" s="13"/>
      <c r="C803" s="13"/>
    </row>
    <row r="804" spans="1:3" ht="13" x14ac:dyDescent="0.15">
      <c r="A804" s="10"/>
      <c r="B804" s="13"/>
      <c r="C804" s="13"/>
    </row>
    <row r="805" spans="1:3" ht="13" x14ac:dyDescent="0.15">
      <c r="A805" s="10"/>
      <c r="B805" s="13"/>
      <c r="C805" s="13"/>
    </row>
    <row r="806" spans="1:3" ht="13" x14ac:dyDescent="0.15">
      <c r="A806" s="10"/>
      <c r="B806" s="13"/>
      <c r="C806" s="13"/>
    </row>
    <row r="807" spans="1:3" ht="13" x14ac:dyDescent="0.15">
      <c r="A807" s="10"/>
      <c r="B807" s="13"/>
      <c r="C807" s="13"/>
    </row>
    <row r="808" spans="1:3" ht="13" x14ac:dyDescent="0.15">
      <c r="A808" s="10"/>
      <c r="B808" s="13"/>
      <c r="C808" s="13"/>
    </row>
    <row r="809" spans="1:3" ht="13" x14ac:dyDescent="0.15">
      <c r="A809" s="10"/>
      <c r="B809" s="13"/>
      <c r="C809" s="13"/>
    </row>
    <row r="810" spans="1:3" ht="13" x14ac:dyDescent="0.15">
      <c r="A810" s="10"/>
      <c r="B810" s="13"/>
      <c r="C810" s="13"/>
    </row>
    <row r="811" spans="1:3" ht="13" x14ac:dyDescent="0.15">
      <c r="A811" s="10"/>
      <c r="B811" s="13"/>
      <c r="C811" s="13"/>
    </row>
    <row r="812" spans="1:3" ht="13" x14ac:dyDescent="0.15">
      <c r="A812" s="10"/>
      <c r="B812" s="13"/>
      <c r="C812" s="13"/>
    </row>
    <row r="813" spans="1:3" ht="13" x14ac:dyDescent="0.15">
      <c r="A813" s="10"/>
      <c r="B813" s="13"/>
      <c r="C813" s="13"/>
    </row>
    <row r="814" spans="1:3" ht="13" x14ac:dyDescent="0.15">
      <c r="A814" s="10"/>
      <c r="B814" s="13"/>
      <c r="C814" s="13"/>
    </row>
    <row r="815" spans="1:3" ht="13" x14ac:dyDescent="0.15">
      <c r="A815" s="10"/>
      <c r="B815" s="13"/>
      <c r="C815" s="13"/>
    </row>
    <row r="816" spans="1:3" ht="13" x14ac:dyDescent="0.15">
      <c r="A816" s="10"/>
      <c r="B816" s="13"/>
      <c r="C816" s="13"/>
    </row>
    <row r="817" spans="1:3" ht="13" x14ac:dyDescent="0.15">
      <c r="A817" s="10"/>
      <c r="B817" s="13"/>
      <c r="C817" s="13"/>
    </row>
    <row r="818" spans="1:3" ht="13" x14ac:dyDescent="0.15">
      <c r="A818" s="10"/>
      <c r="B818" s="13"/>
      <c r="C818" s="13"/>
    </row>
    <row r="819" spans="1:3" ht="13" x14ac:dyDescent="0.15">
      <c r="A819" s="10"/>
      <c r="B819" s="13"/>
      <c r="C819" s="13"/>
    </row>
    <row r="820" spans="1:3" ht="13" x14ac:dyDescent="0.15">
      <c r="A820" s="10"/>
      <c r="B820" s="13"/>
      <c r="C820" s="13"/>
    </row>
    <row r="821" spans="1:3" ht="13" x14ac:dyDescent="0.15">
      <c r="A821" s="10"/>
      <c r="B821" s="13"/>
      <c r="C821" s="13"/>
    </row>
    <row r="822" spans="1:3" ht="13" x14ac:dyDescent="0.15">
      <c r="A822" s="10"/>
      <c r="B822" s="13"/>
      <c r="C822" s="13"/>
    </row>
    <row r="823" spans="1:3" ht="13" x14ac:dyDescent="0.15">
      <c r="A823" s="10"/>
      <c r="B823" s="13"/>
      <c r="C823" s="13"/>
    </row>
    <row r="824" spans="1:3" ht="13" x14ac:dyDescent="0.15">
      <c r="A824" s="10"/>
      <c r="B824" s="13"/>
      <c r="C824" s="13"/>
    </row>
    <row r="825" spans="1:3" ht="13" x14ac:dyDescent="0.15">
      <c r="A825" s="10"/>
      <c r="B825" s="13"/>
      <c r="C825" s="13"/>
    </row>
    <row r="826" spans="1:3" ht="13" x14ac:dyDescent="0.15">
      <c r="A826" s="10"/>
      <c r="B826" s="13"/>
      <c r="C826" s="13"/>
    </row>
    <row r="827" spans="1:3" ht="13" x14ac:dyDescent="0.15">
      <c r="A827" s="10"/>
      <c r="B827" s="13"/>
      <c r="C827" s="13"/>
    </row>
    <row r="828" spans="1:3" ht="13" x14ac:dyDescent="0.15">
      <c r="A828" s="10"/>
      <c r="B828" s="13"/>
      <c r="C828" s="13"/>
    </row>
    <row r="829" spans="1:3" ht="13" x14ac:dyDescent="0.15">
      <c r="A829" s="10"/>
      <c r="B829" s="13"/>
      <c r="C829" s="13"/>
    </row>
    <row r="830" spans="1:3" ht="13" x14ac:dyDescent="0.15">
      <c r="A830" s="10"/>
      <c r="B830" s="13"/>
      <c r="C830" s="13"/>
    </row>
    <row r="831" spans="1:3" ht="13" x14ac:dyDescent="0.15">
      <c r="A831" s="10"/>
      <c r="B831" s="13"/>
      <c r="C831" s="13"/>
    </row>
    <row r="832" spans="1:3" ht="13" x14ac:dyDescent="0.15">
      <c r="A832" s="10"/>
      <c r="B832" s="13"/>
      <c r="C832" s="13"/>
    </row>
    <row r="833" spans="1:3" ht="13" x14ac:dyDescent="0.15">
      <c r="A833" s="10"/>
      <c r="B833" s="13"/>
      <c r="C833" s="13"/>
    </row>
    <row r="834" spans="1:3" ht="13" x14ac:dyDescent="0.15">
      <c r="A834" s="10"/>
      <c r="B834" s="13"/>
      <c r="C834" s="13"/>
    </row>
    <row r="835" spans="1:3" ht="13" x14ac:dyDescent="0.15">
      <c r="A835" s="10"/>
      <c r="B835" s="13"/>
      <c r="C835" s="13"/>
    </row>
    <row r="836" spans="1:3" ht="13" x14ac:dyDescent="0.15">
      <c r="A836" s="10"/>
      <c r="B836" s="13"/>
      <c r="C836" s="13"/>
    </row>
    <row r="837" spans="1:3" ht="13" x14ac:dyDescent="0.15">
      <c r="A837" s="10"/>
      <c r="B837" s="13"/>
      <c r="C837" s="13"/>
    </row>
    <row r="838" spans="1:3" ht="13" x14ac:dyDescent="0.15">
      <c r="A838" s="10"/>
      <c r="B838" s="13"/>
      <c r="C838" s="13"/>
    </row>
    <row r="839" spans="1:3" ht="13" x14ac:dyDescent="0.15">
      <c r="A839" s="10"/>
      <c r="B839" s="13"/>
      <c r="C839" s="13"/>
    </row>
    <row r="840" spans="1:3" ht="13" x14ac:dyDescent="0.15">
      <c r="A840" s="10"/>
      <c r="B840" s="13"/>
      <c r="C840" s="13"/>
    </row>
    <row r="841" spans="1:3" ht="13" x14ac:dyDescent="0.15">
      <c r="A841" s="10"/>
      <c r="B841" s="13"/>
      <c r="C841" s="13"/>
    </row>
    <row r="842" spans="1:3" ht="13" x14ac:dyDescent="0.15">
      <c r="A842" s="10"/>
      <c r="B842" s="13"/>
      <c r="C842" s="13"/>
    </row>
    <row r="843" spans="1:3" ht="13" x14ac:dyDescent="0.15">
      <c r="A843" s="10"/>
      <c r="B843" s="13"/>
      <c r="C843" s="13"/>
    </row>
    <row r="844" spans="1:3" ht="13" x14ac:dyDescent="0.15">
      <c r="A844" s="10"/>
      <c r="B844" s="13"/>
      <c r="C844" s="13"/>
    </row>
    <row r="845" spans="1:3" ht="13" x14ac:dyDescent="0.15">
      <c r="A845" s="10"/>
      <c r="B845" s="13"/>
      <c r="C845" s="13"/>
    </row>
    <row r="846" spans="1:3" ht="13" x14ac:dyDescent="0.15">
      <c r="A846" s="10"/>
      <c r="B846" s="13"/>
      <c r="C846" s="13"/>
    </row>
    <row r="847" spans="1:3" ht="13" x14ac:dyDescent="0.15">
      <c r="A847" s="10"/>
      <c r="B847" s="13"/>
      <c r="C847" s="13"/>
    </row>
    <row r="848" spans="1:3" ht="13" x14ac:dyDescent="0.15">
      <c r="A848" s="10"/>
      <c r="B848" s="13"/>
      <c r="C848" s="13"/>
    </row>
    <row r="849" spans="1:3" ht="13" x14ac:dyDescent="0.15">
      <c r="A849" s="10"/>
      <c r="B849" s="13"/>
      <c r="C849" s="13"/>
    </row>
    <row r="850" spans="1:3" ht="13" x14ac:dyDescent="0.15">
      <c r="A850" s="10"/>
      <c r="B850" s="13"/>
      <c r="C850" s="13"/>
    </row>
    <row r="851" spans="1:3" ht="13" x14ac:dyDescent="0.15">
      <c r="A851" s="10"/>
      <c r="B851" s="13"/>
      <c r="C851" s="13"/>
    </row>
    <row r="852" spans="1:3" ht="13" x14ac:dyDescent="0.15">
      <c r="A852" s="10"/>
      <c r="B852" s="13"/>
      <c r="C852" s="13"/>
    </row>
    <row r="853" spans="1:3" ht="13" x14ac:dyDescent="0.15">
      <c r="A853" s="10"/>
      <c r="B853" s="13"/>
      <c r="C853" s="13"/>
    </row>
    <row r="854" spans="1:3" ht="13" x14ac:dyDescent="0.15">
      <c r="A854" s="10"/>
      <c r="B854" s="13"/>
      <c r="C854" s="13"/>
    </row>
    <row r="855" spans="1:3" ht="13" x14ac:dyDescent="0.15">
      <c r="A855" s="10"/>
      <c r="B855" s="13"/>
      <c r="C855" s="13"/>
    </row>
    <row r="856" spans="1:3" ht="13" x14ac:dyDescent="0.15">
      <c r="A856" s="10"/>
      <c r="B856" s="13"/>
      <c r="C856" s="13"/>
    </row>
    <row r="857" spans="1:3" ht="13" x14ac:dyDescent="0.15">
      <c r="A857" s="10"/>
      <c r="B857" s="13"/>
      <c r="C857" s="13"/>
    </row>
    <row r="858" spans="1:3" ht="13" x14ac:dyDescent="0.15">
      <c r="A858" s="10"/>
      <c r="B858" s="13"/>
      <c r="C858" s="13"/>
    </row>
    <row r="859" spans="1:3" ht="13" x14ac:dyDescent="0.15">
      <c r="A859" s="10"/>
      <c r="B859" s="13"/>
      <c r="C859" s="13"/>
    </row>
    <row r="860" spans="1:3" ht="13" x14ac:dyDescent="0.15">
      <c r="A860" s="10"/>
      <c r="B860" s="13"/>
      <c r="C860" s="13"/>
    </row>
    <row r="861" spans="1:3" ht="13" x14ac:dyDescent="0.15">
      <c r="A861" s="10"/>
      <c r="B861" s="13"/>
      <c r="C861" s="13"/>
    </row>
    <row r="862" spans="1:3" ht="13" x14ac:dyDescent="0.15">
      <c r="A862" s="10"/>
      <c r="B862" s="13"/>
      <c r="C862" s="13"/>
    </row>
    <row r="863" spans="1:3" ht="13" x14ac:dyDescent="0.15">
      <c r="A863" s="10"/>
      <c r="B863" s="13"/>
      <c r="C863" s="13"/>
    </row>
    <row r="864" spans="1:3" ht="13" x14ac:dyDescent="0.15">
      <c r="A864" s="10"/>
      <c r="B864" s="13"/>
      <c r="C864" s="13"/>
    </row>
    <row r="865" spans="1:3" ht="13" x14ac:dyDescent="0.15">
      <c r="A865" s="10"/>
      <c r="B865" s="13"/>
      <c r="C865" s="13"/>
    </row>
    <row r="866" spans="1:3" ht="13" x14ac:dyDescent="0.15">
      <c r="A866" s="10"/>
      <c r="B866" s="13"/>
      <c r="C866" s="13"/>
    </row>
    <row r="867" spans="1:3" ht="13" x14ac:dyDescent="0.15">
      <c r="A867" s="10"/>
      <c r="B867" s="13"/>
      <c r="C867" s="13"/>
    </row>
    <row r="868" spans="1:3" ht="13" x14ac:dyDescent="0.15">
      <c r="A868" s="10"/>
      <c r="B868" s="13"/>
      <c r="C868" s="13"/>
    </row>
    <row r="869" spans="1:3" ht="13" x14ac:dyDescent="0.15">
      <c r="A869" s="10"/>
      <c r="B869" s="13"/>
      <c r="C869" s="13"/>
    </row>
    <row r="870" spans="1:3" ht="13" x14ac:dyDescent="0.15">
      <c r="A870" s="10"/>
      <c r="B870" s="13"/>
      <c r="C870" s="13"/>
    </row>
    <row r="871" spans="1:3" ht="13" x14ac:dyDescent="0.15">
      <c r="A871" s="10"/>
      <c r="B871" s="13"/>
      <c r="C871" s="13"/>
    </row>
    <row r="872" spans="1:3" ht="13" x14ac:dyDescent="0.15">
      <c r="A872" s="10"/>
      <c r="B872" s="13"/>
      <c r="C872" s="13"/>
    </row>
    <row r="873" spans="1:3" ht="13" x14ac:dyDescent="0.15">
      <c r="A873" s="10"/>
      <c r="B873" s="13"/>
      <c r="C873" s="13"/>
    </row>
    <row r="874" spans="1:3" ht="13" x14ac:dyDescent="0.15">
      <c r="A874" s="10"/>
      <c r="B874" s="13"/>
      <c r="C874" s="13"/>
    </row>
    <row r="875" spans="1:3" ht="13" x14ac:dyDescent="0.15">
      <c r="A875" s="10"/>
      <c r="B875" s="13"/>
      <c r="C875" s="13"/>
    </row>
    <row r="876" spans="1:3" ht="13" x14ac:dyDescent="0.15">
      <c r="A876" s="10"/>
      <c r="B876" s="13"/>
      <c r="C876" s="13"/>
    </row>
    <row r="877" spans="1:3" ht="13" x14ac:dyDescent="0.15">
      <c r="A877" s="10"/>
      <c r="B877" s="13"/>
      <c r="C877" s="13"/>
    </row>
    <row r="878" spans="1:3" ht="13" x14ac:dyDescent="0.15">
      <c r="A878" s="10"/>
      <c r="B878" s="13"/>
      <c r="C878" s="13"/>
    </row>
    <row r="879" spans="1:3" ht="13" x14ac:dyDescent="0.15">
      <c r="A879" s="10"/>
      <c r="B879" s="13"/>
      <c r="C879" s="13"/>
    </row>
    <row r="880" spans="1:3" ht="13" x14ac:dyDescent="0.15">
      <c r="A880" s="10"/>
      <c r="B880" s="13"/>
      <c r="C880" s="13"/>
    </row>
    <row r="881" spans="1:3" ht="13" x14ac:dyDescent="0.15">
      <c r="A881" s="10"/>
      <c r="B881" s="13"/>
      <c r="C881" s="13"/>
    </row>
    <row r="882" spans="1:3" ht="13" x14ac:dyDescent="0.15">
      <c r="A882" s="10"/>
      <c r="B882" s="13"/>
      <c r="C882" s="13"/>
    </row>
    <row r="883" spans="1:3" ht="13" x14ac:dyDescent="0.15">
      <c r="A883" s="10"/>
      <c r="B883" s="13"/>
      <c r="C883" s="13"/>
    </row>
    <row r="884" spans="1:3" ht="13" x14ac:dyDescent="0.15">
      <c r="A884" s="10"/>
      <c r="B884" s="13"/>
      <c r="C884" s="13"/>
    </row>
    <row r="885" spans="1:3" ht="13" x14ac:dyDescent="0.15">
      <c r="A885" s="10"/>
      <c r="B885" s="13"/>
      <c r="C885" s="13"/>
    </row>
    <row r="886" spans="1:3" ht="13" x14ac:dyDescent="0.15">
      <c r="A886" s="10"/>
      <c r="B886" s="13"/>
      <c r="C886" s="13"/>
    </row>
    <row r="887" spans="1:3" ht="13" x14ac:dyDescent="0.15">
      <c r="A887" s="10"/>
      <c r="B887" s="13"/>
      <c r="C887" s="13"/>
    </row>
    <row r="888" spans="1:3" ht="13" x14ac:dyDescent="0.15">
      <c r="A888" s="10"/>
      <c r="B888" s="13"/>
      <c r="C888" s="13"/>
    </row>
    <row r="889" spans="1:3" ht="13" x14ac:dyDescent="0.15">
      <c r="A889" s="10"/>
      <c r="B889" s="13"/>
      <c r="C889" s="13"/>
    </row>
    <row r="890" spans="1:3" ht="13" x14ac:dyDescent="0.15">
      <c r="A890" s="10"/>
      <c r="B890" s="13"/>
      <c r="C890" s="13"/>
    </row>
    <row r="891" spans="1:3" ht="13" x14ac:dyDescent="0.15">
      <c r="A891" s="10"/>
      <c r="B891" s="13"/>
      <c r="C891" s="13"/>
    </row>
    <row r="892" spans="1:3" ht="13" x14ac:dyDescent="0.15">
      <c r="A892" s="10"/>
      <c r="B892" s="13"/>
      <c r="C892" s="13"/>
    </row>
    <row r="893" spans="1:3" ht="13" x14ac:dyDescent="0.15">
      <c r="A893" s="10"/>
      <c r="B893" s="13"/>
      <c r="C893" s="13"/>
    </row>
    <row r="894" spans="1:3" ht="13" x14ac:dyDescent="0.15">
      <c r="A894" s="10"/>
      <c r="B894" s="13"/>
      <c r="C894" s="13"/>
    </row>
    <row r="895" spans="1:3" ht="13" x14ac:dyDescent="0.15">
      <c r="A895" s="10"/>
      <c r="B895" s="13"/>
      <c r="C895" s="13"/>
    </row>
    <row r="896" spans="1:3" ht="13" x14ac:dyDescent="0.15">
      <c r="A896" s="10"/>
      <c r="B896" s="13"/>
      <c r="C896" s="13"/>
    </row>
    <row r="897" spans="1:3" ht="13" x14ac:dyDescent="0.15">
      <c r="A897" s="10"/>
      <c r="B897" s="13"/>
      <c r="C897" s="13"/>
    </row>
    <row r="898" spans="1:3" ht="13" x14ac:dyDescent="0.15">
      <c r="A898" s="10"/>
      <c r="B898" s="13"/>
      <c r="C898" s="13"/>
    </row>
    <row r="899" spans="1:3" ht="13" x14ac:dyDescent="0.15">
      <c r="A899" s="10"/>
      <c r="B899" s="13"/>
      <c r="C899" s="13"/>
    </row>
    <row r="900" spans="1:3" ht="13" x14ac:dyDescent="0.15">
      <c r="A900" s="10"/>
      <c r="B900" s="13"/>
      <c r="C900" s="13"/>
    </row>
    <row r="901" spans="1:3" ht="13" x14ac:dyDescent="0.15">
      <c r="A901" s="10"/>
      <c r="B901" s="13"/>
      <c r="C901" s="13"/>
    </row>
    <row r="902" spans="1:3" ht="13" x14ac:dyDescent="0.15">
      <c r="A902" s="10"/>
      <c r="B902" s="13"/>
      <c r="C902" s="13"/>
    </row>
    <row r="903" spans="1:3" ht="13" x14ac:dyDescent="0.15">
      <c r="A903" s="10"/>
      <c r="B903" s="13"/>
      <c r="C903" s="13"/>
    </row>
    <row r="904" spans="1:3" ht="13" x14ac:dyDescent="0.15">
      <c r="A904" s="10"/>
      <c r="B904" s="13"/>
      <c r="C904" s="13"/>
    </row>
    <row r="905" spans="1:3" ht="13" x14ac:dyDescent="0.15">
      <c r="A905" s="10"/>
      <c r="B905" s="13"/>
      <c r="C905" s="13"/>
    </row>
    <row r="906" spans="1:3" ht="13" x14ac:dyDescent="0.15">
      <c r="A906" s="10"/>
      <c r="B906" s="13"/>
      <c r="C906" s="13"/>
    </row>
    <row r="907" spans="1:3" ht="13" x14ac:dyDescent="0.15">
      <c r="A907" s="10"/>
      <c r="B907" s="13"/>
      <c r="C907" s="13"/>
    </row>
    <row r="908" spans="1:3" ht="13" x14ac:dyDescent="0.15">
      <c r="A908" s="10"/>
      <c r="B908" s="13"/>
      <c r="C908" s="13"/>
    </row>
    <row r="909" spans="1:3" ht="13" x14ac:dyDescent="0.15">
      <c r="A909" s="10"/>
      <c r="B909" s="13"/>
      <c r="C909" s="13"/>
    </row>
    <row r="910" spans="1:3" ht="13" x14ac:dyDescent="0.15">
      <c r="A910" s="10"/>
      <c r="B910" s="13"/>
      <c r="C910" s="13"/>
    </row>
    <row r="911" spans="1:3" ht="13" x14ac:dyDescent="0.15">
      <c r="A911" s="10"/>
      <c r="B911" s="13"/>
      <c r="C911" s="13"/>
    </row>
    <row r="912" spans="1:3" ht="13" x14ac:dyDescent="0.15">
      <c r="A912" s="10"/>
      <c r="B912" s="13"/>
      <c r="C912" s="13"/>
    </row>
    <row r="913" spans="1:3" ht="13" x14ac:dyDescent="0.15">
      <c r="A913" s="10"/>
      <c r="B913" s="13"/>
      <c r="C913" s="13"/>
    </row>
    <row r="914" spans="1:3" ht="13" x14ac:dyDescent="0.15">
      <c r="A914" s="10"/>
      <c r="B914" s="13"/>
      <c r="C914" s="13"/>
    </row>
    <row r="915" spans="1:3" ht="13" x14ac:dyDescent="0.15">
      <c r="A915" s="10"/>
      <c r="B915" s="13"/>
      <c r="C915" s="13"/>
    </row>
    <row r="916" spans="1:3" ht="13" x14ac:dyDescent="0.15">
      <c r="A916" s="10"/>
      <c r="B916" s="13"/>
      <c r="C916" s="13"/>
    </row>
    <row r="917" spans="1:3" ht="13" x14ac:dyDescent="0.15">
      <c r="A917" s="10"/>
      <c r="B917" s="13"/>
      <c r="C917" s="13"/>
    </row>
    <row r="918" spans="1:3" ht="13" x14ac:dyDescent="0.15">
      <c r="A918" s="10"/>
      <c r="B918" s="13"/>
      <c r="C918" s="13"/>
    </row>
    <row r="919" spans="1:3" ht="13" x14ac:dyDescent="0.15">
      <c r="A919" s="10"/>
      <c r="B919" s="13"/>
      <c r="C919" s="13"/>
    </row>
    <row r="920" spans="1:3" ht="13" x14ac:dyDescent="0.15">
      <c r="A920" s="10"/>
      <c r="B920" s="13"/>
      <c r="C920" s="13"/>
    </row>
    <row r="921" spans="1:3" ht="13" x14ac:dyDescent="0.15">
      <c r="A921" s="10"/>
      <c r="B921" s="13"/>
      <c r="C921" s="13"/>
    </row>
    <row r="922" spans="1:3" ht="13" x14ac:dyDescent="0.15">
      <c r="A922" s="10"/>
      <c r="B922" s="13"/>
      <c r="C922" s="13"/>
    </row>
    <row r="923" spans="1:3" ht="13" x14ac:dyDescent="0.15">
      <c r="A923" s="10"/>
      <c r="B923" s="13"/>
      <c r="C923" s="13"/>
    </row>
    <row r="924" spans="1:3" ht="13" x14ac:dyDescent="0.15">
      <c r="A924" s="10"/>
      <c r="B924" s="13"/>
      <c r="C924" s="13"/>
    </row>
    <row r="925" spans="1:3" ht="13" x14ac:dyDescent="0.15">
      <c r="A925" s="10"/>
      <c r="B925" s="13"/>
      <c r="C925" s="13"/>
    </row>
    <row r="926" spans="1:3" ht="13" x14ac:dyDescent="0.15">
      <c r="A926" s="10"/>
      <c r="B926" s="13"/>
      <c r="C926" s="13"/>
    </row>
    <row r="927" spans="1:3" ht="13" x14ac:dyDescent="0.15">
      <c r="A927" s="10"/>
      <c r="B927" s="13"/>
      <c r="C927" s="13"/>
    </row>
    <row r="928" spans="1:3" ht="13" x14ac:dyDescent="0.15">
      <c r="A928" s="10"/>
      <c r="B928" s="13"/>
      <c r="C928" s="13"/>
    </row>
    <row r="929" spans="1:3" ht="13" x14ac:dyDescent="0.15">
      <c r="A929" s="10"/>
      <c r="B929" s="13"/>
      <c r="C929" s="13"/>
    </row>
    <row r="930" spans="1:3" ht="13" x14ac:dyDescent="0.15">
      <c r="A930" s="10"/>
      <c r="B930" s="13"/>
      <c r="C930" s="13"/>
    </row>
    <row r="931" spans="1:3" ht="13" x14ac:dyDescent="0.15">
      <c r="A931" s="10"/>
      <c r="B931" s="13"/>
      <c r="C931" s="13"/>
    </row>
    <row r="932" spans="1:3" ht="13" x14ac:dyDescent="0.15">
      <c r="A932" s="10"/>
      <c r="B932" s="13"/>
      <c r="C932" s="13"/>
    </row>
    <row r="933" spans="1:3" ht="13" x14ac:dyDescent="0.15">
      <c r="A933" s="10"/>
      <c r="B933" s="13"/>
      <c r="C933" s="13"/>
    </row>
    <row r="934" spans="1:3" ht="13" x14ac:dyDescent="0.15">
      <c r="A934" s="10"/>
      <c r="B934" s="13"/>
      <c r="C934" s="13"/>
    </row>
    <row r="935" spans="1:3" ht="13" x14ac:dyDescent="0.15">
      <c r="A935" s="10"/>
      <c r="B935" s="13"/>
      <c r="C935" s="13"/>
    </row>
    <row r="936" spans="1:3" ht="13" x14ac:dyDescent="0.15">
      <c r="A936" s="10"/>
      <c r="B936" s="13"/>
      <c r="C936" s="13"/>
    </row>
    <row r="937" spans="1:3" ht="13" x14ac:dyDescent="0.15">
      <c r="A937" s="10"/>
      <c r="B937" s="13"/>
      <c r="C937" s="13"/>
    </row>
    <row r="938" spans="1:3" ht="13" x14ac:dyDescent="0.15">
      <c r="A938" s="10"/>
      <c r="B938" s="13"/>
      <c r="C938" s="13"/>
    </row>
    <row r="939" spans="1:3" ht="13" x14ac:dyDescent="0.15">
      <c r="A939" s="10"/>
      <c r="B939" s="13"/>
      <c r="C939" s="13"/>
    </row>
    <row r="940" spans="1:3" ht="13" x14ac:dyDescent="0.15">
      <c r="A940" s="10"/>
      <c r="B940" s="13"/>
      <c r="C940" s="13"/>
    </row>
    <row r="941" spans="1:3" ht="13" x14ac:dyDescent="0.15">
      <c r="A941" s="10"/>
      <c r="B941" s="13"/>
      <c r="C941" s="13"/>
    </row>
    <row r="942" spans="1:3" ht="13" x14ac:dyDescent="0.15">
      <c r="A942" s="10"/>
      <c r="B942" s="13"/>
      <c r="C942" s="13"/>
    </row>
    <row r="943" spans="1:3" ht="13" x14ac:dyDescent="0.15">
      <c r="A943" s="10"/>
      <c r="B943" s="13"/>
      <c r="C943" s="13"/>
    </row>
    <row r="944" spans="1:3" ht="13" x14ac:dyDescent="0.15">
      <c r="A944" s="10"/>
      <c r="B944" s="13"/>
      <c r="C944" s="13"/>
    </row>
    <row r="945" spans="1:3" ht="13" x14ac:dyDescent="0.15">
      <c r="A945" s="10"/>
      <c r="B945" s="13"/>
      <c r="C945" s="13"/>
    </row>
    <row r="946" spans="1:3" ht="13" x14ac:dyDescent="0.15">
      <c r="A946" s="10"/>
      <c r="B946" s="13"/>
      <c r="C946" s="13"/>
    </row>
    <row r="947" spans="1:3" ht="13" x14ac:dyDescent="0.15">
      <c r="A947" s="10"/>
      <c r="B947" s="13"/>
      <c r="C947" s="13"/>
    </row>
    <row r="948" spans="1:3" ht="13" x14ac:dyDescent="0.15">
      <c r="A948" s="10"/>
      <c r="B948" s="13"/>
      <c r="C948" s="13"/>
    </row>
    <row r="949" spans="1:3" ht="13" x14ac:dyDescent="0.15">
      <c r="A949" s="10"/>
      <c r="B949" s="13"/>
      <c r="C949" s="13"/>
    </row>
    <row r="950" spans="1:3" ht="13" x14ac:dyDescent="0.15">
      <c r="A950" s="10"/>
      <c r="B950" s="13"/>
      <c r="C950" s="13"/>
    </row>
    <row r="951" spans="1:3" ht="13" x14ac:dyDescent="0.15">
      <c r="A951" s="10"/>
      <c r="B951" s="13"/>
      <c r="C951" s="13"/>
    </row>
    <row r="952" spans="1:3" ht="13" x14ac:dyDescent="0.15">
      <c r="A952" s="10"/>
      <c r="B952" s="13"/>
      <c r="C952" s="13"/>
    </row>
    <row r="953" spans="1:3" ht="13" x14ac:dyDescent="0.15">
      <c r="A953" s="10"/>
      <c r="B953" s="13"/>
      <c r="C953" s="13"/>
    </row>
    <row r="954" spans="1:3" ht="13" x14ac:dyDescent="0.15">
      <c r="A954" s="10"/>
      <c r="B954" s="13"/>
      <c r="C954" s="13"/>
    </row>
    <row r="955" spans="1:3" ht="13" x14ac:dyDescent="0.15">
      <c r="A955" s="10"/>
      <c r="B955" s="13"/>
      <c r="C955" s="13"/>
    </row>
    <row r="956" spans="1:3" ht="13" x14ac:dyDescent="0.15">
      <c r="A956" s="10"/>
      <c r="B956" s="13"/>
      <c r="C956" s="13"/>
    </row>
    <row r="957" spans="1:3" ht="13" x14ac:dyDescent="0.15">
      <c r="A957" s="10"/>
      <c r="B957" s="13"/>
      <c r="C957" s="13"/>
    </row>
    <row r="958" spans="1:3" ht="13" x14ac:dyDescent="0.15">
      <c r="A958" s="10"/>
      <c r="B958" s="13"/>
      <c r="C958" s="13"/>
    </row>
    <row r="959" spans="1:3" ht="13" x14ac:dyDescent="0.15">
      <c r="A959" s="10"/>
      <c r="B959" s="13"/>
      <c r="C959" s="13"/>
    </row>
    <row r="960" spans="1:3" ht="13" x14ac:dyDescent="0.15">
      <c r="A960" s="10"/>
      <c r="B960" s="13"/>
      <c r="C960" s="13"/>
    </row>
    <row r="961" spans="1:3" ht="13" x14ac:dyDescent="0.15">
      <c r="A961" s="10"/>
      <c r="B961" s="13"/>
      <c r="C961" s="13"/>
    </row>
    <row r="962" spans="1:3" ht="13" x14ac:dyDescent="0.15">
      <c r="A962" s="10"/>
      <c r="B962" s="13"/>
      <c r="C962" s="13"/>
    </row>
    <row r="963" spans="1:3" ht="13" x14ac:dyDescent="0.15">
      <c r="A963" s="10"/>
      <c r="B963" s="13"/>
      <c r="C963" s="13"/>
    </row>
    <row r="964" spans="1:3" ht="13" x14ac:dyDescent="0.15">
      <c r="A964" s="10"/>
      <c r="B964" s="13"/>
      <c r="C964" s="13"/>
    </row>
    <row r="965" spans="1:3" ht="13" x14ac:dyDescent="0.15">
      <c r="A965" s="10"/>
      <c r="B965" s="13"/>
      <c r="C965" s="13"/>
    </row>
    <row r="966" spans="1:3" ht="13" x14ac:dyDescent="0.15">
      <c r="A966" s="10"/>
      <c r="B966" s="13"/>
      <c r="C966" s="13"/>
    </row>
    <row r="967" spans="1:3" ht="13" x14ac:dyDescent="0.15">
      <c r="A967" s="10"/>
      <c r="B967" s="13"/>
      <c r="C967" s="13"/>
    </row>
    <row r="968" spans="1:3" ht="13" x14ac:dyDescent="0.15">
      <c r="A968" s="10"/>
      <c r="B968" s="13"/>
      <c r="C968" s="13"/>
    </row>
    <row r="969" spans="1:3" ht="13" x14ac:dyDescent="0.15">
      <c r="A969" s="10"/>
      <c r="B969" s="13"/>
      <c r="C969" s="13"/>
    </row>
    <row r="970" spans="1:3" ht="13" x14ac:dyDescent="0.15">
      <c r="A970" s="10"/>
      <c r="B970" s="13"/>
      <c r="C970" s="13"/>
    </row>
    <row r="971" spans="1:3" ht="13" x14ac:dyDescent="0.15">
      <c r="A971" s="10"/>
      <c r="B971" s="13"/>
      <c r="C971" s="13"/>
    </row>
    <row r="972" spans="1:3" ht="13" x14ac:dyDescent="0.15">
      <c r="A972" s="10"/>
      <c r="B972" s="13"/>
      <c r="C972" s="13"/>
    </row>
    <row r="973" spans="1:3" ht="13" x14ac:dyDescent="0.15">
      <c r="A973" s="10"/>
      <c r="B973" s="13"/>
      <c r="C973" s="13"/>
    </row>
    <row r="974" spans="1:3" ht="13" x14ac:dyDescent="0.15">
      <c r="A974" s="10"/>
      <c r="B974" s="13"/>
      <c r="C974" s="13"/>
    </row>
    <row r="975" spans="1:3" ht="13" x14ac:dyDescent="0.15">
      <c r="A975" s="10"/>
      <c r="B975" s="13"/>
      <c r="C975" s="13"/>
    </row>
    <row r="976" spans="1:3" ht="13" x14ac:dyDescent="0.15">
      <c r="A976" s="10"/>
      <c r="B976" s="13"/>
      <c r="C976" s="13"/>
    </row>
    <row r="977" spans="1:3" ht="13" x14ac:dyDescent="0.15">
      <c r="A977" s="10"/>
      <c r="B977" s="13"/>
      <c r="C977" s="13"/>
    </row>
    <row r="978" spans="1:3" ht="13" x14ac:dyDescent="0.15">
      <c r="A978" s="10"/>
      <c r="B978" s="13"/>
      <c r="C978" s="13"/>
    </row>
    <row r="979" spans="1:3" ht="13" x14ac:dyDescent="0.15">
      <c r="A979" s="10"/>
      <c r="B979" s="13"/>
      <c r="C979" s="13"/>
    </row>
    <row r="980" spans="1:3" ht="13" x14ac:dyDescent="0.15">
      <c r="A980" s="10"/>
      <c r="B980" s="13"/>
      <c r="C980" s="13"/>
    </row>
    <row r="981" spans="1:3" ht="13" x14ac:dyDescent="0.15">
      <c r="A981" s="10"/>
      <c r="B981" s="13"/>
      <c r="C981" s="13"/>
    </row>
    <row r="982" spans="1:3" ht="13" x14ac:dyDescent="0.15">
      <c r="A982" s="10"/>
      <c r="B982" s="13"/>
      <c r="C982" s="13"/>
    </row>
    <row r="983" spans="1:3" ht="13" x14ac:dyDescent="0.15">
      <c r="A983" s="10"/>
      <c r="B983" s="13"/>
      <c r="C983" s="13"/>
    </row>
    <row r="984" spans="1:3" ht="13" x14ac:dyDescent="0.15">
      <c r="A984" s="10"/>
      <c r="B984" s="13"/>
      <c r="C984" s="13"/>
    </row>
    <row r="985" spans="1:3" ht="13" x14ac:dyDescent="0.15">
      <c r="A985" s="10"/>
      <c r="B985" s="13"/>
      <c r="C985" s="13"/>
    </row>
    <row r="986" spans="1:3" ht="13" x14ac:dyDescent="0.15">
      <c r="A986" s="10"/>
      <c r="B986" s="13"/>
      <c r="C986" s="13"/>
    </row>
    <row r="987" spans="1:3" ht="13" x14ac:dyDescent="0.15">
      <c r="A987" s="10"/>
      <c r="B987" s="13"/>
      <c r="C987" s="13"/>
    </row>
    <row r="988" spans="1:3" ht="13" x14ac:dyDescent="0.15">
      <c r="A988" s="10"/>
      <c r="B988" s="13"/>
      <c r="C988" s="13"/>
    </row>
    <row r="989" spans="1:3" ht="13" x14ac:dyDescent="0.15">
      <c r="A989" s="10"/>
      <c r="B989" s="13"/>
      <c r="C989" s="13"/>
    </row>
    <row r="990" spans="1:3" ht="13" x14ac:dyDescent="0.15">
      <c r="A990" s="10"/>
      <c r="B990" s="13"/>
      <c r="C990" s="13"/>
    </row>
    <row r="991" spans="1:3" ht="13" x14ac:dyDescent="0.15">
      <c r="A991" s="10"/>
      <c r="B991" s="13"/>
      <c r="C991" s="13"/>
    </row>
    <row r="992" spans="1:3" ht="13" x14ac:dyDescent="0.15">
      <c r="A992" s="10"/>
      <c r="B992" s="13"/>
      <c r="C992" s="13"/>
    </row>
    <row r="993" spans="1:3" ht="13" x14ac:dyDescent="0.15">
      <c r="A993" s="10"/>
      <c r="B993" s="13"/>
      <c r="C993" s="13"/>
    </row>
    <row r="994" spans="1:3" ht="13" x14ac:dyDescent="0.15">
      <c r="A994" s="10"/>
      <c r="B994" s="13"/>
      <c r="C994" s="13"/>
    </row>
    <row r="995" spans="1:3" ht="13" x14ac:dyDescent="0.15">
      <c r="A995" s="10"/>
      <c r="B995" s="13"/>
      <c r="C995" s="13"/>
    </row>
    <row r="996" spans="1:3" ht="13" x14ac:dyDescent="0.15">
      <c r="A996" s="10"/>
      <c r="B996" s="13"/>
      <c r="C996" s="13"/>
    </row>
    <row r="997" spans="1:3" ht="13" x14ac:dyDescent="0.15">
      <c r="A997" s="10"/>
      <c r="B997" s="13"/>
      <c r="C997" s="13"/>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outlinePr summaryBelow="0" summaryRight="0"/>
  </sheetPr>
  <dimension ref="A1:D997"/>
  <sheetViews>
    <sheetView workbookViewId="0"/>
  </sheetViews>
  <sheetFormatPr baseColWidth="10" defaultColWidth="12.6640625" defaultRowHeight="15.75" customHeight="1" x14ac:dyDescent="0.15"/>
  <cols>
    <col min="1" max="1" width="71.5" customWidth="1"/>
    <col min="2" max="4" width="37.6640625" customWidth="1"/>
  </cols>
  <sheetData>
    <row r="1" spans="1:4" ht="15.75" customHeight="1" x14ac:dyDescent="0.15">
      <c r="A1" s="1"/>
      <c r="B1" s="10" t="str">
        <f ca="1">IFERROR(__xludf.DUMMYFUNCTION("IMPORTRANGE(""https://docs.google.com/spreadsheets/u/0/d/1QLAeYl5D81_Myo-agZdCgYFm7rliPzxg4xkt-QHL9OA"", ""A38!B1:B22"")"),"Rin Godfrey")</f>
        <v>Rin Godfrey</v>
      </c>
      <c r="C1" s="10" t="str">
        <f ca="1">IFERROR(__xludf.DUMMYFUNCTION("IMPORTRANGE(""https://docs.google.com/spreadsheets/u/0/d/1tjgC5crHxYL6PIwdjQvl-Lz18xb2WRifl2-5aQ8KGT8"", ""A38!B1:B22"")"),"Jake")</f>
        <v>Jake</v>
      </c>
    </row>
    <row r="2" spans="1:4" ht="15.75" customHeight="1" x14ac:dyDescent="0.15">
      <c r="A2" s="3" t="s">
        <v>2</v>
      </c>
      <c r="B2" s="15" t="str">
        <f ca="1">IFERROR(__xludf.DUMMYFUNCTION("""COMPUTED_VALUE"""),"Start: 24671 
Stop: 25078 FOR")</f>
        <v>Start: 24671 
Stop: 25078 FOR</v>
      </c>
      <c r="C2" s="15" t="str">
        <f ca="1">IFERROR(__xludf.DUMMYFUNCTION("""COMPUTED_VALUE"""),"Start: 24671 Stop: 25078 FOR")</f>
        <v>Start: 24671 Stop: 25078 FOR</v>
      </c>
      <c r="D2" s="4"/>
    </row>
    <row r="3" spans="1:4" ht="15.75" customHeight="1" x14ac:dyDescent="0.15">
      <c r="A3" s="5" t="s">
        <v>3</v>
      </c>
      <c r="B3" s="17" t="str">
        <f ca="1">IFERROR(__xludf.DUMMYFUNCTION("""COMPUTED_VALUE"""),"DNA Master 37
Phamerator 38")</f>
        <v>DNA Master 37
Phamerator 38</v>
      </c>
      <c r="C3" s="17" t="str">
        <f ca="1">IFERROR(__xludf.DUMMYFUNCTION("""COMPUTED_VALUE"""),"38 in Pham, 37 in DNAM")</f>
        <v>38 in Pham, 37 in DNAM</v>
      </c>
      <c r="D3" s="6"/>
    </row>
    <row r="4" spans="1:4" ht="15.75" customHeight="1" x14ac:dyDescent="0.15">
      <c r="A4" s="5" t="s">
        <v>4</v>
      </c>
      <c r="B4" s="17" t="str">
        <f ca="1">IFERROR(__xludf.DUMMYFUNCTION("""COMPUTED_VALUE"""),"199237 3/10/25")</f>
        <v>199237 3/10/25</v>
      </c>
      <c r="C4" s="17" t="str">
        <f ca="1">IFERROR(__xludf.DUMMYFUNCTION("""COMPUTED_VALUE"""),"199237 3/26/25")</f>
        <v>199237 3/26/25</v>
      </c>
      <c r="D4" s="6"/>
    </row>
    <row r="5" spans="1:4" ht="15.75" customHeight="1" x14ac:dyDescent="0.15">
      <c r="A5" s="5" t="s">
        <v>5</v>
      </c>
      <c r="B5" s="17" t="str">
        <f ca="1">IFERROR(__xludf.DUMMYFUNCTION("""COMPUTED_VALUE"""),"Kovu_39")</f>
        <v>Kovu_39</v>
      </c>
      <c r="C5" s="17" t="str">
        <f ca="1">IFERROR(__xludf.DUMMYFUNCTION("""COMPUTED_VALUE"""),"Kovu_39")</f>
        <v>Kovu_39</v>
      </c>
      <c r="D5" s="6"/>
    </row>
    <row r="6" spans="1:4" ht="15.75" customHeight="1" x14ac:dyDescent="0.15">
      <c r="A6" s="5" t="s">
        <v>6</v>
      </c>
      <c r="B6" s="17" t="str">
        <f ca="1">IFERROR(__xludf.DUMMYFUNCTION("""COMPUTED_VALUE"""),"Glimmer call 24671
GeneMark call 24662")</f>
        <v>Glimmer call 24671
GeneMark call 24662</v>
      </c>
      <c r="C6" s="17" t="str">
        <f ca="1">IFERROR(__xludf.DUMMYFUNCTION("""COMPUTED_VALUE"""),"Glimmer called 24671, genemark called 24662")</f>
        <v>Glimmer called 24671, genemark called 24662</v>
      </c>
      <c r="D6" s="6"/>
    </row>
    <row r="7" spans="1:4" ht="15.75" customHeight="1" x14ac:dyDescent="0.15">
      <c r="A7" s="5" t="s">
        <v>7</v>
      </c>
      <c r="B7" s="17" t="str">
        <f ca="1">IFERROR(__xludf.DUMMYFUNCTION("""COMPUTED_VALUE"""),"All of the coding potential is there and they are showing more potential that could be called.")</f>
        <v>All of the coding potential is there and they are showing more potential that could be called.</v>
      </c>
      <c r="C7" s="17" t="str">
        <f ca="1">IFERROR(__xludf.DUMMYFUNCTION("""COMPUTED_VALUE"""),"coding potential all is included")</f>
        <v>coding potential all is included</v>
      </c>
      <c r="D7" s="6"/>
    </row>
    <row r="8" spans="1:4" ht="15.75" customHeight="1" x14ac:dyDescent="0.15">
      <c r="A8" s="5" t="s">
        <v>8</v>
      </c>
      <c r="B8" s="17" t="str">
        <f ca="1">IFERROR(__xludf.DUMMYFUNCTION("""COMPUTED_VALUE"""),"No there is one that is only 9 nucleotide above the original start.")</f>
        <v>No there is one that is only 9 nucleotide above the original start.</v>
      </c>
      <c r="C8" s="17" t="str">
        <f ca="1">IFERROR(__xludf.DUMMYFUNCTION("""COMPUTED_VALUE"""),"No, has a start before the start currently being used")</f>
        <v>No, has a start before the start currently being used</v>
      </c>
      <c r="D8" s="6"/>
    </row>
    <row r="9" spans="1:4" ht="15.75" customHeight="1" x14ac:dyDescent="0.15">
      <c r="A9" s="5" t="s">
        <v>9</v>
      </c>
      <c r="B9" s="17" t="str">
        <f ca="1">IFERROR(__xludf.DUMMYFUNCTION("""COMPUTED_VALUE"""),"Gap of about 13 nucleotides.")</f>
        <v>Gap of about 13 nucleotides.</v>
      </c>
      <c r="C9" s="17" t="str">
        <f ca="1">IFERROR(__xludf.DUMMYFUNCTION("""COMPUTED_VALUE"""),"Gap of 11 nucleotides")</f>
        <v>Gap of 11 nucleotides</v>
      </c>
      <c r="D9" s="6"/>
    </row>
    <row r="10" spans="1:4" ht="15.75" customHeight="1" x14ac:dyDescent="0.15">
      <c r="A10" s="5" t="s">
        <v>10</v>
      </c>
      <c r="B10" s="17" t="str">
        <f ca="1">IFERROR(__xludf.DUMMYFUNCTION("""COMPUTED_VALUE"""),"The one chosen is not the best but is second best with a z-score of 1.261 and a f-score -7.452.
The best score is z-score 1.392 and f-score -8.818")</f>
        <v>The one chosen is not the best but is second best with a z-score of 1.261 and a f-score -7.452.
The best score is z-score 1.392 and f-score -8.818</v>
      </c>
      <c r="C10" s="17" t="str">
        <f ca="1">IFERROR(__xludf.DUMMYFUNCTION("""COMPUTED_VALUE"""),"Start being used (2) zscore: 1.789, fscore: -5.016. Not the best score. Best score is start#4 z:score 2.386, fscore: -4.022.")</f>
        <v>Start being used (2) zscore: 1.789, fscore: -5.016. Not the best score. Best score is start#4 z:score 2.386, fscore: -4.022.</v>
      </c>
      <c r="D10" s="6"/>
    </row>
    <row r="11" spans="1:4" ht="15.75" customHeight="1" x14ac:dyDescent="0.15">
      <c r="A11" s="5" t="s">
        <v>11</v>
      </c>
      <c r="B11" s="17" t="str">
        <f ca="1">IFERROR(__xludf.DUMMYFUNCTION("""COMPUTED_VALUE"""),"Kovu_39 
65% identity
e-value 2.5e-32 
Q- 35 - 122
T- 33 - 122")</f>
        <v>Kovu_39 
65% identity
e-value 2.5e-32 
Q- 35 - 122
T- 33 - 122</v>
      </c>
      <c r="C11" s="17" t="str">
        <f ca="1">IFERROR(__xludf.DUMMYFUNCTION("""COMPUTED_VALUE"""),"Only hit was Kovu_39, 56.35% Ident, 1e-33")</f>
        <v>Only hit was Kovu_39, 56.35% Ident, 1e-33</v>
      </c>
      <c r="D11" s="6"/>
    </row>
    <row r="12" spans="1:4" ht="15.75" customHeight="1" x14ac:dyDescent="0.15">
      <c r="A12" s="5" t="s">
        <v>12</v>
      </c>
      <c r="B12" s="17" t="str">
        <f ca="1">IFERROR(__xludf.DUMMYFUNCTION("""COMPUTED_VALUE"""),"There is only a a 50% called on start will only us calling it. ")</f>
        <v xml:space="preserve">There is only a a 50% called on start will only us calling it. </v>
      </c>
      <c r="C12" s="17" t="str">
        <f ca="1">IFERROR(__xludf.DUMMYFUNCTION("""COMPUTED_VALUE"""),"conserved in all members, called only 50% of the time")</f>
        <v>conserved in all members, called only 50% of the time</v>
      </c>
      <c r="D12" s="6"/>
    </row>
    <row r="13" spans="1:4" ht="15.75" customHeight="1" x14ac:dyDescent="0.15">
      <c r="A13" s="5" t="s">
        <v>13</v>
      </c>
      <c r="B13" s="17" t="str">
        <f ca="1">IFERROR(__xludf.DUMMYFUNCTION("""COMPUTED_VALUE"""),"Overall there would be no point of changing because it is only a small change.")</f>
        <v>Overall there would be no point of changing because it is only a small change.</v>
      </c>
      <c r="C13" s="17" t="str">
        <f ca="1">IFERROR(__xludf.DUMMYFUNCTION("""COMPUTED_VALUE"""),"No, though current ORF score sucks, moving starts would create a large gap between genes.")</f>
        <v>No, though current ORF score sucks, moving starts would create a large gap between genes.</v>
      </c>
      <c r="D13" s="6"/>
    </row>
    <row r="14" spans="1:4" ht="15.75" customHeight="1" x14ac:dyDescent="0.15">
      <c r="A14" s="5" t="s">
        <v>14</v>
      </c>
      <c r="B14" s="17" t="str">
        <f ca="1">IFERROR(__xludf.DUMMYFUNCTION("""COMPUTED_VALUE"""),"Kovu_39, function unknown, 7e-29 
Gilgamesh_82, helix-turn-helix DNA binding domain protein, 0.36  ")</f>
        <v xml:space="preserve">Kovu_39, function unknown, 7e-29 
Gilgamesh_82, helix-turn-helix DNA binding domain protein, 0.36  </v>
      </c>
      <c r="C14" s="17" t="str">
        <f ca="1">IFERROR(__xludf.DUMMYFUNCTION("""COMPUTED_VALUE"""),"Kovu_39, 7e-29")</f>
        <v>Kovu_39, 7e-29</v>
      </c>
      <c r="D14" s="6"/>
    </row>
    <row r="15" spans="1:4" ht="15.75" customHeight="1" x14ac:dyDescent="0.15">
      <c r="A15" s="5" t="s">
        <v>15</v>
      </c>
      <c r="B15" s="17" t="str">
        <f ca="1">IFERROR(__xludf.DUMMYFUNCTION("""COMPUTED_VALUE"""),"Gilgamesh_82, helix-turn-helix DNA binding domain protein,")</f>
        <v>Gilgamesh_82, helix-turn-helix DNA binding domain protein,</v>
      </c>
      <c r="C15" s="17" t="str">
        <f ca="1">IFERROR(__xludf.DUMMYFUNCTION("""COMPUTED_VALUE"""),"Kovu_39 Unknown function")</f>
        <v>Kovu_39 Unknown function</v>
      </c>
      <c r="D15" s="6"/>
    </row>
    <row r="16" spans="1:4" ht="15.75" customHeight="1" x14ac:dyDescent="0.15">
      <c r="A16" s="5" t="s">
        <v>16</v>
      </c>
      <c r="B16" s="17" t="str">
        <f ca="1">IFERROR(__xludf.DUMMYFUNCTION("""COMPUTED_VALUE"""),"It is good and matches up.")</f>
        <v>It is good and matches up.</v>
      </c>
      <c r="C16" s="17" t="str">
        <f ca="1">IFERROR(__xludf.DUMMYFUNCTION("""COMPUTED_VALUE"""),"Great synteny, adjacent genes are 27-41 in Kovu")</f>
        <v>Great synteny, adjacent genes are 27-41 in Kovu</v>
      </c>
      <c r="D16" s="6"/>
    </row>
    <row r="17" spans="1:4" ht="15.75" customHeight="1" x14ac:dyDescent="0.15">
      <c r="A17" s="5" t="s">
        <v>17</v>
      </c>
      <c r="B17" s="17" t="str">
        <f ca="1">IFERROR(__xludf.DUMMYFUNCTION("""COMPUTED_VALUE""")," Replication protein A 32 kDa subunit; winged-helix turn helix, protein-protein interaction, S-Methyl-Thio-Cysteine, DNA BINDING PROTEIN; HET: SCH; 1.4A {Homo sapiens} SCOP: a.4.5.16
Probability: 86.18%
Q: 35%
T: 66%
The fuction domaint is not in the tage"&amp;"t part of the alignment.")</f>
        <v xml:space="preserve"> Replication protein A 32 kDa subunit; winged-helix turn helix, protein-protein interaction, S-Methyl-Thio-Cysteine, DNA BINDING PROTEIN; HET: SCH; 1.4A {Homo sapiens} SCOP: a.4.5.16
Probability: 86.18%
Q: 35%
T: 66%
The fuction domaint is not in the taget part of the alignment.</v>
      </c>
      <c r="C17" s="17" t="str">
        <f ca="1">IFERROR(__xludf.DUMMYFUNCTION("""COMPUTED_VALUE"""),"CdbA; nucleoid ribbon-helix-helix, DNA BINDING PROTEIN; 2.24A {Myxococcus xanthus DK 1622}, 79.63% probability, 36.84%allq, 73.13%allt. Functional domain is not within the target part of the alignment")</f>
        <v>CdbA; nucleoid ribbon-helix-helix, DNA BINDING PROTEIN; 2.24A {Myxococcus xanthus DK 1622}, 79.63% probability, 36.84%allq, 73.13%allt. Functional domain is not within the target part of the alignment</v>
      </c>
      <c r="D17" s="6"/>
    </row>
    <row r="18" spans="1:4" ht="15.75" customHeight="1" x14ac:dyDescent="0.15">
      <c r="A18" s="5" t="s">
        <v>18</v>
      </c>
      <c r="B18" s="17" t="str">
        <f ca="1">IFERROR(__xludf.DUMMYFUNCTION("""COMPUTED_VALUE"""),"none")</f>
        <v>none</v>
      </c>
      <c r="C18" s="17" t="str">
        <f ca="1">IFERROR(__xludf.DUMMYFUNCTION("""COMPUTED_VALUE"""),"none")</f>
        <v>none</v>
      </c>
      <c r="D18" s="6"/>
    </row>
    <row r="19" spans="1:4" ht="15.75" customHeight="1" x14ac:dyDescent="0.15">
      <c r="A19" s="5" t="s">
        <v>19</v>
      </c>
      <c r="B19" s="17" t="str">
        <f ca="1">IFERROR(__xludf.DUMMYFUNCTION("""COMPUTED_VALUE"""),"none")</f>
        <v>none</v>
      </c>
      <c r="C19" s="17" t="str">
        <f ca="1">IFERROR(__xludf.DUMMYFUNCTION("""COMPUTED_VALUE"""),"none")</f>
        <v>none</v>
      </c>
      <c r="D19" s="6"/>
    </row>
    <row r="20" spans="1:4" ht="15.75" customHeight="1" x14ac:dyDescent="0.15">
      <c r="A20" s="5" t="s">
        <v>20</v>
      </c>
      <c r="B20" s="17" t="str">
        <f ca="1">IFERROR(__xludf.DUMMYFUNCTION("""COMPUTED_VALUE"""),"Overall it might be a part of the function helix-turn-helix DNA binding domain but it is not a definite function. Because the Q and T are not the best and the function is not shown in HHPred.")</f>
        <v>Overall it might be a part of the function helix-turn-helix DNA binding domain but it is not a definite function. Because the Q and T are not the best and the function is not shown in HHPred.</v>
      </c>
      <c r="C20" s="17" t="str">
        <f ca="1">IFERROR(__xludf.DUMMYFUNCTION("""COMPUTED_VALUE"""),"Hypothetical protein, unknown function because of the great synteny with Kovu and because the functional domain isn't within the target alignment.")</f>
        <v>Hypothetical protein, unknown function because of the great synteny with Kovu and because the functional domain isn't within the target alignment.</v>
      </c>
      <c r="D20" s="6"/>
    </row>
    <row r="21" spans="1:4" x14ac:dyDescent="0.2">
      <c r="A21" s="7"/>
      <c r="B21" s="19"/>
      <c r="C21" s="19"/>
      <c r="D21" s="8"/>
    </row>
    <row r="22" spans="1:4" ht="15.75" customHeight="1" x14ac:dyDescent="0.15">
      <c r="A22" s="9" t="s">
        <v>21</v>
      </c>
      <c r="B22" s="19" t="str">
        <f ca="1">IFERROR(__xludf.DUMMYFUNCTION("""COMPUTED_VALUE"""),"Look over if the function is correct or not but look and see if there are simmler HHpred findings.")</f>
        <v>Look over if the function is correct or not but look and see if there are simmler HHpred findings.</v>
      </c>
      <c r="C22" s="19"/>
      <c r="D22" s="8"/>
    </row>
    <row r="23" spans="1:4" ht="15.75" customHeight="1" x14ac:dyDescent="0.15">
      <c r="A23" s="10"/>
      <c r="B23" s="13"/>
      <c r="C23" s="13"/>
    </row>
    <row r="24" spans="1:4" ht="15.75" customHeight="1" x14ac:dyDescent="0.15">
      <c r="A24" s="10"/>
      <c r="B24" s="13"/>
      <c r="C24" s="13"/>
    </row>
    <row r="25" spans="1:4" ht="15.75" customHeight="1" x14ac:dyDescent="0.15">
      <c r="A25" s="10"/>
      <c r="B25" s="13"/>
      <c r="C25" s="13"/>
    </row>
    <row r="26" spans="1:4" ht="15.75" customHeight="1" x14ac:dyDescent="0.15">
      <c r="A26" s="10"/>
      <c r="B26" s="13"/>
      <c r="C26" s="13"/>
    </row>
    <row r="27" spans="1:4" ht="15.75" customHeight="1" x14ac:dyDescent="0.15">
      <c r="A27" s="10"/>
      <c r="B27" s="13"/>
      <c r="C27" s="13"/>
    </row>
    <row r="28" spans="1:4" ht="15.75" customHeight="1" x14ac:dyDescent="0.15">
      <c r="A28" s="10"/>
      <c r="B28" s="13"/>
      <c r="C28" s="13"/>
    </row>
    <row r="29" spans="1:4" ht="15.75" customHeight="1" x14ac:dyDescent="0.15">
      <c r="A29" s="10"/>
      <c r="B29" s="13"/>
      <c r="C29" s="13"/>
    </row>
    <row r="30" spans="1:4" ht="15.75" customHeight="1" x14ac:dyDescent="0.15">
      <c r="A30" s="10"/>
      <c r="B30" s="13"/>
      <c r="C30" s="13"/>
    </row>
    <row r="31" spans="1:4" ht="15.75" customHeight="1" x14ac:dyDescent="0.15">
      <c r="A31" s="10"/>
      <c r="B31" s="13"/>
      <c r="C31" s="13"/>
    </row>
    <row r="32" spans="1:4" ht="15.75" customHeight="1" x14ac:dyDescent="0.15">
      <c r="A32" s="10"/>
      <c r="B32" s="13"/>
      <c r="C32" s="13"/>
    </row>
    <row r="33" spans="1:3" ht="15.75" customHeight="1" x14ac:dyDescent="0.15">
      <c r="A33" s="10"/>
      <c r="B33" s="13"/>
      <c r="C33" s="13"/>
    </row>
    <row r="34" spans="1:3" ht="15.75" customHeight="1" x14ac:dyDescent="0.15">
      <c r="A34" s="10"/>
      <c r="B34" s="13"/>
      <c r="C34" s="13"/>
    </row>
    <row r="35" spans="1:3" ht="15.75" customHeight="1" x14ac:dyDescent="0.15">
      <c r="A35" s="10"/>
      <c r="B35" s="13"/>
      <c r="C35" s="13"/>
    </row>
    <row r="36" spans="1:3" ht="15.75" customHeight="1" x14ac:dyDescent="0.15">
      <c r="A36" s="10"/>
      <c r="B36" s="13"/>
      <c r="C36" s="13"/>
    </row>
    <row r="37" spans="1:3" ht="15.75" customHeight="1" x14ac:dyDescent="0.15">
      <c r="A37" s="10"/>
      <c r="B37" s="13"/>
      <c r="C37" s="13"/>
    </row>
    <row r="38" spans="1:3" ht="15.75" customHeight="1" x14ac:dyDescent="0.15">
      <c r="A38" s="10"/>
      <c r="B38" s="13"/>
      <c r="C38" s="13"/>
    </row>
    <row r="39" spans="1:3" ht="13" x14ac:dyDescent="0.15">
      <c r="A39" s="10"/>
      <c r="B39" s="13"/>
      <c r="C39" s="13"/>
    </row>
    <row r="40" spans="1:3" ht="13" x14ac:dyDescent="0.15">
      <c r="A40" s="10"/>
      <c r="B40" s="13"/>
      <c r="C40" s="13"/>
    </row>
    <row r="41" spans="1:3" ht="13" x14ac:dyDescent="0.15">
      <c r="A41" s="10"/>
      <c r="B41" s="13"/>
      <c r="C41" s="13"/>
    </row>
    <row r="42" spans="1:3" ht="13" x14ac:dyDescent="0.15">
      <c r="A42" s="10"/>
      <c r="B42" s="13"/>
      <c r="C42" s="13"/>
    </row>
    <row r="43" spans="1:3" ht="13" x14ac:dyDescent="0.15">
      <c r="A43" s="10"/>
      <c r="B43" s="13"/>
      <c r="C43" s="13"/>
    </row>
    <row r="44" spans="1:3" ht="13" x14ac:dyDescent="0.15">
      <c r="A44" s="10"/>
      <c r="B44" s="13"/>
      <c r="C44" s="13"/>
    </row>
    <row r="45" spans="1:3" ht="13" x14ac:dyDescent="0.15">
      <c r="A45" s="10"/>
      <c r="B45" s="13"/>
      <c r="C45" s="13"/>
    </row>
    <row r="46" spans="1:3" ht="13" x14ac:dyDescent="0.15">
      <c r="A46" s="10"/>
      <c r="B46" s="13"/>
      <c r="C46" s="13"/>
    </row>
    <row r="47" spans="1:3" ht="13" x14ac:dyDescent="0.15">
      <c r="A47" s="10"/>
      <c r="B47" s="13"/>
      <c r="C47" s="13"/>
    </row>
    <row r="48" spans="1:3" ht="13" x14ac:dyDescent="0.15">
      <c r="A48" s="10"/>
      <c r="B48" s="13"/>
      <c r="C48" s="13"/>
    </row>
    <row r="49" spans="1:3" ht="13" x14ac:dyDescent="0.15">
      <c r="A49" s="10"/>
      <c r="B49" s="13"/>
      <c r="C49" s="13"/>
    </row>
    <row r="50" spans="1:3" ht="13" x14ac:dyDescent="0.15">
      <c r="A50" s="10"/>
      <c r="B50" s="13"/>
      <c r="C50" s="13"/>
    </row>
    <row r="51" spans="1:3" ht="13" x14ac:dyDescent="0.15">
      <c r="A51" s="10"/>
      <c r="B51" s="13"/>
      <c r="C51" s="13"/>
    </row>
    <row r="52" spans="1:3" ht="13" x14ac:dyDescent="0.15">
      <c r="A52" s="10"/>
      <c r="B52" s="13"/>
      <c r="C52" s="13"/>
    </row>
    <row r="53" spans="1:3" ht="13" x14ac:dyDescent="0.15">
      <c r="A53" s="10"/>
      <c r="B53" s="13"/>
      <c r="C53" s="13"/>
    </row>
    <row r="54" spans="1:3" ht="13" x14ac:dyDescent="0.15">
      <c r="A54" s="10"/>
      <c r="B54" s="13"/>
      <c r="C54" s="13"/>
    </row>
    <row r="55" spans="1:3" ht="13" x14ac:dyDescent="0.15">
      <c r="A55" s="10"/>
      <c r="B55" s="13"/>
      <c r="C55" s="13"/>
    </row>
    <row r="56" spans="1:3" ht="13" x14ac:dyDescent="0.15">
      <c r="A56" s="10"/>
      <c r="B56" s="13"/>
      <c r="C56" s="13"/>
    </row>
    <row r="57" spans="1:3" ht="13" x14ac:dyDescent="0.15">
      <c r="A57" s="10"/>
      <c r="B57" s="13"/>
      <c r="C57" s="13"/>
    </row>
    <row r="58" spans="1:3" ht="13" x14ac:dyDescent="0.15">
      <c r="A58" s="10"/>
      <c r="B58" s="13"/>
      <c r="C58" s="13"/>
    </row>
    <row r="59" spans="1:3" ht="13" x14ac:dyDescent="0.15">
      <c r="A59" s="10"/>
      <c r="B59" s="13"/>
      <c r="C59" s="13"/>
    </row>
    <row r="60" spans="1:3" ht="13" x14ac:dyDescent="0.15">
      <c r="A60" s="10"/>
      <c r="B60" s="13"/>
      <c r="C60" s="13"/>
    </row>
    <row r="61" spans="1:3" ht="13" x14ac:dyDescent="0.15">
      <c r="A61" s="10"/>
      <c r="B61" s="13"/>
      <c r="C61" s="13"/>
    </row>
    <row r="62" spans="1:3" ht="13" x14ac:dyDescent="0.15">
      <c r="A62" s="10"/>
      <c r="B62" s="13"/>
      <c r="C62" s="13"/>
    </row>
    <row r="63" spans="1:3" ht="13" x14ac:dyDescent="0.15">
      <c r="A63" s="10"/>
      <c r="B63" s="13"/>
      <c r="C63" s="13"/>
    </row>
    <row r="64" spans="1:3" ht="13" x14ac:dyDescent="0.15">
      <c r="A64" s="10"/>
      <c r="B64" s="13"/>
      <c r="C64" s="13"/>
    </row>
    <row r="65" spans="1:3" ht="13" x14ac:dyDescent="0.15">
      <c r="A65" s="10"/>
      <c r="B65" s="13"/>
      <c r="C65" s="13"/>
    </row>
    <row r="66" spans="1:3" ht="13" x14ac:dyDescent="0.15">
      <c r="A66" s="10"/>
      <c r="B66" s="13"/>
      <c r="C66" s="13"/>
    </row>
    <row r="67" spans="1:3" ht="13" x14ac:dyDescent="0.15">
      <c r="A67" s="10"/>
      <c r="B67" s="13"/>
      <c r="C67" s="13"/>
    </row>
    <row r="68" spans="1:3" ht="13" x14ac:dyDescent="0.15">
      <c r="A68" s="10"/>
      <c r="B68" s="13"/>
      <c r="C68" s="13"/>
    </row>
    <row r="69" spans="1:3" ht="13" x14ac:dyDescent="0.15">
      <c r="A69" s="10"/>
      <c r="B69" s="13"/>
      <c r="C69" s="13"/>
    </row>
    <row r="70" spans="1:3" ht="13" x14ac:dyDescent="0.15">
      <c r="A70" s="10"/>
      <c r="B70" s="13"/>
      <c r="C70" s="13"/>
    </row>
    <row r="71" spans="1:3" ht="13" x14ac:dyDescent="0.15">
      <c r="A71" s="10"/>
      <c r="B71" s="13"/>
      <c r="C71" s="13"/>
    </row>
    <row r="72" spans="1:3" ht="13" x14ac:dyDescent="0.15">
      <c r="A72" s="10"/>
      <c r="B72" s="13"/>
      <c r="C72" s="13"/>
    </row>
    <row r="73" spans="1:3" ht="13" x14ac:dyDescent="0.15">
      <c r="A73" s="10"/>
      <c r="B73" s="13"/>
      <c r="C73" s="13"/>
    </row>
    <row r="74" spans="1:3" ht="13" x14ac:dyDescent="0.15">
      <c r="A74" s="10"/>
      <c r="B74" s="13"/>
      <c r="C74" s="13"/>
    </row>
    <row r="75" spans="1:3" ht="13" x14ac:dyDescent="0.15">
      <c r="A75" s="10"/>
      <c r="B75" s="13"/>
      <c r="C75" s="13"/>
    </row>
    <row r="76" spans="1:3" ht="13" x14ac:dyDescent="0.15">
      <c r="A76" s="10"/>
      <c r="B76" s="13"/>
      <c r="C76" s="13"/>
    </row>
    <row r="77" spans="1:3" ht="13" x14ac:dyDescent="0.15">
      <c r="A77" s="10"/>
      <c r="B77" s="13"/>
      <c r="C77" s="13"/>
    </row>
    <row r="78" spans="1:3" ht="13" x14ac:dyDescent="0.15">
      <c r="A78" s="10"/>
      <c r="B78" s="13"/>
      <c r="C78" s="13"/>
    </row>
    <row r="79" spans="1:3" ht="13" x14ac:dyDescent="0.15">
      <c r="A79" s="10"/>
      <c r="B79" s="13"/>
      <c r="C79" s="13"/>
    </row>
    <row r="80" spans="1:3" ht="13" x14ac:dyDescent="0.15">
      <c r="A80" s="10"/>
      <c r="B80" s="13"/>
      <c r="C80" s="13"/>
    </row>
    <row r="81" spans="1:3" ht="13" x14ac:dyDescent="0.15">
      <c r="A81" s="10"/>
      <c r="B81" s="13"/>
      <c r="C81" s="13"/>
    </row>
    <row r="82" spans="1:3" ht="13" x14ac:dyDescent="0.15">
      <c r="A82" s="10"/>
      <c r="B82" s="13"/>
      <c r="C82" s="13"/>
    </row>
    <row r="83" spans="1:3" ht="13" x14ac:dyDescent="0.15">
      <c r="A83" s="10"/>
      <c r="B83" s="13"/>
      <c r="C83" s="13"/>
    </row>
    <row r="84" spans="1:3" ht="13" x14ac:dyDescent="0.15">
      <c r="A84" s="10"/>
      <c r="B84" s="13"/>
      <c r="C84" s="13"/>
    </row>
    <row r="85" spans="1:3" ht="13" x14ac:dyDescent="0.15">
      <c r="A85" s="10"/>
      <c r="B85" s="13"/>
      <c r="C85" s="13"/>
    </row>
    <row r="86" spans="1:3" ht="13" x14ac:dyDescent="0.15">
      <c r="A86" s="10"/>
      <c r="B86" s="13"/>
      <c r="C86" s="13"/>
    </row>
    <row r="87" spans="1:3" ht="13" x14ac:dyDescent="0.15">
      <c r="A87" s="10"/>
      <c r="B87" s="13"/>
      <c r="C87" s="13"/>
    </row>
    <row r="88" spans="1:3" ht="13" x14ac:dyDescent="0.15">
      <c r="A88" s="10"/>
      <c r="B88" s="13"/>
      <c r="C88" s="13"/>
    </row>
    <row r="89" spans="1:3" ht="13" x14ac:dyDescent="0.15">
      <c r="A89" s="10"/>
      <c r="B89" s="13"/>
      <c r="C89" s="13"/>
    </row>
    <row r="90" spans="1:3" ht="13" x14ac:dyDescent="0.15">
      <c r="A90" s="10"/>
      <c r="B90" s="13"/>
      <c r="C90" s="13"/>
    </row>
    <row r="91" spans="1:3" ht="13" x14ac:dyDescent="0.15">
      <c r="A91" s="10"/>
      <c r="B91" s="13"/>
      <c r="C91" s="13"/>
    </row>
    <row r="92" spans="1:3" ht="13" x14ac:dyDescent="0.15">
      <c r="A92" s="10"/>
      <c r="B92" s="13"/>
      <c r="C92" s="13"/>
    </row>
    <row r="93" spans="1:3" ht="13" x14ac:dyDescent="0.15">
      <c r="A93" s="10"/>
      <c r="B93" s="13"/>
      <c r="C93" s="13"/>
    </row>
    <row r="94" spans="1:3" ht="13" x14ac:dyDescent="0.15">
      <c r="A94" s="10"/>
      <c r="B94" s="13"/>
      <c r="C94" s="13"/>
    </row>
    <row r="95" spans="1:3" ht="13" x14ac:dyDescent="0.15">
      <c r="A95" s="10"/>
      <c r="B95" s="13"/>
      <c r="C95" s="13"/>
    </row>
    <row r="96" spans="1:3" ht="13" x14ac:dyDescent="0.15">
      <c r="A96" s="10"/>
      <c r="B96" s="13"/>
      <c r="C96" s="13"/>
    </row>
    <row r="97" spans="1:3" ht="13" x14ac:dyDescent="0.15">
      <c r="A97" s="10"/>
      <c r="B97" s="13"/>
      <c r="C97" s="13"/>
    </row>
    <row r="98" spans="1:3" ht="13" x14ac:dyDescent="0.15">
      <c r="A98" s="10"/>
      <c r="B98" s="13"/>
      <c r="C98" s="13"/>
    </row>
    <row r="99" spans="1:3" ht="13" x14ac:dyDescent="0.15">
      <c r="A99" s="10"/>
      <c r="B99" s="13"/>
      <c r="C99" s="13"/>
    </row>
    <row r="100" spans="1:3" ht="13" x14ac:dyDescent="0.15">
      <c r="A100" s="10"/>
      <c r="B100" s="13"/>
      <c r="C100" s="13"/>
    </row>
    <row r="101" spans="1:3" ht="13" x14ac:dyDescent="0.15">
      <c r="A101" s="10"/>
      <c r="B101" s="13"/>
      <c r="C101" s="13"/>
    </row>
    <row r="102" spans="1:3" ht="13" x14ac:dyDescent="0.15">
      <c r="A102" s="10"/>
      <c r="B102" s="13"/>
      <c r="C102" s="13"/>
    </row>
    <row r="103" spans="1:3" ht="13" x14ac:dyDescent="0.15">
      <c r="A103" s="10"/>
      <c r="B103" s="13"/>
      <c r="C103" s="13"/>
    </row>
    <row r="104" spans="1:3" ht="13" x14ac:dyDescent="0.15">
      <c r="A104" s="10"/>
      <c r="B104" s="13"/>
      <c r="C104" s="13"/>
    </row>
    <row r="105" spans="1:3" ht="13" x14ac:dyDescent="0.15">
      <c r="A105" s="10"/>
      <c r="B105" s="13"/>
      <c r="C105" s="13"/>
    </row>
    <row r="106" spans="1:3" ht="13" x14ac:dyDescent="0.15">
      <c r="A106" s="10"/>
      <c r="B106" s="13"/>
      <c r="C106" s="13"/>
    </row>
    <row r="107" spans="1:3" ht="13" x14ac:dyDescent="0.15">
      <c r="A107" s="10"/>
      <c r="B107" s="13"/>
      <c r="C107" s="13"/>
    </row>
    <row r="108" spans="1:3" ht="13" x14ac:dyDescent="0.15">
      <c r="A108" s="10"/>
      <c r="B108" s="13"/>
      <c r="C108" s="13"/>
    </row>
    <row r="109" spans="1:3" ht="13" x14ac:dyDescent="0.15">
      <c r="A109" s="10"/>
      <c r="B109" s="13"/>
      <c r="C109" s="13"/>
    </row>
    <row r="110" spans="1:3" ht="13" x14ac:dyDescent="0.15">
      <c r="A110" s="10"/>
      <c r="B110" s="13"/>
      <c r="C110" s="13"/>
    </row>
    <row r="111" spans="1:3" ht="13" x14ac:dyDescent="0.15">
      <c r="A111" s="10"/>
      <c r="B111" s="13"/>
      <c r="C111" s="13"/>
    </row>
    <row r="112" spans="1:3" ht="13" x14ac:dyDescent="0.15">
      <c r="A112" s="10"/>
      <c r="B112" s="13"/>
      <c r="C112" s="13"/>
    </row>
    <row r="113" spans="1:3" ht="13" x14ac:dyDescent="0.15">
      <c r="A113" s="10"/>
      <c r="B113" s="13"/>
      <c r="C113" s="13"/>
    </row>
    <row r="114" spans="1:3" ht="13" x14ac:dyDescent="0.15">
      <c r="A114" s="10"/>
      <c r="B114" s="13"/>
      <c r="C114" s="13"/>
    </row>
    <row r="115" spans="1:3" ht="13" x14ac:dyDescent="0.15">
      <c r="A115" s="10"/>
      <c r="B115" s="13"/>
      <c r="C115" s="13"/>
    </row>
    <row r="116" spans="1:3" ht="13" x14ac:dyDescent="0.15">
      <c r="A116" s="10"/>
      <c r="B116" s="13"/>
      <c r="C116" s="13"/>
    </row>
    <row r="117" spans="1:3" ht="13" x14ac:dyDescent="0.15">
      <c r="A117" s="10"/>
      <c r="B117" s="13"/>
      <c r="C117" s="13"/>
    </row>
    <row r="118" spans="1:3" ht="13" x14ac:dyDescent="0.15">
      <c r="A118" s="10"/>
      <c r="B118" s="13"/>
      <c r="C118" s="13"/>
    </row>
    <row r="119" spans="1:3" ht="13" x14ac:dyDescent="0.15">
      <c r="A119" s="10"/>
      <c r="B119" s="13"/>
      <c r="C119" s="13"/>
    </row>
    <row r="120" spans="1:3" ht="13" x14ac:dyDescent="0.15">
      <c r="A120" s="10"/>
      <c r="B120" s="13"/>
      <c r="C120" s="13"/>
    </row>
    <row r="121" spans="1:3" ht="13" x14ac:dyDescent="0.15">
      <c r="A121" s="10"/>
      <c r="B121" s="13"/>
      <c r="C121" s="13"/>
    </row>
    <row r="122" spans="1:3" ht="13" x14ac:dyDescent="0.15">
      <c r="A122" s="10"/>
      <c r="B122" s="13"/>
      <c r="C122" s="13"/>
    </row>
    <row r="123" spans="1:3" ht="13" x14ac:dyDescent="0.15">
      <c r="A123" s="10"/>
      <c r="B123" s="13"/>
      <c r="C123" s="13"/>
    </row>
    <row r="124" spans="1:3" ht="13" x14ac:dyDescent="0.15">
      <c r="A124" s="10"/>
      <c r="B124" s="13"/>
      <c r="C124" s="13"/>
    </row>
    <row r="125" spans="1:3" ht="13" x14ac:dyDescent="0.15">
      <c r="A125" s="10"/>
      <c r="B125" s="13"/>
      <c r="C125" s="13"/>
    </row>
    <row r="126" spans="1:3" ht="13" x14ac:dyDescent="0.15">
      <c r="A126" s="10"/>
      <c r="B126" s="13"/>
      <c r="C126" s="13"/>
    </row>
    <row r="127" spans="1:3" ht="13" x14ac:dyDescent="0.15">
      <c r="A127" s="10"/>
      <c r="B127" s="13"/>
      <c r="C127" s="13"/>
    </row>
    <row r="128" spans="1:3" ht="13" x14ac:dyDescent="0.15">
      <c r="A128" s="10"/>
      <c r="B128" s="13"/>
      <c r="C128" s="13"/>
    </row>
    <row r="129" spans="1:3" ht="13" x14ac:dyDescent="0.15">
      <c r="A129" s="10"/>
      <c r="B129" s="13"/>
      <c r="C129" s="13"/>
    </row>
    <row r="130" spans="1:3" ht="13" x14ac:dyDescent="0.15">
      <c r="A130" s="10"/>
      <c r="B130" s="13"/>
      <c r="C130" s="13"/>
    </row>
    <row r="131" spans="1:3" ht="13" x14ac:dyDescent="0.15">
      <c r="A131" s="10"/>
      <c r="B131" s="13"/>
      <c r="C131" s="13"/>
    </row>
    <row r="132" spans="1:3" ht="13" x14ac:dyDescent="0.15">
      <c r="A132" s="10"/>
      <c r="B132" s="13"/>
      <c r="C132" s="13"/>
    </row>
    <row r="133" spans="1:3" ht="13" x14ac:dyDescent="0.15">
      <c r="A133" s="10"/>
      <c r="B133" s="13"/>
      <c r="C133" s="13"/>
    </row>
    <row r="134" spans="1:3" ht="13" x14ac:dyDescent="0.15">
      <c r="A134" s="10"/>
      <c r="B134" s="13"/>
      <c r="C134" s="13"/>
    </row>
    <row r="135" spans="1:3" ht="13" x14ac:dyDescent="0.15">
      <c r="A135" s="10"/>
      <c r="B135" s="13"/>
      <c r="C135" s="13"/>
    </row>
    <row r="136" spans="1:3" ht="13" x14ac:dyDescent="0.15">
      <c r="A136" s="10"/>
      <c r="B136" s="13"/>
      <c r="C136" s="13"/>
    </row>
    <row r="137" spans="1:3" ht="13" x14ac:dyDescent="0.15">
      <c r="A137" s="10"/>
      <c r="B137" s="13"/>
      <c r="C137" s="13"/>
    </row>
    <row r="138" spans="1:3" ht="13" x14ac:dyDescent="0.15">
      <c r="A138" s="10"/>
      <c r="B138" s="13"/>
      <c r="C138" s="13"/>
    </row>
    <row r="139" spans="1:3" ht="13" x14ac:dyDescent="0.15">
      <c r="A139" s="10"/>
      <c r="B139" s="13"/>
      <c r="C139" s="13"/>
    </row>
    <row r="140" spans="1:3" ht="13" x14ac:dyDescent="0.15">
      <c r="A140" s="10"/>
      <c r="B140" s="13"/>
      <c r="C140" s="13"/>
    </row>
    <row r="141" spans="1:3" ht="13" x14ac:dyDescent="0.15">
      <c r="A141" s="10"/>
      <c r="B141" s="13"/>
      <c r="C141" s="13"/>
    </row>
    <row r="142" spans="1:3" ht="13" x14ac:dyDescent="0.15">
      <c r="A142" s="10"/>
      <c r="B142" s="13"/>
      <c r="C142" s="13"/>
    </row>
    <row r="143" spans="1:3" ht="13" x14ac:dyDescent="0.15">
      <c r="A143" s="10"/>
      <c r="B143" s="13"/>
      <c r="C143" s="13"/>
    </row>
    <row r="144" spans="1:3" ht="13" x14ac:dyDescent="0.15">
      <c r="A144" s="10"/>
      <c r="B144" s="13"/>
      <c r="C144" s="13"/>
    </row>
    <row r="145" spans="1:3" ht="13" x14ac:dyDescent="0.15">
      <c r="A145" s="10"/>
      <c r="B145" s="13"/>
      <c r="C145" s="13"/>
    </row>
    <row r="146" spans="1:3" ht="13" x14ac:dyDescent="0.15">
      <c r="A146" s="10"/>
      <c r="B146" s="13"/>
      <c r="C146" s="13"/>
    </row>
    <row r="147" spans="1:3" ht="13" x14ac:dyDescent="0.15">
      <c r="A147" s="10"/>
      <c r="B147" s="13"/>
      <c r="C147" s="13"/>
    </row>
    <row r="148" spans="1:3" ht="13" x14ac:dyDescent="0.15">
      <c r="A148" s="10"/>
      <c r="B148" s="13"/>
      <c r="C148" s="13"/>
    </row>
    <row r="149" spans="1:3" ht="13" x14ac:dyDescent="0.15">
      <c r="A149" s="10"/>
      <c r="B149" s="13"/>
      <c r="C149" s="13"/>
    </row>
    <row r="150" spans="1:3" ht="13" x14ac:dyDescent="0.15">
      <c r="A150" s="10"/>
      <c r="B150" s="13"/>
      <c r="C150" s="13"/>
    </row>
    <row r="151" spans="1:3" ht="13" x14ac:dyDescent="0.15">
      <c r="A151" s="10"/>
      <c r="B151" s="13"/>
      <c r="C151" s="13"/>
    </row>
    <row r="152" spans="1:3" ht="13" x14ac:dyDescent="0.15">
      <c r="A152" s="10"/>
      <c r="B152" s="13"/>
      <c r="C152" s="13"/>
    </row>
    <row r="153" spans="1:3" ht="13" x14ac:dyDescent="0.15">
      <c r="A153" s="10"/>
      <c r="B153" s="13"/>
      <c r="C153" s="13"/>
    </row>
    <row r="154" spans="1:3" ht="13" x14ac:dyDescent="0.15">
      <c r="A154" s="10"/>
      <c r="B154" s="13"/>
      <c r="C154" s="13"/>
    </row>
    <row r="155" spans="1:3" ht="13" x14ac:dyDescent="0.15">
      <c r="A155" s="10"/>
      <c r="B155" s="13"/>
      <c r="C155" s="13"/>
    </row>
    <row r="156" spans="1:3" ht="13" x14ac:dyDescent="0.15">
      <c r="A156" s="10"/>
      <c r="B156" s="13"/>
      <c r="C156" s="13"/>
    </row>
    <row r="157" spans="1:3" ht="13" x14ac:dyDescent="0.15">
      <c r="A157" s="10"/>
      <c r="B157" s="13"/>
      <c r="C157" s="13"/>
    </row>
    <row r="158" spans="1:3" ht="13" x14ac:dyDescent="0.15">
      <c r="A158" s="10"/>
      <c r="B158" s="13"/>
      <c r="C158" s="13"/>
    </row>
    <row r="159" spans="1:3" ht="13" x14ac:dyDescent="0.15">
      <c r="A159" s="10"/>
      <c r="B159" s="13"/>
      <c r="C159" s="13"/>
    </row>
    <row r="160" spans="1:3" ht="13" x14ac:dyDescent="0.15">
      <c r="A160" s="10"/>
      <c r="B160" s="13"/>
      <c r="C160" s="13"/>
    </row>
    <row r="161" spans="1:3" ht="13" x14ac:dyDescent="0.15">
      <c r="A161" s="10"/>
      <c r="B161" s="13"/>
      <c r="C161" s="13"/>
    </row>
    <row r="162" spans="1:3" ht="13" x14ac:dyDescent="0.15">
      <c r="A162" s="10"/>
      <c r="B162" s="13"/>
      <c r="C162" s="13"/>
    </row>
    <row r="163" spans="1:3" ht="13" x14ac:dyDescent="0.15">
      <c r="A163" s="10"/>
      <c r="B163" s="13"/>
      <c r="C163" s="13"/>
    </row>
    <row r="164" spans="1:3" ht="13" x14ac:dyDescent="0.15">
      <c r="A164" s="10"/>
      <c r="B164" s="13"/>
      <c r="C164" s="13"/>
    </row>
    <row r="165" spans="1:3" ht="13" x14ac:dyDescent="0.15">
      <c r="A165" s="10"/>
      <c r="B165" s="13"/>
      <c r="C165" s="13"/>
    </row>
    <row r="166" spans="1:3" ht="13" x14ac:dyDescent="0.15">
      <c r="A166" s="10"/>
      <c r="B166" s="13"/>
      <c r="C166" s="13"/>
    </row>
    <row r="167" spans="1:3" ht="13" x14ac:dyDescent="0.15">
      <c r="A167" s="10"/>
      <c r="B167" s="13"/>
      <c r="C167" s="13"/>
    </row>
    <row r="168" spans="1:3" ht="13" x14ac:dyDescent="0.15">
      <c r="A168" s="10"/>
      <c r="B168" s="13"/>
      <c r="C168" s="13"/>
    </row>
    <row r="169" spans="1:3" ht="13" x14ac:dyDescent="0.15">
      <c r="A169" s="10"/>
      <c r="B169" s="13"/>
      <c r="C169" s="13"/>
    </row>
    <row r="170" spans="1:3" ht="13" x14ac:dyDescent="0.15">
      <c r="A170" s="10"/>
      <c r="B170" s="13"/>
      <c r="C170" s="13"/>
    </row>
    <row r="171" spans="1:3" ht="13" x14ac:dyDescent="0.15">
      <c r="A171" s="10"/>
      <c r="B171" s="13"/>
      <c r="C171" s="13"/>
    </row>
    <row r="172" spans="1:3" ht="13" x14ac:dyDescent="0.15">
      <c r="A172" s="10"/>
      <c r="B172" s="13"/>
      <c r="C172" s="13"/>
    </row>
    <row r="173" spans="1:3" ht="13" x14ac:dyDescent="0.15">
      <c r="A173" s="10"/>
      <c r="B173" s="13"/>
      <c r="C173" s="13"/>
    </row>
    <row r="174" spans="1:3" ht="13" x14ac:dyDescent="0.15">
      <c r="A174" s="10"/>
      <c r="B174" s="13"/>
      <c r="C174" s="13"/>
    </row>
    <row r="175" spans="1:3" ht="13" x14ac:dyDescent="0.15">
      <c r="A175" s="10"/>
      <c r="B175" s="13"/>
      <c r="C175" s="13"/>
    </row>
    <row r="176" spans="1:3" ht="13" x14ac:dyDescent="0.15">
      <c r="A176" s="10"/>
      <c r="B176" s="13"/>
      <c r="C176" s="13"/>
    </row>
    <row r="177" spans="1:3" ht="13" x14ac:dyDescent="0.15">
      <c r="A177" s="10"/>
      <c r="B177" s="13"/>
      <c r="C177" s="13"/>
    </row>
    <row r="178" spans="1:3" ht="13" x14ac:dyDescent="0.15">
      <c r="A178" s="10"/>
      <c r="B178" s="13"/>
      <c r="C178" s="13"/>
    </row>
    <row r="179" spans="1:3" ht="13" x14ac:dyDescent="0.15">
      <c r="A179" s="10"/>
      <c r="B179" s="13"/>
      <c r="C179" s="13"/>
    </row>
    <row r="180" spans="1:3" ht="13" x14ac:dyDescent="0.15">
      <c r="A180" s="10"/>
      <c r="B180" s="13"/>
      <c r="C180" s="13"/>
    </row>
    <row r="181" spans="1:3" ht="13" x14ac:dyDescent="0.15">
      <c r="A181" s="10"/>
      <c r="B181" s="13"/>
      <c r="C181" s="13"/>
    </row>
    <row r="182" spans="1:3" ht="13" x14ac:dyDescent="0.15">
      <c r="A182" s="10"/>
      <c r="B182" s="13"/>
      <c r="C182" s="13"/>
    </row>
    <row r="183" spans="1:3" ht="13" x14ac:dyDescent="0.15">
      <c r="A183" s="10"/>
      <c r="B183" s="13"/>
      <c r="C183" s="13"/>
    </row>
    <row r="184" spans="1:3" ht="13" x14ac:dyDescent="0.15">
      <c r="A184" s="10"/>
      <c r="B184" s="13"/>
      <c r="C184" s="13"/>
    </row>
    <row r="185" spans="1:3" ht="13" x14ac:dyDescent="0.15">
      <c r="A185" s="10"/>
      <c r="B185" s="13"/>
      <c r="C185" s="13"/>
    </row>
    <row r="186" spans="1:3" ht="13" x14ac:dyDescent="0.15">
      <c r="A186" s="10"/>
      <c r="B186" s="13"/>
      <c r="C186" s="13"/>
    </row>
    <row r="187" spans="1:3" ht="13" x14ac:dyDescent="0.15">
      <c r="A187" s="10"/>
      <c r="B187" s="13"/>
      <c r="C187" s="13"/>
    </row>
    <row r="188" spans="1:3" ht="13" x14ac:dyDescent="0.15">
      <c r="A188" s="10"/>
      <c r="B188" s="13"/>
      <c r="C188" s="13"/>
    </row>
    <row r="189" spans="1:3" ht="13" x14ac:dyDescent="0.15">
      <c r="A189" s="10"/>
      <c r="B189" s="13"/>
      <c r="C189" s="13"/>
    </row>
    <row r="190" spans="1:3" ht="13" x14ac:dyDescent="0.15">
      <c r="A190" s="10"/>
      <c r="B190" s="13"/>
      <c r="C190" s="13"/>
    </row>
    <row r="191" spans="1:3" ht="13" x14ac:dyDescent="0.15">
      <c r="A191" s="10"/>
      <c r="B191" s="13"/>
      <c r="C191" s="13"/>
    </row>
    <row r="192" spans="1:3" ht="13" x14ac:dyDescent="0.15">
      <c r="A192" s="10"/>
      <c r="B192" s="13"/>
      <c r="C192" s="13"/>
    </row>
    <row r="193" spans="1:3" ht="13" x14ac:dyDescent="0.15">
      <c r="A193" s="10"/>
      <c r="B193" s="13"/>
      <c r="C193" s="13"/>
    </row>
    <row r="194" spans="1:3" ht="13" x14ac:dyDescent="0.15">
      <c r="A194" s="10"/>
      <c r="B194" s="13"/>
      <c r="C194" s="13"/>
    </row>
    <row r="195" spans="1:3" ht="13" x14ac:dyDescent="0.15">
      <c r="A195" s="10"/>
      <c r="B195" s="13"/>
      <c r="C195" s="13"/>
    </row>
    <row r="196" spans="1:3" ht="13" x14ac:dyDescent="0.15">
      <c r="A196" s="10"/>
      <c r="B196" s="13"/>
      <c r="C196" s="13"/>
    </row>
    <row r="197" spans="1:3" ht="13" x14ac:dyDescent="0.15">
      <c r="A197" s="10"/>
      <c r="B197" s="13"/>
      <c r="C197" s="13"/>
    </row>
    <row r="198" spans="1:3" ht="13" x14ac:dyDescent="0.15">
      <c r="A198" s="10"/>
      <c r="B198" s="13"/>
      <c r="C198" s="13"/>
    </row>
    <row r="199" spans="1:3" ht="13" x14ac:dyDescent="0.15">
      <c r="A199" s="10"/>
      <c r="B199" s="13"/>
      <c r="C199" s="13"/>
    </row>
    <row r="200" spans="1:3" ht="13" x14ac:dyDescent="0.15">
      <c r="A200" s="10"/>
      <c r="B200" s="13"/>
      <c r="C200" s="13"/>
    </row>
    <row r="201" spans="1:3" ht="13" x14ac:dyDescent="0.15">
      <c r="A201" s="10"/>
      <c r="B201" s="13"/>
      <c r="C201" s="13"/>
    </row>
    <row r="202" spans="1:3" ht="13" x14ac:dyDescent="0.15">
      <c r="A202" s="10"/>
      <c r="B202" s="13"/>
      <c r="C202" s="13"/>
    </row>
    <row r="203" spans="1:3" ht="13" x14ac:dyDescent="0.15">
      <c r="A203" s="10"/>
      <c r="B203" s="13"/>
      <c r="C203" s="13"/>
    </row>
    <row r="204" spans="1:3" ht="13" x14ac:dyDescent="0.15">
      <c r="A204" s="10"/>
      <c r="B204" s="13"/>
      <c r="C204" s="13"/>
    </row>
    <row r="205" spans="1:3" ht="13" x14ac:dyDescent="0.15">
      <c r="A205" s="10"/>
      <c r="B205" s="13"/>
      <c r="C205" s="13"/>
    </row>
    <row r="206" spans="1:3" ht="13" x14ac:dyDescent="0.15">
      <c r="A206" s="10"/>
      <c r="B206" s="13"/>
      <c r="C206" s="13"/>
    </row>
    <row r="207" spans="1:3" ht="13" x14ac:dyDescent="0.15">
      <c r="A207" s="10"/>
      <c r="B207" s="13"/>
      <c r="C207" s="13"/>
    </row>
    <row r="208" spans="1:3" ht="13" x14ac:dyDescent="0.15">
      <c r="A208" s="10"/>
      <c r="B208" s="13"/>
      <c r="C208" s="13"/>
    </row>
    <row r="209" spans="1:3" ht="13" x14ac:dyDescent="0.15">
      <c r="A209" s="10"/>
      <c r="B209" s="13"/>
      <c r="C209" s="13"/>
    </row>
    <row r="210" spans="1:3" ht="13" x14ac:dyDescent="0.15">
      <c r="A210" s="10"/>
      <c r="B210" s="13"/>
      <c r="C210" s="13"/>
    </row>
    <row r="211" spans="1:3" ht="13" x14ac:dyDescent="0.15">
      <c r="A211" s="10"/>
      <c r="B211" s="13"/>
      <c r="C211" s="13"/>
    </row>
    <row r="212" spans="1:3" ht="13" x14ac:dyDescent="0.15">
      <c r="A212" s="10"/>
      <c r="B212" s="13"/>
      <c r="C212" s="13"/>
    </row>
    <row r="213" spans="1:3" ht="13" x14ac:dyDescent="0.15">
      <c r="A213" s="10"/>
      <c r="B213" s="13"/>
      <c r="C213" s="13"/>
    </row>
    <row r="214" spans="1:3" ht="13" x14ac:dyDescent="0.15">
      <c r="A214" s="10"/>
      <c r="B214" s="13"/>
      <c r="C214" s="13"/>
    </row>
    <row r="215" spans="1:3" ht="13" x14ac:dyDescent="0.15">
      <c r="A215" s="10"/>
      <c r="B215" s="13"/>
      <c r="C215" s="13"/>
    </row>
    <row r="216" spans="1:3" ht="13" x14ac:dyDescent="0.15">
      <c r="A216" s="10"/>
      <c r="B216" s="13"/>
      <c r="C216" s="13"/>
    </row>
    <row r="217" spans="1:3" ht="13" x14ac:dyDescent="0.15">
      <c r="A217" s="10"/>
      <c r="B217" s="13"/>
      <c r="C217" s="13"/>
    </row>
    <row r="218" spans="1:3" ht="13" x14ac:dyDescent="0.15">
      <c r="A218" s="10"/>
      <c r="B218" s="13"/>
      <c r="C218" s="13"/>
    </row>
    <row r="219" spans="1:3" ht="13" x14ac:dyDescent="0.15">
      <c r="A219" s="10"/>
      <c r="B219" s="13"/>
      <c r="C219" s="13"/>
    </row>
    <row r="220" spans="1:3" ht="13" x14ac:dyDescent="0.15">
      <c r="A220" s="10"/>
      <c r="B220" s="13"/>
      <c r="C220" s="13"/>
    </row>
    <row r="221" spans="1:3" ht="13" x14ac:dyDescent="0.15">
      <c r="A221" s="10"/>
      <c r="B221" s="13"/>
      <c r="C221" s="13"/>
    </row>
    <row r="222" spans="1:3" ht="13" x14ac:dyDescent="0.15">
      <c r="A222" s="10"/>
      <c r="B222" s="13"/>
      <c r="C222" s="13"/>
    </row>
    <row r="223" spans="1:3" ht="13" x14ac:dyDescent="0.15">
      <c r="A223" s="10"/>
      <c r="B223" s="13"/>
      <c r="C223" s="13"/>
    </row>
    <row r="224" spans="1:3" ht="13" x14ac:dyDescent="0.15">
      <c r="A224" s="10"/>
      <c r="B224" s="13"/>
      <c r="C224" s="13"/>
    </row>
    <row r="225" spans="1:3" ht="13" x14ac:dyDescent="0.15">
      <c r="A225" s="10"/>
      <c r="B225" s="13"/>
      <c r="C225" s="13"/>
    </row>
    <row r="226" spans="1:3" ht="13" x14ac:dyDescent="0.15">
      <c r="A226" s="10"/>
      <c r="B226" s="13"/>
      <c r="C226" s="13"/>
    </row>
    <row r="227" spans="1:3" ht="13" x14ac:dyDescent="0.15">
      <c r="A227" s="10"/>
      <c r="B227" s="13"/>
      <c r="C227" s="13"/>
    </row>
    <row r="228" spans="1:3" ht="13" x14ac:dyDescent="0.15">
      <c r="A228" s="10"/>
      <c r="B228" s="13"/>
      <c r="C228" s="13"/>
    </row>
    <row r="229" spans="1:3" ht="13" x14ac:dyDescent="0.15">
      <c r="A229" s="10"/>
      <c r="B229" s="13"/>
      <c r="C229" s="13"/>
    </row>
    <row r="230" spans="1:3" ht="13" x14ac:dyDescent="0.15">
      <c r="A230" s="10"/>
      <c r="B230" s="13"/>
      <c r="C230" s="13"/>
    </row>
    <row r="231" spans="1:3" ht="13" x14ac:dyDescent="0.15">
      <c r="A231" s="10"/>
      <c r="B231" s="13"/>
      <c r="C231" s="13"/>
    </row>
    <row r="232" spans="1:3" ht="13" x14ac:dyDescent="0.15">
      <c r="A232" s="10"/>
      <c r="B232" s="13"/>
      <c r="C232" s="13"/>
    </row>
    <row r="233" spans="1:3" ht="13" x14ac:dyDescent="0.15">
      <c r="A233" s="10"/>
      <c r="B233" s="13"/>
      <c r="C233" s="13"/>
    </row>
    <row r="234" spans="1:3" ht="13" x14ac:dyDescent="0.15">
      <c r="A234" s="10"/>
      <c r="B234" s="13"/>
      <c r="C234" s="13"/>
    </row>
    <row r="235" spans="1:3" ht="13" x14ac:dyDescent="0.15">
      <c r="A235" s="10"/>
      <c r="B235" s="13"/>
      <c r="C235" s="13"/>
    </row>
    <row r="236" spans="1:3" ht="13" x14ac:dyDescent="0.15">
      <c r="A236" s="10"/>
      <c r="B236" s="13"/>
      <c r="C236" s="13"/>
    </row>
    <row r="237" spans="1:3" ht="13" x14ac:dyDescent="0.15">
      <c r="A237" s="10"/>
      <c r="B237" s="13"/>
      <c r="C237" s="13"/>
    </row>
    <row r="238" spans="1:3" ht="13" x14ac:dyDescent="0.15">
      <c r="A238" s="10"/>
      <c r="B238" s="13"/>
      <c r="C238" s="13"/>
    </row>
    <row r="239" spans="1:3" ht="13" x14ac:dyDescent="0.15">
      <c r="A239" s="10"/>
      <c r="B239" s="13"/>
      <c r="C239" s="13"/>
    </row>
    <row r="240" spans="1:3" ht="13" x14ac:dyDescent="0.15">
      <c r="A240" s="10"/>
      <c r="B240" s="13"/>
      <c r="C240" s="13"/>
    </row>
    <row r="241" spans="1:3" ht="13" x14ac:dyDescent="0.15">
      <c r="A241" s="10"/>
      <c r="B241" s="13"/>
      <c r="C241" s="13"/>
    </row>
    <row r="242" spans="1:3" ht="13" x14ac:dyDescent="0.15">
      <c r="A242" s="10"/>
      <c r="B242" s="13"/>
      <c r="C242" s="13"/>
    </row>
    <row r="243" spans="1:3" ht="13" x14ac:dyDescent="0.15">
      <c r="A243" s="10"/>
      <c r="B243" s="13"/>
      <c r="C243" s="13"/>
    </row>
    <row r="244" spans="1:3" ht="13" x14ac:dyDescent="0.15">
      <c r="A244" s="10"/>
      <c r="B244" s="13"/>
      <c r="C244" s="13"/>
    </row>
    <row r="245" spans="1:3" ht="13" x14ac:dyDescent="0.15">
      <c r="A245" s="10"/>
      <c r="B245" s="13"/>
      <c r="C245" s="13"/>
    </row>
    <row r="246" spans="1:3" ht="13" x14ac:dyDescent="0.15">
      <c r="A246" s="10"/>
      <c r="B246" s="13"/>
      <c r="C246" s="13"/>
    </row>
    <row r="247" spans="1:3" ht="13" x14ac:dyDescent="0.15">
      <c r="A247" s="10"/>
      <c r="B247" s="13"/>
      <c r="C247" s="13"/>
    </row>
    <row r="248" spans="1:3" ht="13" x14ac:dyDescent="0.15">
      <c r="A248" s="10"/>
      <c r="B248" s="13"/>
      <c r="C248" s="13"/>
    </row>
    <row r="249" spans="1:3" ht="13" x14ac:dyDescent="0.15">
      <c r="A249" s="10"/>
      <c r="B249" s="13"/>
      <c r="C249" s="13"/>
    </row>
    <row r="250" spans="1:3" ht="13" x14ac:dyDescent="0.15">
      <c r="A250" s="10"/>
      <c r="B250" s="13"/>
      <c r="C250" s="13"/>
    </row>
    <row r="251" spans="1:3" ht="13" x14ac:dyDescent="0.15">
      <c r="A251" s="10"/>
      <c r="B251" s="13"/>
      <c r="C251" s="13"/>
    </row>
    <row r="252" spans="1:3" ht="13" x14ac:dyDescent="0.15">
      <c r="A252" s="10"/>
      <c r="B252" s="13"/>
      <c r="C252" s="13"/>
    </row>
    <row r="253" spans="1:3" ht="13" x14ac:dyDescent="0.15">
      <c r="A253" s="10"/>
      <c r="B253" s="13"/>
      <c r="C253" s="13"/>
    </row>
    <row r="254" spans="1:3" ht="13" x14ac:dyDescent="0.15">
      <c r="A254" s="10"/>
      <c r="B254" s="13"/>
      <c r="C254" s="13"/>
    </row>
    <row r="255" spans="1:3" ht="13" x14ac:dyDescent="0.15">
      <c r="A255" s="10"/>
      <c r="B255" s="13"/>
      <c r="C255" s="13"/>
    </row>
    <row r="256" spans="1:3" ht="13" x14ac:dyDescent="0.15">
      <c r="A256" s="10"/>
      <c r="B256" s="13"/>
      <c r="C256" s="13"/>
    </row>
    <row r="257" spans="1:3" ht="13" x14ac:dyDescent="0.15">
      <c r="A257" s="10"/>
      <c r="B257" s="13"/>
      <c r="C257" s="13"/>
    </row>
    <row r="258" spans="1:3" ht="13" x14ac:dyDescent="0.15">
      <c r="A258" s="10"/>
      <c r="B258" s="13"/>
      <c r="C258" s="13"/>
    </row>
    <row r="259" spans="1:3" ht="13" x14ac:dyDescent="0.15">
      <c r="A259" s="10"/>
      <c r="B259" s="13"/>
      <c r="C259" s="13"/>
    </row>
    <row r="260" spans="1:3" ht="13" x14ac:dyDescent="0.15">
      <c r="A260" s="10"/>
      <c r="B260" s="13"/>
      <c r="C260" s="13"/>
    </row>
    <row r="261" spans="1:3" ht="13" x14ac:dyDescent="0.15">
      <c r="A261" s="10"/>
      <c r="B261" s="13"/>
      <c r="C261" s="13"/>
    </row>
    <row r="262" spans="1:3" ht="13" x14ac:dyDescent="0.15">
      <c r="A262" s="10"/>
      <c r="B262" s="13"/>
      <c r="C262" s="13"/>
    </row>
    <row r="263" spans="1:3" ht="13" x14ac:dyDescent="0.15">
      <c r="A263" s="10"/>
      <c r="B263" s="13"/>
      <c r="C263" s="13"/>
    </row>
    <row r="264" spans="1:3" ht="13" x14ac:dyDescent="0.15">
      <c r="A264" s="10"/>
      <c r="B264" s="13"/>
      <c r="C264" s="13"/>
    </row>
    <row r="265" spans="1:3" ht="13" x14ac:dyDescent="0.15">
      <c r="A265" s="10"/>
      <c r="B265" s="13"/>
      <c r="C265" s="13"/>
    </row>
    <row r="266" spans="1:3" ht="13" x14ac:dyDescent="0.15">
      <c r="A266" s="10"/>
      <c r="B266" s="13"/>
      <c r="C266" s="13"/>
    </row>
    <row r="267" spans="1:3" ht="13" x14ac:dyDescent="0.15">
      <c r="A267" s="10"/>
      <c r="B267" s="13"/>
      <c r="C267" s="13"/>
    </row>
    <row r="268" spans="1:3" ht="13" x14ac:dyDescent="0.15">
      <c r="A268" s="10"/>
      <c r="B268" s="13"/>
      <c r="C268" s="13"/>
    </row>
    <row r="269" spans="1:3" ht="13" x14ac:dyDescent="0.15">
      <c r="A269" s="10"/>
      <c r="B269" s="13"/>
      <c r="C269" s="13"/>
    </row>
    <row r="270" spans="1:3" ht="13" x14ac:dyDescent="0.15">
      <c r="A270" s="10"/>
      <c r="B270" s="13"/>
      <c r="C270" s="13"/>
    </row>
    <row r="271" spans="1:3" ht="13" x14ac:dyDescent="0.15">
      <c r="A271" s="10"/>
      <c r="B271" s="13"/>
      <c r="C271" s="13"/>
    </row>
    <row r="272" spans="1:3" ht="13" x14ac:dyDescent="0.15">
      <c r="A272" s="10"/>
      <c r="B272" s="13"/>
      <c r="C272" s="13"/>
    </row>
    <row r="273" spans="1:3" ht="13" x14ac:dyDescent="0.15">
      <c r="A273" s="10"/>
      <c r="B273" s="13"/>
      <c r="C273" s="13"/>
    </row>
    <row r="274" spans="1:3" ht="13" x14ac:dyDescent="0.15">
      <c r="A274" s="10"/>
      <c r="B274" s="13"/>
      <c r="C274" s="13"/>
    </row>
    <row r="275" spans="1:3" ht="13" x14ac:dyDescent="0.15">
      <c r="A275" s="10"/>
      <c r="B275" s="13"/>
      <c r="C275" s="13"/>
    </row>
    <row r="276" spans="1:3" ht="13" x14ac:dyDescent="0.15">
      <c r="A276" s="10"/>
      <c r="B276" s="13"/>
      <c r="C276" s="13"/>
    </row>
    <row r="277" spans="1:3" ht="13" x14ac:dyDescent="0.15">
      <c r="A277" s="10"/>
      <c r="B277" s="13"/>
      <c r="C277" s="13"/>
    </row>
    <row r="278" spans="1:3" ht="13" x14ac:dyDescent="0.15">
      <c r="A278" s="10"/>
      <c r="B278" s="13"/>
      <c r="C278" s="13"/>
    </row>
    <row r="279" spans="1:3" ht="13" x14ac:dyDescent="0.15">
      <c r="A279" s="10"/>
      <c r="B279" s="13"/>
      <c r="C279" s="13"/>
    </row>
    <row r="280" spans="1:3" ht="13" x14ac:dyDescent="0.15">
      <c r="A280" s="10"/>
      <c r="B280" s="13"/>
      <c r="C280" s="13"/>
    </row>
    <row r="281" spans="1:3" ht="13" x14ac:dyDescent="0.15">
      <c r="A281" s="10"/>
      <c r="B281" s="13"/>
      <c r="C281" s="13"/>
    </row>
    <row r="282" spans="1:3" ht="13" x14ac:dyDescent="0.15">
      <c r="A282" s="10"/>
      <c r="B282" s="13"/>
      <c r="C282" s="13"/>
    </row>
    <row r="283" spans="1:3" ht="13" x14ac:dyDescent="0.15">
      <c r="A283" s="10"/>
      <c r="B283" s="13"/>
      <c r="C283" s="13"/>
    </row>
    <row r="284" spans="1:3" ht="13" x14ac:dyDescent="0.15">
      <c r="A284" s="10"/>
      <c r="B284" s="13"/>
      <c r="C284" s="13"/>
    </row>
    <row r="285" spans="1:3" ht="13" x14ac:dyDescent="0.15">
      <c r="A285" s="10"/>
      <c r="B285" s="13"/>
      <c r="C285" s="13"/>
    </row>
    <row r="286" spans="1:3" ht="13" x14ac:dyDescent="0.15">
      <c r="A286" s="10"/>
      <c r="B286" s="13"/>
      <c r="C286" s="13"/>
    </row>
    <row r="287" spans="1:3" ht="13" x14ac:dyDescent="0.15">
      <c r="A287" s="10"/>
      <c r="B287" s="13"/>
      <c r="C287" s="13"/>
    </row>
    <row r="288" spans="1:3" ht="13" x14ac:dyDescent="0.15">
      <c r="A288" s="10"/>
      <c r="B288" s="13"/>
      <c r="C288" s="13"/>
    </row>
    <row r="289" spans="1:3" ht="13" x14ac:dyDescent="0.15">
      <c r="A289" s="10"/>
      <c r="B289" s="13"/>
      <c r="C289" s="13"/>
    </row>
    <row r="290" spans="1:3" ht="13" x14ac:dyDescent="0.15">
      <c r="A290" s="10"/>
      <c r="B290" s="13"/>
      <c r="C290" s="13"/>
    </row>
    <row r="291" spans="1:3" ht="13" x14ac:dyDescent="0.15">
      <c r="A291" s="10"/>
      <c r="B291" s="13"/>
      <c r="C291" s="13"/>
    </row>
    <row r="292" spans="1:3" ht="13" x14ac:dyDescent="0.15">
      <c r="A292" s="10"/>
      <c r="B292" s="13"/>
      <c r="C292" s="13"/>
    </row>
    <row r="293" spans="1:3" ht="13" x14ac:dyDescent="0.15">
      <c r="A293" s="10"/>
      <c r="B293" s="13"/>
      <c r="C293" s="13"/>
    </row>
    <row r="294" spans="1:3" ht="13" x14ac:dyDescent="0.15">
      <c r="A294" s="10"/>
      <c r="B294" s="13"/>
      <c r="C294" s="13"/>
    </row>
    <row r="295" spans="1:3" ht="13" x14ac:dyDescent="0.15">
      <c r="A295" s="10"/>
      <c r="B295" s="13"/>
      <c r="C295" s="13"/>
    </row>
    <row r="296" spans="1:3" ht="13" x14ac:dyDescent="0.15">
      <c r="A296" s="10"/>
      <c r="B296" s="13"/>
      <c r="C296" s="13"/>
    </row>
    <row r="297" spans="1:3" ht="13" x14ac:dyDescent="0.15">
      <c r="A297" s="10"/>
      <c r="B297" s="13"/>
      <c r="C297" s="13"/>
    </row>
    <row r="298" spans="1:3" ht="13" x14ac:dyDescent="0.15">
      <c r="A298" s="10"/>
      <c r="B298" s="13"/>
      <c r="C298" s="13"/>
    </row>
    <row r="299" spans="1:3" ht="13" x14ac:dyDescent="0.15">
      <c r="A299" s="10"/>
      <c r="B299" s="13"/>
      <c r="C299" s="13"/>
    </row>
    <row r="300" spans="1:3" ht="13" x14ac:dyDescent="0.15">
      <c r="A300" s="10"/>
      <c r="B300" s="13"/>
      <c r="C300" s="13"/>
    </row>
    <row r="301" spans="1:3" ht="13" x14ac:dyDescent="0.15">
      <c r="A301" s="10"/>
      <c r="B301" s="13"/>
      <c r="C301" s="13"/>
    </row>
    <row r="302" spans="1:3" ht="13" x14ac:dyDescent="0.15">
      <c r="A302" s="10"/>
      <c r="B302" s="13"/>
      <c r="C302" s="13"/>
    </row>
    <row r="303" spans="1:3" ht="13" x14ac:dyDescent="0.15">
      <c r="A303" s="10"/>
      <c r="B303" s="13"/>
      <c r="C303" s="13"/>
    </row>
    <row r="304" spans="1:3" ht="13" x14ac:dyDescent="0.15">
      <c r="A304" s="10"/>
      <c r="B304" s="13"/>
      <c r="C304" s="13"/>
    </row>
    <row r="305" spans="1:3" ht="13" x14ac:dyDescent="0.15">
      <c r="A305" s="10"/>
      <c r="B305" s="13"/>
      <c r="C305" s="13"/>
    </row>
    <row r="306" spans="1:3" ht="13" x14ac:dyDescent="0.15">
      <c r="A306" s="10"/>
      <c r="B306" s="13"/>
      <c r="C306" s="13"/>
    </row>
    <row r="307" spans="1:3" ht="13" x14ac:dyDescent="0.15">
      <c r="A307" s="10"/>
      <c r="B307" s="13"/>
      <c r="C307" s="13"/>
    </row>
    <row r="308" spans="1:3" ht="13" x14ac:dyDescent="0.15">
      <c r="A308" s="10"/>
      <c r="B308" s="13"/>
      <c r="C308" s="13"/>
    </row>
    <row r="309" spans="1:3" ht="13" x14ac:dyDescent="0.15">
      <c r="A309" s="10"/>
      <c r="B309" s="13"/>
      <c r="C309" s="13"/>
    </row>
    <row r="310" spans="1:3" ht="13" x14ac:dyDescent="0.15">
      <c r="A310" s="10"/>
      <c r="B310" s="13"/>
      <c r="C310" s="13"/>
    </row>
    <row r="311" spans="1:3" ht="13" x14ac:dyDescent="0.15">
      <c r="A311" s="10"/>
      <c r="B311" s="13"/>
      <c r="C311" s="13"/>
    </row>
    <row r="312" spans="1:3" ht="13" x14ac:dyDescent="0.15">
      <c r="A312" s="10"/>
      <c r="B312" s="13"/>
      <c r="C312" s="13"/>
    </row>
    <row r="313" spans="1:3" ht="13" x14ac:dyDescent="0.15">
      <c r="A313" s="10"/>
      <c r="B313" s="13"/>
      <c r="C313" s="13"/>
    </row>
    <row r="314" spans="1:3" ht="13" x14ac:dyDescent="0.15">
      <c r="A314" s="10"/>
      <c r="B314" s="13"/>
      <c r="C314" s="13"/>
    </row>
    <row r="315" spans="1:3" ht="13" x14ac:dyDescent="0.15">
      <c r="A315" s="10"/>
      <c r="B315" s="13"/>
      <c r="C315" s="13"/>
    </row>
    <row r="316" spans="1:3" ht="13" x14ac:dyDescent="0.15">
      <c r="A316" s="10"/>
      <c r="B316" s="13"/>
      <c r="C316" s="13"/>
    </row>
    <row r="317" spans="1:3" ht="13" x14ac:dyDescent="0.15">
      <c r="A317" s="10"/>
      <c r="B317" s="13"/>
      <c r="C317" s="13"/>
    </row>
    <row r="318" spans="1:3" ht="13" x14ac:dyDescent="0.15">
      <c r="A318" s="10"/>
      <c r="B318" s="13"/>
      <c r="C318" s="13"/>
    </row>
    <row r="319" spans="1:3" ht="13" x14ac:dyDescent="0.15">
      <c r="A319" s="10"/>
      <c r="B319" s="13"/>
      <c r="C319" s="13"/>
    </row>
    <row r="320" spans="1:3" ht="13" x14ac:dyDescent="0.15">
      <c r="A320" s="10"/>
      <c r="B320" s="13"/>
      <c r="C320" s="13"/>
    </row>
    <row r="321" spans="1:3" ht="13" x14ac:dyDescent="0.15">
      <c r="A321" s="10"/>
      <c r="B321" s="13"/>
      <c r="C321" s="13"/>
    </row>
    <row r="322" spans="1:3" ht="13" x14ac:dyDescent="0.15">
      <c r="A322" s="10"/>
      <c r="B322" s="13"/>
      <c r="C322" s="13"/>
    </row>
    <row r="323" spans="1:3" ht="13" x14ac:dyDescent="0.15">
      <c r="A323" s="10"/>
      <c r="B323" s="13"/>
      <c r="C323" s="13"/>
    </row>
    <row r="324" spans="1:3" ht="13" x14ac:dyDescent="0.15">
      <c r="A324" s="10"/>
      <c r="B324" s="13"/>
      <c r="C324" s="13"/>
    </row>
    <row r="325" spans="1:3" ht="13" x14ac:dyDescent="0.15">
      <c r="A325" s="10"/>
      <c r="B325" s="13"/>
      <c r="C325" s="13"/>
    </row>
    <row r="326" spans="1:3" ht="13" x14ac:dyDescent="0.15">
      <c r="A326" s="10"/>
      <c r="B326" s="13"/>
      <c r="C326" s="13"/>
    </row>
    <row r="327" spans="1:3" ht="13" x14ac:dyDescent="0.15">
      <c r="A327" s="10"/>
      <c r="B327" s="13"/>
      <c r="C327" s="13"/>
    </row>
    <row r="328" spans="1:3" ht="13" x14ac:dyDescent="0.15">
      <c r="A328" s="10"/>
      <c r="B328" s="13"/>
      <c r="C328" s="13"/>
    </row>
    <row r="329" spans="1:3" ht="13" x14ac:dyDescent="0.15">
      <c r="A329" s="10"/>
      <c r="B329" s="13"/>
      <c r="C329" s="13"/>
    </row>
    <row r="330" spans="1:3" ht="13" x14ac:dyDescent="0.15">
      <c r="A330" s="10"/>
      <c r="B330" s="13"/>
      <c r="C330" s="13"/>
    </row>
    <row r="331" spans="1:3" ht="13" x14ac:dyDescent="0.15">
      <c r="A331" s="10"/>
      <c r="B331" s="13"/>
      <c r="C331" s="13"/>
    </row>
    <row r="332" spans="1:3" ht="13" x14ac:dyDescent="0.15">
      <c r="A332" s="10"/>
      <c r="B332" s="13"/>
      <c r="C332" s="13"/>
    </row>
    <row r="333" spans="1:3" ht="13" x14ac:dyDescent="0.15">
      <c r="A333" s="10"/>
      <c r="B333" s="13"/>
      <c r="C333" s="13"/>
    </row>
    <row r="334" spans="1:3" ht="13" x14ac:dyDescent="0.15">
      <c r="A334" s="10"/>
      <c r="B334" s="13"/>
      <c r="C334" s="13"/>
    </row>
    <row r="335" spans="1:3" ht="13" x14ac:dyDescent="0.15">
      <c r="A335" s="10"/>
      <c r="B335" s="13"/>
      <c r="C335" s="13"/>
    </row>
    <row r="336" spans="1:3" ht="13" x14ac:dyDescent="0.15">
      <c r="A336" s="10"/>
      <c r="B336" s="13"/>
      <c r="C336" s="13"/>
    </row>
    <row r="337" spans="1:3" ht="13" x14ac:dyDescent="0.15">
      <c r="A337" s="10"/>
      <c r="B337" s="13"/>
      <c r="C337" s="13"/>
    </row>
    <row r="338" spans="1:3" ht="13" x14ac:dyDescent="0.15">
      <c r="A338" s="10"/>
      <c r="B338" s="13"/>
      <c r="C338" s="13"/>
    </row>
    <row r="339" spans="1:3" ht="13" x14ac:dyDescent="0.15">
      <c r="A339" s="10"/>
      <c r="B339" s="13"/>
      <c r="C339" s="13"/>
    </row>
    <row r="340" spans="1:3" ht="13" x14ac:dyDescent="0.15">
      <c r="A340" s="10"/>
      <c r="B340" s="13"/>
      <c r="C340" s="13"/>
    </row>
    <row r="341" spans="1:3" ht="13" x14ac:dyDescent="0.15">
      <c r="A341" s="10"/>
      <c r="B341" s="13"/>
      <c r="C341" s="13"/>
    </row>
    <row r="342" spans="1:3" ht="13" x14ac:dyDescent="0.15">
      <c r="A342" s="10"/>
      <c r="B342" s="13"/>
      <c r="C342" s="13"/>
    </row>
    <row r="343" spans="1:3" ht="13" x14ac:dyDescent="0.15">
      <c r="A343" s="10"/>
      <c r="B343" s="13"/>
      <c r="C343" s="13"/>
    </row>
    <row r="344" spans="1:3" ht="13" x14ac:dyDescent="0.15">
      <c r="A344" s="10"/>
      <c r="B344" s="13"/>
      <c r="C344" s="13"/>
    </row>
    <row r="345" spans="1:3" ht="13" x14ac:dyDescent="0.15">
      <c r="A345" s="10"/>
      <c r="B345" s="13"/>
      <c r="C345" s="13"/>
    </row>
    <row r="346" spans="1:3" ht="13" x14ac:dyDescent="0.15">
      <c r="A346" s="10"/>
      <c r="B346" s="13"/>
      <c r="C346" s="13"/>
    </row>
    <row r="347" spans="1:3" ht="13" x14ac:dyDescent="0.15">
      <c r="A347" s="10"/>
      <c r="B347" s="13"/>
      <c r="C347" s="13"/>
    </row>
    <row r="348" spans="1:3" ht="13" x14ac:dyDescent="0.15">
      <c r="A348" s="10"/>
      <c r="B348" s="13"/>
      <c r="C348" s="13"/>
    </row>
    <row r="349" spans="1:3" ht="13" x14ac:dyDescent="0.15">
      <c r="A349" s="10"/>
      <c r="B349" s="13"/>
      <c r="C349" s="13"/>
    </row>
    <row r="350" spans="1:3" ht="13" x14ac:dyDescent="0.15">
      <c r="A350" s="10"/>
      <c r="B350" s="13"/>
      <c r="C350" s="13"/>
    </row>
    <row r="351" spans="1:3" ht="13" x14ac:dyDescent="0.15">
      <c r="A351" s="10"/>
      <c r="B351" s="13"/>
      <c r="C351" s="13"/>
    </row>
    <row r="352" spans="1:3" ht="13" x14ac:dyDescent="0.15">
      <c r="A352" s="10"/>
      <c r="B352" s="13"/>
      <c r="C352" s="13"/>
    </row>
    <row r="353" spans="1:3" ht="13" x14ac:dyDescent="0.15">
      <c r="A353" s="10"/>
      <c r="B353" s="13"/>
      <c r="C353" s="13"/>
    </row>
    <row r="354" spans="1:3" ht="13" x14ac:dyDescent="0.15">
      <c r="A354" s="10"/>
      <c r="B354" s="13"/>
      <c r="C354" s="13"/>
    </row>
    <row r="355" spans="1:3" ht="13" x14ac:dyDescent="0.15">
      <c r="A355" s="10"/>
      <c r="B355" s="13"/>
      <c r="C355" s="13"/>
    </row>
    <row r="356" spans="1:3" ht="13" x14ac:dyDescent="0.15">
      <c r="A356" s="10"/>
      <c r="B356" s="13"/>
      <c r="C356" s="13"/>
    </row>
    <row r="357" spans="1:3" ht="13" x14ac:dyDescent="0.15">
      <c r="A357" s="10"/>
      <c r="B357" s="13"/>
      <c r="C357" s="13"/>
    </row>
    <row r="358" spans="1:3" ht="13" x14ac:dyDescent="0.15">
      <c r="A358" s="10"/>
      <c r="B358" s="13"/>
      <c r="C358" s="13"/>
    </row>
    <row r="359" spans="1:3" ht="13" x14ac:dyDescent="0.15">
      <c r="A359" s="10"/>
      <c r="B359" s="13"/>
      <c r="C359" s="13"/>
    </row>
    <row r="360" spans="1:3" ht="13" x14ac:dyDescent="0.15">
      <c r="A360" s="10"/>
      <c r="B360" s="13"/>
      <c r="C360" s="13"/>
    </row>
    <row r="361" spans="1:3" ht="13" x14ac:dyDescent="0.15">
      <c r="A361" s="10"/>
      <c r="B361" s="13"/>
      <c r="C361" s="13"/>
    </row>
    <row r="362" spans="1:3" ht="13" x14ac:dyDescent="0.15">
      <c r="A362" s="10"/>
      <c r="B362" s="13"/>
      <c r="C362" s="13"/>
    </row>
    <row r="363" spans="1:3" ht="13" x14ac:dyDescent="0.15">
      <c r="A363" s="10"/>
      <c r="B363" s="13"/>
      <c r="C363" s="13"/>
    </row>
    <row r="364" spans="1:3" ht="13" x14ac:dyDescent="0.15">
      <c r="A364" s="10"/>
      <c r="B364" s="13"/>
      <c r="C364" s="13"/>
    </row>
    <row r="365" spans="1:3" ht="13" x14ac:dyDescent="0.15">
      <c r="A365" s="10"/>
      <c r="B365" s="13"/>
      <c r="C365" s="13"/>
    </row>
    <row r="366" spans="1:3" ht="13" x14ac:dyDescent="0.15">
      <c r="A366" s="10"/>
      <c r="B366" s="13"/>
      <c r="C366" s="13"/>
    </row>
    <row r="367" spans="1:3" ht="13" x14ac:dyDescent="0.15">
      <c r="A367" s="10"/>
      <c r="B367" s="13"/>
      <c r="C367" s="13"/>
    </row>
    <row r="368" spans="1:3" ht="13" x14ac:dyDescent="0.15">
      <c r="A368" s="10"/>
      <c r="B368" s="13"/>
      <c r="C368" s="13"/>
    </row>
    <row r="369" spans="1:3" ht="13" x14ac:dyDescent="0.15">
      <c r="A369" s="10"/>
      <c r="B369" s="13"/>
      <c r="C369" s="13"/>
    </row>
    <row r="370" spans="1:3" ht="13" x14ac:dyDescent="0.15">
      <c r="A370" s="10"/>
      <c r="B370" s="13"/>
      <c r="C370" s="13"/>
    </row>
    <row r="371" spans="1:3" ht="13" x14ac:dyDescent="0.15">
      <c r="A371" s="10"/>
      <c r="B371" s="13"/>
      <c r="C371" s="13"/>
    </row>
    <row r="372" spans="1:3" ht="13" x14ac:dyDescent="0.15">
      <c r="A372" s="10"/>
      <c r="B372" s="13"/>
      <c r="C372" s="13"/>
    </row>
    <row r="373" spans="1:3" ht="13" x14ac:dyDescent="0.15">
      <c r="A373" s="10"/>
      <c r="B373" s="13"/>
      <c r="C373" s="13"/>
    </row>
    <row r="374" spans="1:3" ht="13" x14ac:dyDescent="0.15">
      <c r="A374" s="10"/>
      <c r="B374" s="13"/>
      <c r="C374" s="13"/>
    </row>
    <row r="375" spans="1:3" ht="13" x14ac:dyDescent="0.15">
      <c r="A375" s="10"/>
      <c r="B375" s="13"/>
      <c r="C375" s="13"/>
    </row>
    <row r="376" spans="1:3" ht="13" x14ac:dyDescent="0.15">
      <c r="A376" s="10"/>
      <c r="B376" s="13"/>
      <c r="C376" s="13"/>
    </row>
    <row r="377" spans="1:3" ht="13" x14ac:dyDescent="0.15">
      <c r="A377" s="10"/>
      <c r="B377" s="13"/>
      <c r="C377" s="13"/>
    </row>
    <row r="378" spans="1:3" ht="13" x14ac:dyDescent="0.15">
      <c r="A378" s="10"/>
      <c r="B378" s="13"/>
      <c r="C378" s="13"/>
    </row>
    <row r="379" spans="1:3" ht="13" x14ac:dyDescent="0.15">
      <c r="A379" s="10"/>
      <c r="B379" s="13"/>
      <c r="C379" s="13"/>
    </row>
    <row r="380" spans="1:3" ht="13" x14ac:dyDescent="0.15">
      <c r="A380" s="10"/>
      <c r="B380" s="13"/>
      <c r="C380" s="13"/>
    </row>
    <row r="381" spans="1:3" ht="13" x14ac:dyDescent="0.15">
      <c r="A381" s="10"/>
      <c r="B381" s="13"/>
      <c r="C381" s="13"/>
    </row>
    <row r="382" spans="1:3" ht="13" x14ac:dyDescent="0.15">
      <c r="A382" s="10"/>
      <c r="B382" s="13"/>
      <c r="C382" s="13"/>
    </row>
    <row r="383" spans="1:3" ht="13" x14ac:dyDescent="0.15">
      <c r="A383" s="10"/>
      <c r="B383" s="13"/>
      <c r="C383" s="13"/>
    </row>
    <row r="384" spans="1:3" ht="13" x14ac:dyDescent="0.15">
      <c r="A384" s="10"/>
      <c r="B384" s="13"/>
      <c r="C384" s="13"/>
    </row>
    <row r="385" spans="1:3" ht="13" x14ac:dyDescent="0.15">
      <c r="A385" s="10"/>
      <c r="B385" s="13"/>
      <c r="C385" s="13"/>
    </row>
    <row r="386" spans="1:3" ht="13" x14ac:dyDescent="0.15">
      <c r="A386" s="10"/>
      <c r="B386" s="13"/>
      <c r="C386" s="13"/>
    </row>
    <row r="387" spans="1:3" ht="13" x14ac:dyDescent="0.15">
      <c r="A387" s="10"/>
      <c r="B387" s="13"/>
      <c r="C387" s="13"/>
    </row>
    <row r="388" spans="1:3" ht="13" x14ac:dyDescent="0.15">
      <c r="A388" s="10"/>
      <c r="B388" s="13"/>
      <c r="C388" s="13"/>
    </row>
    <row r="389" spans="1:3" ht="13" x14ac:dyDescent="0.15">
      <c r="A389" s="10"/>
      <c r="B389" s="13"/>
      <c r="C389" s="13"/>
    </row>
    <row r="390" spans="1:3" ht="13" x14ac:dyDescent="0.15">
      <c r="A390" s="10"/>
      <c r="B390" s="13"/>
      <c r="C390" s="13"/>
    </row>
    <row r="391" spans="1:3" ht="13" x14ac:dyDescent="0.15">
      <c r="A391" s="10"/>
      <c r="B391" s="13"/>
      <c r="C391" s="13"/>
    </row>
    <row r="392" spans="1:3" ht="13" x14ac:dyDescent="0.15">
      <c r="A392" s="10"/>
      <c r="B392" s="13"/>
      <c r="C392" s="13"/>
    </row>
    <row r="393" spans="1:3" ht="13" x14ac:dyDescent="0.15">
      <c r="A393" s="10"/>
      <c r="B393" s="13"/>
      <c r="C393" s="13"/>
    </row>
    <row r="394" spans="1:3" ht="13" x14ac:dyDescent="0.15">
      <c r="A394" s="10"/>
      <c r="B394" s="13"/>
      <c r="C394" s="13"/>
    </row>
    <row r="395" spans="1:3" ht="13" x14ac:dyDescent="0.15">
      <c r="A395" s="10"/>
      <c r="B395" s="13"/>
      <c r="C395" s="13"/>
    </row>
    <row r="396" spans="1:3" ht="13" x14ac:dyDescent="0.15">
      <c r="A396" s="10"/>
      <c r="B396" s="13"/>
      <c r="C396" s="13"/>
    </row>
    <row r="397" spans="1:3" ht="13" x14ac:dyDescent="0.15">
      <c r="A397" s="10"/>
      <c r="B397" s="13"/>
      <c r="C397" s="13"/>
    </row>
    <row r="398" spans="1:3" ht="13" x14ac:dyDescent="0.15">
      <c r="A398" s="10"/>
      <c r="B398" s="13"/>
      <c r="C398" s="13"/>
    </row>
    <row r="399" spans="1:3" ht="13" x14ac:dyDescent="0.15">
      <c r="A399" s="10"/>
      <c r="B399" s="13"/>
      <c r="C399" s="13"/>
    </row>
    <row r="400" spans="1:3" ht="13" x14ac:dyDescent="0.15">
      <c r="A400" s="10"/>
      <c r="B400" s="13"/>
      <c r="C400" s="13"/>
    </row>
    <row r="401" spans="1:3" ht="13" x14ac:dyDescent="0.15">
      <c r="A401" s="10"/>
      <c r="B401" s="13"/>
      <c r="C401" s="13"/>
    </row>
    <row r="402" spans="1:3" ht="13" x14ac:dyDescent="0.15">
      <c r="A402" s="10"/>
      <c r="B402" s="13"/>
      <c r="C402" s="13"/>
    </row>
    <row r="403" spans="1:3" ht="13" x14ac:dyDescent="0.15">
      <c r="A403" s="10"/>
      <c r="B403" s="13"/>
      <c r="C403" s="13"/>
    </row>
    <row r="404" spans="1:3" ht="13" x14ac:dyDescent="0.15">
      <c r="A404" s="10"/>
      <c r="B404" s="13"/>
      <c r="C404" s="13"/>
    </row>
    <row r="405" spans="1:3" ht="13" x14ac:dyDescent="0.15">
      <c r="A405" s="10"/>
      <c r="B405" s="13"/>
      <c r="C405" s="13"/>
    </row>
    <row r="406" spans="1:3" ht="13" x14ac:dyDescent="0.15">
      <c r="A406" s="10"/>
      <c r="B406" s="13"/>
      <c r="C406" s="13"/>
    </row>
    <row r="407" spans="1:3" ht="13" x14ac:dyDescent="0.15">
      <c r="A407" s="10"/>
      <c r="B407" s="13"/>
      <c r="C407" s="13"/>
    </row>
    <row r="408" spans="1:3" ht="13" x14ac:dyDescent="0.15">
      <c r="A408" s="10"/>
      <c r="B408" s="13"/>
      <c r="C408" s="13"/>
    </row>
    <row r="409" spans="1:3" ht="13" x14ac:dyDescent="0.15">
      <c r="A409" s="10"/>
      <c r="B409" s="13"/>
      <c r="C409" s="13"/>
    </row>
    <row r="410" spans="1:3" ht="13" x14ac:dyDescent="0.15">
      <c r="A410" s="10"/>
      <c r="B410" s="13"/>
      <c r="C410" s="13"/>
    </row>
    <row r="411" spans="1:3" ht="13" x14ac:dyDescent="0.15">
      <c r="A411" s="10"/>
      <c r="B411" s="13"/>
      <c r="C411" s="13"/>
    </row>
    <row r="412" spans="1:3" ht="13" x14ac:dyDescent="0.15">
      <c r="A412" s="10"/>
      <c r="B412" s="13"/>
      <c r="C412" s="13"/>
    </row>
    <row r="413" spans="1:3" ht="13" x14ac:dyDescent="0.15">
      <c r="A413" s="10"/>
      <c r="B413" s="13"/>
      <c r="C413" s="13"/>
    </row>
    <row r="414" spans="1:3" ht="13" x14ac:dyDescent="0.15">
      <c r="A414" s="10"/>
      <c r="B414" s="13"/>
      <c r="C414" s="13"/>
    </row>
    <row r="415" spans="1:3" ht="13" x14ac:dyDescent="0.15">
      <c r="A415" s="10"/>
      <c r="B415" s="13"/>
      <c r="C415" s="13"/>
    </row>
    <row r="416" spans="1:3" ht="13" x14ac:dyDescent="0.15">
      <c r="A416" s="10"/>
      <c r="B416" s="13"/>
      <c r="C416" s="13"/>
    </row>
    <row r="417" spans="1:3" ht="13" x14ac:dyDescent="0.15">
      <c r="A417" s="10"/>
      <c r="B417" s="13"/>
      <c r="C417" s="13"/>
    </row>
    <row r="418" spans="1:3" ht="13" x14ac:dyDescent="0.15">
      <c r="A418" s="10"/>
      <c r="B418" s="13"/>
      <c r="C418" s="13"/>
    </row>
    <row r="419" spans="1:3" ht="13" x14ac:dyDescent="0.15">
      <c r="A419" s="10"/>
      <c r="B419" s="13"/>
      <c r="C419" s="13"/>
    </row>
    <row r="420" spans="1:3" ht="13" x14ac:dyDescent="0.15">
      <c r="A420" s="10"/>
      <c r="B420" s="13"/>
      <c r="C420" s="13"/>
    </row>
    <row r="421" spans="1:3" ht="13" x14ac:dyDescent="0.15">
      <c r="A421" s="10"/>
      <c r="B421" s="13"/>
      <c r="C421" s="13"/>
    </row>
    <row r="422" spans="1:3" ht="13" x14ac:dyDescent="0.15">
      <c r="A422" s="10"/>
      <c r="B422" s="13"/>
      <c r="C422" s="13"/>
    </row>
    <row r="423" spans="1:3" ht="13" x14ac:dyDescent="0.15">
      <c r="A423" s="10"/>
      <c r="B423" s="13"/>
      <c r="C423" s="13"/>
    </row>
    <row r="424" spans="1:3" ht="13" x14ac:dyDescent="0.15">
      <c r="A424" s="10"/>
      <c r="B424" s="13"/>
      <c r="C424" s="13"/>
    </row>
    <row r="425" spans="1:3" ht="13" x14ac:dyDescent="0.15">
      <c r="A425" s="10"/>
      <c r="B425" s="13"/>
      <c r="C425" s="13"/>
    </row>
    <row r="426" spans="1:3" ht="13" x14ac:dyDescent="0.15">
      <c r="A426" s="10"/>
      <c r="B426" s="13"/>
      <c r="C426" s="13"/>
    </row>
    <row r="427" spans="1:3" ht="13" x14ac:dyDescent="0.15">
      <c r="A427" s="10"/>
      <c r="B427" s="13"/>
      <c r="C427" s="13"/>
    </row>
    <row r="428" spans="1:3" ht="13" x14ac:dyDescent="0.15">
      <c r="A428" s="10"/>
      <c r="B428" s="13"/>
      <c r="C428" s="13"/>
    </row>
    <row r="429" spans="1:3" ht="13" x14ac:dyDescent="0.15">
      <c r="A429" s="10"/>
      <c r="B429" s="13"/>
      <c r="C429" s="13"/>
    </row>
    <row r="430" spans="1:3" ht="13" x14ac:dyDescent="0.15">
      <c r="A430" s="10"/>
      <c r="B430" s="13"/>
      <c r="C430" s="13"/>
    </row>
    <row r="431" spans="1:3" ht="13" x14ac:dyDescent="0.15">
      <c r="A431" s="10"/>
      <c r="B431" s="13"/>
      <c r="C431" s="13"/>
    </row>
    <row r="432" spans="1:3" ht="13" x14ac:dyDescent="0.15">
      <c r="A432" s="10"/>
      <c r="B432" s="13"/>
      <c r="C432" s="13"/>
    </row>
    <row r="433" spans="1:3" ht="13" x14ac:dyDescent="0.15">
      <c r="A433" s="10"/>
      <c r="B433" s="13"/>
      <c r="C433" s="13"/>
    </row>
    <row r="434" spans="1:3" ht="13" x14ac:dyDescent="0.15">
      <c r="A434" s="10"/>
      <c r="B434" s="13"/>
      <c r="C434" s="13"/>
    </row>
    <row r="435" spans="1:3" ht="13" x14ac:dyDescent="0.15">
      <c r="A435" s="10"/>
      <c r="B435" s="13"/>
      <c r="C435" s="13"/>
    </row>
    <row r="436" spans="1:3" ht="13" x14ac:dyDescent="0.15">
      <c r="A436" s="10"/>
      <c r="B436" s="13"/>
      <c r="C436" s="13"/>
    </row>
    <row r="437" spans="1:3" ht="13" x14ac:dyDescent="0.15">
      <c r="A437" s="10"/>
      <c r="B437" s="13"/>
      <c r="C437" s="13"/>
    </row>
    <row r="438" spans="1:3" ht="13" x14ac:dyDescent="0.15">
      <c r="A438" s="10"/>
      <c r="B438" s="13"/>
      <c r="C438" s="13"/>
    </row>
    <row r="439" spans="1:3" ht="13" x14ac:dyDescent="0.15">
      <c r="A439" s="10"/>
      <c r="B439" s="13"/>
      <c r="C439" s="13"/>
    </row>
    <row r="440" spans="1:3" ht="13" x14ac:dyDescent="0.15">
      <c r="A440" s="10"/>
      <c r="B440" s="13"/>
      <c r="C440" s="13"/>
    </row>
    <row r="441" spans="1:3" ht="13" x14ac:dyDescent="0.15">
      <c r="A441" s="10"/>
      <c r="B441" s="13"/>
      <c r="C441" s="13"/>
    </row>
    <row r="442" spans="1:3" ht="13" x14ac:dyDescent="0.15">
      <c r="A442" s="10"/>
      <c r="B442" s="13"/>
      <c r="C442" s="13"/>
    </row>
    <row r="443" spans="1:3" ht="13" x14ac:dyDescent="0.15">
      <c r="A443" s="10"/>
      <c r="B443" s="13"/>
      <c r="C443" s="13"/>
    </row>
    <row r="444" spans="1:3" ht="13" x14ac:dyDescent="0.15">
      <c r="A444" s="10"/>
      <c r="B444" s="13"/>
      <c r="C444" s="13"/>
    </row>
    <row r="445" spans="1:3" ht="13" x14ac:dyDescent="0.15">
      <c r="A445" s="10"/>
      <c r="B445" s="13"/>
      <c r="C445" s="13"/>
    </row>
    <row r="446" spans="1:3" ht="13" x14ac:dyDescent="0.15">
      <c r="A446" s="10"/>
      <c r="B446" s="13"/>
      <c r="C446" s="13"/>
    </row>
    <row r="447" spans="1:3" ht="13" x14ac:dyDescent="0.15">
      <c r="A447" s="10"/>
      <c r="B447" s="13"/>
      <c r="C447" s="13"/>
    </row>
    <row r="448" spans="1:3" ht="13" x14ac:dyDescent="0.15">
      <c r="A448" s="10"/>
      <c r="B448" s="13"/>
      <c r="C448" s="13"/>
    </row>
    <row r="449" spans="1:3" ht="13" x14ac:dyDescent="0.15">
      <c r="A449" s="10"/>
      <c r="B449" s="13"/>
      <c r="C449" s="13"/>
    </row>
    <row r="450" spans="1:3" ht="13" x14ac:dyDescent="0.15">
      <c r="A450" s="10"/>
      <c r="B450" s="13"/>
      <c r="C450" s="13"/>
    </row>
    <row r="451" spans="1:3" ht="13" x14ac:dyDescent="0.15">
      <c r="A451" s="10"/>
      <c r="B451" s="13"/>
      <c r="C451" s="13"/>
    </row>
    <row r="452" spans="1:3" ht="13" x14ac:dyDescent="0.15">
      <c r="A452" s="10"/>
      <c r="B452" s="13"/>
      <c r="C452" s="13"/>
    </row>
    <row r="453" spans="1:3" ht="13" x14ac:dyDescent="0.15">
      <c r="A453" s="10"/>
      <c r="B453" s="13"/>
      <c r="C453" s="13"/>
    </row>
    <row r="454" spans="1:3" ht="13" x14ac:dyDescent="0.15">
      <c r="A454" s="10"/>
      <c r="B454" s="13"/>
      <c r="C454" s="13"/>
    </row>
    <row r="455" spans="1:3" ht="13" x14ac:dyDescent="0.15">
      <c r="A455" s="10"/>
      <c r="B455" s="13"/>
      <c r="C455" s="13"/>
    </row>
    <row r="456" spans="1:3" ht="13" x14ac:dyDescent="0.15">
      <c r="A456" s="10"/>
      <c r="B456" s="13"/>
      <c r="C456" s="13"/>
    </row>
    <row r="457" spans="1:3" ht="13" x14ac:dyDescent="0.15">
      <c r="A457" s="10"/>
      <c r="B457" s="13"/>
      <c r="C457" s="13"/>
    </row>
    <row r="458" spans="1:3" ht="13" x14ac:dyDescent="0.15">
      <c r="A458" s="10"/>
      <c r="B458" s="13"/>
      <c r="C458" s="13"/>
    </row>
    <row r="459" spans="1:3" ht="13" x14ac:dyDescent="0.15">
      <c r="A459" s="10"/>
      <c r="B459" s="13"/>
      <c r="C459" s="13"/>
    </row>
    <row r="460" spans="1:3" ht="13" x14ac:dyDescent="0.15">
      <c r="A460" s="10"/>
      <c r="B460" s="13"/>
      <c r="C460" s="13"/>
    </row>
    <row r="461" spans="1:3" ht="13" x14ac:dyDescent="0.15">
      <c r="A461" s="10"/>
      <c r="B461" s="13"/>
      <c r="C461" s="13"/>
    </row>
    <row r="462" spans="1:3" ht="13" x14ac:dyDescent="0.15">
      <c r="A462" s="10"/>
      <c r="B462" s="13"/>
      <c r="C462" s="13"/>
    </row>
    <row r="463" spans="1:3" ht="13" x14ac:dyDescent="0.15">
      <c r="A463" s="10"/>
      <c r="B463" s="13"/>
      <c r="C463" s="13"/>
    </row>
    <row r="464" spans="1:3" ht="13" x14ac:dyDescent="0.15">
      <c r="A464" s="10"/>
      <c r="B464" s="13"/>
      <c r="C464" s="13"/>
    </row>
    <row r="465" spans="1:3" ht="13" x14ac:dyDescent="0.15">
      <c r="A465" s="10"/>
      <c r="B465" s="13"/>
      <c r="C465" s="13"/>
    </row>
    <row r="466" spans="1:3" ht="13" x14ac:dyDescent="0.15">
      <c r="A466" s="10"/>
      <c r="B466" s="13"/>
      <c r="C466" s="13"/>
    </row>
    <row r="467" spans="1:3" ht="13" x14ac:dyDescent="0.15">
      <c r="A467" s="10"/>
      <c r="B467" s="13"/>
      <c r="C467" s="13"/>
    </row>
    <row r="468" spans="1:3" ht="13" x14ac:dyDescent="0.15">
      <c r="A468" s="10"/>
      <c r="B468" s="13"/>
      <c r="C468" s="13"/>
    </row>
    <row r="469" spans="1:3" ht="13" x14ac:dyDescent="0.15">
      <c r="A469" s="10"/>
      <c r="B469" s="13"/>
      <c r="C469" s="13"/>
    </row>
    <row r="470" spans="1:3" ht="13" x14ac:dyDescent="0.15">
      <c r="A470" s="10"/>
      <c r="B470" s="13"/>
      <c r="C470" s="13"/>
    </row>
    <row r="471" spans="1:3" ht="13" x14ac:dyDescent="0.15">
      <c r="A471" s="10"/>
      <c r="B471" s="13"/>
      <c r="C471" s="13"/>
    </row>
    <row r="472" spans="1:3" ht="13" x14ac:dyDescent="0.15">
      <c r="A472" s="10"/>
      <c r="B472" s="13"/>
      <c r="C472" s="13"/>
    </row>
    <row r="473" spans="1:3" ht="13" x14ac:dyDescent="0.15">
      <c r="A473" s="10"/>
      <c r="B473" s="13"/>
      <c r="C473" s="13"/>
    </row>
    <row r="474" spans="1:3" ht="13" x14ac:dyDescent="0.15">
      <c r="A474" s="10"/>
      <c r="B474" s="13"/>
      <c r="C474" s="13"/>
    </row>
    <row r="475" spans="1:3" ht="13" x14ac:dyDescent="0.15">
      <c r="A475" s="10"/>
      <c r="B475" s="13"/>
      <c r="C475" s="13"/>
    </row>
    <row r="476" spans="1:3" ht="13" x14ac:dyDescent="0.15">
      <c r="A476" s="10"/>
      <c r="B476" s="13"/>
      <c r="C476" s="13"/>
    </row>
    <row r="477" spans="1:3" ht="13" x14ac:dyDescent="0.15">
      <c r="A477" s="10"/>
      <c r="B477" s="13"/>
      <c r="C477" s="13"/>
    </row>
    <row r="478" spans="1:3" ht="13" x14ac:dyDescent="0.15">
      <c r="A478" s="10"/>
      <c r="B478" s="13"/>
      <c r="C478" s="13"/>
    </row>
    <row r="479" spans="1:3" ht="13" x14ac:dyDescent="0.15">
      <c r="A479" s="10"/>
      <c r="B479" s="13"/>
      <c r="C479" s="13"/>
    </row>
    <row r="480" spans="1:3" ht="13" x14ac:dyDescent="0.15">
      <c r="A480" s="10"/>
      <c r="B480" s="13"/>
      <c r="C480" s="13"/>
    </row>
    <row r="481" spans="1:3" ht="13" x14ac:dyDescent="0.15">
      <c r="A481" s="10"/>
      <c r="B481" s="13"/>
      <c r="C481" s="13"/>
    </row>
    <row r="482" spans="1:3" ht="13" x14ac:dyDescent="0.15">
      <c r="A482" s="10"/>
      <c r="B482" s="13"/>
      <c r="C482" s="13"/>
    </row>
    <row r="483" spans="1:3" ht="13" x14ac:dyDescent="0.15">
      <c r="A483" s="10"/>
      <c r="B483" s="13"/>
      <c r="C483" s="13"/>
    </row>
    <row r="484" spans="1:3" ht="13" x14ac:dyDescent="0.15">
      <c r="A484" s="10"/>
      <c r="B484" s="13"/>
      <c r="C484" s="13"/>
    </row>
    <row r="485" spans="1:3" ht="13" x14ac:dyDescent="0.15">
      <c r="A485" s="10"/>
      <c r="B485" s="13"/>
      <c r="C485" s="13"/>
    </row>
    <row r="486" spans="1:3" ht="13" x14ac:dyDescent="0.15">
      <c r="A486" s="10"/>
      <c r="B486" s="13"/>
      <c r="C486" s="13"/>
    </row>
    <row r="487" spans="1:3" ht="13" x14ac:dyDescent="0.15">
      <c r="A487" s="10"/>
      <c r="B487" s="13"/>
      <c r="C487" s="13"/>
    </row>
    <row r="488" spans="1:3" ht="13" x14ac:dyDescent="0.15">
      <c r="A488" s="10"/>
      <c r="B488" s="13"/>
      <c r="C488" s="13"/>
    </row>
    <row r="489" spans="1:3" ht="13" x14ac:dyDescent="0.15">
      <c r="A489" s="10"/>
      <c r="B489" s="13"/>
      <c r="C489" s="13"/>
    </row>
    <row r="490" spans="1:3" ht="13" x14ac:dyDescent="0.15">
      <c r="A490" s="10"/>
      <c r="B490" s="13"/>
      <c r="C490" s="13"/>
    </row>
    <row r="491" spans="1:3" ht="13" x14ac:dyDescent="0.15">
      <c r="A491" s="10"/>
      <c r="B491" s="13"/>
      <c r="C491" s="13"/>
    </row>
    <row r="492" spans="1:3" ht="13" x14ac:dyDescent="0.15">
      <c r="A492" s="10"/>
      <c r="B492" s="13"/>
      <c r="C492" s="13"/>
    </row>
    <row r="493" spans="1:3" ht="13" x14ac:dyDescent="0.15">
      <c r="A493" s="10"/>
      <c r="B493" s="13"/>
      <c r="C493" s="13"/>
    </row>
    <row r="494" spans="1:3" ht="13" x14ac:dyDescent="0.15">
      <c r="A494" s="10"/>
      <c r="B494" s="13"/>
      <c r="C494" s="13"/>
    </row>
    <row r="495" spans="1:3" ht="13" x14ac:dyDescent="0.15">
      <c r="A495" s="10"/>
      <c r="B495" s="13"/>
      <c r="C495" s="13"/>
    </row>
    <row r="496" spans="1:3" ht="13" x14ac:dyDescent="0.15">
      <c r="A496" s="10"/>
      <c r="B496" s="13"/>
      <c r="C496" s="13"/>
    </row>
    <row r="497" spans="1:3" ht="13" x14ac:dyDescent="0.15">
      <c r="A497" s="10"/>
      <c r="B497" s="13"/>
      <c r="C497" s="13"/>
    </row>
    <row r="498" spans="1:3" ht="13" x14ac:dyDescent="0.15">
      <c r="A498" s="10"/>
      <c r="B498" s="13"/>
      <c r="C498" s="13"/>
    </row>
    <row r="499" spans="1:3" ht="13" x14ac:dyDescent="0.15">
      <c r="A499" s="10"/>
      <c r="B499" s="13"/>
      <c r="C499" s="13"/>
    </row>
    <row r="500" spans="1:3" ht="13" x14ac:dyDescent="0.15">
      <c r="A500" s="10"/>
      <c r="B500" s="13"/>
      <c r="C500" s="13"/>
    </row>
    <row r="501" spans="1:3" ht="13" x14ac:dyDescent="0.15">
      <c r="A501" s="10"/>
      <c r="B501" s="13"/>
      <c r="C501" s="13"/>
    </row>
    <row r="502" spans="1:3" ht="13" x14ac:dyDescent="0.15">
      <c r="A502" s="10"/>
      <c r="B502" s="13"/>
      <c r="C502" s="13"/>
    </row>
    <row r="503" spans="1:3" ht="13" x14ac:dyDescent="0.15">
      <c r="A503" s="10"/>
      <c r="B503" s="13"/>
      <c r="C503" s="13"/>
    </row>
    <row r="504" spans="1:3" ht="13" x14ac:dyDescent="0.15">
      <c r="A504" s="10"/>
      <c r="B504" s="13"/>
      <c r="C504" s="13"/>
    </row>
    <row r="505" spans="1:3" ht="13" x14ac:dyDescent="0.15">
      <c r="A505" s="10"/>
      <c r="B505" s="13"/>
      <c r="C505" s="13"/>
    </row>
    <row r="506" spans="1:3" ht="13" x14ac:dyDescent="0.15">
      <c r="A506" s="10"/>
      <c r="B506" s="13"/>
      <c r="C506" s="13"/>
    </row>
    <row r="507" spans="1:3" ht="13" x14ac:dyDescent="0.15">
      <c r="A507" s="10"/>
      <c r="B507" s="13"/>
      <c r="C507" s="13"/>
    </row>
    <row r="508" spans="1:3" ht="13" x14ac:dyDescent="0.15">
      <c r="A508" s="10"/>
      <c r="B508" s="13"/>
      <c r="C508" s="13"/>
    </row>
    <row r="509" spans="1:3" ht="13" x14ac:dyDescent="0.15">
      <c r="A509" s="10"/>
      <c r="B509" s="13"/>
      <c r="C509" s="13"/>
    </row>
    <row r="510" spans="1:3" ht="13" x14ac:dyDescent="0.15">
      <c r="A510" s="10"/>
      <c r="B510" s="13"/>
      <c r="C510" s="13"/>
    </row>
    <row r="511" spans="1:3" ht="13" x14ac:dyDescent="0.15">
      <c r="A511" s="10"/>
      <c r="B511" s="13"/>
      <c r="C511" s="13"/>
    </row>
    <row r="512" spans="1:3" ht="13" x14ac:dyDescent="0.15">
      <c r="A512" s="10"/>
      <c r="B512" s="13"/>
      <c r="C512" s="13"/>
    </row>
    <row r="513" spans="1:3" ht="13" x14ac:dyDescent="0.15">
      <c r="A513" s="10"/>
      <c r="B513" s="13"/>
      <c r="C513" s="13"/>
    </row>
    <row r="514" spans="1:3" ht="13" x14ac:dyDescent="0.15">
      <c r="A514" s="10"/>
      <c r="B514" s="13"/>
      <c r="C514" s="13"/>
    </row>
    <row r="515" spans="1:3" ht="13" x14ac:dyDescent="0.15">
      <c r="A515" s="10"/>
      <c r="B515" s="13"/>
      <c r="C515" s="13"/>
    </row>
    <row r="516" spans="1:3" ht="13" x14ac:dyDescent="0.15">
      <c r="A516" s="10"/>
      <c r="B516" s="13"/>
      <c r="C516" s="13"/>
    </row>
    <row r="517" spans="1:3" ht="13" x14ac:dyDescent="0.15">
      <c r="A517" s="10"/>
      <c r="B517" s="13"/>
      <c r="C517" s="13"/>
    </row>
    <row r="518" spans="1:3" ht="13" x14ac:dyDescent="0.15">
      <c r="A518" s="10"/>
      <c r="B518" s="13"/>
      <c r="C518" s="13"/>
    </row>
    <row r="519" spans="1:3" ht="13" x14ac:dyDescent="0.15">
      <c r="A519" s="10"/>
      <c r="B519" s="13"/>
      <c r="C519" s="13"/>
    </row>
    <row r="520" spans="1:3" ht="13" x14ac:dyDescent="0.15">
      <c r="A520" s="10"/>
      <c r="B520" s="13"/>
      <c r="C520" s="13"/>
    </row>
    <row r="521" spans="1:3" ht="13" x14ac:dyDescent="0.15">
      <c r="A521" s="10"/>
      <c r="B521" s="13"/>
      <c r="C521" s="13"/>
    </row>
    <row r="522" spans="1:3" ht="13" x14ac:dyDescent="0.15">
      <c r="A522" s="10"/>
      <c r="B522" s="13"/>
      <c r="C522" s="13"/>
    </row>
    <row r="523" spans="1:3" ht="13" x14ac:dyDescent="0.15">
      <c r="A523" s="10"/>
      <c r="B523" s="13"/>
      <c r="C523" s="13"/>
    </row>
    <row r="524" spans="1:3" ht="13" x14ac:dyDescent="0.15">
      <c r="A524" s="10"/>
      <c r="B524" s="13"/>
      <c r="C524" s="13"/>
    </row>
    <row r="525" spans="1:3" ht="13" x14ac:dyDescent="0.15">
      <c r="A525" s="10"/>
      <c r="B525" s="13"/>
      <c r="C525" s="13"/>
    </row>
    <row r="526" spans="1:3" ht="13" x14ac:dyDescent="0.15">
      <c r="A526" s="10"/>
      <c r="B526" s="13"/>
      <c r="C526" s="13"/>
    </row>
    <row r="527" spans="1:3" ht="13" x14ac:dyDescent="0.15">
      <c r="A527" s="10"/>
      <c r="B527" s="13"/>
      <c r="C527" s="13"/>
    </row>
    <row r="528" spans="1:3" ht="13" x14ac:dyDescent="0.15">
      <c r="A528" s="10"/>
      <c r="B528" s="13"/>
      <c r="C528" s="13"/>
    </row>
    <row r="529" spans="1:3" ht="13" x14ac:dyDescent="0.15">
      <c r="A529" s="10"/>
      <c r="B529" s="13"/>
      <c r="C529" s="13"/>
    </row>
    <row r="530" spans="1:3" ht="13" x14ac:dyDescent="0.15">
      <c r="A530" s="10"/>
      <c r="B530" s="13"/>
      <c r="C530" s="13"/>
    </row>
    <row r="531" spans="1:3" ht="13" x14ac:dyDescent="0.15">
      <c r="A531" s="10"/>
      <c r="B531" s="13"/>
      <c r="C531" s="13"/>
    </row>
    <row r="532" spans="1:3" ht="13" x14ac:dyDescent="0.15">
      <c r="A532" s="10"/>
      <c r="B532" s="13"/>
      <c r="C532" s="13"/>
    </row>
    <row r="533" spans="1:3" ht="13" x14ac:dyDescent="0.15">
      <c r="A533" s="10"/>
      <c r="B533" s="13"/>
      <c r="C533" s="13"/>
    </row>
    <row r="534" spans="1:3" ht="13" x14ac:dyDescent="0.15">
      <c r="A534" s="10"/>
      <c r="B534" s="13"/>
      <c r="C534" s="13"/>
    </row>
    <row r="535" spans="1:3" ht="13" x14ac:dyDescent="0.15">
      <c r="A535" s="10"/>
      <c r="B535" s="13"/>
      <c r="C535" s="13"/>
    </row>
    <row r="536" spans="1:3" ht="13" x14ac:dyDescent="0.15">
      <c r="A536" s="10"/>
      <c r="B536" s="13"/>
      <c r="C536" s="13"/>
    </row>
    <row r="537" spans="1:3" ht="13" x14ac:dyDescent="0.15">
      <c r="A537" s="10"/>
      <c r="B537" s="13"/>
      <c r="C537" s="13"/>
    </row>
    <row r="538" spans="1:3" ht="13" x14ac:dyDescent="0.15">
      <c r="A538" s="10"/>
      <c r="B538" s="13"/>
      <c r="C538" s="13"/>
    </row>
    <row r="539" spans="1:3" ht="13" x14ac:dyDescent="0.15">
      <c r="A539" s="10"/>
      <c r="B539" s="13"/>
      <c r="C539" s="13"/>
    </row>
    <row r="540" spans="1:3" ht="13" x14ac:dyDescent="0.15">
      <c r="A540" s="10"/>
      <c r="B540" s="13"/>
      <c r="C540" s="13"/>
    </row>
    <row r="541" spans="1:3" ht="13" x14ac:dyDescent="0.15">
      <c r="A541" s="10"/>
      <c r="B541" s="13"/>
      <c r="C541" s="13"/>
    </row>
    <row r="542" spans="1:3" ht="13" x14ac:dyDescent="0.15">
      <c r="A542" s="10"/>
      <c r="B542" s="13"/>
      <c r="C542" s="13"/>
    </row>
    <row r="543" spans="1:3" ht="13" x14ac:dyDescent="0.15">
      <c r="A543" s="10"/>
      <c r="B543" s="13"/>
      <c r="C543" s="13"/>
    </row>
    <row r="544" spans="1:3" ht="13" x14ac:dyDescent="0.15">
      <c r="A544" s="10"/>
      <c r="B544" s="13"/>
      <c r="C544" s="13"/>
    </row>
    <row r="545" spans="1:3" ht="13" x14ac:dyDescent="0.15">
      <c r="A545" s="10"/>
      <c r="B545" s="13"/>
      <c r="C545" s="13"/>
    </row>
    <row r="546" spans="1:3" ht="13" x14ac:dyDescent="0.15">
      <c r="A546" s="10"/>
      <c r="B546" s="13"/>
      <c r="C546" s="13"/>
    </row>
    <row r="547" spans="1:3" ht="13" x14ac:dyDescent="0.15">
      <c r="A547" s="10"/>
      <c r="B547" s="13"/>
      <c r="C547" s="13"/>
    </row>
    <row r="548" spans="1:3" ht="13" x14ac:dyDescent="0.15">
      <c r="A548" s="10"/>
      <c r="B548" s="13"/>
      <c r="C548" s="13"/>
    </row>
    <row r="549" spans="1:3" ht="13" x14ac:dyDescent="0.15">
      <c r="A549" s="10"/>
      <c r="B549" s="13"/>
      <c r="C549" s="13"/>
    </row>
    <row r="550" spans="1:3" ht="13" x14ac:dyDescent="0.15">
      <c r="A550" s="10"/>
      <c r="B550" s="13"/>
      <c r="C550" s="13"/>
    </row>
    <row r="551" spans="1:3" ht="13" x14ac:dyDescent="0.15">
      <c r="A551" s="10"/>
      <c r="B551" s="13"/>
      <c r="C551" s="13"/>
    </row>
    <row r="552" spans="1:3" ht="13" x14ac:dyDescent="0.15">
      <c r="A552" s="10"/>
      <c r="B552" s="13"/>
      <c r="C552" s="13"/>
    </row>
    <row r="553" spans="1:3" ht="13" x14ac:dyDescent="0.15">
      <c r="A553" s="10"/>
      <c r="B553" s="13"/>
      <c r="C553" s="13"/>
    </row>
    <row r="554" spans="1:3" ht="13" x14ac:dyDescent="0.15">
      <c r="A554" s="10"/>
      <c r="B554" s="13"/>
      <c r="C554" s="13"/>
    </row>
    <row r="555" spans="1:3" ht="13" x14ac:dyDescent="0.15">
      <c r="A555" s="10"/>
      <c r="B555" s="13"/>
      <c r="C555" s="13"/>
    </row>
    <row r="556" spans="1:3" ht="13" x14ac:dyDescent="0.15">
      <c r="A556" s="10"/>
      <c r="B556" s="13"/>
      <c r="C556" s="13"/>
    </row>
    <row r="557" spans="1:3" ht="13" x14ac:dyDescent="0.15">
      <c r="A557" s="10"/>
      <c r="B557" s="13"/>
      <c r="C557" s="13"/>
    </row>
    <row r="558" spans="1:3" ht="13" x14ac:dyDescent="0.15">
      <c r="A558" s="10"/>
      <c r="B558" s="13"/>
      <c r="C558" s="13"/>
    </row>
    <row r="559" spans="1:3" ht="13" x14ac:dyDescent="0.15">
      <c r="A559" s="10"/>
      <c r="B559" s="13"/>
      <c r="C559" s="13"/>
    </row>
    <row r="560" spans="1:3" ht="13" x14ac:dyDescent="0.15">
      <c r="A560" s="10"/>
      <c r="B560" s="13"/>
      <c r="C560" s="13"/>
    </row>
    <row r="561" spans="1:3" ht="13" x14ac:dyDescent="0.15">
      <c r="A561" s="10"/>
      <c r="B561" s="13"/>
      <c r="C561" s="13"/>
    </row>
    <row r="562" spans="1:3" ht="13" x14ac:dyDescent="0.15">
      <c r="A562" s="10"/>
      <c r="B562" s="13"/>
      <c r="C562" s="13"/>
    </row>
    <row r="563" spans="1:3" ht="13" x14ac:dyDescent="0.15">
      <c r="A563" s="10"/>
      <c r="B563" s="13"/>
      <c r="C563" s="13"/>
    </row>
    <row r="564" spans="1:3" ht="13" x14ac:dyDescent="0.15">
      <c r="A564" s="10"/>
      <c r="B564" s="13"/>
      <c r="C564" s="13"/>
    </row>
    <row r="565" spans="1:3" ht="13" x14ac:dyDescent="0.15">
      <c r="A565" s="10"/>
      <c r="B565" s="13"/>
      <c r="C565" s="13"/>
    </row>
    <row r="566" spans="1:3" ht="13" x14ac:dyDescent="0.15">
      <c r="A566" s="10"/>
      <c r="B566" s="13"/>
      <c r="C566" s="13"/>
    </row>
    <row r="567" spans="1:3" ht="13" x14ac:dyDescent="0.15">
      <c r="A567" s="10"/>
      <c r="B567" s="13"/>
      <c r="C567" s="13"/>
    </row>
    <row r="568" spans="1:3" ht="13" x14ac:dyDescent="0.15">
      <c r="A568" s="10"/>
      <c r="B568" s="13"/>
      <c r="C568" s="13"/>
    </row>
    <row r="569" spans="1:3" ht="13" x14ac:dyDescent="0.15">
      <c r="A569" s="10"/>
      <c r="B569" s="13"/>
      <c r="C569" s="13"/>
    </row>
    <row r="570" spans="1:3" ht="13" x14ac:dyDescent="0.15">
      <c r="A570" s="10"/>
      <c r="B570" s="13"/>
      <c r="C570" s="13"/>
    </row>
    <row r="571" spans="1:3" ht="13" x14ac:dyDescent="0.15">
      <c r="A571" s="10"/>
      <c r="B571" s="13"/>
      <c r="C571" s="13"/>
    </row>
    <row r="572" spans="1:3" ht="13" x14ac:dyDescent="0.15">
      <c r="A572" s="10"/>
      <c r="B572" s="13"/>
      <c r="C572" s="13"/>
    </row>
    <row r="573" spans="1:3" ht="13" x14ac:dyDescent="0.15">
      <c r="A573" s="10"/>
      <c r="B573" s="13"/>
      <c r="C573" s="13"/>
    </row>
    <row r="574" spans="1:3" ht="13" x14ac:dyDescent="0.15">
      <c r="A574" s="10"/>
      <c r="B574" s="13"/>
      <c r="C574" s="13"/>
    </row>
    <row r="575" spans="1:3" ht="13" x14ac:dyDescent="0.15">
      <c r="A575" s="10"/>
      <c r="B575" s="13"/>
      <c r="C575" s="13"/>
    </row>
    <row r="576" spans="1:3" ht="13" x14ac:dyDescent="0.15">
      <c r="A576" s="10"/>
      <c r="B576" s="13"/>
      <c r="C576" s="13"/>
    </row>
    <row r="577" spans="1:3" ht="13" x14ac:dyDescent="0.15">
      <c r="A577" s="10"/>
      <c r="B577" s="13"/>
      <c r="C577" s="13"/>
    </row>
    <row r="578" spans="1:3" ht="13" x14ac:dyDescent="0.15">
      <c r="A578" s="10"/>
      <c r="B578" s="13"/>
      <c r="C578" s="13"/>
    </row>
    <row r="579" spans="1:3" ht="13" x14ac:dyDescent="0.15">
      <c r="A579" s="10"/>
      <c r="B579" s="13"/>
      <c r="C579" s="13"/>
    </row>
    <row r="580" spans="1:3" ht="13" x14ac:dyDescent="0.15">
      <c r="A580" s="10"/>
      <c r="B580" s="13"/>
      <c r="C580" s="13"/>
    </row>
    <row r="581" spans="1:3" ht="13" x14ac:dyDescent="0.15">
      <c r="A581" s="10"/>
      <c r="B581" s="13"/>
      <c r="C581" s="13"/>
    </row>
    <row r="582" spans="1:3" ht="13" x14ac:dyDescent="0.15">
      <c r="A582" s="10"/>
      <c r="B582" s="13"/>
      <c r="C582" s="13"/>
    </row>
    <row r="583" spans="1:3" ht="13" x14ac:dyDescent="0.15">
      <c r="A583" s="10"/>
      <c r="B583" s="13"/>
      <c r="C583" s="13"/>
    </row>
    <row r="584" spans="1:3" ht="13" x14ac:dyDescent="0.15">
      <c r="A584" s="10"/>
      <c r="B584" s="13"/>
      <c r="C584" s="13"/>
    </row>
    <row r="585" spans="1:3" ht="13" x14ac:dyDescent="0.15">
      <c r="A585" s="10"/>
      <c r="B585" s="13"/>
      <c r="C585" s="13"/>
    </row>
    <row r="586" spans="1:3" ht="13" x14ac:dyDescent="0.15">
      <c r="A586" s="10"/>
      <c r="B586" s="13"/>
      <c r="C586" s="13"/>
    </row>
    <row r="587" spans="1:3" ht="13" x14ac:dyDescent="0.15">
      <c r="A587" s="10"/>
      <c r="B587" s="13"/>
      <c r="C587" s="13"/>
    </row>
    <row r="588" spans="1:3" ht="13" x14ac:dyDescent="0.15">
      <c r="A588" s="10"/>
      <c r="B588" s="13"/>
      <c r="C588" s="13"/>
    </row>
    <row r="589" spans="1:3" ht="13" x14ac:dyDescent="0.15">
      <c r="A589" s="10"/>
      <c r="B589" s="13"/>
      <c r="C589" s="13"/>
    </row>
    <row r="590" spans="1:3" ht="13" x14ac:dyDescent="0.15">
      <c r="A590" s="10"/>
      <c r="B590" s="13"/>
      <c r="C590" s="13"/>
    </row>
    <row r="591" spans="1:3" ht="13" x14ac:dyDescent="0.15">
      <c r="A591" s="10"/>
      <c r="B591" s="13"/>
      <c r="C591" s="13"/>
    </row>
    <row r="592" spans="1:3" ht="13" x14ac:dyDescent="0.15">
      <c r="A592" s="10"/>
      <c r="B592" s="13"/>
      <c r="C592" s="13"/>
    </row>
    <row r="593" spans="1:3" ht="13" x14ac:dyDescent="0.15">
      <c r="A593" s="10"/>
      <c r="B593" s="13"/>
      <c r="C593" s="13"/>
    </row>
    <row r="594" spans="1:3" ht="13" x14ac:dyDescent="0.15">
      <c r="A594" s="10"/>
      <c r="B594" s="13"/>
      <c r="C594" s="13"/>
    </row>
    <row r="595" spans="1:3" ht="13" x14ac:dyDescent="0.15">
      <c r="A595" s="10"/>
      <c r="B595" s="13"/>
      <c r="C595" s="13"/>
    </row>
    <row r="596" spans="1:3" ht="13" x14ac:dyDescent="0.15">
      <c r="A596" s="10"/>
      <c r="B596" s="13"/>
      <c r="C596" s="13"/>
    </row>
    <row r="597" spans="1:3" ht="13" x14ac:dyDescent="0.15">
      <c r="A597" s="10"/>
      <c r="B597" s="13"/>
      <c r="C597" s="13"/>
    </row>
    <row r="598" spans="1:3" ht="13" x14ac:dyDescent="0.15">
      <c r="A598" s="10"/>
      <c r="B598" s="13"/>
      <c r="C598" s="13"/>
    </row>
    <row r="599" spans="1:3" ht="13" x14ac:dyDescent="0.15">
      <c r="A599" s="10"/>
      <c r="B599" s="13"/>
      <c r="C599" s="13"/>
    </row>
    <row r="600" spans="1:3" ht="13" x14ac:dyDescent="0.15">
      <c r="A600" s="10"/>
      <c r="B600" s="13"/>
      <c r="C600" s="13"/>
    </row>
    <row r="601" spans="1:3" ht="13" x14ac:dyDescent="0.15">
      <c r="A601" s="10"/>
      <c r="B601" s="13"/>
      <c r="C601" s="13"/>
    </row>
    <row r="602" spans="1:3" ht="13" x14ac:dyDescent="0.15">
      <c r="A602" s="10"/>
      <c r="B602" s="13"/>
      <c r="C602" s="13"/>
    </row>
    <row r="603" spans="1:3" ht="13" x14ac:dyDescent="0.15">
      <c r="A603" s="10"/>
      <c r="B603" s="13"/>
      <c r="C603" s="13"/>
    </row>
    <row r="604" spans="1:3" ht="13" x14ac:dyDescent="0.15">
      <c r="A604" s="10"/>
      <c r="B604" s="13"/>
      <c r="C604" s="13"/>
    </row>
    <row r="605" spans="1:3" ht="13" x14ac:dyDescent="0.15">
      <c r="A605" s="10"/>
      <c r="B605" s="13"/>
      <c r="C605" s="13"/>
    </row>
    <row r="606" spans="1:3" ht="13" x14ac:dyDescent="0.15">
      <c r="A606" s="10"/>
      <c r="B606" s="13"/>
      <c r="C606" s="13"/>
    </row>
    <row r="607" spans="1:3" ht="13" x14ac:dyDescent="0.15">
      <c r="A607" s="10"/>
      <c r="B607" s="13"/>
      <c r="C607" s="13"/>
    </row>
    <row r="608" spans="1:3" ht="13" x14ac:dyDescent="0.15">
      <c r="A608" s="10"/>
      <c r="B608" s="13"/>
      <c r="C608" s="13"/>
    </row>
    <row r="609" spans="1:3" ht="13" x14ac:dyDescent="0.15">
      <c r="A609" s="10"/>
      <c r="B609" s="13"/>
      <c r="C609" s="13"/>
    </row>
    <row r="610" spans="1:3" ht="13" x14ac:dyDescent="0.15">
      <c r="A610" s="10"/>
      <c r="B610" s="13"/>
      <c r="C610" s="13"/>
    </row>
    <row r="611" spans="1:3" ht="13" x14ac:dyDescent="0.15">
      <c r="A611" s="10"/>
      <c r="B611" s="13"/>
      <c r="C611" s="13"/>
    </row>
    <row r="612" spans="1:3" ht="13" x14ac:dyDescent="0.15">
      <c r="A612" s="10"/>
      <c r="B612" s="13"/>
      <c r="C612" s="13"/>
    </row>
    <row r="613" spans="1:3" ht="13" x14ac:dyDescent="0.15">
      <c r="A613" s="10"/>
      <c r="B613" s="13"/>
      <c r="C613" s="13"/>
    </row>
    <row r="614" spans="1:3" ht="13" x14ac:dyDescent="0.15">
      <c r="A614" s="10"/>
      <c r="B614" s="13"/>
      <c r="C614" s="13"/>
    </row>
    <row r="615" spans="1:3" ht="13" x14ac:dyDescent="0.15">
      <c r="A615" s="10"/>
      <c r="B615" s="13"/>
      <c r="C615" s="13"/>
    </row>
    <row r="616" spans="1:3" ht="13" x14ac:dyDescent="0.15">
      <c r="A616" s="10"/>
      <c r="B616" s="13"/>
      <c r="C616" s="13"/>
    </row>
    <row r="617" spans="1:3" ht="13" x14ac:dyDescent="0.15">
      <c r="A617" s="10"/>
      <c r="B617" s="13"/>
      <c r="C617" s="13"/>
    </row>
    <row r="618" spans="1:3" ht="13" x14ac:dyDescent="0.15">
      <c r="A618" s="10"/>
      <c r="B618" s="13"/>
      <c r="C618" s="13"/>
    </row>
    <row r="619" spans="1:3" ht="13" x14ac:dyDescent="0.15">
      <c r="A619" s="10"/>
      <c r="B619" s="13"/>
      <c r="C619" s="13"/>
    </row>
    <row r="620" spans="1:3" ht="13" x14ac:dyDescent="0.15">
      <c r="A620" s="10"/>
      <c r="B620" s="13"/>
      <c r="C620" s="13"/>
    </row>
    <row r="621" spans="1:3" ht="13" x14ac:dyDescent="0.15">
      <c r="A621" s="10"/>
      <c r="B621" s="13"/>
      <c r="C621" s="13"/>
    </row>
    <row r="622" spans="1:3" ht="13" x14ac:dyDescent="0.15">
      <c r="A622" s="10"/>
      <c r="B622" s="13"/>
      <c r="C622" s="13"/>
    </row>
    <row r="623" spans="1:3" ht="13" x14ac:dyDescent="0.15">
      <c r="A623" s="10"/>
      <c r="B623" s="13"/>
      <c r="C623" s="13"/>
    </row>
    <row r="624" spans="1:3" ht="13" x14ac:dyDescent="0.15">
      <c r="A624" s="10"/>
      <c r="B624" s="13"/>
      <c r="C624" s="13"/>
    </row>
    <row r="625" spans="1:3" ht="13" x14ac:dyDescent="0.15">
      <c r="A625" s="10"/>
      <c r="B625" s="13"/>
      <c r="C625" s="13"/>
    </row>
    <row r="626" spans="1:3" ht="13" x14ac:dyDescent="0.15">
      <c r="A626" s="10"/>
      <c r="B626" s="13"/>
      <c r="C626" s="13"/>
    </row>
    <row r="627" spans="1:3" ht="13" x14ac:dyDescent="0.15">
      <c r="A627" s="10"/>
      <c r="B627" s="13"/>
      <c r="C627" s="13"/>
    </row>
    <row r="628" spans="1:3" ht="13" x14ac:dyDescent="0.15">
      <c r="A628" s="10"/>
      <c r="B628" s="13"/>
      <c r="C628" s="13"/>
    </row>
    <row r="629" spans="1:3" ht="13" x14ac:dyDescent="0.15">
      <c r="A629" s="10"/>
      <c r="B629" s="13"/>
      <c r="C629" s="13"/>
    </row>
    <row r="630" spans="1:3" ht="13" x14ac:dyDescent="0.15">
      <c r="A630" s="10"/>
      <c r="B630" s="13"/>
      <c r="C630" s="13"/>
    </row>
    <row r="631" spans="1:3" ht="13" x14ac:dyDescent="0.15">
      <c r="A631" s="10"/>
      <c r="B631" s="13"/>
      <c r="C631" s="13"/>
    </row>
    <row r="632" spans="1:3" ht="13" x14ac:dyDescent="0.15">
      <c r="A632" s="10"/>
      <c r="B632" s="13"/>
      <c r="C632" s="13"/>
    </row>
    <row r="633" spans="1:3" ht="13" x14ac:dyDescent="0.15">
      <c r="A633" s="10"/>
      <c r="B633" s="13"/>
      <c r="C633" s="13"/>
    </row>
    <row r="634" spans="1:3" ht="13" x14ac:dyDescent="0.15">
      <c r="A634" s="10"/>
      <c r="B634" s="13"/>
      <c r="C634" s="13"/>
    </row>
    <row r="635" spans="1:3" ht="13" x14ac:dyDescent="0.15">
      <c r="A635" s="10"/>
      <c r="B635" s="13"/>
      <c r="C635" s="13"/>
    </row>
    <row r="636" spans="1:3" ht="13" x14ac:dyDescent="0.15">
      <c r="A636" s="10"/>
      <c r="B636" s="13"/>
      <c r="C636" s="13"/>
    </row>
    <row r="637" spans="1:3" ht="13" x14ac:dyDescent="0.15">
      <c r="A637" s="10"/>
      <c r="B637" s="13"/>
      <c r="C637" s="13"/>
    </row>
    <row r="638" spans="1:3" ht="13" x14ac:dyDescent="0.15">
      <c r="A638" s="10"/>
      <c r="B638" s="13"/>
      <c r="C638" s="13"/>
    </row>
    <row r="639" spans="1:3" ht="13" x14ac:dyDescent="0.15">
      <c r="A639" s="10"/>
      <c r="B639" s="13"/>
      <c r="C639" s="13"/>
    </row>
    <row r="640" spans="1:3" ht="13" x14ac:dyDescent="0.15">
      <c r="A640" s="10"/>
      <c r="B640" s="13"/>
      <c r="C640" s="13"/>
    </row>
    <row r="641" spans="1:3" ht="13" x14ac:dyDescent="0.15">
      <c r="A641" s="10"/>
      <c r="B641" s="13"/>
      <c r="C641" s="13"/>
    </row>
    <row r="642" spans="1:3" ht="13" x14ac:dyDescent="0.15">
      <c r="A642" s="10"/>
      <c r="B642" s="13"/>
      <c r="C642" s="13"/>
    </row>
    <row r="643" spans="1:3" ht="13" x14ac:dyDescent="0.15">
      <c r="A643" s="10"/>
      <c r="B643" s="13"/>
      <c r="C643" s="13"/>
    </row>
    <row r="644" spans="1:3" ht="13" x14ac:dyDescent="0.15">
      <c r="A644" s="10"/>
      <c r="B644" s="13"/>
      <c r="C644" s="13"/>
    </row>
    <row r="645" spans="1:3" ht="13" x14ac:dyDescent="0.15">
      <c r="A645" s="10"/>
      <c r="B645" s="13"/>
      <c r="C645" s="13"/>
    </row>
    <row r="646" spans="1:3" ht="13" x14ac:dyDescent="0.15">
      <c r="A646" s="10"/>
      <c r="B646" s="13"/>
      <c r="C646" s="13"/>
    </row>
    <row r="647" spans="1:3" ht="13" x14ac:dyDescent="0.15">
      <c r="A647" s="10"/>
      <c r="B647" s="13"/>
      <c r="C647" s="13"/>
    </row>
    <row r="648" spans="1:3" ht="13" x14ac:dyDescent="0.15">
      <c r="A648" s="10"/>
      <c r="B648" s="13"/>
      <c r="C648" s="13"/>
    </row>
    <row r="649" spans="1:3" ht="13" x14ac:dyDescent="0.15">
      <c r="A649" s="10"/>
      <c r="B649" s="13"/>
      <c r="C649" s="13"/>
    </row>
    <row r="650" spans="1:3" ht="13" x14ac:dyDescent="0.15">
      <c r="A650" s="10"/>
      <c r="B650" s="13"/>
      <c r="C650" s="13"/>
    </row>
    <row r="651" spans="1:3" ht="13" x14ac:dyDescent="0.15">
      <c r="A651" s="10"/>
      <c r="B651" s="13"/>
      <c r="C651" s="13"/>
    </row>
    <row r="652" spans="1:3" ht="13" x14ac:dyDescent="0.15">
      <c r="A652" s="10"/>
      <c r="B652" s="13"/>
      <c r="C652" s="13"/>
    </row>
    <row r="653" spans="1:3" ht="13" x14ac:dyDescent="0.15">
      <c r="A653" s="10"/>
      <c r="B653" s="13"/>
      <c r="C653" s="13"/>
    </row>
    <row r="654" spans="1:3" ht="13" x14ac:dyDescent="0.15">
      <c r="A654" s="10"/>
      <c r="B654" s="13"/>
      <c r="C654" s="13"/>
    </row>
    <row r="655" spans="1:3" ht="13" x14ac:dyDescent="0.15">
      <c r="A655" s="10"/>
      <c r="B655" s="13"/>
      <c r="C655" s="13"/>
    </row>
    <row r="656" spans="1:3" ht="13" x14ac:dyDescent="0.15">
      <c r="A656" s="10"/>
      <c r="B656" s="13"/>
      <c r="C656" s="13"/>
    </row>
    <row r="657" spans="1:3" ht="13" x14ac:dyDescent="0.15">
      <c r="A657" s="10"/>
      <c r="B657" s="13"/>
      <c r="C657" s="13"/>
    </row>
    <row r="658" spans="1:3" ht="13" x14ac:dyDescent="0.15">
      <c r="A658" s="10"/>
      <c r="B658" s="13"/>
      <c r="C658" s="13"/>
    </row>
    <row r="659" spans="1:3" ht="13" x14ac:dyDescent="0.15">
      <c r="A659" s="10"/>
      <c r="B659" s="13"/>
      <c r="C659" s="13"/>
    </row>
    <row r="660" spans="1:3" ht="13" x14ac:dyDescent="0.15">
      <c r="A660" s="10"/>
      <c r="B660" s="13"/>
      <c r="C660" s="13"/>
    </row>
    <row r="661" spans="1:3" ht="13" x14ac:dyDescent="0.15">
      <c r="A661" s="10"/>
      <c r="B661" s="13"/>
      <c r="C661" s="13"/>
    </row>
    <row r="662" spans="1:3" ht="13" x14ac:dyDescent="0.15">
      <c r="A662" s="10"/>
      <c r="B662" s="13"/>
      <c r="C662" s="13"/>
    </row>
    <row r="663" spans="1:3" ht="13" x14ac:dyDescent="0.15">
      <c r="A663" s="10"/>
      <c r="B663" s="13"/>
      <c r="C663" s="13"/>
    </row>
    <row r="664" spans="1:3" ht="13" x14ac:dyDescent="0.15">
      <c r="A664" s="10"/>
      <c r="B664" s="13"/>
      <c r="C664" s="13"/>
    </row>
    <row r="665" spans="1:3" ht="13" x14ac:dyDescent="0.15">
      <c r="A665" s="10"/>
      <c r="B665" s="13"/>
      <c r="C665" s="13"/>
    </row>
    <row r="666" spans="1:3" ht="13" x14ac:dyDescent="0.15">
      <c r="A666" s="10"/>
      <c r="B666" s="13"/>
      <c r="C666" s="13"/>
    </row>
    <row r="667" spans="1:3" ht="13" x14ac:dyDescent="0.15">
      <c r="A667" s="10"/>
      <c r="B667" s="13"/>
      <c r="C667" s="13"/>
    </row>
    <row r="668" spans="1:3" ht="13" x14ac:dyDescent="0.15">
      <c r="A668" s="10"/>
      <c r="B668" s="13"/>
      <c r="C668" s="13"/>
    </row>
    <row r="669" spans="1:3" ht="13" x14ac:dyDescent="0.15">
      <c r="A669" s="10"/>
      <c r="B669" s="13"/>
      <c r="C669" s="13"/>
    </row>
    <row r="670" spans="1:3" ht="13" x14ac:dyDescent="0.15">
      <c r="A670" s="10"/>
      <c r="B670" s="13"/>
      <c r="C670" s="13"/>
    </row>
    <row r="671" spans="1:3" ht="13" x14ac:dyDescent="0.15">
      <c r="A671" s="10"/>
      <c r="B671" s="13"/>
      <c r="C671" s="13"/>
    </row>
    <row r="672" spans="1:3" ht="13" x14ac:dyDescent="0.15">
      <c r="A672" s="10"/>
      <c r="B672" s="13"/>
      <c r="C672" s="13"/>
    </row>
    <row r="673" spans="1:3" ht="13" x14ac:dyDescent="0.15">
      <c r="A673" s="10"/>
      <c r="B673" s="13"/>
      <c r="C673" s="13"/>
    </row>
    <row r="674" spans="1:3" ht="13" x14ac:dyDescent="0.15">
      <c r="A674" s="10"/>
      <c r="B674" s="13"/>
      <c r="C674" s="13"/>
    </row>
    <row r="675" spans="1:3" ht="13" x14ac:dyDescent="0.15">
      <c r="A675" s="10"/>
      <c r="B675" s="13"/>
      <c r="C675" s="13"/>
    </row>
    <row r="676" spans="1:3" ht="13" x14ac:dyDescent="0.15">
      <c r="A676" s="10"/>
      <c r="B676" s="13"/>
      <c r="C676" s="13"/>
    </row>
    <row r="677" spans="1:3" ht="13" x14ac:dyDescent="0.15">
      <c r="A677" s="10"/>
      <c r="B677" s="13"/>
      <c r="C677" s="13"/>
    </row>
    <row r="678" spans="1:3" ht="13" x14ac:dyDescent="0.15">
      <c r="A678" s="10"/>
      <c r="B678" s="13"/>
      <c r="C678" s="13"/>
    </row>
    <row r="679" spans="1:3" ht="13" x14ac:dyDescent="0.15">
      <c r="A679" s="10"/>
      <c r="B679" s="13"/>
      <c r="C679" s="13"/>
    </row>
    <row r="680" spans="1:3" ht="13" x14ac:dyDescent="0.15">
      <c r="A680" s="10"/>
      <c r="B680" s="13"/>
      <c r="C680" s="13"/>
    </row>
    <row r="681" spans="1:3" ht="13" x14ac:dyDescent="0.15">
      <c r="A681" s="10"/>
      <c r="B681" s="13"/>
      <c r="C681" s="13"/>
    </row>
    <row r="682" spans="1:3" ht="13" x14ac:dyDescent="0.15">
      <c r="A682" s="10"/>
      <c r="B682" s="13"/>
      <c r="C682" s="13"/>
    </row>
    <row r="683" spans="1:3" ht="13" x14ac:dyDescent="0.15">
      <c r="A683" s="10"/>
      <c r="B683" s="13"/>
      <c r="C683" s="13"/>
    </row>
    <row r="684" spans="1:3" ht="13" x14ac:dyDescent="0.15">
      <c r="A684" s="10"/>
      <c r="B684" s="13"/>
      <c r="C684" s="13"/>
    </row>
    <row r="685" spans="1:3" ht="13" x14ac:dyDescent="0.15">
      <c r="A685" s="10"/>
      <c r="B685" s="13"/>
      <c r="C685" s="13"/>
    </row>
    <row r="686" spans="1:3" ht="13" x14ac:dyDescent="0.15">
      <c r="A686" s="10"/>
      <c r="B686" s="13"/>
      <c r="C686" s="13"/>
    </row>
    <row r="687" spans="1:3" ht="13" x14ac:dyDescent="0.15">
      <c r="A687" s="10"/>
      <c r="B687" s="13"/>
      <c r="C687" s="13"/>
    </row>
    <row r="688" spans="1:3" ht="13" x14ac:dyDescent="0.15">
      <c r="A688" s="10"/>
      <c r="B688" s="13"/>
      <c r="C688" s="13"/>
    </row>
    <row r="689" spans="1:3" ht="13" x14ac:dyDescent="0.15">
      <c r="A689" s="10"/>
      <c r="B689" s="13"/>
      <c r="C689" s="13"/>
    </row>
    <row r="690" spans="1:3" ht="13" x14ac:dyDescent="0.15">
      <c r="A690" s="10"/>
      <c r="B690" s="13"/>
      <c r="C690" s="13"/>
    </row>
    <row r="691" spans="1:3" ht="13" x14ac:dyDescent="0.15">
      <c r="A691" s="10"/>
      <c r="B691" s="13"/>
      <c r="C691" s="13"/>
    </row>
    <row r="692" spans="1:3" ht="13" x14ac:dyDescent="0.15">
      <c r="A692" s="10"/>
      <c r="B692" s="13"/>
      <c r="C692" s="13"/>
    </row>
    <row r="693" spans="1:3" ht="13" x14ac:dyDescent="0.15">
      <c r="A693" s="10"/>
      <c r="B693" s="13"/>
      <c r="C693" s="13"/>
    </row>
    <row r="694" spans="1:3" ht="13" x14ac:dyDescent="0.15">
      <c r="A694" s="10"/>
      <c r="B694" s="13"/>
      <c r="C694" s="13"/>
    </row>
    <row r="695" spans="1:3" ht="13" x14ac:dyDescent="0.15">
      <c r="A695" s="10"/>
      <c r="B695" s="13"/>
      <c r="C695" s="13"/>
    </row>
    <row r="696" spans="1:3" ht="13" x14ac:dyDescent="0.15">
      <c r="A696" s="10"/>
      <c r="B696" s="13"/>
      <c r="C696" s="13"/>
    </row>
    <row r="697" spans="1:3" ht="13" x14ac:dyDescent="0.15">
      <c r="A697" s="10"/>
      <c r="B697" s="13"/>
      <c r="C697" s="13"/>
    </row>
    <row r="698" spans="1:3" ht="13" x14ac:dyDescent="0.15">
      <c r="A698" s="10"/>
      <c r="B698" s="13"/>
      <c r="C698" s="13"/>
    </row>
    <row r="699" spans="1:3" ht="13" x14ac:dyDescent="0.15">
      <c r="A699" s="10"/>
      <c r="B699" s="13"/>
      <c r="C699" s="13"/>
    </row>
    <row r="700" spans="1:3" ht="13" x14ac:dyDescent="0.15">
      <c r="A700" s="10"/>
      <c r="B700" s="13"/>
      <c r="C700" s="13"/>
    </row>
    <row r="701" spans="1:3" ht="13" x14ac:dyDescent="0.15">
      <c r="A701" s="10"/>
      <c r="B701" s="13"/>
      <c r="C701" s="13"/>
    </row>
    <row r="702" spans="1:3" ht="13" x14ac:dyDescent="0.15">
      <c r="A702" s="10"/>
      <c r="B702" s="13"/>
      <c r="C702" s="13"/>
    </row>
    <row r="703" spans="1:3" ht="13" x14ac:dyDescent="0.15">
      <c r="A703" s="10"/>
      <c r="B703" s="13"/>
      <c r="C703" s="13"/>
    </row>
    <row r="704" spans="1:3" ht="13" x14ac:dyDescent="0.15">
      <c r="A704" s="10"/>
      <c r="B704" s="13"/>
      <c r="C704" s="13"/>
    </row>
    <row r="705" spans="1:3" ht="13" x14ac:dyDescent="0.15">
      <c r="A705" s="10"/>
      <c r="B705" s="13"/>
      <c r="C705" s="13"/>
    </row>
    <row r="706" spans="1:3" ht="13" x14ac:dyDescent="0.15">
      <c r="A706" s="10"/>
      <c r="B706" s="13"/>
      <c r="C706" s="13"/>
    </row>
    <row r="707" spans="1:3" ht="13" x14ac:dyDescent="0.15">
      <c r="A707" s="10"/>
      <c r="B707" s="13"/>
      <c r="C707" s="13"/>
    </row>
    <row r="708" spans="1:3" ht="13" x14ac:dyDescent="0.15">
      <c r="A708" s="10"/>
      <c r="B708" s="13"/>
      <c r="C708" s="13"/>
    </row>
    <row r="709" spans="1:3" ht="13" x14ac:dyDescent="0.15">
      <c r="A709" s="10"/>
      <c r="B709" s="13"/>
      <c r="C709" s="13"/>
    </row>
    <row r="710" spans="1:3" ht="13" x14ac:dyDescent="0.15">
      <c r="A710" s="10"/>
      <c r="B710" s="13"/>
      <c r="C710" s="13"/>
    </row>
    <row r="711" spans="1:3" ht="13" x14ac:dyDescent="0.15">
      <c r="A711" s="10"/>
      <c r="B711" s="13"/>
      <c r="C711" s="13"/>
    </row>
    <row r="712" spans="1:3" ht="13" x14ac:dyDescent="0.15">
      <c r="A712" s="10"/>
      <c r="B712" s="13"/>
      <c r="C712" s="13"/>
    </row>
    <row r="713" spans="1:3" ht="13" x14ac:dyDescent="0.15">
      <c r="A713" s="10"/>
      <c r="B713" s="13"/>
      <c r="C713" s="13"/>
    </row>
    <row r="714" spans="1:3" ht="13" x14ac:dyDescent="0.15">
      <c r="A714" s="10"/>
      <c r="B714" s="13"/>
      <c r="C714" s="13"/>
    </row>
    <row r="715" spans="1:3" ht="13" x14ac:dyDescent="0.15">
      <c r="A715" s="10"/>
      <c r="B715" s="13"/>
      <c r="C715" s="13"/>
    </row>
    <row r="716" spans="1:3" ht="13" x14ac:dyDescent="0.15">
      <c r="A716" s="10"/>
      <c r="B716" s="13"/>
      <c r="C716" s="13"/>
    </row>
    <row r="717" spans="1:3" ht="13" x14ac:dyDescent="0.15">
      <c r="A717" s="10"/>
      <c r="B717" s="13"/>
      <c r="C717" s="13"/>
    </row>
    <row r="718" spans="1:3" ht="13" x14ac:dyDescent="0.15">
      <c r="A718" s="10"/>
      <c r="B718" s="13"/>
      <c r="C718" s="13"/>
    </row>
    <row r="719" spans="1:3" ht="13" x14ac:dyDescent="0.15">
      <c r="A719" s="10"/>
      <c r="B719" s="13"/>
      <c r="C719" s="13"/>
    </row>
    <row r="720" spans="1:3" ht="13" x14ac:dyDescent="0.15">
      <c r="A720" s="10"/>
      <c r="B720" s="13"/>
      <c r="C720" s="13"/>
    </row>
    <row r="721" spans="1:3" ht="13" x14ac:dyDescent="0.15">
      <c r="A721" s="10"/>
      <c r="B721" s="13"/>
      <c r="C721" s="13"/>
    </row>
    <row r="722" spans="1:3" ht="13" x14ac:dyDescent="0.15">
      <c r="A722" s="10"/>
      <c r="B722" s="13"/>
      <c r="C722" s="13"/>
    </row>
    <row r="723" spans="1:3" ht="13" x14ac:dyDescent="0.15">
      <c r="A723" s="10"/>
      <c r="B723" s="13"/>
      <c r="C723" s="13"/>
    </row>
    <row r="724" spans="1:3" ht="13" x14ac:dyDescent="0.15">
      <c r="A724" s="10"/>
      <c r="B724" s="13"/>
      <c r="C724" s="13"/>
    </row>
    <row r="725" spans="1:3" ht="13" x14ac:dyDescent="0.15">
      <c r="A725" s="10"/>
      <c r="B725" s="13"/>
      <c r="C725" s="13"/>
    </row>
    <row r="726" spans="1:3" ht="13" x14ac:dyDescent="0.15">
      <c r="A726" s="10"/>
      <c r="B726" s="13"/>
      <c r="C726" s="13"/>
    </row>
    <row r="727" spans="1:3" ht="13" x14ac:dyDescent="0.15">
      <c r="A727" s="10"/>
      <c r="B727" s="13"/>
      <c r="C727" s="13"/>
    </row>
    <row r="728" spans="1:3" ht="13" x14ac:dyDescent="0.15">
      <c r="A728" s="10"/>
      <c r="B728" s="13"/>
      <c r="C728" s="13"/>
    </row>
    <row r="729" spans="1:3" ht="13" x14ac:dyDescent="0.15">
      <c r="A729" s="10"/>
      <c r="B729" s="13"/>
      <c r="C729" s="13"/>
    </row>
    <row r="730" spans="1:3" ht="13" x14ac:dyDescent="0.15">
      <c r="A730" s="10"/>
      <c r="B730" s="13"/>
      <c r="C730" s="13"/>
    </row>
    <row r="731" spans="1:3" ht="13" x14ac:dyDescent="0.15">
      <c r="A731" s="10"/>
      <c r="B731" s="13"/>
      <c r="C731" s="13"/>
    </row>
    <row r="732" spans="1:3" ht="13" x14ac:dyDescent="0.15">
      <c r="A732" s="10"/>
      <c r="B732" s="13"/>
      <c r="C732" s="13"/>
    </row>
    <row r="733" spans="1:3" ht="13" x14ac:dyDescent="0.15">
      <c r="A733" s="10"/>
      <c r="B733" s="13"/>
      <c r="C733" s="13"/>
    </row>
    <row r="734" spans="1:3" ht="13" x14ac:dyDescent="0.15">
      <c r="A734" s="10"/>
      <c r="B734" s="13"/>
      <c r="C734" s="13"/>
    </row>
    <row r="735" spans="1:3" ht="13" x14ac:dyDescent="0.15">
      <c r="A735" s="10"/>
      <c r="B735" s="13"/>
      <c r="C735" s="13"/>
    </row>
    <row r="736" spans="1:3" ht="13" x14ac:dyDescent="0.15">
      <c r="A736" s="10"/>
      <c r="B736" s="13"/>
      <c r="C736" s="13"/>
    </row>
    <row r="737" spans="1:3" ht="13" x14ac:dyDescent="0.15">
      <c r="A737" s="10"/>
      <c r="B737" s="13"/>
      <c r="C737" s="13"/>
    </row>
    <row r="738" spans="1:3" ht="13" x14ac:dyDescent="0.15">
      <c r="A738" s="10"/>
      <c r="B738" s="13"/>
      <c r="C738" s="13"/>
    </row>
    <row r="739" spans="1:3" ht="13" x14ac:dyDescent="0.15">
      <c r="A739" s="10"/>
      <c r="B739" s="13"/>
      <c r="C739" s="13"/>
    </row>
    <row r="740" spans="1:3" ht="13" x14ac:dyDescent="0.15">
      <c r="A740" s="10"/>
      <c r="B740" s="13"/>
      <c r="C740" s="13"/>
    </row>
    <row r="741" spans="1:3" ht="13" x14ac:dyDescent="0.15">
      <c r="A741" s="10"/>
      <c r="B741" s="13"/>
      <c r="C741" s="13"/>
    </row>
    <row r="742" spans="1:3" ht="13" x14ac:dyDescent="0.15">
      <c r="A742" s="10"/>
      <c r="B742" s="13"/>
      <c r="C742" s="13"/>
    </row>
    <row r="743" spans="1:3" ht="13" x14ac:dyDescent="0.15">
      <c r="A743" s="10"/>
      <c r="B743" s="13"/>
      <c r="C743" s="13"/>
    </row>
    <row r="744" spans="1:3" ht="13" x14ac:dyDescent="0.15">
      <c r="A744" s="10"/>
      <c r="B744" s="13"/>
      <c r="C744" s="13"/>
    </row>
    <row r="745" spans="1:3" ht="13" x14ac:dyDescent="0.15">
      <c r="A745" s="10"/>
      <c r="B745" s="13"/>
      <c r="C745" s="13"/>
    </row>
    <row r="746" spans="1:3" ht="13" x14ac:dyDescent="0.15">
      <c r="A746" s="10"/>
      <c r="B746" s="13"/>
      <c r="C746" s="13"/>
    </row>
    <row r="747" spans="1:3" ht="13" x14ac:dyDescent="0.15">
      <c r="A747" s="10"/>
      <c r="B747" s="13"/>
      <c r="C747" s="13"/>
    </row>
    <row r="748" spans="1:3" ht="13" x14ac:dyDescent="0.15">
      <c r="A748" s="10"/>
      <c r="B748" s="13"/>
      <c r="C748" s="13"/>
    </row>
    <row r="749" spans="1:3" ht="13" x14ac:dyDescent="0.15">
      <c r="A749" s="10"/>
      <c r="B749" s="13"/>
      <c r="C749" s="13"/>
    </row>
    <row r="750" spans="1:3" ht="13" x14ac:dyDescent="0.15">
      <c r="A750" s="10"/>
      <c r="B750" s="13"/>
      <c r="C750" s="13"/>
    </row>
    <row r="751" spans="1:3" ht="13" x14ac:dyDescent="0.15">
      <c r="A751" s="10"/>
      <c r="B751" s="13"/>
      <c r="C751" s="13"/>
    </row>
    <row r="752" spans="1:3" ht="13" x14ac:dyDescent="0.15">
      <c r="A752" s="10"/>
      <c r="B752" s="13"/>
      <c r="C752" s="13"/>
    </row>
    <row r="753" spans="1:3" ht="13" x14ac:dyDescent="0.15">
      <c r="A753" s="10"/>
      <c r="B753" s="13"/>
      <c r="C753" s="13"/>
    </row>
    <row r="754" spans="1:3" ht="13" x14ac:dyDescent="0.15">
      <c r="A754" s="10"/>
      <c r="B754" s="13"/>
      <c r="C754" s="13"/>
    </row>
    <row r="755" spans="1:3" ht="13" x14ac:dyDescent="0.15">
      <c r="A755" s="10"/>
      <c r="B755" s="13"/>
      <c r="C755" s="13"/>
    </row>
    <row r="756" spans="1:3" ht="13" x14ac:dyDescent="0.15">
      <c r="A756" s="10"/>
      <c r="B756" s="13"/>
      <c r="C756" s="13"/>
    </row>
    <row r="757" spans="1:3" ht="13" x14ac:dyDescent="0.15">
      <c r="A757" s="10"/>
      <c r="B757" s="13"/>
      <c r="C757" s="13"/>
    </row>
    <row r="758" spans="1:3" ht="13" x14ac:dyDescent="0.15">
      <c r="A758" s="10"/>
      <c r="B758" s="13"/>
      <c r="C758" s="13"/>
    </row>
    <row r="759" spans="1:3" ht="13" x14ac:dyDescent="0.15">
      <c r="A759" s="10"/>
      <c r="B759" s="13"/>
      <c r="C759" s="13"/>
    </row>
    <row r="760" spans="1:3" ht="13" x14ac:dyDescent="0.15">
      <c r="A760" s="10"/>
      <c r="B760" s="13"/>
      <c r="C760" s="13"/>
    </row>
    <row r="761" spans="1:3" ht="13" x14ac:dyDescent="0.15">
      <c r="A761" s="10"/>
      <c r="B761" s="13"/>
      <c r="C761" s="13"/>
    </row>
    <row r="762" spans="1:3" ht="13" x14ac:dyDescent="0.15">
      <c r="A762" s="10"/>
      <c r="B762" s="13"/>
      <c r="C762" s="13"/>
    </row>
    <row r="763" spans="1:3" ht="13" x14ac:dyDescent="0.15">
      <c r="A763" s="10"/>
      <c r="B763" s="13"/>
      <c r="C763" s="13"/>
    </row>
    <row r="764" spans="1:3" ht="13" x14ac:dyDescent="0.15">
      <c r="A764" s="10"/>
      <c r="B764" s="13"/>
      <c r="C764" s="13"/>
    </row>
    <row r="765" spans="1:3" ht="13" x14ac:dyDescent="0.15">
      <c r="A765" s="10"/>
      <c r="B765" s="13"/>
      <c r="C765" s="13"/>
    </row>
    <row r="766" spans="1:3" ht="13" x14ac:dyDescent="0.15">
      <c r="A766" s="10"/>
      <c r="B766" s="13"/>
      <c r="C766" s="13"/>
    </row>
    <row r="767" spans="1:3" ht="13" x14ac:dyDescent="0.15">
      <c r="A767" s="10"/>
      <c r="B767" s="13"/>
      <c r="C767" s="13"/>
    </row>
    <row r="768" spans="1:3" ht="13" x14ac:dyDescent="0.15">
      <c r="A768" s="10"/>
      <c r="B768" s="13"/>
      <c r="C768" s="13"/>
    </row>
    <row r="769" spans="1:3" ht="13" x14ac:dyDescent="0.15">
      <c r="A769" s="10"/>
      <c r="B769" s="13"/>
      <c r="C769" s="13"/>
    </row>
    <row r="770" spans="1:3" ht="13" x14ac:dyDescent="0.15">
      <c r="A770" s="10"/>
      <c r="B770" s="13"/>
      <c r="C770" s="13"/>
    </row>
    <row r="771" spans="1:3" ht="13" x14ac:dyDescent="0.15">
      <c r="A771" s="10"/>
      <c r="B771" s="13"/>
      <c r="C771" s="13"/>
    </row>
    <row r="772" spans="1:3" ht="13" x14ac:dyDescent="0.15">
      <c r="A772" s="10"/>
      <c r="B772" s="13"/>
      <c r="C772" s="13"/>
    </row>
    <row r="773" spans="1:3" ht="13" x14ac:dyDescent="0.15">
      <c r="A773" s="10"/>
      <c r="B773" s="13"/>
      <c r="C773" s="13"/>
    </row>
    <row r="774" spans="1:3" ht="13" x14ac:dyDescent="0.15">
      <c r="A774" s="10"/>
      <c r="B774" s="13"/>
      <c r="C774" s="13"/>
    </row>
    <row r="775" spans="1:3" ht="13" x14ac:dyDescent="0.15">
      <c r="A775" s="10"/>
      <c r="B775" s="13"/>
      <c r="C775" s="13"/>
    </row>
    <row r="776" spans="1:3" ht="13" x14ac:dyDescent="0.15">
      <c r="A776" s="10"/>
      <c r="B776" s="13"/>
      <c r="C776" s="13"/>
    </row>
    <row r="777" spans="1:3" ht="13" x14ac:dyDescent="0.15">
      <c r="A777" s="10"/>
      <c r="B777" s="13"/>
      <c r="C777" s="13"/>
    </row>
    <row r="778" spans="1:3" ht="13" x14ac:dyDescent="0.15">
      <c r="A778" s="10"/>
      <c r="B778" s="13"/>
      <c r="C778" s="13"/>
    </row>
    <row r="779" spans="1:3" ht="13" x14ac:dyDescent="0.15">
      <c r="A779" s="10"/>
      <c r="B779" s="13"/>
      <c r="C779" s="13"/>
    </row>
    <row r="780" spans="1:3" ht="13" x14ac:dyDescent="0.15">
      <c r="A780" s="10"/>
      <c r="B780" s="13"/>
      <c r="C780" s="13"/>
    </row>
    <row r="781" spans="1:3" ht="13" x14ac:dyDescent="0.15">
      <c r="A781" s="10"/>
      <c r="B781" s="13"/>
      <c r="C781" s="13"/>
    </row>
    <row r="782" spans="1:3" ht="13" x14ac:dyDescent="0.15">
      <c r="A782" s="10"/>
      <c r="B782" s="13"/>
      <c r="C782" s="13"/>
    </row>
    <row r="783" spans="1:3" ht="13" x14ac:dyDescent="0.15">
      <c r="A783" s="10"/>
      <c r="B783" s="13"/>
      <c r="C783" s="13"/>
    </row>
    <row r="784" spans="1:3" ht="13" x14ac:dyDescent="0.15">
      <c r="A784" s="10"/>
      <c r="B784" s="13"/>
      <c r="C784" s="13"/>
    </row>
    <row r="785" spans="1:3" ht="13" x14ac:dyDescent="0.15">
      <c r="A785" s="10"/>
      <c r="B785" s="13"/>
      <c r="C785" s="13"/>
    </row>
    <row r="786" spans="1:3" ht="13" x14ac:dyDescent="0.15">
      <c r="A786" s="10"/>
      <c r="B786" s="13"/>
      <c r="C786" s="13"/>
    </row>
    <row r="787" spans="1:3" ht="13" x14ac:dyDescent="0.15">
      <c r="A787" s="10"/>
      <c r="B787" s="13"/>
      <c r="C787" s="13"/>
    </row>
    <row r="788" spans="1:3" ht="13" x14ac:dyDescent="0.15">
      <c r="A788" s="10"/>
      <c r="B788" s="13"/>
      <c r="C788" s="13"/>
    </row>
    <row r="789" spans="1:3" ht="13" x14ac:dyDescent="0.15">
      <c r="A789" s="10"/>
      <c r="B789" s="13"/>
      <c r="C789" s="13"/>
    </row>
    <row r="790" spans="1:3" ht="13" x14ac:dyDescent="0.15">
      <c r="A790" s="10"/>
      <c r="B790" s="13"/>
      <c r="C790" s="13"/>
    </row>
    <row r="791" spans="1:3" ht="13" x14ac:dyDescent="0.15">
      <c r="A791" s="10"/>
      <c r="B791" s="13"/>
      <c r="C791" s="13"/>
    </row>
    <row r="792" spans="1:3" ht="13" x14ac:dyDescent="0.15">
      <c r="A792" s="10"/>
      <c r="B792" s="13"/>
      <c r="C792" s="13"/>
    </row>
    <row r="793" spans="1:3" ht="13" x14ac:dyDescent="0.15">
      <c r="A793" s="10"/>
      <c r="B793" s="13"/>
      <c r="C793" s="13"/>
    </row>
    <row r="794" spans="1:3" ht="13" x14ac:dyDescent="0.15">
      <c r="A794" s="10"/>
      <c r="B794" s="13"/>
      <c r="C794" s="13"/>
    </row>
    <row r="795" spans="1:3" ht="13" x14ac:dyDescent="0.15">
      <c r="A795" s="10"/>
      <c r="B795" s="13"/>
      <c r="C795" s="13"/>
    </row>
    <row r="796" spans="1:3" ht="13" x14ac:dyDescent="0.15">
      <c r="A796" s="10"/>
      <c r="B796" s="13"/>
      <c r="C796" s="13"/>
    </row>
    <row r="797" spans="1:3" ht="13" x14ac:dyDescent="0.15">
      <c r="A797" s="10"/>
      <c r="B797" s="13"/>
      <c r="C797" s="13"/>
    </row>
    <row r="798" spans="1:3" ht="13" x14ac:dyDescent="0.15">
      <c r="A798" s="10"/>
      <c r="B798" s="13"/>
      <c r="C798" s="13"/>
    </row>
    <row r="799" spans="1:3" ht="13" x14ac:dyDescent="0.15">
      <c r="A799" s="10"/>
      <c r="B799" s="13"/>
      <c r="C799" s="13"/>
    </row>
    <row r="800" spans="1:3" ht="13" x14ac:dyDescent="0.15">
      <c r="A800" s="10"/>
      <c r="B800" s="13"/>
      <c r="C800" s="13"/>
    </row>
    <row r="801" spans="1:3" ht="13" x14ac:dyDescent="0.15">
      <c r="A801" s="10"/>
      <c r="B801" s="13"/>
      <c r="C801" s="13"/>
    </row>
    <row r="802" spans="1:3" ht="13" x14ac:dyDescent="0.15">
      <c r="A802" s="10"/>
      <c r="B802" s="13"/>
      <c r="C802" s="13"/>
    </row>
    <row r="803" spans="1:3" ht="13" x14ac:dyDescent="0.15">
      <c r="A803" s="10"/>
      <c r="B803" s="13"/>
      <c r="C803" s="13"/>
    </row>
    <row r="804" spans="1:3" ht="13" x14ac:dyDescent="0.15">
      <c r="A804" s="10"/>
      <c r="B804" s="13"/>
      <c r="C804" s="13"/>
    </row>
    <row r="805" spans="1:3" ht="13" x14ac:dyDescent="0.15">
      <c r="A805" s="10"/>
      <c r="B805" s="13"/>
      <c r="C805" s="13"/>
    </row>
    <row r="806" spans="1:3" ht="13" x14ac:dyDescent="0.15">
      <c r="A806" s="10"/>
      <c r="B806" s="13"/>
      <c r="C806" s="13"/>
    </row>
    <row r="807" spans="1:3" ht="13" x14ac:dyDescent="0.15">
      <c r="A807" s="10"/>
      <c r="B807" s="13"/>
      <c r="C807" s="13"/>
    </row>
    <row r="808" spans="1:3" ht="13" x14ac:dyDescent="0.15">
      <c r="A808" s="10"/>
      <c r="B808" s="13"/>
      <c r="C808" s="13"/>
    </row>
    <row r="809" spans="1:3" ht="13" x14ac:dyDescent="0.15">
      <c r="A809" s="10"/>
      <c r="B809" s="13"/>
      <c r="C809" s="13"/>
    </row>
    <row r="810" spans="1:3" ht="13" x14ac:dyDescent="0.15">
      <c r="A810" s="10"/>
      <c r="B810" s="13"/>
      <c r="C810" s="13"/>
    </row>
    <row r="811" spans="1:3" ht="13" x14ac:dyDescent="0.15">
      <c r="A811" s="10"/>
      <c r="B811" s="13"/>
      <c r="C811" s="13"/>
    </row>
    <row r="812" spans="1:3" ht="13" x14ac:dyDescent="0.15">
      <c r="A812" s="10"/>
      <c r="B812" s="13"/>
      <c r="C812" s="13"/>
    </row>
    <row r="813" spans="1:3" ht="13" x14ac:dyDescent="0.15">
      <c r="A813" s="10"/>
      <c r="B813" s="13"/>
      <c r="C813" s="13"/>
    </row>
    <row r="814" spans="1:3" ht="13" x14ac:dyDescent="0.15">
      <c r="A814" s="10"/>
      <c r="B814" s="13"/>
      <c r="C814" s="13"/>
    </row>
    <row r="815" spans="1:3" ht="13" x14ac:dyDescent="0.15">
      <c r="A815" s="10"/>
      <c r="B815" s="13"/>
      <c r="C815" s="13"/>
    </row>
    <row r="816" spans="1:3" ht="13" x14ac:dyDescent="0.15">
      <c r="A816" s="10"/>
      <c r="B816" s="13"/>
      <c r="C816" s="13"/>
    </row>
    <row r="817" spans="1:3" ht="13" x14ac:dyDescent="0.15">
      <c r="A817" s="10"/>
      <c r="B817" s="13"/>
      <c r="C817" s="13"/>
    </row>
    <row r="818" spans="1:3" ht="13" x14ac:dyDescent="0.15">
      <c r="A818" s="10"/>
      <c r="B818" s="13"/>
      <c r="C818" s="13"/>
    </row>
    <row r="819" spans="1:3" ht="13" x14ac:dyDescent="0.15">
      <c r="A819" s="10"/>
      <c r="B819" s="13"/>
      <c r="C819" s="13"/>
    </row>
    <row r="820" spans="1:3" ht="13" x14ac:dyDescent="0.15">
      <c r="A820" s="10"/>
      <c r="B820" s="13"/>
      <c r="C820" s="13"/>
    </row>
    <row r="821" spans="1:3" ht="13" x14ac:dyDescent="0.15">
      <c r="A821" s="10"/>
      <c r="B821" s="13"/>
      <c r="C821" s="13"/>
    </row>
    <row r="822" spans="1:3" ht="13" x14ac:dyDescent="0.15">
      <c r="A822" s="10"/>
      <c r="B822" s="13"/>
      <c r="C822" s="13"/>
    </row>
    <row r="823" spans="1:3" ht="13" x14ac:dyDescent="0.15">
      <c r="A823" s="10"/>
      <c r="B823" s="13"/>
      <c r="C823" s="13"/>
    </row>
    <row r="824" spans="1:3" ht="13" x14ac:dyDescent="0.15">
      <c r="A824" s="10"/>
      <c r="B824" s="13"/>
      <c r="C824" s="13"/>
    </row>
    <row r="825" spans="1:3" ht="13" x14ac:dyDescent="0.15">
      <c r="A825" s="10"/>
      <c r="B825" s="13"/>
      <c r="C825" s="13"/>
    </row>
    <row r="826" spans="1:3" ht="13" x14ac:dyDescent="0.15">
      <c r="A826" s="10"/>
      <c r="B826" s="13"/>
      <c r="C826" s="13"/>
    </row>
    <row r="827" spans="1:3" ht="13" x14ac:dyDescent="0.15">
      <c r="A827" s="10"/>
      <c r="B827" s="13"/>
      <c r="C827" s="13"/>
    </row>
    <row r="828" spans="1:3" ht="13" x14ac:dyDescent="0.15">
      <c r="A828" s="10"/>
      <c r="B828" s="13"/>
      <c r="C828" s="13"/>
    </row>
    <row r="829" spans="1:3" ht="13" x14ac:dyDescent="0.15">
      <c r="A829" s="10"/>
      <c r="B829" s="13"/>
      <c r="C829" s="13"/>
    </row>
    <row r="830" spans="1:3" ht="13" x14ac:dyDescent="0.15">
      <c r="A830" s="10"/>
      <c r="B830" s="13"/>
      <c r="C830" s="13"/>
    </row>
    <row r="831" spans="1:3" ht="13" x14ac:dyDescent="0.15">
      <c r="A831" s="10"/>
      <c r="B831" s="13"/>
      <c r="C831" s="13"/>
    </row>
    <row r="832" spans="1:3" ht="13" x14ac:dyDescent="0.15">
      <c r="A832" s="10"/>
      <c r="B832" s="13"/>
      <c r="C832" s="13"/>
    </row>
    <row r="833" spans="1:3" ht="13" x14ac:dyDescent="0.15">
      <c r="A833" s="10"/>
      <c r="B833" s="13"/>
      <c r="C833" s="13"/>
    </row>
    <row r="834" spans="1:3" ht="13" x14ac:dyDescent="0.15">
      <c r="A834" s="10"/>
      <c r="B834" s="13"/>
      <c r="C834" s="13"/>
    </row>
    <row r="835" spans="1:3" ht="13" x14ac:dyDescent="0.15">
      <c r="A835" s="10"/>
      <c r="B835" s="13"/>
      <c r="C835" s="13"/>
    </row>
    <row r="836" spans="1:3" ht="13" x14ac:dyDescent="0.15">
      <c r="A836" s="10"/>
      <c r="B836" s="13"/>
      <c r="C836" s="13"/>
    </row>
    <row r="837" spans="1:3" ht="13" x14ac:dyDescent="0.15">
      <c r="A837" s="10"/>
      <c r="B837" s="13"/>
      <c r="C837" s="13"/>
    </row>
    <row r="838" spans="1:3" ht="13" x14ac:dyDescent="0.15">
      <c r="A838" s="10"/>
      <c r="B838" s="13"/>
      <c r="C838" s="13"/>
    </row>
    <row r="839" spans="1:3" ht="13" x14ac:dyDescent="0.15">
      <c r="A839" s="10"/>
      <c r="B839" s="13"/>
      <c r="C839" s="13"/>
    </row>
    <row r="840" spans="1:3" ht="13" x14ac:dyDescent="0.15">
      <c r="A840" s="10"/>
      <c r="B840" s="13"/>
      <c r="C840" s="13"/>
    </row>
    <row r="841" spans="1:3" ht="13" x14ac:dyDescent="0.15">
      <c r="A841" s="10"/>
      <c r="B841" s="13"/>
      <c r="C841" s="13"/>
    </row>
    <row r="842" spans="1:3" ht="13" x14ac:dyDescent="0.15">
      <c r="A842" s="10"/>
      <c r="B842" s="13"/>
      <c r="C842" s="13"/>
    </row>
    <row r="843" spans="1:3" ht="13" x14ac:dyDescent="0.15">
      <c r="A843" s="10"/>
      <c r="B843" s="13"/>
      <c r="C843" s="13"/>
    </row>
    <row r="844" spans="1:3" ht="13" x14ac:dyDescent="0.15">
      <c r="A844" s="10"/>
      <c r="B844" s="13"/>
      <c r="C844" s="13"/>
    </row>
    <row r="845" spans="1:3" ht="13" x14ac:dyDescent="0.15">
      <c r="A845" s="10"/>
      <c r="B845" s="13"/>
      <c r="C845" s="13"/>
    </row>
    <row r="846" spans="1:3" ht="13" x14ac:dyDescent="0.15">
      <c r="A846" s="10"/>
      <c r="B846" s="13"/>
      <c r="C846" s="13"/>
    </row>
    <row r="847" spans="1:3" ht="13" x14ac:dyDescent="0.15">
      <c r="A847" s="10"/>
      <c r="B847" s="13"/>
      <c r="C847" s="13"/>
    </row>
    <row r="848" spans="1:3" ht="13" x14ac:dyDescent="0.15">
      <c r="A848" s="10"/>
      <c r="B848" s="13"/>
      <c r="C848" s="13"/>
    </row>
    <row r="849" spans="1:3" ht="13" x14ac:dyDescent="0.15">
      <c r="A849" s="10"/>
      <c r="B849" s="13"/>
      <c r="C849" s="13"/>
    </row>
    <row r="850" spans="1:3" ht="13" x14ac:dyDescent="0.15">
      <c r="A850" s="10"/>
      <c r="B850" s="13"/>
      <c r="C850" s="13"/>
    </row>
    <row r="851" spans="1:3" ht="13" x14ac:dyDescent="0.15">
      <c r="A851" s="10"/>
      <c r="B851" s="13"/>
      <c r="C851" s="13"/>
    </row>
    <row r="852" spans="1:3" ht="13" x14ac:dyDescent="0.15">
      <c r="A852" s="10"/>
      <c r="B852" s="13"/>
      <c r="C852" s="13"/>
    </row>
    <row r="853" spans="1:3" ht="13" x14ac:dyDescent="0.15">
      <c r="A853" s="10"/>
      <c r="B853" s="13"/>
      <c r="C853" s="13"/>
    </row>
    <row r="854" spans="1:3" ht="13" x14ac:dyDescent="0.15">
      <c r="A854" s="10"/>
      <c r="B854" s="13"/>
      <c r="C854" s="13"/>
    </row>
    <row r="855" spans="1:3" ht="13" x14ac:dyDescent="0.15">
      <c r="A855" s="10"/>
      <c r="B855" s="13"/>
      <c r="C855" s="13"/>
    </row>
    <row r="856" spans="1:3" ht="13" x14ac:dyDescent="0.15">
      <c r="A856" s="10"/>
      <c r="B856" s="13"/>
      <c r="C856" s="13"/>
    </row>
    <row r="857" spans="1:3" ht="13" x14ac:dyDescent="0.15">
      <c r="A857" s="10"/>
      <c r="B857" s="13"/>
      <c r="C857" s="13"/>
    </row>
    <row r="858" spans="1:3" ht="13" x14ac:dyDescent="0.15">
      <c r="A858" s="10"/>
      <c r="B858" s="13"/>
      <c r="C858" s="13"/>
    </row>
    <row r="859" spans="1:3" ht="13" x14ac:dyDescent="0.15">
      <c r="A859" s="10"/>
      <c r="B859" s="13"/>
      <c r="C859" s="13"/>
    </row>
    <row r="860" spans="1:3" ht="13" x14ac:dyDescent="0.15">
      <c r="A860" s="10"/>
      <c r="B860" s="13"/>
      <c r="C860" s="13"/>
    </row>
    <row r="861" spans="1:3" ht="13" x14ac:dyDescent="0.15">
      <c r="A861" s="10"/>
      <c r="B861" s="13"/>
      <c r="C861" s="13"/>
    </row>
    <row r="862" spans="1:3" ht="13" x14ac:dyDescent="0.15">
      <c r="A862" s="10"/>
      <c r="B862" s="13"/>
      <c r="C862" s="13"/>
    </row>
    <row r="863" spans="1:3" ht="13" x14ac:dyDescent="0.15">
      <c r="A863" s="10"/>
      <c r="B863" s="13"/>
      <c r="C863" s="13"/>
    </row>
    <row r="864" spans="1:3" ht="13" x14ac:dyDescent="0.15">
      <c r="A864" s="10"/>
      <c r="B864" s="13"/>
      <c r="C864" s="13"/>
    </row>
    <row r="865" spans="1:3" ht="13" x14ac:dyDescent="0.15">
      <c r="A865" s="10"/>
      <c r="B865" s="13"/>
      <c r="C865" s="13"/>
    </row>
    <row r="866" spans="1:3" ht="13" x14ac:dyDescent="0.15">
      <c r="A866" s="10"/>
      <c r="B866" s="13"/>
      <c r="C866" s="13"/>
    </row>
    <row r="867" spans="1:3" ht="13" x14ac:dyDescent="0.15">
      <c r="A867" s="10"/>
      <c r="B867" s="13"/>
      <c r="C867" s="13"/>
    </row>
    <row r="868" spans="1:3" ht="13" x14ac:dyDescent="0.15">
      <c r="A868" s="10"/>
      <c r="B868" s="13"/>
      <c r="C868" s="13"/>
    </row>
    <row r="869" spans="1:3" ht="13" x14ac:dyDescent="0.15">
      <c r="A869" s="10"/>
      <c r="B869" s="13"/>
      <c r="C869" s="13"/>
    </row>
    <row r="870" spans="1:3" ht="13" x14ac:dyDescent="0.15">
      <c r="A870" s="10"/>
      <c r="B870" s="13"/>
      <c r="C870" s="13"/>
    </row>
    <row r="871" spans="1:3" ht="13" x14ac:dyDescent="0.15">
      <c r="A871" s="10"/>
      <c r="B871" s="13"/>
      <c r="C871" s="13"/>
    </row>
    <row r="872" spans="1:3" ht="13" x14ac:dyDescent="0.15">
      <c r="A872" s="10"/>
      <c r="B872" s="13"/>
      <c r="C872" s="13"/>
    </row>
    <row r="873" spans="1:3" ht="13" x14ac:dyDescent="0.15">
      <c r="A873" s="10"/>
      <c r="B873" s="13"/>
      <c r="C873" s="13"/>
    </row>
    <row r="874" spans="1:3" ht="13" x14ac:dyDescent="0.15">
      <c r="A874" s="10"/>
      <c r="B874" s="13"/>
      <c r="C874" s="13"/>
    </row>
    <row r="875" spans="1:3" ht="13" x14ac:dyDescent="0.15">
      <c r="A875" s="10"/>
      <c r="B875" s="13"/>
      <c r="C875" s="13"/>
    </row>
    <row r="876" spans="1:3" ht="13" x14ac:dyDescent="0.15">
      <c r="A876" s="10"/>
      <c r="B876" s="13"/>
      <c r="C876" s="13"/>
    </row>
    <row r="877" spans="1:3" ht="13" x14ac:dyDescent="0.15">
      <c r="A877" s="10"/>
      <c r="B877" s="13"/>
      <c r="C877" s="13"/>
    </row>
    <row r="878" spans="1:3" ht="13" x14ac:dyDescent="0.15">
      <c r="A878" s="10"/>
      <c r="B878" s="13"/>
      <c r="C878" s="13"/>
    </row>
    <row r="879" spans="1:3" ht="13" x14ac:dyDescent="0.15">
      <c r="A879" s="10"/>
      <c r="B879" s="13"/>
      <c r="C879" s="13"/>
    </row>
    <row r="880" spans="1:3" ht="13" x14ac:dyDescent="0.15">
      <c r="A880" s="10"/>
      <c r="B880" s="13"/>
      <c r="C880" s="13"/>
    </row>
    <row r="881" spans="1:3" ht="13" x14ac:dyDescent="0.15">
      <c r="A881" s="10"/>
      <c r="B881" s="13"/>
      <c r="C881" s="13"/>
    </row>
    <row r="882" spans="1:3" ht="13" x14ac:dyDescent="0.15">
      <c r="A882" s="10"/>
      <c r="B882" s="13"/>
      <c r="C882" s="13"/>
    </row>
    <row r="883" spans="1:3" ht="13" x14ac:dyDescent="0.15">
      <c r="A883" s="10"/>
      <c r="B883" s="13"/>
      <c r="C883" s="13"/>
    </row>
    <row r="884" spans="1:3" ht="13" x14ac:dyDescent="0.15">
      <c r="A884" s="10"/>
      <c r="B884" s="13"/>
      <c r="C884" s="13"/>
    </row>
    <row r="885" spans="1:3" ht="13" x14ac:dyDescent="0.15">
      <c r="A885" s="10"/>
      <c r="B885" s="13"/>
      <c r="C885" s="13"/>
    </row>
    <row r="886" spans="1:3" ht="13" x14ac:dyDescent="0.15">
      <c r="A886" s="10"/>
      <c r="B886" s="13"/>
      <c r="C886" s="13"/>
    </row>
    <row r="887" spans="1:3" ht="13" x14ac:dyDescent="0.15">
      <c r="A887" s="10"/>
      <c r="B887" s="13"/>
      <c r="C887" s="13"/>
    </row>
    <row r="888" spans="1:3" ht="13" x14ac:dyDescent="0.15">
      <c r="A888" s="10"/>
      <c r="B888" s="13"/>
      <c r="C888" s="13"/>
    </row>
    <row r="889" spans="1:3" ht="13" x14ac:dyDescent="0.15">
      <c r="A889" s="10"/>
      <c r="B889" s="13"/>
      <c r="C889" s="13"/>
    </row>
    <row r="890" spans="1:3" ht="13" x14ac:dyDescent="0.15">
      <c r="A890" s="10"/>
      <c r="B890" s="13"/>
      <c r="C890" s="13"/>
    </row>
    <row r="891" spans="1:3" ht="13" x14ac:dyDescent="0.15">
      <c r="A891" s="10"/>
      <c r="B891" s="13"/>
      <c r="C891" s="13"/>
    </row>
    <row r="892" spans="1:3" ht="13" x14ac:dyDescent="0.15">
      <c r="A892" s="10"/>
      <c r="B892" s="13"/>
      <c r="C892" s="13"/>
    </row>
    <row r="893" spans="1:3" ht="13" x14ac:dyDescent="0.15">
      <c r="A893" s="10"/>
      <c r="B893" s="13"/>
      <c r="C893" s="13"/>
    </row>
    <row r="894" spans="1:3" ht="13" x14ac:dyDescent="0.15">
      <c r="A894" s="10"/>
      <c r="B894" s="13"/>
      <c r="C894" s="13"/>
    </row>
    <row r="895" spans="1:3" ht="13" x14ac:dyDescent="0.15">
      <c r="A895" s="10"/>
      <c r="B895" s="13"/>
      <c r="C895" s="13"/>
    </row>
    <row r="896" spans="1:3" ht="13" x14ac:dyDescent="0.15">
      <c r="A896" s="10"/>
      <c r="B896" s="13"/>
      <c r="C896" s="13"/>
    </row>
    <row r="897" spans="1:3" ht="13" x14ac:dyDescent="0.15">
      <c r="A897" s="10"/>
      <c r="B897" s="13"/>
      <c r="C897" s="13"/>
    </row>
    <row r="898" spans="1:3" ht="13" x14ac:dyDescent="0.15">
      <c r="A898" s="10"/>
      <c r="B898" s="13"/>
      <c r="C898" s="13"/>
    </row>
    <row r="899" spans="1:3" ht="13" x14ac:dyDescent="0.15">
      <c r="A899" s="10"/>
      <c r="B899" s="13"/>
      <c r="C899" s="13"/>
    </row>
    <row r="900" spans="1:3" ht="13" x14ac:dyDescent="0.15">
      <c r="A900" s="10"/>
      <c r="B900" s="13"/>
      <c r="C900" s="13"/>
    </row>
    <row r="901" spans="1:3" ht="13" x14ac:dyDescent="0.15">
      <c r="A901" s="10"/>
      <c r="B901" s="13"/>
      <c r="C901" s="13"/>
    </row>
    <row r="902" spans="1:3" ht="13" x14ac:dyDescent="0.15">
      <c r="A902" s="10"/>
      <c r="B902" s="13"/>
      <c r="C902" s="13"/>
    </row>
    <row r="903" spans="1:3" ht="13" x14ac:dyDescent="0.15">
      <c r="A903" s="10"/>
      <c r="B903" s="13"/>
      <c r="C903" s="13"/>
    </row>
    <row r="904" spans="1:3" ht="13" x14ac:dyDescent="0.15">
      <c r="A904" s="10"/>
      <c r="B904" s="13"/>
      <c r="C904" s="13"/>
    </row>
    <row r="905" spans="1:3" ht="13" x14ac:dyDescent="0.15">
      <c r="A905" s="10"/>
      <c r="B905" s="13"/>
      <c r="C905" s="13"/>
    </row>
    <row r="906" spans="1:3" ht="13" x14ac:dyDescent="0.15">
      <c r="A906" s="10"/>
      <c r="B906" s="13"/>
      <c r="C906" s="13"/>
    </row>
    <row r="907" spans="1:3" ht="13" x14ac:dyDescent="0.15">
      <c r="A907" s="10"/>
      <c r="B907" s="13"/>
      <c r="C907" s="13"/>
    </row>
    <row r="908" spans="1:3" ht="13" x14ac:dyDescent="0.15">
      <c r="A908" s="10"/>
      <c r="B908" s="13"/>
      <c r="C908" s="13"/>
    </row>
    <row r="909" spans="1:3" ht="13" x14ac:dyDescent="0.15">
      <c r="A909" s="10"/>
      <c r="B909" s="13"/>
      <c r="C909" s="13"/>
    </row>
    <row r="910" spans="1:3" ht="13" x14ac:dyDescent="0.15">
      <c r="A910" s="10"/>
      <c r="B910" s="13"/>
      <c r="C910" s="13"/>
    </row>
    <row r="911" spans="1:3" ht="13" x14ac:dyDescent="0.15">
      <c r="A911" s="10"/>
      <c r="B911" s="13"/>
      <c r="C911" s="13"/>
    </row>
    <row r="912" spans="1:3" ht="13" x14ac:dyDescent="0.15">
      <c r="A912" s="10"/>
      <c r="B912" s="13"/>
      <c r="C912" s="13"/>
    </row>
    <row r="913" spans="1:3" ht="13" x14ac:dyDescent="0.15">
      <c r="A913" s="10"/>
      <c r="B913" s="13"/>
      <c r="C913" s="13"/>
    </row>
    <row r="914" spans="1:3" ht="13" x14ac:dyDescent="0.15">
      <c r="A914" s="10"/>
      <c r="B914" s="13"/>
      <c r="C914" s="13"/>
    </row>
    <row r="915" spans="1:3" ht="13" x14ac:dyDescent="0.15">
      <c r="A915" s="10"/>
      <c r="B915" s="13"/>
      <c r="C915" s="13"/>
    </row>
    <row r="916" spans="1:3" ht="13" x14ac:dyDescent="0.15">
      <c r="A916" s="10"/>
      <c r="B916" s="13"/>
      <c r="C916" s="13"/>
    </row>
    <row r="917" spans="1:3" ht="13" x14ac:dyDescent="0.15">
      <c r="A917" s="10"/>
      <c r="B917" s="13"/>
      <c r="C917" s="13"/>
    </row>
    <row r="918" spans="1:3" ht="13" x14ac:dyDescent="0.15">
      <c r="A918" s="10"/>
      <c r="B918" s="13"/>
      <c r="C918" s="13"/>
    </row>
    <row r="919" spans="1:3" ht="13" x14ac:dyDescent="0.15">
      <c r="A919" s="10"/>
      <c r="B919" s="13"/>
      <c r="C919" s="13"/>
    </row>
    <row r="920" spans="1:3" ht="13" x14ac:dyDescent="0.15">
      <c r="A920" s="10"/>
      <c r="B920" s="13"/>
      <c r="C920" s="13"/>
    </row>
    <row r="921" spans="1:3" ht="13" x14ac:dyDescent="0.15">
      <c r="A921" s="10"/>
      <c r="B921" s="13"/>
      <c r="C921" s="13"/>
    </row>
    <row r="922" spans="1:3" ht="13" x14ac:dyDescent="0.15">
      <c r="A922" s="10"/>
      <c r="B922" s="13"/>
      <c r="C922" s="13"/>
    </row>
    <row r="923" spans="1:3" ht="13" x14ac:dyDescent="0.15">
      <c r="A923" s="10"/>
      <c r="B923" s="13"/>
      <c r="C923" s="13"/>
    </row>
    <row r="924" spans="1:3" ht="13" x14ac:dyDescent="0.15">
      <c r="A924" s="10"/>
      <c r="B924" s="13"/>
      <c r="C924" s="13"/>
    </row>
    <row r="925" spans="1:3" ht="13" x14ac:dyDescent="0.15">
      <c r="A925" s="10"/>
      <c r="B925" s="13"/>
      <c r="C925" s="13"/>
    </row>
    <row r="926" spans="1:3" ht="13" x14ac:dyDescent="0.15">
      <c r="A926" s="10"/>
      <c r="B926" s="13"/>
      <c r="C926" s="13"/>
    </row>
    <row r="927" spans="1:3" ht="13" x14ac:dyDescent="0.15">
      <c r="A927" s="10"/>
      <c r="B927" s="13"/>
      <c r="C927" s="13"/>
    </row>
    <row r="928" spans="1:3" ht="13" x14ac:dyDescent="0.15">
      <c r="A928" s="10"/>
      <c r="B928" s="13"/>
      <c r="C928" s="13"/>
    </row>
    <row r="929" spans="1:3" ht="13" x14ac:dyDescent="0.15">
      <c r="A929" s="10"/>
      <c r="B929" s="13"/>
      <c r="C929" s="13"/>
    </row>
    <row r="930" spans="1:3" ht="13" x14ac:dyDescent="0.15">
      <c r="A930" s="10"/>
      <c r="B930" s="13"/>
      <c r="C930" s="13"/>
    </row>
    <row r="931" spans="1:3" ht="13" x14ac:dyDescent="0.15">
      <c r="A931" s="10"/>
      <c r="B931" s="13"/>
      <c r="C931" s="13"/>
    </row>
    <row r="932" spans="1:3" ht="13" x14ac:dyDescent="0.15">
      <c r="A932" s="10"/>
      <c r="B932" s="13"/>
      <c r="C932" s="13"/>
    </row>
    <row r="933" spans="1:3" ht="13" x14ac:dyDescent="0.15">
      <c r="A933" s="10"/>
      <c r="B933" s="13"/>
      <c r="C933" s="13"/>
    </row>
    <row r="934" spans="1:3" ht="13" x14ac:dyDescent="0.15">
      <c r="A934" s="10"/>
      <c r="B934" s="13"/>
      <c r="C934" s="13"/>
    </row>
    <row r="935" spans="1:3" ht="13" x14ac:dyDescent="0.15">
      <c r="A935" s="10"/>
      <c r="B935" s="13"/>
      <c r="C935" s="13"/>
    </row>
    <row r="936" spans="1:3" ht="13" x14ac:dyDescent="0.15">
      <c r="A936" s="10"/>
      <c r="B936" s="13"/>
      <c r="C936" s="13"/>
    </row>
    <row r="937" spans="1:3" ht="13" x14ac:dyDescent="0.15">
      <c r="A937" s="10"/>
      <c r="B937" s="13"/>
      <c r="C937" s="13"/>
    </row>
    <row r="938" spans="1:3" ht="13" x14ac:dyDescent="0.15">
      <c r="A938" s="10"/>
      <c r="B938" s="13"/>
      <c r="C938" s="13"/>
    </row>
    <row r="939" spans="1:3" ht="13" x14ac:dyDescent="0.15">
      <c r="A939" s="10"/>
      <c r="B939" s="13"/>
      <c r="C939" s="13"/>
    </row>
    <row r="940" spans="1:3" ht="13" x14ac:dyDescent="0.15">
      <c r="A940" s="10"/>
      <c r="B940" s="13"/>
      <c r="C940" s="13"/>
    </row>
    <row r="941" spans="1:3" ht="13" x14ac:dyDescent="0.15">
      <c r="A941" s="10"/>
      <c r="B941" s="13"/>
      <c r="C941" s="13"/>
    </row>
    <row r="942" spans="1:3" ht="13" x14ac:dyDescent="0.15">
      <c r="A942" s="10"/>
      <c r="B942" s="13"/>
      <c r="C942" s="13"/>
    </row>
    <row r="943" spans="1:3" ht="13" x14ac:dyDescent="0.15">
      <c r="A943" s="10"/>
      <c r="B943" s="13"/>
      <c r="C943" s="13"/>
    </row>
    <row r="944" spans="1:3" ht="13" x14ac:dyDescent="0.15">
      <c r="A944" s="10"/>
      <c r="B944" s="13"/>
      <c r="C944" s="13"/>
    </row>
    <row r="945" spans="1:3" ht="13" x14ac:dyDescent="0.15">
      <c r="A945" s="10"/>
      <c r="B945" s="13"/>
      <c r="C945" s="13"/>
    </row>
    <row r="946" spans="1:3" ht="13" x14ac:dyDescent="0.15">
      <c r="A946" s="10"/>
      <c r="B946" s="13"/>
      <c r="C946" s="13"/>
    </row>
    <row r="947" spans="1:3" ht="13" x14ac:dyDescent="0.15">
      <c r="A947" s="10"/>
      <c r="B947" s="13"/>
      <c r="C947" s="13"/>
    </row>
    <row r="948" spans="1:3" ht="13" x14ac:dyDescent="0.15">
      <c r="A948" s="10"/>
      <c r="B948" s="13"/>
      <c r="C948" s="13"/>
    </row>
    <row r="949" spans="1:3" ht="13" x14ac:dyDescent="0.15">
      <c r="A949" s="10"/>
      <c r="B949" s="13"/>
      <c r="C949" s="13"/>
    </row>
    <row r="950" spans="1:3" ht="13" x14ac:dyDescent="0.15">
      <c r="A950" s="10"/>
      <c r="B950" s="13"/>
      <c r="C950" s="13"/>
    </row>
    <row r="951" spans="1:3" ht="13" x14ac:dyDescent="0.15">
      <c r="A951" s="10"/>
      <c r="B951" s="13"/>
      <c r="C951" s="13"/>
    </row>
    <row r="952" spans="1:3" ht="13" x14ac:dyDescent="0.15">
      <c r="A952" s="10"/>
      <c r="B952" s="13"/>
      <c r="C952" s="13"/>
    </row>
    <row r="953" spans="1:3" ht="13" x14ac:dyDescent="0.15">
      <c r="A953" s="10"/>
      <c r="B953" s="13"/>
      <c r="C953" s="13"/>
    </row>
    <row r="954" spans="1:3" ht="13" x14ac:dyDescent="0.15">
      <c r="A954" s="10"/>
      <c r="B954" s="13"/>
      <c r="C954" s="13"/>
    </row>
    <row r="955" spans="1:3" ht="13" x14ac:dyDescent="0.15">
      <c r="A955" s="10"/>
      <c r="B955" s="13"/>
      <c r="C955" s="13"/>
    </row>
    <row r="956" spans="1:3" ht="13" x14ac:dyDescent="0.15">
      <c r="A956" s="10"/>
      <c r="B956" s="13"/>
      <c r="C956" s="13"/>
    </row>
    <row r="957" spans="1:3" ht="13" x14ac:dyDescent="0.15">
      <c r="A957" s="10"/>
      <c r="B957" s="13"/>
      <c r="C957" s="13"/>
    </row>
    <row r="958" spans="1:3" ht="13" x14ac:dyDescent="0.15">
      <c r="A958" s="10"/>
      <c r="B958" s="13"/>
      <c r="C958" s="13"/>
    </row>
    <row r="959" spans="1:3" ht="13" x14ac:dyDescent="0.15">
      <c r="A959" s="10"/>
      <c r="B959" s="13"/>
      <c r="C959" s="13"/>
    </row>
    <row r="960" spans="1:3" ht="13" x14ac:dyDescent="0.15">
      <c r="A960" s="10"/>
      <c r="B960" s="13"/>
      <c r="C960" s="13"/>
    </row>
    <row r="961" spans="1:3" ht="13" x14ac:dyDescent="0.15">
      <c r="A961" s="10"/>
      <c r="B961" s="13"/>
      <c r="C961" s="13"/>
    </row>
    <row r="962" spans="1:3" ht="13" x14ac:dyDescent="0.15">
      <c r="A962" s="10"/>
      <c r="B962" s="13"/>
      <c r="C962" s="13"/>
    </row>
    <row r="963" spans="1:3" ht="13" x14ac:dyDescent="0.15">
      <c r="A963" s="10"/>
      <c r="B963" s="13"/>
      <c r="C963" s="13"/>
    </row>
    <row r="964" spans="1:3" ht="13" x14ac:dyDescent="0.15">
      <c r="A964" s="10"/>
      <c r="B964" s="13"/>
      <c r="C964" s="13"/>
    </row>
    <row r="965" spans="1:3" ht="13" x14ac:dyDescent="0.15">
      <c r="A965" s="10"/>
      <c r="B965" s="13"/>
      <c r="C965" s="13"/>
    </row>
    <row r="966" spans="1:3" ht="13" x14ac:dyDescent="0.15">
      <c r="A966" s="10"/>
      <c r="B966" s="13"/>
      <c r="C966" s="13"/>
    </row>
    <row r="967" spans="1:3" ht="13" x14ac:dyDescent="0.15">
      <c r="A967" s="10"/>
      <c r="B967" s="13"/>
      <c r="C967" s="13"/>
    </row>
    <row r="968" spans="1:3" ht="13" x14ac:dyDescent="0.15">
      <c r="A968" s="10"/>
      <c r="B968" s="13"/>
      <c r="C968" s="13"/>
    </row>
    <row r="969" spans="1:3" ht="13" x14ac:dyDescent="0.15">
      <c r="A969" s="10"/>
      <c r="B969" s="13"/>
      <c r="C969" s="13"/>
    </row>
    <row r="970" spans="1:3" ht="13" x14ac:dyDescent="0.15">
      <c r="A970" s="10"/>
      <c r="B970" s="13"/>
      <c r="C970" s="13"/>
    </row>
    <row r="971" spans="1:3" ht="13" x14ac:dyDescent="0.15">
      <c r="A971" s="10"/>
      <c r="B971" s="13"/>
      <c r="C971" s="13"/>
    </row>
    <row r="972" spans="1:3" ht="13" x14ac:dyDescent="0.15">
      <c r="A972" s="10"/>
      <c r="B972" s="13"/>
      <c r="C972" s="13"/>
    </row>
    <row r="973" spans="1:3" ht="13" x14ac:dyDescent="0.15">
      <c r="A973" s="10"/>
      <c r="B973" s="13"/>
      <c r="C973" s="13"/>
    </row>
    <row r="974" spans="1:3" ht="13" x14ac:dyDescent="0.15">
      <c r="A974" s="10"/>
      <c r="B974" s="13"/>
      <c r="C974" s="13"/>
    </row>
    <row r="975" spans="1:3" ht="13" x14ac:dyDescent="0.15">
      <c r="A975" s="10"/>
      <c r="B975" s="13"/>
      <c r="C975" s="13"/>
    </row>
    <row r="976" spans="1:3" ht="13" x14ac:dyDescent="0.15">
      <c r="A976" s="10"/>
      <c r="B976" s="13"/>
      <c r="C976" s="13"/>
    </row>
    <row r="977" spans="1:3" ht="13" x14ac:dyDescent="0.15">
      <c r="A977" s="10"/>
      <c r="B977" s="13"/>
      <c r="C977" s="13"/>
    </row>
    <row r="978" spans="1:3" ht="13" x14ac:dyDescent="0.15">
      <c r="A978" s="10"/>
      <c r="B978" s="13"/>
      <c r="C978" s="13"/>
    </row>
    <row r="979" spans="1:3" ht="13" x14ac:dyDescent="0.15">
      <c r="A979" s="10"/>
      <c r="B979" s="13"/>
      <c r="C979" s="13"/>
    </row>
    <row r="980" spans="1:3" ht="13" x14ac:dyDescent="0.15">
      <c r="A980" s="10"/>
      <c r="B980" s="13"/>
      <c r="C980" s="13"/>
    </row>
    <row r="981" spans="1:3" ht="13" x14ac:dyDescent="0.15">
      <c r="A981" s="10"/>
      <c r="B981" s="13"/>
      <c r="C981" s="13"/>
    </row>
    <row r="982" spans="1:3" ht="13" x14ac:dyDescent="0.15">
      <c r="A982" s="10"/>
      <c r="B982" s="13"/>
      <c r="C982" s="13"/>
    </row>
    <row r="983" spans="1:3" ht="13" x14ac:dyDescent="0.15">
      <c r="A983" s="10"/>
      <c r="B983" s="13"/>
      <c r="C983" s="13"/>
    </row>
    <row r="984" spans="1:3" ht="13" x14ac:dyDescent="0.15">
      <c r="A984" s="10"/>
      <c r="B984" s="13"/>
      <c r="C984" s="13"/>
    </row>
    <row r="985" spans="1:3" ht="13" x14ac:dyDescent="0.15">
      <c r="A985" s="10"/>
      <c r="B985" s="13"/>
      <c r="C985" s="13"/>
    </row>
    <row r="986" spans="1:3" ht="13" x14ac:dyDescent="0.15">
      <c r="A986" s="10"/>
      <c r="B986" s="13"/>
      <c r="C986" s="13"/>
    </row>
    <row r="987" spans="1:3" ht="13" x14ac:dyDescent="0.15">
      <c r="A987" s="10"/>
      <c r="B987" s="13"/>
      <c r="C987" s="13"/>
    </row>
    <row r="988" spans="1:3" ht="13" x14ac:dyDescent="0.15">
      <c r="A988" s="10"/>
      <c r="B988" s="13"/>
      <c r="C988" s="13"/>
    </row>
    <row r="989" spans="1:3" ht="13" x14ac:dyDescent="0.15">
      <c r="A989" s="10"/>
      <c r="B989" s="13"/>
      <c r="C989" s="13"/>
    </row>
    <row r="990" spans="1:3" ht="13" x14ac:dyDescent="0.15">
      <c r="A990" s="10"/>
      <c r="B990" s="13"/>
      <c r="C990" s="13"/>
    </row>
    <row r="991" spans="1:3" ht="13" x14ac:dyDescent="0.15">
      <c r="A991" s="10"/>
      <c r="B991" s="13"/>
      <c r="C991" s="13"/>
    </row>
    <row r="992" spans="1:3" ht="13" x14ac:dyDescent="0.15">
      <c r="A992" s="10"/>
      <c r="B992" s="13"/>
      <c r="C992" s="13"/>
    </row>
    <row r="993" spans="1:3" ht="13" x14ac:dyDescent="0.15">
      <c r="A993" s="10"/>
      <c r="B993" s="13"/>
      <c r="C993" s="13"/>
    </row>
    <row r="994" spans="1:3" ht="13" x14ac:dyDescent="0.15">
      <c r="A994" s="10"/>
      <c r="B994" s="13"/>
      <c r="C994" s="13"/>
    </row>
    <row r="995" spans="1:3" ht="13" x14ac:dyDescent="0.15">
      <c r="A995" s="10"/>
      <c r="B995" s="13"/>
      <c r="C995" s="13"/>
    </row>
    <row r="996" spans="1:3" ht="13" x14ac:dyDescent="0.15">
      <c r="A996" s="10"/>
      <c r="B996" s="13"/>
      <c r="C996" s="13"/>
    </row>
    <row r="997" spans="1:3" ht="13" x14ac:dyDescent="0.15">
      <c r="A997" s="10"/>
      <c r="B997" s="13"/>
      <c r="C997" s="13"/>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outlinePr summaryBelow="0" summaryRight="0"/>
  </sheetPr>
  <dimension ref="A1:D997"/>
  <sheetViews>
    <sheetView workbookViewId="0"/>
  </sheetViews>
  <sheetFormatPr baseColWidth="10" defaultColWidth="12.6640625" defaultRowHeight="15.75" customHeight="1" x14ac:dyDescent="0.15"/>
  <cols>
    <col min="1" max="1" width="71.5" customWidth="1"/>
    <col min="2" max="4" width="37.6640625" customWidth="1"/>
  </cols>
  <sheetData>
    <row r="1" spans="1:4" ht="15.75" customHeight="1" x14ac:dyDescent="0.15">
      <c r="A1" s="1"/>
      <c r="B1" s="10" t="str">
        <f ca="1">IFERROR(__xludf.DUMMYFUNCTION("IMPORTRANGE(""https://docs.google.com/spreadsheets/u/0/d/1e6QLf1_HeiTNz7JOFlwsfbt48UsSPCJuGTSppexqIJc"", ""38!B1:B22"")"),"Tyler Thibodeaux")</f>
        <v>Tyler Thibodeaux</v>
      </c>
      <c r="C1" s="10" t="str">
        <f ca="1">IFERROR(__xludf.DUMMYFUNCTION("IMPORTRANGE(""https://docs.google.com/spreadsheets/u/0/d/1Rfwd61p8X8kU1VBE4PFTeYG7-2eZzi6BYhKfon6XtRs"", ""A39!B1:B22"")"),"Korie Hall")</f>
        <v>Korie Hall</v>
      </c>
      <c r="D1" s="2" t="s">
        <v>1</v>
      </c>
    </row>
    <row r="2" spans="1:4" ht="15.75" customHeight="1" x14ac:dyDescent="0.15">
      <c r="A2" s="3" t="s">
        <v>2</v>
      </c>
      <c r="B2" s="15" t="str">
        <f ca="1">IFERROR(__xludf.DUMMYFUNCTION("""COMPUTED_VALUE"""),"25075 to 25455 (Forward)")</f>
        <v>25075 to 25455 (Forward)</v>
      </c>
      <c r="C2" s="15" t="str">
        <f ca="1">IFERROR(__xludf.DUMMYFUNCTION("""COMPUTED_VALUE"""),"Start: 25075 / Stop: 25455")</f>
        <v>Start: 25075 / Stop: 25455</v>
      </c>
      <c r="D2" s="4"/>
    </row>
    <row r="3" spans="1:4" ht="15.75" customHeight="1" x14ac:dyDescent="0.15">
      <c r="A3" s="5" t="s">
        <v>3</v>
      </c>
      <c r="B3" s="17" t="str">
        <f ca="1">IFERROR(__xludf.DUMMYFUNCTION("""COMPUTED_VALUE"""),"DNAm: 38, PHAM:39")</f>
        <v>DNAm: 38, PHAM:39</v>
      </c>
      <c r="C3" s="17" t="str">
        <f ca="1">IFERROR(__xludf.DUMMYFUNCTION("""COMPUTED_VALUE""")," DNA Master: Gene 38 / Phamerator: Gene 39")</f>
        <v xml:space="preserve"> DNA Master: Gene 38 / Phamerator: Gene 39</v>
      </c>
      <c r="D3" s="6"/>
    </row>
    <row r="4" spans="1:4" ht="15.75" customHeight="1" x14ac:dyDescent="0.15">
      <c r="A4" s="5" t="s">
        <v>4</v>
      </c>
      <c r="B4" s="17" t="str">
        <f ca="1">IFERROR(__xludf.DUMMYFUNCTION("""COMPUTED_VALUE"""),"pham 199818, 3-10-25")</f>
        <v>pham 199818, 3-10-25</v>
      </c>
      <c r="C4" s="17">
        <f ca="1">IFERROR(__xludf.DUMMYFUNCTION("""COMPUTED_VALUE"""),199818)</f>
        <v>199818</v>
      </c>
      <c r="D4" s="6"/>
    </row>
    <row r="5" spans="1:4" ht="15.75" customHeight="1" x14ac:dyDescent="0.15">
      <c r="A5" s="5" t="s">
        <v>5</v>
      </c>
      <c r="B5" s="17" t="str">
        <f ca="1">IFERROR(__xludf.DUMMYFUNCTION("""COMPUTED_VALUE"""),"Kovu_40")</f>
        <v>Kovu_40</v>
      </c>
      <c r="C5" s="17" t="str">
        <f ca="1">IFERROR(__xludf.DUMMYFUNCTION("""COMPUTED_VALUE"""),"Kovu_40")</f>
        <v>Kovu_40</v>
      </c>
      <c r="D5" s="6"/>
    </row>
    <row r="6" spans="1:4" ht="15.75" customHeight="1" x14ac:dyDescent="0.15">
      <c r="A6" s="5" t="s">
        <v>6</v>
      </c>
      <c r="B6" s="17" t="str">
        <f ca="1">IFERROR(__xludf.DUMMYFUNCTION("""COMPUTED_VALUE"""),"Original Glimmer call @bp 25075, Both call for this gene. ")</f>
        <v xml:space="preserve">Original Glimmer call @bp 25075, Both call for this gene. </v>
      </c>
      <c r="C6" s="17" t="str">
        <f ca="1">IFERROR(__xludf.DUMMYFUNCTION("""COMPUTED_VALUE"""),"Glimmer and Genemark both support this gene ")</f>
        <v xml:space="preserve">Glimmer and Genemark both support this gene </v>
      </c>
      <c r="D6" s="6"/>
    </row>
    <row r="7" spans="1:4" ht="15.75" customHeight="1" x14ac:dyDescent="0.15">
      <c r="A7" s="5" t="s">
        <v>7</v>
      </c>
      <c r="B7" s="17" t="str">
        <f ca="1">IFERROR(__xludf.DUMMYFUNCTION("""COMPUTED_VALUE"""),"Good coding potential, it is mostly included with this start.")</f>
        <v>Good coding potential, it is mostly included with this start.</v>
      </c>
      <c r="C7" s="17" t="str">
        <f ca="1">IFERROR(__xludf.DUMMYFUNCTION("""COMPUTED_VALUE"""),"Called start codon includes all coding potential, which appears to be very high")</f>
        <v>Called start codon includes all coding potential, which appears to be very high</v>
      </c>
      <c r="D7" s="6"/>
    </row>
    <row r="8" spans="1:4" ht="15.75" customHeight="1" x14ac:dyDescent="0.15">
      <c r="A8" s="5" t="s">
        <v>8</v>
      </c>
      <c r="B8" s="17" t="str">
        <f ca="1">IFERROR(__xludf.DUMMYFUNCTION("""COMPUTED_VALUE"""),"It is the longest possible ")</f>
        <v xml:space="preserve">It is the longest possible </v>
      </c>
      <c r="C8" s="17" t="str">
        <f ca="1">IFERROR(__xludf.DUMMYFUNCTION("""COMPUTED_VALUE"""),"Yes")</f>
        <v>Yes</v>
      </c>
      <c r="D8" s="6"/>
    </row>
    <row r="9" spans="1:4" ht="15.75" customHeight="1" x14ac:dyDescent="0.15">
      <c r="A9" s="5" t="s">
        <v>9</v>
      </c>
      <c r="B9" s="17" t="str">
        <f ca="1">IFERROR(__xludf.DUMMYFUNCTION("""COMPUTED_VALUE"""),"3 nucleotide overlap. ")</f>
        <v xml:space="preserve">3 nucleotide overlap. </v>
      </c>
      <c r="C9" s="17" t="str">
        <f ca="1">IFERROR(__xludf.DUMMYFUNCTION("""COMPUTED_VALUE"""),"3 bp overlap between gene 38 and gene 39")</f>
        <v>3 bp overlap between gene 38 and gene 39</v>
      </c>
      <c r="D9" s="6"/>
    </row>
    <row r="10" spans="1:4" ht="15.75" customHeight="1" x14ac:dyDescent="0.15">
      <c r="A10" s="5" t="s">
        <v>10</v>
      </c>
      <c r="B10" s="17" t="str">
        <f ca="1">IFERROR(__xludf.DUMMYFUNCTION("""COMPUTED_VALUE"""),"Start 3, Z score: 2.807, The best score relative to coding potential")</f>
        <v>Start 3, Z score: 2.807, The best score relative to coding potential</v>
      </c>
      <c r="C10" s="17" t="str">
        <f ca="1">IFERROR(__xludf.DUMMYFUNCTION("""COMPUTED_VALUE"""),"Z-score: 1.371 / Final score: -5.917")</f>
        <v>Z-score: 1.371 / Final score: -5.917</v>
      </c>
      <c r="D10" s="6"/>
    </row>
    <row r="11" spans="1:4" ht="15.75" customHeight="1" x14ac:dyDescent="0.15">
      <c r="A11" s="5" t="s">
        <v>11</v>
      </c>
      <c r="B11" s="17" t="str">
        <f ca="1">IFERROR(__xludf.DUMMYFUNCTION("""COMPUTED_VALUE"""),"Kovu_40, 56% identity, 7e-26, q1:s1")</f>
        <v>Kovu_40, 56% identity, 7e-26, q1:s1</v>
      </c>
      <c r="C11" s="17" t="str">
        <f ca="1">IFERROR(__xludf.DUMMYFUNCTION("""COMPUTED_VALUE"""),"Kovu_40 - % identity: 56% / e-value: 7e-26 / q1:s1")</f>
        <v>Kovu_40 - % identity: 56% / e-value: 7e-26 / q1:s1</v>
      </c>
      <c r="D11" s="6"/>
    </row>
    <row r="12" spans="1:4" ht="15.75" customHeight="1" x14ac:dyDescent="0.15">
      <c r="A12" s="5" t="s">
        <v>12</v>
      </c>
      <c r="B12" s="17" t="str">
        <f ca="1">IFERROR(__xludf.DUMMYFUNCTION("""COMPUTED_VALUE"""),"It is only in Kovu_40 and Apokipo_39, It is called 100% of the time")</f>
        <v>It is only in Kovu_40 and Apokipo_39, It is called 100% of the time</v>
      </c>
      <c r="C12" s="17" t="str">
        <f ca="1">IFERROR(__xludf.DUMMYFUNCTION("""COMPUTED_VALUE"""),"Conserved in all members of the pham ( 2 of 2 ) / Called 100% of the time ")</f>
        <v xml:space="preserve">Conserved in all members of the pham ( 2 of 2 ) / Called 100% of the time </v>
      </c>
      <c r="D12" s="6"/>
    </row>
    <row r="13" spans="1:4" ht="15.75" customHeight="1" x14ac:dyDescent="0.15">
      <c r="A13" s="5" t="s">
        <v>13</v>
      </c>
      <c r="B13" s="17" t="str">
        <f ca="1">IFERROR(__xludf.DUMMYFUNCTION("""COMPUTED_VALUE"""),"No")</f>
        <v>No</v>
      </c>
      <c r="C13" s="17" t="str">
        <f ca="1">IFERROR(__xludf.DUMMYFUNCTION("""COMPUTED_VALUE"""),"Start codon is well supported--moving it would lose high coding potential")</f>
        <v>Start codon is well supported--moving it would lose high coding potential</v>
      </c>
      <c r="D13" s="6"/>
    </row>
    <row r="14" spans="1:4" ht="15.75" customHeight="1" x14ac:dyDescent="0.15">
      <c r="A14" s="5" t="s">
        <v>14</v>
      </c>
      <c r="B14" s="17" t="str">
        <f ca="1">IFERROR(__xludf.DUMMYFUNCTION("""COMPUTED_VALUE"""),"Kovu_40, 9e-21, Hypothetical protein")</f>
        <v>Kovu_40, 9e-21, Hypothetical protein</v>
      </c>
      <c r="C14" s="17" t="str">
        <f ca="1">IFERROR(__xludf.DUMMYFUNCTION("""COMPUTED_VALUE"""),"Kovu_40 -  e-value: 9e-32")</f>
        <v>Kovu_40 -  e-value: 9e-32</v>
      </c>
      <c r="D14" s="6"/>
    </row>
    <row r="15" spans="1:4" ht="15.75" customHeight="1" x14ac:dyDescent="0.15">
      <c r="A15" s="5" t="s">
        <v>15</v>
      </c>
      <c r="B15" s="17" t="str">
        <f ca="1">IFERROR(__xludf.DUMMYFUNCTION("""COMPUTED_VALUE"""),"Kovu_40, Hypothetical protein")</f>
        <v>Kovu_40, Hypothetical protein</v>
      </c>
      <c r="C15" s="17" t="str">
        <f ca="1">IFERROR(__xludf.DUMMYFUNCTION("""COMPUTED_VALUE"""),"Kovu_40 - Membrane protein")</f>
        <v>Kovu_40 - Membrane protein</v>
      </c>
      <c r="D15" s="6"/>
    </row>
    <row r="16" spans="1:4" ht="15.75" customHeight="1" x14ac:dyDescent="0.15">
      <c r="A16" s="5" t="s">
        <v>16</v>
      </c>
      <c r="B16" s="17" t="str">
        <f ca="1">IFERROR(__xludf.DUMMYFUNCTION("""COMPUTED_VALUE"""),"Relatively good syteny, it is mostly in the same enviornment as Kovu")</f>
        <v>Relatively good syteny, it is mostly in the same enviornment as Kovu</v>
      </c>
      <c r="C16" s="17" t="str">
        <f ca="1">IFERROR(__xludf.DUMMYFUNCTION("""COMPUTED_VALUE"""),"Function is as expected in genome / adjacent to Kovu_40")</f>
        <v>Function is as expected in genome / adjacent to Kovu_40</v>
      </c>
      <c r="D16" s="6"/>
    </row>
    <row r="17" spans="1:4" ht="15.75" customHeight="1" x14ac:dyDescent="0.15">
      <c r="A17" s="5" t="s">
        <v>17</v>
      </c>
      <c r="B17" s="17" t="str">
        <f ca="1">IFERROR(__xludf.DUMMYFUNCTION("""COMPUTED_VALUE"""),"Doesn't help. ")</f>
        <v xml:space="preserve">Doesn't help. </v>
      </c>
      <c r="C17" s="17" t="str">
        <f ca="1">IFERROR(__xludf.DUMMYFUNCTION("""COMPUTED_VALUE"""),"Heme exporter protein D; ATP-binding exporter, Heme transmembrane transporter, Cytochrome c biogenesis protein / Probability: 94.78% / % alignment of query: 43% / % alignment of target: 79% ")</f>
        <v xml:space="preserve">Heme exporter protein D; ATP-binding exporter, Heme transmembrane transporter, Cytochrome c biogenesis protein / Probability: 94.78% / % alignment of query: 43% / % alignment of target: 79% </v>
      </c>
      <c r="D17" s="6"/>
    </row>
    <row r="18" spans="1:4" ht="15.75" customHeight="1" x14ac:dyDescent="0.15">
      <c r="A18" s="5" t="s">
        <v>18</v>
      </c>
      <c r="B18" s="17" t="str">
        <f ca="1">IFERROR(__xludf.DUMMYFUNCTION("""COMPUTED_VALUE"""),"none")</f>
        <v>none</v>
      </c>
      <c r="C18" s="17" t="str">
        <f ca="1">IFERROR(__xludf.DUMMYFUNCTION("""COMPUTED_VALUE"""),"No conserved domain identified")</f>
        <v>No conserved domain identified</v>
      </c>
      <c r="D18" s="6"/>
    </row>
    <row r="19" spans="1:4" ht="15.75" customHeight="1" x14ac:dyDescent="0.15">
      <c r="A19" s="5" t="s">
        <v>19</v>
      </c>
      <c r="B19" s="17" t="str">
        <f ca="1">IFERROR(__xludf.DUMMYFUNCTION("""COMPUTED_VALUE"""),"deeptmhmm
Query Start (Amino Acid Position): 6
Query End (Amino Acid Position): 24
Type: transmembrane")</f>
        <v>deeptmhmm
Query Start (Amino Acid Position): 6
Query End (Amino Acid Position): 24
Type: transmembrane</v>
      </c>
      <c r="C19" s="17" t="str">
        <f ca="1">IFERROR(__xludf.DUMMYFUNCTION("""COMPUTED_VALUE"""),"Transmembrane protein identified ")</f>
        <v xml:space="preserve">Transmembrane protein identified </v>
      </c>
      <c r="D19" s="6"/>
    </row>
    <row r="20" spans="1:4" ht="15.75" customHeight="1" x14ac:dyDescent="0.15">
      <c r="A20" s="5" t="s">
        <v>20</v>
      </c>
      <c r="B20" s="17" t="str">
        <f ca="1">IFERROR(__xludf.DUMMYFUNCTION("""COMPUTED_VALUE""")," Hypothetical Protein based the on the NCIB blast and phagesdb blast")</f>
        <v xml:space="preserve"> Hypothetical Protein based the on the NCIB blast and phagesdb blast</v>
      </c>
      <c r="C20" s="17" t="str">
        <f ca="1">IFERROR(__xludf.DUMMYFUNCTION("""COMPUTED_VALUE"""),"Membrane protein ( Rationale: Singular transmembrane protein has been identified / based on the data from the adjacent gene and reliable matches this seems to be the best call )")</f>
        <v>Membrane protein ( Rationale: Singular transmembrane protein has been identified / based on the data from the adjacent gene and reliable matches this seems to be the best call )</v>
      </c>
      <c r="D20" s="6"/>
    </row>
    <row r="21" spans="1:4" x14ac:dyDescent="0.2">
      <c r="A21" s="7"/>
      <c r="B21" s="19"/>
      <c r="C21" s="19"/>
      <c r="D21" s="8"/>
    </row>
    <row r="22" spans="1:4" ht="15.75" customHeight="1" x14ac:dyDescent="0.15">
      <c r="A22" s="9" t="s">
        <v>21</v>
      </c>
      <c r="B22" s="19"/>
      <c r="C22" s="19"/>
      <c r="D22" s="8"/>
    </row>
    <row r="23" spans="1:4" ht="15.75" customHeight="1" x14ac:dyDescent="0.15">
      <c r="A23" s="10"/>
      <c r="B23" s="13"/>
      <c r="C23" s="13"/>
    </row>
    <row r="24" spans="1:4" ht="15.75" customHeight="1" x14ac:dyDescent="0.15">
      <c r="A24" s="10"/>
      <c r="B24" s="13"/>
      <c r="C24" s="13"/>
    </row>
    <row r="25" spans="1:4" ht="15.75" customHeight="1" x14ac:dyDescent="0.15">
      <c r="A25" s="10"/>
      <c r="B25" s="13"/>
      <c r="C25" s="13"/>
    </row>
    <row r="26" spans="1:4" ht="15.75" customHeight="1" x14ac:dyDescent="0.15">
      <c r="A26" s="10"/>
      <c r="B26" s="13"/>
      <c r="C26" s="13"/>
    </row>
    <row r="27" spans="1:4" ht="15.75" customHeight="1" x14ac:dyDescent="0.15">
      <c r="A27" s="10"/>
      <c r="B27" s="13"/>
      <c r="C27" s="13"/>
    </row>
    <row r="28" spans="1:4" ht="15.75" customHeight="1" x14ac:dyDescent="0.15">
      <c r="A28" s="10"/>
      <c r="B28" s="13"/>
      <c r="C28" s="13"/>
    </row>
    <row r="29" spans="1:4" ht="15.75" customHeight="1" x14ac:dyDescent="0.15">
      <c r="A29" s="10"/>
      <c r="B29" s="13"/>
      <c r="C29" s="13"/>
    </row>
    <row r="30" spans="1:4" ht="15.75" customHeight="1" x14ac:dyDescent="0.15">
      <c r="A30" s="10"/>
      <c r="B30" s="13"/>
      <c r="C30" s="13"/>
    </row>
    <row r="31" spans="1:4" ht="15.75" customHeight="1" x14ac:dyDescent="0.15">
      <c r="A31" s="10"/>
      <c r="B31" s="13"/>
      <c r="C31" s="13"/>
    </row>
    <row r="32" spans="1:4" ht="15.75" customHeight="1" x14ac:dyDescent="0.15">
      <c r="A32" s="10"/>
      <c r="B32" s="13"/>
      <c r="C32" s="13"/>
    </row>
    <row r="33" spans="1:3" ht="15.75" customHeight="1" x14ac:dyDescent="0.15">
      <c r="A33" s="10"/>
      <c r="B33" s="13"/>
      <c r="C33" s="13"/>
    </row>
    <row r="34" spans="1:3" ht="15.75" customHeight="1" x14ac:dyDescent="0.15">
      <c r="A34" s="10"/>
      <c r="B34" s="13"/>
      <c r="C34" s="13"/>
    </row>
    <row r="35" spans="1:3" ht="15.75" customHeight="1" x14ac:dyDescent="0.15">
      <c r="A35" s="10"/>
      <c r="B35" s="13"/>
      <c r="C35" s="13"/>
    </row>
    <row r="36" spans="1:3" ht="15.75" customHeight="1" x14ac:dyDescent="0.15">
      <c r="A36" s="10"/>
      <c r="B36" s="13"/>
      <c r="C36" s="13"/>
    </row>
    <row r="37" spans="1:3" ht="15.75" customHeight="1" x14ac:dyDescent="0.15">
      <c r="A37" s="10"/>
      <c r="B37" s="13"/>
      <c r="C37" s="13"/>
    </row>
    <row r="38" spans="1:3" ht="15.75" customHeight="1" x14ac:dyDescent="0.15">
      <c r="A38" s="10"/>
      <c r="B38" s="13"/>
      <c r="C38" s="13"/>
    </row>
    <row r="39" spans="1:3" ht="13" x14ac:dyDescent="0.15">
      <c r="A39" s="10"/>
      <c r="B39" s="13"/>
      <c r="C39" s="13"/>
    </row>
    <row r="40" spans="1:3" ht="13" x14ac:dyDescent="0.15">
      <c r="A40" s="10"/>
      <c r="B40" s="13"/>
      <c r="C40" s="13"/>
    </row>
    <row r="41" spans="1:3" ht="13" x14ac:dyDescent="0.15">
      <c r="A41" s="10"/>
      <c r="B41" s="13"/>
      <c r="C41" s="13"/>
    </row>
    <row r="42" spans="1:3" ht="13" x14ac:dyDescent="0.15">
      <c r="A42" s="10"/>
      <c r="B42" s="13"/>
      <c r="C42" s="13"/>
    </row>
    <row r="43" spans="1:3" ht="13" x14ac:dyDescent="0.15">
      <c r="A43" s="10"/>
      <c r="B43" s="13"/>
      <c r="C43" s="13"/>
    </row>
    <row r="44" spans="1:3" ht="13" x14ac:dyDescent="0.15">
      <c r="A44" s="10"/>
      <c r="B44" s="13"/>
      <c r="C44" s="13"/>
    </row>
    <row r="45" spans="1:3" ht="13" x14ac:dyDescent="0.15">
      <c r="A45" s="10"/>
      <c r="B45" s="13"/>
      <c r="C45" s="13"/>
    </row>
    <row r="46" spans="1:3" ht="13" x14ac:dyDescent="0.15">
      <c r="A46" s="10"/>
      <c r="B46" s="13"/>
      <c r="C46" s="13"/>
    </row>
    <row r="47" spans="1:3" ht="13" x14ac:dyDescent="0.15">
      <c r="A47" s="10"/>
      <c r="B47" s="13"/>
      <c r="C47" s="13"/>
    </row>
    <row r="48" spans="1:3" ht="13" x14ac:dyDescent="0.15">
      <c r="A48" s="10"/>
      <c r="B48" s="13"/>
      <c r="C48" s="13"/>
    </row>
    <row r="49" spans="1:3" ht="13" x14ac:dyDescent="0.15">
      <c r="A49" s="10"/>
      <c r="B49" s="13"/>
      <c r="C49" s="13"/>
    </row>
    <row r="50" spans="1:3" ht="13" x14ac:dyDescent="0.15">
      <c r="A50" s="10"/>
      <c r="B50" s="13"/>
      <c r="C50" s="13"/>
    </row>
    <row r="51" spans="1:3" ht="13" x14ac:dyDescent="0.15">
      <c r="A51" s="10"/>
      <c r="B51" s="13"/>
      <c r="C51" s="13"/>
    </row>
    <row r="52" spans="1:3" ht="13" x14ac:dyDescent="0.15">
      <c r="A52" s="10"/>
      <c r="B52" s="13"/>
      <c r="C52" s="13"/>
    </row>
    <row r="53" spans="1:3" ht="13" x14ac:dyDescent="0.15">
      <c r="A53" s="10"/>
      <c r="B53" s="13"/>
      <c r="C53" s="13"/>
    </row>
    <row r="54" spans="1:3" ht="13" x14ac:dyDescent="0.15">
      <c r="A54" s="10"/>
      <c r="B54" s="13"/>
      <c r="C54" s="13"/>
    </row>
    <row r="55" spans="1:3" ht="13" x14ac:dyDescent="0.15">
      <c r="A55" s="10"/>
      <c r="B55" s="13"/>
      <c r="C55" s="13"/>
    </row>
    <row r="56" spans="1:3" ht="13" x14ac:dyDescent="0.15">
      <c r="A56" s="10"/>
      <c r="B56" s="13"/>
      <c r="C56" s="13"/>
    </row>
    <row r="57" spans="1:3" ht="13" x14ac:dyDescent="0.15">
      <c r="A57" s="10"/>
      <c r="B57" s="13"/>
      <c r="C57" s="13"/>
    </row>
    <row r="58" spans="1:3" ht="13" x14ac:dyDescent="0.15">
      <c r="A58" s="10"/>
      <c r="B58" s="13"/>
      <c r="C58" s="13"/>
    </row>
    <row r="59" spans="1:3" ht="13" x14ac:dyDescent="0.15">
      <c r="A59" s="10"/>
      <c r="B59" s="13"/>
      <c r="C59" s="13"/>
    </row>
    <row r="60" spans="1:3" ht="13" x14ac:dyDescent="0.15">
      <c r="A60" s="10"/>
      <c r="B60" s="13"/>
      <c r="C60" s="13"/>
    </row>
    <row r="61" spans="1:3" ht="13" x14ac:dyDescent="0.15">
      <c r="A61" s="10"/>
      <c r="B61" s="13"/>
      <c r="C61" s="13"/>
    </row>
    <row r="62" spans="1:3" ht="13" x14ac:dyDescent="0.15">
      <c r="A62" s="10"/>
      <c r="B62" s="13"/>
      <c r="C62" s="13"/>
    </row>
    <row r="63" spans="1:3" ht="13" x14ac:dyDescent="0.15">
      <c r="A63" s="10"/>
      <c r="B63" s="13"/>
      <c r="C63" s="13"/>
    </row>
    <row r="64" spans="1:3" ht="13" x14ac:dyDescent="0.15">
      <c r="A64" s="10"/>
      <c r="B64" s="13"/>
      <c r="C64" s="13"/>
    </row>
    <row r="65" spans="1:3" ht="13" x14ac:dyDescent="0.15">
      <c r="A65" s="10"/>
      <c r="B65" s="13"/>
      <c r="C65" s="13"/>
    </row>
    <row r="66" spans="1:3" ht="13" x14ac:dyDescent="0.15">
      <c r="A66" s="10"/>
      <c r="B66" s="13"/>
      <c r="C66" s="13"/>
    </row>
    <row r="67" spans="1:3" ht="13" x14ac:dyDescent="0.15">
      <c r="A67" s="10"/>
      <c r="B67" s="13"/>
      <c r="C67" s="13"/>
    </row>
    <row r="68" spans="1:3" ht="13" x14ac:dyDescent="0.15">
      <c r="A68" s="10"/>
      <c r="B68" s="13"/>
      <c r="C68" s="13"/>
    </row>
    <row r="69" spans="1:3" ht="13" x14ac:dyDescent="0.15">
      <c r="A69" s="10"/>
      <c r="B69" s="13"/>
      <c r="C69" s="13"/>
    </row>
    <row r="70" spans="1:3" ht="13" x14ac:dyDescent="0.15">
      <c r="A70" s="10"/>
      <c r="B70" s="13"/>
      <c r="C70" s="13"/>
    </row>
    <row r="71" spans="1:3" ht="13" x14ac:dyDescent="0.15">
      <c r="A71" s="10"/>
      <c r="B71" s="13"/>
      <c r="C71" s="13"/>
    </row>
    <row r="72" spans="1:3" ht="13" x14ac:dyDescent="0.15">
      <c r="A72" s="10"/>
      <c r="B72" s="13"/>
      <c r="C72" s="13"/>
    </row>
    <row r="73" spans="1:3" ht="13" x14ac:dyDescent="0.15">
      <c r="A73" s="10"/>
      <c r="B73" s="13"/>
      <c r="C73" s="13"/>
    </row>
    <row r="74" spans="1:3" ht="13" x14ac:dyDescent="0.15">
      <c r="A74" s="10"/>
      <c r="B74" s="13"/>
      <c r="C74" s="13"/>
    </row>
    <row r="75" spans="1:3" ht="13" x14ac:dyDescent="0.15">
      <c r="A75" s="10"/>
      <c r="B75" s="13"/>
      <c r="C75" s="13"/>
    </row>
    <row r="76" spans="1:3" ht="13" x14ac:dyDescent="0.15">
      <c r="A76" s="10"/>
      <c r="B76" s="13"/>
      <c r="C76" s="13"/>
    </row>
    <row r="77" spans="1:3" ht="13" x14ac:dyDescent="0.15">
      <c r="A77" s="10"/>
      <c r="B77" s="13"/>
      <c r="C77" s="13"/>
    </row>
    <row r="78" spans="1:3" ht="13" x14ac:dyDescent="0.15">
      <c r="A78" s="10"/>
      <c r="B78" s="13"/>
      <c r="C78" s="13"/>
    </row>
    <row r="79" spans="1:3" ht="13" x14ac:dyDescent="0.15">
      <c r="A79" s="10"/>
      <c r="B79" s="13"/>
      <c r="C79" s="13"/>
    </row>
    <row r="80" spans="1:3" ht="13" x14ac:dyDescent="0.15">
      <c r="A80" s="10"/>
      <c r="B80" s="13"/>
      <c r="C80" s="13"/>
    </row>
    <row r="81" spans="1:3" ht="13" x14ac:dyDescent="0.15">
      <c r="A81" s="10"/>
      <c r="B81" s="13"/>
      <c r="C81" s="13"/>
    </row>
    <row r="82" spans="1:3" ht="13" x14ac:dyDescent="0.15">
      <c r="A82" s="10"/>
      <c r="B82" s="13"/>
      <c r="C82" s="13"/>
    </row>
    <row r="83" spans="1:3" ht="13" x14ac:dyDescent="0.15">
      <c r="A83" s="10"/>
      <c r="B83" s="13"/>
      <c r="C83" s="13"/>
    </row>
    <row r="84" spans="1:3" ht="13" x14ac:dyDescent="0.15">
      <c r="A84" s="10"/>
      <c r="B84" s="13"/>
      <c r="C84" s="13"/>
    </row>
    <row r="85" spans="1:3" ht="13" x14ac:dyDescent="0.15">
      <c r="A85" s="10"/>
      <c r="B85" s="13"/>
      <c r="C85" s="13"/>
    </row>
    <row r="86" spans="1:3" ht="13" x14ac:dyDescent="0.15">
      <c r="A86" s="10"/>
      <c r="B86" s="13"/>
      <c r="C86" s="13"/>
    </row>
    <row r="87" spans="1:3" ht="13" x14ac:dyDescent="0.15">
      <c r="A87" s="10"/>
      <c r="B87" s="13"/>
      <c r="C87" s="13"/>
    </row>
    <row r="88" spans="1:3" ht="13" x14ac:dyDescent="0.15">
      <c r="A88" s="10"/>
      <c r="B88" s="13"/>
      <c r="C88" s="13"/>
    </row>
    <row r="89" spans="1:3" ht="13" x14ac:dyDescent="0.15">
      <c r="A89" s="10"/>
      <c r="B89" s="13"/>
      <c r="C89" s="13"/>
    </row>
    <row r="90" spans="1:3" ht="13" x14ac:dyDescent="0.15">
      <c r="A90" s="10"/>
      <c r="B90" s="13"/>
      <c r="C90" s="13"/>
    </row>
    <row r="91" spans="1:3" ht="13" x14ac:dyDescent="0.15">
      <c r="A91" s="10"/>
      <c r="B91" s="13"/>
      <c r="C91" s="13"/>
    </row>
    <row r="92" spans="1:3" ht="13" x14ac:dyDescent="0.15">
      <c r="A92" s="10"/>
      <c r="B92" s="13"/>
      <c r="C92" s="13"/>
    </row>
    <row r="93" spans="1:3" ht="13" x14ac:dyDescent="0.15">
      <c r="A93" s="10"/>
      <c r="B93" s="13"/>
      <c r="C93" s="13"/>
    </row>
    <row r="94" spans="1:3" ht="13" x14ac:dyDescent="0.15">
      <c r="A94" s="10"/>
      <c r="B94" s="13"/>
      <c r="C94" s="13"/>
    </row>
    <row r="95" spans="1:3" ht="13" x14ac:dyDescent="0.15">
      <c r="A95" s="10"/>
      <c r="B95" s="13"/>
      <c r="C95" s="13"/>
    </row>
    <row r="96" spans="1:3" ht="13" x14ac:dyDescent="0.15">
      <c r="A96" s="10"/>
      <c r="B96" s="13"/>
      <c r="C96" s="13"/>
    </row>
    <row r="97" spans="1:3" ht="13" x14ac:dyDescent="0.15">
      <c r="A97" s="10"/>
      <c r="B97" s="13"/>
      <c r="C97" s="13"/>
    </row>
    <row r="98" spans="1:3" ht="13" x14ac:dyDescent="0.15">
      <c r="A98" s="10"/>
      <c r="B98" s="13"/>
      <c r="C98" s="13"/>
    </row>
    <row r="99" spans="1:3" ht="13" x14ac:dyDescent="0.15">
      <c r="A99" s="10"/>
      <c r="B99" s="13"/>
      <c r="C99" s="13"/>
    </row>
    <row r="100" spans="1:3" ht="13" x14ac:dyDescent="0.15">
      <c r="A100" s="10"/>
      <c r="B100" s="13"/>
      <c r="C100" s="13"/>
    </row>
    <row r="101" spans="1:3" ht="13" x14ac:dyDescent="0.15">
      <c r="A101" s="10"/>
      <c r="B101" s="13"/>
      <c r="C101" s="13"/>
    </row>
    <row r="102" spans="1:3" ht="13" x14ac:dyDescent="0.15">
      <c r="A102" s="10"/>
      <c r="B102" s="13"/>
      <c r="C102" s="13"/>
    </row>
    <row r="103" spans="1:3" ht="13" x14ac:dyDescent="0.15">
      <c r="A103" s="10"/>
      <c r="B103" s="13"/>
      <c r="C103" s="13"/>
    </row>
    <row r="104" spans="1:3" ht="13" x14ac:dyDescent="0.15">
      <c r="A104" s="10"/>
      <c r="B104" s="13"/>
      <c r="C104" s="13"/>
    </row>
    <row r="105" spans="1:3" ht="13" x14ac:dyDescent="0.15">
      <c r="A105" s="10"/>
      <c r="B105" s="13"/>
      <c r="C105" s="13"/>
    </row>
    <row r="106" spans="1:3" ht="13" x14ac:dyDescent="0.15">
      <c r="A106" s="10"/>
      <c r="B106" s="13"/>
      <c r="C106" s="13"/>
    </row>
    <row r="107" spans="1:3" ht="13" x14ac:dyDescent="0.15">
      <c r="A107" s="10"/>
      <c r="B107" s="13"/>
      <c r="C107" s="13"/>
    </row>
    <row r="108" spans="1:3" ht="13" x14ac:dyDescent="0.15">
      <c r="A108" s="10"/>
      <c r="B108" s="13"/>
      <c r="C108" s="13"/>
    </row>
    <row r="109" spans="1:3" ht="13" x14ac:dyDescent="0.15">
      <c r="A109" s="10"/>
      <c r="B109" s="13"/>
      <c r="C109" s="13"/>
    </row>
    <row r="110" spans="1:3" ht="13" x14ac:dyDescent="0.15">
      <c r="A110" s="10"/>
      <c r="B110" s="13"/>
      <c r="C110" s="13"/>
    </row>
    <row r="111" spans="1:3" ht="13" x14ac:dyDescent="0.15">
      <c r="A111" s="10"/>
      <c r="B111" s="13"/>
      <c r="C111" s="13"/>
    </row>
    <row r="112" spans="1:3" ht="13" x14ac:dyDescent="0.15">
      <c r="A112" s="10"/>
      <c r="B112" s="13"/>
      <c r="C112" s="13"/>
    </row>
    <row r="113" spans="1:3" ht="13" x14ac:dyDescent="0.15">
      <c r="A113" s="10"/>
      <c r="B113" s="13"/>
      <c r="C113" s="13"/>
    </row>
    <row r="114" spans="1:3" ht="13" x14ac:dyDescent="0.15">
      <c r="A114" s="10"/>
      <c r="B114" s="13"/>
      <c r="C114" s="13"/>
    </row>
    <row r="115" spans="1:3" ht="13" x14ac:dyDescent="0.15">
      <c r="A115" s="10"/>
      <c r="B115" s="13"/>
      <c r="C115" s="13"/>
    </row>
    <row r="116" spans="1:3" ht="13" x14ac:dyDescent="0.15">
      <c r="A116" s="10"/>
      <c r="B116" s="13"/>
      <c r="C116" s="13"/>
    </row>
    <row r="117" spans="1:3" ht="13" x14ac:dyDescent="0.15">
      <c r="A117" s="10"/>
      <c r="B117" s="13"/>
      <c r="C117" s="13"/>
    </row>
    <row r="118" spans="1:3" ht="13" x14ac:dyDescent="0.15">
      <c r="A118" s="10"/>
      <c r="B118" s="13"/>
      <c r="C118" s="13"/>
    </row>
    <row r="119" spans="1:3" ht="13" x14ac:dyDescent="0.15">
      <c r="A119" s="10"/>
      <c r="B119" s="13"/>
      <c r="C119" s="13"/>
    </row>
    <row r="120" spans="1:3" ht="13" x14ac:dyDescent="0.15">
      <c r="A120" s="10"/>
      <c r="B120" s="13"/>
      <c r="C120" s="13"/>
    </row>
    <row r="121" spans="1:3" ht="13" x14ac:dyDescent="0.15">
      <c r="A121" s="10"/>
      <c r="B121" s="13"/>
      <c r="C121" s="13"/>
    </row>
    <row r="122" spans="1:3" ht="13" x14ac:dyDescent="0.15">
      <c r="A122" s="10"/>
      <c r="B122" s="13"/>
      <c r="C122" s="13"/>
    </row>
    <row r="123" spans="1:3" ht="13" x14ac:dyDescent="0.15">
      <c r="A123" s="10"/>
      <c r="B123" s="13"/>
      <c r="C123" s="13"/>
    </row>
    <row r="124" spans="1:3" ht="13" x14ac:dyDescent="0.15">
      <c r="A124" s="10"/>
      <c r="B124" s="13"/>
      <c r="C124" s="13"/>
    </row>
    <row r="125" spans="1:3" ht="13" x14ac:dyDescent="0.15">
      <c r="A125" s="10"/>
      <c r="B125" s="13"/>
      <c r="C125" s="13"/>
    </row>
    <row r="126" spans="1:3" ht="13" x14ac:dyDescent="0.15">
      <c r="A126" s="10"/>
      <c r="B126" s="13"/>
      <c r="C126" s="13"/>
    </row>
    <row r="127" spans="1:3" ht="13" x14ac:dyDescent="0.15">
      <c r="A127" s="10"/>
      <c r="B127" s="13"/>
      <c r="C127" s="13"/>
    </row>
    <row r="128" spans="1:3" ht="13" x14ac:dyDescent="0.15">
      <c r="A128" s="10"/>
      <c r="B128" s="13"/>
      <c r="C128" s="13"/>
    </row>
    <row r="129" spans="1:3" ht="13" x14ac:dyDescent="0.15">
      <c r="A129" s="10"/>
      <c r="B129" s="13"/>
      <c r="C129" s="13"/>
    </row>
    <row r="130" spans="1:3" ht="13" x14ac:dyDescent="0.15">
      <c r="A130" s="10"/>
      <c r="B130" s="13"/>
      <c r="C130" s="13"/>
    </row>
    <row r="131" spans="1:3" ht="13" x14ac:dyDescent="0.15">
      <c r="A131" s="10"/>
      <c r="B131" s="13"/>
      <c r="C131" s="13"/>
    </row>
    <row r="132" spans="1:3" ht="13" x14ac:dyDescent="0.15">
      <c r="A132" s="10"/>
      <c r="B132" s="13"/>
      <c r="C132" s="13"/>
    </row>
    <row r="133" spans="1:3" ht="13" x14ac:dyDescent="0.15">
      <c r="A133" s="10"/>
      <c r="B133" s="13"/>
      <c r="C133" s="13"/>
    </row>
    <row r="134" spans="1:3" ht="13" x14ac:dyDescent="0.15">
      <c r="A134" s="10"/>
      <c r="B134" s="13"/>
      <c r="C134" s="13"/>
    </row>
    <row r="135" spans="1:3" ht="13" x14ac:dyDescent="0.15">
      <c r="A135" s="10"/>
      <c r="B135" s="13"/>
      <c r="C135" s="13"/>
    </row>
    <row r="136" spans="1:3" ht="13" x14ac:dyDescent="0.15">
      <c r="A136" s="10"/>
      <c r="B136" s="13"/>
      <c r="C136" s="13"/>
    </row>
    <row r="137" spans="1:3" ht="13" x14ac:dyDescent="0.15">
      <c r="A137" s="10"/>
      <c r="B137" s="13"/>
      <c r="C137" s="13"/>
    </row>
    <row r="138" spans="1:3" ht="13" x14ac:dyDescent="0.15">
      <c r="A138" s="10"/>
      <c r="B138" s="13"/>
      <c r="C138" s="13"/>
    </row>
    <row r="139" spans="1:3" ht="13" x14ac:dyDescent="0.15">
      <c r="A139" s="10"/>
      <c r="B139" s="13"/>
      <c r="C139" s="13"/>
    </row>
    <row r="140" spans="1:3" ht="13" x14ac:dyDescent="0.15">
      <c r="A140" s="10"/>
      <c r="B140" s="13"/>
      <c r="C140" s="13"/>
    </row>
    <row r="141" spans="1:3" ht="13" x14ac:dyDescent="0.15">
      <c r="A141" s="10"/>
      <c r="B141" s="13"/>
      <c r="C141" s="13"/>
    </row>
    <row r="142" spans="1:3" ht="13" x14ac:dyDescent="0.15">
      <c r="A142" s="10"/>
      <c r="B142" s="13"/>
      <c r="C142" s="13"/>
    </row>
    <row r="143" spans="1:3" ht="13" x14ac:dyDescent="0.15">
      <c r="A143" s="10"/>
      <c r="B143" s="13"/>
      <c r="C143" s="13"/>
    </row>
    <row r="144" spans="1:3" ht="13" x14ac:dyDescent="0.15">
      <c r="A144" s="10"/>
      <c r="B144" s="13"/>
      <c r="C144" s="13"/>
    </row>
    <row r="145" spans="1:3" ht="13" x14ac:dyDescent="0.15">
      <c r="A145" s="10"/>
      <c r="B145" s="13"/>
      <c r="C145" s="13"/>
    </row>
    <row r="146" spans="1:3" ht="13" x14ac:dyDescent="0.15">
      <c r="A146" s="10"/>
      <c r="B146" s="13"/>
      <c r="C146" s="13"/>
    </row>
    <row r="147" spans="1:3" ht="13" x14ac:dyDescent="0.15">
      <c r="A147" s="10"/>
      <c r="B147" s="13"/>
      <c r="C147" s="13"/>
    </row>
    <row r="148" spans="1:3" ht="13" x14ac:dyDescent="0.15">
      <c r="A148" s="10"/>
      <c r="B148" s="13"/>
      <c r="C148" s="13"/>
    </row>
    <row r="149" spans="1:3" ht="13" x14ac:dyDescent="0.15">
      <c r="A149" s="10"/>
      <c r="B149" s="13"/>
      <c r="C149" s="13"/>
    </row>
    <row r="150" spans="1:3" ht="13" x14ac:dyDescent="0.15">
      <c r="A150" s="10"/>
      <c r="B150" s="13"/>
      <c r="C150" s="13"/>
    </row>
    <row r="151" spans="1:3" ht="13" x14ac:dyDescent="0.15">
      <c r="A151" s="10"/>
      <c r="B151" s="13"/>
      <c r="C151" s="13"/>
    </row>
    <row r="152" spans="1:3" ht="13" x14ac:dyDescent="0.15">
      <c r="A152" s="10"/>
      <c r="B152" s="13"/>
      <c r="C152" s="13"/>
    </row>
    <row r="153" spans="1:3" ht="13" x14ac:dyDescent="0.15">
      <c r="A153" s="10"/>
      <c r="B153" s="13"/>
      <c r="C153" s="13"/>
    </row>
    <row r="154" spans="1:3" ht="13" x14ac:dyDescent="0.15">
      <c r="A154" s="10"/>
      <c r="B154" s="13"/>
      <c r="C154" s="13"/>
    </row>
    <row r="155" spans="1:3" ht="13" x14ac:dyDescent="0.15">
      <c r="A155" s="10"/>
      <c r="B155" s="13"/>
      <c r="C155" s="13"/>
    </row>
    <row r="156" spans="1:3" ht="13" x14ac:dyDescent="0.15">
      <c r="A156" s="10"/>
      <c r="B156" s="13"/>
      <c r="C156" s="13"/>
    </row>
    <row r="157" spans="1:3" ht="13" x14ac:dyDescent="0.15">
      <c r="A157" s="10"/>
      <c r="B157" s="13"/>
      <c r="C157" s="13"/>
    </row>
    <row r="158" spans="1:3" ht="13" x14ac:dyDescent="0.15">
      <c r="A158" s="10"/>
      <c r="B158" s="13"/>
      <c r="C158" s="13"/>
    </row>
    <row r="159" spans="1:3" ht="13" x14ac:dyDescent="0.15">
      <c r="A159" s="10"/>
      <c r="B159" s="13"/>
      <c r="C159" s="13"/>
    </row>
    <row r="160" spans="1:3" ht="13" x14ac:dyDescent="0.15">
      <c r="A160" s="10"/>
      <c r="B160" s="13"/>
      <c r="C160" s="13"/>
    </row>
    <row r="161" spans="1:3" ht="13" x14ac:dyDescent="0.15">
      <c r="A161" s="10"/>
      <c r="B161" s="13"/>
      <c r="C161" s="13"/>
    </row>
    <row r="162" spans="1:3" ht="13" x14ac:dyDescent="0.15">
      <c r="A162" s="10"/>
      <c r="B162" s="13"/>
      <c r="C162" s="13"/>
    </row>
    <row r="163" spans="1:3" ht="13" x14ac:dyDescent="0.15">
      <c r="A163" s="10"/>
      <c r="B163" s="13"/>
      <c r="C163" s="13"/>
    </row>
    <row r="164" spans="1:3" ht="13" x14ac:dyDescent="0.15">
      <c r="A164" s="10"/>
      <c r="B164" s="13"/>
      <c r="C164" s="13"/>
    </row>
    <row r="165" spans="1:3" ht="13" x14ac:dyDescent="0.15">
      <c r="A165" s="10"/>
      <c r="B165" s="13"/>
      <c r="C165" s="13"/>
    </row>
    <row r="166" spans="1:3" ht="13" x14ac:dyDescent="0.15">
      <c r="A166" s="10"/>
      <c r="B166" s="13"/>
      <c r="C166" s="13"/>
    </row>
    <row r="167" spans="1:3" ht="13" x14ac:dyDescent="0.15">
      <c r="A167" s="10"/>
      <c r="B167" s="13"/>
      <c r="C167" s="13"/>
    </row>
    <row r="168" spans="1:3" ht="13" x14ac:dyDescent="0.15">
      <c r="A168" s="10"/>
      <c r="B168" s="13"/>
      <c r="C168" s="13"/>
    </row>
    <row r="169" spans="1:3" ht="13" x14ac:dyDescent="0.15">
      <c r="A169" s="10"/>
      <c r="B169" s="13"/>
      <c r="C169" s="13"/>
    </row>
    <row r="170" spans="1:3" ht="13" x14ac:dyDescent="0.15">
      <c r="A170" s="10"/>
      <c r="B170" s="13"/>
      <c r="C170" s="13"/>
    </row>
    <row r="171" spans="1:3" ht="13" x14ac:dyDescent="0.15">
      <c r="A171" s="10"/>
      <c r="B171" s="13"/>
      <c r="C171" s="13"/>
    </row>
    <row r="172" spans="1:3" ht="13" x14ac:dyDescent="0.15">
      <c r="A172" s="10"/>
      <c r="B172" s="13"/>
      <c r="C172" s="13"/>
    </row>
    <row r="173" spans="1:3" ht="13" x14ac:dyDescent="0.15">
      <c r="A173" s="10"/>
      <c r="B173" s="13"/>
      <c r="C173" s="13"/>
    </row>
    <row r="174" spans="1:3" ht="13" x14ac:dyDescent="0.15">
      <c r="A174" s="10"/>
      <c r="B174" s="13"/>
      <c r="C174" s="13"/>
    </row>
    <row r="175" spans="1:3" ht="13" x14ac:dyDescent="0.15">
      <c r="A175" s="10"/>
      <c r="B175" s="13"/>
      <c r="C175" s="13"/>
    </row>
    <row r="176" spans="1:3" ht="13" x14ac:dyDescent="0.15">
      <c r="A176" s="10"/>
      <c r="B176" s="13"/>
      <c r="C176" s="13"/>
    </row>
    <row r="177" spans="1:3" ht="13" x14ac:dyDescent="0.15">
      <c r="A177" s="10"/>
      <c r="B177" s="13"/>
      <c r="C177" s="13"/>
    </row>
    <row r="178" spans="1:3" ht="13" x14ac:dyDescent="0.15">
      <c r="A178" s="10"/>
      <c r="B178" s="13"/>
      <c r="C178" s="13"/>
    </row>
    <row r="179" spans="1:3" ht="13" x14ac:dyDescent="0.15">
      <c r="A179" s="10"/>
      <c r="B179" s="13"/>
      <c r="C179" s="13"/>
    </row>
    <row r="180" spans="1:3" ht="13" x14ac:dyDescent="0.15">
      <c r="A180" s="10"/>
      <c r="B180" s="13"/>
      <c r="C180" s="13"/>
    </row>
    <row r="181" spans="1:3" ht="13" x14ac:dyDescent="0.15">
      <c r="A181" s="10"/>
      <c r="B181" s="13"/>
      <c r="C181" s="13"/>
    </row>
    <row r="182" spans="1:3" ht="13" x14ac:dyDescent="0.15">
      <c r="A182" s="10"/>
      <c r="B182" s="13"/>
      <c r="C182" s="13"/>
    </row>
    <row r="183" spans="1:3" ht="13" x14ac:dyDescent="0.15">
      <c r="A183" s="10"/>
      <c r="B183" s="13"/>
      <c r="C183" s="13"/>
    </row>
    <row r="184" spans="1:3" ht="13" x14ac:dyDescent="0.15">
      <c r="A184" s="10"/>
      <c r="B184" s="13"/>
      <c r="C184" s="13"/>
    </row>
    <row r="185" spans="1:3" ht="13" x14ac:dyDescent="0.15">
      <c r="A185" s="10"/>
      <c r="B185" s="13"/>
      <c r="C185" s="13"/>
    </row>
    <row r="186" spans="1:3" ht="13" x14ac:dyDescent="0.15">
      <c r="A186" s="10"/>
      <c r="B186" s="13"/>
      <c r="C186" s="13"/>
    </row>
    <row r="187" spans="1:3" ht="13" x14ac:dyDescent="0.15">
      <c r="A187" s="10"/>
      <c r="B187" s="13"/>
      <c r="C187" s="13"/>
    </row>
    <row r="188" spans="1:3" ht="13" x14ac:dyDescent="0.15">
      <c r="A188" s="10"/>
      <c r="B188" s="13"/>
      <c r="C188" s="13"/>
    </row>
    <row r="189" spans="1:3" ht="13" x14ac:dyDescent="0.15">
      <c r="A189" s="10"/>
      <c r="B189" s="13"/>
      <c r="C189" s="13"/>
    </row>
    <row r="190" spans="1:3" ht="13" x14ac:dyDescent="0.15">
      <c r="A190" s="10"/>
      <c r="B190" s="13"/>
      <c r="C190" s="13"/>
    </row>
    <row r="191" spans="1:3" ht="13" x14ac:dyDescent="0.15">
      <c r="A191" s="10"/>
      <c r="B191" s="13"/>
      <c r="C191" s="13"/>
    </row>
    <row r="192" spans="1:3" ht="13" x14ac:dyDescent="0.15">
      <c r="A192" s="10"/>
      <c r="B192" s="13"/>
      <c r="C192" s="13"/>
    </row>
    <row r="193" spans="1:3" ht="13" x14ac:dyDescent="0.15">
      <c r="A193" s="10"/>
      <c r="B193" s="13"/>
      <c r="C193" s="13"/>
    </row>
    <row r="194" spans="1:3" ht="13" x14ac:dyDescent="0.15">
      <c r="A194" s="10"/>
      <c r="B194" s="13"/>
      <c r="C194" s="13"/>
    </row>
    <row r="195" spans="1:3" ht="13" x14ac:dyDescent="0.15">
      <c r="A195" s="10"/>
      <c r="B195" s="13"/>
      <c r="C195" s="13"/>
    </row>
    <row r="196" spans="1:3" ht="13" x14ac:dyDescent="0.15">
      <c r="A196" s="10"/>
      <c r="B196" s="13"/>
      <c r="C196" s="13"/>
    </row>
    <row r="197" spans="1:3" ht="13" x14ac:dyDescent="0.15">
      <c r="A197" s="10"/>
      <c r="B197" s="13"/>
      <c r="C197" s="13"/>
    </row>
    <row r="198" spans="1:3" ht="13" x14ac:dyDescent="0.15">
      <c r="A198" s="10"/>
      <c r="B198" s="13"/>
      <c r="C198" s="13"/>
    </row>
    <row r="199" spans="1:3" ht="13" x14ac:dyDescent="0.15">
      <c r="A199" s="10"/>
      <c r="B199" s="13"/>
      <c r="C199" s="13"/>
    </row>
    <row r="200" spans="1:3" ht="13" x14ac:dyDescent="0.15">
      <c r="A200" s="10"/>
      <c r="B200" s="13"/>
      <c r="C200" s="13"/>
    </row>
    <row r="201" spans="1:3" ht="13" x14ac:dyDescent="0.15">
      <c r="A201" s="10"/>
      <c r="B201" s="13"/>
      <c r="C201" s="13"/>
    </row>
    <row r="202" spans="1:3" ht="13" x14ac:dyDescent="0.15">
      <c r="A202" s="10"/>
      <c r="B202" s="13"/>
      <c r="C202" s="13"/>
    </row>
    <row r="203" spans="1:3" ht="13" x14ac:dyDescent="0.15">
      <c r="A203" s="10"/>
      <c r="B203" s="13"/>
      <c r="C203" s="13"/>
    </row>
    <row r="204" spans="1:3" ht="13" x14ac:dyDescent="0.15">
      <c r="A204" s="10"/>
      <c r="B204" s="13"/>
      <c r="C204" s="13"/>
    </row>
    <row r="205" spans="1:3" ht="13" x14ac:dyDescent="0.15">
      <c r="A205" s="10"/>
      <c r="B205" s="13"/>
      <c r="C205" s="13"/>
    </row>
    <row r="206" spans="1:3" ht="13" x14ac:dyDescent="0.15">
      <c r="A206" s="10"/>
      <c r="B206" s="13"/>
      <c r="C206" s="13"/>
    </row>
    <row r="207" spans="1:3" ht="13" x14ac:dyDescent="0.15">
      <c r="A207" s="10"/>
      <c r="B207" s="13"/>
      <c r="C207" s="13"/>
    </row>
    <row r="208" spans="1:3" ht="13" x14ac:dyDescent="0.15">
      <c r="A208" s="10"/>
      <c r="B208" s="13"/>
      <c r="C208" s="13"/>
    </row>
    <row r="209" spans="1:3" ht="13" x14ac:dyDescent="0.15">
      <c r="A209" s="10"/>
      <c r="B209" s="13"/>
      <c r="C209" s="13"/>
    </row>
    <row r="210" spans="1:3" ht="13" x14ac:dyDescent="0.15">
      <c r="A210" s="10"/>
      <c r="B210" s="13"/>
      <c r="C210" s="13"/>
    </row>
    <row r="211" spans="1:3" ht="13" x14ac:dyDescent="0.15">
      <c r="A211" s="10"/>
      <c r="B211" s="13"/>
      <c r="C211" s="13"/>
    </row>
    <row r="212" spans="1:3" ht="13" x14ac:dyDescent="0.15">
      <c r="A212" s="10"/>
      <c r="B212" s="13"/>
      <c r="C212" s="13"/>
    </row>
    <row r="213" spans="1:3" ht="13" x14ac:dyDescent="0.15">
      <c r="A213" s="10"/>
      <c r="B213" s="13"/>
      <c r="C213" s="13"/>
    </row>
    <row r="214" spans="1:3" ht="13" x14ac:dyDescent="0.15">
      <c r="A214" s="10"/>
      <c r="B214" s="13"/>
      <c r="C214" s="13"/>
    </row>
    <row r="215" spans="1:3" ht="13" x14ac:dyDescent="0.15">
      <c r="A215" s="10"/>
      <c r="B215" s="13"/>
      <c r="C215" s="13"/>
    </row>
    <row r="216" spans="1:3" ht="13" x14ac:dyDescent="0.15">
      <c r="A216" s="10"/>
      <c r="B216" s="13"/>
      <c r="C216" s="13"/>
    </row>
    <row r="217" spans="1:3" ht="13" x14ac:dyDescent="0.15">
      <c r="A217" s="10"/>
      <c r="B217" s="13"/>
      <c r="C217" s="13"/>
    </row>
    <row r="218" spans="1:3" ht="13" x14ac:dyDescent="0.15">
      <c r="A218" s="10"/>
      <c r="B218" s="13"/>
      <c r="C218" s="13"/>
    </row>
    <row r="219" spans="1:3" ht="13" x14ac:dyDescent="0.15">
      <c r="A219" s="10"/>
      <c r="B219" s="13"/>
      <c r="C219" s="13"/>
    </row>
    <row r="220" spans="1:3" ht="13" x14ac:dyDescent="0.15">
      <c r="A220" s="10"/>
      <c r="B220" s="13"/>
      <c r="C220" s="13"/>
    </row>
    <row r="221" spans="1:3" ht="13" x14ac:dyDescent="0.15">
      <c r="A221" s="10"/>
      <c r="B221" s="13"/>
      <c r="C221" s="13"/>
    </row>
    <row r="222" spans="1:3" ht="13" x14ac:dyDescent="0.15">
      <c r="A222" s="10"/>
      <c r="B222" s="13"/>
      <c r="C222" s="13"/>
    </row>
    <row r="223" spans="1:3" ht="13" x14ac:dyDescent="0.15">
      <c r="A223" s="10"/>
      <c r="B223" s="13"/>
      <c r="C223" s="13"/>
    </row>
    <row r="224" spans="1:3" ht="13" x14ac:dyDescent="0.15">
      <c r="A224" s="10"/>
      <c r="B224" s="13"/>
      <c r="C224" s="13"/>
    </row>
    <row r="225" spans="1:3" ht="13" x14ac:dyDescent="0.15">
      <c r="A225" s="10"/>
      <c r="B225" s="13"/>
      <c r="C225" s="13"/>
    </row>
    <row r="226" spans="1:3" ht="13" x14ac:dyDescent="0.15">
      <c r="A226" s="10"/>
      <c r="B226" s="13"/>
      <c r="C226" s="13"/>
    </row>
    <row r="227" spans="1:3" ht="13" x14ac:dyDescent="0.15">
      <c r="A227" s="10"/>
      <c r="B227" s="13"/>
      <c r="C227" s="13"/>
    </row>
    <row r="228" spans="1:3" ht="13" x14ac:dyDescent="0.15">
      <c r="A228" s="10"/>
      <c r="B228" s="13"/>
      <c r="C228" s="13"/>
    </row>
    <row r="229" spans="1:3" ht="13" x14ac:dyDescent="0.15">
      <c r="A229" s="10"/>
      <c r="B229" s="13"/>
      <c r="C229" s="13"/>
    </row>
    <row r="230" spans="1:3" ht="13" x14ac:dyDescent="0.15">
      <c r="A230" s="10"/>
      <c r="B230" s="13"/>
      <c r="C230" s="13"/>
    </row>
    <row r="231" spans="1:3" ht="13" x14ac:dyDescent="0.15">
      <c r="A231" s="10"/>
      <c r="B231" s="13"/>
      <c r="C231" s="13"/>
    </row>
    <row r="232" spans="1:3" ht="13" x14ac:dyDescent="0.15">
      <c r="A232" s="10"/>
      <c r="B232" s="13"/>
      <c r="C232" s="13"/>
    </row>
    <row r="233" spans="1:3" ht="13" x14ac:dyDescent="0.15">
      <c r="A233" s="10"/>
      <c r="B233" s="13"/>
      <c r="C233" s="13"/>
    </row>
    <row r="234" spans="1:3" ht="13" x14ac:dyDescent="0.15">
      <c r="A234" s="10"/>
      <c r="B234" s="13"/>
      <c r="C234" s="13"/>
    </row>
    <row r="235" spans="1:3" ht="13" x14ac:dyDescent="0.15">
      <c r="A235" s="10"/>
      <c r="B235" s="13"/>
      <c r="C235" s="13"/>
    </row>
    <row r="236" spans="1:3" ht="13" x14ac:dyDescent="0.15">
      <c r="A236" s="10"/>
      <c r="B236" s="13"/>
      <c r="C236" s="13"/>
    </row>
    <row r="237" spans="1:3" ht="13" x14ac:dyDescent="0.15">
      <c r="A237" s="10"/>
      <c r="B237" s="13"/>
      <c r="C237" s="13"/>
    </row>
    <row r="238" spans="1:3" ht="13" x14ac:dyDescent="0.15">
      <c r="A238" s="10"/>
      <c r="B238" s="13"/>
      <c r="C238" s="13"/>
    </row>
    <row r="239" spans="1:3" ht="13" x14ac:dyDescent="0.15">
      <c r="A239" s="10"/>
      <c r="B239" s="13"/>
      <c r="C239" s="13"/>
    </row>
    <row r="240" spans="1:3" ht="13" x14ac:dyDescent="0.15">
      <c r="A240" s="10"/>
      <c r="B240" s="13"/>
      <c r="C240" s="13"/>
    </row>
    <row r="241" spans="1:3" ht="13" x14ac:dyDescent="0.15">
      <c r="A241" s="10"/>
      <c r="B241" s="13"/>
      <c r="C241" s="13"/>
    </row>
    <row r="242" spans="1:3" ht="13" x14ac:dyDescent="0.15">
      <c r="A242" s="10"/>
      <c r="B242" s="13"/>
      <c r="C242" s="13"/>
    </row>
    <row r="243" spans="1:3" ht="13" x14ac:dyDescent="0.15">
      <c r="A243" s="10"/>
      <c r="B243" s="13"/>
      <c r="C243" s="13"/>
    </row>
    <row r="244" spans="1:3" ht="13" x14ac:dyDescent="0.15">
      <c r="A244" s="10"/>
      <c r="B244" s="13"/>
      <c r="C244" s="13"/>
    </row>
    <row r="245" spans="1:3" ht="13" x14ac:dyDescent="0.15">
      <c r="A245" s="10"/>
      <c r="B245" s="13"/>
      <c r="C245" s="13"/>
    </row>
    <row r="246" spans="1:3" ht="13" x14ac:dyDescent="0.15">
      <c r="A246" s="10"/>
      <c r="B246" s="13"/>
      <c r="C246" s="13"/>
    </row>
    <row r="247" spans="1:3" ht="13" x14ac:dyDescent="0.15">
      <c r="A247" s="10"/>
      <c r="B247" s="13"/>
      <c r="C247" s="13"/>
    </row>
    <row r="248" spans="1:3" ht="13" x14ac:dyDescent="0.15">
      <c r="A248" s="10"/>
      <c r="B248" s="13"/>
      <c r="C248" s="13"/>
    </row>
    <row r="249" spans="1:3" ht="13" x14ac:dyDescent="0.15">
      <c r="A249" s="10"/>
      <c r="B249" s="13"/>
      <c r="C249" s="13"/>
    </row>
    <row r="250" spans="1:3" ht="13" x14ac:dyDescent="0.15">
      <c r="A250" s="10"/>
      <c r="B250" s="13"/>
      <c r="C250" s="13"/>
    </row>
    <row r="251" spans="1:3" ht="13" x14ac:dyDescent="0.15">
      <c r="A251" s="10"/>
      <c r="B251" s="13"/>
      <c r="C251" s="13"/>
    </row>
    <row r="252" spans="1:3" ht="13" x14ac:dyDescent="0.15">
      <c r="A252" s="10"/>
      <c r="B252" s="13"/>
      <c r="C252" s="13"/>
    </row>
    <row r="253" spans="1:3" ht="13" x14ac:dyDescent="0.15">
      <c r="A253" s="10"/>
      <c r="B253" s="13"/>
      <c r="C253" s="13"/>
    </row>
    <row r="254" spans="1:3" ht="13" x14ac:dyDescent="0.15">
      <c r="A254" s="10"/>
      <c r="B254" s="13"/>
      <c r="C254" s="13"/>
    </row>
    <row r="255" spans="1:3" ht="13" x14ac:dyDescent="0.15">
      <c r="A255" s="10"/>
      <c r="B255" s="13"/>
      <c r="C255" s="13"/>
    </row>
    <row r="256" spans="1:3" ht="13" x14ac:dyDescent="0.15">
      <c r="A256" s="10"/>
      <c r="B256" s="13"/>
      <c r="C256" s="13"/>
    </row>
    <row r="257" spans="1:3" ht="13" x14ac:dyDescent="0.15">
      <c r="A257" s="10"/>
      <c r="B257" s="13"/>
      <c r="C257" s="13"/>
    </row>
    <row r="258" spans="1:3" ht="13" x14ac:dyDescent="0.15">
      <c r="A258" s="10"/>
      <c r="B258" s="13"/>
      <c r="C258" s="13"/>
    </row>
    <row r="259" spans="1:3" ht="13" x14ac:dyDescent="0.15">
      <c r="A259" s="10"/>
      <c r="B259" s="13"/>
      <c r="C259" s="13"/>
    </row>
    <row r="260" spans="1:3" ht="13" x14ac:dyDescent="0.15">
      <c r="A260" s="10"/>
      <c r="B260" s="13"/>
      <c r="C260" s="13"/>
    </row>
    <row r="261" spans="1:3" ht="13" x14ac:dyDescent="0.15">
      <c r="A261" s="10"/>
      <c r="B261" s="13"/>
      <c r="C261" s="13"/>
    </row>
    <row r="262" spans="1:3" ht="13" x14ac:dyDescent="0.15">
      <c r="A262" s="10"/>
      <c r="B262" s="13"/>
      <c r="C262" s="13"/>
    </row>
    <row r="263" spans="1:3" ht="13" x14ac:dyDescent="0.15">
      <c r="A263" s="10"/>
      <c r="B263" s="13"/>
      <c r="C263" s="13"/>
    </row>
    <row r="264" spans="1:3" ht="13" x14ac:dyDescent="0.15">
      <c r="A264" s="10"/>
      <c r="B264" s="13"/>
      <c r="C264" s="13"/>
    </row>
    <row r="265" spans="1:3" ht="13" x14ac:dyDescent="0.15">
      <c r="A265" s="10"/>
      <c r="B265" s="13"/>
      <c r="C265" s="13"/>
    </row>
    <row r="266" spans="1:3" ht="13" x14ac:dyDescent="0.15">
      <c r="A266" s="10"/>
      <c r="B266" s="13"/>
      <c r="C266" s="13"/>
    </row>
    <row r="267" spans="1:3" ht="13" x14ac:dyDescent="0.15">
      <c r="A267" s="10"/>
      <c r="B267" s="13"/>
      <c r="C267" s="13"/>
    </row>
    <row r="268" spans="1:3" ht="13" x14ac:dyDescent="0.15">
      <c r="A268" s="10"/>
      <c r="B268" s="13"/>
      <c r="C268" s="13"/>
    </row>
    <row r="269" spans="1:3" ht="13" x14ac:dyDescent="0.15">
      <c r="A269" s="10"/>
      <c r="B269" s="13"/>
      <c r="C269" s="13"/>
    </row>
    <row r="270" spans="1:3" ht="13" x14ac:dyDescent="0.15">
      <c r="A270" s="10"/>
      <c r="B270" s="13"/>
      <c r="C270" s="13"/>
    </row>
    <row r="271" spans="1:3" ht="13" x14ac:dyDescent="0.15">
      <c r="A271" s="10"/>
      <c r="B271" s="13"/>
      <c r="C271" s="13"/>
    </row>
    <row r="272" spans="1:3" ht="13" x14ac:dyDescent="0.15">
      <c r="A272" s="10"/>
      <c r="B272" s="13"/>
      <c r="C272" s="13"/>
    </row>
    <row r="273" spans="1:3" ht="13" x14ac:dyDescent="0.15">
      <c r="A273" s="10"/>
      <c r="B273" s="13"/>
      <c r="C273" s="13"/>
    </row>
    <row r="274" spans="1:3" ht="13" x14ac:dyDescent="0.15">
      <c r="A274" s="10"/>
      <c r="B274" s="13"/>
      <c r="C274" s="13"/>
    </row>
    <row r="275" spans="1:3" ht="13" x14ac:dyDescent="0.15">
      <c r="A275" s="10"/>
      <c r="B275" s="13"/>
      <c r="C275" s="13"/>
    </row>
    <row r="276" spans="1:3" ht="13" x14ac:dyDescent="0.15">
      <c r="A276" s="10"/>
      <c r="B276" s="13"/>
      <c r="C276" s="13"/>
    </row>
    <row r="277" spans="1:3" ht="13" x14ac:dyDescent="0.15">
      <c r="A277" s="10"/>
      <c r="B277" s="13"/>
      <c r="C277" s="13"/>
    </row>
    <row r="278" spans="1:3" ht="13" x14ac:dyDescent="0.15">
      <c r="A278" s="10"/>
      <c r="B278" s="13"/>
      <c r="C278" s="13"/>
    </row>
    <row r="279" spans="1:3" ht="13" x14ac:dyDescent="0.15">
      <c r="A279" s="10"/>
      <c r="B279" s="13"/>
      <c r="C279" s="13"/>
    </row>
    <row r="280" spans="1:3" ht="13" x14ac:dyDescent="0.15">
      <c r="A280" s="10"/>
      <c r="B280" s="13"/>
      <c r="C280" s="13"/>
    </row>
    <row r="281" spans="1:3" ht="13" x14ac:dyDescent="0.15">
      <c r="A281" s="10"/>
      <c r="B281" s="13"/>
      <c r="C281" s="13"/>
    </row>
    <row r="282" spans="1:3" ht="13" x14ac:dyDescent="0.15">
      <c r="A282" s="10"/>
      <c r="B282" s="13"/>
      <c r="C282" s="13"/>
    </row>
    <row r="283" spans="1:3" ht="13" x14ac:dyDescent="0.15">
      <c r="A283" s="10"/>
      <c r="B283" s="13"/>
      <c r="C283" s="13"/>
    </row>
    <row r="284" spans="1:3" ht="13" x14ac:dyDescent="0.15">
      <c r="A284" s="10"/>
      <c r="B284" s="13"/>
      <c r="C284" s="13"/>
    </row>
    <row r="285" spans="1:3" ht="13" x14ac:dyDescent="0.15">
      <c r="A285" s="10"/>
      <c r="B285" s="13"/>
      <c r="C285" s="13"/>
    </row>
    <row r="286" spans="1:3" ht="13" x14ac:dyDescent="0.15">
      <c r="A286" s="10"/>
      <c r="B286" s="13"/>
      <c r="C286" s="13"/>
    </row>
    <row r="287" spans="1:3" ht="13" x14ac:dyDescent="0.15">
      <c r="A287" s="10"/>
      <c r="B287" s="13"/>
      <c r="C287" s="13"/>
    </row>
    <row r="288" spans="1:3" ht="13" x14ac:dyDescent="0.15">
      <c r="A288" s="10"/>
      <c r="B288" s="13"/>
      <c r="C288" s="13"/>
    </row>
    <row r="289" spans="1:3" ht="13" x14ac:dyDescent="0.15">
      <c r="A289" s="10"/>
      <c r="B289" s="13"/>
      <c r="C289" s="13"/>
    </row>
    <row r="290" spans="1:3" ht="13" x14ac:dyDescent="0.15">
      <c r="A290" s="10"/>
      <c r="B290" s="13"/>
      <c r="C290" s="13"/>
    </row>
    <row r="291" spans="1:3" ht="13" x14ac:dyDescent="0.15">
      <c r="A291" s="10"/>
      <c r="B291" s="13"/>
      <c r="C291" s="13"/>
    </row>
    <row r="292" spans="1:3" ht="13" x14ac:dyDescent="0.15">
      <c r="A292" s="10"/>
      <c r="B292" s="13"/>
      <c r="C292" s="13"/>
    </row>
    <row r="293" spans="1:3" ht="13" x14ac:dyDescent="0.15">
      <c r="A293" s="10"/>
      <c r="B293" s="13"/>
      <c r="C293" s="13"/>
    </row>
    <row r="294" spans="1:3" ht="13" x14ac:dyDescent="0.15">
      <c r="A294" s="10"/>
      <c r="B294" s="13"/>
      <c r="C294" s="13"/>
    </row>
    <row r="295" spans="1:3" ht="13" x14ac:dyDescent="0.15">
      <c r="A295" s="10"/>
      <c r="B295" s="13"/>
      <c r="C295" s="13"/>
    </row>
    <row r="296" spans="1:3" ht="13" x14ac:dyDescent="0.15">
      <c r="A296" s="10"/>
      <c r="B296" s="13"/>
      <c r="C296" s="13"/>
    </row>
    <row r="297" spans="1:3" ht="13" x14ac:dyDescent="0.15">
      <c r="A297" s="10"/>
      <c r="B297" s="13"/>
      <c r="C297" s="13"/>
    </row>
    <row r="298" spans="1:3" ht="13" x14ac:dyDescent="0.15">
      <c r="A298" s="10"/>
      <c r="B298" s="13"/>
      <c r="C298" s="13"/>
    </row>
    <row r="299" spans="1:3" ht="13" x14ac:dyDescent="0.15">
      <c r="A299" s="10"/>
      <c r="B299" s="13"/>
      <c r="C299" s="13"/>
    </row>
    <row r="300" spans="1:3" ht="13" x14ac:dyDescent="0.15">
      <c r="A300" s="10"/>
      <c r="B300" s="13"/>
      <c r="C300" s="13"/>
    </row>
    <row r="301" spans="1:3" ht="13" x14ac:dyDescent="0.15">
      <c r="A301" s="10"/>
      <c r="B301" s="13"/>
      <c r="C301" s="13"/>
    </row>
    <row r="302" spans="1:3" ht="13" x14ac:dyDescent="0.15">
      <c r="A302" s="10"/>
      <c r="B302" s="13"/>
      <c r="C302" s="13"/>
    </row>
    <row r="303" spans="1:3" ht="13" x14ac:dyDescent="0.15">
      <c r="A303" s="10"/>
      <c r="B303" s="13"/>
      <c r="C303" s="13"/>
    </row>
    <row r="304" spans="1:3" ht="13" x14ac:dyDescent="0.15">
      <c r="A304" s="10"/>
      <c r="B304" s="13"/>
      <c r="C304" s="13"/>
    </row>
    <row r="305" spans="1:3" ht="13" x14ac:dyDescent="0.15">
      <c r="A305" s="10"/>
      <c r="B305" s="13"/>
      <c r="C305" s="13"/>
    </row>
    <row r="306" spans="1:3" ht="13" x14ac:dyDescent="0.15">
      <c r="A306" s="10"/>
      <c r="B306" s="13"/>
      <c r="C306" s="13"/>
    </row>
    <row r="307" spans="1:3" ht="13" x14ac:dyDescent="0.15">
      <c r="A307" s="10"/>
      <c r="B307" s="13"/>
      <c r="C307" s="13"/>
    </row>
    <row r="308" spans="1:3" ht="13" x14ac:dyDescent="0.15">
      <c r="A308" s="10"/>
      <c r="B308" s="13"/>
      <c r="C308" s="13"/>
    </row>
    <row r="309" spans="1:3" ht="13" x14ac:dyDescent="0.15">
      <c r="A309" s="10"/>
      <c r="B309" s="13"/>
      <c r="C309" s="13"/>
    </row>
    <row r="310" spans="1:3" ht="13" x14ac:dyDescent="0.15">
      <c r="A310" s="10"/>
      <c r="B310" s="13"/>
      <c r="C310" s="13"/>
    </row>
    <row r="311" spans="1:3" ht="13" x14ac:dyDescent="0.15">
      <c r="A311" s="10"/>
      <c r="B311" s="13"/>
      <c r="C311" s="13"/>
    </row>
    <row r="312" spans="1:3" ht="13" x14ac:dyDescent="0.15">
      <c r="A312" s="10"/>
      <c r="B312" s="13"/>
      <c r="C312" s="13"/>
    </row>
    <row r="313" spans="1:3" ht="13" x14ac:dyDescent="0.15">
      <c r="A313" s="10"/>
      <c r="B313" s="13"/>
      <c r="C313" s="13"/>
    </row>
    <row r="314" spans="1:3" ht="13" x14ac:dyDescent="0.15">
      <c r="A314" s="10"/>
      <c r="B314" s="13"/>
      <c r="C314" s="13"/>
    </row>
    <row r="315" spans="1:3" ht="13" x14ac:dyDescent="0.15">
      <c r="A315" s="10"/>
      <c r="B315" s="13"/>
      <c r="C315" s="13"/>
    </row>
    <row r="316" spans="1:3" ht="13" x14ac:dyDescent="0.15">
      <c r="A316" s="10"/>
      <c r="B316" s="13"/>
      <c r="C316" s="13"/>
    </row>
    <row r="317" spans="1:3" ht="13" x14ac:dyDescent="0.15">
      <c r="A317" s="10"/>
      <c r="B317" s="13"/>
      <c r="C317" s="13"/>
    </row>
    <row r="318" spans="1:3" ht="13" x14ac:dyDescent="0.15">
      <c r="A318" s="10"/>
      <c r="B318" s="13"/>
      <c r="C318" s="13"/>
    </row>
    <row r="319" spans="1:3" ht="13" x14ac:dyDescent="0.15">
      <c r="A319" s="10"/>
      <c r="B319" s="13"/>
      <c r="C319" s="13"/>
    </row>
    <row r="320" spans="1:3" ht="13" x14ac:dyDescent="0.15">
      <c r="A320" s="10"/>
      <c r="B320" s="13"/>
      <c r="C320" s="13"/>
    </row>
    <row r="321" spans="1:3" ht="13" x14ac:dyDescent="0.15">
      <c r="A321" s="10"/>
      <c r="B321" s="13"/>
      <c r="C321" s="13"/>
    </row>
    <row r="322" spans="1:3" ht="13" x14ac:dyDescent="0.15">
      <c r="A322" s="10"/>
      <c r="B322" s="13"/>
      <c r="C322" s="13"/>
    </row>
    <row r="323" spans="1:3" ht="13" x14ac:dyDescent="0.15">
      <c r="A323" s="10"/>
      <c r="B323" s="13"/>
      <c r="C323" s="13"/>
    </row>
    <row r="324" spans="1:3" ht="13" x14ac:dyDescent="0.15">
      <c r="A324" s="10"/>
      <c r="B324" s="13"/>
      <c r="C324" s="13"/>
    </row>
    <row r="325" spans="1:3" ht="13" x14ac:dyDescent="0.15">
      <c r="A325" s="10"/>
      <c r="B325" s="13"/>
      <c r="C325" s="13"/>
    </row>
    <row r="326" spans="1:3" ht="13" x14ac:dyDescent="0.15">
      <c r="A326" s="10"/>
      <c r="B326" s="13"/>
      <c r="C326" s="13"/>
    </row>
    <row r="327" spans="1:3" ht="13" x14ac:dyDescent="0.15">
      <c r="A327" s="10"/>
      <c r="B327" s="13"/>
      <c r="C327" s="13"/>
    </row>
    <row r="328" spans="1:3" ht="13" x14ac:dyDescent="0.15">
      <c r="A328" s="10"/>
      <c r="B328" s="13"/>
      <c r="C328" s="13"/>
    </row>
    <row r="329" spans="1:3" ht="13" x14ac:dyDescent="0.15">
      <c r="A329" s="10"/>
      <c r="B329" s="13"/>
      <c r="C329" s="13"/>
    </row>
    <row r="330" spans="1:3" ht="13" x14ac:dyDescent="0.15">
      <c r="A330" s="10"/>
      <c r="B330" s="13"/>
      <c r="C330" s="13"/>
    </row>
    <row r="331" spans="1:3" ht="13" x14ac:dyDescent="0.15">
      <c r="A331" s="10"/>
      <c r="B331" s="13"/>
      <c r="C331" s="13"/>
    </row>
    <row r="332" spans="1:3" ht="13" x14ac:dyDescent="0.15">
      <c r="A332" s="10"/>
      <c r="B332" s="13"/>
      <c r="C332" s="13"/>
    </row>
    <row r="333" spans="1:3" ht="13" x14ac:dyDescent="0.15">
      <c r="A333" s="10"/>
      <c r="B333" s="13"/>
      <c r="C333" s="13"/>
    </row>
    <row r="334" spans="1:3" ht="13" x14ac:dyDescent="0.15">
      <c r="A334" s="10"/>
      <c r="B334" s="13"/>
      <c r="C334" s="13"/>
    </row>
    <row r="335" spans="1:3" ht="13" x14ac:dyDescent="0.15">
      <c r="A335" s="10"/>
      <c r="B335" s="13"/>
      <c r="C335" s="13"/>
    </row>
    <row r="336" spans="1:3" ht="13" x14ac:dyDescent="0.15">
      <c r="A336" s="10"/>
      <c r="B336" s="13"/>
      <c r="C336" s="13"/>
    </row>
    <row r="337" spans="1:3" ht="13" x14ac:dyDescent="0.15">
      <c r="A337" s="10"/>
      <c r="B337" s="13"/>
      <c r="C337" s="13"/>
    </row>
    <row r="338" spans="1:3" ht="13" x14ac:dyDescent="0.15">
      <c r="A338" s="10"/>
      <c r="B338" s="13"/>
      <c r="C338" s="13"/>
    </row>
    <row r="339" spans="1:3" ht="13" x14ac:dyDescent="0.15">
      <c r="A339" s="10"/>
      <c r="B339" s="13"/>
      <c r="C339" s="13"/>
    </row>
    <row r="340" spans="1:3" ht="13" x14ac:dyDescent="0.15">
      <c r="A340" s="10"/>
      <c r="B340" s="13"/>
      <c r="C340" s="13"/>
    </row>
    <row r="341" spans="1:3" ht="13" x14ac:dyDescent="0.15">
      <c r="A341" s="10"/>
      <c r="B341" s="13"/>
      <c r="C341" s="13"/>
    </row>
    <row r="342" spans="1:3" ht="13" x14ac:dyDescent="0.15">
      <c r="A342" s="10"/>
      <c r="B342" s="13"/>
      <c r="C342" s="13"/>
    </row>
    <row r="343" spans="1:3" ht="13" x14ac:dyDescent="0.15">
      <c r="A343" s="10"/>
      <c r="B343" s="13"/>
      <c r="C343" s="13"/>
    </row>
    <row r="344" spans="1:3" ht="13" x14ac:dyDescent="0.15">
      <c r="A344" s="10"/>
      <c r="B344" s="13"/>
      <c r="C344" s="13"/>
    </row>
    <row r="345" spans="1:3" ht="13" x14ac:dyDescent="0.15">
      <c r="A345" s="10"/>
      <c r="B345" s="13"/>
      <c r="C345" s="13"/>
    </row>
    <row r="346" spans="1:3" ht="13" x14ac:dyDescent="0.15">
      <c r="A346" s="10"/>
      <c r="B346" s="13"/>
      <c r="C346" s="13"/>
    </row>
    <row r="347" spans="1:3" ht="13" x14ac:dyDescent="0.15">
      <c r="A347" s="10"/>
      <c r="B347" s="13"/>
      <c r="C347" s="13"/>
    </row>
    <row r="348" spans="1:3" ht="13" x14ac:dyDescent="0.15">
      <c r="A348" s="10"/>
      <c r="B348" s="13"/>
      <c r="C348" s="13"/>
    </row>
    <row r="349" spans="1:3" ht="13" x14ac:dyDescent="0.15">
      <c r="A349" s="10"/>
      <c r="B349" s="13"/>
      <c r="C349" s="13"/>
    </row>
    <row r="350" spans="1:3" ht="13" x14ac:dyDescent="0.15">
      <c r="A350" s="10"/>
      <c r="B350" s="13"/>
      <c r="C350" s="13"/>
    </row>
    <row r="351" spans="1:3" ht="13" x14ac:dyDescent="0.15">
      <c r="A351" s="10"/>
      <c r="B351" s="13"/>
      <c r="C351" s="13"/>
    </row>
    <row r="352" spans="1:3" ht="13" x14ac:dyDescent="0.15">
      <c r="A352" s="10"/>
      <c r="B352" s="13"/>
      <c r="C352" s="13"/>
    </row>
    <row r="353" spans="1:3" ht="13" x14ac:dyDescent="0.15">
      <c r="A353" s="10"/>
      <c r="B353" s="13"/>
      <c r="C353" s="13"/>
    </row>
    <row r="354" spans="1:3" ht="13" x14ac:dyDescent="0.15">
      <c r="A354" s="10"/>
      <c r="B354" s="13"/>
      <c r="C354" s="13"/>
    </row>
    <row r="355" spans="1:3" ht="13" x14ac:dyDescent="0.15">
      <c r="A355" s="10"/>
      <c r="B355" s="13"/>
      <c r="C355" s="13"/>
    </row>
    <row r="356" spans="1:3" ht="13" x14ac:dyDescent="0.15">
      <c r="A356" s="10"/>
      <c r="B356" s="13"/>
      <c r="C356" s="13"/>
    </row>
    <row r="357" spans="1:3" ht="13" x14ac:dyDescent="0.15">
      <c r="A357" s="10"/>
      <c r="B357" s="13"/>
      <c r="C357" s="13"/>
    </row>
    <row r="358" spans="1:3" ht="13" x14ac:dyDescent="0.15">
      <c r="A358" s="10"/>
      <c r="B358" s="13"/>
      <c r="C358" s="13"/>
    </row>
    <row r="359" spans="1:3" ht="13" x14ac:dyDescent="0.15">
      <c r="A359" s="10"/>
      <c r="B359" s="13"/>
      <c r="C359" s="13"/>
    </row>
    <row r="360" spans="1:3" ht="13" x14ac:dyDescent="0.15">
      <c r="A360" s="10"/>
      <c r="B360" s="13"/>
      <c r="C360" s="13"/>
    </row>
    <row r="361" spans="1:3" ht="13" x14ac:dyDescent="0.15">
      <c r="A361" s="10"/>
      <c r="B361" s="13"/>
      <c r="C361" s="13"/>
    </row>
    <row r="362" spans="1:3" ht="13" x14ac:dyDescent="0.15">
      <c r="A362" s="10"/>
      <c r="B362" s="13"/>
      <c r="C362" s="13"/>
    </row>
    <row r="363" spans="1:3" ht="13" x14ac:dyDescent="0.15">
      <c r="A363" s="10"/>
      <c r="B363" s="13"/>
      <c r="C363" s="13"/>
    </row>
    <row r="364" spans="1:3" ht="13" x14ac:dyDescent="0.15">
      <c r="A364" s="10"/>
      <c r="B364" s="13"/>
      <c r="C364" s="13"/>
    </row>
    <row r="365" spans="1:3" ht="13" x14ac:dyDescent="0.15">
      <c r="A365" s="10"/>
      <c r="B365" s="13"/>
      <c r="C365" s="13"/>
    </row>
    <row r="366" spans="1:3" ht="13" x14ac:dyDescent="0.15">
      <c r="A366" s="10"/>
      <c r="B366" s="13"/>
      <c r="C366" s="13"/>
    </row>
    <row r="367" spans="1:3" ht="13" x14ac:dyDescent="0.15">
      <c r="A367" s="10"/>
      <c r="B367" s="13"/>
      <c r="C367" s="13"/>
    </row>
    <row r="368" spans="1:3" ht="13" x14ac:dyDescent="0.15">
      <c r="A368" s="10"/>
      <c r="B368" s="13"/>
      <c r="C368" s="13"/>
    </row>
    <row r="369" spans="1:3" ht="13" x14ac:dyDescent="0.15">
      <c r="A369" s="10"/>
      <c r="B369" s="13"/>
      <c r="C369" s="13"/>
    </row>
    <row r="370" spans="1:3" ht="13" x14ac:dyDescent="0.15">
      <c r="A370" s="10"/>
      <c r="B370" s="13"/>
      <c r="C370" s="13"/>
    </row>
    <row r="371" spans="1:3" ht="13" x14ac:dyDescent="0.15">
      <c r="A371" s="10"/>
      <c r="B371" s="13"/>
      <c r="C371" s="13"/>
    </row>
    <row r="372" spans="1:3" ht="13" x14ac:dyDescent="0.15">
      <c r="A372" s="10"/>
      <c r="B372" s="13"/>
      <c r="C372" s="13"/>
    </row>
    <row r="373" spans="1:3" ht="13" x14ac:dyDescent="0.15">
      <c r="A373" s="10"/>
      <c r="B373" s="13"/>
      <c r="C373" s="13"/>
    </row>
    <row r="374" spans="1:3" ht="13" x14ac:dyDescent="0.15">
      <c r="A374" s="10"/>
      <c r="B374" s="13"/>
      <c r="C374" s="13"/>
    </row>
    <row r="375" spans="1:3" ht="13" x14ac:dyDescent="0.15">
      <c r="A375" s="10"/>
      <c r="B375" s="13"/>
      <c r="C375" s="13"/>
    </row>
    <row r="376" spans="1:3" ht="13" x14ac:dyDescent="0.15">
      <c r="A376" s="10"/>
      <c r="B376" s="13"/>
      <c r="C376" s="13"/>
    </row>
    <row r="377" spans="1:3" ht="13" x14ac:dyDescent="0.15">
      <c r="A377" s="10"/>
      <c r="B377" s="13"/>
      <c r="C377" s="13"/>
    </row>
    <row r="378" spans="1:3" ht="13" x14ac:dyDescent="0.15">
      <c r="A378" s="10"/>
      <c r="B378" s="13"/>
      <c r="C378" s="13"/>
    </row>
    <row r="379" spans="1:3" ht="13" x14ac:dyDescent="0.15">
      <c r="A379" s="10"/>
      <c r="B379" s="13"/>
      <c r="C379" s="13"/>
    </row>
    <row r="380" spans="1:3" ht="13" x14ac:dyDescent="0.15">
      <c r="A380" s="10"/>
      <c r="B380" s="13"/>
      <c r="C380" s="13"/>
    </row>
    <row r="381" spans="1:3" ht="13" x14ac:dyDescent="0.15">
      <c r="A381" s="10"/>
      <c r="B381" s="13"/>
      <c r="C381" s="13"/>
    </row>
    <row r="382" spans="1:3" ht="13" x14ac:dyDescent="0.15">
      <c r="A382" s="10"/>
      <c r="B382" s="13"/>
      <c r="C382" s="13"/>
    </row>
    <row r="383" spans="1:3" ht="13" x14ac:dyDescent="0.15">
      <c r="A383" s="10"/>
      <c r="B383" s="13"/>
      <c r="C383" s="13"/>
    </row>
    <row r="384" spans="1:3" ht="13" x14ac:dyDescent="0.15">
      <c r="A384" s="10"/>
      <c r="B384" s="13"/>
      <c r="C384" s="13"/>
    </row>
    <row r="385" spans="1:3" ht="13" x14ac:dyDescent="0.15">
      <c r="A385" s="10"/>
      <c r="B385" s="13"/>
      <c r="C385" s="13"/>
    </row>
    <row r="386" spans="1:3" ht="13" x14ac:dyDescent="0.15">
      <c r="A386" s="10"/>
      <c r="B386" s="13"/>
      <c r="C386" s="13"/>
    </row>
    <row r="387" spans="1:3" ht="13" x14ac:dyDescent="0.15">
      <c r="A387" s="10"/>
      <c r="B387" s="13"/>
      <c r="C387" s="13"/>
    </row>
    <row r="388" spans="1:3" ht="13" x14ac:dyDescent="0.15">
      <c r="A388" s="10"/>
      <c r="B388" s="13"/>
      <c r="C388" s="13"/>
    </row>
    <row r="389" spans="1:3" ht="13" x14ac:dyDescent="0.15">
      <c r="A389" s="10"/>
      <c r="B389" s="13"/>
      <c r="C389" s="13"/>
    </row>
    <row r="390" spans="1:3" ht="13" x14ac:dyDescent="0.15">
      <c r="A390" s="10"/>
      <c r="B390" s="13"/>
      <c r="C390" s="13"/>
    </row>
    <row r="391" spans="1:3" ht="13" x14ac:dyDescent="0.15">
      <c r="A391" s="10"/>
      <c r="B391" s="13"/>
      <c r="C391" s="13"/>
    </row>
    <row r="392" spans="1:3" ht="13" x14ac:dyDescent="0.15">
      <c r="A392" s="10"/>
      <c r="B392" s="13"/>
      <c r="C392" s="13"/>
    </row>
    <row r="393" spans="1:3" ht="13" x14ac:dyDescent="0.15">
      <c r="A393" s="10"/>
      <c r="B393" s="13"/>
      <c r="C393" s="13"/>
    </row>
    <row r="394" spans="1:3" ht="13" x14ac:dyDescent="0.15">
      <c r="A394" s="10"/>
      <c r="B394" s="13"/>
      <c r="C394" s="13"/>
    </row>
    <row r="395" spans="1:3" ht="13" x14ac:dyDescent="0.15">
      <c r="A395" s="10"/>
      <c r="B395" s="13"/>
      <c r="C395" s="13"/>
    </row>
    <row r="396" spans="1:3" ht="13" x14ac:dyDescent="0.15">
      <c r="A396" s="10"/>
      <c r="B396" s="13"/>
      <c r="C396" s="13"/>
    </row>
    <row r="397" spans="1:3" ht="13" x14ac:dyDescent="0.15">
      <c r="A397" s="10"/>
      <c r="B397" s="13"/>
      <c r="C397" s="13"/>
    </row>
    <row r="398" spans="1:3" ht="13" x14ac:dyDescent="0.15">
      <c r="A398" s="10"/>
      <c r="B398" s="13"/>
      <c r="C398" s="13"/>
    </row>
    <row r="399" spans="1:3" ht="13" x14ac:dyDescent="0.15">
      <c r="A399" s="10"/>
      <c r="B399" s="13"/>
      <c r="C399" s="13"/>
    </row>
    <row r="400" spans="1:3" ht="13" x14ac:dyDescent="0.15">
      <c r="A400" s="10"/>
      <c r="B400" s="13"/>
      <c r="C400" s="13"/>
    </row>
    <row r="401" spans="1:3" ht="13" x14ac:dyDescent="0.15">
      <c r="A401" s="10"/>
      <c r="B401" s="13"/>
      <c r="C401" s="13"/>
    </row>
    <row r="402" spans="1:3" ht="13" x14ac:dyDescent="0.15">
      <c r="A402" s="10"/>
      <c r="B402" s="13"/>
      <c r="C402" s="13"/>
    </row>
    <row r="403" spans="1:3" ht="13" x14ac:dyDescent="0.15">
      <c r="A403" s="10"/>
      <c r="B403" s="13"/>
      <c r="C403" s="13"/>
    </row>
    <row r="404" spans="1:3" ht="13" x14ac:dyDescent="0.15">
      <c r="A404" s="10"/>
      <c r="B404" s="13"/>
      <c r="C404" s="13"/>
    </row>
    <row r="405" spans="1:3" ht="13" x14ac:dyDescent="0.15">
      <c r="A405" s="10"/>
      <c r="B405" s="13"/>
      <c r="C405" s="13"/>
    </row>
    <row r="406" spans="1:3" ht="13" x14ac:dyDescent="0.15">
      <c r="A406" s="10"/>
      <c r="B406" s="13"/>
      <c r="C406" s="13"/>
    </row>
    <row r="407" spans="1:3" ht="13" x14ac:dyDescent="0.15">
      <c r="A407" s="10"/>
      <c r="B407" s="13"/>
      <c r="C407" s="13"/>
    </row>
    <row r="408" spans="1:3" ht="13" x14ac:dyDescent="0.15">
      <c r="A408" s="10"/>
      <c r="B408" s="13"/>
      <c r="C408" s="13"/>
    </row>
    <row r="409" spans="1:3" ht="13" x14ac:dyDescent="0.15">
      <c r="A409" s="10"/>
      <c r="B409" s="13"/>
      <c r="C409" s="13"/>
    </row>
    <row r="410" spans="1:3" ht="13" x14ac:dyDescent="0.15">
      <c r="A410" s="10"/>
      <c r="B410" s="13"/>
      <c r="C410" s="13"/>
    </row>
    <row r="411" spans="1:3" ht="13" x14ac:dyDescent="0.15">
      <c r="A411" s="10"/>
      <c r="B411" s="13"/>
      <c r="C411" s="13"/>
    </row>
    <row r="412" spans="1:3" ht="13" x14ac:dyDescent="0.15">
      <c r="A412" s="10"/>
      <c r="B412" s="13"/>
      <c r="C412" s="13"/>
    </row>
    <row r="413" spans="1:3" ht="13" x14ac:dyDescent="0.15">
      <c r="A413" s="10"/>
      <c r="B413" s="13"/>
      <c r="C413" s="13"/>
    </row>
    <row r="414" spans="1:3" ht="13" x14ac:dyDescent="0.15">
      <c r="A414" s="10"/>
      <c r="B414" s="13"/>
      <c r="C414" s="13"/>
    </row>
    <row r="415" spans="1:3" ht="13" x14ac:dyDescent="0.15">
      <c r="A415" s="10"/>
      <c r="B415" s="13"/>
      <c r="C415" s="13"/>
    </row>
    <row r="416" spans="1:3" ht="13" x14ac:dyDescent="0.15">
      <c r="A416" s="10"/>
      <c r="B416" s="13"/>
      <c r="C416" s="13"/>
    </row>
    <row r="417" spans="1:3" ht="13" x14ac:dyDescent="0.15">
      <c r="A417" s="10"/>
      <c r="B417" s="13"/>
      <c r="C417" s="13"/>
    </row>
    <row r="418" spans="1:3" ht="13" x14ac:dyDescent="0.15">
      <c r="A418" s="10"/>
      <c r="B418" s="13"/>
      <c r="C418" s="13"/>
    </row>
    <row r="419" spans="1:3" ht="13" x14ac:dyDescent="0.15">
      <c r="A419" s="10"/>
      <c r="B419" s="13"/>
      <c r="C419" s="13"/>
    </row>
    <row r="420" spans="1:3" ht="13" x14ac:dyDescent="0.15">
      <c r="A420" s="10"/>
      <c r="B420" s="13"/>
      <c r="C420" s="13"/>
    </row>
    <row r="421" spans="1:3" ht="13" x14ac:dyDescent="0.15">
      <c r="A421" s="10"/>
      <c r="B421" s="13"/>
      <c r="C421" s="13"/>
    </row>
    <row r="422" spans="1:3" ht="13" x14ac:dyDescent="0.15">
      <c r="A422" s="10"/>
      <c r="B422" s="13"/>
      <c r="C422" s="13"/>
    </row>
    <row r="423" spans="1:3" ht="13" x14ac:dyDescent="0.15">
      <c r="A423" s="10"/>
      <c r="B423" s="13"/>
      <c r="C423" s="13"/>
    </row>
    <row r="424" spans="1:3" ht="13" x14ac:dyDescent="0.15">
      <c r="A424" s="10"/>
      <c r="B424" s="13"/>
      <c r="C424" s="13"/>
    </row>
    <row r="425" spans="1:3" ht="13" x14ac:dyDescent="0.15">
      <c r="A425" s="10"/>
      <c r="B425" s="13"/>
      <c r="C425" s="13"/>
    </row>
    <row r="426" spans="1:3" ht="13" x14ac:dyDescent="0.15">
      <c r="A426" s="10"/>
      <c r="B426" s="13"/>
      <c r="C426" s="13"/>
    </row>
    <row r="427" spans="1:3" ht="13" x14ac:dyDescent="0.15">
      <c r="A427" s="10"/>
      <c r="B427" s="13"/>
      <c r="C427" s="13"/>
    </row>
    <row r="428" spans="1:3" ht="13" x14ac:dyDescent="0.15">
      <c r="A428" s="10"/>
      <c r="B428" s="13"/>
      <c r="C428" s="13"/>
    </row>
    <row r="429" spans="1:3" ht="13" x14ac:dyDescent="0.15">
      <c r="A429" s="10"/>
      <c r="B429" s="13"/>
      <c r="C429" s="13"/>
    </row>
    <row r="430" spans="1:3" ht="13" x14ac:dyDescent="0.15">
      <c r="A430" s="10"/>
      <c r="B430" s="13"/>
      <c r="C430" s="13"/>
    </row>
    <row r="431" spans="1:3" ht="13" x14ac:dyDescent="0.15">
      <c r="A431" s="10"/>
      <c r="B431" s="13"/>
      <c r="C431" s="13"/>
    </row>
    <row r="432" spans="1:3" ht="13" x14ac:dyDescent="0.15">
      <c r="A432" s="10"/>
      <c r="B432" s="13"/>
      <c r="C432" s="13"/>
    </row>
    <row r="433" spans="1:3" ht="13" x14ac:dyDescent="0.15">
      <c r="A433" s="10"/>
      <c r="B433" s="13"/>
      <c r="C433" s="13"/>
    </row>
    <row r="434" spans="1:3" ht="13" x14ac:dyDescent="0.15">
      <c r="A434" s="10"/>
      <c r="B434" s="13"/>
      <c r="C434" s="13"/>
    </row>
    <row r="435" spans="1:3" ht="13" x14ac:dyDescent="0.15">
      <c r="A435" s="10"/>
      <c r="B435" s="13"/>
      <c r="C435" s="13"/>
    </row>
    <row r="436" spans="1:3" ht="13" x14ac:dyDescent="0.15">
      <c r="A436" s="10"/>
      <c r="B436" s="13"/>
      <c r="C436" s="13"/>
    </row>
    <row r="437" spans="1:3" ht="13" x14ac:dyDescent="0.15">
      <c r="A437" s="10"/>
      <c r="B437" s="13"/>
      <c r="C437" s="13"/>
    </row>
    <row r="438" spans="1:3" ht="13" x14ac:dyDescent="0.15">
      <c r="A438" s="10"/>
      <c r="B438" s="13"/>
      <c r="C438" s="13"/>
    </row>
    <row r="439" spans="1:3" ht="13" x14ac:dyDescent="0.15">
      <c r="A439" s="10"/>
      <c r="B439" s="13"/>
      <c r="C439" s="13"/>
    </row>
    <row r="440" spans="1:3" ht="13" x14ac:dyDescent="0.15">
      <c r="A440" s="10"/>
      <c r="B440" s="13"/>
      <c r="C440" s="13"/>
    </row>
    <row r="441" spans="1:3" ht="13" x14ac:dyDescent="0.15">
      <c r="A441" s="10"/>
      <c r="B441" s="13"/>
      <c r="C441" s="13"/>
    </row>
    <row r="442" spans="1:3" ht="13" x14ac:dyDescent="0.15">
      <c r="A442" s="10"/>
      <c r="B442" s="13"/>
      <c r="C442" s="13"/>
    </row>
    <row r="443" spans="1:3" ht="13" x14ac:dyDescent="0.15">
      <c r="A443" s="10"/>
      <c r="B443" s="13"/>
      <c r="C443" s="13"/>
    </row>
    <row r="444" spans="1:3" ht="13" x14ac:dyDescent="0.15">
      <c r="A444" s="10"/>
      <c r="B444" s="13"/>
      <c r="C444" s="13"/>
    </row>
    <row r="445" spans="1:3" ht="13" x14ac:dyDescent="0.15">
      <c r="A445" s="10"/>
      <c r="B445" s="13"/>
      <c r="C445" s="13"/>
    </row>
    <row r="446" spans="1:3" ht="13" x14ac:dyDescent="0.15">
      <c r="A446" s="10"/>
      <c r="B446" s="13"/>
      <c r="C446" s="13"/>
    </row>
    <row r="447" spans="1:3" ht="13" x14ac:dyDescent="0.15">
      <c r="A447" s="10"/>
      <c r="B447" s="13"/>
      <c r="C447" s="13"/>
    </row>
    <row r="448" spans="1:3" ht="13" x14ac:dyDescent="0.15">
      <c r="A448" s="10"/>
      <c r="B448" s="13"/>
      <c r="C448" s="13"/>
    </row>
    <row r="449" spans="1:3" ht="13" x14ac:dyDescent="0.15">
      <c r="A449" s="10"/>
      <c r="B449" s="13"/>
      <c r="C449" s="13"/>
    </row>
    <row r="450" spans="1:3" ht="13" x14ac:dyDescent="0.15">
      <c r="A450" s="10"/>
      <c r="B450" s="13"/>
      <c r="C450" s="13"/>
    </row>
    <row r="451" spans="1:3" ht="13" x14ac:dyDescent="0.15">
      <c r="A451" s="10"/>
      <c r="B451" s="13"/>
      <c r="C451" s="13"/>
    </row>
    <row r="452" spans="1:3" ht="13" x14ac:dyDescent="0.15">
      <c r="A452" s="10"/>
      <c r="B452" s="13"/>
      <c r="C452" s="13"/>
    </row>
    <row r="453" spans="1:3" ht="13" x14ac:dyDescent="0.15">
      <c r="A453" s="10"/>
      <c r="B453" s="13"/>
      <c r="C453" s="13"/>
    </row>
    <row r="454" spans="1:3" ht="13" x14ac:dyDescent="0.15">
      <c r="A454" s="10"/>
      <c r="B454" s="13"/>
      <c r="C454" s="13"/>
    </row>
    <row r="455" spans="1:3" ht="13" x14ac:dyDescent="0.15">
      <c r="A455" s="10"/>
      <c r="B455" s="13"/>
      <c r="C455" s="13"/>
    </row>
    <row r="456" spans="1:3" ht="13" x14ac:dyDescent="0.15">
      <c r="A456" s="10"/>
      <c r="B456" s="13"/>
      <c r="C456" s="13"/>
    </row>
    <row r="457" spans="1:3" ht="13" x14ac:dyDescent="0.15">
      <c r="A457" s="10"/>
      <c r="B457" s="13"/>
      <c r="C457" s="13"/>
    </row>
    <row r="458" spans="1:3" ht="13" x14ac:dyDescent="0.15">
      <c r="A458" s="10"/>
      <c r="B458" s="13"/>
      <c r="C458" s="13"/>
    </row>
    <row r="459" spans="1:3" ht="13" x14ac:dyDescent="0.15">
      <c r="A459" s="10"/>
      <c r="B459" s="13"/>
      <c r="C459" s="13"/>
    </row>
    <row r="460" spans="1:3" ht="13" x14ac:dyDescent="0.15">
      <c r="A460" s="10"/>
      <c r="B460" s="13"/>
      <c r="C460" s="13"/>
    </row>
    <row r="461" spans="1:3" ht="13" x14ac:dyDescent="0.15">
      <c r="A461" s="10"/>
      <c r="B461" s="13"/>
      <c r="C461" s="13"/>
    </row>
    <row r="462" spans="1:3" ht="13" x14ac:dyDescent="0.15">
      <c r="A462" s="10"/>
      <c r="B462" s="13"/>
      <c r="C462" s="13"/>
    </row>
    <row r="463" spans="1:3" ht="13" x14ac:dyDescent="0.15">
      <c r="A463" s="10"/>
      <c r="B463" s="13"/>
      <c r="C463" s="13"/>
    </row>
    <row r="464" spans="1:3" ht="13" x14ac:dyDescent="0.15">
      <c r="A464" s="10"/>
      <c r="B464" s="13"/>
      <c r="C464" s="13"/>
    </row>
    <row r="465" spans="1:3" ht="13" x14ac:dyDescent="0.15">
      <c r="A465" s="10"/>
      <c r="B465" s="13"/>
      <c r="C465" s="13"/>
    </row>
    <row r="466" spans="1:3" ht="13" x14ac:dyDescent="0.15">
      <c r="A466" s="10"/>
      <c r="B466" s="13"/>
      <c r="C466" s="13"/>
    </row>
    <row r="467" spans="1:3" ht="13" x14ac:dyDescent="0.15">
      <c r="A467" s="10"/>
      <c r="B467" s="13"/>
      <c r="C467" s="13"/>
    </row>
    <row r="468" spans="1:3" ht="13" x14ac:dyDescent="0.15">
      <c r="A468" s="10"/>
      <c r="B468" s="13"/>
      <c r="C468" s="13"/>
    </row>
    <row r="469" spans="1:3" ht="13" x14ac:dyDescent="0.15">
      <c r="A469" s="10"/>
      <c r="B469" s="13"/>
      <c r="C469" s="13"/>
    </row>
    <row r="470" spans="1:3" ht="13" x14ac:dyDescent="0.15">
      <c r="A470" s="10"/>
      <c r="B470" s="13"/>
      <c r="C470" s="13"/>
    </row>
    <row r="471" spans="1:3" ht="13" x14ac:dyDescent="0.15">
      <c r="A471" s="10"/>
      <c r="B471" s="13"/>
      <c r="C471" s="13"/>
    </row>
    <row r="472" spans="1:3" ht="13" x14ac:dyDescent="0.15">
      <c r="A472" s="10"/>
      <c r="B472" s="13"/>
      <c r="C472" s="13"/>
    </row>
    <row r="473" spans="1:3" ht="13" x14ac:dyDescent="0.15">
      <c r="A473" s="10"/>
      <c r="B473" s="13"/>
      <c r="C473" s="13"/>
    </row>
    <row r="474" spans="1:3" ht="13" x14ac:dyDescent="0.15">
      <c r="A474" s="10"/>
      <c r="B474" s="13"/>
      <c r="C474" s="13"/>
    </row>
    <row r="475" spans="1:3" ht="13" x14ac:dyDescent="0.15">
      <c r="A475" s="10"/>
      <c r="B475" s="13"/>
      <c r="C475" s="13"/>
    </row>
    <row r="476" spans="1:3" ht="13" x14ac:dyDescent="0.15">
      <c r="A476" s="10"/>
      <c r="B476" s="13"/>
      <c r="C476" s="13"/>
    </row>
    <row r="477" spans="1:3" ht="13" x14ac:dyDescent="0.15">
      <c r="A477" s="10"/>
      <c r="B477" s="13"/>
      <c r="C477" s="13"/>
    </row>
    <row r="478" spans="1:3" ht="13" x14ac:dyDescent="0.15">
      <c r="A478" s="10"/>
      <c r="B478" s="13"/>
      <c r="C478" s="13"/>
    </row>
    <row r="479" spans="1:3" ht="13" x14ac:dyDescent="0.15">
      <c r="A479" s="10"/>
      <c r="B479" s="13"/>
      <c r="C479" s="13"/>
    </row>
    <row r="480" spans="1:3" ht="13" x14ac:dyDescent="0.15">
      <c r="A480" s="10"/>
      <c r="B480" s="13"/>
      <c r="C480" s="13"/>
    </row>
    <row r="481" spans="1:3" ht="13" x14ac:dyDescent="0.15">
      <c r="A481" s="10"/>
      <c r="B481" s="13"/>
      <c r="C481" s="13"/>
    </row>
    <row r="482" spans="1:3" ht="13" x14ac:dyDescent="0.15">
      <c r="A482" s="10"/>
      <c r="B482" s="13"/>
      <c r="C482" s="13"/>
    </row>
    <row r="483" spans="1:3" ht="13" x14ac:dyDescent="0.15">
      <c r="A483" s="10"/>
      <c r="B483" s="13"/>
      <c r="C483" s="13"/>
    </row>
    <row r="484" spans="1:3" ht="13" x14ac:dyDescent="0.15">
      <c r="A484" s="10"/>
      <c r="B484" s="13"/>
      <c r="C484" s="13"/>
    </row>
    <row r="485" spans="1:3" ht="13" x14ac:dyDescent="0.15">
      <c r="A485" s="10"/>
      <c r="B485" s="13"/>
      <c r="C485" s="13"/>
    </row>
    <row r="486" spans="1:3" ht="13" x14ac:dyDescent="0.15">
      <c r="A486" s="10"/>
      <c r="B486" s="13"/>
      <c r="C486" s="13"/>
    </row>
    <row r="487" spans="1:3" ht="13" x14ac:dyDescent="0.15">
      <c r="A487" s="10"/>
      <c r="B487" s="13"/>
      <c r="C487" s="13"/>
    </row>
    <row r="488" spans="1:3" ht="13" x14ac:dyDescent="0.15">
      <c r="A488" s="10"/>
      <c r="B488" s="13"/>
      <c r="C488" s="13"/>
    </row>
    <row r="489" spans="1:3" ht="13" x14ac:dyDescent="0.15">
      <c r="A489" s="10"/>
      <c r="B489" s="13"/>
      <c r="C489" s="13"/>
    </row>
    <row r="490" spans="1:3" ht="13" x14ac:dyDescent="0.15">
      <c r="A490" s="10"/>
      <c r="B490" s="13"/>
      <c r="C490" s="13"/>
    </row>
    <row r="491" spans="1:3" ht="13" x14ac:dyDescent="0.15">
      <c r="A491" s="10"/>
      <c r="B491" s="13"/>
      <c r="C491" s="13"/>
    </row>
    <row r="492" spans="1:3" ht="13" x14ac:dyDescent="0.15">
      <c r="A492" s="10"/>
      <c r="B492" s="13"/>
      <c r="C492" s="13"/>
    </row>
    <row r="493" spans="1:3" ht="13" x14ac:dyDescent="0.15">
      <c r="A493" s="10"/>
      <c r="B493" s="13"/>
      <c r="C493" s="13"/>
    </row>
    <row r="494" spans="1:3" ht="13" x14ac:dyDescent="0.15">
      <c r="A494" s="10"/>
      <c r="B494" s="13"/>
      <c r="C494" s="13"/>
    </row>
    <row r="495" spans="1:3" ht="13" x14ac:dyDescent="0.15">
      <c r="A495" s="10"/>
      <c r="B495" s="13"/>
      <c r="C495" s="13"/>
    </row>
    <row r="496" spans="1:3" ht="13" x14ac:dyDescent="0.15">
      <c r="A496" s="10"/>
      <c r="B496" s="13"/>
      <c r="C496" s="13"/>
    </row>
    <row r="497" spans="1:3" ht="13" x14ac:dyDescent="0.15">
      <c r="A497" s="10"/>
      <c r="B497" s="13"/>
      <c r="C497" s="13"/>
    </row>
    <row r="498" spans="1:3" ht="13" x14ac:dyDescent="0.15">
      <c r="A498" s="10"/>
      <c r="B498" s="13"/>
      <c r="C498" s="13"/>
    </row>
    <row r="499" spans="1:3" ht="13" x14ac:dyDescent="0.15">
      <c r="A499" s="10"/>
      <c r="B499" s="13"/>
      <c r="C499" s="13"/>
    </row>
    <row r="500" spans="1:3" ht="13" x14ac:dyDescent="0.15">
      <c r="A500" s="10"/>
      <c r="B500" s="13"/>
      <c r="C500" s="13"/>
    </row>
    <row r="501" spans="1:3" ht="13" x14ac:dyDescent="0.15">
      <c r="A501" s="10"/>
      <c r="B501" s="13"/>
      <c r="C501" s="13"/>
    </row>
    <row r="502" spans="1:3" ht="13" x14ac:dyDescent="0.15">
      <c r="A502" s="10"/>
      <c r="B502" s="13"/>
      <c r="C502" s="13"/>
    </row>
    <row r="503" spans="1:3" ht="13" x14ac:dyDescent="0.15">
      <c r="A503" s="10"/>
      <c r="B503" s="13"/>
      <c r="C503" s="13"/>
    </row>
    <row r="504" spans="1:3" ht="13" x14ac:dyDescent="0.15">
      <c r="A504" s="10"/>
      <c r="B504" s="13"/>
      <c r="C504" s="13"/>
    </row>
    <row r="505" spans="1:3" ht="13" x14ac:dyDescent="0.15">
      <c r="A505" s="10"/>
      <c r="B505" s="13"/>
      <c r="C505" s="13"/>
    </row>
    <row r="506" spans="1:3" ht="13" x14ac:dyDescent="0.15">
      <c r="A506" s="10"/>
      <c r="B506" s="13"/>
      <c r="C506" s="13"/>
    </row>
    <row r="507" spans="1:3" ht="13" x14ac:dyDescent="0.15">
      <c r="A507" s="10"/>
      <c r="B507" s="13"/>
      <c r="C507" s="13"/>
    </row>
    <row r="508" spans="1:3" ht="13" x14ac:dyDescent="0.15">
      <c r="A508" s="10"/>
      <c r="B508" s="13"/>
      <c r="C508" s="13"/>
    </row>
    <row r="509" spans="1:3" ht="13" x14ac:dyDescent="0.15">
      <c r="A509" s="10"/>
      <c r="B509" s="13"/>
      <c r="C509" s="13"/>
    </row>
    <row r="510" spans="1:3" ht="13" x14ac:dyDescent="0.15">
      <c r="A510" s="10"/>
      <c r="B510" s="13"/>
      <c r="C510" s="13"/>
    </row>
    <row r="511" spans="1:3" ht="13" x14ac:dyDescent="0.15">
      <c r="A511" s="10"/>
      <c r="B511" s="13"/>
      <c r="C511" s="13"/>
    </row>
    <row r="512" spans="1:3" ht="13" x14ac:dyDescent="0.15">
      <c r="A512" s="10"/>
      <c r="B512" s="13"/>
      <c r="C512" s="13"/>
    </row>
    <row r="513" spans="1:3" ht="13" x14ac:dyDescent="0.15">
      <c r="A513" s="10"/>
      <c r="B513" s="13"/>
      <c r="C513" s="13"/>
    </row>
    <row r="514" spans="1:3" ht="13" x14ac:dyDescent="0.15">
      <c r="A514" s="10"/>
      <c r="B514" s="13"/>
      <c r="C514" s="13"/>
    </row>
    <row r="515" spans="1:3" ht="13" x14ac:dyDescent="0.15">
      <c r="A515" s="10"/>
      <c r="B515" s="13"/>
      <c r="C515" s="13"/>
    </row>
    <row r="516" spans="1:3" ht="13" x14ac:dyDescent="0.15">
      <c r="A516" s="10"/>
      <c r="B516" s="13"/>
      <c r="C516" s="13"/>
    </row>
    <row r="517" spans="1:3" ht="13" x14ac:dyDescent="0.15">
      <c r="A517" s="10"/>
      <c r="B517" s="13"/>
      <c r="C517" s="13"/>
    </row>
    <row r="518" spans="1:3" ht="13" x14ac:dyDescent="0.15">
      <c r="A518" s="10"/>
      <c r="B518" s="13"/>
      <c r="C518" s="13"/>
    </row>
    <row r="519" spans="1:3" ht="13" x14ac:dyDescent="0.15">
      <c r="A519" s="10"/>
      <c r="B519" s="13"/>
      <c r="C519" s="13"/>
    </row>
    <row r="520" spans="1:3" ht="13" x14ac:dyDescent="0.15">
      <c r="A520" s="10"/>
      <c r="B520" s="13"/>
      <c r="C520" s="13"/>
    </row>
    <row r="521" spans="1:3" ht="13" x14ac:dyDescent="0.15">
      <c r="A521" s="10"/>
      <c r="B521" s="13"/>
      <c r="C521" s="13"/>
    </row>
    <row r="522" spans="1:3" ht="13" x14ac:dyDescent="0.15">
      <c r="A522" s="10"/>
      <c r="B522" s="13"/>
      <c r="C522" s="13"/>
    </row>
    <row r="523" spans="1:3" ht="13" x14ac:dyDescent="0.15">
      <c r="A523" s="10"/>
      <c r="B523" s="13"/>
      <c r="C523" s="13"/>
    </row>
    <row r="524" spans="1:3" ht="13" x14ac:dyDescent="0.15">
      <c r="A524" s="10"/>
      <c r="B524" s="13"/>
      <c r="C524" s="13"/>
    </row>
    <row r="525" spans="1:3" ht="13" x14ac:dyDescent="0.15">
      <c r="A525" s="10"/>
      <c r="B525" s="13"/>
      <c r="C525" s="13"/>
    </row>
    <row r="526" spans="1:3" ht="13" x14ac:dyDescent="0.15">
      <c r="A526" s="10"/>
      <c r="B526" s="13"/>
      <c r="C526" s="13"/>
    </row>
    <row r="527" spans="1:3" ht="13" x14ac:dyDescent="0.15">
      <c r="A527" s="10"/>
      <c r="B527" s="13"/>
      <c r="C527" s="13"/>
    </row>
    <row r="528" spans="1:3" ht="13" x14ac:dyDescent="0.15">
      <c r="A528" s="10"/>
      <c r="B528" s="13"/>
      <c r="C528" s="13"/>
    </row>
    <row r="529" spans="1:3" ht="13" x14ac:dyDescent="0.15">
      <c r="A529" s="10"/>
      <c r="B529" s="13"/>
      <c r="C529" s="13"/>
    </row>
    <row r="530" spans="1:3" ht="13" x14ac:dyDescent="0.15">
      <c r="A530" s="10"/>
      <c r="B530" s="13"/>
      <c r="C530" s="13"/>
    </row>
    <row r="531" spans="1:3" ht="13" x14ac:dyDescent="0.15">
      <c r="A531" s="10"/>
      <c r="B531" s="13"/>
      <c r="C531" s="13"/>
    </row>
    <row r="532" spans="1:3" ht="13" x14ac:dyDescent="0.15">
      <c r="A532" s="10"/>
      <c r="B532" s="13"/>
      <c r="C532" s="13"/>
    </row>
    <row r="533" spans="1:3" ht="13" x14ac:dyDescent="0.15">
      <c r="A533" s="10"/>
      <c r="B533" s="13"/>
      <c r="C533" s="13"/>
    </row>
    <row r="534" spans="1:3" ht="13" x14ac:dyDescent="0.15">
      <c r="A534" s="10"/>
      <c r="B534" s="13"/>
      <c r="C534" s="13"/>
    </row>
    <row r="535" spans="1:3" ht="13" x14ac:dyDescent="0.15">
      <c r="A535" s="10"/>
      <c r="B535" s="13"/>
      <c r="C535" s="13"/>
    </row>
    <row r="536" spans="1:3" ht="13" x14ac:dyDescent="0.15">
      <c r="A536" s="10"/>
      <c r="B536" s="13"/>
      <c r="C536" s="13"/>
    </row>
    <row r="537" spans="1:3" ht="13" x14ac:dyDescent="0.15">
      <c r="A537" s="10"/>
      <c r="B537" s="13"/>
      <c r="C537" s="13"/>
    </row>
    <row r="538" spans="1:3" ht="13" x14ac:dyDescent="0.15">
      <c r="A538" s="10"/>
      <c r="B538" s="13"/>
      <c r="C538" s="13"/>
    </row>
    <row r="539" spans="1:3" ht="13" x14ac:dyDescent="0.15">
      <c r="A539" s="10"/>
      <c r="B539" s="13"/>
      <c r="C539" s="13"/>
    </row>
    <row r="540" spans="1:3" ht="13" x14ac:dyDescent="0.15">
      <c r="A540" s="10"/>
      <c r="B540" s="13"/>
      <c r="C540" s="13"/>
    </row>
    <row r="541" spans="1:3" ht="13" x14ac:dyDescent="0.15">
      <c r="A541" s="10"/>
      <c r="B541" s="13"/>
      <c r="C541" s="13"/>
    </row>
    <row r="542" spans="1:3" ht="13" x14ac:dyDescent="0.15">
      <c r="A542" s="10"/>
      <c r="B542" s="13"/>
      <c r="C542" s="13"/>
    </row>
    <row r="543" spans="1:3" ht="13" x14ac:dyDescent="0.15">
      <c r="A543" s="10"/>
      <c r="B543" s="13"/>
      <c r="C543" s="13"/>
    </row>
    <row r="544" spans="1:3" ht="13" x14ac:dyDescent="0.15">
      <c r="A544" s="10"/>
      <c r="B544" s="13"/>
      <c r="C544" s="13"/>
    </row>
    <row r="545" spans="1:3" ht="13" x14ac:dyDescent="0.15">
      <c r="A545" s="10"/>
      <c r="B545" s="13"/>
      <c r="C545" s="13"/>
    </row>
    <row r="546" spans="1:3" ht="13" x14ac:dyDescent="0.15">
      <c r="A546" s="10"/>
      <c r="B546" s="13"/>
      <c r="C546" s="13"/>
    </row>
    <row r="547" spans="1:3" ht="13" x14ac:dyDescent="0.15">
      <c r="A547" s="10"/>
      <c r="B547" s="13"/>
      <c r="C547" s="13"/>
    </row>
    <row r="548" spans="1:3" ht="13" x14ac:dyDescent="0.15">
      <c r="A548" s="10"/>
      <c r="B548" s="13"/>
      <c r="C548" s="13"/>
    </row>
    <row r="549" spans="1:3" ht="13" x14ac:dyDescent="0.15">
      <c r="A549" s="10"/>
      <c r="B549" s="13"/>
      <c r="C549" s="13"/>
    </row>
    <row r="550" spans="1:3" ht="13" x14ac:dyDescent="0.15">
      <c r="A550" s="10"/>
      <c r="B550" s="13"/>
      <c r="C550" s="13"/>
    </row>
    <row r="551" spans="1:3" ht="13" x14ac:dyDescent="0.15">
      <c r="A551" s="10"/>
      <c r="B551" s="13"/>
      <c r="C551" s="13"/>
    </row>
    <row r="552" spans="1:3" ht="13" x14ac:dyDescent="0.15">
      <c r="A552" s="10"/>
      <c r="B552" s="13"/>
      <c r="C552" s="13"/>
    </row>
    <row r="553" spans="1:3" ht="13" x14ac:dyDescent="0.15">
      <c r="A553" s="10"/>
      <c r="B553" s="13"/>
      <c r="C553" s="13"/>
    </row>
    <row r="554" spans="1:3" ht="13" x14ac:dyDescent="0.15">
      <c r="A554" s="10"/>
      <c r="B554" s="13"/>
      <c r="C554" s="13"/>
    </row>
    <row r="555" spans="1:3" ht="13" x14ac:dyDescent="0.15">
      <c r="A555" s="10"/>
      <c r="B555" s="13"/>
      <c r="C555" s="13"/>
    </row>
    <row r="556" spans="1:3" ht="13" x14ac:dyDescent="0.15">
      <c r="A556" s="10"/>
      <c r="B556" s="13"/>
      <c r="C556" s="13"/>
    </row>
    <row r="557" spans="1:3" ht="13" x14ac:dyDescent="0.15">
      <c r="A557" s="10"/>
      <c r="B557" s="13"/>
      <c r="C557" s="13"/>
    </row>
    <row r="558" spans="1:3" ht="13" x14ac:dyDescent="0.15">
      <c r="A558" s="10"/>
      <c r="B558" s="13"/>
      <c r="C558" s="13"/>
    </row>
    <row r="559" spans="1:3" ht="13" x14ac:dyDescent="0.15">
      <c r="A559" s="10"/>
      <c r="B559" s="13"/>
      <c r="C559" s="13"/>
    </row>
    <row r="560" spans="1:3" ht="13" x14ac:dyDescent="0.15">
      <c r="A560" s="10"/>
      <c r="B560" s="13"/>
      <c r="C560" s="13"/>
    </row>
    <row r="561" spans="1:3" ht="13" x14ac:dyDescent="0.15">
      <c r="A561" s="10"/>
      <c r="B561" s="13"/>
      <c r="C561" s="13"/>
    </row>
    <row r="562" spans="1:3" ht="13" x14ac:dyDescent="0.15">
      <c r="A562" s="10"/>
      <c r="B562" s="13"/>
      <c r="C562" s="13"/>
    </row>
    <row r="563" spans="1:3" ht="13" x14ac:dyDescent="0.15">
      <c r="A563" s="10"/>
      <c r="B563" s="13"/>
      <c r="C563" s="13"/>
    </row>
    <row r="564" spans="1:3" ht="13" x14ac:dyDescent="0.15">
      <c r="A564" s="10"/>
      <c r="B564" s="13"/>
      <c r="C564" s="13"/>
    </row>
    <row r="565" spans="1:3" ht="13" x14ac:dyDescent="0.15">
      <c r="A565" s="10"/>
      <c r="B565" s="13"/>
      <c r="C565" s="13"/>
    </row>
    <row r="566" spans="1:3" ht="13" x14ac:dyDescent="0.15">
      <c r="A566" s="10"/>
      <c r="B566" s="13"/>
      <c r="C566" s="13"/>
    </row>
    <row r="567" spans="1:3" ht="13" x14ac:dyDescent="0.15">
      <c r="A567" s="10"/>
      <c r="B567" s="13"/>
      <c r="C567" s="13"/>
    </row>
    <row r="568" spans="1:3" ht="13" x14ac:dyDescent="0.15">
      <c r="A568" s="10"/>
      <c r="B568" s="13"/>
      <c r="C568" s="13"/>
    </row>
    <row r="569" spans="1:3" ht="13" x14ac:dyDescent="0.15">
      <c r="A569" s="10"/>
      <c r="B569" s="13"/>
      <c r="C569" s="13"/>
    </row>
    <row r="570" spans="1:3" ht="13" x14ac:dyDescent="0.15">
      <c r="A570" s="10"/>
      <c r="B570" s="13"/>
      <c r="C570" s="13"/>
    </row>
    <row r="571" spans="1:3" ht="13" x14ac:dyDescent="0.15">
      <c r="A571" s="10"/>
      <c r="B571" s="13"/>
      <c r="C571" s="13"/>
    </row>
    <row r="572" spans="1:3" ht="13" x14ac:dyDescent="0.15">
      <c r="A572" s="10"/>
      <c r="B572" s="13"/>
      <c r="C572" s="13"/>
    </row>
    <row r="573" spans="1:3" ht="13" x14ac:dyDescent="0.15">
      <c r="A573" s="10"/>
      <c r="B573" s="13"/>
      <c r="C573" s="13"/>
    </row>
    <row r="574" spans="1:3" ht="13" x14ac:dyDescent="0.15">
      <c r="A574" s="10"/>
      <c r="B574" s="13"/>
      <c r="C574" s="13"/>
    </row>
    <row r="575" spans="1:3" ht="13" x14ac:dyDescent="0.15">
      <c r="A575" s="10"/>
      <c r="B575" s="13"/>
      <c r="C575" s="13"/>
    </row>
    <row r="576" spans="1:3" ht="13" x14ac:dyDescent="0.15">
      <c r="A576" s="10"/>
      <c r="B576" s="13"/>
      <c r="C576" s="13"/>
    </row>
    <row r="577" spans="1:3" ht="13" x14ac:dyDescent="0.15">
      <c r="A577" s="10"/>
      <c r="B577" s="13"/>
      <c r="C577" s="13"/>
    </row>
    <row r="578" spans="1:3" ht="13" x14ac:dyDescent="0.15">
      <c r="A578" s="10"/>
      <c r="B578" s="13"/>
      <c r="C578" s="13"/>
    </row>
    <row r="579" spans="1:3" ht="13" x14ac:dyDescent="0.15">
      <c r="A579" s="10"/>
      <c r="B579" s="13"/>
      <c r="C579" s="13"/>
    </row>
    <row r="580" spans="1:3" ht="13" x14ac:dyDescent="0.15">
      <c r="A580" s="10"/>
      <c r="B580" s="13"/>
      <c r="C580" s="13"/>
    </row>
    <row r="581" spans="1:3" ht="13" x14ac:dyDescent="0.15">
      <c r="A581" s="10"/>
      <c r="B581" s="13"/>
      <c r="C581" s="13"/>
    </row>
    <row r="582" spans="1:3" ht="13" x14ac:dyDescent="0.15">
      <c r="A582" s="10"/>
      <c r="B582" s="13"/>
      <c r="C582" s="13"/>
    </row>
    <row r="583" spans="1:3" ht="13" x14ac:dyDescent="0.15">
      <c r="A583" s="10"/>
      <c r="B583" s="13"/>
      <c r="C583" s="13"/>
    </row>
    <row r="584" spans="1:3" ht="13" x14ac:dyDescent="0.15">
      <c r="A584" s="10"/>
      <c r="B584" s="13"/>
      <c r="C584" s="13"/>
    </row>
    <row r="585" spans="1:3" ht="13" x14ac:dyDescent="0.15">
      <c r="A585" s="10"/>
      <c r="B585" s="13"/>
      <c r="C585" s="13"/>
    </row>
    <row r="586" spans="1:3" ht="13" x14ac:dyDescent="0.15">
      <c r="A586" s="10"/>
      <c r="B586" s="13"/>
      <c r="C586" s="13"/>
    </row>
    <row r="587" spans="1:3" ht="13" x14ac:dyDescent="0.15">
      <c r="A587" s="10"/>
      <c r="B587" s="13"/>
      <c r="C587" s="13"/>
    </row>
    <row r="588" spans="1:3" ht="13" x14ac:dyDescent="0.15">
      <c r="A588" s="10"/>
      <c r="B588" s="13"/>
      <c r="C588" s="13"/>
    </row>
    <row r="589" spans="1:3" ht="13" x14ac:dyDescent="0.15">
      <c r="A589" s="10"/>
      <c r="B589" s="13"/>
      <c r="C589" s="13"/>
    </row>
    <row r="590" spans="1:3" ht="13" x14ac:dyDescent="0.15">
      <c r="A590" s="10"/>
      <c r="B590" s="13"/>
      <c r="C590" s="13"/>
    </row>
    <row r="591" spans="1:3" ht="13" x14ac:dyDescent="0.15">
      <c r="A591" s="10"/>
      <c r="B591" s="13"/>
      <c r="C591" s="13"/>
    </row>
    <row r="592" spans="1:3" ht="13" x14ac:dyDescent="0.15">
      <c r="A592" s="10"/>
      <c r="B592" s="13"/>
      <c r="C592" s="13"/>
    </row>
    <row r="593" spans="1:3" ht="13" x14ac:dyDescent="0.15">
      <c r="A593" s="10"/>
      <c r="B593" s="13"/>
      <c r="C593" s="13"/>
    </row>
    <row r="594" spans="1:3" ht="13" x14ac:dyDescent="0.15">
      <c r="A594" s="10"/>
      <c r="B594" s="13"/>
      <c r="C594" s="13"/>
    </row>
    <row r="595" spans="1:3" ht="13" x14ac:dyDescent="0.15">
      <c r="A595" s="10"/>
      <c r="B595" s="13"/>
      <c r="C595" s="13"/>
    </row>
    <row r="596" spans="1:3" ht="13" x14ac:dyDescent="0.15">
      <c r="A596" s="10"/>
      <c r="B596" s="13"/>
      <c r="C596" s="13"/>
    </row>
    <row r="597" spans="1:3" ht="13" x14ac:dyDescent="0.15">
      <c r="A597" s="10"/>
      <c r="B597" s="13"/>
      <c r="C597" s="13"/>
    </row>
    <row r="598" spans="1:3" ht="13" x14ac:dyDescent="0.15">
      <c r="A598" s="10"/>
      <c r="B598" s="13"/>
      <c r="C598" s="13"/>
    </row>
    <row r="599" spans="1:3" ht="13" x14ac:dyDescent="0.15">
      <c r="A599" s="10"/>
      <c r="B599" s="13"/>
      <c r="C599" s="13"/>
    </row>
    <row r="600" spans="1:3" ht="13" x14ac:dyDescent="0.15">
      <c r="A600" s="10"/>
      <c r="B600" s="13"/>
      <c r="C600" s="13"/>
    </row>
    <row r="601" spans="1:3" ht="13" x14ac:dyDescent="0.15">
      <c r="A601" s="10"/>
      <c r="B601" s="13"/>
      <c r="C601" s="13"/>
    </row>
    <row r="602" spans="1:3" ht="13" x14ac:dyDescent="0.15">
      <c r="A602" s="10"/>
      <c r="B602" s="13"/>
      <c r="C602" s="13"/>
    </row>
    <row r="603" spans="1:3" ht="13" x14ac:dyDescent="0.15">
      <c r="A603" s="10"/>
      <c r="B603" s="13"/>
      <c r="C603" s="13"/>
    </row>
    <row r="604" spans="1:3" ht="13" x14ac:dyDescent="0.15">
      <c r="A604" s="10"/>
      <c r="B604" s="13"/>
      <c r="C604" s="13"/>
    </row>
    <row r="605" spans="1:3" ht="13" x14ac:dyDescent="0.15">
      <c r="A605" s="10"/>
      <c r="B605" s="13"/>
      <c r="C605" s="13"/>
    </row>
    <row r="606" spans="1:3" ht="13" x14ac:dyDescent="0.15">
      <c r="A606" s="10"/>
      <c r="B606" s="13"/>
      <c r="C606" s="13"/>
    </row>
    <row r="607" spans="1:3" ht="13" x14ac:dyDescent="0.15">
      <c r="A607" s="10"/>
      <c r="B607" s="13"/>
      <c r="C607" s="13"/>
    </row>
    <row r="608" spans="1:3" ht="13" x14ac:dyDescent="0.15">
      <c r="A608" s="10"/>
      <c r="B608" s="13"/>
      <c r="C608" s="13"/>
    </row>
    <row r="609" spans="1:3" ht="13" x14ac:dyDescent="0.15">
      <c r="A609" s="10"/>
      <c r="B609" s="13"/>
      <c r="C609" s="13"/>
    </row>
    <row r="610" spans="1:3" ht="13" x14ac:dyDescent="0.15">
      <c r="A610" s="10"/>
      <c r="B610" s="13"/>
      <c r="C610" s="13"/>
    </row>
    <row r="611" spans="1:3" ht="13" x14ac:dyDescent="0.15">
      <c r="A611" s="10"/>
      <c r="B611" s="13"/>
      <c r="C611" s="13"/>
    </row>
    <row r="612" spans="1:3" ht="13" x14ac:dyDescent="0.15">
      <c r="A612" s="10"/>
      <c r="B612" s="13"/>
      <c r="C612" s="13"/>
    </row>
    <row r="613" spans="1:3" ht="13" x14ac:dyDescent="0.15">
      <c r="A613" s="10"/>
      <c r="B613" s="13"/>
      <c r="C613" s="13"/>
    </row>
    <row r="614" spans="1:3" ht="13" x14ac:dyDescent="0.15">
      <c r="A614" s="10"/>
      <c r="B614" s="13"/>
      <c r="C614" s="13"/>
    </row>
    <row r="615" spans="1:3" ht="13" x14ac:dyDescent="0.15">
      <c r="A615" s="10"/>
      <c r="B615" s="13"/>
      <c r="C615" s="13"/>
    </row>
    <row r="616" spans="1:3" ht="13" x14ac:dyDescent="0.15">
      <c r="A616" s="10"/>
      <c r="B616" s="13"/>
      <c r="C616" s="13"/>
    </row>
    <row r="617" spans="1:3" ht="13" x14ac:dyDescent="0.15">
      <c r="A617" s="10"/>
      <c r="B617" s="13"/>
      <c r="C617" s="13"/>
    </row>
    <row r="618" spans="1:3" ht="13" x14ac:dyDescent="0.15">
      <c r="A618" s="10"/>
      <c r="B618" s="13"/>
      <c r="C618" s="13"/>
    </row>
    <row r="619" spans="1:3" ht="13" x14ac:dyDescent="0.15">
      <c r="A619" s="10"/>
      <c r="B619" s="13"/>
      <c r="C619" s="13"/>
    </row>
    <row r="620" spans="1:3" ht="13" x14ac:dyDescent="0.15">
      <c r="A620" s="10"/>
      <c r="B620" s="13"/>
      <c r="C620" s="13"/>
    </row>
    <row r="621" spans="1:3" ht="13" x14ac:dyDescent="0.15">
      <c r="A621" s="10"/>
      <c r="B621" s="13"/>
      <c r="C621" s="13"/>
    </row>
    <row r="622" spans="1:3" ht="13" x14ac:dyDescent="0.15">
      <c r="A622" s="10"/>
      <c r="B622" s="13"/>
      <c r="C622" s="13"/>
    </row>
    <row r="623" spans="1:3" ht="13" x14ac:dyDescent="0.15">
      <c r="A623" s="10"/>
      <c r="B623" s="13"/>
      <c r="C623" s="13"/>
    </row>
    <row r="624" spans="1:3" ht="13" x14ac:dyDescent="0.15">
      <c r="A624" s="10"/>
      <c r="B624" s="13"/>
      <c r="C624" s="13"/>
    </row>
    <row r="625" spans="1:3" ht="13" x14ac:dyDescent="0.15">
      <c r="A625" s="10"/>
      <c r="B625" s="13"/>
      <c r="C625" s="13"/>
    </row>
    <row r="626" spans="1:3" ht="13" x14ac:dyDescent="0.15">
      <c r="A626" s="10"/>
      <c r="B626" s="13"/>
      <c r="C626" s="13"/>
    </row>
    <row r="627" spans="1:3" ht="13" x14ac:dyDescent="0.15">
      <c r="A627" s="10"/>
      <c r="B627" s="13"/>
      <c r="C627" s="13"/>
    </row>
    <row r="628" spans="1:3" ht="13" x14ac:dyDescent="0.15">
      <c r="A628" s="10"/>
      <c r="B628" s="13"/>
      <c r="C628" s="13"/>
    </row>
    <row r="629" spans="1:3" ht="13" x14ac:dyDescent="0.15">
      <c r="A629" s="10"/>
      <c r="B629" s="13"/>
      <c r="C629" s="13"/>
    </row>
    <row r="630" spans="1:3" ht="13" x14ac:dyDescent="0.15">
      <c r="A630" s="10"/>
      <c r="B630" s="13"/>
      <c r="C630" s="13"/>
    </row>
    <row r="631" spans="1:3" ht="13" x14ac:dyDescent="0.15">
      <c r="A631" s="10"/>
      <c r="B631" s="13"/>
      <c r="C631" s="13"/>
    </row>
    <row r="632" spans="1:3" ht="13" x14ac:dyDescent="0.15">
      <c r="A632" s="10"/>
      <c r="B632" s="13"/>
      <c r="C632" s="13"/>
    </row>
    <row r="633" spans="1:3" ht="13" x14ac:dyDescent="0.15">
      <c r="A633" s="10"/>
      <c r="B633" s="13"/>
      <c r="C633" s="13"/>
    </row>
    <row r="634" spans="1:3" ht="13" x14ac:dyDescent="0.15">
      <c r="A634" s="10"/>
      <c r="B634" s="13"/>
      <c r="C634" s="13"/>
    </row>
    <row r="635" spans="1:3" ht="13" x14ac:dyDescent="0.15">
      <c r="A635" s="10"/>
      <c r="B635" s="13"/>
      <c r="C635" s="13"/>
    </row>
    <row r="636" spans="1:3" ht="13" x14ac:dyDescent="0.15">
      <c r="A636" s="10"/>
      <c r="B636" s="13"/>
      <c r="C636" s="13"/>
    </row>
    <row r="637" spans="1:3" ht="13" x14ac:dyDescent="0.15">
      <c r="A637" s="10"/>
      <c r="B637" s="13"/>
      <c r="C637" s="13"/>
    </row>
    <row r="638" spans="1:3" ht="13" x14ac:dyDescent="0.15">
      <c r="A638" s="10"/>
      <c r="B638" s="13"/>
      <c r="C638" s="13"/>
    </row>
    <row r="639" spans="1:3" ht="13" x14ac:dyDescent="0.15">
      <c r="A639" s="10"/>
      <c r="B639" s="13"/>
      <c r="C639" s="13"/>
    </row>
    <row r="640" spans="1:3" ht="13" x14ac:dyDescent="0.15">
      <c r="A640" s="10"/>
      <c r="B640" s="13"/>
      <c r="C640" s="13"/>
    </row>
    <row r="641" spans="1:3" ht="13" x14ac:dyDescent="0.15">
      <c r="A641" s="10"/>
      <c r="B641" s="13"/>
      <c r="C641" s="13"/>
    </row>
    <row r="642" spans="1:3" ht="13" x14ac:dyDescent="0.15">
      <c r="A642" s="10"/>
      <c r="B642" s="13"/>
      <c r="C642" s="13"/>
    </row>
    <row r="643" spans="1:3" ht="13" x14ac:dyDescent="0.15">
      <c r="A643" s="10"/>
      <c r="B643" s="13"/>
      <c r="C643" s="13"/>
    </row>
    <row r="644" spans="1:3" ht="13" x14ac:dyDescent="0.15">
      <c r="A644" s="10"/>
      <c r="B644" s="13"/>
      <c r="C644" s="13"/>
    </row>
    <row r="645" spans="1:3" ht="13" x14ac:dyDescent="0.15">
      <c r="A645" s="10"/>
      <c r="B645" s="13"/>
      <c r="C645" s="13"/>
    </row>
    <row r="646" spans="1:3" ht="13" x14ac:dyDescent="0.15">
      <c r="A646" s="10"/>
      <c r="B646" s="13"/>
      <c r="C646" s="13"/>
    </row>
    <row r="647" spans="1:3" ht="13" x14ac:dyDescent="0.15">
      <c r="A647" s="10"/>
      <c r="B647" s="13"/>
      <c r="C647" s="13"/>
    </row>
    <row r="648" spans="1:3" ht="13" x14ac:dyDescent="0.15">
      <c r="A648" s="10"/>
      <c r="B648" s="13"/>
      <c r="C648" s="13"/>
    </row>
    <row r="649" spans="1:3" ht="13" x14ac:dyDescent="0.15">
      <c r="A649" s="10"/>
      <c r="B649" s="13"/>
      <c r="C649" s="13"/>
    </row>
    <row r="650" spans="1:3" ht="13" x14ac:dyDescent="0.15">
      <c r="A650" s="10"/>
      <c r="B650" s="13"/>
      <c r="C650" s="13"/>
    </row>
    <row r="651" spans="1:3" ht="13" x14ac:dyDescent="0.15">
      <c r="A651" s="10"/>
      <c r="B651" s="13"/>
      <c r="C651" s="13"/>
    </row>
    <row r="652" spans="1:3" ht="13" x14ac:dyDescent="0.15">
      <c r="A652" s="10"/>
      <c r="B652" s="13"/>
      <c r="C652" s="13"/>
    </row>
    <row r="653" spans="1:3" ht="13" x14ac:dyDescent="0.15">
      <c r="A653" s="10"/>
      <c r="B653" s="13"/>
      <c r="C653" s="13"/>
    </row>
    <row r="654" spans="1:3" ht="13" x14ac:dyDescent="0.15">
      <c r="A654" s="10"/>
      <c r="B654" s="13"/>
      <c r="C654" s="13"/>
    </row>
    <row r="655" spans="1:3" ht="13" x14ac:dyDescent="0.15">
      <c r="A655" s="10"/>
      <c r="B655" s="13"/>
      <c r="C655" s="13"/>
    </row>
    <row r="656" spans="1:3" ht="13" x14ac:dyDescent="0.15">
      <c r="A656" s="10"/>
      <c r="B656" s="13"/>
      <c r="C656" s="13"/>
    </row>
    <row r="657" spans="1:3" ht="13" x14ac:dyDescent="0.15">
      <c r="A657" s="10"/>
      <c r="B657" s="13"/>
      <c r="C657" s="13"/>
    </row>
    <row r="658" spans="1:3" ht="13" x14ac:dyDescent="0.15">
      <c r="A658" s="10"/>
      <c r="B658" s="13"/>
      <c r="C658" s="13"/>
    </row>
    <row r="659" spans="1:3" ht="13" x14ac:dyDescent="0.15">
      <c r="A659" s="10"/>
      <c r="B659" s="13"/>
      <c r="C659" s="13"/>
    </row>
    <row r="660" spans="1:3" ht="13" x14ac:dyDescent="0.15">
      <c r="A660" s="10"/>
      <c r="B660" s="13"/>
      <c r="C660" s="13"/>
    </row>
    <row r="661" spans="1:3" ht="13" x14ac:dyDescent="0.15">
      <c r="A661" s="10"/>
      <c r="B661" s="13"/>
      <c r="C661" s="13"/>
    </row>
    <row r="662" spans="1:3" ht="13" x14ac:dyDescent="0.15">
      <c r="A662" s="10"/>
      <c r="B662" s="13"/>
      <c r="C662" s="13"/>
    </row>
    <row r="663" spans="1:3" ht="13" x14ac:dyDescent="0.15">
      <c r="A663" s="10"/>
      <c r="B663" s="13"/>
      <c r="C663" s="13"/>
    </row>
    <row r="664" spans="1:3" ht="13" x14ac:dyDescent="0.15">
      <c r="A664" s="10"/>
      <c r="B664" s="13"/>
      <c r="C664" s="13"/>
    </row>
    <row r="665" spans="1:3" ht="13" x14ac:dyDescent="0.15">
      <c r="A665" s="10"/>
      <c r="B665" s="13"/>
      <c r="C665" s="13"/>
    </row>
    <row r="666" spans="1:3" ht="13" x14ac:dyDescent="0.15">
      <c r="A666" s="10"/>
      <c r="B666" s="13"/>
      <c r="C666" s="13"/>
    </row>
    <row r="667" spans="1:3" ht="13" x14ac:dyDescent="0.15">
      <c r="A667" s="10"/>
      <c r="B667" s="13"/>
      <c r="C667" s="13"/>
    </row>
    <row r="668" spans="1:3" ht="13" x14ac:dyDescent="0.15">
      <c r="A668" s="10"/>
      <c r="B668" s="13"/>
      <c r="C668" s="13"/>
    </row>
    <row r="669" spans="1:3" ht="13" x14ac:dyDescent="0.15">
      <c r="A669" s="10"/>
      <c r="B669" s="13"/>
      <c r="C669" s="13"/>
    </row>
    <row r="670" spans="1:3" ht="13" x14ac:dyDescent="0.15">
      <c r="A670" s="10"/>
      <c r="B670" s="13"/>
      <c r="C670" s="13"/>
    </row>
    <row r="671" spans="1:3" ht="13" x14ac:dyDescent="0.15">
      <c r="A671" s="10"/>
      <c r="B671" s="13"/>
      <c r="C671" s="13"/>
    </row>
    <row r="672" spans="1:3" ht="13" x14ac:dyDescent="0.15">
      <c r="A672" s="10"/>
      <c r="B672" s="13"/>
      <c r="C672" s="13"/>
    </row>
    <row r="673" spans="1:3" ht="13" x14ac:dyDescent="0.15">
      <c r="A673" s="10"/>
      <c r="B673" s="13"/>
      <c r="C673" s="13"/>
    </row>
    <row r="674" spans="1:3" ht="13" x14ac:dyDescent="0.15">
      <c r="A674" s="10"/>
      <c r="B674" s="13"/>
      <c r="C674" s="13"/>
    </row>
    <row r="675" spans="1:3" ht="13" x14ac:dyDescent="0.15">
      <c r="A675" s="10"/>
      <c r="B675" s="13"/>
      <c r="C675" s="13"/>
    </row>
    <row r="676" spans="1:3" ht="13" x14ac:dyDescent="0.15">
      <c r="A676" s="10"/>
      <c r="B676" s="13"/>
      <c r="C676" s="13"/>
    </row>
    <row r="677" spans="1:3" ht="13" x14ac:dyDescent="0.15">
      <c r="A677" s="10"/>
      <c r="B677" s="13"/>
      <c r="C677" s="13"/>
    </row>
    <row r="678" spans="1:3" ht="13" x14ac:dyDescent="0.15">
      <c r="A678" s="10"/>
      <c r="B678" s="13"/>
      <c r="C678" s="13"/>
    </row>
    <row r="679" spans="1:3" ht="13" x14ac:dyDescent="0.15">
      <c r="A679" s="10"/>
      <c r="B679" s="13"/>
      <c r="C679" s="13"/>
    </row>
    <row r="680" spans="1:3" ht="13" x14ac:dyDescent="0.15">
      <c r="A680" s="10"/>
      <c r="B680" s="13"/>
      <c r="C680" s="13"/>
    </row>
    <row r="681" spans="1:3" ht="13" x14ac:dyDescent="0.15">
      <c r="A681" s="10"/>
      <c r="B681" s="13"/>
      <c r="C681" s="13"/>
    </row>
    <row r="682" spans="1:3" ht="13" x14ac:dyDescent="0.15">
      <c r="A682" s="10"/>
      <c r="B682" s="13"/>
      <c r="C682" s="13"/>
    </row>
    <row r="683" spans="1:3" ht="13" x14ac:dyDescent="0.15">
      <c r="A683" s="10"/>
      <c r="B683" s="13"/>
      <c r="C683" s="13"/>
    </row>
    <row r="684" spans="1:3" ht="13" x14ac:dyDescent="0.15">
      <c r="A684" s="10"/>
      <c r="B684" s="13"/>
      <c r="C684" s="13"/>
    </row>
    <row r="685" spans="1:3" ht="13" x14ac:dyDescent="0.15">
      <c r="A685" s="10"/>
      <c r="B685" s="13"/>
      <c r="C685" s="13"/>
    </row>
    <row r="686" spans="1:3" ht="13" x14ac:dyDescent="0.15">
      <c r="A686" s="10"/>
      <c r="B686" s="13"/>
      <c r="C686" s="13"/>
    </row>
    <row r="687" spans="1:3" ht="13" x14ac:dyDescent="0.15">
      <c r="A687" s="10"/>
      <c r="B687" s="13"/>
      <c r="C687" s="13"/>
    </row>
    <row r="688" spans="1:3" ht="13" x14ac:dyDescent="0.15">
      <c r="A688" s="10"/>
      <c r="B688" s="13"/>
      <c r="C688" s="13"/>
    </row>
    <row r="689" spans="1:3" ht="13" x14ac:dyDescent="0.15">
      <c r="A689" s="10"/>
      <c r="B689" s="13"/>
      <c r="C689" s="13"/>
    </row>
    <row r="690" spans="1:3" ht="13" x14ac:dyDescent="0.15">
      <c r="A690" s="10"/>
      <c r="B690" s="13"/>
      <c r="C690" s="13"/>
    </row>
    <row r="691" spans="1:3" ht="13" x14ac:dyDescent="0.15">
      <c r="A691" s="10"/>
      <c r="B691" s="13"/>
      <c r="C691" s="13"/>
    </row>
    <row r="692" spans="1:3" ht="13" x14ac:dyDescent="0.15">
      <c r="A692" s="10"/>
      <c r="B692" s="13"/>
      <c r="C692" s="13"/>
    </row>
    <row r="693" spans="1:3" ht="13" x14ac:dyDescent="0.15">
      <c r="A693" s="10"/>
      <c r="B693" s="13"/>
      <c r="C693" s="13"/>
    </row>
    <row r="694" spans="1:3" ht="13" x14ac:dyDescent="0.15">
      <c r="A694" s="10"/>
      <c r="B694" s="13"/>
      <c r="C694" s="13"/>
    </row>
    <row r="695" spans="1:3" ht="13" x14ac:dyDescent="0.15">
      <c r="A695" s="10"/>
      <c r="B695" s="13"/>
      <c r="C695" s="13"/>
    </row>
    <row r="696" spans="1:3" ht="13" x14ac:dyDescent="0.15">
      <c r="A696" s="10"/>
      <c r="B696" s="13"/>
      <c r="C696" s="13"/>
    </row>
    <row r="697" spans="1:3" ht="13" x14ac:dyDescent="0.15">
      <c r="A697" s="10"/>
      <c r="B697" s="13"/>
      <c r="C697" s="13"/>
    </row>
    <row r="698" spans="1:3" ht="13" x14ac:dyDescent="0.15">
      <c r="A698" s="10"/>
      <c r="B698" s="13"/>
      <c r="C698" s="13"/>
    </row>
    <row r="699" spans="1:3" ht="13" x14ac:dyDescent="0.15">
      <c r="A699" s="10"/>
      <c r="B699" s="13"/>
      <c r="C699" s="13"/>
    </row>
    <row r="700" spans="1:3" ht="13" x14ac:dyDescent="0.15">
      <c r="A700" s="10"/>
      <c r="B700" s="13"/>
      <c r="C700" s="13"/>
    </row>
    <row r="701" spans="1:3" ht="13" x14ac:dyDescent="0.15">
      <c r="A701" s="10"/>
      <c r="B701" s="13"/>
      <c r="C701" s="13"/>
    </row>
    <row r="702" spans="1:3" ht="13" x14ac:dyDescent="0.15">
      <c r="A702" s="10"/>
      <c r="B702" s="13"/>
      <c r="C702" s="13"/>
    </row>
    <row r="703" spans="1:3" ht="13" x14ac:dyDescent="0.15">
      <c r="A703" s="10"/>
      <c r="B703" s="13"/>
      <c r="C703" s="13"/>
    </row>
    <row r="704" spans="1:3" ht="13" x14ac:dyDescent="0.15">
      <c r="A704" s="10"/>
      <c r="B704" s="13"/>
      <c r="C704" s="13"/>
    </row>
    <row r="705" spans="1:3" ht="13" x14ac:dyDescent="0.15">
      <c r="A705" s="10"/>
      <c r="B705" s="13"/>
      <c r="C705" s="13"/>
    </row>
    <row r="706" spans="1:3" ht="13" x14ac:dyDescent="0.15">
      <c r="A706" s="10"/>
      <c r="B706" s="13"/>
      <c r="C706" s="13"/>
    </row>
    <row r="707" spans="1:3" ht="13" x14ac:dyDescent="0.15">
      <c r="A707" s="10"/>
      <c r="B707" s="13"/>
      <c r="C707" s="13"/>
    </row>
    <row r="708" spans="1:3" ht="13" x14ac:dyDescent="0.15">
      <c r="A708" s="10"/>
      <c r="B708" s="13"/>
      <c r="C708" s="13"/>
    </row>
    <row r="709" spans="1:3" ht="13" x14ac:dyDescent="0.15">
      <c r="A709" s="10"/>
      <c r="B709" s="13"/>
      <c r="C709" s="13"/>
    </row>
    <row r="710" spans="1:3" ht="13" x14ac:dyDescent="0.15">
      <c r="A710" s="10"/>
      <c r="B710" s="13"/>
      <c r="C710" s="13"/>
    </row>
    <row r="711" spans="1:3" ht="13" x14ac:dyDescent="0.15">
      <c r="A711" s="10"/>
      <c r="B711" s="13"/>
      <c r="C711" s="13"/>
    </row>
    <row r="712" spans="1:3" ht="13" x14ac:dyDescent="0.15">
      <c r="A712" s="10"/>
      <c r="B712" s="13"/>
      <c r="C712" s="13"/>
    </row>
    <row r="713" spans="1:3" ht="13" x14ac:dyDescent="0.15">
      <c r="A713" s="10"/>
      <c r="B713" s="13"/>
      <c r="C713" s="13"/>
    </row>
    <row r="714" spans="1:3" ht="13" x14ac:dyDescent="0.15">
      <c r="A714" s="10"/>
      <c r="B714" s="13"/>
      <c r="C714" s="13"/>
    </row>
    <row r="715" spans="1:3" ht="13" x14ac:dyDescent="0.15">
      <c r="A715" s="10"/>
      <c r="B715" s="13"/>
      <c r="C715" s="13"/>
    </row>
    <row r="716" spans="1:3" ht="13" x14ac:dyDescent="0.15">
      <c r="A716" s="10"/>
      <c r="B716" s="13"/>
      <c r="C716" s="13"/>
    </row>
    <row r="717" spans="1:3" ht="13" x14ac:dyDescent="0.15">
      <c r="A717" s="10"/>
      <c r="B717" s="13"/>
      <c r="C717" s="13"/>
    </row>
    <row r="718" spans="1:3" ht="13" x14ac:dyDescent="0.15">
      <c r="A718" s="10"/>
      <c r="B718" s="13"/>
      <c r="C718" s="13"/>
    </row>
    <row r="719" spans="1:3" ht="13" x14ac:dyDescent="0.15">
      <c r="A719" s="10"/>
      <c r="B719" s="13"/>
      <c r="C719" s="13"/>
    </row>
    <row r="720" spans="1:3" ht="13" x14ac:dyDescent="0.15">
      <c r="A720" s="10"/>
      <c r="B720" s="13"/>
      <c r="C720" s="13"/>
    </row>
    <row r="721" spans="1:3" ht="13" x14ac:dyDescent="0.15">
      <c r="A721" s="10"/>
      <c r="B721" s="13"/>
      <c r="C721" s="13"/>
    </row>
    <row r="722" spans="1:3" ht="13" x14ac:dyDescent="0.15">
      <c r="A722" s="10"/>
      <c r="B722" s="13"/>
      <c r="C722" s="13"/>
    </row>
    <row r="723" spans="1:3" ht="13" x14ac:dyDescent="0.15">
      <c r="A723" s="10"/>
      <c r="B723" s="13"/>
      <c r="C723" s="13"/>
    </row>
    <row r="724" spans="1:3" ht="13" x14ac:dyDescent="0.15">
      <c r="A724" s="10"/>
      <c r="B724" s="13"/>
      <c r="C724" s="13"/>
    </row>
    <row r="725" spans="1:3" ht="13" x14ac:dyDescent="0.15">
      <c r="A725" s="10"/>
      <c r="B725" s="13"/>
      <c r="C725" s="13"/>
    </row>
    <row r="726" spans="1:3" ht="13" x14ac:dyDescent="0.15">
      <c r="A726" s="10"/>
      <c r="B726" s="13"/>
      <c r="C726" s="13"/>
    </row>
    <row r="727" spans="1:3" ht="13" x14ac:dyDescent="0.15">
      <c r="A727" s="10"/>
      <c r="B727" s="13"/>
      <c r="C727" s="13"/>
    </row>
    <row r="728" spans="1:3" ht="13" x14ac:dyDescent="0.15">
      <c r="A728" s="10"/>
      <c r="B728" s="13"/>
      <c r="C728" s="13"/>
    </row>
    <row r="729" spans="1:3" ht="13" x14ac:dyDescent="0.15">
      <c r="A729" s="10"/>
      <c r="B729" s="13"/>
      <c r="C729" s="13"/>
    </row>
    <row r="730" spans="1:3" ht="13" x14ac:dyDescent="0.15">
      <c r="A730" s="10"/>
      <c r="B730" s="13"/>
      <c r="C730" s="13"/>
    </row>
    <row r="731" spans="1:3" ht="13" x14ac:dyDescent="0.15">
      <c r="A731" s="10"/>
      <c r="B731" s="13"/>
      <c r="C731" s="13"/>
    </row>
    <row r="732" spans="1:3" ht="13" x14ac:dyDescent="0.15">
      <c r="A732" s="10"/>
      <c r="B732" s="13"/>
      <c r="C732" s="13"/>
    </row>
    <row r="733" spans="1:3" ht="13" x14ac:dyDescent="0.15">
      <c r="A733" s="10"/>
      <c r="B733" s="13"/>
      <c r="C733" s="13"/>
    </row>
    <row r="734" spans="1:3" ht="13" x14ac:dyDescent="0.15">
      <c r="A734" s="10"/>
      <c r="B734" s="13"/>
      <c r="C734" s="13"/>
    </row>
    <row r="735" spans="1:3" ht="13" x14ac:dyDescent="0.15">
      <c r="A735" s="10"/>
      <c r="B735" s="13"/>
      <c r="C735" s="13"/>
    </row>
    <row r="736" spans="1:3" ht="13" x14ac:dyDescent="0.15">
      <c r="A736" s="10"/>
      <c r="B736" s="13"/>
      <c r="C736" s="13"/>
    </row>
    <row r="737" spans="1:3" ht="13" x14ac:dyDescent="0.15">
      <c r="A737" s="10"/>
      <c r="B737" s="13"/>
      <c r="C737" s="13"/>
    </row>
    <row r="738" spans="1:3" ht="13" x14ac:dyDescent="0.15">
      <c r="A738" s="10"/>
      <c r="B738" s="13"/>
      <c r="C738" s="13"/>
    </row>
    <row r="739" spans="1:3" ht="13" x14ac:dyDescent="0.15">
      <c r="A739" s="10"/>
      <c r="B739" s="13"/>
      <c r="C739" s="13"/>
    </row>
    <row r="740" spans="1:3" ht="13" x14ac:dyDescent="0.15">
      <c r="A740" s="10"/>
      <c r="B740" s="13"/>
      <c r="C740" s="13"/>
    </row>
    <row r="741" spans="1:3" ht="13" x14ac:dyDescent="0.15">
      <c r="A741" s="10"/>
      <c r="B741" s="13"/>
      <c r="C741" s="13"/>
    </row>
    <row r="742" spans="1:3" ht="13" x14ac:dyDescent="0.15">
      <c r="A742" s="10"/>
      <c r="B742" s="13"/>
      <c r="C742" s="13"/>
    </row>
    <row r="743" spans="1:3" ht="13" x14ac:dyDescent="0.15">
      <c r="A743" s="10"/>
      <c r="B743" s="13"/>
      <c r="C743" s="13"/>
    </row>
    <row r="744" spans="1:3" ht="13" x14ac:dyDescent="0.15">
      <c r="A744" s="10"/>
      <c r="B744" s="13"/>
      <c r="C744" s="13"/>
    </row>
    <row r="745" spans="1:3" ht="13" x14ac:dyDescent="0.15">
      <c r="A745" s="10"/>
      <c r="B745" s="13"/>
      <c r="C745" s="13"/>
    </row>
    <row r="746" spans="1:3" ht="13" x14ac:dyDescent="0.15">
      <c r="A746" s="10"/>
      <c r="B746" s="13"/>
      <c r="C746" s="13"/>
    </row>
    <row r="747" spans="1:3" ht="13" x14ac:dyDescent="0.15">
      <c r="A747" s="10"/>
      <c r="B747" s="13"/>
      <c r="C747" s="13"/>
    </row>
    <row r="748" spans="1:3" ht="13" x14ac:dyDescent="0.15">
      <c r="A748" s="10"/>
      <c r="B748" s="13"/>
      <c r="C748" s="13"/>
    </row>
    <row r="749" spans="1:3" ht="13" x14ac:dyDescent="0.15">
      <c r="A749" s="10"/>
      <c r="B749" s="13"/>
      <c r="C749" s="13"/>
    </row>
    <row r="750" spans="1:3" ht="13" x14ac:dyDescent="0.15">
      <c r="A750" s="10"/>
      <c r="B750" s="13"/>
      <c r="C750" s="13"/>
    </row>
    <row r="751" spans="1:3" ht="13" x14ac:dyDescent="0.15">
      <c r="A751" s="10"/>
      <c r="B751" s="13"/>
      <c r="C751" s="13"/>
    </row>
    <row r="752" spans="1:3" ht="13" x14ac:dyDescent="0.15">
      <c r="A752" s="10"/>
      <c r="B752" s="13"/>
      <c r="C752" s="13"/>
    </row>
    <row r="753" spans="1:3" ht="13" x14ac:dyDescent="0.15">
      <c r="A753" s="10"/>
      <c r="B753" s="13"/>
      <c r="C753" s="13"/>
    </row>
    <row r="754" spans="1:3" ht="13" x14ac:dyDescent="0.15">
      <c r="A754" s="10"/>
      <c r="B754" s="13"/>
      <c r="C754" s="13"/>
    </row>
    <row r="755" spans="1:3" ht="13" x14ac:dyDescent="0.15">
      <c r="A755" s="10"/>
      <c r="B755" s="13"/>
      <c r="C755" s="13"/>
    </row>
    <row r="756" spans="1:3" ht="13" x14ac:dyDescent="0.15">
      <c r="A756" s="10"/>
      <c r="B756" s="13"/>
      <c r="C756" s="13"/>
    </row>
    <row r="757" spans="1:3" ht="13" x14ac:dyDescent="0.15">
      <c r="A757" s="10"/>
      <c r="B757" s="13"/>
      <c r="C757" s="13"/>
    </row>
    <row r="758" spans="1:3" ht="13" x14ac:dyDescent="0.15">
      <c r="A758" s="10"/>
      <c r="B758" s="13"/>
      <c r="C758" s="13"/>
    </row>
    <row r="759" spans="1:3" ht="13" x14ac:dyDescent="0.15">
      <c r="A759" s="10"/>
      <c r="B759" s="13"/>
      <c r="C759" s="13"/>
    </row>
    <row r="760" spans="1:3" ht="13" x14ac:dyDescent="0.15">
      <c r="A760" s="10"/>
      <c r="B760" s="13"/>
      <c r="C760" s="13"/>
    </row>
    <row r="761" spans="1:3" ht="13" x14ac:dyDescent="0.15">
      <c r="A761" s="10"/>
      <c r="B761" s="13"/>
      <c r="C761" s="13"/>
    </row>
    <row r="762" spans="1:3" ht="13" x14ac:dyDescent="0.15">
      <c r="A762" s="10"/>
      <c r="B762" s="13"/>
      <c r="C762" s="13"/>
    </row>
    <row r="763" spans="1:3" ht="13" x14ac:dyDescent="0.15">
      <c r="A763" s="10"/>
      <c r="B763" s="13"/>
      <c r="C763" s="13"/>
    </row>
    <row r="764" spans="1:3" ht="13" x14ac:dyDescent="0.15">
      <c r="A764" s="10"/>
      <c r="B764" s="13"/>
      <c r="C764" s="13"/>
    </row>
    <row r="765" spans="1:3" ht="13" x14ac:dyDescent="0.15">
      <c r="A765" s="10"/>
      <c r="B765" s="13"/>
      <c r="C765" s="13"/>
    </row>
    <row r="766" spans="1:3" ht="13" x14ac:dyDescent="0.15">
      <c r="A766" s="10"/>
      <c r="B766" s="13"/>
      <c r="C766" s="13"/>
    </row>
    <row r="767" spans="1:3" ht="13" x14ac:dyDescent="0.15">
      <c r="A767" s="10"/>
      <c r="B767" s="13"/>
      <c r="C767" s="13"/>
    </row>
    <row r="768" spans="1:3" ht="13" x14ac:dyDescent="0.15">
      <c r="A768" s="10"/>
      <c r="B768" s="13"/>
      <c r="C768" s="13"/>
    </row>
    <row r="769" spans="1:3" ht="13" x14ac:dyDescent="0.15">
      <c r="A769" s="10"/>
      <c r="B769" s="13"/>
      <c r="C769" s="13"/>
    </row>
    <row r="770" spans="1:3" ht="13" x14ac:dyDescent="0.15">
      <c r="A770" s="10"/>
      <c r="B770" s="13"/>
      <c r="C770" s="13"/>
    </row>
    <row r="771" spans="1:3" ht="13" x14ac:dyDescent="0.15">
      <c r="A771" s="10"/>
      <c r="B771" s="13"/>
      <c r="C771" s="13"/>
    </row>
    <row r="772" spans="1:3" ht="13" x14ac:dyDescent="0.15">
      <c r="A772" s="10"/>
      <c r="B772" s="13"/>
      <c r="C772" s="13"/>
    </row>
    <row r="773" spans="1:3" ht="13" x14ac:dyDescent="0.15">
      <c r="A773" s="10"/>
      <c r="B773" s="13"/>
      <c r="C773" s="13"/>
    </row>
    <row r="774" spans="1:3" ht="13" x14ac:dyDescent="0.15">
      <c r="A774" s="10"/>
      <c r="B774" s="13"/>
      <c r="C774" s="13"/>
    </row>
    <row r="775" spans="1:3" ht="13" x14ac:dyDescent="0.15">
      <c r="A775" s="10"/>
      <c r="B775" s="13"/>
      <c r="C775" s="13"/>
    </row>
    <row r="776" spans="1:3" ht="13" x14ac:dyDescent="0.15">
      <c r="A776" s="10"/>
      <c r="B776" s="13"/>
      <c r="C776" s="13"/>
    </row>
    <row r="777" spans="1:3" ht="13" x14ac:dyDescent="0.15">
      <c r="A777" s="10"/>
      <c r="B777" s="13"/>
      <c r="C777" s="13"/>
    </row>
    <row r="778" spans="1:3" ht="13" x14ac:dyDescent="0.15">
      <c r="A778" s="10"/>
      <c r="B778" s="13"/>
      <c r="C778" s="13"/>
    </row>
    <row r="779" spans="1:3" ht="13" x14ac:dyDescent="0.15">
      <c r="A779" s="10"/>
      <c r="B779" s="13"/>
      <c r="C779" s="13"/>
    </row>
    <row r="780" spans="1:3" ht="13" x14ac:dyDescent="0.15">
      <c r="A780" s="10"/>
      <c r="B780" s="13"/>
      <c r="C780" s="13"/>
    </row>
    <row r="781" spans="1:3" ht="13" x14ac:dyDescent="0.15">
      <c r="A781" s="10"/>
      <c r="B781" s="13"/>
      <c r="C781" s="13"/>
    </row>
    <row r="782" spans="1:3" ht="13" x14ac:dyDescent="0.15">
      <c r="A782" s="10"/>
      <c r="B782" s="13"/>
      <c r="C782" s="13"/>
    </row>
    <row r="783" spans="1:3" ht="13" x14ac:dyDescent="0.15">
      <c r="A783" s="10"/>
      <c r="B783" s="13"/>
      <c r="C783" s="13"/>
    </row>
    <row r="784" spans="1:3" ht="13" x14ac:dyDescent="0.15">
      <c r="A784" s="10"/>
      <c r="B784" s="13"/>
      <c r="C784" s="13"/>
    </row>
    <row r="785" spans="1:3" ht="13" x14ac:dyDescent="0.15">
      <c r="A785" s="10"/>
      <c r="B785" s="13"/>
      <c r="C785" s="13"/>
    </row>
    <row r="786" spans="1:3" ht="13" x14ac:dyDescent="0.15">
      <c r="A786" s="10"/>
      <c r="B786" s="13"/>
      <c r="C786" s="13"/>
    </row>
    <row r="787" spans="1:3" ht="13" x14ac:dyDescent="0.15">
      <c r="A787" s="10"/>
      <c r="B787" s="13"/>
      <c r="C787" s="13"/>
    </row>
    <row r="788" spans="1:3" ht="13" x14ac:dyDescent="0.15">
      <c r="A788" s="10"/>
      <c r="B788" s="13"/>
      <c r="C788" s="13"/>
    </row>
    <row r="789" spans="1:3" ht="13" x14ac:dyDescent="0.15">
      <c r="A789" s="10"/>
      <c r="B789" s="13"/>
      <c r="C789" s="13"/>
    </row>
    <row r="790" spans="1:3" ht="13" x14ac:dyDescent="0.15">
      <c r="A790" s="10"/>
      <c r="B790" s="13"/>
      <c r="C790" s="13"/>
    </row>
    <row r="791" spans="1:3" ht="13" x14ac:dyDescent="0.15">
      <c r="A791" s="10"/>
      <c r="B791" s="13"/>
      <c r="C791" s="13"/>
    </row>
    <row r="792" spans="1:3" ht="13" x14ac:dyDescent="0.15">
      <c r="A792" s="10"/>
      <c r="B792" s="13"/>
      <c r="C792" s="13"/>
    </row>
    <row r="793" spans="1:3" ht="13" x14ac:dyDescent="0.15">
      <c r="A793" s="10"/>
      <c r="B793" s="13"/>
      <c r="C793" s="13"/>
    </row>
    <row r="794" spans="1:3" ht="13" x14ac:dyDescent="0.15">
      <c r="A794" s="10"/>
      <c r="B794" s="13"/>
      <c r="C794" s="13"/>
    </row>
    <row r="795" spans="1:3" ht="13" x14ac:dyDescent="0.15">
      <c r="A795" s="10"/>
      <c r="B795" s="13"/>
      <c r="C795" s="13"/>
    </row>
    <row r="796" spans="1:3" ht="13" x14ac:dyDescent="0.15">
      <c r="A796" s="10"/>
      <c r="B796" s="13"/>
      <c r="C796" s="13"/>
    </row>
    <row r="797" spans="1:3" ht="13" x14ac:dyDescent="0.15">
      <c r="A797" s="10"/>
      <c r="B797" s="13"/>
      <c r="C797" s="13"/>
    </row>
    <row r="798" spans="1:3" ht="13" x14ac:dyDescent="0.15">
      <c r="A798" s="10"/>
      <c r="B798" s="13"/>
      <c r="C798" s="13"/>
    </row>
    <row r="799" spans="1:3" ht="13" x14ac:dyDescent="0.15">
      <c r="A799" s="10"/>
      <c r="B799" s="13"/>
      <c r="C799" s="13"/>
    </row>
    <row r="800" spans="1:3" ht="13" x14ac:dyDescent="0.15">
      <c r="A800" s="10"/>
      <c r="B800" s="13"/>
      <c r="C800" s="13"/>
    </row>
    <row r="801" spans="1:3" ht="13" x14ac:dyDescent="0.15">
      <c r="A801" s="10"/>
      <c r="B801" s="13"/>
      <c r="C801" s="13"/>
    </row>
    <row r="802" spans="1:3" ht="13" x14ac:dyDescent="0.15">
      <c r="A802" s="10"/>
      <c r="B802" s="13"/>
      <c r="C802" s="13"/>
    </row>
    <row r="803" spans="1:3" ht="13" x14ac:dyDescent="0.15">
      <c r="A803" s="10"/>
      <c r="B803" s="13"/>
      <c r="C803" s="13"/>
    </row>
    <row r="804" spans="1:3" ht="13" x14ac:dyDescent="0.15">
      <c r="A804" s="10"/>
      <c r="B804" s="13"/>
      <c r="C804" s="13"/>
    </row>
    <row r="805" spans="1:3" ht="13" x14ac:dyDescent="0.15">
      <c r="A805" s="10"/>
      <c r="B805" s="13"/>
      <c r="C805" s="13"/>
    </row>
    <row r="806" spans="1:3" ht="13" x14ac:dyDescent="0.15">
      <c r="A806" s="10"/>
      <c r="B806" s="13"/>
      <c r="C806" s="13"/>
    </row>
    <row r="807" spans="1:3" ht="13" x14ac:dyDescent="0.15">
      <c r="A807" s="10"/>
      <c r="B807" s="13"/>
      <c r="C807" s="13"/>
    </row>
    <row r="808" spans="1:3" ht="13" x14ac:dyDescent="0.15">
      <c r="A808" s="10"/>
      <c r="B808" s="13"/>
      <c r="C808" s="13"/>
    </row>
    <row r="809" spans="1:3" ht="13" x14ac:dyDescent="0.15">
      <c r="A809" s="10"/>
      <c r="B809" s="13"/>
      <c r="C809" s="13"/>
    </row>
    <row r="810" spans="1:3" ht="13" x14ac:dyDescent="0.15">
      <c r="A810" s="10"/>
      <c r="B810" s="13"/>
      <c r="C810" s="13"/>
    </row>
    <row r="811" spans="1:3" ht="13" x14ac:dyDescent="0.15">
      <c r="A811" s="10"/>
      <c r="B811" s="13"/>
      <c r="C811" s="13"/>
    </row>
    <row r="812" spans="1:3" ht="13" x14ac:dyDescent="0.15">
      <c r="A812" s="10"/>
      <c r="B812" s="13"/>
      <c r="C812" s="13"/>
    </row>
    <row r="813" spans="1:3" ht="13" x14ac:dyDescent="0.15">
      <c r="A813" s="10"/>
      <c r="B813" s="13"/>
      <c r="C813" s="13"/>
    </row>
    <row r="814" spans="1:3" ht="13" x14ac:dyDescent="0.15">
      <c r="A814" s="10"/>
      <c r="B814" s="13"/>
      <c r="C814" s="13"/>
    </row>
    <row r="815" spans="1:3" ht="13" x14ac:dyDescent="0.15">
      <c r="A815" s="10"/>
      <c r="B815" s="13"/>
      <c r="C815" s="13"/>
    </row>
    <row r="816" spans="1:3" ht="13" x14ac:dyDescent="0.15">
      <c r="A816" s="10"/>
      <c r="B816" s="13"/>
      <c r="C816" s="13"/>
    </row>
    <row r="817" spans="1:3" ht="13" x14ac:dyDescent="0.15">
      <c r="A817" s="10"/>
      <c r="B817" s="13"/>
      <c r="C817" s="13"/>
    </row>
    <row r="818" spans="1:3" ht="13" x14ac:dyDescent="0.15">
      <c r="A818" s="10"/>
      <c r="B818" s="13"/>
      <c r="C818" s="13"/>
    </row>
    <row r="819" spans="1:3" ht="13" x14ac:dyDescent="0.15">
      <c r="A819" s="10"/>
      <c r="B819" s="13"/>
      <c r="C819" s="13"/>
    </row>
    <row r="820" spans="1:3" ht="13" x14ac:dyDescent="0.15">
      <c r="A820" s="10"/>
      <c r="B820" s="13"/>
      <c r="C820" s="13"/>
    </row>
    <row r="821" spans="1:3" ht="13" x14ac:dyDescent="0.15">
      <c r="A821" s="10"/>
      <c r="B821" s="13"/>
      <c r="C821" s="13"/>
    </row>
    <row r="822" spans="1:3" ht="13" x14ac:dyDescent="0.15">
      <c r="A822" s="10"/>
      <c r="B822" s="13"/>
      <c r="C822" s="13"/>
    </row>
    <row r="823" spans="1:3" ht="13" x14ac:dyDescent="0.15">
      <c r="A823" s="10"/>
      <c r="B823" s="13"/>
      <c r="C823" s="13"/>
    </row>
    <row r="824" spans="1:3" ht="13" x14ac:dyDescent="0.15">
      <c r="A824" s="10"/>
      <c r="B824" s="13"/>
      <c r="C824" s="13"/>
    </row>
    <row r="825" spans="1:3" ht="13" x14ac:dyDescent="0.15">
      <c r="A825" s="10"/>
      <c r="B825" s="13"/>
      <c r="C825" s="13"/>
    </row>
    <row r="826" spans="1:3" ht="13" x14ac:dyDescent="0.15">
      <c r="A826" s="10"/>
      <c r="B826" s="13"/>
      <c r="C826" s="13"/>
    </row>
    <row r="827" spans="1:3" ht="13" x14ac:dyDescent="0.15">
      <c r="A827" s="10"/>
      <c r="B827" s="13"/>
      <c r="C827" s="13"/>
    </row>
    <row r="828" spans="1:3" ht="13" x14ac:dyDescent="0.15">
      <c r="A828" s="10"/>
      <c r="B828" s="13"/>
      <c r="C828" s="13"/>
    </row>
    <row r="829" spans="1:3" ht="13" x14ac:dyDescent="0.15">
      <c r="A829" s="10"/>
      <c r="B829" s="13"/>
      <c r="C829" s="13"/>
    </row>
    <row r="830" spans="1:3" ht="13" x14ac:dyDescent="0.15">
      <c r="A830" s="10"/>
      <c r="B830" s="13"/>
      <c r="C830" s="13"/>
    </row>
    <row r="831" spans="1:3" ht="13" x14ac:dyDescent="0.15">
      <c r="A831" s="10"/>
      <c r="B831" s="13"/>
      <c r="C831" s="13"/>
    </row>
    <row r="832" spans="1:3" ht="13" x14ac:dyDescent="0.15">
      <c r="A832" s="10"/>
      <c r="B832" s="13"/>
      <c r="C832" s="13"/>
    </row>
    <row r="833" spans="1:3" ht="13" x14ac:dyDescent="0.15">
      <c r="A833" s="10"/>
      <c r="B833" s="13"/>
      <c r="C833" s="13"/>
    </row>
    <row r="834" spans="1:3" ht="13" x14ac:dyDescent="0.15">
      <c r="A834" s="10"/>
      <c r="B834" s="13"/>
      <c r="C834" s="13"/>
    </row>
    <row r="835" spans="1:3" ht="13" x14ac:dyDescent="0.15">
      <c r="A835" s="10"/>
      <c r="B835" s="13"/>
      <c r="C835" s="13"/>
    </row>
    <row r="836" spans="1:3" ht="13" x14ac:dyDescent="0.15">
      <c r="A836" s="10"/>
      <c r="B836" s="13"/>
      <c r="C836" s="13"/>
    </row>
    <row r="837" spans="1:3" ht="13" x14ac:dyDescent="0.15">
      <c r="A837" s="10"/>
      <c r="B837" s="13"/>
      <c r="C837" s="13"/>
    </row>
    <row r="838" spans="1:3" ht="13" x14ac:dyDescent="0.15">
      <c r="A838" s="10"/>
      <c r="B838" s="13"/>
      <c r="C838" s="13"/>
    </row>
    <row r="839" spans="1:3" ht="13" x14ac:dyDescent="0.15">
      <c r="A839" s="10"/>
      <c r="B839" s="13"/>
      <c r="C839" s="13"/>
    </row>
    <row r="840" spans="1:3" ht="13" x14ac:dyDescent="0.15">
      <c r="A840" s="10"/>
      <c r="B840" s="13"/>
      <c r="C840" s="13"/>
    </row>
    <row r="841" spans="1:3" ht="13" x14ac:dyDescent="0.15">
      <c r="A841" s="10"/>
      <c r="B841" s="13"/>
      <c r="C841" s="13"/>
    </row>
    <row r="842" spans="1:3" ht="13" x14ac:dyDescent="0.15">
      <c r="A842" s="10"/>
      <c r="B842" s="13"/>
      <c r="C842" s="13"/>
    </row>
    <row r="843" spans="1:3" ht="13" x14ac:dyDescent="0.15">
      <c r="A843" s="10"/>
      <c r="B843" s="13"/>
      <c r="C843" s="13"/>
    </row>
    <row r="844" spans="1:3" ht="13" x14ac:dyDescent="0.15">
      <c r="A844" s="10"/>
      <c r="B844" s="13"/>
      <c r="C844" s="13"/>
    </row>
    <row r="845" spans="1:3" ht="13" x14ac:dyDescent="0.15">
      <c r="A845" s="10"/>
      <c r="B845" s="13"/>
      <c r="C845" s="13"/>
    </row>
    <row r="846" spans="1:3" ht="13" x14ac:dyDescent="0.15">
      <c r="A846" s="10"/>
      <c r="B846" s="13"/>
      <c r="C846" s="13"/>
    </row>
    <row r="847" spans="1:3" ht="13" x14ac:dyDescent="0.15">
      <c r="A847" s="10"/>
      <c r="B847" s="13"/>
      <c r="C847" s="13"/>
    </row>
    <row r="848" spans="1:3" ht="13" x14ac:dyDescent="0.15">
      <c r="A848" s="10"/>
      <c r="B848" s="13"/>
      <c r="C848" s="13"/>
    </row>
    <row r="849" spans="1:3" ht="13" x14ac:dyDescent="0.15">
      <c r="A849" s="10"/>
      <c r="B849" s="13"/>
      <c r="C849" s="13"/>
    </row>
    <row r="850" spans="1:3" ht="13" x14ac:dyDescent="0.15">
      <c r="A850" s="10"/>
      <c r="B850" s="13"/>
      <c r="C850" s="13"/>
    </row>
    <row r="851" spans="1:3" ht="13" x14ac:dyDescent="0.15">
      <c r="A851" s="10"/>
      <c r="B851" s="13"/>
      <c r="C851" s="13"/>
    </row>
    <row r="852" spans="1:3" ht="13" x14ac:dyDescent="0.15">
      <c r="A852" s="10"/>
      <c r="B852" s="13"/>
      <c r="C852" s="13"/>
    </row>
    <row r="853" spans="1:3" ht="13" x14ac:dyDescent="0.15">
      <c r="A853" s="10"/>
      <c r="B853" s="13"/>
      <c r="C853" s="13"/>
    </row>
    <row r="854" spans="1:3" ht="13" x14ac:dyDescent="0.15">
      <c r="A854" s="10"/>
      <c r="B854" s="13"/>
      <c r="C854" s="13"/>
    </row>
    <row r="855" spans="1:3" ht="13" x14ac:dyDescent="0.15">
      <c r="A855" s="10"/>
      <c r="B855" s="13"/>
      <c r="C855" s="13"/>
    </row>
    <row r="856" spans="1:3" ht="13" x14ac:dyDescent="0.15">
      <c r="A856" s="10"/>
      <c r="B856" s="13"/>
      <c r="C856" s="13"/>
    </row>
    <row r="857" spans="1:3" ht="13" x14ac:dyDescent="0.15">
      <c r="A857" s="10"/>
      <c r="B857" s="13"/>
      <c r="C857" s="13"/>
    </row>
    <row r="858" spans="1:3" ht="13" x14ac:dyDescent="0.15">
      <c r="A858" s="10"/>
      <c r="B858" s="13"/>
      <c r="C858" s="13"/>
    </row>
    <row r="859" spans="1:3" ht="13" x14ac:dyDescent="0.15">
      <c r="A859" s="10"/>
      <c r="B859" s="13"/>
      <c r="C859" s="13"/>
    </row>
    <row r="860" spans="1:3" ht="13" x14ac:dyDescent="0.15">
      <c r="A860" s="10"/>
      <c r="B860" s="13"/>
      <c r="C860" s="13"/>
    </row>
    <row r="861" spans="1:3" ht="13" x14ac:dyDescent="0.15">
      <c r="A861" s="10"/>
      <c r="B861" s="13"/>
      <c r="C861" s="13"/>
    </row>
    <row r="862" spans="1:3" ht="13" x14ac:dyDescent="0.15">
      <c r="A862" s="10"/>
      <c r="B862" s="13"/>
      <c r="C862" s="13"/>
    </row>
    <row r="863" spans="1:3" ht="13" x14ac:dyDescent="0.15">
      <c r="A863" s="10"/>
      <c r="B863" s="13"/>
      <c r="C863" s="13"/>
    </row>
    <row r="864" spans="1:3" ht="13" x14ac:dyDescent="0.15">
      <c r="A864" s="10"/>
      <c r="B864" s="13"/>
      <c r="C864" s="13"/>
    </row>
    <row r="865" spans="1:3" ht="13" x14ac:dyDescent="0.15">
      <c r="A865" s="10"/>
      <c r="B865" s="13"/>
      <c r="C865" s="13"/>
    </row>
    <row r="866" spans="1:3" ht="13" x14ac:dyDescent="0.15">
      <c r="A866" s="10"/>
      <c r="B866" s="13"/>
      <c r="C866" s="13"/>
    </row>
    <row r="867" spans="1:3" ht="13" x14ac:dyDescent="0.15">
      <c r="A867" s="10"/>
      <c r="B867" s="13"/>
      <c r="C867" s="13"/>
    </row>
    <row r="868" spans="1:3" ht="13" x14ac:dyDescent="0.15">
      <c r="A868" s="10"/>
      <c r="B868" s="13"/>
      <c r="C868" s="13"/>
    </row>
    <row r="869" spans="1:3" ht="13" x14ac:dyDescent="0.15">
      <c r="A869" s="10"/>
      <c r="B869" s="13"/>
      <c r="C869" s="13"/>
    </row>
    <row r="870" spans="1:3" ht="13" x14ac:dyDescent="0.15">
      <c r="A870" s="10"/>
      <c r="B870" s="13"/>
      <c r="C870" s="13"/>
    </row>
    <row r="871" spans="1:3" ht="13" x14ac:dyDescent="0.15">
      <c r="A871" s="10"/>
      <c r="B871" s="13"/>
      <c r="C871" s="13"/>
    </row>
    <row r="872" spans="1:3" ht="13" x14ac:dyDescent="0.15">
      <c r="A872" s="10"/>
      <c r="B872" s="13"/>
      <c r="C872" s="13"/>
    </row>
    <row r="873" spans="1:3" ht="13" x14ac:dyDescent="0.15">
      <c r="A873" s="10"/>
      <c r="B873" s="13"/>
      <c r="C873" s="13"/>
    </row>
    <row r="874" spans="1:3" ht="13" x14ac:dyDescent="0.15">
      <c r="A874" s="10"/>
      <c r="B874" s="13"/>
      <c r="C874" s="13"/>
    </row>
    <row r="875" spans="1:3" ht="13" x14ac:dyDescent="0.15">
      <c r="A875" s="10"/>
      <c r="B875" s="13"/>
      <c r="C875" s="13"/>
    </row>
    <row r="876" spans="1:3" ht="13" x14ac:dyDescent="0.15">
      <c r="A876" s="10"/>
      <c r="B876" s="13"/>
      <c r="C876" s="13"/>
    </row>
    <row r="877" spans="1:3" ht="13" x14ac:dyDescent="0.15">
      <c r="A877" s="10"/>
      <c r="B877" s="13"/>
      <c r="C877" s="13"/>
    </row>
    <row r="878" spans="1:3" ht="13" x14ac:dyDescent="0.15">
      <c r="A878" s="10"/>
      <c r="B878" s="13"/>
      <c r="C878" s="13"/>
    </row>
    <row r="879" spans="1:3" ht="13" x14ac:dyDescent="0.15">
      <c r="A879" s="10"/>
      <c r="B879" s="13"/>
      <c r="C879" s="13"/>
    </row>
    <row r="880" spans="1:3" ht="13" x14ac:dyDescent="0.15">
      <c r="A880" s="10"/>
      <c r="B880" s="13"/>
      <c r="C880" s="13"/>
    </row>
    <row r="881" spans="1:3" ht="13" x14ac:dyDescent="0.15">
      <c r="A881" s="10"/>
      <c r="B881" s="13"/>
      <c r="C881" s="13"/>
    </row>
    <row r="882" spans="1:3" ht="13" x14ac:dyDescent="0.15">
      <c r="A882" s="10"/>
      <c r="B882" s="13"/>
      <c r="C882" s="13"/>
    </row>
    <row r="883" spans="1:3" ht="13" x14ac:dyDescent="0.15">
      <c r="A883" s="10"/>
      <c r="B883" s="13"/>
      <c r="C883" s="13"/>
    </row>
    <row r="884" spans="1:3" ht="13" x14ac:dyDescent="0.15">
      <c r="A884" s="10"/>
      <c r="B884" s="13"/>
      <c r="C884" s="13"/>
    </row>
    <row r="885" spans="1:3" ht="13" x14ac:dyDescent="0.15">
      <c r="A885" s="10"/>
      <c r="B885" s="13"/>
      <c r="C885" s="13"/>
    </row>
    <row r="886" spans="1:3" ht="13" x14ac:dyDescent="0.15">
      <c r="A886" s="10"/>
      <c r="B886" s="13"/>
      <c r="C886" s="13"/>
    </row>
    <row r="887" spans="1:3" ht="13" x14ac:dyDescent="0.15">
      <c r="A887" s="10"/>
      <c r="B887" s="13"/>
      <c r="C887" s="13"/>
    </row>
    <row r="888" spans="1:3" ht="13" x14ac:dyDescent="0.15">
      <c r="A888" s="10"/>
      <c r="B888" s="13"/>
      <c r="C888" s="13"/>
    </row>
    <row r="889" spans="1:3" ht="13" x14ac:dyDescent="0.15">
      <c r="A889" s="10"/>
      <c r="B889" s="13"/>
      <c r="C889" s="13"/>
    </row>
    <row r="890" spans="1:3" ht="13" x14ac:dyDescent="0.15">
      <c r="A890" s="10"/>
      <c r="B890" s="13"/>
      <c r="C890" s="13"/>
    </row>
    <row r="891" spans="1:3" ht="13" x14ac:dyDescent="0.15">
      <c r="A891" s="10"/>
      <c r="B891" s="13"/>
      <c r="C891" s="13"/>
    </row>
    <row r="892" spans="1:3" ht="13" x14ac:dyDescent="0.15">
      <c r="A892" s="10"/>
      <c r="B892" s="13"/>
      <c r="C892" s="13"/>
    </row>
    <row r="893" spans="1:3" ht="13" x14ac:dyDescent="0.15">
      <c r="A893" s="10"/>
      <c r="B893" s="13"/>
      <c r="C893" s="13"/>
    </row>
    <row r="894" spans="1:3" ht="13" x14ac:dyDescent="0.15">
      <c r="A894" s="10"/>
      <c r="B894" s="13"/>
      <c r="C894" s="13"/>
    </row>
    <row r="895" spans="1:3" ht="13" x14ac:dyDescent="0.15">
      <c r="A895" s="10"/>
      <c r="B895" s="13"/>
      <c r="C895" s="13"/>
    </row>
    <row r="896" spans="1:3" ht="13" x14ac:dyDescent="0.15">
      <c r="A896" s="10"/>
      <c r="B896" s="13"/>
      <c r="C896" s="13"/>
    </row>
    <row r="897" spans="1:3" ht="13" x14ac:dyDescent="0.15">
      <c r="A897" s="10"/>
      <c r="B897" s="13"/>
      <c r="C897" s="13"/>
    </row>
    <row r="898" spans="1:3" ht="13" x14ac:dyDescent="0.15">
      <c r="A898" s="10"/>
      <c r="B898" s="13"/>
      <c r="C898" s="13"/>
    </row>
    <row r="899" spans="1:3" ht="13" x14ac:dyDescent="0.15">
      <c r="A899" s="10"/>
      <c r="B899" s="13"/>
      <c r="C899" s="13"/>
    </row>
    <row r="900" spans="1:3" ht="13" x14ac:dyDescent="0.15">
      <c r="A900" s="10"/>
      <c r="B900" s="13"/>
      <c r="C900" s="13"/>
    </row>
    <row r="901" spans="1:3" ht="13" x14ac:dyDescent="0.15">
      <c r="A901" s="10"/>
      <c r="B901" s="13"/>
      <c r="C901" s="13"/>
    </row>
    <row r="902" spans="1:3" ht="13" x14ac:dyDescent="0.15">
      <c r="A902" s="10"/>
      <c r="B902" s="13"/>
      <c r="C902" s="13"/>
    </row>
    <row r="903" spans="1:3" ht="13" x14ac:dyDescent="0.15">
      <c r="A903" s="10"/>
      <c r="B903" s="13"/>
      <c r="C903" s="13"/>
    </row>
    <row r="904" spans="1:3" ht="13" x14ac:dyDescent="0.15">
      <c r="A904" s="10"/>
      <c r="B904" s="13"/>
      <c r="C904" s="13"/>
    </row>
    <row r="905" spans="1:3" ht="13" x14ac:dyDescent="0.15">
      <c r="A905" s="10"/>
      <c r="B905" s="13"/>
      <c r="C905" s="13"/>
    </row>
    <row r="906" spans="1:3" ht="13" x14ac:dyDescent="0.15">
      <c r="A906" s="10"/>
      <c r="B906" s="13"/>
      <c r="C906" s="13"/>
    </row>
    <row r="907" spans="1:3" ht="13" x14ac:dyDescent="0.15">
      <c r="A907" s="10"/>
      <c r="B907" s="13"/>
      <c r="C907" s="13"/>
    </row>
    <row r="908" spans="1:3" ht="13" x14ac:dyDescent="0.15">
      <c r="A908" s="10"/>
      <c r="B908" s="13"/>
      <c r="C908" s="13"/>
    </row>
    <row r="909" spans="1:3" ht="13" x14ac:dyDescent="0.15">
      <c r="A909" s="10"/>
      <c r="B909" s="13"/>
      <c r="C909" s="13"/>
    </row>
    <row r="910" spans="1:3" ht="13" x14ac:dyDescent="0.15">
      <c r="A910" s="10"/>
      <c r="B910" s="13"/>
      <c r="C910" s="13"/>
    </row>
    <row r="911" spans="1:3" ht="13" x14ac:dyDescent="0.15">
      <c r="A911" s="10"/>
      <c r="B911" s="13"/>
      <c r="C911" s="13"/>
    </row>
    <row r="912" spans="1:3" ht="13" x14ac:dyDescent="0.15">
      <c r="A912" s="10"/>
      <c r="B912" s="13"/>
      <c r="C912" s="13"/>
    </row>
    <row r="913" spans="1:3" ht="13" x14ac:dyDescent="0.15">
      <c r="A913" s="10"/>
      <c r="B913" s="13"/>
      <c r="C913" s="13"/>
    </row>
    <row r="914" spans="1:3" ht="13" x14ac:dyDescent="0.15">
      <c r="A914" s="10"/>
      <c r="B914" s="13"/>
      <c r="C914" s="13"/>
    </row>
    <row r="915" spans="1:3" ht="13" x14ac:dyDescent="0.15">
      <c r="A915" s="10"/>
      <c r="B915" s="13"/>
      <c r="C915" s="13"/>
    </row>
    <row r="916" spans="1:3" ht="13" x14ac:dyDescent="0.15">
      <c r="A916" s="10"/>
      <c r="B916" s="13"/>
      <c r="C916" s="13"/>
    </row>
    <row r="917" spans="1:3" ht="13" x14ac:dyDescent="0.15">
      <c r="A917" s="10"/>
      <c r="B917" s="13"/>
      <c r="C917" s="13"/>
    </row>
    <row r="918" spans="1:3" ht="13" x14ac:dyDescent="0.15">
      <c r="A918" s="10"/>
      <c r="B918" s="13"/>
      <c r="C918" s="13"/>
    </row>
    <row r="919" spans="1:3" ht="13" x14ac:dyDescent="0.15">
      <c r="A919" s="10"/>
      <c r="B919" s="13"/>
      <c r="C919" s="13"/>
    </row>
    <row r="920" spans="1:3" ht="13" x14ac:dyDescent="0.15">
      <c r="A920" s="10"/>
      <c r="B920" s="13"/>
      <c r="C920" s="13"/>
    </row>
    <row r="921" spans="1:3" ht="13" x14ac:dyDescent="0.15">
      <c r="A921" s="10"/>
      <c r="B921" s="13"/>
      <c r="C921" s="13"/>
    </row>
    <row r="922" spans="1:3" ht="13" x14ac:dyDescent="0.15">
      <c r="A922" s="10"/>
      <c r="B922" s="13"/>
      <c r="C922" s="13"/>
    </row>
    <row r="923" spans="1:3" ht="13" x14ac:dyDescent="0.15">
      <c r="A923" s="10"/>
      <c r="B923" s="13"/>
      <c r="C923" s="13"/>
    </row>
    <row r="924" spans="1:3" ht="13" x14ac:dyDescent="0.15">
      <c r="A924" s="10"/>
      <c r="B924" s="13"/>
      <c r="C924" s="13"/>
    </row>
    <row r="925" spans="1:3" ht="13" x14ac:dyDescent="0.15">
      <c r="A925" s="10"/>
      <c r="B925" s="13"/>
      <c r="C925" s="13"/>
    </row>
    <row r="926" spans="1:3" ht="13" x14ac:dyDescent="0.15">
      <c r="A926" s="10"/>
      <c r="B926" s="13"/>
      <c r="C926" s="13"/>
    </row>
    <row r="927" spans="1:3" ht="13" x14ac:dyDescent="0.15">
      <c r="A927" s="10"/>
      <c r="B927" s="13"/>
      <c r="C927" s="13"/>
    </row>
    <row r="928" spans="1:3" ht="13" x14ac:dyDescent="0.15">
      <c r="A928" s="10"/>
      <c r="B928" s="13"/>
      <c r="C928" s="13"/>
    </row>
    <row r="929" spans="1:3" ht="13" x14ac:dyDescent="0.15">
      <c r="A929" s="10"/>
      <c r="B929" s="13"/>
      <c r="C929" s="13"/>
    </row>
    <row r="930" spans="1:3" ht="13" x14ac:dyDescent="0.15">
      <c r="A930" s="10"/>
      <c r="B930" s="13"/>
      <c r="C930" s="13"/>
    </row>
    <row r="931" spans="1:3" ht="13" x14ac:dyDescent="0.15">
      <c r="A931" s="10"/>
      <c r="B931" s="13"/>
      <c r="C931" s="13"/>
    </row>
    <row r="932" spans="1:3" ht="13" x14ac:dyDescent="0.15">
      <c r="A932" s="10"/>
      <c r="B932" s="13"/>
      <c r="C932" s="13"/>
    </row>
    <row r="933" spans="1:3" ht="13" x14ac:dyDescent="0.15">
      <c r="A933" s="10"/>
      <c r="B933" s="13"/>
      <c r="C933" s="13"/>
    </row>
    <row r="934" spans="1:3" ht="13" x14ac:dyDescent="0.15">
      <c r="A934" s="10"/>
      <c r="B934" s="13"/>
      <c r="C934" s="13"/>
    </row>
    <row r="935" spans="1:3" ht="13" x14ac:dyDescent="0.15">
      <c r="A935" s="10"/>
      <c r="B935" s="13"/>
      <c r="C935" s="13"/>
    </row>
    <row r="936" spans="1:3" ht="13" x14ac:dyDescent="0.15">
      <c r="A936" s="10"/>
      <c r="B936" s="13"/>
      <c r="C936" s="13"/>
    </row>
    <row r="937" spans="1:3" ht="13" x14ac:dyDescent="0.15">
      <c r="A937" s="10"/>
      <c r="B937" s="13"/>
      <c r="C937" s="13"/>
    </row>
    <row r="938" spans="1:3" ht="13" x14ac:dyDescent="0.15">
      <c r="A938" s="10"/>
      <c r="B938" s="13"/>
      <c r="C938" s="13"/>
    </row>
    <row r="939" spans="1:3" ht="13" x14ac:dyDescent="0.15">
      <c r="A939" s="10"/>
      <c r="B939" s="13"/>
      <c r="C939" s="13"/>
    </row>
    <row r="940" spans="1:3" ht="13" x14ac:dyDescent="0.15">
      <c r="A940" s="10"/>
      <c r="B940" s="13"/>
      <c r="C940" s="13"/>
    </row>
    <row r="941" spans="1:3" ht="13" x14ac:dyDescent="0.15">
      <c r="A941" s="10"/>
      <c r="B941" s="13"/>
      <c r="C941" s="13"/>
    </row>
    <row r="942" spans="1:3" ht="13" x14ac:dyDescent="0.15">
      <c r="A942" s="10"/>
      <c r="B942" s="13"/>
      <c r="C942" s="13"/>
    </row>
    <row r="943" spans="1:3" ht="13" x14ac:dyDescent="0.15">
      <c r="A943" s="10"/>
      <c r="B943" s="13"/>
      <c r="C943" s="13"/>
    </row>
    <row r="944" spans="1:3" ht="13" x14ac:dyDescent="0.15">
      <c r="A944" s="10"/>
      <c r="B944" s="13"/>
      <c r="C944" s="13"/>
    </row>
    <row r="945" spans="1:3" ht="13" x14ac:dyDescent="0.15">
      <c r="A945" s="10"/>
      <c r="B945" s="13"/>
      <c r="C945" s="13"/>
    </row>
    <row r="946" spans="1:3" ht="13" x14ac:dyDescent="0.15">
      <c r="A946" s="10"/>
      <c r="B946" s="13"/>
      <c r="C946" s="13"/>
    </row>
    <row r="947" spans="1:3" ht="13" x14ac:dyDescent="0.15">
      <c r="A947" s="10"/>
      <c r="B947" s="13"/>
      <c r="C947" s="13"/>
    </row>
    <row r="948" spans="1:3" ht="13" x14ac:dyDescent="0.15">
      <c r="A948" s="10"/>
      <c r="B948" s="13"/>
      <c r="C948" s="13"/>
    </row>
    <row r="949" spans="1:3" ht="13" x14ac:dyDescent="0.15">
      <c r="A949" s="10"/>
      <c r="B949" s="13"/>
      <c r="C949" s="13"/>
    </row>
    <row r="950" spans="1:3" ht="13" x14ac:dyDescent="0.15">
      <c r="A950" s="10"/>
      <c r="B950" s="13"/>
      <c r="C950" s="13"/>
    </row>
    <row r="951" spans="1:3" ht="13" x14ac:dyDescent="0.15">
      <c r="A951" s="10"/>
      <c r="B951" s="13"/>
      <c r="C951" s="13"/>
    </row>
    <row r="952" spans="1:3" ht="13" x14ac:dyDescent="0.15">
      <c r="A952" s="10"/>
      <c r="B952" s="13"/>
      <c r="C952" s="13"/>
    </row>
    <row r="953" spans="1:3" ht="13" x14ac:dyDescent="0.15">
      <c r="A953" s="10"/>
      <c r="B953" s="13"/>
      <c r="C953" s="13"/>
    </row>
    <row r="954" spans="1:3" ht="13" x14ac:dyDescent="0.15">
      <c r="A954" s="10"/>
      <c r="B954" s="13"/>
      <c r="C954" s="13"/>
    </row>
    <row r="955" spans="1:3" ht="13" x14ac:dyDescent="0.15">
      <c r="A955" s="10"/>
      <c r="B955" s="13"/>
      <c r="C955" s="13"/>
    </row>
    <row r="956" spans="1:3" ht="13" x14ac:dyDescent="0.15">
      <c r="A956" s="10"/>
      <c r="B956" s="13"/>
      <c r="C956" s="13"/>
    </row>
    <row r="957" spans="1:3" ht="13" x14ac:dyDescent="0.15">
      <c r="A957" s="10"/>
      <c r="B957" s="13"/>
      <c r="C957" s="13"/>
    </row>
    <row r="958" spans="1:3" ht="13" x14ac:dyDescent="0.15">
      <c r="A958" s="10"/>
      <c r="B958" s="13"/>
      <c r="C958" s="13"/>
    </row>
    <row r="959" spans="1:3" ht="13" x14ac:dyDescent="0.15">
      <c r="A959" s="10"/>
      <c r="B959" s="13"/>
      <c r="C959" s="13"/>
    </row>
    <row r="960" spans="1:3" ht="13" x14ac:dyDescent="0.15">
      <c r="A960" s="10"/>
      <c r="B960" s="13"/>
      <c r="C960" s="13"/>
    </row>
    <row r="961" spans="1:3" ht="13" x14ac:dyDescent="0.15">
      <c r="A961" s="10"/>
      <c r="B961" s="13"/>
      <c r="C961" s="13"/>
    </row>
    <row r="962" spans="1:3" ht="13" x14ac:dyDescent="0.15">
      <c r="A962" s="10"/>
      <c r="B962" s="13"/>
      <c r="C962" s="13"/>
    </row>
    <row r="963" spans="1:3" ht="13" x14ac:dyDescent="0.15">
      <c r="A963" s="10"/>
      <c r="B963" s="13"/>
      <c r="C963" s="13"/>
    </row>
    <row r="964" spans="1:3" ht="13" x14ac:dyDescent="0.15">
      <c r="A964" s="10"/>
      <c r="B964" s="13"/>
      <c r="C964" s="13"/>
    </row>
    <row r="965" spans="1:3" ht="13" x14ac:dyDescent="0.15">
      <c r="A965" s="10"/>
      <c r="B965" s="13"/>
      <c r="C965" s="13"/>
    </row>
    <row r="966" spans="1:3" ht="13" x14ac:dyDescent="0.15">
      <c r="A966" s="10"/>
      <c r="B966" s="13"/>
      <c r="C966" s="13"/>
    </row>
    <row r="967" spans="1:3" ht="13" x14ac:dyDescent="0.15">
      <c r="A967" s="10"/>
      <c r="B967" s="13"/>
      <c r="C967" s="13"/>
    </row>
    <row r="968" spans="1:3" ht="13" x14ac:dyDescent="0.15">
      <c r="A968" s="10"/>
      <c r="B968" s="13"/>
      <c r="C968" s="13"/>
    </row>
    <row r="969" spans="1:3" ht="13" x14ac:dyDescent="0.15">
      <c r="A969" s="10"/>
      <c r="B969" s="13"/>
      <c r="C969" s="13"/>
    </row>
    <row r="970" spans="1:3" ht="13" x14ac:dyDescent="0.15">
      <c r="A970" s="10"/>
      <c r="B970" s="13"/>
      <c r="C970" s="13"/>
    </row>
    <row r="971" spans="1:3" ht="13" x14ac:dyDescent="0.15">
      <c r="A971" s="10"/>
      <c r="B971" s="13"/>
      <c r="C971" s="13"/>
    </row>
    <row r="972" spans="1:3" ht="13" x14ac:dyDescent="0.15">
      <c r="A972" s="10"/>
      <c r="B972" s="13"/>
      <c r="C972" s="13"/>
    </row>
    <row r="973" spans="1:3" ht="13" x14ac:dyDescent="0.15">
      <c r="A973" s="10"/>
      <c r="B973" s="13"/>
      <c r="C973" s="13"/>
    </row>
    <row r="974" spans="1:3" ht="13" x14ac:dyDescent="0.15">
      <c r="A974" s="10"/>
      <c r="B974" s="13"/>
      <c r="C974" s="13"/>
    </row>
    <row r="975" spans="1:3" ht="13" x14ac:dyDescent="0.15">
      <c r="A975" s="10"/>
      <c r="B975" s="13"/>
      <c r="C975" s="13"/>
    </row>
    <row r="976" spans="1:3" ht="13" x14ac:dyDescent="0.15">
      <c r="A976" s="10"/>
      <c r="B976" s="13"/>
      <c r="C976" s="13"/>
    </row>
    <row r="977" spans="1:3" ht="13" x14ac:dyDescent="0.15">
      <c r="A977" s="10"/>
      <c r="B977" s="13"/>
      <c r="C977" s="13"/>
    </row>
    <row r="978" spans="1:3" ht="13" x14ac:dyDescent="0.15">
      <c r="A978" s="10"/>
      <c r="B978" s="13"/>
      <c r="C978" s="13"/>
    </row>
    <row r="979" spans="1:3" ht="13" x14ac:dyDescent="0.15">
      <c r="A979" s="10"/>
      <c r="B979" s="13"/>
      <c r="C979" s="13"/>
    </row>
    <row r="980" spans="1:3" ht="13" x14ac:dyDescent="0.15">
      <c r="A980" s="10"/>
      <c r="B980" s="13"/>
      <c r="C980" s="13"/>
    </row>
    <row r="981" spans="1:3" ht="13" x14ac:dyDescent="0.15">
      <c r="A981" s="10"/>
      <c r="B981" s="13"/>
      <c r="C981" s="13"/>
    </row>
    <row r="982" spans="1:3" ht="13" x14ac:dyDescent="0.15">
      <c r="A982" s="10"/>
      <c r="B982" s="13"/>
      <c r="C982" s="13"/>
    </row>
    <row r="983" spans="1:3" ht="13" x14ac:dyDescent="0.15">
      <c r="A983" s="10"/>
      <c r="B983" s="13"/>
      <c r="C983" s="13"/>
    </row>
    <row r="984" spans="1:3" ht="13" x14ac:dyDescent="0.15">
      <c r="A984" s="10"/>
      <c r="B984" s="13"/>
      <c r="C984" s="13"/>
    </row>
    <row r="985" spans="1:3" ht="13" x14ac:dyDescent="0.15">
      <c r="A985" s="10"/>
      <c r="B985" s="13"/>
      <c r="C985" s="13"/>
    </row>
    <row r="986" spans="1:3" ht="13" x14ac:dyDescent="0.15">
      <c r="A986" s="10"/>
      <c r="B986" s="13"/>
      <c r="C986" s="13"/>
    </row>
    <row r="987" spans="1:3" ht="13" x14ac:dyDescent="0.15">
      <c r="A987" s="10"/>
      <c r="B987" s="13"/>
      <c r="C987" s="13"/>
    </row>
    <row r="988" spans="1:3" ht="13" x14ac:dyDescent="0.15">
      <c r="A988" s="10"/>
      <c r="B988" s="13"/>
      <c r="C988" s="13"/>
    </row>
    <row r="989" spans="1:3" ht="13" x14ac:dyDescent="0.15">
      <c r="A989" s="10"/>
      <c r="B989" s="13"/>
      <c r="C989" s="13"/>
    </row>
    <row r="990" spans="1:3" ht="13" x14ac:dyDescent="0.15">
      <c r="A990" s="10"/>
      <c r="B990" s="13"/>
      <c r="C990" s="13"/>
    </row>
    <row r="991" spans="1:3" ht="13" x14ac:dyDescent="0.15">
      <c r="A991" s="10"/>
      <c r="B991" s="13"/>
      <c r="C991" s="13"/>
    </row>
    <row r="992" spans="1:3" ht="13" x14ac:dyDescent="0.15">
      <c r="A992" s="10"/>
      <c r="B992" s="13"/>
      <c r="C992" s="13"/>
    </row>
    <row r="993" spans="1:3" ht="13" x14ac:dyDescent="0.15">
      <c r="A993" s="10"/>
      <c r="B993" s="13"/>
      <c r="C993" s="13"/>
    </row>
    <row r="994" spans="1:3" ht="13" x14ac:dyDescent="0.15">
      <c r="A994" s="10"/>
      <c r="B994" s="13"/>
      <c r="C994" s="13"/>
    </row>
    <row r="995" spans="1:3" ht="13" x14ac:dyDescent="0.15">
      <c r="A995" s="10"/>
      <c r="B995" s="13"/>
      <c r="C995" s="13"/>
    </row>
    <row r="996" spans="1:3" ht="13" x14ac:dyDescent="0.15">
      <c r="A996" s="10"/>
      <c r="B996" s="13"/>
      <c r="C996" s="13"/>
    </row>
    <row r="997" spans="1:3" ht="13" x14ac:dyDescent="0.15">
      <c r="A997" s="10"/>
      <c r="B997" s="13"/>
      <c r="C997" s="13"/>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D997"/>
  <sheetViews>
    <sheetView workbookViewId="0"/>
  </sheetViews>
  <sheetFormatPr baseColWidth="10" defaultColWidth="12.6640625" defaultRowHeight="15.75" customHeight="1" x14ac:dyDescent="0.15"/>
  <cols>
    <col min="1" max="1" width="71.5" customWidth="1"/>
    <col min="2" max="4" width="37.6640625" customWidth="1"/>
  </cols>
  <sheetData>
    <row r="1" spans="1:4" ht="15.75" customHeight="1" x14ac:dyDescent="0.15">
      <c r="A1" s="11"/>
      <c r="B1" s="12" t="str">
        <f ca="1">IFERROR(__xludf.DUMMYFUNCTION("IMPORTRANGE(""https://docs.google.com/spreadsheets/d/19FYWDv6QyCNB_zbElAOE5cOI1IJ2jraXGOFWNs-qsQM"",""A4!B1:B22"")"),"Braden Brennan")</f>
        <v>Braden Brennan</v>
      </c>
      <c r="C1" s="10" t="str">
        <f ca="1">IFERROR(__xludf.DUMMYFUNCTION("IMPORTRANGE(""https://docs.google.com/spreadsheets/u/0/d/1DTeUShR903oScgwuFGuA8V8JqIoXmME8W-T3lNP0oHM"", ""A4!B1:B22"")"),"McKinzie Novak")</f>
        <v>McKinzie Novak</v>
      </c>
      <c r="D1" s="12" t="s">
        <v>1</v>
      </c>
    </row>
    <row r="2" spans="1:4" ht="15.75" customHeight="1" x14ac:dyDescent="0.15">
      <c r="A2" s="14" t="s">
        <v>2</v>
      </c>
      <c r="B2" s="15" t="str">
        <f ca="1">IFERROR(__xludf.DUMMYFUNCTION("""COMPUTED_VALUE"""),"3182-3832")</f>
        <v>3182-3832</v>
      </c>
      <c r="C2" s="15" t="str">
        <f ca="1">IFERROR(__xludf.DUMMYFUNCTION("""COMPUTED_VALUE"""),"START: 3182   STOP: 3832 FORWARD")</f>
        <v>START: 3182   STOP: 3832 FORWARD</v>
      </c>
      <c r="D2" s="15"/>
    </row>
    <row r="3" spans="1:4" ht="15.75" customHeight="1" x14ac:dyDescent="0.15">
      <c r="A3" s="16" t="s">
        <v>3</v>
      </c>
      <c r="B3" s="17" t="str">
        <f ca="1">IFERROR(__xludf.DUMMYFUNCTION("""COMPUTED_VALUE"""),"4 in DNAM and PHAM")</f>
        <v>4 in DNAM and PHAM</v>
      </c>
      <c r="C3" s="17" t="str">
        <f ca="1">IFERROR(__xludf.DUMMYFUNCTION("""COMPUTED_VALUE"""),"DNAM: 4  PHAM: 4  PHAGEDB: 4")</f>
        <v>DNAM: 4  PHAM: 4  PHAGEDB: 4</v>
      </c>
      <c r="D3" s="17"/>
    </row>
    <row r="4" spans="1:4" ht="15.75" customHeight="1" x14ac:dyDescent="0.15">
      <c r="A4" s="16" t="s">
        <v>4</v>
      </c>
      <c r="B4" s="17" t="str">
        <f ca="1">IFERROR(__xludf.DUMMYFUNCTION("""COMPUTED_VALUE"""),"215973 2/26/25")</f>
        <v>215973 2/26/25</v>
      </c>
      <c r="C4" s="17" t="str">
        <f ca="1">IFERROR(__xludf.DUMMYFUNCTION("""COMPUTED_VALUE"""),"Pham: 215973    2/24/25")</f>
        <v>Pham: 215973    2/24/25</v>
      </c>
      <c r="D4" s="17"/>
    </row>
    <row r="5" spans="1:4" ht="15.75" customHeight="1" x14ac:dyDescent="0.15">
      <c r="A5" s="16" t="s">
        <v>5</v>
      </c>
      <c r="B5" s="17"/>
      <c r="C5" s="17" t="str">
        <f ca="1">IFERROR(__xludf.DUMMYFUNCTION("""COMPUTED_VALUE"""),"Kovu #5 &amp; Waltz #5")</f>
        <v>Kovu #5 &amp; Waltz #5</v>
      </c>
      <c r="D5" s="17"/>
    </row>
    <row r="6" spans="1:4" ht="15.75" customHeight="1" x14ac:dyDescent="0.15">
      <c r="A6" s="16" t="s">
        <v>6</v>
      </c>
      <c r="B6" s="17" t="str">
        <f ca="1">IFERROR(__xludf.DUMMYFUNCTION("""COMPUTED_VALUE"""),"Glimmer call bp 3182; GeneMark call 3209")</f>
        <v>Glimmer call bp 3182; GeneMark call 3209</v>
      </c>
      <c r="C6" s="17" t="str">
        <f ca="1">IFERROR(__xludf.DUMMYFUNCTION("""COMPUTED_VALUE"""),"Glimmer calls 3182 but GeneMark calls 3209")</f>
        <v>Glimmer calls 3182 but GeneMark calls 3209</v>
      </c>
      <c r="D6" s="17"/>
    </row>
    <row r="7" spans="1:4" ht="15.75" customHeight="1" x14ac:dyDescent="0.15">
      <c r="A7" s="16" t="s">
        <v>7</v>
      </c>
      <c r="B7" s="17" t="str">
        <f ca="1">IFERROR(__xludf.DUMMYFUNCTION("""COMPUTED_VALUE"""),"The gene has good coding potential but has some oddities")</f>
        <v>The gene has good coding potential but has some oddities</v>
      </c>
      <c r="C7" s="17" t="str">
        <f ca="1">IFERROR(__xludf.DUMMYFUNCTION("""COMPUTED_VALUE"""),"Yes the gene has good coding potential.  All coding potential is caught with GeneMarks start, an earlier start with glimmer might not be needed")</f>
        <v>Yes the gene has good coding potential.  All coding potential is caught with GeneMarks start, an earlier start with glimmer might not be needed</v>
      </c>
      <c r="D7" s="17"/>
    </row>
    <row r="8" spans="1:4" ht="15.75" customHeight="1" x14ac:dyDescent="0.15">
      <c r="A8" s="16" t="s">
        <v>8</v>
      </c>
      <c r="B8" s="17" t="str">
        <f ca="1">IFERROR(__xludf.DUMMYFUNCTION("""COMPUTED_VALUE"""),"Not the longest possible ORF")</f>
        <v>Not the longest possible ORF</v>
      </c>
      <c r="C8" s="17" t="str">
        <f ca="1">IFERROR(__xludf.DUMMYFUNCTION("""COMPUTED_VALUE"""),"Glimmers called start is the longest ORF, GeneMark has the later start")</f>
        <v>Glimmers called start is the longest ORF, GeneMark has the later start</v>
      </c>
      <c r="D8" s="17"/>
    </row>
    <row r="9" spans="1:4" ht="15.75" customHeight="1" x14ac:dyDescent="0.15">
      <c r="A9" s="16" t="s">
        <v>9</v>
      </c>
      <c r="B9" s="17" t="str">
        <f ca="1">IFERROR(__xludf.DUMMYFUNCTION("""COMPUTED_VALUE"""),"No large gap but has a 1 nucleotide overlap")</f>
        <v>No large gap but has a 1 nucleotide overlap</v>
      </c>
      <c r="C9" s="17" t="str">
        <f ca="1">IFERROR(__xludf.DUMMYFUNCTION("""COMPUTED_VALUE"""),"Glimmer has a gap of 37 and GeneMark has a gap of 64")</f>
        <v>Glimmer has a gap of 37 and GeneMark has a gap of 64</v>
      </c>
      <c r="D9" s="17"/>
    </row>
    <row r="10" spans="1:4" ht="15.75" customHeight="1" x14ac:dyDescent="0.15">
      <c r="A10" s="16" t="s">
        <v>10</v>
      </c>
      <c r="B10" s="17" t="str">
        <f ca="1">IFERROR(__xludf.DUMMYFUNCTION("""COMPUTED_VALUE"""),"SD is 3.924                                         Z score is 1.945")</f>
        <v>SD is 3.924                                         Z score is 1.945</v>
      </c>
      <c r="C10" s="17" t="str">
        <f ca="1">IFERROR(__xludf.DUMMYFUNCTION("""COMPUTED_VALUE"""),"3182: Z-Score: 1.945 RBS: -5.1 3209: Z-Score: 1.600 RBS: -6.5")</f>
        <v>3182: Z-Score: 1.945 RBS: -5.1 3209: Z-Score: 1.600 RBS: -6.5</v>
      </c>
      <c r="D10" s="17"/>
    </row>
    <row r="11" spans="1:4" ht="15.75" customHeight="1" x14ac:dyDescent="0.15">
      <c r="A11" s="16" t="s">
        <v>11</v>
      </c>
      <c r="B11" s="17" t="str">
        <f ca="1">IFERROR(__xludf.DUMMYFUNCTION("""COMPUTED_VALUE"""),"Kovu 5 - 94.53% identity                    e value: 0.0E0")</f>
        <v>Kovu 5 - 94.53% identity                    e value: 0.0E0</v>
      </c>
      <c r="C11" s="17" t="str">
        <f ca="1">IFERROR(__xludf.DUMMYFUNCTION("""COMPUTED_VALUE"""),"Kovu #5 %ID: 94.5 e-val: 0.0E0  
Q: 16 T: 1
Waltz #5 %ID: 72.3 e-val: 0.0E0
Q: 1 T: 1")</f>
        <v>Kovu #5 %ID: 94.5 e-val: 0.0E0  
Q: 16 T: 1
Waltz #5 %ID: 72.3 e-val: 0.0E0
Q: 1 T: 1</v>
      </c>
      <c r="D11" s="17"/>
    </row>
    <row r="12" spans="1:4" ht="15.75" customHeight="1" x14ac:dyDescent="0.15">
      <c r="A12" s="16" t="s">
        <v>12</v>
      </c>
      <c r="B12" s="17" t="str">
        <f ca="1">IFERROR(__xludf.DUMMYFUNCTION("""COMPUTED_VALUE"""),"start 11 Found in 4 of 120 and is called 75% of the time")</f>
        <v>start 11 Found in 4 of 120 and is called 75% of the time</v>
      </c>
      <c r="C12" s="17" t="str">
        <f ca="1">IFERROR(__xludf.DUMMYFUNCTION("""COMPUTED_VALUE"""),"Most members of the pham have the start but only a select few call it. Kovu and Edmundo call #20")</f>
        <v>Most members of the pham have the start but only a select few call it. Kovu and Edmundo call #20</v>
      </c>
      <c r="D12" s="17"/>
    </row>
    <row r="13" spans="1:4" ht="15.75" customHeight="1" x14ac:dyDescent="0.15">
      <c r="A13" s="16" t="s">
        <v>13</v>
      </c>
      <c r="B13" s="17" t="str">
        <f ca="1">IFERROR(__xludf.DUMMYFUNCTION("""COMPUTED_VALUE"""),"Probably shouldn't be moved due to little space between genes")</f>
        <v>Probably shouldn't be moved due to little space between genes</v>
      </c>
      <c r="C13" s="17" t="str">
        <f ca="1">IFERROR(__xludf.DUMMYFUNCTION("""COMPUTED_VALUE"""),"Yes, no need to create a larger gap, but you also don't want a piece of a gene with no coding potential. CHECK START")</f>
        <v>Yes, no need to create a larger gap, but you also don't want a piece of a gene with no coding potential. CHECK START</v>
      </c>
      <c r="D13" s="17"/>
    </row>
    <row r="14" spans="1:4" ht="15.75" customHeight="1" x14ac:dyDescent="0.15">
      <c r="A14" s="16" t="s">
        <v>14</v>
      </c>
      <c r="B14" s="17" t="str">
        <f ca="1">IFERROR(__xludf.DUMMYFUNCTION("""COMPUTED_VALUE"""),"Abinghost_1        Akoma_1 
AksarBAT_1        Allegro_1 ")</f>
        <v xml:space="preserve">Abinghost_1        Akoma_1 
AksarBAT_1        Allegro_1 </v>
      </c>
      <c r="C14" s="17" t="str">
        <f ca="1">IFERROR(__xludf.DUMMYFUNCTION("""COMPUTED_VALUE"""),"Kovu #5 e-val: 0.0E0
Shrooms #4 e-val: 0.0E0 ")</f>
        <v xml:space="preserve">Kovu #5 e-val: 0.0E0
Shrooms #4 e-val: 0.0E0 </v>
      </c>
      <c r="D14" s="17"/>
    </row>
    <row r="15" spans="1:4" ht="15.75" customHeight="1" x14ac:dyDescent="0.15">
      <c r="A15" s="16" t="s">
        <v>15</v>
      </c>
      <c r="B15" s="17" t="str">
        <f ca="1">IFERROR(__xludf.DUMMYFUNCTION("""COMPUTED_VALUE""")," (ParB-like nuclease domain protein) or (helix-turn-helix DNA-binding domain protein)")</f>
        <v xml:space="preserve"> (ParB-like nuclease domain protein) or (helix-turn-helix DNA-binding domain protein)</v>
      </c>
      <c r="C15" s="17" t="str">
        <f ca="1">IFERROR(__xludf.DUMMYFUNCTION("""COMPUTED_VALUE"""),"Edmundo #4 (ParB-like nuclease domain protein), Kovu #5 (ParB-like nuclease domain protein), Shrooms #5 (ParB-like nuclease domain protein)")</f>
        <v>Edmundo #4 (ParB-like nuclease domain protein), Kovu #5 (ParB-like nuclease domain protein), Shrooms #5 (ParB-like nuclease domain protein)</v>
      </c>
      <c r="D15" s="17"/>
    </row>
    <row r="16" spans="1:4" ht="15.75" customHeight="1" x14ac:dyDescent="0.15">
      <c r="A16" s="16" t="s">
        <v>16</v>
      </c>
      <c r="B16" s="17" t="str">
        <f ca="1">IFERROR(__xludf.DUMMYFUNCTION("""COMPUTED_VALUE"""),"the gene and its nearby genes seem to align well with each other and their Kovu counterparts -- Phamerator states 84% simular ")</f>
        <v xml:space="preserve">the gene and its nearby genes seem to align well with each other and their Kovu counterparts -- Phamerator states 84% simular </v>
      </c>
      <c r="C16" s="17" t="str">
        <f ca="1">IFERROR(__xludf.DUMMYFUNCTION("""COMPUTED_VALUE"""),"Yes, the function fits the genetic environment, a PAPS-Reductase falls to the right on Kovu, and an unknown yet aligning gene on the left.")</f>
        <v>Yes, the function fits the genetic environment, a PAPS-Reductase falls to the right on Kovu, and an unknown yet aligning gene on the left.</v>
      </c>
      <c r="D16" s="17"/>
    </row>
    <row r="17" spans="1:4" ht="15.75" customHeight="1" x14ac:dyDescent="0.15">
      <c r="A17" s="16" t="s">
        <v>17</v>
      </c>
      <c r="B17" s="17" t="str">
        <f ca="1">IFERROR(__xludf.DUMMYFUNCTION("""COMPUTED_VALUE"""),"Chromosome-partitioning protein, Probability 99.68, % alignment of Q 80.09, % alignment of T 75.22,")</f>
        <v>Chromosome-partitioning protein, Probability 99.68, % alignment of Q 80.09, % alignment of T 75.22,</v>
      </c>
      <c r="C17" s="17" t="str">
        <f ca="1">IFERROR(__xludf.DUMMYFUNCTION("""COMPUTED_VALUE"""),"Chromosome-partitioning protein ParB; chromosome segregation, CTP, molecular gates, protein-DNA recognition, DNA BINDING
Prob: 99.57%
%align Q: 59%   %align T: 49% ")</f>
        <v xml:space="preserve">Chromosome-partitioning protein ParB; chromosome segregation, CTP, molecular gates, protein-DNA recognition, DNA BINDING
Prob: 99.57%
%align Q: 59%   %align T: 49% </v>
      </c>
      <c r="D17" s="17"/>
    </row>
    <row r="18" spans="1:4" ht="15.75" customHeight="1" x14ac:dyDescent="0.15">
      <c r="A18" s="16" t="s">
        <v>18</v>
      </c>
      <c r="B18" s="17" t="str">
        <f ca="1">IFERROR(__xludf.DUMMYFUNCTION("""COMPUTED_VALUE"""),"ParB N-terminal-like domain")</f>
        <v>ParB N-terminal-like domain</v>
      </c>
      <c r="C18" s="17" t="str">
        <f ca="1">IFERROR(__xludf.DUMMYFUNCTION("""COMPUTED_VALUE"""),"Yes, domain is conserved &amp; identified as a Par-B domain ")</f>
        <v xml:space="preserve">Yes, domain is conserved &amp; identified as a Par-B domain </v>
      </c>
      <c r="D18" s="17"/>
    </row>
    <row r="19" spans="1:4" ht="15.75" customHeight="1" x14ac:dyDescent="0.15">
      <c r="A19" s="16" t="s">
        <v>19</v>
      </c>
      <c r="B19" s="17" t="str">
        <f ca="1">IFERROR(__xludf.DUMMYFUNCTION("""COMPUTED_VALUE"""),"Inside ")</f>
        <v xml:space="preserve">Inside </v>
      </c>
      <c r="C19" s="17" t="str">
        <f ca="1">IFERROR(__xludf.DUMMYFUNCTION("""COMPUTED_VALUE"""),"None")</f>
        <v>None</v>
      </c>
      <c r="D19" s="17"/>
    </row>
    <row r="20" spans="1:4" ht="15.75" customHeight="1" x14ac:dyDescent="0.15">
      <c r="A20" s="16" t="s">
        <v>20</v>
      </c>
      <c r="B20" s="17" t="str">
        <f ca="1">IFERROR(__xludf.DUMMYFUNCTION("""COMPUTED_VALUE"""),"Some kind of inside partitioning protein ")</f>
        <v xml:space="preserve">Some kind of inside partitioning protein </v>
      </c>
      <c r="C20" s="17" t="str">
        <f ca="1">IFERROR(__xludf.DUMMYFUNCTION("""COMPUTED_VALUE"""),"Par-B like nuclease domain protein, supported by HHPred, Phagesdb, and conserved domains in phamerator.")</f>
        <v>Par-B like nuclease domain protein, supported by HHPred, Phagesdb, and conserved domains in phamerator.</v>
      </c>
      <c r="D20" s="17"/>
    </row>
    <row r="21" spans="1:4" x14ac:dyDescent="0.2">
      <c r="A21" s="7"/>
      <c r="B21" s="19"/>
      <c r="C21" s="19"/>
      <c r="D21" s="8"/>
    </row>
    <row r="22" spans="1:4" ht="15.75" customHeight="1" x14ac:dyDescent="0.15">
      <c r="A22" s="9" t="s">
        <v>21</v>
      </c>
      <c r="B22" s="19"/>
      <c r="C22" s="19"/>
      <c r="D22" s="8"/>
    </row>
    <row r="23" spans="1:4" ht="15.75" customHeight="1" x14ac:dyDescent="0.15">
      <c r="A23" s="10"/>
      <c r="B23" s="13"/>
      <c r="C23" s="13"/>
    </row>
    <row r="24" spans="1:4" ht="15.75" customHeight="1" x14ac:dyDescent="0.15">
      <c r="A24" s="10"/>
      <c r="B24" s="13"/>
      <c r="C24" s="13"/>
    </row>
    <row r="25" spans="1:4" ht="15.75" customHeight="1" x14ac:dyDescent="0.15">
      <c r="A25" s="10"/>
      <c r="B25" s="13"/>
      <c r="C25" s="13"/>
    </row>
    <row r="26" spans="1:4" ht="15.75" customHeight="1" x14ac:dyDescent="0.15">
      <c r="A26" s="10"/>
      <c r="B26" s="13"/>
      <c r="C26" s="13"/>
    </row>
    <row r="27" spans="1:4" ht="15.75" customHeight="1" x14ac:dyDescent="0.15">
      <c r="A27" s="10"/>
      <c r="B27" s="13"/>
      <c r="C27" s="13"/>
    </row>
    <row r="28" spans="1:4" ht="15.75" customHeight="1" x14ac:dyDescent="0.15">
      <c r="A28" s="10"/>
      <c r="B28" s="13"/>
      <c r="C28" s="13"/>
    </row>
    <row r="29" spans="1:4" ht="15.75" customHeight="1" x14ac:dyDescent="0.15">
      <c r="A29" s="10"/>
      <c r="B29" s="13"/>
      <c r="C29" s="13"/>
    </row>
    <row r="30" spans="1:4" ht="15.75" customHeight="1" x14ac:dyDescent="0.15">
      <c r="A30" s="10"/>
      <c r="B30" s="13"/>
      <c r="C30" s="13"/>
    </row>
    <row r="31" spans="1:4" ht="15.75" customHeight="1" x14ac:dyDescent="0.15">
      <c r="A31" s="10"/>
      <c r="B31" s="13"/>
      <c r="C31" s="13"/>
    </row>
    <row r="32" spans="1:4" ht="15.75" customHeight="1" x14ac:dyDescent="0.15">
      <c r="A32" s="10"/>
      <c r="B32" s="13"/>
      <c r="C32" s="13"/>
    </row>
    <row r="33" spans="1:3" ht="15.75" customHeight="1" x14ac:dyDescent="0.15">
      <c r="A33" s="10"/>
      <c r="B33" s="13"/>
      <c r="C33" s="13"/>
    </row>
    <row r="34" spans="1:3" ht="15.75" customHeight="1" x14ac:dyDescent="0.15">
      <c r="A34" s="10"/>
      <c r="B34" s="13"/>
      <c r="C34" s="13"/>
    </row>
    <row r="35" spans="1:3" ht="15.75" customHeight="1" x14ac:dyDescent="0.15">
      <c r="A35" s="10"/>
      <c r="B35" s="13"/>
      <c r="C35" s="13"/>
    </row>
    <row r="36" spans="1:3" ht="15.75" customHeight="1" x14ac:dyDescent="0.15">
      <c r="A36" s="10"/>
      <c r="B36" s="13"/>
      <c r="C36" s="13"/>
    </row>
    <row r="37" spans="1:3" ht="15.75" customHeight="1" x14ac:dyDescent="0.15">
      <c r="A37" s="10"/>
      <c r="B37" s="13"/>
      <c r="C37" s="13"/>
    </row>
    <row r="38" spans="1:3" ht="15.75" customHeight="1" x14ac:dyDescent="0.15">
      <c r="A38" s="10"/>
      <c r="B38" s="13"/>
      <c r="C38" s="13"/>
    </row>
    <row r="39" spans="1:3" ht="13" x14ac:dyDescent="0.15">
      <c r="A39" s="10"/>
      <c r="B39" s="13"/>
      <c r="C39" s="13"/>
    </row>
    <row r="40" spans="1:3" ht="13" x14ac:dyDescent="0.15">
      <c r="A40" s="10"/>
      <c r="B40" s="13"/>
      <c r="C40" s="13"/>
    </row>
    <row r="41" spans="1:3" ht="13" x14ac:dyDescent="0.15">
      <c r="A41" s="10"/>
      <c r="B41" s="13"/>
      <c r="C41" s="13"/>
    </row>
    <row r="42" spans="1:3" ht="13" x14ac:dyDescent="0.15">
      <c r="A42" s="10"/>
      <c r="B42" s="13"/>
      <c r="C42" s="13"/>
    </row>
    <row r="43" spans="1:3" ht="13" x14ac:dyDescent="0.15">
      <c r="A43" s="10"/>
      <c r="B43" s="13"/>
      <c r="C43" s="13"/>
    </row>
    <row r="44" spans="1:3" ht="13" x14ac:dyDescent="0.15">
      <c r="A44" s="10"/>
      <c r="B44" s="13"/>
      <c r="C44" s="13"/>
    </row>
    <row r="45" spans="1:3" ht="13" x14ac:dyDescent="0.15">
      <c r="A45" s="10"/>
      <c r="B45" s="13"/>
      <c r="C45" s="13"/>
    </row>
    <row r="46" spans="1:3" ht="13" x14ac:dyDescent="0.15">
      <c r="A46" s="10"/>
      <c r="B46" s="13"/>
      <c r="C46" s="13"/>
    </row>
    <row r="47" spans="1:3" ht="13" x14ac:dyDescent="0.15">
      <c r="A47" s="10"/>
      <c r="B47" s="13"/>
      <c r="C47" s="13"/>
    </row>
    <row r="48" spans="1:3" ht="13" x14ac:dyDescent="0.15">
      <c r="A48" s="10"/>
      <c r="B48" s="13"/>
      <c r="C48" s="13"/>
    </row>
    <row r="49" spans="1:3" ht="13" x14ac:dyDescent="0.15">
      <c r="A49" s="10"/>
      <c r="B49" s="13"/>
      <c r="C49" s="13"/>
    </row>
    <row r="50" spans="1:3" ht="13" x14ac:dyDescent="0.15">
      <c r="A50" s="10"/>
      <c r="B50" s="13"/>
      <c r="C50" s="13"/>
    </row>
    <row r="51" spans="1:3" ht="13" x14ac:dyDescent="0.15">
      <c r="A51" s="10"/>
      <c r="B51" s="13"/>
      <c r="C51" s="13"/>
    </row>
    <row r="52" spans="1:3" ht="13" x14ac:dyDescent="0.15">
      <c r="A52" s="10"/>
      <c r="B52" s="13"/>
      <c r="C52" s="13"/>
    </row>
    <row r="53" spans="1:3" ht="13" x14ac:dyDescent="0.15">
      <c r="A53" s="10"/>
      <c r="B53" s="13"/>
      <c r="C53" s="13"/>
    </row>
    <row r="54" spans="1:3" ht="13" x14ac:dyDescent="0.15">
      <c r="A54" s="10"/>
      <c r="B54" s="13"/>
      <c r="C54" s="13"/>
    </row>
    <row r="55" spans="1:3" ht="13" x14ac:dyDescent="0.15">
      <c r="A55" s="10"/>
      <c r="B55" s="13"/>
      <c r="C55" s="13"/>
    </row>
    <row r="56" spans="1:3" ht="13" x14ac:dyDescent="0.15">
      <c r="A56" s="10"/>
      <c r="B56" s="13"/>
      <c r="C56" s="13"/>
    </row>
    <row r="57" spans="1:3" ht="13" x14ac:dyDescent="0.15">
      <c r="A57" s="10"/>
      <c r="B57" s="13"/>
      <c r="C57" s="13"/>
    </row>
    <row r="58" spans="1:3" ht="13" x14ac:dyDescent="0.15">
      <c r="A58" s="10"/>
      <c r="B58" s="13"/>
      <c r="C58" s="13"/>
    </row>
    <row r="59" spans="1:3" ht="13" x14ac:dyDescent="0.15">
      <c r="A59" s="10"/>
      <c r="B59" s="13"/>
      <c r="C59" s="13"/>
    </row>
    <row r="60" spans="1:3" ht="13" x14ac:dyDescent="0.15">
      <c r="A60" s="10"/>
      <c r="B60" s="13"/>
      <c r="C60" s="13"/>
    </row>
    <row r="61" spans="1:3" ht="13" x14ac:dyDescent="0.15">
      <c r="A61" s="10"/>
      <c r="B61" s="13"/>
      <c r="C61" s="13"/>
    </row>
    <row r="62" spans="1:3" ht="13" x14ac:dyDescent="0.15">
      <c r="A62" s="10"/>
      <c r="B62" s="13"/>
      <c r="C62" s="13"/>
    </row>
    <row r="63" spans="1:3" ht="13" x14ac:dyDescent="0.15">
      <c r="A63" s="10"/>
      <c r="B63" s="13"/>
      <c r="C63" s="13"/>
    </row>
    <row r="64" spans="1:3" ht="13" x14ac:dyDescent="0.15">
      <c r="A64" s="10"/>
      <c r="B64" s="13"/>
      <c r="C64" s="13"/>
    </row>
    <row r="65" spans="1:3" ht="13" x14ac:dyDescent="0.15">
      <c r="A65" s="10"/>
      <c r="B65" s="13"/>
      <c r="C65" s="13"/>
    </row>
    <row r="66" spans="1:3" ht="13" x14ac:dyDescent="0.15">
      <c r="A66" s="10"/>
      <c r="B66" s="13"/>
      <c r="C66" s="13"/>
    </row>
    <row r="67" spans="1:3" ht="13" x14ac:dyDescent="0.15">
      <c r="A67" s="10"/>
      <c r="B67" s="13"/>
      <c r="C67" s="13"/>
    </row>
    <row r="68" spans="1:3" ht="13" x14ac:dyDescent="0.15">
      <c r="A68" s="10"/>
      <c r="B68" s="13"/>
      <c r="C68" s="13"/>
    </row>
    <row r="69" spans="1:3" ht="13" x14ac:dyDescent="0.15">
      <c r="A69" s="10"/>
      <c r="B69" s="13"/>
      <c r="C69" s="13"/>
    </row>
    <row r="70" spans="1:3" ht="13" x14ac:dyDescent="0.15">
      <c r="A70" s="10"/>
      <c r="B70" s="13"/>
      <c r="C70" s="13"/>
    </row>
    <row r="71" spans="1:3" ht="13" x14ac:dyDescent="0.15">
      <c r="A71" s="10"/>
      <c r="B71" s="13"/>
      <c r="C71" s="13"/>
    </row>
    <row r="72" spans="1:3" ht="13" x14ac:dyDescent="0.15">
      <c r="A72" s="10"/>
      <c r="B72" s="13"/>
      <c r="C72" s="13"/>
    </row>
    <row r="73" spans="1:3" ht="13" x14ac:dyDescent="0.15">
      <c r="A73" s="10"/>
      <c r="B73" s="13"/>
      <c r="C73" s="13"/>
    </row>
    <row r="74" spans="1:3" ht="13" x14ac:dyDescent="0.15">
      <c r="A74" s="10"/>
      <c r="B74" s="13"/>
      <c r="C74" s="13"/>
    </row>
    <row r="75" spans="1:3" ht="13" x14ac:dyDescent="0.15">
      <c r="A75" s="10"/>
      <c r="B75" s="13"/>
      <c r="C75" s="13"/>
    </row>
    <row r="76" spans="1:3" ht="13" x14ac:dyDescent="0.15">
      <c r="A76" s="10"/>
      <c r="B76" s="13"/>
      <c r="C76" s="13"/>
    </row>
    <row r="77" spans="1:3" ht="13" x14ac:dyDescent="0.15">
      <c r="A77" s="10"/>
      <c r="B77" s="13"/>
      <c r="C77" s="13"/>
    </row>
    <row r="78" spans="1:3" ht="13" x14ac:dyDescent="0.15">
      <c r="A78" s="10"/>
      <c r="B78" s="13"/>
      <c r="C78" s="13"/>
    </row>
    <row r="79" spans="1:3" ht="13" x14ac:dyDescent="0.15">
      <c r="A79" s="10"/>
      <c r="B79" s="13"/>
      <c r="C79" s="13"/>
    </row>
    <row r="80" spans="1:3" ht="13" x14ac:dyDescent="0.15">
      <c r="A80" s="10"/>
      <c r="B80" s="13"/>
      <c r="C80" s="13"/>
    </row>
    <row r="81" spans="1:3" ht="13" x14ac:dyDescent="0.15">
      <c r="A81" s="10"/>
      <c r="B81" s="13"/>
      <c r="C81" s="13"/>
    </row>
    <row r="82" spans="1:3" ht="13" x14ac:dyDescent="0.15">
      <c r="A82" s="10"/>
      <c r="B82" s="13"/>
      <c r="C82" s="13"/>
    </row>
    <row r="83" spans="1:3" ht="13" x14ac:dyDescent="0.15">
      <c r="A83" s="10"/>
      <c r="B83" s="13"/>
      <c r="C83" s="13"/>
    </row>
    <row r="84" spans="1:3" ht="13" x14ac:dyDescent="0.15">
      <c r="A84" s="10"/>
      <c r="B84" s="13"/>
      <c r="C84" s="13"/>
    </row>
    <row r="85" spans="1:3" ht="13" x14ac:dyDescent="0.15">
      <c r="A85" s="10"/>
      <c r="B85" s="13"/>
      <c r="C85" s="13"/>
    </row>
    <row r="86" spans="1:3" ht="13" x14ac:dyDescent="0.15">
      <c r="A86" s="10"/>
      <c r="B86" s="13"/>
      <c r="C86" s="13"/>
    </row>
    <row r="87" spans="1:3" ht="13" x14ac:dyDescent="0.15">
      <c r="A87" s="10"/>
      <c r="B87" s="13"/>
      <c r="C87" s="13"/>
    </row>
    <row r="88" spans="1:3" ht="13" x14ac:dyDescent="0.15">
      <c r="A88" s="10"/>
      <c r="B88" s="13"/>
      <c r="C88" s="13"/>
    </row>
    <row r="89" spans="1:3" ht="13" x14ac:dyDescent="0.15">
      <c r="A89" s="10"/>
      <c r="B89" s="13"/>
      <c r="C89" s="13"/>
    </row>
    <row r="90" spans="1:3" ht="13" x14ac:dyDescent="0.15">
      <c r="A90" s="10"/>
      <c r="B90" s="13"/>
      <c r="C90" s="13"/>
    </row>
    <row r="91" spans="1:3" ht="13" x14ac:dyDescent="0.15">
      <c r="A91" s="10"/>
      <c r="B91" s="13"/>
      <c r="C91" s="13"/>
    </row>
    <row r="92" spans="1:3" ht="13" x14ac:dyDescent="0.15">
      <c r="A92" s="10"/>
      <c r="B92" s="13"/>
      <c r="C92" s="13"/>
    </row>
    <row r="93" spans="1:3" ht="13" x14ac:dyDescent="0.15">
      <c r="A93" s="10"/>
      <c r="B93" s="13"/>
      <c r="C93" s="13"/>
    </row>
    <row r="94" spans="1:3" ht="13" x14ac:dyDescent="0.15">
      <c r="A94" s="10"/>
      <c r="B94" s="13"/>
      <c r="C94" s="13"/>
    </row>
    <row r="95" spans="1:3" ht="13" x14ac:dyDescent="0.15">
      <c r="A95" s="10"/>
      <c r="B95" s="13"/>
      <c r="C95" s="13"/>
    </row>
    <row r="96" spans="1:3" ht="13" x14ac:dyDescent="0.15">
      <c r="A96" s="10"/>
      <c r="B96" s="13"/>
      <c r="C96" s="13"/>
    </row>
    <row r="97" spans="1:3" ht="13" x14ac:dyDescent="0.15">
      <c r="A97" s="10"/>
      <c r="B97" s="13"/>
      <c r="C97" s="13"/>
    </row>
    <row r="98" spans="1:3" ht="13" x14ac:dyDescent="0.15">
      <c r="A98" s="10"/>
      <c r="B98" s="13"/>
      <c r="C98" s="13"/>
    </row>
    <row r="99" spans="1:3" ht="13" x14ac:dyDescent="0.15">
      <c r="A99" s="10"/>
      <c r="B99" s="13"/>
      <c r="C99" s="13"/>
    </row>
    <row r="100" spans="1:3" ht="13" x14ac:dyDescent="0.15">
      <c r="A100" s="10"/>
      <c r="B100" s="13"/>
      <c r="C100" s="13"/>
    </row>
    <row r="101" spans="1:3" ht="13" x14ac:dyDescent="0.15">
      <c r="A101" s="10"/>
      <c r="B101" s="13"/>
      <c r="C101" s="13"/>
    </row>
    <row r="102" spans="1:3" ht="13" x14ac:dyDescent="0.15">
      <c r="A102" s="10"/>
      <c r="B102" s="13"/>
      <c r="C102" s="13"/>
    </row>
    <row r="103" spans="1:3" ht="13" x14ac:dyDescent="0.15">
      <c r="A103" s="10"/>
      <c r="B103" s="13"/>
      <c r="C103" s="13"/>
    </row>
    <row r="104" spans="1:3" ht="13" x14ac:dyDescent="0.15">
      <c r="A104" s="10"/>
      <c r="B104" s="13"/>
      <c r="C104" s="13"/>
    </row>
    <row r="105" spans="1:3" ht="13" x14ac:dyDescent="0.15">
      <c r="A105" s="10"/>
      <c r="B105" s="13"/>
      <c r="C105" s="13"/>
    </row>
    <row r="106" spans="1:3" ht="13" x14ac:dyDescent="0.15">
      <c r="A106" s="10"/>
      <c r="B106" s="13"/>
      <c r="C106" s="13"/>
    </row>
    <row r="107" spans="1:3" ht="13" x14ac:dyDescent="0.15">
      <c r="A107" s="10"/>
      <c r="B107" s="13"/>
      <c r="C107" s="13"/>
    </row>
    <row r="108" spans="1:3" ht="13" x14ac:dyDescent="0.15">
      <c r="A108" s="10"/>
      <c r="B108" s="13"/>
      <c r="C108" s="13"/>
    </row>
    <row r="109" spans="1:3" ht="13" x14ac:dyDescent="0.15">
      <c r="A109" s="10"/>
      <c r="B109" s="13"/>
      <c r="C109" s="13"/>
    </row>
    <row r="110" spans="1:3" ht="13" x14ac:dyDescent="0.15">
      <c r="A110" s="10"/>
      <c r="B110" s="13"/>
      <c r="C110" s="13"/>
    </row>
    <row r="111" spans="1:3" ht="13" x14ac:dyDescent="0.15">
      <c r="A111" s="10"/>
      <c r="B111" s="13"/>
      <c r="C111" s="13"/>
    </row>
    <row r="112" spans="1:3" ht="13" x14ac:dyDescent="0.15">
      <c r="A112" s="10"/>
      <c r="B112" s="13"/>
      <c r="C112" s="13"/>
    </row>
    <row r="113" spans="1:3" ht="13" x14ac:dyDescent="0.15">
      <c r="A113" s="10"/>
      <c r="B113" s="13"/>
      <c r="C113" s="13"/>
    </row>
    <row r="114" spans="1:3" ht="13" x14ac:dyDescent="0.15">
      <c r="A114" s="10"/>
      <c r="B114" s="13"/>
      <c r="C114" s="13"/>
    </row>
    <row r="115" spans="1:3" ht="13" x14ac:dyDescent="0.15">
      <c r="A115" s="10"/>
      <c r="B115" s="13"/>
      <c r="C115" s="13"/>
    </row>
    <row r="116" spans="1:3" ht="13" x14ac:dyDescent="0.15">
      <c r="A116" s="10"/>
      <c r="B116" s="13"/>
      <c r="C116" s="13"/>
    </row>
    <row r="117" spans="1:3" ht="13" x14ac:dyDescent="0.15">
      <c r="A117" s="10"/>
      <c r="B117" s="13"/>
      <c r="C117" s="13"/>
    </row>
    <row r="118" spans="1:3" ht="13" x14ac:dyDescent="0.15">
      <c r="A118" s="10"/>
      <c r="B118" s="13"/>
      <c r="C118" s="13"/>
    </row>
    <row r="119" spans="1:3" ht="13" x14ac:dyDescent="0.15">
      <c r="A119" s="10"/>
      <c r="B119" s="13"/>
      <c r="C119" s="13"/>
    </row>
    <row r="120" spans="1:3" ht="13" x14ac:dyDescent="0.15">
      <c r="A120" s="10"/>
      <c r="B120" s="13"/>
      <c r="C120" s="13"/>
    </row>
    <row r="121" spans="1:3" ht="13" x14ac:dyDescent="0.15">
      <c r="A121" s="10"/>
      <c r="B121" s="13"/>
      <c r="C121" s="13"/>
    </row>
    <row r="122" spans="1:3" ht="13" x14ac:dyDescent="0.15">
      <c r="A122" s="10"/>
      <c r="B122" s="13"/>
      <c r="C122" s="13"/>
    </row>
    <row r="123" spans="1:3" ht="13" x14ac:dyDescent="0.15">
      <c r="A123" s="10"/>
      <c r="B123" s="13"/>
      <c r="C123" s="13"/>
    </row>
    <row r="124" spans="1:3" ht="13" x14ac:dyDescent="0.15">
      <c r="A124" s="10"/>
      <c r="B124" s="13"/>
      <c r="C124" s="13"/>
    </row>
    <row r="125" spans="1:3" ht="13" x14ac:dyDescent="0.15">
      <c r="A125" s="10"/>
      <c r="B125" s="13"/>
      <c r="C125" s="13"/>
    </row>
    <row r="126" spans="1:3" ht="13" x14ac:dyDescent="0.15">
      <c r="A126" s="10"/>
      <c r="B126" s="13"/>
      <c r="C126" s="13"/>
    </row>
    <row r="127" spans="1:3" ht="13" x14ac:dyDescent="0.15">
      <c r="A127" s="10"/>
      <c r="B127" s="13"/>
      <c r="C127" s="13"/>
    </row>
    <row r="128" spans="1:3" ht="13" x14ac:dyDescent="0.15">
      <c r="A128" s="10"/>
      <c r="B128" s="13"/>
      <c r="C128" s="13"/>
    </row>
    <row r="129" spans="1:3" ht="13" x14ac:dyDescent="0.15">
      <c r="A129" s="10"/>
      <c r="B129" s="13"/>
      <c r="C129" s="13"/>
    </row>
    <row r="130" spans="1:3" ht="13" x14ac:dyDescent="0.15">
      <c r="A130" s="10"/>
      <c r="B130" s="13"/>
      <c r="C130" s="13"/>
    </row>
    <row r="131" spans="1:3" ht="13" x14ac:dyDescent="0.15">
      <c r="A131" s="10"/>
      <c r="B131" s="13"/>
      <c r="C131" s="13"/>
    </row>
    <row r="132" spans="1:3" ht="13" x14ac:dyDescent="0.15">
      <c r="A132" s="10"/>
      <c r="B132" s="13"/>
      <c r="C132" s="13"/>
    </row>
    <row r="133" spans="1:3" ht="13" x14ac:dyDescent="0.15">
      <c r="A133" s="10"/>
      <c r="B133" s="13"/>
      <c r="C133" s="13"/>
    </row>
    <row r="134" spans="1:3" ht="13" x14ac:dyDescent="0.15">
      <c r="A134" s="10"/>
      <c r="B134" s="13"/>
      <c r="C134" s="13"/>
    </row>
    <row r="135" spans="1:3" ht="13" x14ac:dyDescent="0.15">
      <c r="A135" s="10"/>
      <c r="B135" s="13"/>
      <c r="C135" s="13"/>
    </row>
    <row r="136" spans="1:3" ht="13" x14ac:dyDescent="0.15">
      <c r="A136" s="10"/>
      <c r="B136" s="13"/>
      <c r="C136" s="13"/>
    </row>
    <row r="137" spans="1:3" ht="13" x14ac:dyDescent="0.15">
      <c r="A137" s="10"/>
      <c r="B137" s="13"/>
      <c r="C137" s="13"/>
    </row>
    <row r="138" spans="1:3" ht="13" x14ac:dyDescent="0.15">
      <c r="A138" s="10"/>
      <c r="B138" s="13"/>
      <c r="C138" s="13"/>
    </row>
    <row r="139" spans="1:3" ht="13" x14ac:dyDescent="0.15">
      <c r="A139" s="10"/>
      <c r="B139" s="13"/>
      <c r="C139" s="13"/>
    </row>
    <row r="140" spans="1:3" ht="13" x14ac:dyDescent="0.15">
      <c r="A140" s="10"/>
      <c r="B140" s="13"/>
      <c r="C140" s="13"/>
    </row>
    <row r="141" spans="1:3" ht="13" x14ac:dyDescent="0.15">
      <c r="A141" s="10"/>
      <c r="B141" s="13"/>
      <c r="C141" s="13"/>
    </row>
    <row r="142" spans="1:3" ht="13" x14ac:dyDescent="0.15">
      <c r="A142" s="10"/>
      <c r="B142" s="13"/>
      <c r="C142" s="13"/>
    </row>
    <row r="143" spans="1:3" ht="13" x14ac:dyDescent="0.15">
      <c r="A143" s="10"/>
      <c r="B143" s="13"/>
      <c r="C143" s="13"/>
    </row>
    <row r="144" spans="1:3" ht="13" x14ac:dyDescent="0.15">
      <c r="A144" s="10"/>
      <c r="B144" s="13"/>
      <c r="C144" s="13"/>
    </row>
    <row r="145" spans="1:3" ht="13" x14ac:dyDescent="0.15">
      <c r="A145" s="10"/>
      <c r="B145" s="13"/>
      <c r="C145" s="13"/>
    </row>
    <row r="146" spans="1:3" ht="13" x14ac:dyDescent="0.15">
      <c r="A146" s="10"/>
      <c r="B146" s="13"/>
      <c r="C146" s="13"/>
    </row>
    <row r="147" spans="1:3" ht="13" x14ac:dyDescent="0.15">
      <c r="A147" s="10"/>
      <c r="B147" s="13"/>
      <c r="C147" s="13"/>
    </row>
    <row r="148" spans="1:3" ht="13" x14ac:dyDescent="0.15">
      <c r="A148" s="10"/>
      <c r="B148" s="13"/>
      <c r="C148" s="13"/>
    </row>
    <row r="149" spans="1:3" ht="13" x14ac:dyDescent="0.15">
      <c r="A149" s="10"/>
      <c r="B149" s="13"/>
      <c r="C149" s="13"/>
    </row>
    <row r="150" spans="1:3" ht="13" x14ac:dyDescent="0.15">
      <c r="A150" s="10"/>
      <c r="B150" s="13"/>
      <c r="C150" s="13"/>
    </row>
    <row r="151" spans="1:3" ht="13" x14ac:dyDescent="0.15">
      <c r="A151" s="10"/>
      <c r="B151" s="13"/>
      <c r="C151" s="13"/>
    </row>
    <row r="152" spans="1:3" ht="13" x14ac:dyDescent="0.15">
      <c r="A152" s="10"/>
      <c r="B152" s="13"/>
      <c r="C152" s="13"/>
    </row>
    <row r="153" spans="1:3" ht="13" x14ac:dyDescent="0.15">
      <c r="A153" s="10"/>
      <c r="B153" s="13"/>
      <c r="C153" s="13"/>
    </row>
    <row r="154" spans="1:3" ht="13" x14ac:dyDescent="0.15">
      <c r="A154" s="10"/>
      <c r="B154" s="13"/>
      <c r="C154" s="13"/>
    </row>
    <row r="155" spans="1:3" ht="13" x14ac:dyDescent="0.15">
      <c r="A155" s="10"/>
      <c r="B155" s="13"/>
      <c r="C155" s="13"/>
    </row>
    <row r="156" spans="1:3" ht="13" x14ac:dyDescent="0.15">
      <c r="A156" s="10"/>
      <c r="B156" s="13"/>
      <c r="C156" s="13"/>
    </row>
    <row r="157" spans="1:3" ht="13" x14ac:dyDescent="0.15">
      <c r="A157" s="10"/>
      <c r="B157" s="13"/>
      <c r="C157" s="13"/>
    </row>
    <row r="158" spans="1:3" ht="13" x14ac:dyDescent="0.15">
      <c r="A158" s="10"/>
      <c r="B158" s="13"/>
      <c r="C158" s="13"/>
    </row>
    <row r="159" spans="1:3" ht="13" x14ac:dyDescent="0.15">
      <c r="A159" s="10"/>
      <c r="B159" s="13"/>
      <c r="C159" s="13"/>
    </row>
    <row r="160" spans="1:3" ht="13" x14ac:dyDescent="0.15">
      <c r="A160" s="10"/>
      <c r="B160" s="13"/>
      <c r="C160" s="13"/>
    </row>
    <row r="161" spans="1:3" ht="13" x14ac:dyDescent="0.15">
      <c r="A161" s="10"/>
      <c r="B161" s="13"/>
      <c r="C161" s="13"/>
    </row>
    <row r="162" spans="1:3" ht="13" x14ac:dyDescent="0.15">
      <c r="A162" s="10"/>
      <c r="B162" s="13"/>
      <c r="C162" s="13"/>
    </row>
    <row r="163" spans="1:3" ht="13" x14ac:dyDescent="0.15">
      <c r="A163" s="10"/>
      <c r="B163" s="13"/>
      <c r="C163" s="13"/>
    </row>
    <row r="164" spans="1:3" ht="13" x14ac:dyDescent="0.15">
      <c r="A164" s="10"/>
      <c r="B164" s="13"/>
      <c r="C164" s="13"/>
    </row>
    <row r="165" spans="1:3" ht="13" x14ac:dyDescent="0.15">
      <c r="A165" s="10"/>
      <c r="B165" s="13"/>
      <c r="C165" s="13"/>
    </row>
    <row r="166" spans="1:3" ht="13" x14ac:dyDescent="0.15">
      <c r="A166" s="10"/>
      <c r="B166" s="13"/>
      <c r="C166" s="13"/>
    </row>
    <row r="167" spans="1:3" ht="13" x14ac:dyDescent="0.15">
      <c r="A167" s="10"/>
      <c r="B167" s="13"/>
      <c r="C167" s="13"/>
    </row>
    <row r="168" spans="1:3" ht="13" x14ac:dyDescent="0.15">
      <c r="A168" s="10"/>
      <c r="B168" s="13"/>
      <c r="C168" s="13"/>
    </row>
    <row r="169" spans="1:3" ht="13" x14ac:dyDescent="0.15">
      <c r="A169" s="10"/>
      <c r="B169" s="13"/>
      <c r="C169" s="13"/>
    </row>
    <row r="170" spans="1:3" ht="13" x14ac:dyDescent="0.15">
      <c r="A170" s="10"/>
      <c r="B170" s="13"/>
      <c r="C170" s="13"/>
    </row>
    <row r="171" spans="1:3" ht="13" x14ac:dyDescent="0.15">
      <c r="A171" s="10"/>
      <c r="B171" s="13"/>
      <c r="C171" s="13"/>
    </row>
    <row r="172" spans="1:3" ht="13" x14ac:dyDescent="0.15">
      <c r="A172" s="10"/>
      <c r="B172" s="13"/>
      <c r="C172" s="13"/>
    </row>
    <row r="173" spans="1:3" ht="13" x14ac:dyDescent="0.15">
      <c r="A173" s="10"/>
      <c r="B173" s="13"/>
      <c r="C173" s="13"/>
    </row>
    <row r="174" spans="1:3" ht="13" x14ac:dyDescent="0.15">
      <c r="A174" s="10"/>
      <c r="B174" s="13"/>
      <c r="C174" s="13"/>
    </row>
    <row r="175" spans="1:3" ht="13" x14ac:dyDescent="0.15">
      <c r="A175" s="10"/>
      <c r="B175" s="13"/>
      <c r="C175" s="13"/>
    </row>
    <row r="176" spans="1:3" ht="13" x14ac:dyDescent="0.15">
      <c r="A176" s="10"/>
      <c r="B176" s="13"/>
      <c r="C176" s="13"/>
    </row>
    <row r="177" spans="1:3" ht="13" x14ac:dyDescent="0.15">
      <c r="A177" s="10"/>
      <c r="B177" s="13"/>
      <c r="C177" s="13"/>
    </row>
    <row r="178" spans="1:3" ht="13" x14ac:dyDescent="0.15">
      <c r="A178" s="10"/>
      <c r="B178" s="13"/>
      <c r="C178" s="13"/>
    </row>
    <row r="179" spans="1:3" ht="13" x14ac:dyDescent="0.15">
      <c r="A179" s="10"/>
      <c r="B179" s="13"/>
      <c r="C179" s="13"/>
    </row>
    <row r="180" spans="1:3" ht="13" x14ac:dyDescent="0.15">
      <c r="A180" s="10"/>
      <c r="B180" s="13"/>
      <c r="C180" s="13"/>
    </row>
    <row r="181" spans="1:3" ht="13" x14ac:dyDescent="0.15">
      <c r="A181" s="10"/>
      <c r="B181" s="13"/>
      <c r="C181" s="13"/>
    </row>
    <row r="182" spans="1:3" ht="13" x14ac:dyDescent="0.15">
      <c r="A182" s="10"/>
      <c r="B182" s="13"/>
      <c r="C182" s="13"/>
    </row>
    <row r="183" spans="1:3" ht="13" x14ac:dyDescent="0.15">
      <c r="A183" s="10"/>
      <c r="B183" s="13"/>
      <c r="C183" s="13"/>
    </row>
    <row r="184" spans="1:3" ht="13" x14ac:dyDescent="0.15">
      <c r="A184" s="10"/>
      <c r="B184" s="13"/>
      <c r="C184" s="13"/>
    </row>
    <row r="185" spans="1:3" ht="13" x14ac:dyDescent="0.15">
      <c r="A185" s="10"/>
      <c r="B185" s="13"/>
      <c r="C185" s="13"/>
    </row>
    <row r="186" spans="1:3" ht="13" x14ac:dyDescent="0.15">
      <c r="A186" s="10"/>
      <c r="B186" s="13"/>
      <c r="C186" s="13"/>
    </row>
    <row r="187" spans="1:3" ht="13" x14ac:dyDescent="0.15">
      <c r="A187" s="10"/>
      <c r="B187" s="13"/>
      <c r="C187" s="13"/>
    </row>
    <row r="188" spans="1:3" ht="13" x14ac:dyDescent="0.15">
      <c r="A188" s="10"/>
      <c r="B188" s="13"/>
      <c r="C188" s="13"/>
    </row>
    <row r="189" spans="1:3" ht="13" x14ac:dyDescent="0.15">
      <c r="A189" s="10"/>
      <c r="B189" s="13"/>
      <c r="C189" s="13"/>
    </row>
    <row r="190" spans="1:3" ht="13" x14ac:dyDescent="0.15">
      <c r="A190" s="10"/>
      <c r="B190" s="13"/>
      <c r="C190" s="13"/>
    </row>
    <row r="191" spans="1:3" ht="13" x14ac:dyDescent="0.15">
      <c r="A191" s="10"/>
      <c r="B191" s="13"/>
      <c r="C191" s="13"/>
    </row>
    <row r="192" spans="1:3" ht="13" x14ac:dyDescent="0.15">
      <c r="A192" s="10"/>
      <c r="B192" s="13"/>
      <c r="C192" s="13"/>
    </row>
    <row r="193" spans="1:3" ht="13" x14ac:dyDescent="0.15">
      <c r="A193" s="10"/>
      <c r="B193" s="13"/>
      <c r="C193" s="13"/>
    </row>
    <row r="194" spans="1:3" ht="13" x14ac:dyDescent="0.15">
      <c r="A194" s="10"/>
      <c r="B194" s="13"/>
      <c r="C194" s="13"/>
    </row>
    <row r="195" spans="1:3" ht="13" x14ac:dyDescent="0.15">
      <c r="A195" s="10"/>
      <c r="B195" s="13"/>
      <c r="C195" s="13"/>
    </row>
    <row r="196" spans="1:3" ht="13" x14ac:dyDescent="0.15">
      <c r="A196" s="10"/>
      <c r="B196" s="13"/>
      <c r="C196" s="13"/>
    </row>
    <row r="197" spans="1:3" ht="13" x14ac:dyDescent="0.15">
      <c r="A197" s="10"/>
      <c r="B197" s="13"/>
      <c r="C197" s="13"/>
    </row>
    <row r="198" spans="1:3" ht="13" x14ac:dyDescent="0.15">
      <c r="A198" s="10"/>
      <c r="B198" s="13"/>
      <c r="C198" s="13"/>
    </row>
    <row r="199" spans="1:3" ht="13" x14ac:dyDescent="0.15">
      <c r="A199" s="10"/>
      <c r="B199" s="13"/>
      <c r="C199" s="13"/>
    </row>
    <row r="200" spans="1:3" ht="13" x14ac:dyDescent="0.15">
      <c r="A200" s="10"/>
      <c r="B200" s="13"/>
      <c r="C200" s="13"/>
    </row>
    <row r="201" spans="1:3" ht="13" x14ac:dyDescent="0.15">
      <c r="A201" s="10"/>
      <c r="B201" s="13"/>
      <c r="C201" s="13"/>
    </row>
    <row r="202" spans="1:3" ht="13" x14ac:dyDescent="0.15">
      <c r="A202" s="10"/>
      <c r="B202" s="13"/>
      <c r="C202" s="13"/>
    </row>
    <row r="203" spans="1:3" ht="13" x14ac:dyDescent="0.15">
      <c r="A203" s="10"/>
      <c r="B203" s="13"/>
      <c r="C203" s="13"/>
    </row>
    <row r="204" spans="1:3" ht="13" x14ac:dyDescent="0.15">
      <c r="A204" s="10"/>
      <c r="B204" s="13"/>
      <c r="C204" s="13"/>
    </row>
    <row r="205" spans="1:3" ht="13" x14ac:dyDescent="0.15">
      <c r="A205" s="10"/>
      <c r="B205" s="13"/>
      <c r="C205" s="13"/>
    </row>
    <row r="206" spans="1:3" ht="13" x14ac:dyDescent="0.15">
      <c r="A206" s="10"/>
      <c r="B206" s="13"/>
      <c r="C206" s="13"/>
    </row>
    <row r="207" spans="1:3" ht="13" x14ac:dyDescent="0.15">
      <c r="A207" s="10"/>
      <c r="B207" s="13"/>
      <c r="C207" s="13"/>
    </row>
    <row r="208" spans="1:3" ht="13" x14ac:dyDescent="0.15">
      <c r="A208" s="10"/>
      <c r="B208" s="13"/>
      <c r="C208" s="13"/>
    </row>
    <row r="209" spans="1:3" ht="13" x14ac:dyDescent="0.15">
      <c r="A209" s="10"/>
      <c r="B209" s="13"/>
      <c r="C209" s="13"/>
    </row>
    <row r="210" spans="1:3" ht="13" x14ac:dyDescent="0.15">
      <c r="A210" s="10"/>
      <c r="B210" s="13"/>
      <c r="C210" s="13"/>
    </row>
    <row r="211" spans="1:3" ht="13" x14ac:dyDescent="0.15">
      <c r="A211" s="10"/>
      <c r="B211" s="13"/>
      <c r="C211" s="13"/>
    </row>
    <row r="212" spans="1:3" ht="13" x14ac:dyDescent="0.15">
      <c r="A212" s="10"/>
      <c r="B212" s="13"/>
      <c r="C212" s="13"/>
    </row>
    <row r="213" spans="1:3" ht="13" x14ac:dyDescent="0.15">
      <c r="A213" s="10"/>
      <c r="B213" s="13"/>
      <c r="C213" s="13"/>
    </row>
    <row r="214" spans="1:3" ht="13" x14ac:dyDescent="0.15">
      <c r="A214" s="10"/>
      <c r="B214" s="13"/>
      <c r="C214" s="13"/>
    </row>
    <row r="215" spans="1:3" ht="13" x14ac:dyDescent="0.15">
      <c r="A215" s="10"/>
      <c r="B215" s="13"/>
      <c r="C215" s="13"/>
    </row>
    <row r="216" spans="1:3" ht="13" x14ac:dyDescent="0.15">
      <c r="A216" s="10"/>
      <c r="B216" s="13"/>
      <c r="C216" s="13"/>
    </row>
    <row r="217" spans="1:3" ht="13" x14ac:dyDescent="0.15">
      <c r="A217" s="10"/>
      <c r="B217" s="13"/>
      <c r="C217" s="13"/>
    </row>
    <row r="218" spans="1:3" ht="13" x14ac:dyDescent="0.15">
      <c r="A218" s="10"/>
      <c r="B218" s="13"/>
      <c r="C218" s="13"/>
    </row>
    <row r="219" spans="1:3" ht="13" x14ac:dyDescent="0.15">
      <c r="A219" s="10"/>
      <c r="B219" s="13"/>
      <c r="C219" s="13"/>
    </row>
    <row r="220" spans="1:3" ht="13" x14ac:dyDescent="0.15">
      <c r="A220" s="10"/>
      <c r="B220" s="13"/>
      <c r="C220" s="13"/>
    </row>
    <row r="221" spans="1:3" ht="13" x14ac:dyDescent="0.15">
      <c r="A221" s="10"/>
      <c r="B221" s="13"/>
      <c r="C221" s="13"/>
    </row>
    <row r="222" spans="1:3" ht="13" x14ac:dyDescent="0.15">
      <c r="A222" s="10"/>
      <c r="B222" s="13"/>
      <c r="C222" s="13"/>
    </row>
    <row r="223" spans="1:3" ht="13" x14ac:dyDescent="0.15">
      <c r="A223" s="10"/>
      <c r="B223" s="13"/>
      <c r="C223" s="13"/>
    </row>
    <row r="224" spans="1:3" ht="13" x14ac:dyDescent="0.15">
      <c r="A224" s="10"/>
      <c r="B224" s="13"/>
      <c r="C224" s="13"/>
    </row>
    <row r="225" spans="1:3" ht="13" x14ac:dyDescent="0.15">
      <c r="A225" s="10"/>
      <c r="B225" s="13"/>
      <c r="C225" s="13"/>
    </row>
    <row r="226" spans="1:3" ht="13" x14ac:dyDescent="0.15">
      <c r="A226" s="10"/>
      <c r="B226" s="13"/>
      <c r="C226" s="13"/>
    </row>
    <row r="227" spans="1:3" ht="13" x14ac:dyDescent="0.15">
      <c r="A227" s="10"/>
      <c r="B227" s="13"/>
      <c r="C227" s="13"/>
    </row>
    <row r="228" spans="1:3" ht="13" x14ac:dyDescent="0.15">
      <c r="A228" s="10"/>
      <c r="B228" s="13"/>
      <c r="C228" s="13"/>
    </row>
    <row r="229" spans="1:3" ht="13" x14ac:dyDescent="0.15">
      <c r="A229" s="10"/>
      <c r="B229" s="13"/>
      <c r="C229" s="13"/>
    </row>
    <row r="230" spans="1:3" ht="13" x14ac:dyDescent="0.15">
      <c r="A230" s="10"/>
      <c r="B230" s="13"/>
      <c r="C230" s="13"/>
    </row>
    <row r="231" spans="1:3" ht="13" x14ac:dyDescent="0.15">
      <c r="A231" s="10"/>
      <c r="B231" s="13"/>
      <c r="C231" s="13"/>
    </row>
    <row r="232" spans="1:3" ht="13" x14ac:dyDescent="0.15">
      <c r="A232" s="10"/>
      <c r="B232" s="13"/>
      <c r="C232" s="13"/>
    </row>
    <row r="233" spans="1:3" ht="13" x14ac:dyDescent="0.15">
      <c r="A233" s="10"/>
      <c r="B233" s="13"/>
      <c r="C233" s="13"/>
    </row>
    <row r="234" spans="1:3" ht="13" x14ac:dyDescent="0.15">
      <c r="A234" s="10"/>
      <c r="B234" s="13"/>
      <c r="C234" s="13"/>
    </row>
    <row r="235" spans="1:3" ht="13" x14ac:dyDescent="0.15">
      <c r="A235" s="10"/>
      <c r="B235" s="13"/>
      <c r="C235" s="13"/>
    </row>
    <row r="236" spans="1:3" ht="13" x14ac:dyDescent="0.15">
      <c r="A236" s="10"/>
      <c r="B236" s="13"/>
      <c r="C236" s="13"/>
    </row>
    <row r="237" spans="1:3" ht="13" x14ac:dyDescent="0.15">
      <c r="A237" s="10"/>
      <c r="B237" s="13"/>
      <c r="C237" s="13"/>
    </row>
    <row r="238" spans="1:3" ht="13" x14ac:dyDescent="0.15">
      <c r="A238" s="10"/>
      <c r="B238" s="13"/>
      <c r="C238" s="13"/>
    </row>
    <row r="239" spans="1:3" ht="13" x14ac:dyDescent="0.15">
      <c r="A239" s="10"/>
      <c r="B239" s="13"/>
      <c r="C239" s="13"/>
    </row>
    <row r="240" spans="1:3" ht="13" x14ac:dyDescent="0.15">
      <c r="A240" s="10"/>
      <c r="B240" s="13"/>
      <c r="C240" s="13"/>
    </row>
    <row r="241" spans="1:3" ht="13" x14ac:dyDescent="0.15">
      <c r="A241" s="10"/>
      <c r="B241" s="13"/>
      <c r="C241" s="13"/>
    </row>
    <row r="242" spans="1:3" ht="13" x14ac:dyDescent="0.15">
      <c r="A242" s="10"/>
      <c r="B242" s="13"/>
      <c r="C242" s="13"/>
    </row>
    <row r="243" spans="1:3" ht="13" x14ac:dyDescent="0.15">
      <c r="A243" s="10"/>
      <c r="B243" s="13"/>
      <c r="C243" s="13"/>
    </row>
    <row r="244" spans="1:3" ht="13" x14ac:dyDescent="0.15">
      <c r="A244" s="10"/>
      <c r="B244" s="13"/>
      <c r="C244" s="13"/>
    </row>
    <row r="245" spans="1:3" ht="13" x14ac:dyDescent="0.15">
      <c r="A245" s="10"/>
      <c r="B245" s="13"/>
      <c r="C245" s="13"/>
    </row>
    <row r="246" spans="1:3" ht="13" x14ac:dyDescent="0.15">
      <c r="A246" s="10"/>
      <c r="B246" s="13"/>
      <c r="C246" s="13"/>
    </row>
    <row r="247" spans="1:3" ht="13" x14ac:dyDescent="0.15">
      <c r="A247" s="10"/>
      <c r="B247" s="13"/>
      <c r="C247" s="13"/>
    </row>
    <row r="248" spans="1:3" ht="13" x14ac:dyDescent="0.15">
      <c r="A248" s="10"/>
      <c r="B248" s="13"/>
      <c r="C248" s="13"/>
    </row>
    <row r="249" spans="1:3" ht="13" x14ac:dyDescent="0.15">
      <c r="A249" s="10"/>
      <c r="B249" s="13"/>
      <c r="C249" s="13"/>
    </row>
    <row r="250" spans="1:3" ht="13" x14ac:dyDescent="0.15">
      <c r="A250" s="10"/>
      <c r="B250" s="13"/>
      <c r="C250" s="13"/>
    </row>
    <row r="251" spans="1:3" ht="13" x14ac:dyDescent="0.15">
      <c r="A251" s="10"/>
      <c r="B251" s="13"/>
      <c r="C251" s="13"/>
    </row>
    <row r="252" spans="1:3" ht="13" x14ac:dyDescent="0.15">
      <c r="A252" s="10"/>
      <c r="B252" s="13"/>
      <c r="C252" s="13"/>
    </row>
    <row r="253" spans="1:3" ht="13" x14ac:dyDescent="0.15">
      <c r="A253" s="10"/>
      <c r="B253" s="13"/>
      <c r="C253" s="13"/>
    </row>
    <row r="254" spans="1:3" ht="13" x14ac:dyDescent="0.15">
      <c r="A254" s="10"/>
      <c r="B254" s="13"/>
      <c r="C254" s="13"/>
    </row>
    <row r="255" spans="1:3" ht="13" x14ac:dyDescent="0.15">
      <c r="A255" s="10"/>
      <c r="B255" s="13"/>
      <c r="C255" s="13"/>
    </row>
    <row r="256" spans="1:3" ht="13" x14ac:dyDescent="0.15">
      <c r="A256" s="10"/>
      <c r="B256" s="13"/>
      <c r="C256" s="13"/>
    </row>
    <row r="257" spans="1:3" ht="13" x14ac:dyDescent="0.15">
      <c r="A257" s="10"/>
      <c r="B257" s="13"/>
      <c r="C257" s="13"/>
    </row>
    <row r="258" spans="1:3" ht="13" x14ac:dyDescent="0.15">
      <c r="A258" s="10"/>
      <c r="B258" s="13"/>
      <c r="C258" s="13"/>
    </row>
    <row r="259" spans="1:3" ht="13" x14ac:dyDescent="0.15">
      <c r="A259" s="10"/>
      <c r="B259" s="13"/>
      <c r="C259" s="13"/>
    </row>
    <row r="260" spans="1:3" ht="13" x14ac:dyDescent="0.15">
      <c r="A260" s="10"/>
      <c r="B260" s="13"/>
      <c r="C260" s="13"/>
    </row>
    <row r="261" spans="1:3" ht="13" x14ac:dyDescent="0.15">
      <c r="A261" s="10"/>
      <c r="B261" s="13"/>
      <c r="C261" s="13"/>
    </row>
    <row r="262" spans="1:3" ht="13" x14ac:dyDescent="0.15">
      <c r="A262" s="10"/>
      <c r="B262" s="13"/>
      <c r="C262" s="13"/>
    </row>
    <row r="263" spans="1:3" ht="13" x14ac:dyDescent="0.15">
      <c r="A263" s="10"/>
      <c r="B263" s="13"/>
      <c r="C263" s="13"/>
    </row>
    <row r="264" spans="1:3" ht="13" x14ac:dyDescent="0.15">
      <c r="A264" s="10"/>
      <c r="B264" s="13"/>
      <c r="C264" s="13"/>
    </row>
    <row r="265" spans="1:3" ht="13" x14ac:dyDescent="0.15">
      <c r="A265" s="10"/>
      <c r="B265" s="13"/>
      <c r="C265" s="13"/>
    </row>
    <row r="266" spans="1:3" ht="13" x14ac:dyDescent="0.15">
      <c r="A266" s="10"/>
      <c r="B266" s="13"/>
      <c r="C266" s="13"/>
    </row>
    <row r="267" spans="1:3" ht="13" x14ac:dyDescent="0.15">
      <c r="A267" s="10"/>
      <c r="B267" s="13"/>
      <c r="C267" s="13"/>
    </row>
    <row r="268" spans="1:3" ht="13" x14ac:dyDescent="0.15">
      <c r="A268" s="10"/>
      <c r="B268" s="13"/>
      <c r="C268" s="13"/>
    </row>
    <row r="269" spans="1:3" ht="13" x14ac:dyDescent="0.15">
      <c r="A269" s="10"/>
      <c r="B269" s="13"/>
      <c r="C269" s="13"/>
    </row>
    <row r="270" spans="1:3" ht="13" x14ac:dyDescent="0.15">
      <c r="A270" s="10"/>
      <c r="B270" s="13"/>
      <c r="C270" s="13"/>
    </row>
    <row r="271" spans="1:3" ht="13" x14ac:dyDescent="0.15">
      <c r="A271" s="10"/>
      <c r="B271" s="13"/>
      <c r="C271" s="13"/>
    </row>
    <row r="272" spans="1:3" ht="13" x14ac:dyDescent="0.15">
      <c r="A272" s="10"/>
      <c r="B272" s="13"/>
      <c r="C272" s="13"/>
    </row>
    <row r="273" spans="1:3" ht="13" x14ac:dyDescent="0.15">
      <c r="A273" s="10"/>
      <c r="B273" s="13"/>
      <c r="C273" s="13"/>
    </row>
    <row r="274" spans="1:3" ht="13" x14ac:dyDescent="0.15">
      <c r="A274" s="10"/>
      <c r="B274" s="13"/>
      <c r="C274" s="13"/>
    </row>
    <row r="275" spans="1:3" ht="13" x14ac:dyDescent="0.15">
      <c r="A275" s="10"/>
      <c r="B275" s="13"/>
      <c r="C275" s="13"/>
    </row>
    <row r="276" spans="1:3" ht="13" x14ac:dyDescent="0.15">
      <c r="A276" s="10"/>
      <c r="B276" s="13"/>
      <c r="C276" s="13"/>
    </row>
    <row r="277" spans="1:3" ht="13" x14ac:dyDescent="0.15">
      <c r="A277" s="10"/>
      <c r="B277" s="13"/>
      <c r="C277" s="13"/>
    </row>
    <row r="278" spans="1:3" ht="13" x14ac:dyDescent="0.15">
      <c r="A278" s="10"/>
      <c r="B278" s="13"/>
      <c r="C278" s="13"/>
    </row>
    <row r="279" spans="1:3" ht="13" x14ac:dyDescent="0.15">
      <c r="A279" s="10"/>
      <c r="B279" s="13"/>
      <c r="C279" s="13"/>
    </row>
    <row r="280" spans="1:3" ht="13" x14ac:dyDescent="0.15">
      <c r="A280" s="10"/>
      <c r="B280" s="13"/>
      <c r="C280" s="13"/>
    </row>
    <row r="281" spans="1:3" ht="13" x14ac:dyDescent="0.15">
      <c r="A281" s="10"/>
      <c r="B281" s="13"/>
      <c r="C281" s="13"/>
    </row>
    <row r="282" spans="1:3" ht="13" x14ac:dyDescent="0.15">
      <c r="A282" s="10"/>
      <c r="B282" s="13"/>
      <c r="C282" s="13"/>
    </row>
    <row r="283" spans="1:3" ht="13" x14ac:dyDescent="0.15">
      <c r="A283" s="10"/>
      <c r="B283" s="13"/>
      <c r="C283" s="13"/>
    </row>
    <row r="284" spans="1:3" ht="13" x14ac:dyDescent="0.15">
      <c r="A284" s="10"/>
      <c r="B284" s="13"/>
      <c r="C284" s="13"/>
    </row>
    <row r="285" spans="1:3" ht="13" x14ac:dyDescent="0.15">
      <c r="A285" s="10"/>
      <c r="B285" s="13"/>
      <c r="C285" s="13"/>
    </row>
    <row r="286" spans="1:3" ht="13" x14ac:dyDescent="0.15">
      <c r="A286" s="10"/>
      <c r="B286" s="13"/>
      <c r="C286" s="13"/>
    </row>
    <row r="287" spans="1:3" ht="13" x14ac:dyDescent="0.15">
      <c r="A287" s="10"/>
      <c r="B287" s="13"/>
      <c r="C287" s="13"/>
    </row>
    <row r="288" spans="1:3" ht="13" x14ac:dyDescent="0.15">
      <c r="A288" s="10"/>
      <c r="B288" s="13"/>
      <c r="C288" s="13"/>
    </row>
    <row r="289" spans="1:3" ht="13" x14ac:dyDescent="0.15">
      <c r="A289" s="10"/>
      <c r="B289" s="13"/>
      <c r="C289" s="13"/>
    </row>
    <row r="290" spans="1:3" ht="13" x14ac:dyDescent="0.15">
      <c r="A290" s="10"/>
      <c r="B290" s="13"/>
      <c r="C290" s="13"/>
    </row>
    <row r="291" spans="1:3" ht="13" x14ac:dyDescent="0.15">
      <c r="A291" s="10"/>
      <c r="B291" s="13"/>
      <c r="C291" s="13"/>
    </row>
    <row r="292" spans="1:3" ht="13" x14ac:dyDescent="0.15">
      <c r="A292" s="10"/>
      <c r="B292" s="13"/>
      <c r="C292" s="13"/>
    </row>
    <row r="293" spans="1:3" ht="13" x14ac:dyDescent="0.15">
      <c r="A293" s="10"/>
      <c r="B293" s="13"/>
      <c r="C293" s="13"/>
    </row>
    <row r="294" spans="1:3" ht="13" x14ac:dyDescent="0.15">
      <c r="A294" s="10"/>
      <c r="B294" s="13"/>
      <c r="C294" s="13"/>
    </row>
    <row r="295" spans="1:3" ht="13" x14ac:dyDescent="0.15">
      <c r="A295" s="10"/>
      <c r="B295" s="13"/>
      <c r="C295" s="13"/>
    </row>
    <row r="296" spans="1:3" ht="13" x14ac:dyDescent="0.15">
      <c r="A296" s="10"/>
      <c r="B296" s="13"/>
      <c r="C296" s="13"/>
    </row>
    <row r="297" spans="1:3" ht="13" x14ac:dyDescent="0.15">
      <c r="A297" s="10"/>
      <c r="B297" s="13"/>
      <c r="C297" s="13"/>
    </row>
    <row r="298" spans="1:3" ht="13" x14ac:dyDescent="0.15">
      <c r="A298" s="10"/>
      <c r="B298" s="13"/>
      <c r="C298" s="13"/>
    </row>
    <row r="299" spans="1:3" ht="13" x14ac:dyDescent="0.15">
      <c r="A299" s="10"/>
      <c r="B299" s="13"/>
      <c r="C299" s="13"/>
    </row>
    <row r="300" spans="1:3" ht="13" x14ac:dyDescent="0.15">
      <c r="A300" s="10"/>
      <c r="B300" s="13"/>
      <c r="C300" s="13"/>
    </row>
    <row r="301" spans="1:3" ht="13" x14ac:dyDescent="0.15">
      <c r="A301" s="10"/>
      <c r="B301" s="13"/>
      <c r="C301" s="13"/>
    </row>
    <row r="302" spans="1:3" ht="13" x14ac:dyDescent="0.15">
      <c r="A302" s="10"/>
      <c r="B302" s="13"/>
      <c r="C302" s="13"/>
    </row>
    <row r="303" spans="1:3" ht="13" x14ac:dyDescent="0.15">
      <c r="A303" s="10"/>
      <c r="B303" s="13"/>
      <c r="C303" s="13"/>
    </row>
    <row r="304" spans="1:3" ht="13" x14ac:dyDescent="0.15">
      <c r="A304" s="10"/>
      <c r="B304" s="13"/>
      <c r="C304" s="13"/>
    </row>
    <row r="305" spans="1:3" ht="13" x14ac:dyDescent="0.15">
      <c r="A305" s="10"/>
      <c r="B305" s="13"/>
      <c r="C305" s="13"/>
    </row>
    <row r="306" spans="1:3" ht="13" x14ac:dyDescent="0.15">
      <c r="A306" s="10"/>
      <c r="B306" s="13"/>
      <c r="C306" s="13"/>
    </row>
    <row r="307" spans="1:3" ht="13" x14ac:dyDescent="0.15">
      <c r="A307" s="10"/>
      <c r="B307" s="13"/>
      <c r="C307" s="13"/>
    </row>
    <row r="308" spans="1:3" ht="13" x14ac:dyDescent="0.15">
      <c r="A308" s="10"/>
      <c r="B308" s="13"/>
      <c r="C308" s="13"/>
    </row>
    <row r="309" spans="1:3" ht="13" x14ac:dyDescent="0.15">
      <c r="A309" s="10"/>
      <c r="B309" s="13"/>
      <c r="C309" s="13"/>
    </row>
    <row r="310" spans="1:3" ht="13" x14ac:dyDescent="0.15">
      <c r="A310" s="10"/>
      <c r="B310" s="13"/>
      <c r="C310" s="13"/>
    </row>
    <row r="311" spans="1:3" ht="13" x14ac:dyDescent="0.15">
      <c r="A311" s="10"/>
      <c r="B311" s="13"/>
      <c r="C311" s="13"/>
    </row>
    <row r="312" spans="1:3" ht="13" x14ac:dyDescent="0.15">
      <c r="A312" s="10"/>
      <c r="B312" s="13"/>
      <c r="C312" s="13"/>
    </row>
    <row r="313" spans="1:3" ht="13" x14ac:dyDescent="0.15">
      <c r="A313" s="10"/>
      <c r="B313" s="13"/>
      <c r="C313" s="13"/>
    </row>
    <row r="314" spans="1:3" ht="13" x14ac:dyDescent="0.15">
      <c r="A314" s="10"/>
      <c r="B314" s="13"/>
      <c r="C314" s="13"/>
    </row>
    <row r="315" spans="1:3" ht="13" x14ac:dyDescent="0.15">
      <c r="A315" s="10"/>
      <c r="B315" s="13"/>
      <c r="C315" s="13"/>
    </row>
    <row r="316" spans="1:3" ht="13" x14ac:dyDescent="0.15">
      <c r="A316" s="10"/>
      <c r="B316" s="13"/>
      <c r="C316" s="13"/>
    </row>
    <row r="317" spans="1:3" ht="13" x14ac:dyDescent="0.15">
      <c r="A317" s="10"/>
      <c r="B317" s="13"/>
      <c r="C317" s="13"/>
    </row>
    <row r="318" spans="1:3" ht="13" x14ac:dyDescent="0.15">
      <c r="A318" s="10"/>
      <c r="B318" s="13"/>
      <c r="C318" s="13"/>
    </row>
    <row r="319" spans="1:3" ht="13" x14ac:dyDescent="0.15">
      <c r="A319" s="10"/>
      <c r="B319" s="13"/>
      <c r="C319" s="13"/>
    </row>
    <row r="320" spans="1:3" ht="13" x14ac:dyDescent="0.15">
      <c r="A320" s="10"/>
      <c r="B320" s="13"/>
      <c r="C320" s="13"/>
    </row>
    <row r="321" spans="1:3" ht="13" x14ac:dyDescent="0.15">
      <c r="A321" s="10"/>
      <c r="B321" s="13"/>
      <c r="C321" s="13"/>
    </row>
    <row r="322" spans="1:3" ht="13" x14ac:dyDescent="0.15">
      <c r="A322" s="10"/>
      <c r="B322" s="13"/>
      <c r="C322" s="13"/>
    </row>
    <row r="323" spans="1:3" ht="13" x14ac:dyDescent="0.15">
      <c r="A323" s="10"/>
      <c r="B323" s="13"/>
      <c r="C323" s="13"/>
    </row>
    <row r="324" spans="1:3" ht="13" x14ac:dyDescent="0.15">
      <c r="A324" s="10"/>
      <c r="B324" s="13"/>
      <c r="C324" s="13"/>
    </row>
    <row r="325" spans="1:3" ht="13" x14ac:dyDescent="0.15">
      <c r="A325" s="10"/>
      <c r="B325" s="13"/>
      <c r="C325" s="13"/>
    </row>
    <row r="326" spans="1:3" ht="13" x14ac:dyDescent="0.15">
      <c r="A326" s="10"/>
      <c r="B326" s="13"/>
      <c r="C326" s="13"/>
    </row>
    <row r="327" spans="1:3" ht="13" x14ac:dyDescent="0.15">
      <c r="A327" s="10"/>
      <c r="B327" s="13"/>
      <c r="C327" s="13"/>
    </row>
    <row r="328" spans="1:3" ht="13" x14ac:dyDescent="0.15">
      <c r="A328" s="10"/>
      <c r="B328" s="13"/>
      <c r="C328" s="13"/>
    </row>
    <row r="329" spans="1:3" ht="13" x14ac:dyDescent="0.15">
      <c r="A329" s="10"/>
      <c r="B329" s="13"/>
      <c r="C329" s="13"/>
    </row>
    <row r="330" spans="1:3" ht="13" x14ac:dyDescent="0.15">
      <c r="A330" s="10"/>
      <c r="B330" s="13"/>
      <c r="C330" s="13"/>
    </row>
    <row r="331" spans="1:3" ht="13" x14ac:dyDescent="0.15">
      <c r="A331" s="10"/>
      <c r="B331" s="13"/>
      <c r="C331" s="13"/>
    </row>
    <row r="332" spans="1:3" ht="13" x14ac:dyDescent="0.15">
      <c r="A332" s="10"/>
      <c r="B332" s="13"/>
      <c r="C332" s="13"/>
    </row>
    <row r="333" spans="1:3" ht="13" x14ac:dyDescent="0.15">
      <c r="A333" s="10"/>
      <c r="B333" s="13"/>
      <c r="C333" s="13"/>
    </row>
    <row r="334" spans="1:3" ht="13" x14ac:dyDescent="0.15">
      <c r="A334" s="10"/>
      <c r="B334" s="13"/>
      <c r="C334" s="13"/>
    </row>
    <row r="335" spans="1:3" ht="13" x14ac:dyDescent="0.15">
      <c r="A335" s="10"/>
      <c r="B335" s="13"/>
      <c r="C335" s="13"/>
    </row>
    <row r="336" spans="1:3" ht="13" x14ac:dyDescent="0.15">
      <c r="A336" s="10"/>
      <c r="B336" s="13"/>
      <c r="C336" s="13"/>
    </row>
    <row r="337" spans="1:3" ht="13" x14ac:dyDescent="0.15">
      <c r="A337" s="10"/>
      <c r="B337" s="13"/>
      <c r="C337" s="13"/>
    </row>
    <row r="338" spans="1:3" ht="13" x14ac:dyDescent="0.15">
      <c r="A338" s="10"/>
      <c r="B338" s="13"/>
      <c r="C338" s="13"/>
    </row>
    <row r="339" spans="1:3" ht="13" x14ac:dyDescent="0.15">
      <c r="A339" s="10"/>
      <c r="B339" s="13"/>
      <c r="C339" s="13"/>
    </row>
    <row r="340" spans="1:3" ht="13" x14ac:dyDescent="0.15">
      <c r="A340" s="10"/>
      <c r="B340" s="13"/>
      <c r="C340" s="13"/>
    </row>
    <row r="341" spans="1:3" ht="13" x14ac:dyDescent="0.15">
      <c r="A341" s="10"/>
      <c r="B341" s="13"/>
      <c r="C341" s="13"/>
    </row>
    <row r="342" spans="1:3" ht="13" x14ac:dyDescent="0.15">
      <c r="A342" s="10"/>
      <c r="B342" s="13"/>
      <c r="C342" s="13"/>
    </row>
    <row r="343" spans="1:3" ht="13" x14ac:dyDescent="0.15">
      <c r="A343" s="10"/>
      <c r="B343" s="13"/>
      <c r="C343" s="13"/>
    </row>
    <row r="344" spans="1:3" ht="13" x14ac:dyDescent="0.15">
      <c r="A344" s="10"/>
      <c r="B344" s="13"/>
      <c r="C344" s="13"/>
    </row>
    <row r="345" spans="1:3" ht="13" x14ac:dyDescent="0.15">
      <c r="A345" s="10"/>
      <c r="B345" s="13"/>
      <c r="C345" s="13"/>
    </row>
    <row r="346" spans="1:3" ht="13" x14ac:dyDescent="0.15">
      <c r="A346" s="10"/>
      <c r="B346" s="13"/>
      <c r="C346" s="13"/>
    </row>
    <row r="347" spans="1:3" ht="13" x14ac:dyDescent="0.15">
      <c r="A347" s="10"/>
      <c r="B347" s="13"/>
      <c r="C347" s="13"/>
    </row>
    <row r="348" spans="1:3" ht="13" x14ac:dyDescent="0.15">
      <c r="A348" s="10"/>
      <c r="B348" s="13"/>
      <c r="C348" s="13"/>
    </row>
    <row r="349" spans="1:3" ht="13" x14ac:dyDescent="0.15">
      <c r="A349" s="10"/>
      <c r="B349" s="13"/>
      <c r="C349" s="13"/>
    </row>
    <row r="350" spans="1:3" ht="13" x14ac:dyDescent="0.15">
      <c r="A350" s="10"/>
      <c r="B350" s="13"/>
      <c r="C350" s="13"/>
    </row>
    <row r="351" spans="1:3" ht="13" x14ac:dyDescent="0.15">
      <c r="A351" s="10"/>
      <c r="B351" s="13"/>
      <c r="C351" s="13"/>
    </row>
    <row r="352" spans="1:3" ht="13" x14ac:dyDescent="0.15">
      <c r="A352" s="10"/>
      <c r="B352" s="13"/>
      <c r="C352" s="13"/>
    </row>
    <row r="353" spans="1:3" ht="13" x14ac:dyDescent="0.15">
      <c r="A353" s="10"/>
      <c r="B353" s="13"/>
      <c r="C353" s="13"/>
    </row>
    <row r="354" spans="1:3" ht="13" x14ac:dyDescent="0.15">
      <c r="A354" s="10"/>
      <c r="B354" s="13"/>
      <c r="C354" s="13"/>
    </row>
    <row r="355" spans="1:3" ht="13" x14ac:dyDescent="0.15">
      <c r="A355" s="10"/>
      <c r="B355" s="13"/>
      <c r="C355" s="13"/>
    </row>
    <row r="356" spans="1:3" ht="13" x14ac:dyDescent="0.15">
      <c r="A356" s="10"/>
      <c r="B356" s="13"/>
      <c r="C356" s="13"/>
    </row>
    <row r="357" spans="1:3" ht="13" x14ac:dyDescent="0.15">
      <c r="A357" s="10"/>
      <c r="B357" s="13"/>
      <c r="C357" s="13"/>
    </row>
    <row r="358" spans="1:3" ht="13" x14ac:dyDescent="0.15">
      <c r="A358" s="10"/>
      <c r="B358" s="13"/>
      <c r="C358" s="13"/>
    </row>
    <row r="359" spans="1:3" ht="13" x14ac:dyDescent="0.15">
      <c r="A359" s="10"/>
      <c r="B359" s="13"/>
      <c r="C359" s="13"/>
    </row>
    <row r="360" spans="1:3" ht="13" x14ac:dyDescent="0.15">
      <c r="A360" s="10"/>
      <c r="B360" s="13"/>
      <c r="C360" s="13"/>
    </row>
    <row r="361" spans="1:3" ht="13" x14ac:dyDescent="0.15">
      <c r="A361" s="10"/>
      <c r="B361" s="13"/>
      <c r="C361" s="13"/>
    </row>
    <row r="362" spans="1:3" ht="13" x14ac:dyDescent="0.15">
      <c r="A362" s="10"/>
      <c r="B362" s="13"/>
      <c r="C362" s="13"/>
    </row>
    <row r="363" spans="1:3" ht="13" x14ac:dyDescent="0.15">
      <c r="A363" s="10"/>
      <c r="B363" s="13"/>
      <c r="C363" s="13"/>
    </row>
    <row r="364" spans="1:3" ht="13" x14ac:dyDescent="0.15">
      <c r="A364" s="10"/>
      <c r="B364" s="13"/>
      <c r="C364" s="13"/>
    </row>
    <row r="365" spans="1:3" ht="13" x14ac:dyDescent="0.15">
      <c r="A365" s="10"/>
      <c r="B365" s="13"/>
      <c r="C365" s="13"/>
    </row>
    <row r="366" spans="1:3" ht="13" x14ac:dyDescent="0.15">
      <c r="A366" s="10"/>
      <c r="B366" s="13"/>
      <c r="C366" s="13"/>
    </row>
    <row r="367" spans="1:3" ht="13" x14ac:dyDescent="0.15">
      <c r="A367" s="10"/>
      <c r="B367" s="13"/>
      <c r="C367" s="13"/>
    </row>
    <row r="368" spans="1:3" ht="13" x14ac:dyDescent="0.15">
      <c r="A368" s="10"/>
      <c r="B368" s="13"/>
      <c r="C368" s="13"/>
    </row>
    <row r="369" spans="1:3" ht="13" x14ac:dyDescent="0.15">
      <c r="A369" s="10"/>
      <c r="B369" s="13"/>
      <c r="C369" s="13"/>
    </row>
    <row r="370" spans="1:3" ht="13" x14ac:dyDescent="0.15">
      <c r="A370" s="10"/>
      <c r="B370" s="13"/>
      <c r="C370" s="13"/>
    </row>
    <row r="371" spans="1:3" ht="13" x14ac:dyDescent="0.15">
      <c r="A371" s="10"/>
      <c r="B371" s="13"/>
      <c r="C371" s="13"/>
    </row>
    <row r="372" spans="1:3" ht="13" x14ac:dyDescent="0.15">
      <c r="A372" s="10"/>
      <c r="B372" s="13"/>
      <c r="C372" s="13"/>
    </row>
    <row r="373" spans="1:3" ht="13" x14ac:dyDescent="0.15">
      <c r="A373" s="10"/>
      <c r="B373" s="13"/>
      <c r="C373" s="13"/>
    </row>
    <row r="374" spans="1:3" ht="13" x14ac:dyDescent="0.15">
      <c r="A374" s="10"/>
      <c r="B374" s="13"/>
      <c r="C374" s="13"/>
    </row>
    <row r="375" spans="1:3" ht="13" x14ac:dyDescent="0.15">
      <c r="A375" s="10"/>
      <c r="B375" s="13"/>
      <c r="C375" s="13"/>
    </row>
    <row r="376" spans="1:3" ht="13" x14ac:dyDescent="0.15">
      <c r="A376" s="10"/>
      <c r="B376" s="13"/>
      <c r="C376" s="13"/>
    </row>
    <row r="377" spans="1:3" ht="13" x14ac:dyDescent="0.15">
      <c r="A377" s="10"/>
      <c r="B377" s="13"/>
      <c r="C377" s="13"/>
    </row>
    <row r="378" spans="1:3" ht="13" x14ac:dyDescent="0.15">
      <c r="A378" s="10"/>
      <c r="B378" s="13"/>
      <c r="C378" s="13"/>
    </row>
    <row r="379" spans="1:3" ht="13" x14ac:dyDescent="0.15">
      <c r="A379" s="10"/>
      <c r="B379" s="13"/>
      <c r="C379" s="13"/>
    </row>
    <row r="380" spans="1:3" ht="13" x14ac:dyDescent="0.15">
      <c r="A380" s="10"/>
      <c r="B380" s="13"/>
      <c r="C380" s="13"/>
    </row>
    <row r="381" spans="1:3" ht="13" x14ac:dyDescent="0.15">
      <c r="A381" s="10"/>
      <c r="B381" s="13"/>
      <c r="C381" s="13"/>
    </row>
    <row r="382" spans="1:3" ht="13" x14ac:dyDescent="0.15">
      <c r="A382" s="10"/>
      <c r="B382" s="13"/>
      <c r="C382" s="13"/>
    </row>
    <row r="383" spans="1:3" ht="13" x14ac:dyDescent="0.15">
      <c r="A383" s="10"/>
      <c r="B383" s="13"/>
      <c r="C383" s="13"/>
    </row>
    <row r="384" spans="1:3" ht="13" x14ac:dyDescent="0.15">
      <c r="A384" s="10"/>
      <c r="B384" s="13"/>
      <c r="C384" s="13"/>
    </row>
    <row r="385" spans="1:3" ht="13" x14ac:dyDescent="0.15">
      <c r="A385" s="10"/>
      <c r="B385" s="13"/>
      <c r="C385" s="13"/>
    </row>
    <row r="386" spans="1:3" ht="13" x14ac:dyDescent="0.15">
      <c r="A386" s="10"/>
      <c r="B386" s="13"/>
      <c r="C386" s="13"/>
    </row>
    <row r="387" spans="1:3" ht="13" x14ac:dyDescent="0.15">
      <c r="A387" s="10"/>
      <c r="B387" s="13"/>
      <c r="C387" s="13"/>
    </row>
    <row r="388" spans="1:3" ht="13" x14ac:dyDescent="0.15">
      <c r="A388" s="10"/>
      <c r="B388" s="13"/>
      <c r="C388" s="13"/>
    </row>
    <row r="389" spans="1:3" ht="13" x14ac:dyDescent="0.15">
      <c r="A389" s="10"/>
      <c r="B389" s="13"/>
      <c r="C389" s="13"/>
    </row>
    <row r="390" spans="1:3" ht="13" x14ac:dyDescent="0.15">
      <c r="A390" s="10"/>
      <c r="B390" s="13"/>
      <c r="C390" s="13"/>
    </row>
    <row r="391" spans="1:3" ht="13" x14ac:dyDescent="0.15">
      <c r="A391" s="10"/>
      <c r="B391" s="13"/>
      <c r="C391" s="13"/>
    </row>
    <row r="392" spans="1:3" ht="13" x14ac:dyDescent="0.15">
      <c r="A392" s="10"/>
      <c r="B392" s="13"/>
      <c r="C392" s="13"/>
    </row>
    <row r="393" spans="1:3" ht="13" x14ac:dyDescent="0.15">
      <c r="A393" s="10"/>
      <c r="B393" s="13"/>
      <c r="C393" s="13"/>
    </row>
    <row r="394" spans="1:3" ht="13" x14ac:dyDescent="0.15">
      <c r="A394" s="10"/>
      <c r="B394" s="13"/>
      <c r="C394" s="13"/>
    </row>
    <row r="395" spans="1:3" ht="13" x14ac:dyDescent="0.15">
      <c r="A395" s="10"/>
      <c r="B395" s="13"/>
      <c r="C395" s="13"/>
    </row>
    <row r="396" spans="1:3" ht="13" x14ac:dyDescent="0.15">
      <c r="A396" s="10"/>
      <c r="B396" s="13"/>
      <c r="C396" s="13"/>
    </row>
    <row r="397" spans="1:3" ht="13" x14ac:dyDescent="0.15">
      <c r="A397" s="10"/>
      <c r="B397" s="13"/>
      <c r="C397" s="13"/>
    </row>
    <row r="398" spans="1:3" ht="13" x14ac:dyDescent="0.15">
      <c r="A398" s="10"/>
      <c r="B398" s="13"/>
      <c r="C398" s="13"/>
    </row>
    <row r="399" spans="1:3" ht="13" x14ac:dyDescent="0.15">
      <c r="A399" s="10"/>
      <c r="B399" s="13"/>
      <c r="C399" s="13"/>
    </row>
    <row r="400" spans="1:3" ht="13" x14ac:dyDescent="0.15">
      <c r="A400" s="10"/>
      <c r="B400" s="13"/>
      <c r="C400" s="13"/>
    </row>
    <row r="401" spans="1:3" ht="13" x14ac:dyDescent="0.15">
      <c r="A401" s="10"/>
      <c r="B401" s="13"/>
      <c r="C401" s="13"/>
    </row>
    <row r="402" spans="1:3" ht="13" x14ac:dyDescent="0.15">
      <c r="A402" s="10"/>
      <c r="B402" s="13"/>
      <c r="C402" s="13"/>
    </row>
    <row r="403" spans="1:3" ht="13" x14ac:dyDescent="0.15">
      <c r="A403" s="10"/>
      <c r="B403" s="13"/>
      <c r="C403" s="13"/>
    </row>
    <row r="404" spans="1:3" ht="13" x14ac:dyDescent="0.15">
      <c r="A404" s="10"/>
      <c r="B404" s="13"/>
      <c r="C404" s="13"/>
    </row>
    <row r="405" spans="1:3" ht="13" x14ac:dyDescent="0.15">
      <c r="A405" s="10"/>
      <c r="B405" s="13"/>
      <c r="C405" s="13"/>
    </row>
    <row r="406" spans="1:3" ht="13" x14ac:dyDescent="0.15">
      <c r="A406" s="10"/>
      <c r="B406" s="13"/>
      <c r="C406" s="13"/>
    </row>
    <row r="407" spans="1:3" ht="13" x14ac:dyDescent="0.15">
      <c r="A407" s="10"/>
      <c r="B407" s="13"/>
      <c r="C407" s="13"/>
    </row>
    <row r="408" spans="1:3" ht="13" x14ac:dyDescent="0.15">
      <c r="A408" s="10"/>
      <c r="B408" s="13"/>
      <c r="C408" s="13"/>
    </row>
    <row r="409" spans="1:3" ht="13" x14ac:dyDescent="0.15">
      <c r="A409" s="10"/>
      <c r="B409" s="13"/>
      <c r="C409" s="13"/>
    </row>
    <row r="410" spans="1:3" ht="13" x14ac:dyDescent="0.15">
      <c r="A410" s="10"/>
      <c r="B410" s="13"/>
      <c r="C410" s="13"/>
    </row>
    <row r="411" spans="1:3" ht="13" x14ac:dyDescent="0.15">
      <c r="A411" s="10"/>
      <c r="B411" s="13"/>
      <c r="C411" s="13"/>
    </row>
    <row r="412" spans="1:3" ht="13" x14ac:dyDescent="0.15">
      <c r="A412" s="10"/>
      <c r="B412" s="13"/>
      <c r="C412" s="13"/>
    </row>
    <row r="413" spans="1:3" ht="13" x14ac:dyDescent="0.15">
      <c r="A413" s="10"/>
      <c r="B413" s="13"/>
      <c r="C413" s="13"/>
    </row>
    <row r="414" spans="1:3" ht="13" x14ac:dyDescent="0.15">
      <c r="A414" s="10"/>
      <c r="B414" s="13"/>
      <c r="C414" s="13"/>
    </row>
    <row r="415" spans="1:3" ht="13" x14ac:dyDescent="0.15">
      <c r="A415" s="10"/>
      <c r="B415" s="13"/>
      <c r="C415" s="13"/>
    </row>
    <row r="416" spans="1:3" ht="13" x14ac:dyDescent="0.15">
      <c r="A416" s="10"/>
      <c r="B416" s="13"/>
      <c r="C416" s="13"/>
    </row>
    <row r="417" spans="1:3" ht="13" x14ac:dyDescent="0.15">
      <c r="A417" s="10"/>
      <c r="B417" s="13"/>
      <c r="C417" s="13"/>
    </row>
    <row r="418" spans="1:3" ht="13" x14ac:dyDescent="0.15">
      <c r="A418" s="10"/>
      <c r="B418" s="13"/>
      <c r="C418" s="13"/>
    </row>
    <row r="419" spans="1:3" ht="13" x14ac:dyDescent="0.15">
      <c r="A419" s="10"/>
      <c r="B419" s="13"/>
      <c r="C419" s="13"/>
    </row>
    <row r="420" spans="1:3" ht="13" x14ac:dyDescent="0.15">
      <c r="A420" s="10"/>
      <c r="B420" s="13"/>
      <c r="C420" s="13"/>
    </row>
    <row r="421" spans="1:3" ht="13" x14ac:dyDescent="0.15">
      <c r="A421" s="10"/>
      <c r="B421" s="13"/>
      <c r="C421" s="13"/>
    </row>
    <row r="422" spans="1:3" ht="13" x14ac:dyDescent="0.15">
      <c r="A422" s="10"/>
      <c r="B422" s="13"/>
      <c r="C422" s="13"/>
    </row>
    <row r="423" spans="1:3" ht="13" x14ac:dyDescent="0.15">
      <c r="A423" s="10"/>
      <c r="B423" s="13"/>
      <c r="C423" s="13"/>
    </row>
    <row r="424" spans="1:3" ht="13" x14ac:dyDescent="0.15">
      <c r="A424" s="10"/>
      <c r="B424" s="13"/>
      <c r="C424" s="13"/>
    </row>
    <row r="425" spans="1:3" ht="13" x14ac:dyDescent="0.15">
      <c r="A425" s="10"/>
      <c r="B425" s="13"/>
      <c r="C425" s="13"/>
    </row>
    <row r="426" spans="1:3" ht="13" x14ac:dyDescent="0.15">
      <c r="A426" s="10"/>
      <c r="B426" s="13"/>
      <c r="C426" s="13"/>
    </row>
    <row r="427" spans="1:3" ht="13" x14ac:dyDescent="0.15">
      <c r="A427" s="10"/>
      <c r="B427" s="13"/>
      <c r="C427" s="13"/>
    </row>
    <row r="428" spans="1:3" ht="13" x14ac:dyDescent="0.15">
      <c r="A428" s="10"/>
      <c r="B428" s="13"/>
      <c r="C428" s="13"/>
    </row>
    <row r="429" spans="1:3" ht="13" x14ac:dyDescent="0.15">
      <c r="A429" s="10"/>
      <c r="B429" s="13"/>
      <c r="C429" s="13"/>
    </row>
    <row r="430" spans="1:3" ht="13" x14ac:dyDescent="0.15">
      <c r="A430" s="10"/>
      <c r="B430" s="13"/>
      <c r="C430" s="13"/>
    </row>
    <row r="431" spans="1:3" ht="13" x14ac:dyDescent="0.15">
      <c r="A431" s="10"/>
      <c r="B431" s="13"/>
      <c r="C431" s="13"/>
    </row>
    <row r="432" spans="1:3" ht="13" x14ac:dyDescent="0.15">
      <c r="A432" s="10"/>
      <c r="B432" s="13"/>
      <c r="C432" s="13"/>
    </row>
    <row r="433" spans="1:3" ht="13" x14ac:dyDescent="0.15">
      <c r="A433" s="10"/>
      <c r="B433" s="13"/>
      <c r="C433" s="13"/>
    </row>
    <row r="434" spans="1:3" ht="13" x14ac:dyDescent="0.15">
      <c r="A434" s="10"/>
      <c r="B434" s="13"/>
      <c r="C434" s="13"/>
    </row>
    <row r="435" spans="1:3" ht="13" x14ac:dyDescent="0.15">
      <c r="A435" s="10"/>
      <c r="B435" s="13"/>
      <c r="C435" s="13"/>
    </row>
    <row r="436" spans="1:3" ht="13" x14ac:dyDescent="0.15">
      <c r="A436" s="10"/>
      <c r="B436" s="13"/>
      <c r="C436" s="13"/>
    </row>
    <row r="437" spans="1:3" ht="13" x14ac:dyDescent="0.15">
      <c r="A437" s="10"/>
      <c r="B437" s="13"/>
      <c r="C437" s="13"/>
    </row>
    <row r="438" spans="1:3" ht="13" x14ac:dyDescent="0.15">
      <c r="A438" s="10"/>
      <c r="B438" s="13"/>
      <c r="C438" s="13"/>
    </row>
    <row r="439" spans="1:3" ht="13" x14ac:dyDescent="0.15">
      <c r="A439" s="10"/>
      <c r="B439" s="13"/>
      <c r="C439" s="13"/>
    </row>
    <row r="440" spans="1:3" ht="13" x14ac:dyDescent="0.15">
      <c r="A440" s="10"/>
      <c r="B440" s="13"/>
      <c r="C440" s="13"/>
    </row>
    <row r="441" spans="1:3" ht="13" x14ac:dyDescent="0.15">
      <c r="A441" s="10"/>
      <c r="B441" s="13"/>
      <c r="C441" s="13"/>
    </row>
    <row r="442" spans="1:3" ht="13" x14ac:dyDescent="0.15">
      <c r="A442" s="10"/>
      <c r="B442" s="13"/>
      <c r="C442" s="13"/>
    </row>
    <row r="443" spans="1:3" ht="13" x14ac:dyDescent="0.15">
      <c r="A443" s="10"/>
      <c r="B443" s="13"/>
      <c r="C443" s="13"/>
    </row>
    <row r="444" spans="1:3" ht="13" x14ac:dyDescent="0.15">
      <c r="A444" s="10"/>
      <c r="B444" s="13"/>
      <c r="C444" s="13"/>
    </row>
    <row r="445" spans="1:3" ht="13" x14ac:dyDescent="0.15">
      <c r="A445" s="10"/>
      <c r="B445" s="13"/>
      <c r="C445" s="13"/>
    </row>
    <row r="446" spans="1:3" ht="13" x14ac:dyDescent="0.15">
      <c r="A446" s="10"/>
      <c r="B446" s="13"/>
      <c r="C446" s="13"/>
    </row>
    <row r="447" spans="1:3" ht="13" x14ac:dyDescent="0.15">
      <c r="A447" s="10"/>
      <c r="B447" s="13"/>
      <c r="C447" s="13"/>
    </row>
    <row r="448" spans="1:3" ht="13" x14ac:dyDescent="0.15">
      <c r="A448" s="10"/>
      <c r="B448" s="13"/>
      <c r="C448" s="13"/>
    </row>
    <row r="449" spans="1:3" ht="13" x14ac:dyDescent="0.15">
      <c r="A449" s="10"/>
      <c r="B449" s="13"/>
      <c r="C449" s="13"/>
    </row>
    <row r="450" spans="1:3" ht="13" x14ac:dyDescent="0.15">
      <c r="A450" s="10"/>
      <c r="B450" s="13"/>
      <c r="C450" s="13"/>
    </row>
    <row r="451" spans="1:3" ht="13" x14ac:dyDescent="0.15">
      <c r="A451" s="10"/>
      <c r="B451" s="13"/>
      <c r="C451" s="13"/>
    </row>
    <row r="452" spans="1:3" ht="13" x14ac:dyDescent="0.15">
      <c r="A452" s="10"/>
      <c r="B452" s="13"/>
      <c r="C452" s="13"/>
    </row>
    <row r="453" spans="1:3" ht="13" x14ac:dyDescent="0.15">
      <c r="A453" s="10"/>
      <c r="B453" s="13"/>
      <c r="C453" s="13"/>
    </row>
    <row r="454" spans="1:3" ht="13" x14ac:dyDescent="0.15">
      <c r="A454" s="10"/>
      <c r="B454" s="13"/>
      <c r="C454" s="13"/>
    </row>
    <row r="455" spans="1:3" ht="13" x14ac:dyDescent="0.15">
      <c r="A455" s="10"/>
      <c r="B455" s="13"/>
      <c r="C455" s="13"/>
    </row>
    <row r="456" spans="1:3" ht="13" x14ac:dyDescent="0.15">
      <c r="A456" s="10"/>
      <c r="B456" s="13"/>
      <c r="C456" s="13"/>
    </row>
    <row r="457" spans="1:3" ht="13" x14ac:dyDescent="0.15">
      <c r="A457" s="10"/>
      <c r="B457" s="13"/>
      <c r="C457" s="13"/>
    </row>
    <row r="458" spans="1:3" ht="13" x14ac:dyDescent="0.15">
      <c r="A458" s="10"/>
      <c r="B458" s="13"/>
      <c r="C458" s="13"/>
    </row>
    <row r="459" spans="1:3" ht="13" x14ac:dyDescent="0.15">
      <c r="A459" s="10"/>
      <c r="B459" s="13"/>
      <c r="C459" s="13"/>
    </row>
    <row r="460" spans="1:3" ht="13" x14ac:dyDescent="0.15">
      <c r="A460" s="10"/>
      <c r="B460" s="13"/>
      <c r="C460" s="13"/>
    </row>
    <row r="461" spans="1:3" ht="13" x14ac:dyDescent="0.15">
      <c r="A461" s="10"/>
      <c r="B461" s="13"/>
      <c r="C461" s="13"/>
    </row>
    <row r="462" spans="1:3" ht="13" x14ac:dyDescent="0.15">
      <c r="A462" s="10"/>
      <c r="B462" s="13"/>
      <c r="C462" s="13"/>
    </row>
    <row r="463" spans="1:3" ht="13" x14ac:dyDescent="0.15">
      <c r="A463" s="10"/>
      <c r="B463" s="13"/>
      <c r="C463" s="13"/>
    </row>
    <row r="464" spans="1:3" ht="13" x14ac:dyDescent="0.15">
      <c r="A464" s="10"/>
      <c r="B464" s="13"/>
      <c r="C464" s="13"/>
    </row>
    <row r="465" spans="1:3" ht="13" x14ac:dyDescent="0.15">
      <c r="A465" s="10"/>
      <c r="B465" s="13"/>
      <c r="C465" s="13"/>
    </row>
    <row r="466" spans="1:3" ht="13" x14ac:dyDescent="0.15">
      <c r="A466" s="10"/>
      <c r="B466" s="13"/>
      <c r="C466" s="13"/>
    </row>
    <row r="467" spans="1:3" ht="13" x14ac:dyDescent="0.15">
      <c r="A467" s="10"/>
      <c r="B467" s="13"/>
      <c r="C467" s="13"/>
    </row>
    <row r="468" spans="1:3" ht="13" x14ac:dyDescent="0.15">
      <c r="A468" s="10"/>
      <c r="B468" s="13"/>
      <c r="C468" s="13"/>
    </row>
    <row r="469" spans="1:3" ht="13" x14ac:dyDescent="0.15">
      <c r="A469" s="10"/>
      <c r="B469" s="13"/>
      <c r="C469" s="13"/>
    </row>
    <row r="470" spans="1:3" ht="13" x14ac:dyDescent="0.15">
      <c r="A470" s="10"/>
      <c r="B470" s="13"/>
      <c r="C470" s="13"/>
    </row>
    <row r="471" spans="1:3" ht="13" x14ac:dyDescent="0.15">
      <c r="A471" s="10"/>
      <c r="B471" s="13"/>
      <c r="C471" s="13"/>
    </row>
    <row r="472" spans="1:3" ht="13" x14ac:dyDescent="0.15">
      <c r="A472" s="10"/>
      <c r="B472" s="13"/>
      <c r="C472" s="13"/>
    </row>
    <row r="473" spans="1:3" ht="13" x14ac:dyDescent="0.15">
      <c r="A473" s="10"/>
      <c r="B473" s="13"/>
      <c r="C473" s="13"/>
    </row>
    <row r="474" spans="1:3" ht="13" x14ac:dyDescent="0.15">
      <c r="A474" s="10"/>
      <c r="B474" s="13"/>
      <c r="C474" s="13"/>
    </row>
    <row r="475" spans="1:3" ht="13" x14ac:dyDescent="0.15">
      <c r="A475" s="10"/>
      <c r="B475" s="13"/>
      <c r="C475" s="13"/>
    </row>
    <row r="476" spans="1:3" ht="13" x14ac:dyDescent="0.15">
      <c r="A476" s="10"/>
      <c r="B476" s="13"/>
      <c r="C476" s="13"/>
    </row>
    <row r="477" spans="1:3" ht="13" x14ac:dyDescent="0.15">
      <c r="A477" s="10"/>
      <c r="B477" s="13"/>
      <c r="C477" s="13"/>
    </row>
    <row r="478" spans="1:3" ht="13" x14ac:dyDescent="0.15">
      <c r="A478" s="10"/>
      <c r="B478" s="13"/>
      <c r="C478" s="13"/>
    </row>
    <row r="479" spans="1:3" ht="13" x14ac:dyDescent="0.15">
      <c r="A479" s="10"/>
      <c r="B479" s="13"/>
      <c r="C479" s="13"/>
    </row>
    <row r="480" spans="1:3" ht="13" x14ac:dyDescent="0.15">
      <c r="A480" s="10"/>
      <c r="B480" s="13"/>
      <c r="C480" s="13"/>
    </row>
    <row r="481" spans="1:3" ht="13" x14ac:dyDescent="0.15">
      <c r="A481" s="10"/>
      <c r="B481" s="13"/>
      <c r="C481" s="13"/>
    </row>
    <row r="482" spans="1:3" ht="13" x14ac:dyDescent="0.15">
      <c r="A482" s="10"/>
      <c r="B482" s="13"/>
      <c r="C482" s="13"/>
    </row>
    <row r="483" spans="1:3" ht="13" x14ac:dyDescent="0.15">
      <c r="A483" s="10"/>
      <c r="B483" s="13"/>
      <c r="C483" s="13"/>
    </row>
    <row r="484" spans="1:3" ht="13" x14ac:dyDescent="0.15">
      <c r="A484" s="10"/>
      <c r="B484" s="13"/>
      <c r="C484" s="13"/>
    </row>
    <row r="485" spans="1:3" ht="13" x14ac:dyDescent="0.15">
      <c r="A485" s="10"/>
      <c r="B485" s="13"/>
      <c r="C485" s="13"/>
    </row>
    <row r="486" spans="1:3" ht="13" x14ac:dyDescent="0.15">
      <c r="A486" s="10"/>
      <c r="B486" s="13"/>
      <c r="C486" s="13"/>
    </row>
    <row r="487" spans="1:3" ht="13" x14ac:dyDescent="0.15">
      <c r="A487" s="10"/>
      <c r="B487" s="13"/>
      <c r="C487" s="13"/>
    </row>
    <row r="488" spans="1:3" ht="13" x14ac:dyDescent="0.15">
      <c r="A488" s="10"/>
      <c r="B488" s="13"/>
      <c r="C488" s="13"/>
    </row>
    <row r="489" spans="1:3" ht="13" x14ac:dyDescent="0.15">
      <c r="A489" s="10"/>
      <c r="B489" s="13"/>
      <c r="C489" s="13"/>
    </row>
    <row r="490" spans="1:3" ht="13" x14ac:dyDescent="0.15">
      <c r="A490" s="10"/>
      <c r="B490" s="13"/>
      <c r="C490" s="13"/>
    </row>
    <row r="491" spans="1:3" ht="13" x14ac:dyDescent="0.15">
      <c r="A491" s="10"/>
      <c r="B491" s="13"/>
      <c r="C491" s="13"/>
    </row>
    <row r="492" spans="1:3" ht="13" x14ac:dyDescent="0.15">
      <c r="A492" s="10"/>
      <c r="B492" s="13"/>
      <c r="C492" s="13"/>
    </row>
    <row r="493" spans="1:3" ht="13" x14ac:dyDescent="0.15">
      <c r="A493" s="10"/>
      <c r="B493" s="13"/>
      <c r="C493" s="13"/>
    </row>
    <row r="494" spans="1:3" ht="13" x14ac:dyDescent="0.15">
      <c r="A494" s="10"/>
      <c r="B494" s="13"/>
      <c r="C494" s="13"/>
    </row>
    <row r="495" spans="1:3" ht="13" x14ac:dyDescent="0.15">
      <c r="A495" s="10"/>
      <c r="B495" s="13"/>
      <c r="C495" s="13"/>
    </row>
    <row r="496" spans="1:3" ht="13" x14ac:dyDescent="0.15">
      <c r="A496" s="10"/>
      <c r="B496" s="13"/>
      <c r="C496" s="13"/>
    </row>
    <row r="497" spans="1:3" ht="13" x14ac:dyDescent="0.15">
      <c r="A497" s="10"/>
      <c r="B497" s="13"/>
      <c r="C497" s="13"/>
    </row>
    <row r="498" spans="1:3" ht="13" x14ac:dyDescent="0.15">
      <c r="A498" s="10"/>
      <c r="B498" s="13"/>
      <c r="C498" s="13"/>
    </row>
    <row r="499" spans="1:3" ht="13" x14ac:dyDescent="0.15">
      <c r="A499" s="10"/>
      <c r="B499" s="13"/>
      <c r="C499" s="13"/>
    </row>
    <row r="500" spans="1:3" ht="13" x14ac:dyDescent="0.15">
      <c r="A500" s="10"/>
      <c r="B500" s="13"/>
      <c r="C500" s="13"/>
    </row>
    <row r="501" spans="1:3" ht="13" x14ac:dyDescent="0.15">
      <c r="A501" s="10"/>
      <c r="B501" s="13"/>
      <c r="C501" s="13"/>
    </row>
    <row r="502" spans="1:3" ht="13" x14ac:dyDescent="0.15">
      <c r="A502" s="10"/>
      <c r="B502" s="13"/>
      <c r="C502" s="13"/>
    </row>
    <row r="503" spans="1:3" ht="13" x14ac:dyDescent="0.15">
      <c r="A503" s="10"/>
      <c r="B503" s="13"/>
      <c r="C503" s="13"/>
    </row>
    <row r="504" spans="1:3" ht="13" x14ac:dyDescent="0.15">
      <c r="A504" s="10"/>
      <c r="B504" s="13"/>
      <c r="C504" s="13"/>
    </row>
    <row r="505" spans="1:3" ht="13" x14ac:dyDescent="0.15">
      <c r="A505" s="10"/>
      <c r="B505" s="13"/>
      <c r="C505" s="13"/>
    </row>
    <row r="506" spans="1:3" ht="13" x14ac:dyDescent="0.15">
      <c r="A506" s="10"/>
      <c r="B506" s="13"/>
      <c r="C506" s="13"/>
    </row>
    <row r="507" spans="1:3" ht="13" x14ac:dyDescent="0.15">
      <c r="A507" s="10"/>
      <c r="B507" s="13"/>
      <c r="C507" s="13"/>
    </row>
    <row r="508" spans="1:3" ht="13" x14ac:dyDescent="0.15">
      <c r="A508" s="10"/>
      <c r="B508" s="13"/>
      <c r="C508" s="13"/>
    </row>
    <row r="509" spans="1:3" ht="13" x14ac:dyDescent="0.15">
      <c r="A509" s="10"/>
      <c r="B509" s="13"/>
      <c r="C509" s="13"/>
    </row>
    <row r="510" spans="1:3" ht="13" x14ac:dyDescent="0.15">
      <c r="A510" s="10"/>
      <c r="B510" s="13"/>
      <c r="C510" s="13"/>
    </row>
    <row r="511" spans="1:3" ht="13" x14ac:dyDescent="0.15">
      <c r="A511" s="10"/>
      <c r="B511" s="13"/>
      <c r="C511" s="13"/>
    </row>
    <row r="512" spans="1:3" ht="13" x14ac:dyDescent="0.15">
      <c r="A512" s="10"/>
      <c r="B512" s="13"/>
      <c r="C512" s="13"/>
    </row>
    <row r="513" spans="1:3" ht="13" x14ac:dyDescent="0.15">
      <c r="A513" s="10"/>
      <c r="B513" s="13"/>
      <c r="C513" s="13"/>
    </row>
    <row r="514" spans="1:3" ht="13" x14ac:dyDescent="0.15">
      <c r="A514" s="10"/>
      <c r="B514" s="13"/>
      <c r="C514" s="13"/>
    </row>
    <row r="515" spans="1:3" ht="13" x14ac:dyDescent="0.15">
      <c r="A515" s="10"/>
      <c r="B515" s="13"/>
      <c r="C515" s="13"/>
    </row>
    <row r="516" spans="1:3" ht="13" x14ac:dyDescent="0.15">
      <c r="A516" s="10"/>
      <c r="B516" s="13"/>
      <c r="C516" s="13"/>
    </row>
    <row r="517" spans="1:3" ht="13" x14ac:dyDescent="0.15">
      <c r="A517" s="10"/>
      <c r="B517" s="13"/>
      <c r="C517" s="13"/>
    </row>
    <row r="518" spans="1:3" ht="13" x14ac:dyDescent="0.15">
      <c r="A518" s="10"/>
      <c r="B518" s="13"/>
      <c r="C518" s="13"/>
    </row>
    <row r="519" spans="1:3" ht="13" x14ac:dyDescent="0.15">
      <c r="A519" s="10"/>
      <c r="B519" s="13"/>
      <c r="C519" s="13"/>
    </row>
    <row r="520" spans="1:3" ht="13" x14ac:dyDescent="0.15">
      <c r="A520" s="10"/>
      <c r="B520" s="13"/>
      <c r="C520" s="13"/>
    </row>
    <row r="521" spans="1:3" ht="13" x14ac:dyDescent="0.15">
      <c r="A521" s="10"/>
      <c r="B521" s="13"/>
      <c r="C521" s="13"/>
    </row>
    <row r="522" spans="1:3" ht="13" x14ac:dyDescent="0.15">
      <c r="A522" s="10"/>
      <c r="B522" s="13"/>
      <c r="C522" s="13"/>
    </row>
    <row r="523" spans="1:3" ht="13" x14ac:dyDescent="0.15">
      <c r="A523" s="10"/>
      <c r="B523" s="13"/>
      <c r="C523" s="13"/>
    </row>
    <row r="524" spans="1:3" ht="13" x14ac:dyDescent="0.15">
      <c r="A524" s="10"/>
      <c r="B524" s="13"/>
      <c r="C524" s="13"/>
    </row>
    <row r="525" spans="1:3" ht="13" x14ac:dyDescent="0.15">
      <c r="A525" s="10"/>
      <c r="B525" s="13"/>
      <c r="C525" s="13"/>
    </row>
    <row r="526" spans="1:3" ht="13" x14ac:dyDescent="0.15">
      <c r="A526" s="10"/>
      <c r="B526" s="13"/>
      <c r="C526" s="13"/>
    </row>
    <row r="527" spans="1:3" ht="13" x14ac:dyDescent="0.15">
      <c r="A527" s="10"/>
      <c r="B527" s="13"/>
      <c r="C527" s="13"/>
    </row>
    <row r="528" spans="1:3" ht="13" x14ac:dyDescent="0.15">
      <c r="A528" s="10"/>
      <c r="B528" s="13"/>
      <c r="C528" s="13"/>
    </row>
    <row r="529" spans="1:3" ht="13" x14ac:dyDescent="0.15">
      <c r="A529" s="10"/>
      <c r="B529" s="13"/>
      <c r="C529" s="13"/>
    </row>
    <row r="530" spans="1:3" ht="13" x14ac:dyDescent="0.15">
      <c r="A530" s="10"/>
      <c r="B530" s="13"/>
      <c r="C530" s="13"/>
    </row>
    <row r="531" spans="1:3" ht="13" x14ac:dyDescent="0.15">
      <c r="A531" s="10"/>
      <c r="B531" s="13"/>
      <c r="C531" s="13"/>
    </row>
    <row r="532" spans="1:3" ht="13" x14ac:dyDescent="0.15">
      <c r="A532" s="10"/>
      <c r="B532" s="13"/>
      <c r="C532" s="13"/>
    </row>
    <row r="533" spans="1:3" ht="13" x14ac:dyDescent="0.15">
      <c r="A533" s="10"/>
      <c r="B533" s="13"/>
      <c r="C533" s="13"/>
    </row>
    <row r="534" spans="1:3" ht="13" x14ac:dyDescent="0.15">
      <c r="A534" s="10"/>
      <c r="B534" s="13"/>
      <c r="C534" s="13"/>
    </row>
    <row r="535" spans="1:3" ht="13" x14ac:dyDescent="0.15">
      <c r="A535" s="10"/>
      <c r="B535" s="13"/>
      <c r="C535" s="13"/>
    </row>
    <row r="536" spans="1:3" ht="13" x14ac:dyDescent="0.15">
      <c r="A536" s="10"/>
      <c r="B536" s="13"/>
      <c r="C536" s="13"/>
    </row>
    <row r="537" spans="1:3" ht="13" x14ac:dyDescent="0.15">
      <c r="A537" s="10"/>
      <c r="B537" s="13"/>
      <c r="C537" s="13"/>
    </row>
    <row r="538" spans="1:3" ht="13" x14ac:dyDescent="0.15">
      <c r="A538" s="10"/>
      <c r="B538" s="13"/>
      <c r="C538" s="13"/>
    </row>
    <row r="539" spans="1:3" ht="13" x14ac:dyDescent="0.15">
      <c r="A539" s="10"/>
      <c r="B539" s="13"/>
      <c r="C539" s="13"/>
    </row>
    <row r="540" spans="1:3" ht="13" x14ac:dyDescent="0.15">
      <c r="A540" s="10"/>
      <c r="B540" s="13"/>
      <c r="C540" s="13"/>
    </row>
    <row r="541" spans="1:3" ht="13" x14ac:dyDescent="0.15">
      <c r="A541" s="10"/>
      <c r="B541" s="13"/>
      <c r="C541" s="13"/>
    </row>
    <row r="542" spans="1:3" ht="13" x14ac:dyDescent="0.15">
      <c r="A542" s="10"/>
      <c r="B542" s="13"/>
      <c r="C542" s="13"/>
    </row>
    <row r="543" spans="1:3" ht="13" x14ac:dyDescent="0.15">
      <c r="A543" s="10"/>
      <c r="B543" s="13"/>
      <c r="C543" s="13"/>
    </row>
    <row r="544" spans="1:3" ht="13" x14ac:dyDescent="0.15">
      <c r="A544" s="10"/>
      <c r="B544" s="13"/>
      <c r="C544" s="13"/>
    </row>
    <row r="545" spans="1:3" ht="13" x14ac:dyDescent="0.15">
      <c r="A545" s="10"/>
      <c r="B545" s="13"/>
      <c r="C545" s="13"/>
    </row>
    <row r="546" spans="1:3" ht="13" x14ac:dyDescent="0.15">
      <c r="A546" s="10"/>
      <c r="B546" s="13"/>
      <c r="C546" s="13"/>
    </row>
    <row r="547" spans="1:3" ht="13" x14ac:dyDescent="0.15">
      <c r="A547" s="10"/>
      <c r="B547" s="13"/>
      <c r="C547" s="13"/>
    </row>
    <row r="548" spans="1:3" ht="13" x14ac:dyDescent="0.15">
      <c r="A548" s="10"/>
      <c r="B548" s="13"/>
      <c r="C548" s="13"/>
    </row>
    <row r="549" spans="1:3" ht="13" x14ac:dyDescent="0.15">
      <c r="A549" s="10"/>
      <c r="B549" s="13"/>
      <c r="C549" s="13"/>
    </row>
    <row r="550" spans="1:3" ht="13" x14ac:dyDescent="0.15">
      <c r="A550" s="10"/>
      <c r="B550" s="13"/>
      <c r="C550" s="13"/>
    </row>
    <row r="551" spans="1:3" ht="13" x14ac:dyDescent="0.15">
      <c r="A551" s="10"/>
      <c r="B551" s="13"/>
      <c r="C551" s="13"/>
    </row>
    <row r="552" spans="1:3" ht="13" x14ac:dyDescent="0.15">
      <c r="A552" s="10"/>
      <c r="B552" s="13"/>
      <c r="C552" s="13"/>
    </row>
    <row r="553" spans="1:3" ht="13" x14ac:dyDescent="0.15">
      <c r="A553" s="10"/>
      <c r="B553" s="13"/>
      <c r="C553" s="13"/>
    </row>
    <row r="554" spans="1:3" ht="13" x14ac:dyDescent="0.15">
      <c r="A554" s="10"/>
      <c r="B554" s="13"/>
      <c r="C554" s="13"/>
    </row>
    <row r="555" spans="1:3" ht="13" x14ac:dyDescent="0.15">
      <c r="A555" s="10"/>
      <c r="B555" s="13"/>
      <c r="C555" s="13"/>
    </row>
    <row r="556" spans="1:3" ht="13" x14ac:dyDescent="0.15">
      <c r="A556" s="10"/>
      <c r="B556" s="13"/>
      <c r="C556" s="13"/>
    </row>
    <row r="557" spans="1:3" ht="13" x14ac:dyDescent="0.15">
      <c r="A557" s="10"/>
      <c r="B557" s="13"/>
      <c r="C557" s="13"/>
    </row>
    <row r="558" spans="1:3" ht="13" x14ac:dyDescent="0.15">
      <c r="A558" s="10"/>
      <c r="B558" s="13"/>
      <c r="C558" s="13"/>
    </row>
    <row r="559" spans="1:3" ht="13" x14ac:dyDescent="0.15">
      <c r="A559" s="10"/>
      <c r="B559" s="13"/>
      <c r="C559" s="13"/>
    </row>
    <row r="560" spans="1:3" ht="13" x14ac:dyDescent="0.15">
      <c r="A560" s="10"/>
      <c r="B560" s="13"/>
      <c r="C560" s="13"/>
    </row>
    <row r="561" spans="1:3" ht="13" x14ac:dyDescent="0.15">
      <c r="A561" s="10"/>
      <c r="B561" s="13"/>
      <c r="C561" s="13"/>
    </row>
    <row r="562" spans="1:3" ht="13" x14ac:dyDescent="0.15">
      <c r="A562" s="10"/>
      <c r="B562" s="13"/>
      <c r="C562" s="13"/>
    </row>
    <row r="563" spans="1:3" ht="13" x14ac:dyDescent="0.15">
      <c r="A563" s="10"/>
      <c r="B563" s="13"/>
      <c r="C563" s="13"/>
    </row>
    <row r="564" spans="1:3" ht="13" x14ac:dyDescent="0.15">
      <c r="A564" s="10"/>
      <c r="B564" s="13"/>
      <c r="C564" s="13"/>
    </row>
    <row r="565" spans="1:3" ht="13" x14ac:dyDescent="0.15">
      <c r="A565" s="10"/>
      <c r="B565" s="13"/>
      <c r="C565" s="13"/>
    </row>
    <row r="566" spans="1:3" ht="13" x14ac:dyDescent="0.15">
      <c r="A566" s="10"/>
      <c r="B566" s="13"/>
      <c r="C566" s="13"/>
    </row>
    <row r="567" spans="1:3" ht="13" x14ac:dyDescent="0.15">
      <c r="A567" s="10"/>
      <c r="B567" s="13"/>
      <c r="C567" s="13"/>
    </row>
    <row r="568" spans="1:3" ht="13" x14ac:dyDescent="0.15">
      <c r="A568" s="10"/>
      <c r="B568" s="13"/>
      <c r="C568" s="13"/>
    </row>
    <row r="569" spans="1:3" ht="13" x14ac:dyDescent="0.15">
      <c r="A569" s="10"/>
      <c r="B569" s="13"/>
      <c r="C569" s="13"/>
    </row>
    <row r="570" spans="1:3" ht="13" x14ac:dyDescent="0.15">
      <c r="A570" s="10"/>
      <c r="B570" s="13"/>
      <c r="C570" s="13"/>
    </row>
    <row r="571" spans="1:3" ht="13" x14ac:dyDescent="0.15">
      <c r="A571" s="10"/>
      <c r="B571" s="13"/>
      <c r="C571" s="13"/>
    </row>
    <row r="572" spans="1:3" ht="13" x14ac:dyDescent="0.15">
      <c r="A572" s="10"/>
      <c r="B572" s="13"/>
      <c r="C572" s="13"/>
    </row>
    <row r="573" spans="1:3" ht="13" x14ac:dyDescent="0.15">
      <c r="A573" s="10"/>
      <c r="B573" s="13"/>
      <c r="C573" s="13"/>
    </row>
    <row r="574" spans="1:3" ht="13" x14ac:dyDescent="0.15">
      <c r="A574" s="10"/>
      <c r="B574" s="13"/>
      <c r="C574" s="13"/>
    </row>
    <row r="575" spans="1:3" ht="13" x14ac:dyDescent="0.15">
      <c r="A575" s="10"/>
      <c r="B575" s="13"/>
      <c r="C575" s="13"/>
    </row>
    <row r="576" spans="1:3" ht="13" x14ac:dyDescent="0.15">
      <c r="A576" s="10"/>
      <c r="B576" s="13"/>
      <c r="C576" s="13"/>
    </row>
    <row r="577" spans="1:3" ht="13" x14ac:dyDescent="0.15">
      <c r="A577" s="10"/>
      <c r="B577" s="13"/>
      <c r="C577" s="13"/>
    </row>
    <row r="578" spans="1:3" ht="13" x14ac:dyDescent="0.15">
      <c r="A578" s="10"/>
      <c r="B578" s="13"/>
      <c r="C578" s="13"/>
    </row>
    <row r="579" spans="1:3" ht="13" x14ac:dyDescent="0.15">
      <c r="A579" s="10"/>
      <c r="B579" s="13"/>
      <c r="C579" s="13"/>
    </row>
    <row r="580" spans="1:3" ht="13" x14ac:dyDescent="0.15">
      <c r="A580" s="10"/>
      <c r="B580" s="13"/>
      <c r="C580" s="13"/>
    </row>
    <row r="581" spans="1:3" ht="13" x14ac:dyDescent="0.15">
      <c r="A581" s="10"/>
      <c r="B581" s="13"/>
      <c r="C581" s="13"/>
    </row>
    <row r="582" spans="1:3" ht="13" x14ac:dyDescent="0.15">
      <c r="A582" s="10"/>
      <c r="B582" s="13"/>
      <c r="C582" s="13"/>
    </row>
    <row r="583" spans="1:3" ht="13" x14ac:dyDescent="0.15">
      <c r="A583" s="10"/>
      <c r="B583" s="13"/>
      <c r="C583" s="13"/>
    </row>
    <row r="584" spans="1:3" ht="13" x14ac:dyDescent="0.15">
      <c r="A584" s="10"/>
      <c r="B584" s="13"/>
      <c r="C584" s="13"/>
    </row>
    <row r="585" spans="1:3" ht="13" x14ac:dyDescent="0.15">
      <c r="A585" s="10"/>
      <c r="B585" s="13"/>
      <c r="C585" s="13"/>
    </row>
    <row r="586" spans="1:3" ht="13" x14ac:dyDescent="0.15">
      <c r="A586" s="10"/>
      <c r="B586" s="13"/>
      <c r="C586" s="13"/>
    </row>
    <row r="587" spans="1:3" ht="13" x14ac:dyDescent="0.15">
      <c r="A587" s="10"/>
      <c r="B587" s="13"/>
      <c r="C587" s="13"/>
    </row>
    <row r="588" spans="1:3" ht="13" x14ac:dyDescent="0.15">
      <c r="A588" s="10"/>
      <c r="B588" s="13"/>
      <c r="C588" s="13"/>
    </row>
    <row r="589" spans="1:3" ht="13" x14ac:dyDescent="0.15">
      <c r="A589" s="10"/>
      <c r="B589" s="13"/>
      <c r="C589" s="13"/>
    </row>
    <row r="590" spans="1:3" ht="13" x14ac:dyDescent="0.15">
      <c r="A590" s="10"/>
      <c r="B590" s="13"/>
      <c r="C590" s="13"/>
    </row>
    <row r="591" spans="1:3" ht="13" x14ac:dyDescent="0.15">
      <c r="A591" s="10"/>
      <c r="B591" s="13"/>
      <c r="C591" s="13"/>
    </row>
    <row r="592" spans="1:3" ht="13" x14ac:dyDescent="0.15">
      <c r="A592" s="10"/>
      <c r="B592" s="13"/>
      <c r="C592" s="13"/>
    </row>
    <row r="593" spans="1:3" ht="13" x14ac:dyDescent="0.15">
      <c r="A593" s="10"/>
      <c r="B593" s="13"/>
      <c r="C593" s="13"/>
    </row>
    <row r="594" spans="1:3" ht="13" x14ac:dyDescent="0.15">
      <c r="A594" s="10"/>
      <c r="B594" s="13"/>
      <c r="C594" s="13"/>
    </row>
    <row r="595" spans="1:3" ht="13" x14ac:dyDescent="0.15">
      <c r="A595" s="10"/>
      <c r="B595" s="13"/>
      <c r="C595" s="13"/>
    </row>
    <row r="596" spans="1:3" ht="13" x14ac:dyDescent="0.15">
      <c r="A596" s="10"/>
      <c r="B596" s="13"/>
      <c r="C596" s="13"/>
    </row>
    <row r="597" spans="1:3" ht="13" x14ac:dyDescent="0.15">
      <c r="A597" s="10"/>
      <c r="B597" s="13"/>
      <c r="C597" s="13"/>
    </row>
    <row r="598" spans="1:3" ht="13" x14ac:dyDescent="0.15">
      <c r="A598" s="10"/>
      <c r="B598" s="13"/>
      <c r="C598" s="13"/>
    </row>
    <row r="599" spans="1:3" ht="13" x14ac:dyDescent="0.15">
      <c r="A599" s="10"/>
      <c r="B599" s="13"/>
      <c r="C599" s="13"/>
    </row>
    <row r="600" spans="1:3" ht="13" x14ac:dyDescent="0.15">
      <c r="A600" s="10"/>
      <c r="B600" s="13"/>
      <c r="C600" s="13"/>
    </row>
    <row r="601" spans="1:3" ht="13" x14ac:dyDescent="0.15">
      <c r="A601" s="10"/>
      <c r="B601" s="13"/>
      <c r="C601" s="13"/>
    </row>
    <row r="602" spans="1:3" ht="13" x14ac:dyDescent="0.15">
      <c r="A602" s="10"/>
      <c r="B602" s="13"/>
      <c r="C602" s="13"/>
    </row>
    <row r="603" spans="1:3" ht="13" x14ac:dyDescent="0.15">
      <c r="A603" s="10"/>
      <c r="B603" s="13"/>
      <c r="C603" s="13"/>
    </row>
    <row r="604" spans="1:3" ht="13" x14ac:dyDescent="0.15">
      <c r="A604" s="10"/>
      <c r="B604" s="13"/>
      <c r="C604" s="13"/>
    </row>
    <row r="605" spans="1:3" ht="13" x14ac:dyDescent="0.15">
      <c r="A605" s="10"/>
      <c r="B605" s="13"/>
      <c r="C605" s="13"/>
    </row>
    <row r="606" spans="1:3" ht="13" x14ac:dyDescent="0.15">
      <c r="A606" s="10"/>
      <c r="B606" s="13"/>
      <c r="C606" s="13"/>
    </row>
    <row r="607" spans="1:3" ht="13" x14ac:dyDescent="0.15">
      <c r="A607" s="10"/>
      <c r="B607" s="13"/>
      <c r="C607" s="13"/>
    </row>
    <row r="608" spans="1:3" ht="13" x14ac:dyDescent="0.15">
      <c r="A608" s="10"/>
      <c r="B608" s="13"/>
      <c r="C608" s="13"/>
    </row>
    <row r="609" spans="1:3" ht="13" x14ac:dyDescent="0.15">
      <c r="A609" s="10"/>
      <c r="B609" s="13"/>
      <c r="C609" s="13"/>
    </row>
    <row r="610" spans="1:3" ht="13" x14ac:dyDescent="0.15">
      <c r="A610" s="10"/>
      <c r="B610" s="13"/>
      <c r="C610" s="13"/>
    </row>
    <row r="611" spans="1:3" ht="13" x14ac:dyDescent="0.15">
      <c r="A611" s="10"/>
      <c r="B611" s="13"/>
      <c r="C611" s="13"/>
    </row>
    <row r="612" spans="1:3" ht="13" x14ac:dyDescent="0.15">
      <c r="A612" s="10"/>
      <c r="B612" s="13"/>
      <c r="C612" s="13"/>
    </row>
    <row r="613" spans="1:3" ht="13" x14ac:dyDescent="0.15">
      <c r="A613" s="10"/>
      <c r="B613" s="13"/>
      <c r="C613" s="13"/>
    </row>
    <row r="614" spans="1:3" ht="13" x14ac:dyDescent="0.15">
      <c r="A614" s="10"/>
      <c r="B614" s="13"/>
      <c r="C614" s="13"/>
    </row>
    <row r="615" spans="1:3" ht="13" x14ac:dyDescent="0.15">
      <c r="A615" s="10"/>
      <c r="B615" s="13"/>
      <c r="C615" s="13"/>
    </row>
    <row r="616" spans="1:3" ht="13" x14ac:dyDescent="0.15">
      <c r="A616" s="10"/>
      <c r="B616" s="13"/>
      <c r="C616" s="13"/>
    </row>
    <row r="617" spans="1:3" ht="13" x14ac:dyDescent="0.15">
      <c r="A617" s="10"/>
      <c r="B617" s="13"/>
      <c r="C617" s="13"/>
    </row>
    <row r="618" spans="1:3" ht="13" x14ac:dyDescent="0.15">
      <c r="A618" s="10"/>
      <c r="B618" s="13"/>
      <c r="C618" s="13"/>
    </row>
    <row r="619" spans="1:3" ht="13" x14ac:dyDescent="0.15">
      <c r="A619" s="10"/>
      <c r="B619" s="13"/>
      <c r="C619" s="13"/>
    </row>
    <row r="620" spans="1:3" ht="13" x14ac:dyDescent="0.15">
      <c r="A620" s="10"/>
      <c r="B620" s="13"/>
      <c r="C620" s="13"/>
    </row>
    <row r="621" spans="1:3" ht="13" x14ac:dyDescent="0.15">
      <c r="A621" s="10"/>
      <c r="B621" s="13"/>
      <c r="C621" s="13"/>
    </row>
    <row r="622" spans="1:3" ht="13" x14ac:dyDescent="0.15">
      <c r="A622" s="10"/>
      <c r="B622" s="13"/>
      <c r="C622" s="13"/>
    </row>
    <row r="623" spans="1:3" ht="13" x14ac:dyDescent="0.15">
      <c r="A623" s="10"/>
      <c r="B623" s="13"/>
      <c r="C623" s="13"/>
    </row>
    <row r="624" spans="1:3" ht="13" x14ac:dyDescent="0.15">
      <c r="A624" s="10"/>
      <c r="B624" s="13"/>
      <c r="C624" s="13"/>
    </row>
    <row r="625" spans="1:3" ht="13" x14ac:dyDescent="0.15">
      <c r="A625" s="10"/>
      <c r="B625" s="13"/>
      <c r="C625" s="13"/>
    </row>
    <row r="626" spans="1:3" ht="13" x14ac:dyDescent="0.15">
      <c r="A626" s="10"/>
      <c r="B626" s="13"/>
      <c r="C626" s="13"/>
    </row>
    <row r="627" spans="1:3" ht="13" x14ac:dyDescent="0.15">
      <c r="A627" s="10"/>
      <c r="B627" s="13"/>
      <c r="C627" s="13"/>
    </row>
    <row r="628" spans="1:3" ht="13" x14ac:dyDescent="0.15">
      <c r="A628" s="10"/>
      <c r="B628" s="13"/>
      <c r="C628" s="13"/>
    </row>
    <row r="629" spans="1:3" ht="13" x14ac:dyDescent="0.15">
      <c r="A629" s="10"/>
      <c r="B629" s="13"/>
      <c r="C629" s="13"/>
    </row>
    <row r="630" spans="1:3" ht="13" x14ac:dyDescent="0.15">
      <c r="A630" s="10"/>
      <c r="B630" s="13"/>
      <c r="C630" s="13"/>
    </row>
    <row r="631" spans="1:3" ht="13" x14ac:dyDescent="0.15">
      <c r="A631" s="10"/>
      <c r="B631" s="13"/>
      <c r="C631" s="13"/>
    </row>
    <row r="632" spans="1:3" ht="13" x14ac:dyDescent="0.15">
      <c r="A632" s="10"/>
      <c r="B632" s="13"/>
      <c r="C632" s="13"/>
    </row>
    <row r="633" spans="1:3" ht="13" x14ac:dyDescent="0.15">
      <c r="A633" s="10"/>
      <c r="B633" s="13"/>
      <c r="C633" s="13"/>
    </row>
    <row r="634" spans="1:3" ht="13" x14ac:dyDescent="0.15">
      <c r="A634" s="10"/>
      <c r="B634" s="13"/>
      <c r="C634" s="13"/>
    </row>
    <row r="635" spans="1:3" ht="13" x14ac:dyDescent="0.15">
      <c r="A635" s="10"/>
      <c r="B635" s="13"/>
      <c r="C635" s="13"/>
    </row>
    <row r="636" spans="1:3" ht="13" x14ac:dyDescent="0.15">
      <c r="A636" s="10"/>
      <c r="B636" s="13"/>
      <c r="C636" s="13"/>
    </row>
    <row r="637" spans="1:3" ht="13" x14ac:dyDescent="0.15">
      <c r="A637" s="10"/>
      <c r="B637" s="13"/>
      <c r="C637" s="13"/>
    </row>
    <row r="638" spans="1:3" ht="13" x14ac:dyDescent="0.15">
      <c r="A638" s="10"/>
      <c r="B638" s="13"/>
      <c r="C638" s="13"/>
    </row>
    <row r="639" spans="1:3" ht="13" x14ac:dyDescent="0.15">
      <c r="A639" s="10"/>
      <c r="B639" s="13"/>
      <c r="C639" s="13"/>
    </row>
    <row r="640" spans="1:3" ht="13" x14ac:dyDescent="0.15">
      <c r="A640" s="10"/>
      <c r="B640" s="13"/>
      <c r="C640" s="13"/>
    </row>
    <row r="641" spans="1:3" ht="13" x14ac:dyDescent="0.15">
      <c r="A641" s="10"/>
      <c r="B641" s="13"/>
      <c r="C641" s="13"/>
    </row>
    <row r="642" spans="1:3" ht="13" x14ac:dyDescent="0.15">
      <c r="A642" s="10"/>
      <c r="B642" s="13"/>
      <c r="C642" s="13"/>
    </row>
    <row r="643" spans="1:3" ht="13" x14ac:dyDescent="0.15">
      <c r="A643" s="10"/>
      <c r="B643" s="13"/>
      <c r="C643" s="13"/>
    </row>
    <row r="644" spans="1:3" ht="13" x14ac:dyDescent="0.15">
      <c r="A644" s="10"/>
      <c r="B644" s="13"/>
      <c r="C644" s="13"/>
    </row>
    <row r="645" spans="1:3" ht="13" x14ac:dyDescent="0.15">
      <c r="A645" s="10"/>
      <c r="B645" s="13"/>
      <c r="C645" s="13"/>
    </row>
    <row r="646" spans="1:3" ht="13" x14ac:dyDescent="0.15">
      <c r="A646" s="10"/>
      <c r="B646" s="13"/>
      <c r="C646" s="13"/>
    </row>
    <row r="647" spans="1:3" ht="13" x14ac:dyDescent="0.15">
      <c r="A647" s="10"/>
      <c r="B647" s="13"/>
      <c r="C647" s="13"/>
    </row>
    <row r="648" spans="1:3" ht="13" x14ac:dyDescent="0.15">
      <c r="A648" s="10"/>
      <c r="B648" s="13"/>
      <c r="C648" s="13"/>
    </row>
    <row r="649" spans="1:3" ht="13" x14ac:dyDescent="0.15">
      <c r="A649" s="10"/>
      <c r="B649" s="13"/>
      <c r="C649" s="13"/>
    </row>
    <row r="650" spans="1:3" ht="13" x14ac:dyDescent="0.15">
      <c r="A650" s="10"/>
      <c r="B650" s="13"/>
      <c r="C650" s="13"/>
    </row>
    <row r="651" spans="1:3" ht="13" x14ac:dyDescent="0.15">
      <c r="A651" s="10"/>
      <c r="B651" s="13"/>
      <c r="C651" s="13"/>
    </row>
    <row r="652" spans="1:3" ht="13" x14ac:dyDescent="0.15">
      <c r="A652" s="10"/>
      <c r="B652" s="13"/>
      <c r="C652" s="13"/>
    </row>
    <row r="653" spans="1:3" ht="13" x14ac:dyDescent="0.15">
      <c r="A653" s="10"/>
      <c r="B653" s="13"/>
      <c r="C653" s="13"/>
    </row>
    <row r="654" spans="1:3" ht="13" x14ac:dyDescent="0.15">
      <c r="A654" s="10"/>
      <c r="B654" s="13"/>
      <c r="C654" s="13"/>
    </row>
    <row r="655" spans="1:3" ht="13" x14ac:dyDescent="0.15">
      <c r="A655" s="10"/>
      <c r="B655" s="13"/>
      <c r="C655" s="13"/>
    </row>
    <row r="656" spans="1:3" ht="13" x14ac:dyDescent="0.15">
      <c r="A656" s="10"/>
      <c r="B656" s="13"/>
      <c r="C656" s="13"/>
    </row>
    <row r="657" spans="1:3" ht="13" x14ac:dyDescent="0.15">
      <c r="A657" s="10"/>
      <c r="B657" s="13"/>
      <c r="C657" s="13"/>
    </row>
    <row r="658" spans="1:3" ht="13" x14ac:dyDescent="0.15">
      <c r="A658" s="10"/>
      <c r="B658" s="13"/>
      <c r="C658" s="13"/>
    </row>
    <row r="659" spans="1:3" ht="13" x14ac:dyDescent="0.15">
      <c r="A659" s="10"/>
      <c r="B659" s="13"/>
      <c r="C659" s="13"/>
    </row>
    <row r="660" spans="1:3" ht="13" x14ac:dyDescent="0.15">
      <c r="A660" s="10"/>
      <c r="B660" s="13"/>
      <c r="C660" s="13"/>
    </row>
    <row r="661" spans="1:3" ht="13" x14ac:dyDescent="0.15">
      <c r="A661" s="10"/>
      <c r="B661" s="13"/>
      <c r="C661" s="13"/>
    </row>
    <row r="662" spans="1:3" ht="13" x14ac:dyDescent="0.15">
      <c r="A662" s="10"/>
      <c r="B662" s="13"/>
      <c r="C662" s="13"/>
    </row>
    <row r="663" spans="1:3" ht="13" x14ac:dyDescent="0.15">
      <c r="A663" s="10"/>
      <c r="B663" s="13"/>
      <c r="C663" s="13"/>
    </row>
    <row r="664" spans="1:3" ht="13" x14ac:dyDescent="0.15">
      <c r="A664" s="10"/>
      <c r="B664" s="13"/>
      <c r="C664" s="13"/>
    </row>
    <row r="665" spans="1:3" ht="13" x14ac:dyDescent="0.15">
      <c r="A665" s="10"/>
      <c r="B665" s="13"/>
      <c r="C665" s="13"/>
    </row>
    <row r="666" spans="1:3" ht="13" x14ac:dyDescent="0.15">
      <c r="A666" s="10"/>
      <c r="B666" s="13"/>
      <c r="C666" s="13"/>
    </row>
    <row r="667" spans="1:3" ht="13" x14ac:dyDescent="0.15">
      <c r="A667" s="10"/>
      <c r="B667" s="13"/>
      <c r="C667" s="13"/>
    </row>
    <row r="668" spans="1:3" ht="13" x14ac:dyDescent="0.15">
      <c r="A668" s="10"/>
      <c r="B668" s="13"/>
      <c r="C668" s="13"/>
    </row>
    <row r="669" spans="1:3" ht="13" x14ac:dyDescent="0.15">
      <c r="A669" s="10"/>
      <c r="B669" s="13"/>
      <c r="C669" s="13"/>
    </row>
    <row r="670" spans="1:3" ht="13" x14ac:dyDescent="0.15">
      <c r="A670" s="10"/>
      <c r="B670" s="13"/>
      <c r="C670" s="13"/>
    </row>
    <row r="671" spans="1:3" ht="13" x14ac:dyDescent="0.15">
      <c r="A671" s="10"/>
      <c r="B671" s="13"/>
      <c r="C671" s="13"/>
    </row>
    <row r="672" spans="1:3" ht="13" x14ac:dyDescent="0.15">
      <c r="A672" s="10"/>
      <c r="B672" s="13"/>
      <c r="C672" s="13"/>
    </row>
    <row r="673" spans="1:3" ht="13" x14ac:dyDescent="0.15">
      <c r="A673" s="10"/>
      <c r="B673" s="13"/>
      <c r="C673" s="13"/>
    </row>
    <row r="674" spans="1:3" ht="13" x14ac:dyDescent="0.15">
      <c r="A674" s="10"/>
      <c r="B674" s="13"/>
      <c r="C674" s="13"/>
    </row>
    <row r="675" spans="1:3" ht="13" x14ac:dyDescent="0.15">
      <c r="A675" s="10"/>
      <c r="B675" s="13"/>
      <c r="C675" s="13"/>
    </row>
    <row r="676" spans="1:3" ht="13" x14ac:dyDescent="0.15">
      <c r="A676" s="10"/>
      <c r="B676" s="13"/>
      <c r="C676" s="13"/>
    </row>
    <row r="677" spans="1:3" ht="13" x14ac:dyDescent="0.15">
      <c r="A677" s="10"/>
      <c r="B677" s="13"/>
      <c r="C677" s="13"/>
    </row>
    <row r="678" spans="1:3" ht="13" x14ac:dyDescent="0.15">
      <c r="A678" s="10"/>
      <c r="B678" s="13"/>
      <c r="C678" s="13"/>
    </row>
    <row r="679" spans="1:3" ht="13" x14ac:dyDescent="0.15">
      <c r="A679" s="10"/>
      <c r="B679" s="13"/>
      <c r="C679" s="13"/>
    </row>
    <row r="680" spans="1:3" ht="13" x14ac:dyDescent="0.15">
      <c r="A680" s="10"/>
      <c r="B680" s="13"/>
      <c r="C680" s="13"/>
    </row>
    <row r="681" spans="1:3" ht="13" x14ac:dyDescent="0.15">
      <c r="A681" s="10"/>
      <c r="B681" s="13"/>
      <c r="C681" s="13"/>
    </row>
    <row r="682" spans="1:3" ht="13" x14ac:dyDescent="0.15">
      <c r="A682" s="10"/>
      <c r="B682" s="13"/>
      <c r="C682" s="13"/>
    </row>
    <row r="683" spans="1:3" ht="13" x14ac:dyDescent="0.15">
      <c r="A683" s="10"/>
      <c r="B683" s="13"/>
      <c r="C683" s="13"/>
    </row>
    <row r="684" spans="1:3" ht="13" x14ac:dyDescent="0.15">
      <c r="A684" s="10"/>
      <c r="B684" s="13"/>
      <c r="C684" s="13"/>
    </row>
    <row r="685" spans="1:3" ht="13" x14ac:dyDescent="0.15">
      <c r="A685" s="10"/>
      <c r="B685" s="13"/>
      <c r="C685" s="13"/>
    </row>
    <row r="686" spans="1:3" ht="13" x14ac:dyDescent="0.15">
      <c r="A686" s="10"/>
      <c r="B686" s="13"/>
      <c r="C686" s="13"/>
    </row>
    <row r="687" spans="1:3" ht="13" x14ac:dyDescent="0.15">
      <c r="A687" s="10"/>
      <c r="B687" s="13"/>
      <c r="C687" s="13"/>
    </row>
    <row r="688" spans="1:3" ht="13" x14ac:dyDescent="0.15">
      <c r="A688" s="10"/>
      <c r="B688" s="13"/>
      <c r="C688" s="13"/>
    </row>
    <row r="689" spans="1:3" ht="13" x14ac:dyDescent="0.15">
      <c r="A689" s="10"/>
      <c r="B689" s="13"/>
      <c r="C689" s="13"/>
    </row>
    <row r="690" spans="1:3" ht="13" x14ac:dyDescent="0.15">
      <c r="A690" s="10"/>
      <c r="B690" s="13"/>
      <c r="C690" s="13"/>
    </row>
    <row r="691" spans="1:3" ht="13" x14ac:dyDescent="0.15">
      <c r="A691" s="10"/>
      <c r="B691" s="13"/>
      <c r="C691" s="13"/>
    </row>
    <row r="692" spans="1:3" ht="13" x14ac:dyDescent="0.15">
      <c r="A692" s="10"/>
      <c r="B692" s="13"/>
      <c r="C692" s="13"/>
    </row>
    <row r="693" spans="1:3" ht="13" x14ac:dyDescent="0.15">
      <c r="A693" s="10"/>
      <c r="B693" s="13"/>
      <c r="C693" s="13"/>
    </row>
    <row r="694" spans="1:3" ht="13" x14ac:dyDescent="0.15">
      <c r="A694" s="10"/>
      <c r="B694" s="13"/>
      <c r="C694" s="13"/>
    </row>
    <row r="695" spans="1:3" ht="13" x14ac:dyDescent="0.15">
      <c r="A695" s="10"/>
      <c r="B695" s="13"/>
      <c r="C695" s="13"/>
    </row>
    <row r="696" spans="1:3" ht="13" x14ac:dyDescent="0.15">
      <c r="A696" s="10"/>
      <c r="B696" s="13"/>
      <c r="C696" s="13"/>
    </row>
    <row r="697" spans="1:3" ht="13" x14ac:dyDescent="0.15">
      <c r="A697" s="10"/>
      <c r="B697" s="13"/>
      <c r="C697" s="13"/>
    </row>
    <row r="698" spans="1:3" ht="13" x14ac:dyDescent="0.15">
      <c r="A698" s="10"/>
      <c r="B698" s="13"/>
      <c r="C698" s="13"/>
    </row>
    <row r="699" spans="1:3" ht="13" x14ac:dyDescent="0.15">
      <c r="A699" s="10"/>
      <c r="B699" s="13"/>
      <c r="C699" s="13"/>
    </row>
    <row r="700" spans="1:3" ht="13" x14ac:dyDescent="0.15">
      <c r="A700" s="10"/>
      <c r="B700" s="13"/>
      <c r="C700" s="13"/>
    </row>
    <row r="701" spans="1:3" ht="13" x14ac:dyDescent="0.15">
      <c r="A701" s="10"/>
      <c r="B701" s="13"/>
      <c r="C701" s="13"/>
    </row>
    <row r="702" spans="1:3" ht="13" x14ac:dyDescent="0.15">
      <c r="A702" s="10"/>
      <c r="B702" s="13"/>
      <c r="C702" s="13"/>
    </row>
    <row r="703" spans="1:3" ht="13" x14ac:dyDescent="0.15">
      <c r="A703" s="10"/>
      <c r="B703" s="13"/>
      <c r="C703" s="13"/>
    </row>
    <row r="704" spans="1:3" ht="13" x14ac:dyDescent="0.15">
      <c r="A704" s="10"/>
      <c r="B704" s="13"/>
      <c r="C704" s="13"/>
    </row>
    <row r="705" spans="1:3" ht="13" x14ac:dyDescent="0.15">
      <c r="A705" s="10"/>
      <c r="B705" s="13"/>
      <c r="C705" s="13"/>
    </row>
    <row r="706" spans="1:3" ht="13" x14ac:dyDescent="0.15">
      <c r="A706" s="10"/>
      <c r="B706" s="13"/>
      <c r="C706" s="13"/>
    </row>
    <row r="707" spans="1:3" ht="13" x14ac:dyDescent="0.15">
      <c r="A707" s="10"/>
      <c r="B707" s="13"/>
      <c r="C707" s="13"/>
    </row>
    <row r="708" spans="1:3" ht="13" x14ac:dyDescent="0.15">
      <c r="A708" s="10"/>
      <c r="B708" s="13"/>
      <c r="C708" s="13"/>
    </row>
    <row r="709" spans="1:3" ht="13" x14ac:dyDescent="0.15">
      <c r="A709" s="10"/>
      <c r="B709" s="13"/>
      <c r="C709" s="13"/>
    </row>
    <row r="710" spans="1:3" ht="13" x14ac:dyDescent="0.15">
      <c r="A710" s="10"/>
      <c r="B710" s="13"/>
      <c r="C710" s="13"/>
    </row>
    <row r="711" spans="1:3" ht="13" x14ac:dyDescent="0.15">
      <c r="A711" s="10"/>
      <c r="B711" s="13"/>
      <c r="C711" s="13"/>
    </row>
    <row r="712" spans="1:3" ht="13" x14ac:dyDescent="0.15">
      <c r="A712" s="10"/>
      <c r="B712" s="13"/>
      <c r="C712" s="13"/>
    </row>
    <row r="713" spans="1:3" ht="13" x14ac:dyDescent="0.15">
      <c r="A713" s="10"/>
      <c r="B713" s="13"/>
      <c r="C713" s="13"/>
    </row>
    <row r="714" spans="1:3" ht="13" x14ac:dyDescent="0.15">
      <c r="A714" s="10"/>
      <c r="B714" s="13"/>
      <c r="C714" s="13"/>
    </row>
    <row r="715" spans="1:3" ht="13" x14ac:dyDescent="0.15">
      <c r="A715" s="10"/>
      <c r="B715" s="13"/>
      <c r="C715" s="13"/>
    </row>
    <row r="716" spans="1:3" ht="13" x14ac:dyDescent="0.15">
      <c r="A716" s="10"/>
      <c r="B716" s="13"/>
      <c r="C716" s="13"/>
    </row>
    <row r="717" spans="1:3" ht="13" x14ac:dyDescent="0.15">
      <c r="A717" s="10"/>
      <c r="B717" s="13"/>
      <c r="C717" s="13"/>
    </row>
    <row r="718" spans="1:3" ht="13" x14ac:dyDescent="0.15">
      <c r="A718" s="10"/>
      <c r="B718" s="13"/>
      <c r="C718" s="13"/>
    </row>
    <row r="719" spans="1:3" ht="13" x14ac:dyDescent="0.15">
      <c r="A719" s="10"/>
      <c r="B719" s="13"/>
      <c r="C719" s="13"/>
    </row>
    <row r="720" spans="1:3" ht="13" x14ac:dyDescent="0.15">
      <c r="A720" s="10"/>
      <c r="B720" s="13"/>
      <c r="C720" s="13"/>
    </row>
    <row r="721" spans="1:3" ht="13" x14ac:dyDescent="0.15">
      <c r="A721" s="10"/>
      <c r="B721" s="13"/>
      <c r="C721" s="13"/>
    </row>
    <row r="722" spans="1:3" ht="13" x14ac:dyDescent="0.15">
      <c r="A722" s="10"/>
      <c r="B722" s="13"/>
      <c r="C722" s="13"/>
    </row>
    <row r="723" spans="1:3" ht="13" x14ac:dyDescent="0.15">
      <c r="A723" s="10"/>
      <c r="B723" s="13"/>
      <c r="C723" s="13"/>
    </row>
    <row r="724" spans="1:3" ht="13" x14ac:dyDescent="0.15">
      <c r="A724" s="10"/>
      <c r="B724" s="13"/>
      <c r="C724" s="13"/>
    </row>
    <row r="725" spans="1:3" ht="13" x14ac:dyDescent="0.15">
      <c r="A725" s="10"/>
      <c r="B725" s="13"/>
      <c r="C725" s="13"/>
    </row>
    <row r="726" spans="1:3" ht="13" x14ac:dyDescent="0.15">
      <c r="A726" s="10"/>
      <c r="B726" s="13"/>
      <c r="C726" s="13"/>
    </row>
    <row r="727" spans="1:3" ht="13" x14ac:dyDescent="0.15">
      <c r="A727" s="10"/>
      <c r="B727" s="13"/>
      <c r="C727" s="13"/>
    </row>
    <row r="728" spans="1:3" ht="13" x14ac:dyDescent="0.15">
      <c r="A728" s="10"/>
      <c r="B728" s="13"/>
      <c r="C728" s="13"/>
    </row>
    <row r="729" spans="1:3" ht="13" x14ac:dyDescent="0.15">
      <c r="A729" s="10"/>
      <c r="B729" s="13"/>
      <c r="C729" s="13"/>
    </row>
    <row r="730" spans="1:3" ht="13" x14ac:dyDescent="0.15">
      <c r="A730" s="10"/>
      <c r="B730" s="13"/>
      <c r="C730" s="13"/>
    </row>
    <row r="731" spans="1:3" ht="13" x14ac:dyDescent="0.15">
      <c r="A731" s="10"/>
      <c r="B731" s="13"/>
      <c r="C731" s="13"/>
    </row>
    <row r="732" spans="1:3" ht="13" x14ac:dyDescent="0.15">
      <c r="A732" s="10"/>
      <c r="B732" s="13"/>
      <c r="C732" s="13"/>
    </row>
    <row r="733" spans="1:3" ht="13" x14ac:dyDescent="0.15">
      <c r="A733" s="10"/>
      <c r="B733" s="13"/>
      <c r="C733" s="13"/>
    </row>
    <row r="734" spans="1:3" ht="13" x14ac:dyDescent="0.15">
      <c r="A734" s="10"/>
      <c r="B734" s="13"/>
      <c r="C734" s="13"/>
    </row>
    <row r="735" spans="1:3" ht="13" x14ac:dyDescent="0.15">
      <c r="A735" s="10"/>
      <c r="B735" s="13"/>
      <c r="C735" s="13"/>
    </row>
    <row r="736" spans="1:3" ht="13" x14ac:dyDescent="0.15">
      <c r="A736" s="10"/>
      <c r="B736" s="13"/>
      <c r="C736" s="13"/>
    </row>
    <row r="737" spans="1:3" ht="13" x14ac:dyDescent="0.15">
      <c r="A737" s="10"/>
      <c r="B737" s="13"/>
      <c r="C737" s="13"/>
    </row>
    <row r="738" spans="1:3" ht="13" x14ac:dyDescent="0.15">
      <c r="A738" s="10"/>
      <c r="B738" s="13"/>
      <c r="C738" s="13"/>
    </row>
    <row r="739" spans="1:3" ht="13" x14ac:dyDescent="0.15">
      <c r="A739" s="10"/>
      <c r="B739" s="13"/>
      <c r="C739" s="13"/>
    </row>
    <row r="740" spans="1:3" ht="13" x14ac:dyDescent="0.15">
      <c r="A740" s="10"/>
      <c r="B740" s="13"/>
      <c r="C740" s="13"/>
    </row>
    <row r="741" spans="1:3" ht="13" x14ac:dyDescent="0.15">
      <c r="A741" s="10"/>
      <c r="B741" s="13"/>
      <c r="C741" s="13"/>
    </row>
    <row r="742" spans="1:3" ht="13" x14ac:dyDescent="0.15">
      <c r="A742" s="10"/>
      <c r="B742" s="13"/>
      <c r="C742" s="13"/>
    </row>
    <row r="743" spans="1:3" ht="13" x14ac:dyDescent="0.15">
      <c r="A743" s="10"/>
      <c r="B743" s="13"/>
      <c r="C743" s="13"/>
    </row>
    <row r="744" spans="1:3" ht="13" x14ac:dyDescent="0.15">
      <c r="A744" s="10"/>
      <c r="B744" s="13"/>
      <c r="C744" s="13"/>
    </row>
    <row r="745" spans="1:3" ht="13" x14ac:dyDescent="0.15">
      <c r="A745" s="10"/>
      <c r="B745" s="13"/>
      <c r="C745" s="13"/>
    </row>
    <row r="746" spans="1:3" ht="13" x14ac:dyDescent="0.15">
      <c r="A746" s="10"/>
      <c r="B746" s="13"/>
      <c r="C746" s="13"/>
    </row>
    <row r="747" spans="1:3" ht="13" x14ac:dyDescent="0.15">
      <c r="A747" s="10"/>
      <c r="B747" s="13"/>
      <c r="C747" s="13"/>
    </row>
    <row r="748" spans="1:3" ht="13" x14ac:dyDescent="0.15">
      <c r="A748" s="10"/>
      <c r="B748" s="13"/>
      <c r="C748" s="13"/>
    </row>
    <row r="749" spans="1:3" ht="13" x14ac:dyDescent="0.15">
      <c r="A749" s="10"/>
      <c r="B749" s="13"/>
      <c r="C749" s="13"/>
    </row>
    <row r="750" spans="1:3" ht="13" x14ac:dyDescent="0.15">
      <c r="A750" s="10"/>
      <c r="B750" s="13"/>
      <c r="C750" s="13"/>
    </row>
    <row r="751" spans="1:3" ht="13" x14ac:dyDescent="0.15">
      <c r="A751" s="10"/>
      <c r="B751" s="13"/>
      <c r="C751" s="13"/>
    </row>
    <row r="752" spans="1:3" ht="13" x14ac:dyDescent="0.15">
      <c r="A752" s="10"/>
      <c r="B752" s="13"/>
      <c r="C752" s="13"/>
    </row>
    <row r="753" spans="1:3" ht="13" x14ac:dyDescent="0.15">
      <c r="A753" s="10"/>
      <c r="B753" s="13"/>
      <c r="C753" s="13"/>
    </row>
    <row r="754" spans="1:3" ht="13" x14ac:dyDescent="0.15">
      <c r="A754" s="10"/>
      <c r="B754" s="13"/>
      <c r="C754" s="13"/>
    </row>
    <row r="755" spans="1:3" ht="13" x14ac:dyDescent="0.15">
      <c r="A755" s="10"/>
      <c r="B755" s="13"/>
      <c r="C755" s="13"/>
    </row>
    <row r="756" spans="1:3" ht="13" x14ac:dyDescent="0.15">
      <c r="A756" s="10"/>
      <c r="B756" s="13"/>
      <c r="C756" s="13"/>
    </row>
    <row r="757" spans="1:3" ht="13" x14ac:dyDescent="0.15">
      <c r="A757" s="10"/>
      <c r="B757" s="13"/>
      <c r="C757" s="13"/>
    </row>
    <row r="758" spans="1:3" ht="13" x14ac:dyDescent="0.15">
      <c r="A758" s="10"/>
      <c r="B758" s="13"/>
      <c r="C758" s="13"/>
    </row>
    <row r="759" spans="1:3" ht="13" x14ac:dyDescent="0.15">
      <c r="A759" s="10"/>
      <c r="B759" s="13"/>
      <c r="C759" s="13"/>
    </row>
    <row r="760" spans="1:3" ht="13" x14ac:dyDescent="0.15">
      <c r="A760" s="10"/>
      <c r="B760" s="13"/>
      <c r="C760" s="13"/>
    </row>
    <row r="761" spans="1:3" ht="13" x14ac:dyDescent="0.15">
      <c r="A761" s="10"/>
      <c r="B761" s="13"/>
      <c r="C761" s="13"/>
    </row>
    <row r="762" spans="1:3" ht="13" x14ac:dyDescent="0.15">
      <c r="A762" s="10"/>
      <c r="B762" s="13"/>
      <c r="C762" s="13"/>
    </row>
    <row r="763" spans="1:3" ht="13" x14ac:dyDescent="0.15">
      <c r="A763" s="10"/>
      <c r="B763" s="13"/>
      <c r="C763" s="13"/>
    </row>
    <row r="764" spans="1:3" ht="13" x14ac:dyDescent="0.15">
      <c r="A764" s="10"/>
      <c r="B764" s="13"/>
      <c r="C764" s="13"/>
    </row>
    <row r="765" spans="1:3" ht="13" x14ac:dyDescent="0.15">
      <c r="A765" s="10"/>
      <c r="B765" s="13"/>
      <c r="C765" s="13"/>
    </row>
    <row r="766" spans="1:3" ht="13" x14ac:dyDescent="0.15">
      <c r="A766" s="10"/>
      <c r="B766" s="13"/>
      <c r="C766" s="13"/>
    </row>
    <row r="767" spans="1:3" ht="13" x14ac:dyDescent="0.15">
      <c r="A767" s="10"/>
      <c r="B767" s="13"/>
      <c r="C767" s="13"/>
    </row>
    <row r="768" spans="1:3" ht="13" x14ac:dyDescent="0.15">
      <c r="A768" s="10"/>
      <c r="B768" s="13"/>
      <c r="C768" s="13"/>
    </row>
    <row r="769" spans="1:3" ht="13" x14ac:dyDescent="0.15">
      <c r="A769" s="10"/>
      <c r="B769" s="13"/>
      <c r="C769" s="13"/>
    </row>
    <row r="770" spans="1:3" ht="13" x14ac:dyDescent="0.15">
      <c r="A770" s="10"/>
      <c r="B770" s="13"/>
      <c r="C770" s="13"/>
    </row>
    <row r="771" spans="1:3" ht="13" x14ac:dyDescent="0.15">
      <c r="A771" s="10"/>
      <c r="B771" s="13"/>
      <c r="C771" s="13"/>
    </row>
    <row r="772" spans="1:3" ht="13" x14ac:dyDescent="0.15">
      <c r="A772" s="10"/>
      <c r="B772" s="13"/>
      <c r="C772" s="13"/>
    </row>
    <row r="773" spans="1:3" ht="13" x14ac:dyDescent="0.15">
      <c r="A773" s="10"/>
      <c r="B773" s="13"/>
      <c r="C773" s="13"/>
    </row>
    <row r="774" spans="1:3" ht="13" x14ac:dyDescent="0.15">
      <c r="A774" s="10"/>
      <c r="B774" s="13"/>
      <c r="C774" s="13"/>
    </row>
    <row r="775" spans="1:3" ht="13" x14ac:dyDescent="0.15">
      <c r="A775" s="10"/>
      <c r="B775" s="13"/>
      <c r="C775" s="13"/>
    </row>
    <row r="776" spans="1:3" ht="13" x14ac:dyDescent="0.15">
      <c r="A776" s="10"/>
      <c r="B776" s="13"/>
      <c r="C776" s="13"/>
    </row>
    <row r="777" spans="1:3" ht="13" x14ac:dyDescent="0.15">
      <c r="A777" s="10"/>
      <c r="B777" s="13"/>
      <c r="C777" s="13"/>
    </row>
    <row r="778" spans="1:3" ht="13" x14ac:dyDescent="0.15">
      <c r="A778" s="10"/>
      <c r="B778" s="13"/>
      <c r="C778" s="13"/>
    </row>
    <row r="779" spans="1:3" ht="13" x14ac:dyDescent="0.15">
      <c r="A779" s="10"/>
      <c r="B779" s="13"/>
      <c r="C779" s="13"/>
    </row>
    <row r="780" spans="1:3" ht="13" x14ac:dyDescent="0.15">
      <c r="A780" s="10"/>
      <c r="B780" s="13"/>
      <c r="C780" s="13"/>
    </row>
    <row r="781" spans="1:3" ht="13" x14ac:dyDescent="0.15">
      <c r="A781" s="10"/>
      <c r="B781" s="13"/>
      <c r="C781" s="13"/>
    </row>
    <row r="782" spans="1:3" ht="13" x14ac:dyDescent="0.15">
      <c r="A782" s="10"/>
      <c r="B782" s="13"/>
      <c r="C782" s="13"/>
    </row>
    <row r="783" spans="1:3" ht="13" x14ac:dyDescent="0.15">
      <c r="A783" s="10"/>
      <c r="B783" s="13"/>
      <c r="C783" s="13"/>
    </row>
    <row r="784" spans="1:3" ht="13" x14ac:dyDescent="0.15">
      <c r="A784" s="10"/>
      <c r="B784" s="13"/>
      <c r="C784" s="13"/>
    </row>
    <row r="785" spans="1:3" ht="13" x14ac:dyDescent="0.15">
      <c r="A785" s="10"/>
      <c r="B785" s="13"/>
      <c r="C785" s="13"/>
    </row>
    <row r="786" spans="1:3" ht="13" x14ac:dyDescent="0.15">
      <c r="A786" s="10"/>
      <c r="B786" s="13"/>
      <c r="C786" s="13"/>
    </row>
    <row r="787" spans="1:3" ht="13" x14ac:dyDescent="0.15">
      <c r="A787" s="10"/>
      <c r="B787" s="13"/>
      <c r="C787" s="13"/>
    </row>
    <row r="788" spans="1:3" ht="13" x14ac:dyDescent="0.15">
      <c r="A788" s="10"/>
      <c r="B788" s="13"/>
      <c r="C788" s="13"/>
    </row>
    <row r="789" spans="1:3" ht="13" x14ac:dyDescent="0.15">
      <c r="A789" s="10"/>
      <c r="B789" s="13"/>
      <c r="C789" s="13"/>
    </row>
    <row r="790" spans="1:3" ht="13" x14ac:dyDescent="0.15">
      <c r="A790" s="10"/>
      <c r="B790" s="13"/>
      <c r="C790" s="13"/>
    </row>
    <row r="791" spans="1:3" ht="13" x14ac:dyDescent="0.15">
      <c r="A791" s="10"/>
      <c r="B791" s="13"/>
      <c r="C791" s="13"/>
    </row>
    <row r="792" spans="1:3" ht="13" x14ac:dyDescent="0.15">
      <c r="A792" s="10"/>
      <c r="B792" s="13"/>
      <c r="C792" s="13"/>
    </row>
    <row r="793" spans="1:3" ht="13" x14ac:dyDescent="0.15">
      <c r="A793" s="10"/>
      <c r="B793" s="13"/>
      <c r="C793" s="13"/>
    </row>
    <row r="794" spans="1:3" ht="13" x14ac:dyDescent="0.15">
      <c r="A794" s="10"/>
      <c r="B794" s="13"/>
      <c r="C794" s="13"/>
    </row>
    <row r="795" spans="1:3" ht="13" x14ac:dyDescent="0.15">
      <c r="A795" s="10"/>
      <c r="B795" s="13"/>
      <c r="C795" s="13"/>
    </row>
    <row r="796" spans="1:3" ht="13" x14ac:dyDescent="0.15">
      <c r="A796" s="10"/>
      <c r="B796" s="13"/>
      <c r="C796" s="13"/>
    </row>
    <row r="797" spans="1:3" ht="13" x14ac:dyDescent="0.15">
      <c r="A797" s="10"/>
      <c r="B797" s="13"/>
      <c r="C797" s="13"/>
    </row>
    <row r="798" spans="1:3" ht="13" x14ac:dyDescent="0.15">
      <c r="A798" s="10"/>
      <c r="B798" s="13"/>
      <c r="C798" s="13"/>
    </row>
    <row r="799" spans="1:3" ht="13" x14ac:dyDescent="0.15">
      <c r="A799" s="10"/>
      <c r="B799" s="13"/>
      <c r="C799" s="13"/>
    </row>
    <row r="800" spans="1:3" ht="13" x14ac:dyDescent="0.15">
      <c r="A800" s="10"/>
      <c r="B800" s="13"/>
      <c r="C800" s="13"/>
    </row>
    <row r="801" spans="1:3" ht="13" x14ac:dyDescent="0.15">
      <c r="A801" s="10"/>
      <c r="B801" s="13"/>
      <c r="C801" s="13"/>
    </row>
    <row r="802" spans="1:3" ht="13" x14ac:dyDescent="0.15">
      <c r="A802" s="10"/>
      <c r="B802" s="13"/>
      <c r="C802" s="13"/>
    </row>
    <row r="803" spans="1:3" ht="13" x14ac:dyDescent="0.15">
      <c r="A803" s="10"/>
      <c r="B803" s="13"/>
      <c r="C803" s="13"/>
    </row>
    <row r="804" spans="1:3" ht="13" x14ac:dyDescent="0.15">
      <c r="A804" s="10"/>
      <c r="B804" s="13"/>
      <c r="C804" s="13"/>
    </row>
    <row r="805" spans="1:3" ht="13" x14ac:dyDescent="0.15">
      <c r="A805" s="10"/>
      <c r="B805" s="13"/>
      <c r="C805" s="13"/>
    </row>
    <row r="806" spans="1:3" ht="13" x14ac:dyDescent="0.15">
      <c r="A806" s="10"/>
      <c r="B806" s="13"/>
      <c r="C806" s="13"/>
    </row>
    <row r="807" spans="1:3" ht="13" x14ac:dyDescent="0.15">
      <c r="A807" s="10"/>
      <c r="B807" s="13"/>
      <c r="C807" s="13"/>
    </row>
    <row r="808" spans="1:3" ht="13" x14ac:dyDescent="0.15">
      <c r="A808" s="10"/>
      <c r="B808" s="13"/>
      <c r="C808" s="13"/>
    </row>
    <row r="809" spans="1:3" ht="13" x14ac:dyDescent="0.15">
      <c r="A809" s="10"/>
      <c r="B809" s="13"/>
      <c r="C809" s="13"/>
    </row>
    <row r="810" spans="1:3" ht="13" x14ac:dyDescent="0.15">
      <c r="A810" s="10"/>
      <c r="B810" s="13"/>
      <c r="C810" s="13"/>
    </row>
    <row r="811" spans="1:3" ht="13" x14ac:dyDescent="0.15">
      <c r="A811" s="10"/>
      <c r="B811" s="13"/>
      <c r="C811" s="13"/>
    </row>
    <row r="812" spans="1:3" ht="13" x14ac:dyDescent="0.15">
      <c r="A812" s="10"/>
      <c r="B812" s="13"/>
      <c r="C812" s="13"/>
    </row>
    <row r="813" spans="1:3" ht="13" x14ac:dyDescent="0.15">
      <c r="A813" s="10"/>
      <c r="B813" s="13"/>
      <c r="C813" s="13"/>
    </row>
    <row r="814" spans="1:3" ht="13" x14ac:dyDescent="0.15">
      <c r="A814" s="10"/>
      <c r="B814" s="13"/>
      <c r="C814" s="13"/>
    </row>
    <row r="815" spans="1:3" ht="13" x14ac:dyDescent="0.15">
      <c r="A815" s="10"/>
      <c r="B815" s="13"/>
      <c r="C815" s="13"/>
    </row>
    <row r="816" spans="1:3" ht="13" x14ac:dyDescent="0.15">
      <c r="A816" s="10"/>
      <c r="B816" s="13"/>
      <c r="C816" s="13"/>
    </row>
    <row r="817" spans="1:3" ht="13" x14ac:dyDescent="0.15">
      <c r="A817" s="10"/>
      <c r="B817" s="13"/>
      <c r="C817" s="13"/>
    </row>
    <row r="818" spans="1:3" ht="13" x14ac:dyDescent="0.15">
      <c r="A818" s="10"/>
      <c r="B818" s="13"/>
      <c r="C818" s="13"/>
    </row>
    <row r="819" spans="1:3" ht="13" x14ac:dyDescent="0.15">
      <c r="A819" s="10"/>
      <c r="B819" s="13"/>
      <c r="C819" s="13"/>
    </row>
    <row r="820" spans="1:3" ht="13" x14ac:dyDescent="0.15">
      <c r="A820" s="10"/>
      <c r="B820" s="13"/>
      <c r="C820" s="13"/>
    </row>
    <row r="821" spans="1:3" ht="13" x14ac:dyDescent="0.15">
      <c r="A821" s="10"/>
      <c r="B821" s="13"/>
      <c r="C821" s="13"/>
    </row>
    <row r="822" spans="1:3" ht="13" x14ac:dyDescent="0.15">
      <c r="A822" s="10"/>
      <c r="B822" s="13"/>
      <c r="C822" s="13"/>
    </row>
    <row r="823" spans="1:3" ht="13" x14ac:dyDescent="0.15">
      <c r="A823" s="10"/>
      <c r="B823" s="13"/>
      <c r="C823" s="13"/>
    </row>
    <row r="824" spans="1:3" ht="13" x14ac:dyDescent="0.15">
      <c r="A824" s="10"/>
      <c r="B824" s="13"/>
      <c r="C824" s="13"/>
    </row>
    <row r="825" spans="1:3" ht="13" x14ac:dyDescent="0.15">
      <c r="A825" s="10"/>
      <c r="B825" s="13"/>
      <c r="C825" s="13"/>
    </row>
    <row r="826" spans="1:3" ht="13" x14ac:dyDescent="0.15">
      <c r="A826" s="10"/>
      <c r="B826" s="13"/>
      <c r="C826" s="13"/>
    </row>
    <row r="827" spans="1:3" ht="13" x14ac:dyDescent="0.15">
      <c r="A827" s="10"/>
      <c r="B827" s="13"/>
      <c r="C827" s="13"/>
    </row>
    <row r="828" spans="1:3" ht="13" x14ac:dyDescent="0.15">
      <c r="A828" s="10"/>
      <c r="B828" s="13"/>
      <c r="C828" s="13"/>
    </row>
    <row r="829" spans="1:3" ht="13" x14ac:dyDescent="0.15">
      <c r="A829" s="10"/>
      <c r="B829" s="13"/>
      <c r="C829" s="13"/>
    </row>
    <row r="830" spans="1:3" ht="13" x14ac:dyDescent="0.15">
      <c r="A830" s="10"/>
      <c r="B830" s="13"/>
      <c r="C830" s="13"/>
    </row>
    <row r="831" spans="1:3" ht="13" x14ac:dyDescent="0.15">
      <c r="A831" s="10"/>
      <c r="B831" s="13"/>
      <c r="C831" s="13"/>
    </row>
    <row r="832" spans="1:3" ht="13" x14ac:dyDescent="0.15">
      <c r="A832" s="10"/>
      <c r="B832" s="13"/>
      <c r="C832" s="13"/>
    </row>
    <row r="833" spans="1:3" ht="13" x14ac:dyDescent="0.15">
      <c r="A833" s="10"/>
      <c r="B833" s="13"/>
      <c r="C833" s="13"/>
    </row>
    <row r="834" spans="1:3" ht="13" x14ac:dyDescent="0.15">
      <c r="A834" s="10"/>
      <c r="B834" s="13"/>
      <c r="C834" s="13"/>
    </row>
    <row r="835" spans="1:3" ht="13" x14ac:dyDescent="0.15">
      <c r="A835" s="10"/>
      <c r="B835" s="13"/>
      <c r="C835" s="13"/>
    </row>
    <row r="836" spans="1:3" ht="13" x14ac:dyDescent="0.15">
      <c r="A836" s="10"/>
      <c r="B836" s="13"/>
      <c r="C836" s="13"/>
    </row>
    <row r="837" spans="1:3" ht="13" x14ac:dyDescent="0.15">
      <c r="A837" s="10"/>
      <c r="B837" s="13"/>
      <c r="C837" s="13"/>
    </row>
    <row r="838" spans="1:3" ht="13" x14ac:dyDescent="0.15">
      <c r="A838" s="10"/>
      <c r="B838" s="13"/>
      <c r="C838" s="13"/>
    </row>
    <row r="839" spans="1:3" ht="13" x14ac:dyDescent="0.15">
      <c r="A839" s="10"/>
      <c r="B839" s="13"/>
      <c r="C839" s="13"/>
    </row>
    <row r="840" spans="1:3" ht="13" x14ac:dyDescent="0.15">
      <c r="A840" s="10"/>
      <c r="B840" s="13"/>
      <c r="C840" s="13"/>
    </row>
    <row r="841" spans="1:3" ht="13" x14ac:dyDescent="0.15">
      <c r="A841" s="10"/>
      <c r="B841" s="13"/>
      <c r="C841" s="13"/>
    </row>
    <row r="842" spans="1:3" ht="13" x14ac:dyDescent="0.15">
      <c r="A842" s="10"/>
      <c r="B842" s="13"/>
      <c r="C842" s="13"/>
    </row>
    <row r="843" spans="1:3" ht="13" x14ac:dyDescent="0.15">
      <c r="A843" s="10"/>
      <c r="B843" s="13"/>
      <c r="C843" s="13"/>
    </row>
    <row r="844" spans="1:3" ht="13" x14ac:dyDescent="0.15">
      <c r="A844" s="10"/>
      <c r="B844" s="13"/>
      <c r="C844" s="13"/>
    </row>
    <row r="845" spans="1:3" ht="13" x14ac:dyDescent="0.15">
      <c r="A845" s="10"/>
      <c r="B845" s="13"/>
      <c r="C845" s="13"/>
    </row>
    <row r="846" spans="1:3" ht="13" x14ac:dyDescent="0.15">
      <c r="A846" s="10"/>
      <c r="B846" s="13"/>
      <c r="C846" s="13"/>
    </row>
    <row r="847" spans="1:3" ht="13" x14ac:dyDescent="0.15">
      <c r="A847" s="10"/>
      <c r="B847" s="13"/>
      <c r="C847" s="13"/>
    </row>
    <row r="848" spans="1:3" ht="13" x14ac:dyDescent="0.15">
      <c r="A848" s="10"/>
      <c r="B848" s="13"/>
      <c r="C848" s="13"/>
    </row>
    <row r="849" spans="1:3" ht="13" x14ac:dyDescent="0.15">
      <c r="A849" s="10"/>
      <c r="B849" s="13"/>
      <c r="C849" s="13"/>
    </row>
    <row r="850" spans="1:3" ht="13" x14ac:dyDescent="0.15">
      <c r="A850" s="10"/>
      <c r="B850" s="13"/>
      <c r="C850" s="13"/>
    </row>
    <row r="851" spans="1:3" ht="13" x14ac:dyDescent="0.15">
      <c r="A851" s="10"/>
      <c r="B851" s="13"/>
      <c r="C851" s="13"/>
    </row>
    <row r="852" spans="1:3" ht="13" x14ac:dyDescent="0.15">
      <c r="A852" s="10"/>
      <c r="B852" s="13"/>
      <c r="C852" s="13"/>
    </row>
    <row r="853" spans="1:3" ht="13" x14ac:dyDescent="0.15">
      <c r="A853" s="10"/>
      <c r="B853" s="13"/>
      <c r="C853" s="13"/>
    </row>
    <row r="854" spans="1:3" ht="13" x14ac:dyDescent="0.15">
      <c r="A854" s="10"/>
      <c r="B854" s="13"/>
      <c r="C854" s="13"/>
    </row>
    <row r="855" spans="1:3" ht="13" x14ac:dyDescent="0.15">
      <c r="A855" s="10"/>
      <c r="B855" s="13"/>
      <c r="C855" s="13"/>
    </row>
    <row r="856" spans="1:3" ht="13" x14ac:dyDescent="0.15">
      <c r="A856" s="10"/>
      <c r="B856" s="13"/>
      <c r="C856" s="13"/>
    </row>
    <row r="857" spans="1:3" ht="13" x14ac:dyDescent="0.15">
      <c r="A857" s="10"/>
      <c r="B857" s="13"/>
      <c r="C857" s="13"/>
    </row>
    <row r="858" spans="1:3" ht="13" x14ac:dyDescent="0.15">
      <c r="A858" s="10"/>
      <c r="B858" s="13"/>
      <c r="C858" s="13"/>
    </row>
    <row r="859" spans="1:3" ht="13" x14ac:dyDescent="0.15">
      <c r="A859" s="10"/>
      <c r="B859" s="13"/>
      <c r="C859" s="13"/>
    </row>
    <row r="860" spans="1:3" ht="13" x14ac:dyDescent="0.15">
      <c r="A860" s="10"/>
      <c r="B860" s="13"/>
      <c r="C860" s="13"/>
    </row>
    <row r="861" spans="1:3" ht="13" x14ac:dyDescent="0.15">
      <c r="A861" s="10"/>
      <c r="B861" s="13"/>
      <c r="C861" s="13"/>
    </row>
    <row r="862" spans="1:3" ht="13" x14ac:dyDescent="0.15">
      <c r="A862" s="10"/>
      <c r="B862" s="13"/>
      <c r="C862" s="13"/>
    </row>
    <row r="863" spans="1:3" ht="13" x14ac:dyDescent="0.15">
      <c r="A863" s="10"/>
      <c r="B863" s="13"/>
      <c r="C863" s="13"/>
    </row>
    <row r="864" spans="1:3" ht="13" x14ac:dyDescent="0.15">
      <c r="A864" s="10"/>
      <c r="B864" s="13"/>
      <c r="C864" s="13"/>
    </row>
    <row r="865" spans="1:3" ht="13" x14ac:dyDescent="0.15">
      <c r="A865" s="10"/>
      <c r="B865" s="13"/>
      <c r="C865" s="13"/>
    </row>
    <row r="866" spans="1:3" ht="13" x14ac:dyDescent="0.15">
      <c r="A866" s="10"/>
      <c r="B866" s="13"/>
      <c r="C866" s="13"/>
    </row>
    <row r="867" spans="1:3" ht="13" x14ac:dyDescent="0.15">
      <c r="A867" s="10"/>
      <c r="B867" s="13"/>
      <c r="C867" s="13"/>
    </row>
    <row r="868" spans="1:3" ht="13" x14ac:dyDescent="0.15">
      <c r="A868" s="10"/>
      <c r="B868" s="13"/>
      <c r="C868" s="13"/>
    </row>
    <row r="869" spans="1:3" ht="13" x14ac:dyDescent="0.15">
      <c r="A869" s="10"/>
      <c r="B869" s="13"/>
      <c r="C869" s="13"/>
    </row>
    <row r="870" spans="1:3" ht="13" x14ac:dyDescent="0.15">
      <c r="A870" s="10"/>
      <c r="B870" s="13"/>
      <c r="C870" s="13"/>
    </row>
    <row r="871" spans="1:3" ht="13" x14ac:dyDescent="0.15">
      <c r="A871" s="10"/>
      <c r="B871" s="13"/>
      <c r="C871" s="13"/>
    </row>
    <row r="872" spans="1:3" ht="13" x14ac:dyDescent="0.15">
      <c r="A872" s="10"/>
      <c r="B872" s="13"/>
      <c r="C872" s="13"/>
    </row>
    <row r="873" spans="1:3" ht="13" x14ac:dyDescent="0.15">
      <c r="A873" s="10"/>
      <c r="B873" s="13"/>
      <c r="C873" s="13"/>
    </row>
    <row r="874" spans="1:3" ht="13" x14ac:dyDescent="0.15">
      <c r="A874" s="10"/>
      <c r="B874" s="13"/>
      <c r="C874" s="13"/>
    </row>
    <row r="875" spans="1:3" ht="13" x14ac:dyDescent="0.15">
      <c r="A875" s="10"/>
      <c r="B875" s="13"/>
      <c r="C875" s="13"/>
    </row>
    <row r="876" spans="1:3" ht="13" x14ac:dyDescent="0.15">
      <c r="A876" s="10"/>
      <c r="B876" s="13"/>
      <c r="C876" s="13"/>
    </row>
    <row r="877" spans="1:3" ht="13" x14ac:dyDescent="0.15">
      <c r="A877" s="10"/>
      <c r="B877" s="13"/>
      <c r="C877" s="13"/>
    </row>
    <row r="878" spans="1:3" ht="13" x14ac:dyDescent="0.15">
      <c r="A878" s="10"/>
      <c r="B878" s="13"/>
      <c r="C878" s="13"/>
    </row>
    <row r="879" spans="1:3" ht="13" x14ac:dyDescent="0.15">
      <c r="A879" s="10"/>
      <c r="B879" s="13"/>
      <c r="C879" s="13"/>
    </row>
    <row r="880" spans="1:3" ht="13" x14ac:dyDescent="0.15">
      <c r="A880" s="10"/>
      <c r="B880" s="13"/>
      <c r="C880" s="13"/>
    </row>
    <row r="881" spans="1:3" ht="13" x14ac:dyDescent="0.15">
      <c r="A881" s="10"/>
      <c r="B881" s="13"/>
      <c r="C881" s="13"/>
    </row>
    <row r="882" spans="1:3" ht="13" x14ac:dyDescent="0.15">
      <c r="A882" s="10"/>
      <c r="B882" s="13"/>
      <c r="C882" s="13"/>
    </row>
    <row r="883" spans="1:3" ht="13" x14ac:dyDescent="0.15">
      <c r="A883" s="10"/>
      <c r="B883" s="13"/>
      <c r="C883" s="13"/>
    </row>
    <row r="884" spans="1:3" ht="13" x14ac:dyDescent="0.15">
      <c r="A884" s="10"/>
      <c r="B884" s="13"/>
      <c r="C884" s="13"/>
    </row>
    <row r="885" spans="1:3" ht="13" x14ac:dyDescent="0.15">
      <c r="A885" s="10"/>
      <c r="B885" s="13"/>
      <c r="C885" s="13"/>
    </row>
    <row r="886" spans="1:3" ht="13" x14ac:dyDescent="0.15">
      <c r="A886" s="10"/>
      <c r="B886" s="13"/>
      <c r="C886" s="13"/>
    </row>
    <row r="887" spans="1:3" ht="13" x14ac:dyDescent="0.15">
      <c r="A887" s="10"/>
      <c r="B887" s="13"/>
      <c r="C887" s="13"/>
    </row>
    <row r="888" spans="1:3" ht="13" x14ac:dyDescent="0.15">
      <c r="A888" s="10"/>
      <c r="B888" s="13"/>
      <c r="C888" s="13"/>
    </row>
    <row r="889" spans="1:3" ht="13" x14ac:dyDescent="0.15">
      <c r="A889" s="10"/>
      <c r="B889" s="13"/>
      <c r="C889" s="13"/>
    </row>
    <row r="890" spans="1:3" ht="13" x14ac:dyDescent="0.15">
      <c r="A890" s="10"/>
      <c r="B890" s="13"/>
      <c r="C890" s="13"/>
    </row>
    <row r="891" spans="1:3" ht="13" x14ac:dyDescent="0.15">
      <c r="A891" s="10"/>
      <c r="B891" s="13"/>
      <c r="C891" s="13"/>
    </row>
    <row r="892" spans="1:3" ht="13" x14ac:dyDescent="0.15">
      <c r="A892" s="10"/>
      <c r="B892" s="13"/>
      <c r="C892" s="13"/>
    </row>
    <row r="893" spans="1:3" ht="13" x14ac:dyDescent="0.15">
      <c r="A893" s="10"/>
      <c r="B893" s="13"/>
      <c r="C893" s="13"/>
    </row>
    <row r="894" spans="1:3" ht="13" x14ac:dyDescent="0.15">
      <c r="A894" s="10"/>
      <c r="B894" s="13"/>
      <c r="C894" s="13"/>
    </row>
    <row r="895" spans="1:3" ht="13" x14ac:dyDescent="0.15">
      <c r="A895" s="10"/>
      <c r="B895" s="13"/>
      <c r="C895" s="13"/>
    </row>
    <row r="896" spans="1:3" ht="13" x14ac:dyDescent="0.15">
      <c r="A896" s="10"/>
      <c r="B896" s="13"/>
      <c r="C896" s="13"/>
    </row>
    <row r="897" spans="1:3" ht="13" x14ac:dyDescent="0.15">
      <c r="A897" s="10"/>
      <c r="B897" s="13"/>
      <c r="C897" s="13"/>
    </row>
    <row r="898" spans="1:3" ht="13" x14ac:dyDescent="0.15">
      <c r="A898" s="10"/>
      <c r="B898" s="13"/>
      <c r="C898" s="13"/>
    </row>
    <row r="899" spans="1:3" ht="13" x14ac:dyDescent="0.15">
      <c r="A899" s="10"/>
      <c r="B899" s="13"/>
      <c r="C899" s="13"/>
    </row>
    <row r="900" spans="1:3" ht="13" x14ac:dyDescent="0.15">
      <c r="A900" s="10"/>
      <c r="B900" s="13"/>
      <c r="C900" s="13"/>
    </row>
    <row r="901" spans="1:3" ht="13" x14ac:dyDescent="0.15">
      <c r="A901" s="10"/>
      <c r="B901" s="13"/>
      <c r="C901" s="13"/>
    </row>
    <row r="902" spans="1:3" ht="13" x14ac:dyDescent="0.15">
      <c r="A902" s="10"/>
      <c r="B902" s="13"/>
      <c r="C902" s="13"/>
    </row>
    <row r="903" spans="1:3" ht="13" x14ac:dyDescent="0.15">
      <c r="A903" s="10"/>
      <c r="B903" s="13"/>
      <c r="C903" s="13"/>
    </row>
    <row r="904" spans="1:3" ht="13" x14ac:dyDescent="0.15">
      <c r="A904" s="10"/>
      <c r="B904" s="13"/>
      <c r="C904" s="13"/>
    </row>
    <row r="905" spans="1:3" ht="13" x14ac:dyDescent="0.15">
      <c r="A905" s="10"/>
      <c r="B905" s="13"/>
      <c r="C905" s="13"/>
    </row>
    <row r="906" spans="1:3" ht="13" x14ac:dyDescent="0.15">
      <c r="A906" s="10"/>
      <c r="B906" s="13"/>
      <c r="C906" s="13"/>
    </row>
    <row r="907" spans="1:3" ht="13" x14ac:dyDescent="0.15">
      <c r="A907" s="10"/>
      <c r="B907" s="13"/>
      <c r="C907" s="13"/>
    </row>
    <row r="908" spans="1:3" ht="13" x14ac:dyDescent="0.15">
      <c r="A908" s="10"/>
      <c r="B908" s="13"/>
      <c r="C908" s="13"/>
    </row>
    <row r="909" spans="1:3" ht="13" x14ac:dyDescent="0.15">
      <c r="A909" s="10"/>
      <c r="B909" s="13"/>
      <c r="C909" s="13"/>
    </row>
    <row r="910" spans="1:3" ht="13" x14ac:dyDescent="0.15">
      <c r="A910" s="10"/>
      <c r="B910" s="13"/>
      <c r="C910" s="13"/>
    </row>
    <row r="911" spans="1:3" ht="13" x14ac:dyDescent="0.15">
      <c r="A911" s="10"/>
      <c r="B911" s="13"/>
      <c r="C911" s="13"/>
    </row>
    <row r="912" spans="1:3" ht="13" x14ac:dyDescent="0.15">
      <c r="A912" s="10"/>
      <c r="B912" s="13"/>
      <c r="C912" s="13"/>
    </row>
    <row r="913" spans="1:3" ht="13" x14ac:dyDescent="0.15">
      <c r="A913" s="10"/>
      <c r="B913" s="13"/>
      <c r="C913" s="13"/>
    </row>
    <row r="914" spans="1:3" ht="13" x14ac:dyDescent="0.15">
      <c r="A914" s="10"/>
      <c r="B914" s="13"/>
      <c r="C914" s="13"/>
    </row>
    <row r="915" spans="1:3" ht="13" x14ac:dyDescent="0.15">
      <c r="A915" s="10"/>
      <c r="B915" s="13"/>
      <c r="C915" s="13"/>
    </row>
    <row r="916" spans="1:3" ht="13" x14ac:dyDescent="0.15">
      <c r="A916" s="10"/>
      <c r="B916" s="13"/>
      <c r="C916" s="13"/>
    </row>
    <row r="917" spans="1:3" ht="13" x14ac:dyDescent="0.15">
      <c r="A917" s="10"/>
      <c r="B917" s="13"/>
      <c r="C917" s="13"/>
    </row>
    <row r="918" spans="1:3" ht="13" x14ac:dyDescent="0.15">
      <c r="A918" s="10"/>
      <c r="B918" s="13"/>
      <c r="C918" s="13"/>
    </row>
    <row r="919" spans="1:3" ht="13" x14ac:dyDescent="0.15">
      <c r="A919" s="10"/>
      <c r="B919" s="13"/>
      <c r="C919" s="13"/>
    </row>
    <row r="920" spans="1:3" ht="13" x14ac:dyDescent="0.15">
      <c r="A920" s="10"/>
      <c r="B920" s="13"/>
      <c r="C920" s="13"/>
    </row>
    <row r="921" spans="1:3" ht="13" x14ac:dyDescent="0.15">
      <c r="A921" s="10"/>
      <c r="B921" s="13"/>
      <c r="C921" s="13"/>
    </row>
    <row r="922" spans="1:3" ht="13" x14ac:dyDescent="0.15">
      <c r="A922" s="10"/>
      <c r="B922" s="13"/>
      <c r="C922" s="13"/>
    </row>
    <row r="923" spans="1:3" ht="13" x14ac:dyDescent="0.15">
      <c r="A923" s="10"/>
      <c r="B923" s="13"/>
      <c r="C923" s="13"/>
    </row>
    <row r="924" spans="1:3" ht="13" x14ac:dyDescent="0.15">
      <c r="A924" s="10"/>
      <c r="B924" s="13"/>
      <c r="C924" s="13"/>
    </row>
    <row r="925" spans="1:3" ht="13" x14ac:dyDescent="0.15">
      <c r="A925" s="10"/>
      <c r="B925" s="13"/>
      <c r="C925" s="13"/>
    </row>
    <row r="926" spans="1:3" ht="13" x14ac:dyDescent="0.15">
      <c r="A926" s="10"/>
      <c r="B926" s="13"/>
      <c r="C926" s="13"/>
    </row>
    <row r="927" spans="1:3" ht="13" x14ac:dyDescent="0.15">
      <c r="A927" s="10"/>
      <c r="B927" s="13"/>
      <c r="C927" s="13"/>
    </row>
    <row r="928" spans="1:3" ht="13" x14ac:dyDescent="0.15">
      <c r="A928" s="10"/>
      <c r="B928" s="13"/>
      <c r="C928" s="13"/>
    </row>
    <row r="929" spans="1:3" ht="13" x14ac:dyDescent="0.15">
      <c r="A929" s="10"/>
      <c r="B929" s="13"/>
      <c r="C929" s="13"/>
    </row>
    <row r="930" spans="1:3" ht="13" x14ac:dyDescent="0.15">
      <c r="A930" s="10"/>
      <c r="B930" s="13"/>
      <c r="C930" s="13"/>
    </row>
    <row r="931" spans="1:3" ht="13" x14ac:dyDescent="0.15">
      <c r="A931" s="10"/>
      <c r="B931" s="13"/>
      <c r="C931" s="13"/>
    </row>
    <row r="932" spans="1:3" ht="13" x14ac:dyDescent="0.15">
      <c r="A932" s="10"/>
      <c r="B932" s="13"/>
      <c r="C932" s="13"/>
    </row>
    <row r="933" spans="1:3" ht="13" x14ac:dyDescent="0.15">
      <c r="A933" s="10"/>
      <c r="B933" s="13"/>
      <c r="C933" s="13"/>
    </row>
    <row r="934" spans="1:3" ht="13" x14ac:dyDescent="0.15">
      <c r="A934" s="10"/>
      <c r="B934" s="13"/>
      <c r="C934" s="13"/>
    </row>
    <row r="935" spans="1:3" ht="13" x14ac:dyDescent="0.15">
      <c r="A935" s="10"/>
      <c r="B935" s="13"/>
      <c r="C935" s="13"/>
    </row>
    <row r="936" spans="1:3" ht="13" x14ac:dyDescent="0.15">
      <c r="A936" s="10"/>
      <c r="B936" s="13"/>
      <c r="C936" s="13"/>
    </row>
    <row r="937" spans="1:3" ht="13" x14ac:dyDescent="0.15">
      <c r="A937" s="10"/>
      <c r="B937" s="13"/>
      <c r="C937" s="13"/>
    </row>
    <row r="938" spans="1:3" ht="13" x14ac:dyDescent="0.15">
      <c r="A938" s="10"/>
      <c r="B938" s="13"/>
      <c r="C938" s="13"/>
    </row>
    <row r="939" spans="1:3" ht="13" x14ac:dyDescent="0.15">
      <c r="A939" s="10"/>
      <c r="B939" s="13"/>
      <c r="C939" s="13"/>
    </row>
    <row r="940" spans="1:3" ht="13" x14ac:dyDescent="0.15">
      <c r="A940" s="10"/>
      <c r="B940" s="13"/>
      <c r="C940" s="13"/>
    </row>
    <row r="941" spans="1:3" ht="13" x14ac:dyDescent="0.15">
      <c r="A941" s="10"/>
      <c r="B941" s="13"/>
      <c r="C941" s="13"/>
    </row>
    <row r="942" spans="1:3" ht="13" x14ac:dyDescent="0.15">
      <c r="A942" s="10"/>
      <c r="B942" s="13"/>
      <c r="C942" s="13"/>
    </row>
    <row r="943" spans="1:3" ht="13" x14ac:dyDescent="0.15">
      <c r="A943" s="10"/>
      <c r="B943" s="13"/>
      <c r="C943" s="13"/>
    </row>
    <row r="944" spans="1:3" ht="13" x14ac:dyDescent="0.15">
      <c r="A944" s="10"/>
      <c r="B944" s="13"/>
      <c r="C944" s="13"/>
    </row>
    <row r="945" spans="1:3" ht="13" x14ac:dyDescent="0.15">
      <c r="A945" s="10"/>
      <c r="B945" s="13"/>
      <c r="C945" s="13"/>
    </row>
    <row r="946" spans="1:3" ht="13" x14ac:dyDescent="0.15">
      <c r="A946" s="10"/>
      <c r="B946" s="13"/>
      <c r="C946" s="13"/>
    </row>
    <row r="947" spans="1:3" ht="13" x14ac:dyDescent="0.15">
      <c r="A947" s="10"/>
      <c r="B947" s="13"/>
      <c r="C947" s="13"/>
    </row>
    <row r="948" spans="1:3" ht="13" x14ac:dyDescent="0.15">
      <c r="A948" s="10"/>
      <c r="B948" s="13"/>
      <c r="C948" s="13"/>
    </row>
    <row r="949" spans="1:3" ht="13" x14ac:dyDescent="0.15">
      <c r="A949" s="10"/>
      <c r="B949" s="13"/>
      <c r="C949" s="13"/>
    </row>
    <row r="950" spans="1:3" ht="13" x14ac:dyDescent="0.15">
      <c r="A950" s="10"/>
      <c r="B950" s="13"/>
      <c r="C950" s="13"/>
    </row>
    <row r="951" spans="1:3" ht="13" x14ac:dyDescent="0.15">
      <c r="A951" s="10"/>
      <c r="B951" s="13"/>
      <c r="C951" s="13"/>
    </row>
    <row r="952" spans="1:3" ht="13" x14ac:dyDescent="0.15">
      <c r="A952" s="10"/>
      <c r="B952" s="13"/>
      <c r="C952" s="13"/>
    </row>
    <row r="953" spans="1:3" ht="13" x14ac:dyDescent="0.15">
      <c r="A953" s="10"/>
      <c r="B953" s="13"/>
      <c r="C953" s="13"/>
    </row>
    <row r="954" spans="1:3" ht="13" x14ac:dyDescent="0.15">
      <c r="A954" s="10"/>
      <c r="B954" s="13"/>
      <c r="C954" s="13"/>
    </row>
    <row r="955" spans="1:3" ht="13" x14ac:dyDescent="0.15">
      <c r="A955" s="10"/>
      <c r="B955" s="13"/>
      <c r="C955" s="13"/>
    </row>
    <row r="956" spans="1:3" ht="13" x14ac:dyDescent="0.15">
      <c r="A956" s="10"/>
      <c r="B956" s="13"/>
      <c r="C956" s="13"/>
    </row>
    <row r="957" spans="1:3" ht="13" x14ac:dyDescent="0.15">
      <c r="A957" s="10"/>
      <c r="B957" s="13"/>
      <c r="C957" s="13"/>
    </row>
    <row r="958" spans="1:3" ht="13" x14ac:dyDescent="0.15">
      <c r="A958" s="10"/>
      <c r="B958" s="13"/>
      <c r="C958" s="13"/>
    </row>
    <row r="959" spans="1:3" ht="13" x14ac:dyDescent="0.15">
      <c r="A959" s="10"/>
      <c r="B959" s="13"/>
      <c r="C959" s="13"/>
    </row>
    <row r="960" spans="1:3" ht="13" x14ac:dyDescent="0.15">
      <c r="A960" s="10"/>
      <c r="B960" s="13"/>
      <c r="C960" s="13"/>
    </row>
    <row r="961" spans="1:3" ht="13" x14ac:dyDescent="0.15">
      <c r="A961" s="10"/>
      <c r="B961" s="13"/>
      <c r="C961" s="13"/>
    </row>
    <row r="962" spans="1:3" ht="13" x14ac:dyDescent="0.15">
      <c r="A962" s="10"/>
      <c r="B962" s="13"/>
      <c r="C962" s="13"/>
    </row>
    <row r="963" spans="1:3" ht="13" x14ac:dyDescent="0.15">
      <c r="A963" s="10"/>
      <c r="B963" s="13"/>
      <c r="C963" s="13"/>
    </row>
    <row r="964" spans="1:3" ht="13" x14ac:dyDescent="0.15">
      <c r="A964" s="10"/>
      <c r="B964" s="13"/>
      <c r="C964" s="13"/>
    </row>
    <row r="965" spans="1:3" ht="13" x14ac:dyDescent="0.15">
      <c r="A965" s="10"/>
      <c r="B965" s="13"/>
      <c r="C965" s="13"/>
    </row>
    <row r="966" spans="1:3" ht="13" x14ac:dyDescent="0.15">
      <c r="A966" s="10"/>
      <c r="B966" s="13"/>
      <c r="C966" s="13"/>
    </row>
    <row r="967" spans="1:3" ht="13" x14ac:dyDescent="0.15">
      <c r="A967" s="10"/>
      <c r="B967" s="13"/>
      <c r="C967" s="13"/>
    </row>
    <row r="968" spans="1:3" ht="13" x14ac:dyDescent="0.15">
      <c r="A968" s="10"/>
      <c r="B968" s="13"/>
      <c r="C968" s="13"/>
    </row>
    <row r="969" spans="1:3" ht="13" x14ac:dyDescent="0.15">
      <c r="A969" s="10"/>
      <c r="B969" s="13"/>
      <c r="C969" s="13"/>
    </row>
    <row r="970" spans="1:3" ht="13" x14ac:dyDescent="0.15">
      <c r="A970" s="10"/>
      <c r="B970" s="13"/>
      <c r="C970" s="13"/>
    </row>
    <row r="971" spans="1:3" ht="13" x14ac:dyDescent="0.15">
      <c r="A971" s="10"/>
      <c r="B971" s="13"/>
      <c r="C971" s="13"/>
    </row>
    <row r="972" spans="1:3" ht="13" x14ac:dyDescent="0.15">
      <c r="A972" s="10"/>
      <c r="B972" s="13"/>
      <c r="C972" s="13"/>
    </row>
    <row r="973" spans="1:3" ht="13" x14ac:dyDescent="0.15">
      <c r="A973" s="10"/>
      <c r="B973" s="13"/>
      <c r="C973" s="13"/>
    </row>
    <row r="974" spans="1:3" ht="13" x14ac:dyDescent="0.15">
      <c r="A974" s="10"/>
      <c r="B974" s="13"/>
      <c r="C974" s="13"/>
    </row>
    <row r="975" spans="1:3" ht="13" x14ac:dyDescent="0.15">
      <c r="A975" s="10"/>
      <c r="B975" s="13"/>
      <c r="C975" s="13"/>
    </row>
    <row r="976" spans="1:3" ht="13" x14ac:dyDescent="0.15">
      <c r="A976" s="10"/>
      <c r="B976" s="13"/>
      <c r="C976" s="13"/>
    </row>
    <row r="977" spans="1:3" ht="13" x14ac:dyDescent="0.15">
      <c r="A977" s="10"/>
      <c r="B977" s="13"/>
      <c r="C977" s="13"/>
    </row>
    <row r="978" spans="1:3" ht="13" x14ac:dyDescent="0.15">
      <c r="A978" s="10"/>
      <c r="B978" s="13"/>
      <c r="C978" s="13"/>
    </row>
    <row r="979" spans="1:3" ht="13" x14ac:dyDescent="0.15">
      <c r="A979" s="10"/>
      <c r="B979" s="13"/>
      <c r="C979" s="13"/>
    </row>
    <row r="980" spans="1:3" ht="13" x14ac:dyDescent="0.15">
      <c r="A980" s="10"/>
      <c r="B980" s="13"/>
      <c r="C980" s="13"/>
    </row>
    <row r="981" spans="1:3" ht="13" x14ac:dyDescent="0.15">
      <c r="A981" s="10"/>
      <c r="B981" s="13"/>
      <c r="C981" s="13"/>
    </row>
    <row r="982" spans="1:3" ht="13" x14ac:dyDescent="0.15">
      <c r="A982" s="10"/>
      <c r="B982" s="13"/>
      <c r="C982" s="13"/>
    </row>
    <row r="983" spans="1:3" ht="13" x14ac:dyDescent="0.15">
      <c r="A983" s="10"/>
      <c r="B983" s="13"/>
      <c r="C983" s="13"/>
    </row>
    <row r="984" spans="1:3" ht="13" x14ac:dyDescent="0.15">
      <c r="A984" s="10"/>
      <c r="B984" s="13"/>
      <c r="C984" s="13"/>
    </row>
    <row r="985" spans="1:3" ht="13" x14ac:dyDescent="0.15">
      <c r="A985" s="10"/>
      <c r="B985" s="13"/>
      <c r="C985" s="13"/>
    </row>
    <row r="986" spans="1:3" ht="13" x14ac:dyDescent="0.15">
      <c r="A986" s="10"/>
      <c r="B986" s="13"/>
      <c r="C986" s="13"/>
    </row>
    <row r="987" spans="1:3" ht="13" x14ac:dyDescent="0.15">
      <c r="A987" s="10"/>
      <c r="B987" s="13"/>
      <c r="C987" s="13"/>
    </row>
    <row r="988" spans="1:3" ht="13" x14ac:dyDescent="0.15">
      <c r="A988" s="10"/>
      <c r="B988" s="13"/>
      <c r="C988" s="13"/>
    </row>
    <row r="989" spans="1:3" ht="13" x14ac:dyDescent="0.15">
      <c r="A989" s="10"/>
      <c r="B989" s="13"/>
      <c r="C989" s="13"/>
    </row>
    <row r="990" spans="1:3" ht="13" x14ac:dyDescent="0.15">
      <c r="A990" s="10"/>
      <c r="B990" s="13"/>
      <c r="C990" s="13"/>
    </row>
    <row r="991" spans="1:3" ht="13" x14ac:dyDescent="0.15">
      <c r="A991" s="10"/>
      <c r="B991" s="13"/>
      <c r="C991" s="13"/>
    </row>
    <row r="992" spans="1:3" ht="13" x14ac:dyDescent="0.15">
      <c r="A992" s="10"/>
      <c r="B992" s="13"/>
      <c r="C992" s="13"/>
    </row>
    <row r="993" spans="1:3" ht="13" x14ac:dyDescent="0.15">
      <c r="A993" s="10"/>
      <c r="B993" s="13"/>
      <c r="C993" s="13"/>
    </row>
    <row r="994" spans="1:3" ht="13" x14ac:dyDescent="0.15">
      <c r="A994" s="10"/>
      <c r="B994" s="13"/>
      <c r="C994" s="13"/>
    </row>
    <row r="995" spans="1:3" ht="13" x14ac:dyDescent="0.15">
      <c r="A995" s="10"/>
      <c r="B995" s="13"/>
      <c r="C995" s="13"/>
    </row>
    <row r="996" spans="1:3" ht="13" x14ac:dyDescent="0.15">
      <c r="A996" s="10"/>
      <c r="B996" s="13"/>
      <c r="C996" s="13"/>
    </row>
    <row r="997" spans="1:3" ht="13" x14ac:dyDescent="0.15">
      <c r="A997" s="10"/>
      <c r="B997" s="13"/>
      <c r="C997" s="13"/>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outlinePr summaryBelow="0" summaryRight="0"/>
  </sheetPr>
  <dimension ref="A1:D997"/>
  <sheetViews>
    <sheetView workbookViewId="0"/>
  </sheetViews>
  <sheetFormatPr baseColWidth="10" defaultColWidth="12.6640625" defaultRowHeight="15.75" customHeight="1" x14ac:dyDescent="0.15"/>
  <cols>
    <col min="1" max="1" width="71.5" customWidth="1"/>
    <col min="2" max="4" width="37.6640625" customWidth="1"/>
  </cols>
  <sheetData>
    <row r="1" spans="1:4" ht="15.75" customHeight="1" x14ac:dyDescent="0.15">
      <c r="A1" s="1"/>
      <c r="B1" s="12" t="str">
        <f ca="1">IFERROR(__xludf.DUMMYFUNCTION("IMPORTRANGE(""https://docs.google.com/spreadsheets/d/1C06Vs6H0Eg3__x1-dePLdZcY_bo1r3ReCeWRxqLlaS4"",""A40!B1:B22"")"),"Layla Baldwin")</f>
        <v>Layla Baldwin</v>
      </c>
      <c r="C1" s="10" t="str">
        <f ca="1">IFERROR(__xludf.DUMMYFUNCTION("IMPORTRANGE(""https://docs.google.com/spreadsheets/u/0/d/1e6QLf1_HeiTNz7JOFlwsfbt48UsSPCJuGTSppexqIJc"", ""39!B1:B22"")"),"Tyler Thibodeaux")</f>
        <v>Tyler Thibodeaux</v>
      </c>
      <c r="D1" s="13" t="str">
        <f ca="1">IFERROR(__xludf.DUMMYFUNCTION("IMPORTRANGE(""https://docs.google.com/spreadsheets/u/0/d/1Rfwd61p8X8kU1VBE4PFTeYG7-2eZzi6BYhKfon6XtRs"", ""A40!B1:B22"")"),"Korie Hall ")</f>
        <v xml:space="preserve">Korie Hall </v>
      </c>
    </row>
    <row r="2" spans="1:4" ht="15.75" customHeight="1" x14ac:dyDescent="0.15">
      <c r="A2" s="3" t="s">
        <v>2</v>
      </c>
      <c r="B2" s="15" t="str">
        <f ca="1">IFERROR(__xludf.DUMMYFUNCTION("""COMPUTED_VALUE"""),"25472 - 25636, forward (too short)")</f>
        <v>25472 - 25636, forward (too short)</v>
      </c>
      <c r="C2" s="15" t="str">
        <f ca="1">IFERROR(__xludf.DUMMYFUNCTION("""COMPUTED_VALUE"""),"25472 to 25636 (Forward)")</f>
        <v>25472 to 25636 (Forward)</v>
      </c>
      <c r="D2" s="15" t="str">
        <f ca="1">IFERROR(__xludf.DUMMYFUNCTION("""COMPUTED_VALUE"""),"Start: 25472 / Stop: 25636")</f>
        <v>Start: 25472 / Stop: 25636</v>
      </c>
    </row>
    <row r="3" spans="1:4" ht="15.75" customHeight="1" x14ac:dyDescent="0.15">
      <c r="A3" s="5" t="s">
        <v>3</v>
      </c>
      <c r="B3" s="17" t="str">
        <f ca="1">IFERROR(__xludf.DUMMYFUNCTION("""COMPUTED_VALUE"""),"40 in Pham and PDB, 39 in DNAM")</f>
        <v>40 in Pham and PDB, 39 in DNAM</v>
      </c>
      <c r="C3" s="17" t="str">
        <f ca="1">IFERROR(__xludf.DUMMYFUNCTION("""COMPUTED_VALUE"""),"DNAm= gene 39, PHAM &amp; Phages Db = gene 40")</f>
        <v>DNAm= gene 39, PHAM &amp; Phages Db = gene 40</v>
      </c>
      <c r="D3" s="17" t="str">
        <f ca="1">IFERROR(__xludf.DUMMYFUNCTION("""COMPUTED_VALUE"""),"DNA Master: Gene 39 / Phamerator: Gene 40")</f>
        <v>DNA Master: Gene 39 / Phamerator: Gene 40</v>
      </c>
    </row>
    <row r="4" spans="1:4" ht="15.75" customHeight="1" x14ac:dyDescent="0.15">
      <c r="A4" s="5" t="s">
        <v>4</v>
      </c>
      <c r="B4" s="17" t="str">
        <f ca="1">IFERROR(__xludf.DUMMYFUNCTION("""COMPUTED_VALUE"""),"6774 - 3/2/25")</f>
        <v>6774 - 3/2/25</v>
      </c>
      <c r="C4" s="17" t="str">
        <f ca="1">IFERROR(__xludf.DUMMYFUNCTION("""COMPUTED_VALUE"""),"pham 6774, 3-14-25")</f>
        <v>pham 6774, 3-14-25</v>
      </c>
      <c r="D4" s="17">
        <f ca="1">IFERROR(__xludf.DUMMYFUNCTION("""COMPUTED_VALUE"""),6774)</f>
        <v>6774</v>
      </c>
    </row>
    <row r="5" spans="1:4" ht="15.75" customHeight="1" x14ac:dyDescent="0.15">
      <c r="A5" s="5" t="s">
        <v>5</v>
      </c>
      <c r="B5" s="17" t="str">
        <f ca="1">IFERROR(__xludf.DUMMYFUNCTION("""COMPUTED_VALUE"""),"Edmundo_40, Kovu_41, Laroye_40")</f>
        <v>Edmundo_40, Kovu_41, Laroye_40</v>
      </c>
      <c r="C5" s="17" t="str">
        <f ca="1">IFERROR(__xludf.DUMMYFUNCTION("""COMPUTED_VALUE"""),"Kovu_41")</f>
        <v>Kovu_41</v>
      </c>
      <c r="D5" s="17" t="str">
        <f ca="1">IFERROR(__xludf.DUMMYFUNCTION("""COMPUTED_VALUE"""),"Kovu_41")</f>
        <v>Kovu_41</v>
      </c>
    </row>
    <row r="6" spans="1:4" ht="15.75" customHeight="1" x14ac:dyDescent="0.15">
      <c r="A6" s="5" t="s">
        <v>6</v>
      </c>
      <c r="B6" s="17" t="str">
        <f ca="1">IFERROR(__xludf.DUMMYFUNCTION("""COMPUTED_VALUE"""),"Glimmer calls at 25472 and GeneMark calls at 25448")</f>
        <v>Glimmer calls at 25472 and GeneMark calls at 25448</v>
      </c>
      <c r="C6" s="17" t="str">
        <f ca="1">IFERROR(__xludf.DUMMYFUNCTION("""COMPUTED_VALUE"""),"Original Glimmer call @bp 25472. GeneMark calls start at 25448")</f>
        <v>Original Glimmer call @bp 25472. GeneMark calls start at 25448</v>
      </c>
      <c r="D6" s="17" t="str">
        <f ca="1">IFERROR(__xludf.DUMMYFUNCTION("""COMPUTED_VALUE"""),"Glimmer calls at 25472 / GeneMark calls at 25488")</f>
        <v>Glimmer calls at 25472 / GeneMark calls at 25488</v>
      </c>
    </row>
    <row r="7" spans="1:4" ht="15.75" customHeight="1" x14ac:dyDescent="0.15">
      <c r="A7" s="5" t="s">
        <v>7</v>
      </c>
      <c r="B7" s="17" t="str">
        <f ca="1">IFERROR(__xludf.DUMMYFUNCTION("""COMPUTED_VALUE"""),"Gene has okay potential. Both called starts capture potential.")</f>
        <v>Gene has okay potential. Both called starts capture potential.</v>
      </c>
      <c r="C7" s="17" t="str">
        <f ca="1">IFERROR(__xludf.DUMMYFUNCTION("""COMPUTED_VALUE"""),"It has relatively Ok coding potential with a few minor dips thoughout the sequence. ")</f>
        <v xml:space="preserve">It has relatively Ok coding potential with a few minor dips thoughout the sequence. </v>
      </c>
      <c r="D7" s="17" t="str">
        <f ca="1">IFERROR(__xludf.DUMMYFUNCTION("""COMPUTED_VALUE"""),"Gene has little coding potential, but what it does have its included")</f>
        <v>Gene has little coding potential, but what it does have its included</v>
      </c>
    </row>
    <row r="8" spans="1:4" ht="15.75" customHeight="1" x14ac:dyDescent="0.15">
      <c r="A8" s="5" t="s">
        <v>8</v>
      </c>
      <c r="B8" s="17" t="str">
        <f ca="1">IFERROR(__xludf.DUMMYFUNCTION("""COMPUTED_VALUE"""),"No, three previous starts, but would overlap with previous gene by 7 bp")</f>
        <v>No, three previous starts, but would overlap with previous gene by 7 bp</v>
      </c>
      <c r="C8" s="17" t="str">
        <f ca="1">IFERROR(__xludf.DUMMYFUNCTION("""COMPUTED_VALUE"""),"It is the longest possible ORF ")</f>
        <v xml:space="preserve">It is the longest possible ORF </v>
      </c>
      <c r="D8" s="17" t="str">
        <f ca="1">IFERROR(__xludf.DUMMYFUNCTION("""COMPUTED_VALUE"""),"No, there is the possible start codon that GeneMark calls and two other potential start codons")</f>
        <v>No, there is the possible start codon that GeneMark calls and two other potential start codons</v>
      </c>
    </row>
    <row r="9" spans="1:4" ht="15.75" customHeight="1" x14ac:dyDescent="0.15">
      <c r="A9" s="5" t="s">
        <v>9</v>
      </c>
      <c r="B9" s="17" t="str">
        <f ca="1">IFERROR(__xludf.DUMMYFUNCTION("""COMPUTED_VALUE"""),"17 bp gap")</f>
        <v>17 bp gap</v>
      </c>
      <c r="C9" s="17" t="str">
        <f ca="1">IFERROR(__xludf.DUMMYFUNCTION("""COMPUTED_VALUE"""),"There is a gap of 17 nucleotides, which is acceptable. ")</f>
        <v xml:space="preserve">There is a gap of 17 nucleotides, which is acceptable. </v>
      </c>
      <c r="D9" s="17" t="str">
        <f ca="1">IFERROR(__xludf.DUMMYFUNCTION("""COMPUTED_VALUE"""),"The start codon that GeneMark calls would would create a 33 bp overlap ")</f>
        <v xml:space="preserve">The start codon that GeneMark calls would would create a 33 bp overlap </v>
      </c>
    </row>
    <row r="10" spans="1:4" ht="15.75" customHeight="1" x14ac:dyDescent="0.15">
      <c r="A10" s="5" t="s">
        <v>10</v>
      </c>
      <c r="B10" s="17" t="str">
        <f ca="1">IFERROR(__xludf.DUMMYFUNCTION("""COMPUTED_VALUE"""),"Start chosen by Glimmer (25472) has best Z and final score. Z = 2.807 and final = -3.116. The start chosen by GeneMark has not great scores. Start before previous start Z = 1.822, final = -6.189.")</f>
        <v>Start chosen by Glimmer (25472) has best Z and final score. Z = 2.807 and final = -3.116. The start chosen by GeneMark has not great scores. Start before previous start Z = 1.822, final = -6.189.</v>
      </c>
      <c r="C10" s="17" t="str">
        <f ca="1">IFERROR(__xludf.DUMMYFUNCTION("""COMPUTED_VALUE"""),"The Z score= 2.801, which is the best score so no othere starts are to be considered. Start 4 is the best.")</f>
        <v>The Z score= 2.801, which is the best score so no othere starts are to be considered. Start 4 is the best.</v>
      </c>
      <c r="D10" s="17" t="str">
        <f ca="1">IFERROR(__xludf.DUMMYFUNCTION("""COMPUTED_VALUE"""),"Z-value: 2.897 / Final score: -3.116")</f>
        <v>Z-value: 2.897 / Final score: -3.116</v>
      </c>
    </row>
    <row r="11" spans="1:4" ht="15.75" customHeight="1" x14ac:dyDescent="0.15">
      <c r="A11" s="5" t="s">
        <v>11</v>
      </c>
      <c r="B11" s="17" t="str">
        <f ca="1">IFERROR(__xludf.DUMMYFUNCTION("""COMPUTED_VALUE"""),"Kovu_41 hypothetical protein, % identity = 88.89, e value = 3e-27. Shrooms_36 hypotheitcal protein, % identity = 75.47, e value = 5e-20")</f>
        <v>Kovu_41 hypothetical protein, % identity = 88.89, e value = 3e-27. Shrooms_36 hypotheitcal protein, % identity = 75.47, e value = 5e-20</v>
      </c>
      <c r="C11" s="17" t="str">
        <f ca="1">IFERROR(__xludf.DUMMYFUNCTION("""COMPUTED_VALUE"""),"Kovu, gene 41, &amp;Identity= 89%, e= 3e-27, q1:s1")</f>
        <v>Kovu, gene 41, &amp;Identity= 89%, e= 3e-27, q1:s1</v>
      </c>
      <c r="D11" s="17" t="str">
        <f ca="1">IFERROR(__xludf.DUMMYFUNCTION("""COMPUTED_VALUE"""),"Kovu_41 - % identity: 94.44% / e-value: 3.3e-27 / q1:s1")</f>
        <v>Kovu_41 - % identity: 94.44% / e-value: 3.3e-27 / q1:s1</v>
      </c>
    </row>
    <row r="12" spans="1:4" ht="15.75" customHeight="1" x14ac:dyDescent="0.15">
      <c r="A12" s="5" t="s">
        <v>12</v>
      </c>
      <c r="B12" s="17" t="str">
        <f ca="1">IFERROR(__xludf.DUMMYFUNCTION("""COMPUTED_VALUE"""),"Only in 2 out of 9 in the family. Called 100% of the time when present. GeneMark called start not present in any other members besides Kovu.")</f>
        <v>Only in 2 out of 9 in the family. Called 100% of the time when present. GeneMark called start not present in any other members besides Kovu.</v>
      </c>
      <c r="C12" s="17" t="str">
        <f ca="1">IFERROR(__xludf.DUMMYFUNCTION("""COMPUTED_VALUE"""),"Start 4 is conserved in most of the members. It is called 86% of the time. ")</f>
        <v xml:space="preserve">Start 4 is conserved in most of the members. It is called 86% of the time. </v>
      </c>
      <c r="D12" s="17" t="str">
        <f ca="1">IFERROR(__xludf.DUMMYFUNCTION("""COMPUTED_VALUE"""),"Found in 2 of 9 members in the pham / Called 100% when present ")</f>
        <v xml:space="preserve">Found in 2 of 9 members in the pham / Called 100% when present </v>
      </c>
    </row>
    <row r="13" spans="1:4" ht="15.75" customHeight="1" x14ac:dyDescent="0.15">
      <c r="A13" s="5" t="s">
        <v>13</v>
      </c>
      <c r="B13" s="17" t="str">
        <f ca="1">IFERROR(__xludf.DUMMYFUNCTION("""COMPUTED_VALUE"""),"No, both starts capture potential, but Glimmer called start has best scores and sterterator report.")</f>
        <v>No, both starts capture potential, but Glimmer called start has best scores and sterterator report.</v>
      </c>
      <c r="C13" s="17" t="str">
        <f ca="1">IFERROR(__xludf.DUMMYFUNCTION("""COMPUTED_VALUE"""),"No ")</f>
        <v xml:space="preserve">No </v>
      </c>
      <c r="D13" s="17" t="str">
        <f ca="1">IFERROR(__xludf.DUMMYFUNCTION("""COMPUTED_VALUE"""),"Gene should be deleted. ( Rationale: Gene has little coding potential, the BLAST hits done just aren't the best. All hits and members of pham have an unknown fuction )")</f>
        <v>Gene should be deleted. ( Rationale: Gene has little coding potential, the BLAST hits done just aren't the best. All hits and members of pham have an unknown fuction )</v>
      </c>
    </row>
    <row r="14" spans="1:4" ht="15.75" customHeight="1" x14ac:dyDescent="0.15">
      <c r="A14" s="5" t="s">
        <v>14</v>
      </c>
      <c r="B14" s="17" t="str">
        <f ca="1">IFERROR(__xludf.DUMMYFUNCTION("""COMPUTED_VALUE"""),"Kovu_41 , e = 4e-24, Shrooms_36, e = 7e-19")</f>
        <v>Kovu_41 , e = 4e-24, Shrooms_36, e = 7e-19</v>
      </c>
      <c r="C14" s="17" t="str">
        <f ca="1">IFERROR(__xludf.DUMMYFUNCTION("""COMPUTED_VALUE"""),"Kovu_41, e= 4e-24")</f>
        <v>Kovu_41, e= 4e-24</v>
      </c>
      <c r="D14" s="17" t="str">
        <f ca="1">IFERROR(__xludf.DUMMYFUNCTION("""COMPUTED_VALUE"""),"Kovu_41 - e-value: 4e-24")</f>
        <v>Kovu_41 - e-value: 4e-24</v>
      </c>
    </row>
    <row r="15" spans="1:4" ht="15.75" customHeight="1" x14ac:dyDescent="0.15">
      <c r="A15" s="5" t="s">
        <v>15</v>
      </c>
      <c r="B15" s="17" t="str">
        <f ca="1">IFERROR(__xludf.DUMMYFUNCTION("""COMPUTED_VALUE"""),"function unknown for both Kovu and Shrooms")</f>
        <v>function unknown for both Kovu and Shrooms</v>
      </c>
      <c r="C15" s="17" t="str">
        <f ca="1">IFERROR(__xludf.DUMMYFUNCTION("""COMPUTED_VALUE"""),"Kovu_41, function unknown")</f>
        <v>Kovu_41, function unknown</v>
      </c>
      <c r="D15" s="17" t="str">
        <f ca="1">IFERROR(__xludf.DUMMYFUNCTION("""COMPUTED_VALUE"""),"Kovu_41 - function unknown ")</f>
        <v xml:space="preserve">Kovu_41 - function unknown </v>
      </c>
    </row>
    <row r="16" spans="1:4" ht="15.75" customHeight="1" x14ac:dyDescent="0.15">
      <c r="A16" s="5" t="s">
        <v>16</v>
      </c>
      <c r="B16" s="17" t="str">
        <f ca="1">IFERROR(__xludf.DUMMYFUNCTION("""COMPUTED_VALUE"""),"Yes")</f>
        <v>Yes</v>
      </c>
      <c r="C16" s="17" t="str">
        <f ca="1">IFERROR(__xludf.DUMMYFUNCTION("""COMPUTED_VALUE"""),"It is found in the same enviornment as Kovu")</f>
        <v>It is found in the same enviornment as Kovu</v>
      </c>
      <c r="D16" s="17" t="str">
        <f ca="1">IFERROR(__xludf.DUMMYFUNCTION("""COMPUTED_VALUE"""),"Adjacent to Kovu_41 / Different structure in Shrooms_36")</f>
        <v>Adjacent to Kovu_41 / Different structure in Shrooms_36</v>
      </c>
    </row>
    <row r="17" spans="1:4" ht="15.75" customHeight="1" x14ac:dyDescent="0.15">
      <c r="A17" s="5" t="s">
        <v>17</v>
      </c>
      <c r="B17" s="17" t="str">
        <f ca="1">IFERROR(__xludf.DUMMYFUNCTION("""COMPUTED_VALUE"""),"Not great results, most domain of unknow function, and none with probability score over 55%.")</f>
        <v>Not great results, most domain of unknow function, and none with probability score over 55%.</v>
      </c>
      <c r="C17" s="17" t="str">
        <f ca="1">IFERROR(__xludf.DUMMYFUNCTION("""COMPUTED_VALUE"""),"DUF4357 ; Domain of unknown function (DUF4357), %Prob= 41 %, %Q= 20%, %T=28%, No functional domain. ")</f>
        <v xml:space="preserve">DUF4357 ; Domain of unknown function (DUF4357), %Prob= 41 %, %Q= 20%, %T=28%, No functional domain. </v>
      </c>
      <c r="D17" s="17" t="str">
        <f ca="1">IFERROR(__xludf.DUMMYFUNCTION("""COMPUTED_VALUE"""),"No results were solid enough to use for further exploration.")</f>
        <v>No results were solid enough to use for further exploration.</v>
      </c>
    </row>
    <row r="18" spans="1:4" ht="15.75" customHeight="1" x14ac:dyDescent="0.15">
      <c r="A18" s="5" t="s">
        <v>18</v>
      </c>
      <c r="B18" s="17" t="str">
        <f ca="1">IFERROR(__xludf.DUMMYFUNCTION("""COMPUTED_VALUE"""),"No")</f>
        <v>No</v>
      </c>
      <c r="C18" s="17" t="str">
        <f ca="1">IFERROR(__xludf.DUMMYFUNCTION("""COMPUTED_VALUE"""),"None ")</f>
        <v xml:space="preserve">None </v>
      </c>
      <c r="D18" s="17" t="str">
        <f ca="1">IFERROR(__xludf.DUMMYFUNCTION("""COMPUTED_VALUE"""),"No conserved domain identified")</f>
        <v>No conserved domain identified</v>
      </c>
    </row>
    <row r="19" spans="1:4" ht="15.75" customHeight="1" x14ac:dyDescent="0.15">
      <c r="A19" s="5" t="s">
        <v>19</v>
      </c>
      <c r="B19" s="17" t="str">
        <f ca="1">IFERROR(__xludf.DUMMYFUNCTION("""COMPUTED_VALUE"""),"No")</f>
        <v>No</v>
      </c>
      <c r="C19" s="17" t="str">
        <f ca="1">IFERROR(__xludf.DUMMYFUNCTION("""COMPUTED_VALUE"""),"None ")</f>
        <v xml:space="preserve">None </v>
      </c>
      <c r="D19" s="17" t="str">
        <f ca="1">IFERROR(__xludf.DUMMYFUNCTION("""COMPUTED_VALUE"""),"No membrane protein identified")</f>
        <v>No membrane protein identified</v>
      </c>
    </row>
    <row r="20" spans="1:4" ht="15.75" customHeight="1" x14ac:dyDescent="0.15">
      <c r="A20" s="5" t="s">
        <v>20</v>
      </c>
      <c r="B20" s="17" t="str">
        <f ca="1">IFERROR(__xludf.DUMMYFUNCTION("""COMPUTED_VALUE"""),"Hypothetical protein, no evidence for anything else")</f>
        <v>Hypothetical protein, no evidence for anything else</v>
      </c>
      <c r="C20" s="17" t="str">
        <f ca="1">IFERROR(__xludf.DUMMYFUNCTION("""COMPUTED_VALUE"""),"Hypothetical Protein. This is due to the NCBI blast, the HHPred bein an unknown function, Synteny to Kovu_41. ")</f>
        <v xml:space="preserve">Hypothetical Protein. This is due to the NCBI blast, the HHPred bein an unknown function, Synteny to Kovu_41. </v>
      </c>
      <c r="D20" s="17" t="str">
        <f ca="1">IFERROR(__xludf.DUMMYFUNCTION("""COMPUTED_VALUE"""),"Gene should be deleted. ( Rationale: Gene has little coding potential, the BLAST hits done just aren't the best. All hits and members of pham have an unknown fuction )")</f>
        <v>Gene should be deleted. ( Rationale: Gene has little coding potential, the BLAST hits done just aren't the best. All hits and members of pham have an unknown fuction )</v>
      </c>
    </row>
    <row r="21" spans="1:4" x14ac:dyDescent="0.2">
      <c r="A21" s="7"/>
      <c r="B21" s="19"/>
      <c r="C21" s="19"/>
      <c r="D21" s="19"/>
    </row>
    <row r="22" spans="1:4" ht="15.75" customHeight="1" x14ac:dyDescent="0.15">
      <c r="A22" s="9" t="s">
        <v>21</v>
      </c>
      <c r="B22" s="19" t="str">
        <f ca="1">IFERROR(__xludf.DUMMYFUNCTION("""COMPUTED_VALUE"""),"Maybe move start because gene is short but not great scores")</f>
        <v>Maybe move start because gene is short but not great scores</v>
      </c>
      <c r="C22" s="19"/>
      <c r="D22" s="19"/>
    </row>
    <row r="23" spans="1:4" ht="15.75" customHeight="1" x14ac:dyDescent="0.15">
      <c r="A23" s="10"/>
      <c r="B23" s="13"/>
      <c r="C23" s="13"/>
      <c r="D23" s="13"/>
    </row>
    <row r="24" spans="1:4" ht="15.75" customHeight="1" x14ac:dyDescent="0.15">
      <c r="A24" s="10"/>
      <c r="B24" s="13"/>
      <c r="C24" s="13"/>
      <c r="D24" s="13"/>
    </row>
    <row r="25" spans="1:4" ht="15.75" customHeight="1" x14ac:dyDescent="0.15">
      <c r="A25" s="10"/>
      <c r="B25" s="13"/>
      <c r="C25" s="13"/>
      <c r="D25" s="13"/>
    </row>
    <row r="26" spans="1:4" ht="15.75" customHeight="1" x14ac:dyDescent="0.15">
      <c r="A26" s="10"/>
      <c r="B26" s="13"/>
      <c r="C26" s="13"/>
      <c r="D26" s="13"/>
    </row>
    <row r="27" spans="1:4" ht="15.75" customHeight="1" x14ac:dyDescent="0.15">
      <c r="A27" s="10"/>
      <c r="B27" s="13"/>
      <c r="C27" s="13"/>
      <c r="D27" s="13"/>
    </row>
    <row r="28" spans="1:4" ht="15.75" customHeight="1" x14ac:dyDescent="0.15">
      <c r="A28" s="10"/>
      <c r="B28" s="13"/>
      <c r="C28" s="13"/>
      <c r="D28" s="13"/>
    </row>
    <row r="29" spans="1:4" ht="15.75" customHeight="1" x14ac:dyDescent="0.15">
      <c r="A29" s="10"/>
      <c r="B29" s="13"/>
      <c r="C29" s="13"/>
      <c r="D29" s="13"/>
    </row>
    <row r="30" spans="1:4" ht="15.75" customHeight="1" x14ac:dyDescent="0.15">
      <c r="A30" s="10"/>
      <c r="B30" s="13"/>
      <c r="C30" s="13"/>
      <c r="D30" s="13"/>
    </row>
    <row r="31" spans="1:4" ht="15.75" customHeight="1" x14ac:dyDescent="0.15">
      <c r="A31" s="10"/>
      <c r="B31" s="13"/>
      <c r="C31" s="13"/>
      <c r="D31" s="13"/>
    </row>
    <row r="32" spans="1:4" ht="15.75" customHeight="1" x14ac:dyDescent="0.15">
      <c r="A32" s="10"/>
      <c r="B32" s="13"/>
      <c r="C32" s="13"/>
      <c r="D32" s="13"/>
    </row>
    <row r="33" spans="1:4" ht="15.75" customHeight="1" x14ac:dyDescent="0.15">
      <c r="A33" s="10"/>
      <c r="B33" s="13"/>
      <c r="C33" s="13"/>
      <c r="D33" s="13"/>
    </row>
    <row r="34" spans="1:4" ht="15.75" customHeight="1" x14ac:dyDescent="0.15">
      <c r="A34" s="10"/>
      <c r="B34" s="13"/>
      <c r="C34" s="13"/>
      <c r="D34" s="13"/>
    </row>
    <row r="35" spans="1:4" ht="15.75" customHeight="1" x14ac:dyDescent="0.15">
      <c r="A35" s="10"/>
      <c r="B35" s="13"/>
      <c r="C35" s="13"/>
      <c r="D35" s="13"/>
    </row>
    <row r="36" spans="1:4" ht="15.75" customHeight="1" x14ac:dyDescent="0.15">
      <c r="A36" s="10"/>
      <c r="B36" s="13"/>
      <c r="C36" s="13"/>
      <c r="D36" s="13"/>
    </row>
    <row r="37" spans="1:4" ht="15.75" customHeight="1" x14ac:dyDescent="0.15">
      <c r="A37" s="10"/>
      <c r="B37" s="13"/>
      <c r="C37" s="13"/>
      <c r="D37" s="13"/>
    </row>
    <row r="38" spans="1:4" ht="15.75" customHeight="1" x14ac:dyDescent="0.15">
      <c r="A38" s="10"/>
      <c r="B38" s="13"/>
      <c r="C38" s="13"/>
      <c r="D38" s="13"/>
    </row>
    <row r="39" spans="1:4" ht="13" x14ac:dyDescent="0.15">
      <c r="A39" s="10"/>
      <c r="B39" s="13"/>
      <c r="C39" s="13"/>
      <c r="D39" s="13"/>
    </row>
    <row r="40" spans="1:4" ht="13" x14ac:dyDescent="0.15">
      <c r="A40" s="10"/>
      <c r="B40" s="13"/>
      <c r="C40" s="13"/>
      <c r="D40" s="13"/>
    </row>
    <row r="41" spans="1:4" ht="13" x14ac:dyDescent="0.15">
      <c r="A41" s="10"/>
      <c r="B41" s="13"/>
      <c r="C41" s="13"/>
      <c r="D41" s="13"/>
    </row>
    <row r="42" spans="1:4" ht="13" x14ac:dyDescent="0.15">
      <c r="A42" s="10"/>
      <c r="B42" s="13"/>
      <c r="C42" s="13"/>
      <c r="D42" s="13"/>
    </row>
    <row r="43" spans="1:4" ht="13" x14ac:dyDescent="0.15">
      <c r="A43" s="10"/>
      <c r="B43" s="13"/>
      <c r="C43" s="13"/>
      <c r="D43" s="13"/>
    </row>
    <row r="44" spans="1:4" ht="13" x14ac:dyDescent="0.15">
      <c r="A44" s="10"/>
      <c r="B44" s="13"/>
      <c r="C44" s="13"/>
      <c r="D44" s="13"/>
    </row>
    <row r="45" spans="1:4" ht="13" x14ac:dyDescent="0.15">
      <c r="A45" s="10"/>
      <c r="B45" s="13"/>
      <c r="C45" s="13"/>
      <c r="D45" s="13"/>
    </row>
    <row r="46" spans="1:4" ht="13" x14ac:dyDescent="0.15">
      <c r="A46" s="10"/>
      <c r="B46" s="13"/>
      <c r="C46" s="13"/>
      <c r="D46" s="13"/>
    </row>
    <row r="47" spans="1:4" ht="13" x14ac:dyDescent="0.15">
      <c r="A47" s="10"/>
      <c r="B47" s="13"/>
      <c r="C47" s="13"/>
      <c r="D47" s="13"/>
    </row>
    <row r="48" spans="1:4" ht="13" x14ac:dyDescent="0.15">
      <c r="A48" s="10"/>
      <c r="B48" s="13"/>
      <c r="C48" s="13"/>
      <c r="D48" s="13"/>
    </row>
    <row r="49" spans="1:4" ht="13" x14ac:dyDescent="0.15">
      <c r="A49" s="10"/>
      <c r="B49" s="13"/>
      <c r="C49" s="13"/>
      <c r="D49" s="13"/>
    </row>
    <row r="50" spans="1:4" ht="13" x14ac:dyDescent="0.15">
      <c r="A50" s="10"/>
      <c r="B50" s="13"/>
      <c r="C50" s="13"/>
      <c r="D50" s="13"/>
    </row>
    <row r="51" spans="1:4" ht="13" x14ac:dyDescent="0.15">
      <c r="A51" s="10"/>
      <c r="B51" s="13"/>
      <c r="C51" s="13"/>
      <c r="D51" s="13"/>
    </row>
    <row r="52" spans="1:4" ht="13" x14ac:dyDescent="0.15">
      <c r="A52" s="10"/>
      <c r="B52" s="13"/>
      <c r="C52" s="13"/>
      <c r="D52" s="13"/>
    </row>
    <row r="53" spans="1:4" ht="13" x14ac:dyDescent="0.15">
      <c r="A53" s="10"/>
      <c r="B53" s="13"/>
      <c r="C53" s="13"/>
      <c r="D53" s="13"/>
    </row>
    <row r="54" spans="1:4" ht="13" x14ac:dyDescent="0.15">
      <c r="A54" s="10"/>
      <c r="B54" s="13"/>
      <c r="C54" s="13"/>
      <c r="D54" s="13"/>
    </row>
    <row r="55" spans="1:4" ht="13" x14ac:dyDescent="0.15">
      <c r="A55" s="10"/>
      <c r="B55" s="13"/>
      <c r="C55" s="13"/>
      <c r="D55" s="13"/>
    </row>
    <row r="56" spans="1:4" ht="13" x14ac:dyDescent="0.15">
      <c r="A56" s="10"/>
      <c r="B56" s="13"/>
      <c r="C56" s="13"/>
      <c r="D56" s="13"/>
    </row>
    <row r="57" spans="1:4" ht="13" x14ac:dyDescent="0.15">
      <c r="A57" s="10"/>
      <c r="B57" s="13"/>
      <c r="C57" s="13"/>
      <c r="D57" s="13"/>
    </row>
    <row r="58" spans="1:4" ht="13" x14ac:dyDescent="0.15">
      <c r="A58" s="10"/>
      <c r="B58" s="13"/>
      <c r="C58" s="13"/>
      <c r="D58" s="13"/>
    </row>
    <row r="59" spans="1:4" ht="13" x14ac:dyDescent="0.15">
      <c r="A59" s="10"/>
      <c r="B59" s="13"/>
      <c r="C59" s="13"/>
      <c r="D59" s="13"/>
    </row>
    <row r="60" spans="1:4" ht="13" x14ac:dyDescent="0.15">
      <c r="A60" s="10"/>
      <c r="B60" s="13"/>
      <c r="C60" s="13"/>
      <c r="D60" s="13"/>
    </row>
    <row r="61" spans="1:4" ht="13" x14ac:dyDescent="0.15">
      <c r="A61" s="10"/>
      <c r="B61" s="13"/>
      <c r="C61" s="13"/>
      <c r="D61" s="13"/>
    </row>
    <row r="62" spans="1:4" ht="13" x14ac:dyDescent="0.15">
      <c r="A62" s="10"/>
      <c r="B62" s="13"/>
      <c r="C62" s="13"/>
      <c r="D62" s="13"/>
    </row>
    <row r="63" spans="1:4" ht="13" x14ac:dyDescent="0.15">
      <c r="A63" s="10"/>
      <c r="B63" s="13"/>
      <c r="C63" s="13"/>
      <c r="D63" s="13"/>
    </row>
    <row r="64" spans="1:4" ht="13" x14ac:dyDescent="0.15">
      <c r="A64" s="10"/>
      <c r="B64" s="13"/>
      <c r="C64" s="13"/>
      <c r="D64" s="13"/>
    </row>
    <row r="65" spans="1:4" ht="13" x14ac:dyDescent="0.15">
      <c r="A65" s="10"/>
      <c r="B65" s="13"/>
      <c r="C65" s="13"/>
      <c r="D65" s="13"/>
    </row>
    <row r="66" spans="1:4" ht="13" x14ac:dyDescent="0.15">
      <c r="A66" s="10"/>
      <c r="B66" s="13"/>
      <c r="C66" s="13"/>
      <c r="D66" s="13"/>
    </row>
    <row r="67" spans="1:4" ht="13" x14ac:dyDescent="0.15">
      <c r="A67" s="10"/>
      <c r="B67" s="13"/>
      <c r="C67" s="13"/>
      <c r="D67" s="13"/>
    </row>
    <row r="68" spans="1:4" ht="13" x14ac:dyDescent="0.15">
      <c r="A68" s="10"/>
      <c r="B68" s="13"/>
      <c r="C68" s="13"/>
      <c r="D68" s="13"/>
    </row>
    <row r="69" spans="1:4" ht="13" x14ac:dyDescent="0.15">
      <c r="A69" s="10"/>
      <c r="B69" s="13"/>
      <c r="C69" s="13"/>
      <c r="D69" s="13"/>
    </row>
    <row r="70" spans="1:4" ht="13" x14ac:dyDescent="0.15">
      <c r="A70" s="10"/>
      <c r="B70" s="13"/>
      <c r="C70" s="13"/>
      <c r="D70" s="13"/>
    </row>
    <row r="71" spans="1:4" ht="13" x14ac:dyDescent="0.15">
      <c r="A71" s="10"/>
      <c r="B71" s="13"/>
      <c r="C71" s="13"/>
      <c r="D71" s="13"/>
    </row>
    <row r="72" spans="1:4" ht="13" x14ac:dyDescent="0.15">
      <c r="A72" s="10"/>
      <c r="B72" s="13"/>
      <c r="C72" s="13"/>
      <c r="D72" s="13"/>
    </row>
    <row r="73" spans="1:4" ht="13" x14ac:dyDescent="0.15">
      <c r="A73" s="10"/>
      <c r="B73" s="13"/>
      <c r="C73" s="13"/>
      <c r="D73" s="13"/>
    </row>
    <row r="74" spans="1:4" ht="13" x14ac:dyDescent="0.15">
      <c r="A74" s="10"/>
      <c r="B74" s="13"/>
      <c r="C74" s="13"/>
      <c r="D74" s="13"/>
    </row>
    <row r="75" spans="1:4" ht="13" x14ac:dyDescent="0.15">
      <c r="A75" s="10"/>
      <c r="B75" s="13"/>
      <c r="C75" s="13"/>
      <c r="D75" s="13"/>
    </row>
    <row r="76" spans="1:4" ht="13" x14ac:dyDescent="0.15">
      <c r="A76" s="10"/>
      <c r="B76" s="13"/>
      <c r="C76" s="13"/>
      <c r="D76" s="13"/>
    </row>
    <row r="77" spans="1:4" ht="13" x14ac:dyDescent="0.15">
      <c r="A77" s="10"/>
      <c r="B77" s="13"/>
      <c r="C77" s="13"/>
      <c r="D77" s="13"/>
    </row>
    <row r="78" spans="1:4" ht="13" x14ac:dyDescent="0.15">
      <c r="A78" s="10"/>
      <c r="B78" s="13"/>
      <c r="C78" s="13"/>
      <c r="D78" s="13"/>
    </row>
    <row r="79" spans="1:4" ht="13" x14ac:dyDescent="0.15">
      <c r="A79" s="10"/>
      <c r="B79" s="13"/>
      <c r="C79" s="13"/>
      <c r="D79" s="13"/>
    </row>
    <row r="80" spans="1:4" ht="13" x14ac:dyDescent="0.15">
      <c r="A80" s="10"/>
      <c r="B80" s="13"/>
      <c r="C80" s="13"/>
      <c r="D80" s="13"/>
    </row>
    <row r="81" spans="1:4" ht="13" x14ac:dyDescent="0.15">
      <c r="A81" s="10"/>
      <c r="B81" s="13"/>
      <c r="C81" s="13"/>
      <c r="D81" s="13"/>
    </row>
    <row r="82" spans="1:4" ht="13" x14ac:dyDescent="0.15">
      <c r="A82" s="10"/>
      <c r="B82" s="13"/>
      <c r="C82" s="13"/>
      <c r="D82" s="13"/>
    </row>
    <row r="83" spans="1:4" ht="13" x14ac:dyDescent="0.15">
      <c r="A83" s="10"/>
      <c r="B83" s="13"/>
      <c r="C83" s="13"/>
      <c r="D83" s="13"/>
    </row>
    <row r="84" spans="1:4" ht="13" x14ac:dyDescent="0.15">
      <c r="A84" s="10"/>
      <c r="B84" s="13"/>
      <c r="C84" s="13"/>
      <c r="D84" s="13"/>
    </row>
    <row r="85" spans="1:4" ht="13" x14ac:dyDescent="0.15">
      <c r="A85" s="10"/>
      <c r="B85" s="13"/>
      <c r="C85" s="13"/>
      <c r="D85" s="13"/>
    </row>
    <row r="86" spans="1:4" ht="13" x14ac:dyDescent="0.15">
      <c r="A86" s="10"/>
      <c r="B86" s="13"/>
      <c r="C86" s="13"/>
      <c r="D86" s="13"/>
    </row>
    <row r="87" spans="1:4" ht="13" x14ac:dyDescent="0.15">
      <c r="A87" s="10"/>
      <c r="B87" s="13"/>
      <c r="C87" s="13"/>
      <c r="D87" s="13"/>
    </row>
    <row r="88" spans="1:4" ht="13" x14ac:dyDescent="0.15">
      <c r="A88" s="10"/>
      <c r="B88" s="13"/>
      <c r="C88" s="13"/>
      <c r="D88" s="13"/>
    </row>
    <row r="89" spans="1:4" ht="13" x14ac:dyDescent="0.15">
      <c r="A89" s="10"/>
      <c r="B89" s="13"/>
      <c r="C89" s="13"/>
      <c r="D89" s="13"/>
    </row>
    <row r="90" spans="1:4" ht="13" x14ac:dyDescent="0.15">
      <c r="A90" s="10"/>
      <c r="B90" s="13"/>
      <c r="C90" s="13"/>
      <c r="D90" s="13"/>
    </row>
    <row r="91" spans="1:4" ht="13" x14ac:dyDescent="0.15">
      <c r="A91" s="10"/>
      <c r="B91" s="13"/>
      <c r="C91" s="13"/>
      <c r="D91" s="13"/>
    </row>
    <row r="92" spans="1:4" ht="13" x14ac:dyDescent="0.15">
      <c r="A92" s="10"/>
      <c r="B92" s="13"/>
      <c r="C92" s="13"/>
      <c r="D92" s="13"/>
    </row>
    <row r="93" spans="1:4" ht="13" x14ac:dyDescent="0.15">
      <c r="A93" s="10"/>
      <c r="B93" s="13"/>
      <c r="C93" s="13"/>
      <c r="D93" s="13"/>
    </row>
    <row r="94" spans="1:4" ht="13" x14ac:dyDescent="0.15">
      <c r="A94" s="10"/>
      <c r="B94" s="13"/>
      <c r="C94" s="13"/>
      <c r="D94" s="13"/>
    </row>
    <row r="95" spans="1:4" ht="13" x14ac:dyDescent="0.15">
      <c r="A95" s="10"/>
      <c r="B95" s="13"/>
      <c r="C95" s="13"/>
      <c r="D95" s="13"/>
    </row>
    <row r="96" spans="1:4" ht="13" x14ac:dyDescent="0.15">
      <c r="A96" s="10"/>
      <c r="B96" s="13"/>
      <c r="C96" s="13"/>
      <c r="D96" s="13"/>
    </row>
    <row r="97" spans="1:4" ht="13" x14ac:dyDescent="0.15">
      <c r="A97" s="10"/>
      <c r="B97" s="13"/>
      <c r="C97" s="13"/>
      <c r="D97" s="13"/>
    </row>
    <row r="98" spans="1:4" ht="13" x14ac:dyDescent="0.15">
      <c r="A98" s="10"/>
      <c r="B98" s="13"/>
      <c r="C98" s="13"/>
      <c r="D98" s="13"/>
    </row>
    <row r="99" spans="1:4" ht="13" x14ac:dyDescent="0.15">
      <c r="A99" s="10"/>
      <c r="B99" s="13"/>
      <c r="C99" s="13"/>
      <c r="D99" s="13"/>
    </row>
    <row r="100" spans="1:4" ht="13" x14ac:dyDescent="0.15">
      <c r="A100" s="10"/>
      <c r="B100" s="13"/>
      <c r="C100" s="13"/>
      <c r="D100" s="13"/>
    </row>
    <row r="101" spans="1:4" ht="13" x14ac:dyDescent="0.15">
      <c r="A101" s="10"/>
      <c r="B101" s="13"/>
      <c r="C101" s="13"/>
      <c r="D101" s="13"/>
    </row>
    <row r="102" spans="1:4" ht="13" x14ac:dyDescent="0.15">
      <c r="A102" s="10"/>
      <c r="B102" s="13"/>
      <c r="C102" s="13"/>
      <c r="D102" s="13"/>
    </row>
    <row r="103" spans="1:4" ht="13" x14ac:dyDescent="0.15">
      <c r="A103" s="10"/>
      <c r="B103" s="13"/>
      <c r="C103" s="13"/>
      <c r="D103" s="13"/>
    </row>
    <row r="104" spans="1:4" ht="13" x14ac:dyDescent="0.15">
      <c r="A104" s="10"/>
      <c r="B104" s="13"/>
      <c r="C104" s="13"/>
      <c r="D104" s="13"/>
    </row>
    <row r="105" spans="1:4" ht="13" x14ac:dyDescent="0.15">
      <c r="A105" s="10"/>
      <c r="B105" s="13"/>
      <c r="C105" s="13"/>
      <c r="D105" s="13"/>
    </row>
    <row r="106" spans="1:4" ht="13" x14ac:dyDescent="0.15">
      <c r="A106" s="10"/>
      <c r="B106" s="13"/>
      <c r="C106" s="13"/>
      <c r="D106" s="13"/>
    </row>
    <row r="107" spans="1:4" ht="13" x14ac:dyDescent="0.15">
      <c r="A107" s="10"/>
      <c r="B107" s="13"/>
      <c r="C107" s="13"/>
      <c r="D107" s="13"/>
    </row>
    <row r="108" spans="1:4" ht="13" x14ac:dyDescent="0.15">
      <c r="A108" s="10"/>
      <c r="B108" s="13"/>
      <c r="C108" s="13"/>
      <c r="D108" s="13"/>
    </row>
    <row r="109" spans="1:4" ht="13" x14ac:dyDescent="0.15">
      <c r="A109" s="10"/>
      <c r="B109" s="13"/>
      <c r="C109" s="13"/>
      <c r="D109" s="13"/>
    </row>
    <row r="110" spans="1:4" ht="13" x14ac:dyDescent="0.15">
      <c r="A110" s="10"/>
      <c r="B110" s="13"/>
      <c r="C110" s="13"/>
      <c r="D110" s="13"/>
    </row>
    <row r="111" spans="1:4" ht="13" x14ac:dyDescent="0.15">
      <c r="A111" s="10"/>
      <c r="B111" s="13"/>
      <c r="C111" s="13"/>
      <c r="D111" s="13"/>
    </row>
    <row r="112" spans="1:4" ht="13" x14ac:dyDescent="0.15">
      <c r="A112" s="10"/>
      <c r="B112" s="13"/>
      <c r="C112" s="13"/>
      <c r="D112" s="13"/>
    </row>
    <row r="113" spans="1:4" ht="13" x14ac:dyDescent="0.15">
      <c r="A113" s="10"/>
      <c r="B113" s="13"/>
      <c r="C113" s="13"/>
      <c r="D113" s="13"/>
    </row>
    <row r="114" spans="1:4" ht="13" x14ac:dyDescent="0.15">
      <c r="A114" s="10"/>
      <c r="B114" s="13"/>
      <c r="C114" s="13"/>
      <c r="D114" s="13"/>
    </row>
    <row r="115" spans="1:4" ht="13" x14ac:dyDescent="0.15">
      <c r="A115" s="10"/>
      <c r="B115" s="13"/>
      <c r="C115" s="13"/>
      <c r="D115" s="13"/>
    </row>
    <row r="116" spans="1:4" ht="13" x14ac:dyDescent="0.15">
      <c r="A116" s="10"/>
      <c r="B116" s="13"/>
      <c r="C116" s="13"/>
      <c r="D116" s="13"/>
    </row>
    <row r="117" spans="1:4" ht="13" x14ac:dyDescent="0.15">
      <c r="A117" s="10"/>
      <c r="B117" s="13"/>
      <c r="C117" s="13"/>
      <c r="D117" s="13"/>
    </row>
    <row r="118" spans="1:4" ht="13" x14ac:dyDescent="0.15">
      <c r="A118" s="10"/>
      <c r="B118" s="13"/>
      <c r="C118" s="13"/>
      <c r="D118" s="13"/>
    </row>
    <row r="119" spans="1:4" ht="13" x14ac:dyDescent="0.15">
      <c r="A119" s="10"/>
      <c r="B119" s="13"/>
      <c r="C119" s="13"/>
      <c r="D119" s="13"/>
    </row>
    <row r="120" spans="1:4" ht="13" x14ac:dyDescent="0.15">
      <c r="A120" s="10"/>
      <c r="B120" s="13"/>
      <c r="C120" s="13"/>
      <c r="D120" s="13"/>
    </row>
    <row r="121" spans="1:4" ht="13" x14ac:dyDescent="0.15">
      <c r="A121" s="10"/>
      <c r="B121" s="13"/>
      <c r="C121" s="13"/>
      <c r="D121" s="13"/>
    </row>
    <row r="122" spans="1:4" ht="13" x14ac:dyDescent="0.15">
      <c r="A122" s="10"/>
      <c r="B122" s="13"/>
      <c r="C122" s="13"/>
      <c r="D122" s="13"/>
    </row>
    <row r="123" spans="1:4" ht="13" x14ac:dyDescent="0.15">
      <c r="A123" s="10"/>
      <c r="B123" s="13"/>
      <c r="C123" s="13"/>
      <c r="D123" s="13"/>
    </row>
    <row r="124" spans="1:4" ht="13" x14ac:dyDescent="0.15">
      <c r="A124" s="10"/>
      <c r="B124" s="13"/>
      <c r="C124" s="13"/>
      <c r="D124" s="13"/>
    </row>
    <row r="125" spans="1:4" ht="13" x14ac:dyDescent="0.15">
      <c r="A125" s="10"/>
      <c r="B125" s="13"/>
      <c r="C125" s="13"/>
      <c r="D125" s="13"/>
    </row>
    <row r="126" spans="1:4" ht="13" x14ac:dyDescent="0.15">
      <c r="A126" s="10"/>
      <c r="B126" s="13"/>
      <c r="C126" s="13"/>
      <c r="D126" s="13"/>
    </row>
    <row r="127" spans="1:4" ht="13" x14ac:dyDescent="0.15">
      <c r="A127" s="10"/>
      <c r="B127" s="13"/>
      <c r="C127" s="13"/>
      <c r="D127" s="13"/>
    </row>
    <row r="128" spans="1:4" ht="13" x14ac:dyDescent="0.15">
      <c r="A128" s="10"/>
      <c r="B128" s="13"/>
      <c r="C128" s="13"/>
      <c r="D128" s="13"/>
    </row>
    <row r="129" spans="1:4" ht="13" x14ac:dyDescent="0.15">
      <c r="A129" s="10"/>
      <c r="B129" s="13"/>
      <c r="C129" s="13"/>
      <c r="D129" s="13"/>
    </row>
    <row r="130" spans="1:4" ht="13" x14ac:dyDescent="0.15">
      <c r="A130" s="10"/>
      <c r="B130" s="13"/>
      <c r="C130" s="13"/>
      <c r="D130" s="13"/>
    </row>
    <row r="131" spans="1:4" ht="13" x14ac:dyDescent="0.15">
      <c r="A131" s="10"/>
      <c r="B131" s="13"/>
      <c r="C131" s="13"/>
      <c r="D131" s="13"/>
    </row>
    <row r="132" spans="1:4" ht="13" x14ac:dyDescent="0.15">
      <c r="A132" s="10"/>
      <c r="B132" s="13"/>
      <c r="C132" s="13"/>
      <c r="D132" s="13"/>
    </row>
    <row r="133" spans="1:4" ht="13" x14ac:dyDescent="0.15">
      <c r="A133" s="10"/>
      <c r="B133" s="13"/>
      <c r="C133" s="13"/>
      <c r="D133" s="13"/>
    </row>
    <row r="134" spans="1:4" ht="13" x14ac:dyDescent="0.15">
      <c r="A134" s="10"/>
      <c r="B134" s="13"/>
      <c r="C134" s="13"/>
      <c r="D134" s="13"/>
    </row>
    <row r="135" spans="1:4" ht="13" x14ac:dyDescent="0.15">
      <c r="A135" s="10"/>
      <c r="B135" s="13"/>
      <c r="C135" s="13"/>
      <c r="D135" s="13"/>
    </row>
    <row r="136" spans="1:4" ht="13" x14ac:dyDescent="0.15">
      <c r="A136" s="10"/>
      <c r="B136" s="13"/>
      <c r="C136" s="13"/>
      <c r="D136" s="13"/>
    </row>
    <row r="137" spans="1:4" ht="13" x14ac:dyDescent="0.15">
      <c r="A137" s="10"/>
      <c r="B137" s="13"/>
      <c r="C137" s="13"/>
      <c r="D137" s="13"/>
    </row>
    <row r="138" spans="1:4" ht="13" x14ac:dyDescent="0.15">
      <c r="A138" s="10"/>
      <c r="B138" s="13"/>
      <c r="C138" s="13"/>
      <c r="D138" s="13"/>
    </row>
    <row r="139" spans="1:4" ht="13" x14ac:dyDescent="0.15">
      <c r="A139" s="10"/>
      <c r="B139" s="13"/>
      <c r="C139" s="13"/>
      <c r="D139" s="13"/>
    </row>
    <row r="140" spans="1:4" ht="13" x14ac:dyDescent="0.15">
      <c r="A140" s="10"/>
      <c r="B140" s="13"/>
      <c r="C140" s="13"/>
      <c r="D140" s="13"/>
    </row>
    <row r="141" spans="1:4" ht="13" x14ac:dyDescent="0.15">
      <c r="A141" s="10"/>
      <c r="B141" s="13"/>
      <c r="C141" s="13"/>
      <c r="D141" s="13"/>
    </row>
    <row r="142" spans="1:4" ht="13" x14ac:dyDescent="0.15">
      <c r="A142" s="10"/>
      <c r="B142" s="13"/>
      <c r="C142" s="13"/>
      <c r="D142" s="13"/>
    </row>
    <row r="143" spans="1:4" ht="13" x14ac:dyDescent="0.15">
      <c r="A143" s="10"/>
      <c r="B143" s="13"/>
      <c r="C143" s="13"/>
      <c r="D143" s="13"/>
    </row>
    <row r="144" spans="1:4" ht="13" x14ac:dyDescent="0.15">
      <c r="A144" s="10"/>
      <c r="B144" s="13"/>
      <c r="C144" s="13"/>
      <c r="D144" s="13"/>
    </row>
    <row r="145" spans="1:4" ht="13" x14ac:dyDescent="0.15">
      <c r="A145" s="10"/>
      <c r="B145" s="13"/>
      <c r="C145" s="13"/>
      <c r="D145" s="13"/>
    </row>
    <row r="146" spans="1:4" ht="13" x14ac:dyDescent="0.15">
      <c r="A146" s="10"/>
      <c r="B146" s="13"/>
      <c r="C146" s="13"/>
      <c r="D146" s="13"/>
    </row>
    <row r="147" spans="1:4" ht="13" x14ac:dyDescent="0.15">
      <c r="A147" s="10"/>
      <c r="B147" s="13"/>
      <c r="C147" s="13"/>
      <c r="D147" s="13"/>
    </row>
    <row r="148" spans="1:4" ht="13" x14ac:dyDescent="0.15">
      <c r="A148" s="10"/>
      <c r="B148" s="13"/>
      <c r="C148" s="13"/>
      <c r="D148" s="13"/>
    </row>
    <row r="149" spans="1:4" ht="13" x14ac:dyDescent="0.15">
      <c r="A149" s="10"/>
      <c r="B149" s="13"/>
      <c r="C149" s="13"/>
      <c r="D149" s="13"/>
    </row>
    <row r="150" spans="1:4" ht="13" x14ac:dyDescent="0.15">
      <c r="A150" s="10"/>
      <c r="B150" s="13"/>
      <c r="C150" s="13"/>
      <c r="D150" s="13"/>
    </row>
    <row r="151" spans="1:4" ht="13" x14ac:dyDescent="0.15">
      <c r="A151" s="10"/>
      <c r="B151" s="13"/>
      <c r="C151" s="13"/>
      <c r="D151" s="13"/>
    </row>
    <row r="152" spans="1:4" ht="13" x14ac:dyDescent="0.15">
      <c r="A152" s="10"/>
      <c r="B152" s="13"/>
      <c r="C152" s="13"/>
      <c r="D152" s="13"/>
    </row>
    <row r="153" spans="1:4" ht="13" x14ac:dyDescent="0.15">
      <c r="A153" s="10"/>
      <c r="B153" s="13"/>
      <c r="C153" s="13"/>
      <c r="D153" s="13"/>
    </row>
    <row r="154" spans="1:4" ht="13" x14ac:dyDescent="0.15">
      <c r="A154" s="10"/>
      <c r="B154" s="13"/>
      <c r="C154" s="13"/>
      <c r="D154" s="13"/>
    </row>
    <row r="155" spans="1:4" ht="13" x14ac:dyDescent="0.15">
      <c r="A155" s="10"/>
      <c r="B155" s="13"/>
      <c r="C155" s="13"/>
      <c r="D155" s="13"/>
    </row>
    <row r="156" spans="1:4" ht="13" x14ac:dyDescent="0.15">
      <c r="A156" s="10"/>
      <c r="B156" s="13"/>
      <c r="C156" s="13"/>
      <c r="D156" s="13"/>
    </row>
    <row r="157" spans="1:4" ht="13" x14ac:dyDescent="0.15">
      <c r="A157" s="10"/>
      <c r="B157" s="13"/>
      <c r="C157" s="13"/>
      <c r="D157" s="13"/>
    </row>
    <row r="158" spans="1:4" ht="13" x14ac:dyDescent="0.15">
      <c r="A158" s="10"/>
      <c r="B158" s="13"/>
      <c r="C158" s="13"/>
      <c r="D158" s="13"/>
    </row>
    <row r="159" spans="1:4" ht="13" x14ac:dyDescent="0.15">
      <c r="A159" s="10"/>
      <c r="B159" s="13"/>
      <c r="C159" s="13"/>
      <c r="D159" s="13"/>
    </row>
    <row r="160" spans="1:4" ht="13" x14ac:dyDescent="0.15">
      <c r="A160" s="10"/>
      <c r="B160" s="13"/>
      <c r="C160" s="13"/>
      <c r="D160" s="13"/>
    </row>
    <row r="161" spans="1:4" ht="13" x14ac:dyDescent="0.15">
      <c r="A161" s="10"/>
      <c r="B161" s="13"/>
      <c r="C161" s="13"/>
      <c r="D161" s="13"/>
    </row>
    <row r="162" spans="1:4" ht="13" x14ac:dyDescent="0.15">
      <c r="A162" s="10"/>
      <c r="B162" s="13"/>
      <c r="C162" s="13"/>
      <c r="D162" s="13"/>
    </row>
    <row r="163" spans="1:4" ht="13" x14ac:dyDescent="0.15">
      <c r="A163" s="10"/>
      <c r="B163" s="13"/>
      <c r="C163" s="13"/>
      <c r="D163" s="13"/>
    </row>
    <row r="164" spans="1:4" ht="13" x14ac:dyDescent="0.15">
      <c r="A164" s="10"/>
      <c r="B164" s="13"/>
      <c r="C164" s="13"/>
      <c r="D164" s="13"/>
    </row>
    <row r="165" spans="1:4" ht="13" x14ac:dyDescent="0.15">
      <c r="A165" s="10"/>
      <c r="B165" s="13"/>
      <c r="C165" s="13"/>
      <c r="D165" s="13"/>
    </row>
    <row r="166" spans="1:4" ht="13" x14ac:dyDescent="0.15">
      <c r="A166" s="10"/>
      <c r="B166" s="13"/>
      <c r="C166" s="13"/>
      <c r="D166" s="13"/>
    </row>
    <row r="167" spans="1:4" ht="13" x14ac:dyDescent="0.15">
      <c r="A167" s="10"/>
      <c r="B167" s="13"/>
      <c r="C167" s="13"/>
      <c r="D167" s="13"/>
    </row>
    <row r="168" spans="1:4" ht="13" x14ac:dyDescent="0.15">
      <c r="A168" s="10"/>
      <c r="B168" s="13"/>
      <c r="C168" s="13"/>
      <c r="D168" s="13"/>
    </row>
    <row r="169" spans="1:4" ht="13" x14ac:dyDescent="0.15">
      <c r="A169" s="10"/>
      <c r="B169" s="13"/>
      <c r="C169" s="13"/>
      <c r="D169" s="13"/>
    </row>
    <row r="170" spans="1:4" ht="13" x14ac:dyDescent="0.15">
      <c r="A170" s="10"/>
      <c r="B170" s="13"/>
      <c r="C170" s="13"/>
      <c r="D170" s="13"/>
    </row>
    <row r="171" spans="1:4" ht="13" x14ac:dyDescent="0.15">
      <c r="A171" s="10"/>
      <c r="B171" s="13"/>
      <c r="C171" s="13"/>
      <c r="D171" s="13"/>
    </row>
    <row r="172" spans="1:4" ht="13" x14ac:dyDescent="0.15">
      <c r="A172" s="10"/>
      <c r="B172" s="13"/>
      <c r="C172" s="13"/>
      <c r="D172" s="13"/>
    </row>
    <row r="173" spans="1:4" ht="13" x14ac:dyDescent="0.15">
      <c r="A173" s="10"/>
      <c r="B173" s="13"/>
      <c r="C173" s="13"/>
      <c r="D173" s="13"/>
    </row>
    <row r="174" spans="1:4" ht="13" x14ac:dyDescent="0.15">
      <c r="A174" s="10"/>
      <c r="B174" s="13"/>
      <c r="C174" s="13"/>
      <c r="D174" s="13"/>
    </row>
    <row r="175" spans="1:4" ht="13" x14ac:dyDescent="0.15">
      <c r="A175" s="10"/>
      <c r="B175" s="13"/>
      <c r="C175" s="13"/>
      <c r="D175" s="13"/>
    </row>
    <row r="176" spans="1:4" ht="13" x14ac:dyDescent="0.15">
      <c r="A176" s="10"/>
      <c r="B176" s="13"/>
      <c r="C176" s="13"/>
      <c r="D176" s="13"/>
    </row>
    <row r="177" spans="1:4" ht="13" x14ac:dyDescent="0.15">
      <c r="A177" s="10"/>
      <c r="B177" s="13"/>
      <c r="C177" s="13"/>
      <c r="D177" s="13"/>
    </row>
    <row r="178" spans="1:4" ht="13" x14ac:dyDescent="0.15">
      <c r="A178" s="10"/>
      <c r="B178" s="13"/>
      <c r="C178" s="13"/>
      <c r="D178" s="13"/>
    </row>
    <row r="179" spans="1:4" ht="13" x14ac:dyDescent="0.15">
      <c r="A179" s="10"/>
      <c r="B179" s="13"/>
      <c r="C179" s="13"/>
      <c r="D179" s="13"/>
    </row>
    <row r="180" spans="1:4" ht="13" x14ac:dyDescent="0.15">
      <c r="A180" s="10"/>
      <c r="B180" s="13"/>
      <c r="C180" s="13"/>
      <c r="D180" s="13"/>
    </row>
    <row r="181" spans="1:4" ht="13" x14ac:dyDescent="0.15">
      <c r="A181" s="10"/>
      <c r="B181" s="13"/>
      <c r="C181" s="13"/>
      <c r="D181" s="13"/>
    </row>
    <row r="182" spans="1:4" ht="13" x14ac:dyDescent="0.15">
      <c r="A182" s="10"/>
      <c r="B182" s="13"/>
      <c r="C182" s="13"/>
      <c r="D182" s="13"/>
    </row>
    <row r="183" spans="1:4" ht="13" x14ac:dyDescent="0.15">
      <c r="A183" s="10"/>
      <c r="B183" s="13"/>
      <c r="C183" s="13"/>
      <c r="D183" s="13"/>
    </row>
    <row r="184" spans="1:4" ht="13" x14ac:dyDescent="0.15">
      <c r="A184" s="10"/>
      <c r="B184" s="13"/>
      <c r="C184" s="13"/>
      <c r="D184" s="13"/>
    </row>
    <row r="185" spans="1:4" ht="13" x14ac:dyDescent="0.15">
      <c r="A185" s="10"/>
      <c r="B185" s="13"/>
      <c r="C185" s="13"/>
      <c r="D185" s="13"/>
    </row>
    <row r="186" spans="1:4" ht="13" x14ac:dyDescent="0.15">
      <c r="A186" s="10"/>
      <c r="B186" s="13"/>
      <c r="C186" s="13"/>
      <c r="D186" s="13"/>
    </row>
    <row r="187" spans="1:4" ht="13" x14ac:dyDescent="0.15">
      <c r="A187" s="10"/>
      <c r="B187" s="13"/>
      <c r="C187" s="13"/>
      <c r="D187" s="13"/>
    </row>
    <row r="188" spans="1:4" ht="13" x14ac:dyDescent="0.15">
      <c r="A188" s="10"/>
      <c r="B188" s="13"/>
      <c r="C188" s="13"/>
      <c r="D188" s="13"/>
    </row>
    <row r="189" spans="1:4" ht="13" x14ac:dyDescent="0.15">
      <c r="A189" s="10"/>
      <c r="B189" s="13"/>
      <c r="C189" s="13"/>
      <c r="D189" s="13"/>
    </row>
    <row r="190" spans="1:4" ht="13" x14ac:dyDescent="0.15">
      <c r="A190" s="10"/>
      <c r="B190" s="13"/>
      <c r="C190" s="13"/>
      <c r="D190" s="13"/>
    </row>
    <row r="191" spans="1:4" ht="13" x14ac:dyDescent="0.15">
      <c r="A191" s="10"/>
      <c r="B191" s="13"/>
      <c r="C191" s="13"/>
      <c r="D191" s="13"/>
    </row>
    <row r="192" spans="1:4" ht="13" x14ac:dyDescent="0.15">
      <c r="A192" s="10"/>
      <c r="B192" s="13"/>
      <c r="C192" s="13"/>
      <c r="D192" s="13"/>
    </row>
    <row r="193" spans="1:4" ht="13" x14ac:dyDescent="0.15">
      <c r="A193" s="10"/>
      <c r="B193" s="13"/>
      <c r="C193" s="13"/>
      <c r="D193" s="13"/>
    </row>
    <row r="194" spans="1:4" ht="13" x14ac:dyDescent="0.15">
      <c r="A194" s="10"/>
      <c r="B194" s="13"/>
      <c r="C194" s="13"/>
      <c r="D194" s="13"/>
    </row>
    <row r="195" spans="1:4" ht="13" x14ac:dyDescent="0.15">
      <c r="A195" s="10"/>
      <c r="B195" s="13"/>
      <c r="C195" s="13"/>
      <c r="D195" s="13"/>
    </row>
    <row r="196" spans="1:4" ht="13" x14ac:dyDescent="0.15">
      <c r="A196" s="10"/>
      <c r="B196" s="13"/>
      <c r="C196" s="13"/>
      <c r="D196" s="13"/>
    </row>
    <row r="197" spans="1:4" ht="13" x14ac:dyDescent="0.15">
      <c r="A197" s="10"/>
      <c r="B197" s="13"/>
      <c r="C197" s="13"/>
      <c r="D197" s="13"/>
    </row>
    <row r="198" spans="1:4" ht="13" x14ac:dyDescent="0.15">
      <c r="A198" s="10"/>
      <c r="B198" s="13"/>
      <c r="C198" s="13"/>
      <c r="D198" s="13"/>
    </row>
    <row r="199" spans="1:4" ht="13" x14ac:dyDescent="0.15">
      <c r="A199" s="10"/>
      <c r="B199" s="13"/>
      <c r="C199" s="13"/>
      <c r="D199" s="13"/>
    </row>
    <row r="200" spans="1:4" ht="13" x14ac:dyDescent="0.15">
      <c r="A200" s="10"/>
      <c r="B200" s="13"/>
      <c r="C200" s="13"/>
      <c r="D200" s="13"/>
    </row>
    <row r="201" spans="1:4" ht="13" x14ac:dyDescent="0.15">
      <c r="A201" s="10"/>
      <c r="B201" s="13"/>
      <c r="C201" s="13"/>
      <c r="D201" s="13"/>
    </row>
    <row r="202" spans="1:4" ht="13" x14ac:dyDescent="0.15">
      <c r="A202" s="10"/>
      <c r="B202" s="13"/>
      <c r="C202" s="13"/>
      <c r="D202" s="13"/>
    </row>
    <row r="203" spans="1:4" ht="13" x14ac:dyDescent="0.15">
      <c r="A203" s="10"/>
      <c r="B203" s="13"/>
      <c r="C203" s="13"/>
      <c r="D203" s="13"/>
    </row>
    <row r="204" spans="1:4" ht="13" x14ac:dyDescent="0.15">
      <c r="A204" s="10"/>
      <c r="B204" s="13"/>
      <c r="C204" s="13"/>
      <c r="D204" s="13"/>
    </row>
    <row r="205" spans="1:4" ht="13" x14ac:dyDescent="0.15">
      <c r="A205" s="10"/>
      <c r="B205" s="13"/>
      <c r="C205" s="13"/>
      <c r="D205" s="13"/>
    </row>
    <row r="206" spans="1:4" ht="13" x14ac:dyDescent="0.15">
      <c r="A206" s="10"/>
      <c r="B206" s="13"/>
      <c r="C206" s="13"/>
      <c r="D206" s="13"/>
    </row>
    <row r="207" spans="1:4" ht="13" x14ac:dyDescent="0.15">
      <c r="A207" s="10"/>
      <c r="B207" s="13"/>
      <c r="C207" s="13"/>
      <c r="D207" s="13"/>
    </row>
    <row r="208" spans="1:4" ht="13" x14ac:dyDescent="0.15">
      <c r="A208" s="10"/>
      <c r="B208" s="13"/>
      <c r="C208" s="13"/>
      <c r="D208" s="13"/>
    </row>
    <row r="209" spans="1:4" ht="13" x14ac:dyDescent="0.15">
      <c r="A209" s="10"/>
      <c r="B209" s="13"/>
      <c r="C209" s="13"/>
      <c r="D209" s="13"/>
    </row>
    <row r="210" spans="1:4" ht="13" x14ac:dyDescent="0.15">
      <c r="A210" s="10"/>
      <c r="B210" s="13"/>
      <c r="C210" s="13"/>
      <c r="D210" s="13"/>
    </row>
    <row r="211" spans="1:4" ht="13" x14ac:dyDescent="0.15">
      <c r="A211" s="10"/>
      <c r="B211" s="13"/>
      <c r="C211" s="13"/>
      <c r="D211" s="13"/>
    </row>
    <row r="212" spans="1:4" ht="13" x14ac:dyDescent="0.15">
      <c r="A212" s="10"/>
      <c r="B212" s="13"/>
      <c r="C212" s="13"/>
      <c r="D212" s="13"/>
    </row>
    <row r="213" spans="1:4" ht="13" x14ac:dyDescent="0.15">
      <c r="A213" s="10"/>
      <c r="B213" s="13"/>
      <c r="C213" s="13"/>
      <c r="D213" s="13"/>
    </row>
    <row r="214" spans="1:4" ht="13" x14ac:dyDescent="0.15">
      <c r="A214" s="10"/>
      <c r="B214" s="13"/>
      <c r="C214" s="13"/>
      <c r="D214" s="13"/>
    </row>
    <row r="215" spans="1:4" ht="13" x14ac:dyDescent="0.15">
      <c r="A215" s="10"/>
      <c r="B215" s="13"/>
      <c r="C215" s="13"/>
      <c r="D215" s="13"/>
    </row>
    <row r="216" spans="1:4" ht="13" x14ac:dyDescent="0.15">
      <c r="A216" s="10"/>
      <c r="B216" s="13"/>
      <c r="C216" s="13"/>
      <c r="D216" s="13"/>
    </row>
    <row r="217" spans="1:4" ht="13" x14ac:dyDescent="0.15">
      <c r="A217" s="10"/>
      <c r="B217" s="13"/>
      <c r="C217" s="13"/>
      <c r="D217" s="13"/>
    </row>
    <row r="218" spans="1:4" ht="13" x14ac:dyDescent="0.15">
      <c r="A218" s="10"/>
      <c r="B218" s="13"/>
      <c r="C218" s="13"/>
      <c r="D218" s="13"/>
    </row>
    <row r="219" spans="1:4" ht="13" x14ac:dyDescent="0.15">
      <c r="A219" s="10"/>
      <c r="B219" s="13"/>
      <c r="C219" s="13"/>
      <c r="D219" s="13"/>
    </row>
    <row r="220" spans="1:4" ht="13" x14ac:dyDescent="0.15">
      <c r="A220" s="10"/>
      <c r="B220" s="13"/>
      <c r="C220" s="13"/>
      <c r="D220" s="13"/>
    </row>
    <row r="221" spans="1:4" ht="13" x14ac:dyDescent="0.15">
      <c r="A221" s="10"/>
      <c r="B221" s="13"/>
      <c r="C221" s="13"/>
      <c r="D221" s="13"/>
    </row>
    <row r="222" spans="1:4" ht="13" x14ac:dyDescent="0.15">
      <c r="A222" s="10"/>
      <c r="B222" s="13"/>
      <c r="C222" s="13"/>
      <c r="D222" s="13"/>
    </row>
    <row r="223" spans="1:4" ht="13" x14ac:dyDescent="0.15">
      <c r="A223" s="10"/>
      <c r="B223" s="13"/>
      <c r="C223" s="13"/>
      <c r="D223" s="13"/>
    </row>
    <row r="224" spans="1:4" ht="13" x14ac:dyDescent="0.15">
      <c r="A224" s="10"/>
      <c r="B224" s="13"/>
      <c r="C224" s="13"/>
      <c r="D224" s="13"/>
    </row>
    <row r="225" spans="1:4" ht="13" x14ac:dyDescent="0.15">
      <c r="A225" s="10"/>
      <c r="B225" s="13"/>
      <c r="C225" s="13"/>
      <c r="D225" s="13"/>
    </row>
    <row r="226" spans="1:4" ht="13" x14ac:dyDescent="0.15">
      <c r="A226" s="10"/>
      <c r="B226" s="13"/>
      <c r="C226" s="13"/>
      <c r="D226" s="13"/>
    </row>
    <row r="227" spans="1:4" ht="13" x14ac:dyDescent="0.15">
      <c r="A227" s="10"/>
      <c r="B227" s="13"/>
      <c r="C227" s="13"/>
      <c r="D227" s="13"/>
    </row>
    <row r="228" spans="1:4" ht="13" x14ac:dyDescent="0.15">
      <c r="A228" s="10"/>
      <c r="B228" s="13"/>
      <c r="C228" s="13"/>
      <c r="D228" s="13"/>
    </row>
    <row r="229" spans="1:4" ht="13" x14ac:dyDescent="0.15">
      <c r="A229" s="10"/>
      <c r="B229" s="13"/>
      <c r="C229" s="13"/>
      <c r="D229" s="13"/>
    </row>
    <row r="230" spans="1:4" ht="13" x14ac:dyDescent="0.15">
      <c r="A230" s="10"/>
      <c r="B230" s="13"/>
      <c r="C230" s="13"/>
      <c r="D230" s="13"/>
    </row>
    <row r="231" spans="1:4" ht="13" x14ac:dyDescent="0.15">
      <c r="A231" s="10"/>
      <c r="B231" s="13"/>
      <c r="C231" s="13"/>
      <c r="D231" s="13"/>
    </row>
    <row r="232" spans="1:4" ht="13" x14ac:dyDescent="0.15">
      <c r="A232" s="10"/>
      <c r="B232" s="13"/>
      <c r="C232" s="13"/>
      <c r="D232" s="13"/>
    </row>
    <row r="233" spans="1:4" ht="13" x14ac:dyDescent="0.15">
      <c r="A233" s="10"/>
      <c r="B233" s="13"/>
      <c r="C233" s="13"/>
      <c r="D233" s="13"/>
    </row>
    <row r="234" spans="1:4" ht="13" x14ac:dyDescent="0.15">
      <c r="A234" s="10"/>
      <c r="B234" s="13"/>
      <c r="C234" s="13"/>
      <c r="D234" s="13"/>
    </row>
    <row r="235" spans="1:4" ht="13" x14ac:dyDescent="0.15">
      <c r="A235" s="10"/>
      <c r="B235" s="13"/>
      <c r="C235" s="13"/>
      <c r="D235" s="13"/>
    </row>
    <row r="236" spans="1:4" ht="13" x14ac:dyDescent="0.15">
      <c r="A236" s="10"/>
      <c r="B236" s="13"/>
      <c r="C236" s="13"/>
      <c r="D236" s="13"/>
    </row>
    <row r="237" spans="1:4" ht="13" x14ac:dyDescent="0.15">
      <c r="A237" s="10"/>
      <c r="B237" s="13"/>
      <c r="C237" s="13"/>
      <c r="D237" s="13"/>
    </row>
    <row r="238" spans="1:4" ht="13" x14ac:dyDescent="0.15">
      <c r="A238" s="10"/>
      <c r="B238" s="13"/>
      <c r="C238" s="13"/>
      <c r="D238" s="13"/>
    </row>
    <row r="239" spans="1:4" ht="13" x14ac:dyDescent="0.15">
      <c r="A239" s="10"/>
      <c r="B239" s="13"/>
      <c r="C239" s="13"/>
      <c r="D239" s="13"/>
    </row>
    <row r="240" spans="1:4" ht="13" x14ac:dyDescent="0.15">
      <c r="A240" s="10"/>
      <c r="B240" s="13"/>
      <c r="C240" s="13"/>
      <c r="D240" s="13"/>
    </row>
    <row r="241" spans="1:4" ht="13" x14ac:dyDescent="0.15">
      <c r="A241" s="10"/>
      <c r="B241" s="13"/>
      <c r="C241" s="13"/>
      <c r="D241" s="13"/>
    </row>
    <row r="242" spans="1:4" ht="13" x14ac:dyDescent="0.15">
      <c r="A242" s="10"/>
      <c r="B242" s="13"/>
      <c r="C242" s="13"/>
      <c r="D242" s="13"/>
    </row>
    <row r="243" spans="1:4" ht="13" x14ac:dyDescent="0.15">
      <c r="A243" s="10"/>
      <c r="B243" s="13"/>
      <c r="C243" s="13"/>
      <c r="D243" s="13"/>
    </row>
    <row r="244" spans="1:4" ht="13" x14ac:dyDescent="0.15">
      <c r="A244" s="10"/>
      <c r="B244" s="13"/>
      <c r="C244" s="13"/>
      <c r="D244" s="13"/>
    </row>
    <row r="245" spans="1:4" ht="13" x14ac:dyDescent="0.15">
      <c r="A245" s="10"/>
      <c r="B245" s="13"/>
      <c r="C245" s="13"/>
      <c r="D245" s="13"/>
    </row>
    <row r="246" spans="1:4" ht="13" x14ac:dyDescent="0.15">
      <c r="A246" s="10"/>
      <c r="B246" s="13"/>
      <c r="C246" s="13"/>
      <c r="D246" s="13"/>
    </row>
    <row r="247" spans="1:4" ht="13" x14ac:dyDescent="0.15">
      <c r="A247" s="10"/>
      <c r="B247" s="13"/>
      <c r="C247" s="13"/>
      <c r="D247" s="13"/>
    </row>
    <row r="248" spans="1:4" ht="13" x14ac:dyDescent="0.15">
      <c r="A248" s="10"/>
      <c r="B248" s="13"/>
      <c r="C248" s="13"/>
      <c r="D248" s="13"/>
    </row>
    <row r="249" spans="1:4" ht="13" x14ac:dyDescent="0.15">
      <c r="A249" s="10"/>
      <c r="B249" s="13"/>
      <c r="C249" s="13"/>
      <c r="D249" s="13"/>
    </row>
    <row r="250" spans="1:4" ht="13" x14ac:dyDescent="0.15">
      <c r="A250" s="10"/>
      <c r="B250" s="13"/>
      <c r="C250" s="13"/>
      <c r="D250" s="13"/>
    </row>
    <row r="251" spans="1:4" ht="13" x14ac:dyDescent="0.15">
      <c r="A251" s="10"/>
      <c r="B251" s="13"/>
      <c r="C251" s="13"/>
      <c r="D251" s="13"/>
    </row>
    <row r="252" spans="1:4" ht="13" x14ac:dyDescent="0.15">
      <c r="A252" s="10"/>
      <c r="B252" s="13"/>
      <c r="C252" s="13"/>
      <c r="D252" s="13"/>
    </row>
    <row r="253" spans="1:4" ht="13" x14ac:dyDescent="0.15">
      <c r="A253" s="10"/>
      <c r="B253" s="13"/>
      <c r="C253" s="13"/>
      <c r="D253" s="13"/>
    </row>
    <row r="254" spans="1:4" ht="13" x14ac:dyDescent="0.15">
      <c r="A254" s="10"/>
      <c r="B254" s="13"/>
      <c r="C254" s="13"/>
      <c r="D254" s="13"/>
    </row>
    <row r="255" spans="1:4" ht="13" x14ac:dyDescent="0.15">
      <c r="A255" s="10"/>
      <c r="B255" s="13"/>
      <c r="C255" s="13"/>
      <c r="D255" s="13"/>
    </row>
    <row r="256" spans="1:4" ht="13" x14ac:dyDescent="0.15">
      <c r="A256" s="10"/>
      <c r="B256" s="13"/>
      <c r="C256" s="13"/>
      <c r="D256" s="13"/>
    </row>
    <row r="257" spans="1:4" ht="13" x14ac:dyDescent="0.15">
      <c r="A257" s="10"/>
      <c r="B257" s="13"/>
      <c r="C257" s="13"/>
      <c r="D257" s="13"/>
    </row>
    <row r="258" spans="1:4" ht="13" x14ac:dyDescent="0.15">
      <c r="A258" s="10"/>
      <c r="B258" s="13"/>
      <c r="C258" s="13"/>
      <c r="D258" s="13"/>
    </row>
    <row r="259" spans="1:4" ht="13" x14ac:dyDescent="0.15">
      <c r="A259" s="10"/>
      <c r="B259" s="13"/>
      <c r="C259" s="13"/>
      <c r="D259" s="13"/>
    </row>
    <row r="260" spans="1:4" ht="13" x14ac:dyDescent="0.15">
      <c r="A260" s="10"/>
      <c r="B260" s="13"/>
      <c r="C260" s="13"/>
      <c r="D260" s="13"/>
    </row>
    <row r="261" spans="1:4" ht="13" x14ac:dyDescent="0.15">
      <c r="A261" s="10"/>
      <c r="B261" s="13"/>
      <c r="C261" s="13"/>
      <c r="D261" s="13"/>
    </row>
    <row r="262" spans="1:4" ht="13" x14ac:dyDescent="0.15">
      <c r="A262" s="10"/>
      <c r="B262" s="13"/>
      <c r="C262" s="13"/>
      <c r="D262" s="13"/>
    </row>
    <row r="263" spans="1:4" ht="13" x14ac:dyDescent="0.15">
      <c r="A263" s="10"/>
      <c r="B263" s="13"/>
      <c r="C263" s="13"/>
      <c r="D263" s="13"/>
    </row>
    <row r="264" spans="1:4" ht="13" x14ac:dyDescent="0.15">
      <c r="A264" s="10"/>
      <c r="B264" s="13"/>
      <c r="C264" s="13"/>
      <c r="D264" s="13"/>
    </row>
    <row r="265" spans="1:4" ht="13" x14ac:dyDescent="0.15">
      <c r="A265" s="10"/>
      <c r="B265" s="13"/>
      <c r="C265" s="13"/>
      <c r="D265" s="13"/>
    </row>
    <row r="266" spans="1:4" ht="13" x14ac:dyDescent="0.15">
      <c r="A266" s="10"/>
      <c r="B266" s="13"/>
      <c r="C266" s="13"/>
      <c r="D266" s="13"/>
    </row>
    <row r="267" spans="1:4" ht="13" x14ac:dyDescent="0.15">
      <c r="A267" s="10"/>
      <c r="B267" s="13"/>
      <c r="C267" s="13"/>
      <c r="D267" s="13"/>
    </row>
    <row r="268" spans="1:4" ht="13" x14ac:dyDescent="0.15">
      <c r="A268" s="10"/>
      <c r="B268" s="13"/>
      <c r="C268" s="13"/>
      <c r="D268" s="13"/>
    </row>
    <row r="269" spans="1:4" ht="13" x14ac:dyDescent="0.15">
      <c r="A269" s="10"/>
      <c r="B269" s="13"/>
      <c r="C269" s="13"/>
      <c r="D269" s="13"/>
    </row>
    <row r="270" spans="1:4" ht="13" x14ac:dyDescent="0.15">
      <c r="A270" s="10"/>
      <c r="B270" s="13"/>
      <c r="C270" s="13"/>
      <c r="D270" s="13"/>
    </row>
    <row r="271" spans="1:4" ht="13" x14ac:dyDescent="0.15">
      <c r="A271" s="10"/>
      <c r="B271" s="13"/>
      <c r="C271" s="13"/>
      <c r="D271" s="13"/>
    </row>
    <row r="272" spans="1:4" ht="13" x14ac:dyDescent="0.15">
      <c r="A272" s="10"/>
      <c r="B272" s="13"/>
      <c r="C272" s="13"/>
      <c r="D272" s="13"/>
    </row>
    <row r="273" spans="1:4" ht="13" x14ac:dyDescent="0.15">
      <c r="A273" s="10"/>
      <c r="B273" s="13"/>
      <c r="C273" s="13"/>
      <c r="D273" s="13"/>
    </row>
    <row r="274" spans="1:4" ht="13" x14ac:dyDescent="0.15">
      <c r="A274" s="10"/>
      <c r="B274" s="13"/>
      <c r="C274" s="13"/>
      <c r="D274" s="13"/>
    </row>
    <row r="275" spans="1:4" ht="13" x14ac:dyDescent="0.15">
      <c r="A275" s="10"/>
      <c r="B275" s="13"/>
      <c r="C275" s="13"/>
      <c r="D275" s="13"/>
    </row>
    <row r="276" spans="1:4" ht="13" x14ac:dyDescent="0.15">
      <c r="A276" s="10"/>
      <c r="B276" s="13"/>
      <c r="C276" s="13"/>
      <c r="D276" s="13"/>
    </row>
    <row r="277" spans="1:4" ht="13" x14ac:dyDescent="0.15">
      <c r="A277" s="10"/>
      <c r="B277" s="13"/>
      <c r="C277" s="13"/>
      <c r="D277" s="13"/>
    </row>
    <row r="278" spans="1:4" ht="13" x14ac:dyDescent="0.15">
      <c r="A278" s="10"/>
      <c r="B278" s="13"/>
      <c r="C278" s="13"/>
      <c r="D278" s="13"/>
    </row>
    <row r="279" spans="1:4" ht="13" x14ac:dyDescent="0.15">
      <c r="A279" s="10"/>
      <c r="B279" s="13"/>
      <c r="C279" s="13"/>
      <c r="D279" s="13"/>
    </row>
    <row r="280" spans="1:4" ht="13" x14ac:dyDescent="0.15">
      <c r="A280" s="10"/>
      <c r="B280" s="13"/>
      <c r="C280" s="13"/>
      <c r="D280" s="13"/>
    </row>
    <row r="281" spans="1:4" ht="13" x14ac:dyDescent="0.15">
      <c r="A281" s="10"/>
      <c r="B281" s="13"/>
      <c r="C281" s="13"/>
      <c r="D281" s="13"/>
    </row>
    <row r="282" spans="1:4" ht="13" x14ac:dyDescent="0.15">
      <c r="A282" s="10"/>
      <c r="B282" s="13"/>
      <c r="C282" s="13"/>
      <c r="D282" s="13"/>
    </row>
    <row r="283" spans="1:4" ht="13" x14ac:dyDescent="0.15">
      <c r="A283" s="10"/>
      <c r="B283" s="13"/>
      <c r="C283" s="13"/>
      <c r="D283" s="13"/>
    </row>
    <row r="284" spans="1:4" ht="13" x14ac:dyDescent="0.15">
      <c r="A284" s="10"/>
      <c r="B284" s="13"/>
      <c r="C284" s="13"/>
      <c r="D284" s="13"/>
    </row>
    <row r="285" spans="1:4" ht="13" x14ac:dyDescent="0.15">
      <c r="A285" s="10"/>
      <c r="B285" s="13"/>
      <c r="C285" s="13"/>
      <c r="D285" s="13"/>
    </row>
    <row r="286" spans="1:4" ht="13" x14ac:dyDescent="0.15">
      <c r="A286" s="10"/>
      <c r="B286" s="13"/>
      <c r="C286" s="13"/>
      <c r="D286" s="13"/>
    </row>
    <row r="287" spans="1:4" ht="13" x14ac:dyDescent="0.15">
      <c r="A287" s="10"/>
      <c r="B287" s="13"/>
      <c r="C287" s="13"/>
      <c r="D287" s="13"/>
    </row>
    <row r="288" spans="1:4" ht="13" x14ac:dyDescent="0.15">
      <c r="A288" s="10"/>
      <c r="B288" s="13"/>
      <c r="C288" s="13"/>
      <c r="D288" s="13"/>
    </row>
    <row r="289" spans="1:4" ht="13" x14ac:dyDescent="0.15">
      <c r="A289" s="10"/>
      <c r="B289" s="13"/>
      <c r="C289" s="13"/>
      <c r="D289" s="13"/>
    </row>
    <row r="290" spans="1:4" ht="13" x14ac:dyDescent="0.15">
      <c r="A290" s="10"/>
      <c r="B290" s="13"/>
      <c r="C290" s="13"/>
      <c r="D290" s="13"/>
    </row>
    <row r="291" spans="1:4" ht="13" x14ac:dyDescent="0.15">
      <c r="A291" s="10"/>
      <c r="B291" s="13"/>
      <c r="C291" s="13"/>
      <c r="D291" s="13"/>
    </row>
    <row r="292" spans="1:4" ht="13" x14ac:dyDescent="0.15">
      <c r="A292" s="10"/>
      <c r="B292" s="13"/>
      <c r="C292" s="13"/>
      <c r="D292" s="13"/>
    </row>
    <row r="293" spans="1:4" ht="13" x14ac:dyDescent="0.15">
      <c r="A293" s="10"/>
      <c r="B293" s="13"/>
      <c r="C293" s="13"/>
      <c r="D293" s="13"/>
    </row>
    <row r="294" spans="1:4" ht="13" x14ac:dyDescent="0.15">
      <c r="A294" s="10"/>
      <c r="B294" s="13"/>
      <c r="C294" s="13"/>
      <c r="D294" s="13"/>
    </row>
    <row r="295" spans="1:4" ht="13" x14ac:dyDescent="0.15">
      <c r="A295" s="10"/>
      <c r="B295" s="13"/>
      <c r="C295" s="13"/>
      <c r="D295" s="13"/>
    </row>
    <row r="296" spans="1:4" ht="13" x14ac:dyDescent="0.15">
      <c r="A296" s="10"/>
      <c r="B296" s="13"/>
      <c r="C296" s="13"/>
      <c r="D296" s="13"/>
    </row>
    <row r="297" spans="1:4" ht="13" x14ac:dyDescent="0.15">
      <c r="A297" s="10"/>
      <c r="B297" s="13"/>
      <c r="C297" s="13"/>
      <c r="D297" s="13"/>
    </row>
    <row r="298" spans="1:4" ht="13" x14ac:dyDescent="0.15">
      <c r="A298" s="10"/>
      <c r="B298" s="13"/>
      <c r="C298" s="13"/>
      <c r="D298" s="13"/>
    </row>
    <row r="299" spans="1:4" ht="13" x14ac:dyDescent="0.15">
      <c r="A299" s="10"/>
      <c r="B299" s="13"/>
      <c r="C299" s="13"/>
      <c r="D299" s="13"/>
    </row>
    <row r="300" spans="1:4" ht="13" x14ac:dyDescent="0.15">
      <c r="A300" s="10"/>
      <c r="B300" s="13"/>
      <c r="C300" s="13"/>
      <c r="D300" s="13"/>
    </row>
    <row r="301" spans="1:4" ht="13" x14ac:dyDescent="0.15">
      <c r="A301" s="10"/>
      <c r="B301" s="13"/>
      <c r="C301" s="13"/>
      <c r="D301" s="13"/>
    </row>
    <row r="302" spans="1:4" ht="13" x14ac:dyDescent="0.15">
      <c r="A302" s="10"/>
      <c r="B302" s="13"/>
      <c r="C302" s="13"/>
      <c r="D302" s="13"/>
    </row>
    <row r="303" spans="1:4" ht="13" x14ac:dyDescent="0.15">
      <c r="A303" s="10"/>
      <c r="B303" s="13"/>
      <c r="C303" s="13"/>
      <c r="D303" s="13"/>
    </row>
    <row r="304" spans="1:4" ht="13" x14ac:dyDescent="0.15">
      <c r="A304" s="10"/>
      <c r="B304" s="13"/>
      <c r="C304" s="13"/>
      <c r="D304" s="13"/>
    </row>
    <row r="305" spans="1:4" ht="13" x14ac:dyDescent="0.15">
      <c r="A305" s="10"/>
      <c r="B305" s="13"/>
      <c r="C305" s="13"/>
      <c r="D305" s="13"/>
    </row>
    <row r="306" spans="1:4" ht="13" x14ac:dyDescent="0.15">
      <c r="A306" s="10"/>
      <c r="B306" s="13"/>
      <c r="C306" s="13"/>
      <c r="D306" s="13"/>
    </row>
    <row r="307" spans="1:4" ht="13" x14ac:dyDescent="0.15">
      <c r="A307" s="10"/>
      <c r="B307" s="13"/>
      <c r="C307" s="13"/>
      <c r="D307" s="13"/>
    </row>
    <row r="308" spans="1:4" ht="13" x14ac:dyDescent="0.15">
      <c r="A308" s="10"/>
      <c r="B308" s="13"/>
      <c r="C308" s="13"/>
      <c r="D308" s="13"/>
    </row>
    <row r="309" spans="1:4" ht="13" x14ac:dyDescent="0.15">
      <c r="A309" s="10"/>
      <c r="B309" s="13"/>
      <c r="C309" s="13"/>
      <c r="D309" s="13"/>
    </row>
    <row r="310" spans="1:4" ht="13" x14ac:dyDescent="0.15">
      <c r="A310" s="10"/>
      <c r="B310" s="13"/>
      <c r="C310" s="13"/>
      <c r="D310" s="13"/>
    </row>
    <row r="311" spans="1:4" ht="13" x14ac:dyDescent="0.15">
      <c r="A311" s="10"/>
      <c r="B311" s="13"/>
      <c r="C311" s="13"/>
      <c r="D311" s="13"/>
    </row>
    <row r="312" spans="1:4" ht="13" x14ac:dyDescent="0.15">
      <c r="A312" s="10"/>
      <c r="B312" s="13"/>
      <c r="C312" s="13"/>
      <c r="D312" s="13"/>
    </row>
    <row r="313" spans="1:4" ht="13" x14ac:dyDescent="0.15">
      <c r="A313" s="10"/>
      <c r="B313" s="13"/>
      <c r="C313" s="13"/>
      <c r="D313" s="13"/>
    </row>
    <row r="314" spans="1:4" ht="13" x14ac:dyDescent="0.15">
      <c r="A314" s="10"/>
      <c r="B314" s="13"/>
      <c r="C314" s="13"/>
      <c r="D314" s="13"/>
    </row>
    <row r="315" spans="1:4" ht="13" x14ac:dyDescent="0.15">
      <c r="A315" s="10"/>
      <c r="B315" s="13"/>
      <c r="C315" s="13"/>
      <c r="D315" s="13"/>
    </row>
    <row r="316" spans="1:4" ht="13" x14ac:dyDescent="0.15">
      <c r="A316" s="10"/>
      <c r="B316" s="13"/>
      <c r="C316" s="13"/>
      <c r="D316" s="13"/>
    </row>
    <row r="317" spans="1:4" ht="13" x14ac:dyDescent="0.15">
      <c r="A317" s="10"/>
      <c r="B317" s="13"/>
      <c r="C317" s="13"/>
      <c r="D317" s="13"/>
    </row>
    <row r="318" spans="1:4" ht="13" x14ac:dyDescent="0.15">
      <c r="A318" s="10"/>
      <c r="B318" s="13"/>
      <c r="C318" s="13"/>
      <c r="D318" s="13"/>
    </row>
    <row r="319" spans="1:4" ht="13" x14ac:dyDescent="0.15">
      <c r="A319" s="10"/>
      <c r="B319" s="13"/>
      <c r="C319" s="13"/>
      <c r="D319" s="13"/>
    </row>
    <row r="320" spans="1:4" ht="13" x14ac:dyDescent="0.15">
      <c r="A320" s="10"/>
      <c r="B320" s="13"/>
      <c r="C320" s="13"/>
      <c r="D320" s="13"/>
    </row>
    <row r="321" spans="1:4" ht="13" x14ac:dyDescent="0.15">
      <c r="A321" s="10"/>
      <c r="B321" s="13"/>
      <c r="C321" s="13"/>
      <c r="D321" s="13"/>
    </row>
    <row r="322" spans="1:4" ht="13" x14ac:dyDescent="0.15">
      <c r="A322" s="10"/>
      <c r="B322" s="13"/>
      <c r="C322" s="13"/>
      <c r="D322" s="13"/>
    </row>
    <row r="323" spans="1:4" ht="13" x14ac:dyDescent="0.15">
      <c r="A323" s="10"/>
      <c r="B323" s="13"/>
      <c r="C323" s="13"/>
      <c r="D323" s="13"/>
    </row>
    <row r="324" spans="1:4" ht="13" x14ac:dyDescent="0.15">
      <c r="A324" s="10"/>
      <c r="B324" s="13"/>
      <c r="C324" s="13"/>
      <c r="D324" s="13"/>
    </row>
    <row r="325" spans="1:4" ht="13" x14ac:dyDescent="0.15">
      <c r="A325" s="10"/>
      <c r="B325" s="13"/>
      <c r="C325" s="13"/>
      <c r="D325" s="13"/>
    </row>
    <row r="326" spans="1:4" ht="13" x14ac:dyDescent="0.15">
      <c r="A326" s="10"/>
      <c r="B326" s="13"/>
      <c r="C326" s="13"/>
      <c r="D326" s="13"/>
    </row>
    <row r="327" spans="1:4" ht="13" x14ac:dyDescent="0.15">
      <c r="A327" s="10"/>
      <c r="B327" s="13"/>
      <c r="C327" s="13"/>
      <c r="D327" s="13"/>
    </row>
    <row r="328" spans="1:4" ht="13" x14ac:dyDescent="0.15">
      <c r="A328" s="10"/>
      <c r="B328" s="13"/>
      <c r="C328" s="13"/>
      <c r="D328" s="13"/>
    </row>
    <row r="329" spans="1:4" ht="13" x14ac:dyDescent="0.15">
      <c r="A329" s="10"/>
      <c r="B329" s="13"/>
      <c r="C329" s="13"/>
      <c r="D329" s="13"/>
    </row>
    <row r="330" spans="1:4" ht="13" x14ac:dyDescent="0.15">
      <c r="A330" s="10"/>
      <c r="B330" s="13"/>
      <c r="C330" s="13"/>
      <c r="D330" s="13"/>
    </row>
    <row r="331" spans="1:4" ht="13" x14ac:dyDescent="0.15">
      <c r="A331" s="10"/>
      <c r="B331" s="13"/>
      <c r="C331" s="13"/>
      <c r="D331" s="13"/>
    </row>
    <row r="332" spans="1:4" ht="13" x14ac:dyDescent="0.15">
      <c r="A332" s="10"/>
      <c r="B332" s="13"/>
      <c r="C332" s="13"/>
      <c r="D332" s="13"/>
    </row>
    <row r="333" spans="1:4" ht="13" x14ac:dyDescent="0.15">
      <c r="A333" s="10"/>
      <c r="B333" s="13"/>
      <c r="C333" s="13"/>
      <c r="D333" s="13"/>
    </row>
    <row r="334" spans="1:4" ht="13" x14ac:dyDescent="0.15">
      <c r="A334" s="10"/>
      <c r="B334" s="13"/>
      <c r="C334" s="13"/>
      <c r="D334" s="13"/>
    </row>
    <row r="335" spans="1:4" ht="13" x14ac:dyDescent="0.15">
      <c r="A335" s="10"/>
      <c r="B335" s="13"/>
      <c r="C335" s="13"/>
      <c r="D335" s="13"/>
    </row>
    <row r="336" spans="1:4" ht="13" x14ac:dyDescent="0.15">
      <c r="A336" s="10"/>
      <c r="B336" s="13"/>
      <c r="C336" s="13"/>
      <c r="D336" s="13"/>
    </row>
    <row r="337" spans="1:4" ht="13" x14ac:dyDescent="0.15">
      <c r="A337" s="10"/>
      <c r="B337" s="13"/>
      <c r="C337" s="13"/>
      <c r="D337" s="13"/>
    </row>
    <row r="338" spans="1:4" ht="13" x14ac:dyDescent="0.15">
      <c r="A338" s="10"/>
      <c r="B338" s="13"/>
      <c r="C338" s="13"/>
      <c r="D338" s="13"/>
    </row>
    <row r="339" spans="1:4" ht="13" x14ac:dyDescent="0.15">
      <c r="A339" s="10"/>
      <c r="B339" s="13"/>
      <c r="C339" s="13"/>
      <c r="D339" s="13"/>
    </row>
    <row r="340" spans="1:4" ht="13" x14ac:dyDescent="0.15">
      <c r="A340" s="10"/>
      <c r="B340" s="13"/>
      <c r="C340" s="13"/>
      <c r="D340" s="13"/>
    </row>
    <row r="341" spans="1:4" ht="13" x14ac:dyDescent="0.15">
      <c r="A341" s="10"/>
      <c r="B341" s="13"/>
      <c r="C341" s="13"/>
      <c r="D341" s="13"/>
    </row>
    <row r="342" spans="1:4" ht="13" x14ac:dyDescent="0.15">
      <c r="A342" s="10"/>
      <c r="B342" s="13"/>
      <c r="C342" s="13"/>
      <c r="D342" s="13"/>
    </row>
    <row r="343" spans="1:4" ht="13" x14ac:dyDescent="0.15">
      <c r="A343" s="10"/>
      <c r="B343" s="13"/>
      <c r="C343" s="13"/>
      <c r="D343" s="13"/>
    </row>
    <row r="344" spans="1:4" ht="13" x14ac:dyDescent="0.15">
      <c r="A344" s="10"/>
      <c r="B344" s="13"/>
      <c r="C344" s="13"/>
      <c r="D344" s="13"/>
    </row>
    <row r="345" spans="1:4" ht="13" x14ac:dyDescent="0.15">
      <c r="A345" s="10"/>
      <c r="B345" s="13"/>
      <c r="C345" s="13"/>
      <c r="D345" s="13"/>
    </row>
    <row r="346" spans="1:4" ht="13" x14ac:dyDescent="0.15">
      <c r="A346" s="10"/>
      <c r="B346" s="13"/>
      <c r="C346" s="13"/>
      <c r="D346" s="13"/>
    </row>
    <row r="347" spans="1:4" ht="13" x14ac:dyDescent="0.15">
      <c r="A347" s="10"/>
      <c r="B347" s="13"/>
      <c r="C347" s="13"/>
      <c r="D347" s="13"/>
    </row>
    <row r="348" spans="1:4" ht="13" x14ac:dyDescent="0.15">
      <c r="A348" s="10"/>
      <c r="B348" s="13"/>
      <c r="C348" s="13"/>
      <c r="D348" s="13"/>
    </row>
    <row r="349" spans="1:4" ht="13" x14ac:dyDescent="0.15">
      <c r="A349" s="10"/>
      <c r="B349" s="13"/>
      <c r="C349" s="13"/>
      <c r="D349" s="13"/>
    </row>
    <row r="350" spans="1:4" ht="13" x14ac:dyDescent="0.15">
      <c r="A350" s="10"/>
      <c r="B350" s="13"/>
      <c r="C350" s="13"/>
      <c r="D350" s="13"/>
    </row>
    <row r="351" spans="1:4" ht="13" x14ac:dyDescent="0.15">
      <c r="A351" s="10"/>
      <c r="B351" s="13"/>
      <c r="C351" s="13"/>
      <c r="D351" s="13"/>
    </row>
    <row r="352" spans="1:4" ht="13" x14ac:dyDescent="0.15">
      <c r="A352" s="10"/>
      <c r="B352" s="13"/>
      <c r="C352" s="13"/>
      <c r="D352" s="13"/>
    </row>
    <row r="353" spans="1:4" ht="13" x14ac:dyDescent="0.15">
      <c r="A353" s="10"/>
      <c r="B353" s="13"/>
      <c r="C353" s="13"/>
      <c r="D353" s="13"/>
    </row>
    <row r="354" spans="1:4" ht="13" x14ac:dyDescent="0.15">
      <c r="A354" s="10"/>
      <c r="B354" s="13"/>
      <c r="C354" s="13"/>
      <c r="D354" s="13"/>
    </row>
    <row r="355" spans="1:4" ht="13" x14ac:dyDescent="0.15">
      <c r="A355" s="10"/>
      <c r="B355" s="13"/>
      <c r="C355" s="13"/>
      <c r="D355" s="13"/>
    </row>
    <row r="356" spans="1:4" ht="13" x14ac:dyDescent="0.15">
      <c r="A356" s="10"/>
      <c r="B356" s="13"/>
      <c r="C356" s="13"/>
      <c r="D356" s="13"/>
    </row>
    <row r="357" spans="1:4" ht="13" x14ac:dyDescent="0.15">
      <c r="A357" s="10"/>
      <c r="B357" s="13"/>
      <c r="C357" s="13"/>
      <c r="D357" s="13"/>
    </row>
    <row r="358" spans="1:4" ht="13" x14ac:dyDescent="0.15">
      <c r="A358" s="10"/>
      <c r="B358" s="13"/>
      <c r="C358" s="13"/>
      <c r="D358" s="13"/>
    </row>
    <row r="359" spans="1:4" ht="13" x14ac:dyDescent="0.15">
      <c r="A359" s="10"/>
      <c r="B359" s="13"/>
      <c r="C359" s="13"/>
      <c r="D359" s="13"/>
    </row>
    <row r="360" spans="1:4" ht="13" x14ac:dyDescent="0.15">
      <c r="A360" s="10"/>
      <c r="B360" s="13"/>
      <c r="C360" s="13"/>
      <c r="D360" s="13"/>
    </row>
    <row r="361" spans="1:4" ht="13" x14ac:dyDescent="0.15">
      <c r="A361" s="10"/>
      <c r="B361" s="13"/>
      <c r="C361" s="13"/>
      <c r="D361" s="13"/>
    </row>
    <row r="362" spans="1:4" ht="13" x14ac:dyDescent="0.15">
      <c r="A362" s="10"/>
      <c r="B362" s="13"/>
      <c r="C362" s="13"/>
      <c r="D362" s="13"/>
    </row>
    <row r="363" spans="1:4" ht="13" x14ac:dyDescent="0.15">
      <c r="A363" s="10"/>
      <c r="B363" s="13"/>
      <c r="C363" s="13"/>
      <c r="D363" s="13"/>
    </row>
    <row r="364" spans="1:4" ht="13" x14ac:dyDescent="0.15">
      <c r="A364" s="10"/>
      <c r="B364" s="13"/>
      <c r="C364" s="13"/>
      <c r="D364" s="13"/>
    </row>
    <row r="365" spans="1:4" ht="13" x14ac:dyDescent="0.15">
      <c r="A365" s="10"/>
      <c r="B365" s="13"/>
      <c r="C365" s="13"/>
      <c r="D365" s="13"/>
    </row>
    <row r="366" spans="1:4" ht="13" x14ac:dyDescent="0.15">
      <c r="A366" s="10"/>
      <c r="B366" s="13"/>
      <c r="C366" s="13"/>
      <c r="D366" s="13"/>
    </row>
    <row r="367" spans="1:4" ht="13" x14ac:dyDescent="0.15">
      <c r="A367" s="10"/>
      <c r="B367" s="13"/>
      <c r="C367" s="13"/>
      <c r="D367" s="13"/>
    </row>
    <row r="368" spans="1:4" ht="13" x14ac:dyDescent="0.15">
      <c r="A368" s="10"/>
      <c r="B368" s="13"/>
      <c r="C368" s="13"/>
      <c r="D368" s="13"/>
    </row>
    <row r="369" spans="1:4" ht="13" x14ac:dyDescent="0.15">
      <c r="A369" s="10"/>
      <c r="B369" s="13"/>
      <c r="C369" s="13"/>
      <c r="D369" s="13"/>
    </row>
    <row r="370" spans="1:4" ht="13" x14ac:dyDescent="0.15">
      <c r="A370" s="10"/>
      <c r="B370" s="13"/>
      <c r="C370" s="13"/>
      <c r="D370" s="13"/>
    </row>
    <row r="371" spans="1:4" ht="13" x14ac:dyDescent="0.15">
      <c r="A371" s="10"/>
      <c r="B371" s="13"/>
      <c r="C371" s="13"/>
      <c r="D371" s="13"/>
    </row>
    <row r="372" spans="1:4" ht="13" x14ac:dyDescent="0.15">
      <c r="A372" s="10"/>
      <c r="B372" s="13"/>
      <c r="C372" s="13"/>
      <c r="D372" s="13"/>
    </row>
    <row r="373" spans="1:4" ht="13" x14ac:dyDescent="0.15">
      <c r="A373" s="10"/>
      <c r="B373" s="13"/>
      <c r="C373" s="13"/>
      <c r="D373" s="13"/>
    </row>
    <row r="374" spans="1:4" ht="13" x14ac:dyDescent="0.15">
      <c r="A374" s="10"/>
      <c r="B374" s="13"/>
      <c r="C374" s="13"/>
      <c r="D374" s="13"/>
    </row>
    <row r="375" spans="1:4" ht="13" x14ac:dyDescent="0.15">
      <c r="A375" s="10"/>
      <c r="B375" s="13"/>
      <c r="C375" s="13"/>
      <c r="D375" s="13"/>
    </row>
    <row r="376" spans="1:4" ht="13" x14ac:dyDescent="0.15">
      <c r="A376" s="10"/>
      <c r="B376" s="13"/>
      <c r="C376" s="13"/>
      <c r="D376" s="13"/>
    </row>
    <row r="377" spans="1:4" ht="13" x14ac:dyDescent="0.15">
      <c r="A377" s="10"/>
      <c r="B377" s="13"/>
      <c r="C377" s="13"/>
      <c r="D377" s="13"/>
    </row>
    <row r="378" spans="1:4" ht="13" x14ac:dyDescent="0.15">
      <c r="A378" s="10"/>
      <c r="B378" s="13"/>
      <c r="C378" s="13"/>
      <c r="D378" s="13"/>
    </row>
    <row r="379" spans="1:4" ht="13" x14ac:dyDescent="0.15">
      <c r="A379" s="10"/>
      <c r="B379" s="13"/>
      <c r="C379" s="13"/>
      <c r="D379" s="13"/>
    </row>
    <row r="380" spans="1:4" ht="13" x14ac:dyDescent="0.15">
      <c r="A380" s="10"/>
      <c r="B380" s="13"/>
      <c r="C380" s="13"/>
      <c r="D380" s="13"/>
    </row>
    <row r="381" spans="1:4" ht="13" x14ac:dyDescent="0.15">
      <c r="A381" s="10"/>
      <c r="B381" s="13"/>
      <c r="C381" s="13"/>
      <c r="D381" s="13"/>
    </row>
    <row r="382" spans="1:4" ht="13" x14ac:dyDescent="0.15">
      <c r="A382" s="10"/>
      <c r="B382" s="13"/>
      <c r="C382" s="13"/>
      <c r="D382" s="13"/>
    </row>
    <row r="383" spans="1:4" ht="13" x14ac:dyDescent="0.15">
      <c r="A383" s="10"/>
      <c r="B383" s="13"/>
      <c r="C383" s="13"/>
      <c r="D383" s="13"/>
    </row>
    <row r="384" spans="1:4" ht="13" x14ac:dyDescent="0.15">
      <c r="A384" s="10"/>
      <c r="B384" s="13"/>
      <c r="C384" s="13"/>
      <c r="D384" s="13"/>
    </row>
    <row r="385" spans="1:4" ht="13" x14ac:dyDescent="0.15">
      <c r="A385" s="10"/>
      <c r="B385" s="13"/>
      <c r="C385" s="13"/>
      <c r="D385" s="13"/>
    </row>
    <row r="386" spans="1:4" ht="13" x14ac:dyDescent="0.15">
      <c r="A386" s="10"/>
      <c r="B386" s="13"/>
      <c r="C386" s="13"/>
      <c r="D386" s="13"/>
    </row>
    <row r="387" spans="1:4" ht="13" x14ac:dyDescent="0.15">
      <c r="A387" s="10"/>
      <c r="B387" s="13"/>
      <c r="C387" s="13"/>
      <c r="D387" s="13"/>
    </row>
    <row r="388" spans="1:4" ht="13" x14ac:dyDescent="0.15">
      <c r="A388" s="10"/>
      <c r="B388" s="13"/>
      <c r="C388" s="13"/>
      <c r="D388" s="13"/>
    </row>
    <row r="389" spans="1:4" ht="13" x14ac:dyDescent="0.15">
      <c r="A389" s="10"/>
      <c r="B389" s="13"/>
      <c r="C389" s="13"/>
      <c r="D389" s="13"/>
    </row>
    <row r="390" spans="1:4" ht="13" x14ac:dyDescent="0.15">
      <c r="A390" s="10"/>
      <c r="B390" s="13"/>
      <c r="C390" s="13"/>
      <c r="D390" s="13"/>
    </row>
    <row r="391" spans="1:4" ht="13" x14ac:dyDescent="0.15">
      <c r="A391" s="10"/>
      <c r="B391" s="13"/>
      <c r="C391" s="13"/>
      <c r="D391" s="13"/>
    </row>
    <row r="392" spans="1:4" ht="13" x14ac:dyDescent="0.15">
      <c r="A392" s="10"/>
      <c r="B392" s="13"/>
      <c r="C392" s="13"/>
      <c r="D392" s="13"/>
    </row>
    <row r="393" spans="1:4" ht="13" x14ac:dyDescent="0.15">
      <c r="A393" s="10"/>
      <c r="B393" s="13"/>
      <c r="C393" s="13"/>
      <c r="D393" s="13"/>
    </row>
    <row r="394" spans="1:4" ht="13" x14ac:dyDescent="0.15">
      <c r="A394" s="10"/>
      <c r="B394" s="13"/>
      <c r="C394" s="13"/>
      <c r="D394" s="13"/>
    </row>
    <row r="395" spans="1:4" ht="13" x14ac:dyDescent="0.15">
      <c r="A395" s="10"/>
      <c r="B395" s="13"/>
      <c r="C395" s="13"/>
      <c r="D395" s="13"/>
    </row>
    <row r="396" spans="1:4" ht="13" x14ac:dyDescent="0.15">
      <c r="A396" s="10"/>
      <c r="B396" s="13"/>
      <c r="C396" s="13"/>
      <c r="D396" s="13"/>
    </row>
    <row r="397" spans="1:4" ht="13" x14ac:dyDescent="0.15">
      <c r="A397" s="10"/>
      <c r="B397" s="13"/>
      <c r="C397" s="13"/>
      <c r="D397" s="13"/>
    </row>
    <row r="398" spans="1:4" ht="13" x14ac:dyDescent="0.15">
      <c r="A398" s="10"/>
      <c r="B398" s="13"/>
      <c r="C398" s="13"/>
      <c r="D398" s="13"/>
    </row>
    <row r="399" spans="1:4" ht="13" x14ac:dyDescent="0.15">
      <c r="A399" s="10"/>
      <c r="B399" s="13"/>
      <c r="C399" s="13"/>
      <c r="D399" s="13"/>
    </row>
    <row r="400" spans="1:4" ht="13" x14ac:dyDescent="0.15">
      <c r="A400" s="10"/>
      <c r="B400" s="13"/>
      <c r="C400" s="13"/>
      <c r="D400" s="13"/>
    </row>
    <row r="401" spans="1:4" ht="13" x14ac:dyDescent="0.15">
      <c r="A401" s="10"/>
      <c r="B401" s="13"/>
      <c r="C401" s="13"/>
      <c r="D401" s="13"/>
    </row>
    <row r="402" spans="1:4" ht="13" x14ac:dyDescent="0.15">
      <c r="A402" s="10"/>
      <c r="B402" s="13"/>
      <c r="C402" s="13"/>
      <c r="D402" s="13"/>
    </row>
    <row r="403" spans="1:4" ht="13" x14ac:dyDescent="0.15">
      <c r="A403" s="10"/>
      <c r="B403" s="13"/>
      <c r="C403" s="13"/>
      <c r="D403" s="13"/>
    </row>
    <row r="404" spans="1:4" ht="13" x14ac:dyDescent="0.15">
      <c r="A404" s="10"/>
      <c r="B404" s="13"/>
      <c r="C404" s="13"/>
      <c r="D404" s="13"/>
    </row>
    <row r="405" spans="1:4" ht="13" x14ac:dyDescent="0.15">
      <c r="A405" s="10"/>
      <c r="B405" s="13"/>
      <c r="C405" s="13"/>
      <c r="D405" s="13"/>
    </row>
    <row r="406" spans="1:4" ht="13" x14ac:dyDescent="0.15">
      <c r="A406" s="10"/>
      <c r="B406" s="13"/>
      <c r="C406" s="13"/>
      <c r="D406" s="13"/>
    </row>
    <row r="407" spans="1:4" ht="13" x14ac:dyDescent="0.15">
      <c r="A407" s="10"/>
      <c r="B407" s="13"/>
      <c r="C407" s="13"/>
      <c r="D407" s="13"/>
    </row>
    <row r="408" spans="1:4" ht="13" x14ac:dyDescent="0.15">
      <c r="A408" s="10"/>
      <c r="B408" s="13"/>
      <c r="C408" s="13"/>
      <c r="D408" s="13"/>
    </row>
    <row r="409" spans="1:4" ht="13" x14ac:dyDescent="0.15">
      <c r="A409" s="10"/>
      <c r="B409" s="13"/>
      <c r="C409" s="13"/>
      <c r="D409" s="13"/>
    </row>
    <row r="410" spans="1:4" ht="13" x14ac:dyDescent="0.15">
      <c r="A410" s="10"/>
      <c r="B410" s="13"/>
      <c r="C410" s="13"/>
      <c r="D410" s="13"/>
    </row>
    <row r="411" spans="1:4" ht="13" x14ac:dyDescent="0.15">
      <c r="A411" s="10"/>
      <c r="B411" s="13"/>
      <c r="C411" s="13"/>
      <c r="D411" s="13"/>
    </row>
    <row r="412" spans="1:4" ht="13" x14ac:dyDescent="0.15">
      <c r="A412" s="10"/>
      <c r="B412" s="13"/>
      <c r="C412" s="13"/>
      <c r="D412" s="13"/>
    </row>
    <row r="413" spans="1:4" ht="13" x14ac:dyDescent="0.15">
      <c r="A413" s="10"/>
      <c r="B413" s="13"/>
      <c r="C413" s="13"/>
      <c r="D413" s="13"/>
    </row>
    <row r="414" spans="1:4" ht="13" x14ac:dyDescent="0.15">
      <c r="A414" s="10"/>
      <c r="B414" s="13"/>
      <c r="C414" s="13"/>
      <c r="D414" s="13"/>
    </row>
    <row r="415" spans="1:4" ht="13" x14ac:dyDescent="0.15">
      <c r="A415" s="10"/>
      <c r="B415" s="13"/>
      <c r="C415" s="13"/>
      <c r="D415" s="13"/>
    </row>
    <row r="416" spans="1:4" ht="13" x14ac:dyDescent="0.15">
      <c r="A416" s="10"/>
      <c r="B416" s="13"/>
      <c r="C416" s="13"/>
      <c r="D416" s="13"/>
    </row>
    <row r="417" spans="1:4" ht="13" x14ac:dyDescent="0.15">
      <c r="A417" s="10"/>
      <c r="B417" s="13"/>
      <c r="C417" s="13"/>
      <c r="D417" s="13"/>
    </row>
    <row r="418" spans="1:4" ht="13" x14ac:dyDescent="0.15">
      <c r="A418" s="10"/>
      <c r="B418" s="13"/>
      <c r="C418" s="13"/>
      <c r="D418" s="13"/>
    </row>
    <row r="419" spans="1:4" ht="13" x14ac:dyDescent="0.15">
      <c r="A419" s="10"/>
      <c r="B419" s="13"/>
      <c r="C419" s="13"/>
      <c r="D419" s="13"/>
    </row>
    <row r="420" spans="1:4" ht="13" x14ac:dyDescent="0.15">
      <c r="A420" s="10"/>
      <c r="B420" s="13"/>
      <c r="C420" s="13"/>
      <c r="D420" s="13"/>
    </row>
    <row r="421" spans="1:4" ht="13" x14ac:dyDescent="0.15">
      <c r="A421" s="10"/>
      <c r="B421" s="13"/>
      <c r="C421" s="13"/>
      <c r="D421" s="13"/>
    </row>
    <row r="422" spans="1:4" ht="13" x14ac:dyDescent="0.15">
      <c r="A422" s="10"/>
      <c r="B422" s="13"/>
      <c r="C422" s="13"/>
      <c r="D422" s="13"/>
    </row>
    <row r="423" spans="1:4" ht="13" x14ac:dyDescent="0.15">
      <c r="A423" s="10"/>
      <c r="B423" s="13"/>
      <c r="C423" s="13"/>
      <c r="D423" s="13"/>
    </row>
    <row r="424" spans="1:4" ht="13" x14ac:dyDescent="0.15">
      <c r="A424" s="10"/>
      <c r="B424" s="13"/>
      <c r="C424" s="13"/>
      <c r="D424" s="13"/>
    </row>
    <row r="425" spans="1:4" ht="13" x14ac:dyDescent="0.15">
      <c r="A425" s="10"/>
      <c r="B425" s="13"/>
      <c r="C425" s="13"/>
      <c r="D425" s="13"/>
    </row>
    <row r="426" spans="1:4" ht="13" x14ac:dyDescent="0.15">
      <c r="A426" s="10"/>
      <c r="B426" s="13"/>
      <c r="C426" s="13"/>
      <c r="D426" s="13"/>
    </row>
    <row r="427" spans="1:4" ht="13" x14ac:dyDescent="0.15">
      <c r="A427" s="10"/>
      <c r="B427" s="13"/>
      <c r="C427" s="13"/>
      <c r="D427" s="13"/>
    </row>
    <row r="428" spans="1:4" ht="13" x14ac:dyDescent="0.15">
      <c r="A428" s="10"/>
      <c r="B428" s="13"/>
      <c r="C428" s="13"/>
      <c r="D428" s="13"/>
    </row>
    <row r="429" spans="1:4" ht="13" x14ac:dyDescent="0.15">
      <c r="A429" s="10"/>
      <c r="B429" s="13"/>
      <c r="C429" s="13"/>
      <c r="D429" s="13"/>
    </row>
    <row r="430" spans="1:4" ht="13" x14ac:dyDescent="0.15">
      <c r="A430" s="10"/>
      <c r="B430" s="13"/>
      <c r="C430" s="13"/>
      <c r="D430" s="13"/>
    </row>
    <row r="431" spans="1:4" ht="13" x14ac:dyDescent="0.15">
      <c r="A431" s="10"/>
      <c r="B431" s="13"/>
      <c r="C431" s="13"/>
      <c r="D431" s="13"/>
    </row>
    <row r="432" spans="1:4" ht="13" x14ac:dyDescent="0.15">
      <c r="A432" s="10"/>
      <c r="B432" s="13"/>
      <c r="C432" s="13"/>
      <c r="D432" s="13"/>
    </row>
    <row r="433" spans="1:4" ht="13" x14ac:dyDescent="0.15">
      <c r="A433" s="10"/>
      <c r="B433" s="13"/>
      <c r="C433" s="13"/>
      <c r="D433" s="13"/>
    </row>
    <row r="434" spans="1:4" ht="13" x14ac:dyDescent="0.15">
      <c r="A434" s="10"/>
      <c r="B434" s="13"/>
      <c r="C434" s="13"/>
      <c r="D434" s="13"/>
    </row>
    <row r="435" spans="1:4" ht="13" x14ac:dyDescent="0.15">
      <c r="A435" s="10"/>
      <c r="B435" s="13"/>
      <c r="C435" s="13"/>
      <c r="D435" s="13"/>
    </row>
    <row r="436" spans="1:4" ht="13" x14ac:dyDescent="0.15">
      <c r="A436" s="10"/>
      <c r="B436" s="13"/>
      <c r="C436" s="13"/>
      <c r="D436" s="13"/>
    </row>
    <row r="437" spans="1:4" ht="13" x14ac:dyDescent="0.15">
      <c r="A437" s="10"/>
      <c r="B437" s="13"/>
      <c r="C437" s="13"/>
      <c r="D437" s="13"/>
    </row>
    <row r="438" spans="1:4" ht="13" x14ac:dyDescent="0.15">
      <c r="A438" s="10"/>
      <c r="B438" s="13"/>
      <c r="C438" s="13"/>
      <c r="D438" s="13"/>
    </row>
    <row r="439" spans="1:4" ht="13" x14ac:dyDescent="0.15">
      <c r="A439" s="10"/>
      <c r="B439" s="13"/>
      <c r="C439" s="13"/>
      <c r="D439" s="13"/>
    </row>
    <row r="440" spans="1:4" ht="13" x14ac:dyDescent="0.15">
      <c r="A440" s="10"/>
      <c r="B440" s="13"/>
      <c r="C440" s="13"/>
      <c r="D440" s="13"/>
    </row>
    <row r="441" spans="1:4" ht="13" x14ac:dyDescent="0.15">
      <c r="A441" s="10"/>
      <c r="B441" s="13"/>
      <c r="C441" s="13"/>
      <c r="D441" s="13"/>
    </row>
    <row r="442" spans="1:4" ht="13" x14ac:dyDescent="0.15">
      <c r="A442" s="10"/>
      <c r="B442" s="13"/>
      <c r="C442" s="13"/>
      <c r="D442" s="13"/>
    </row>
    <row r="443" spans="1:4" ht="13" x14ac:dyDescent="0.15">
      <c r="A443" s="10"/>
      <c r="B443" s="13"/>
      <c r="C443" s="13"/>
      <c r="D443" s="13"/>
    </row>
    <row r="444" spans="1:4" ht="13" x14ac:dyDescent="0.15">
      <c r="A444" s="10"/>
      <c r="B444" s="13"/>
      <c r="C444" s="13"/>
      <c r="D444" s="13"/>
    </row>
    <row r="445" spans="1:4" ht="13" x14ac:dyDescent="0.15">
      <c r="A445" s="10"/>
      <c r="B445" s="13"/>
      <c r="C445" s="13"/>
      <c r="D445" s="13"/>
    </row>
    <row r="446" spans="1:4" ht="13" x14ac:dyDescent="0.15">
      <c r="A446" s="10"/>
      <c r="B446" s="13"/>
      <c r="C446" s="13"/>
      <c r="D446" s="13"/>
    </row>
    <row r="447" spans="1:4" ht="13" x14ac:dyDescent="0.15">
      <c r="A447" s="10"/>
      <c r="B447" s="13"/>
      <c r="C447" s="13"/>
      <c r="D447" s="13"/>
    </row>
    <row r="448" spans="1:4" ht="13" x14ac:dyDescent="0.15">
      <c r="A448" s="10"/>
      <c r="B448" s="13"/>
      <c r="C448" s="13"/>
      <c r="D448" s="13"/>
    </row>
    <row r="449" spans="1:4" ht="13" x14ac:dyDescent="0.15">
      <c r="A449" s="10"/>
      <c r="B449" s="13"/>
      <c r="C449" s="13"/>
      <c r="D449" s="13"/>
    </row>
    <row r="450" spans="1:4" ht="13" x14ac:dyDescent="0.15">
      <c r="A450" s="10"/>
      <c r="B450" s="13"/>
      <c r="C450" s="13"/>
      <c r="D450" s="13"/>
    </row>
    <row r="451" spans="1:4" ht="13" x14ac:dyDescent="0.15">
      <c r="A451" s="10"/>
      <c r="B451" s="13"/>
      <c r="C451" s="13"/>
      <c r="D451" s="13"/>
    </row>
    <row r="452" spans="1:4" ht="13" x14ac:dyDescent="0.15">
      <c r="A452" s="10"/>
      <c r="B452" s="13"/>
      <c r="C452" s="13"/>
      <c r="D452" s="13"/>
    </row>
    <row r="453" spans="1:4" ht="13" x14ac:dyDescent="0.15">
      <c r="A453" s="10"/>
      <c r="B453" s="13"/>
      <c r="C453" s="13"/>
      <c r="D453" s="13"/>
    </row>
    <row r="454" spans="1:4" ht="13" x14ac:dyDescent="0.15">
      <c r="A454" s="10"/>
      <c r="B454" s="13"/>
      <c r="C454" s="13"/>
      <c r="D454" s="13"/>
    </row>
    <row r="455" spans="1:4" ht="13" x14ac:dyDescent="0.15">
      <c r="A455" s="10"/>
      <c r="B455" s="13"/>
      <c r="C455" s="13"/>
      <c r="D455" s="13"/>
    </row>
    <row r="456" spans="1:4" ht="13" x14ac:dyDescent="0.15">
      <c r="A456" s="10"/>
      <c r="B456" s="13"/>
      <c r="C456" s="13"/>
      <c r="D456" s="13"/>
    </row>
    <row r="457" spans="1:4" ht="13" x14ac:dyDescent="0.15">
      <c r="A457" s="10"/>
      <c r="B457" s="13"/>
      <c r="C457" s="13"/>
      <c r="D457" s="13"/>
    </row>
    <row r="458" spans="1:4" ht="13" x14ac:dyDescent="0.15">
      <c r="A458" s="10"/>
      <c r="B458" s="13"/>
      <c r="C458" s="13"/>
      <c r="D458" s="13"/>
    </row>
    <row r="459" spans="1:4" ht="13" x14ac:dyDescent="0.15">
      <c r="A459" s="10"/>
      <c r="B459" s="13"/>
      <c r="C459" s="13"/>
      <c r="D459" s="13"/>
    </row>
    <row r="460" spans="1:4" ht="13" x14ac:dyDescent="0.15">
      <c r="A460" s="10"/>
      <c r="B460" s="13"/>
      <c r="C460" s="13"/>
      <c r="D460" s="13"/>
    </row>
    <row r="461" spans="1:4" ht="13" x14ac:dyDescent="0.15">
      <c r="A461" s="10"/>
      <c r="B461" s="13"/>
      <c r="C461" s="13"/>
      <c r="D461" s="13"/>
    </row>
    <row r="462" spans="1:4" ht="13" x14ac:dyDescent="0.15">
      <c r="A462" s="10"/>
      <c r="B462" s="13"/>
      <c r="C462" s="13"/>
      <c r="D462" s="13"/>
    </row>
    <row r="463" spans="1:4" ht="13" x14ac:dyDescent="0.15">
      <c r="A463" s="10"/>
      <c r="B463" s="13"/>
      <c r="C463" s="13"/>
      <c r="D463" s="13"/>
    </row>
    <row r="464" spans="1:4" ht="13" x14ac:dyDescent="0.15">
      <c r="A464" s="10"/>
      <c r="B464" s="13"/>
      <c r="C464" s="13"/>
      <c r="D464" s="13"/>
    </row>
    <row r="465" spans="1:4" ht="13" x14ac:dyDescent="0.15">
      <c r="A465" s="10"/>
      <c r="B465" s="13"/>
      <c r="C465" s="13"/>
      <c r="D465" s="13"/>
    </row>
    <row r="466" spans="1:4" ht="13" x14ac:dyDescent="0.15">
      <c r="A466" s="10"/>
      <c r="B466" s="13"/>
      <c r="C466" s="13"/>
      <c r="D466" s="13"/>
    </row>
    <row r="467" spans="1:4" ht="13" x14ac:dyDescent="0.15">
      <c r="A467" s="10"/>
      <c r="B467" s="13"/>
      <c r="C467" s="13"/>
      <c r="D467" s="13"/>
    </row>
    <row r="468" spans="1:4" ht="13" x14ac:dyDescent="0.15">
      <c r="A468" s="10"/>
      <c r="B468" s="13"/>
      <c r="C468" s="13"/>
      <c r="D468" s="13"/>
    </row>
    <row r="469" spans="1:4" ht="13" x14ac:dyDescent="0.15">
      <c r="A469" s="10"/>
      <c r="B469" s="13"/>
      <c r="C469" s="13"/>
      <c r="D469" s="13"/>
    </row>
    <row r="470" spans="1:4" ht="13" x14ac:dyDescent="0.15">
      <c r="A470" s="10"/>
      <c r="B470" s="13"/>
      <c r="C470" s="13"/>
      <c r="D470" s="13"/>
    </row>
    <row r="471" spans="1:4" ht="13" x14ac:dyDescent="0.15">
      <c r="A471" s="10"/>
      <c r="B471" s="13"/>
      <c r="C471" s="13"/>
      <c r="D471" s="13"/>
    </row>
    <row r="472" spans="1:4" ht="13" x14ac:dyDescent="0.15">
      <c r="A472" s="10"/>
      <c r="B472" s="13"/>
      <c r="C472" s="13"/>
      <c r="D472" s="13"/>
    </row>
    <row r="473" spans="1:4" ht="13" x14ac:dyDescent="0.15">
      <c r="A473" s="10"/>
      <c r="B473" s="13"/>
      <c r="C473" s="13"/>
      <c r="D473" s="13"/>
    </row>
    <row r="474" spans="1:4" ht="13" x14ac:dyDescent="0.15">
      <c r="A474" s="10"/>
      <c r="B474" s="13"/>
      <c r="C474" s="13"/>
      <c r="D474" s="13"/>
    </row>
    <row r="475" spans="1:4" ht="13" x14ac:dyDescent="0.15">
      <c r="A475" s="10"/>
      <c r="B475" s="13"/>
      <c r="C475" s="13"/>
      <c r="D475" s="13"/>
    </row>
    <row r="476" spans="1:4" ht="13" x14ac:dyDescent="0.15">
      <c r="A476" s="10"/>
      <c r="B476" s="13"/>
      <c r="C476" s="13"/>
      <c r="D476" s="13"/>
    </row>
    <row r="477" spans="1:4" ht="13" x14ac:dyDescent="0.15">
      <c r="A477" s="10"/>
      <c r="B477" s="13"/>
      <c r="C477" s="13"/>
      <c r="D477" s="13"/>
    </row>
    <row r="478" spans="1:4" ht="13" x14ac:dyDescent="0.15">
      <c r="A478" s="10"/>
      <c r="B478" s="13"/>
      <c r="C478" s="13"/>
      <c r="D478" s="13"/>
    </row>
    <row r="479" spans="1:4" ht="13" x14ac:dyDescent="0.15">
      <c r="A479" s="10"/>
      <c r="B479" s="13"/>
      <c r="C479" s="13"/>
      <c r="D479" s="13"/>
    </row>
    <row r="480" spans="1:4" ht="13" x14ac:dyDescent="0.15">
      <c r="A480" s="10"/>
      <c r="B480" s="13"/>
      <c r="C480" s="13"/>
      <c r="D480" s="13"/>
    </row>
    <row r="481" spans="1:4" ht="13" x14ac:dyDescent="0.15">
      <c r="A481" s="10"/>
      <c r="B481" s="13"/>
      <c r="C481" s="13"/>
      <c r="D481" s="13"/>
    </row>
    <row r="482" spans="1:4" ht="13" x14ac:dyDescent="0.15">
      <c r="A482" s="10"/>
      <c r="B482" s="13"/>
      <c r="C482" s="13"/>
      <c r="D482" s="13"/>
    </row>
    <row r="483" spans="1:4" ht="13" x14ac:dyDescent="0.15">
      <c r="A483" s="10"/>
      <c r="B483" s="13"/>
      <c r="C483" s="13"/>
      <c r="D483" s="13"/>
    </row>
    <row r="484" spans="1:4" ht="13" x14ac:dyDescent="0.15">
      <c r="A484" s="10"/>
      <c r="B484" s="13"/>
      <c r="C484" s="13"/>
      <c r="D484" s="13"/>
    </row>
    <row r="485" spans="1:4" ht="13" x14ac:dyDescent="0.15">
      <c r="A485" s="10"/>
      <c r="B485" s="13"/>
      <c r="C485" s="13"/>
      <c r="D485" s="13"/>
    </row>
    <row r="486" spans="1:4" ht="13" x14ac:dyDescent="0.15">
      <c r="A486" s="10"/>
      <c r="B486" s="13"/>
      <c r="C486" s="13"/>
      <c r="D486" s="13"/>
    </row>
    <row r="487" spans="1:4" ht="13" x14ac:dyDescent="0.15">
      <c r="A487" s="10"/>
      <c r="B487" s="13"/>
      <c r="C487" s="13"/>
      <c r="D487" s="13"/>
    </row>
    <row r="488" spans="1:4" ht="13" x14ac:dyDescent="0.15">
      <c r="A488" s="10"/>
      <c r="B488" s="13"/>
      <c r="C488" s="13"/>
      <c r="D488" s="13"/>
    </row>
    <row r="489" spans="1:4" ht="13" x14ac:dyDescent="0.15">
      <c r="A489" s="10"/>
      <c r="B489" s="13"/>
      <c r="C489" s="13"/>
      <c r="D489" s="13"/>
    </row>
    <row r="490" spans="1:4" ht="13" x14ac:dyDescent="0.15">
      <c r="A490" s="10"/>
      <c r="B490" s="13"/>
      <c r="C490" s="13"/>
      <c r="D490" s="13"/>
    </row>
    <row r="491" spans="1:4" ht="13" x14ac:dyDescent="0.15">
      <c r="A491" s="10"/>
      <c r="B491" s="13"/>
      <c r="C491" s="13"/>
      <c r="D491" s="13"/>
    </row>
    <row r="492" spans="1:4" ht="13" x14ac:dyDescent="0.15">
      <c r="A492" s="10"/>
      <c r="B492" s="13"/>
      <c r="C492" s="13"/>
      <c r="D492" s="13"/>
    </row>
    <row r="493" spans="1:4" ht="13" x14ac:dyDescent="0.15">
      <c r="A493" s="10"/>
      <c r="B493" s="13"/>
      <c r="C493" s="13"/>
      <c r="D493" s="13"/>
    </row>
    <row r="494" spans="1:4" ht="13" x14ac:dyDescent="0.15">
      <c r="A494" s="10"/>
      <c r="B494" s="13"/>
      <c r="C494" s="13"/>
      <c r="D494" s="13"/>
    </row>
    <row r="495" spans="1:4" ht="13" x14ac:dyDescent="0.15">
      <c r="A495" s="10"/>
      <c r="B495" s="13"/>
      <c r="C495" s="13"/>
      <c r="D495" s="13"/>
    </row>
    <row r="496" spans="1:4" ht="13" x14ac:dyDescent="0.15">
      <c r="A496" s="10"/>
      <c r="B496" s="13"/>
      <c r="C496" s="13"/>
      <c r="D496" s="13"/>
    </row>
    <row r="497" spans="1:4" ht="13" x14ac:dyDescent="0.15">
      <c r="A497" s="10"/>
      <c r="B497" s="13"/>
      <c r="C497" s="13"/>
      <c r="D497" s="13"/>
    </row>
    <row r="498" spans="1:4" ht="13" x14ac:dyDescent="0.15">
      <c r="A498" s="10"/>
      <c r="B498" s="13"/>
      <c r="C498" s="13"/>
      <c r="D498" s="13"/>
    </row>
    <row r="499" spans="1:4" ht="13" x14ac:dyDescent="0.15">
      <c r="A499" s="10"/>
      <c r="B499" s="13"/>
      <c r="C499" s="13"/>
      <c r="D499" s="13"/>
    </row>
    <row r="500" spans="1:4" ht="13" x14ac:dyDescent="0.15">
      <c r="A500" s="10"/>
      <c r="B500" s="13"/>
      <c r="C500" s="13"/>
      <c r="D500" s="13"/>
    </row>
    <row r="501" spans="1:4" ht="13" x14ac:dyDescent="0.15">
      <c r="A501" s="10"/>
      <c r="B501" s="13"/>
      <c r="C501" s="13"/>
      <c r="D501" s="13"/>
    </row>
    <row r="502" spans="1:4" ht="13" x14ac:dyDescent="0.15">
      <c r="A502" s="10"/>
      <c r="B502" s="13"/>
      <c r="C502" s="13"/>
      <c r="D502" s="13"/>
    </row>
    <row r="503" spans="1:4" ht="13" x14ac:dyDescent="0.15">
      <c r="A503" s="10"/>
      <c r="B503" s="13"/>
      <c r="C503" s="13"/>
      <c r="D503" s="13"/>
    </row>
    <row r="504" spans="1:4" ht="13" x14ac:dyDescent="0.15">
      <c r="A504" s="10"/>
      <c r="B504" s="13"/>
      <c r="C504" s="13"/>
      <c r="D504" s="13"/>
    </row>
    <row r="505" spans="1:4" ht="13" x14ac:dyDescent="0.15">
      <c r="A505" s="10"/>
      <c r="B505" s="13"/>
      <c r="C505" s="13"/>
      <c r="D505" s="13"/>
    </row>
    <row r="506" spans="1:4" ht="13" x14ac:dyDescent="0.15">
      <c r="A506" s="10"/>
      <c r="B506" s="13"/>
      <c r="C506" s="13"/>
      <c r="D506" s="13"/>
    </row>
    <row r="507" spans="1:4" ht="13" x14ac:dyDescent="0.15">
      <c r="A507" s="10"/>
      <c r="B507" s="13"/>
      <c r="C507" s="13"/>
      <c r="D507" s="13"/>
    </row>
    <row r="508" spans="1:4" ht="13" x14ac:dyDescent="0.15">
      <c r="A508" s="10"/>
      <c r="B508" s="13"/>
      <c r="C508" s="13"/>
      <c r="D508" s="13"/>
    </row>
    <row r="509" spans="1:4" ht="13" x14ac:dyDescent="0.15">
      <c r="A509" s="10"/>
      <c r="B509" s="13"/>
      <c r="C509" s="13"/>
      <c r="D509" s="13"/>
    </row>
    <row r="510" spans="1:4" ht="13" x14ac:dyDescent="0.15">
      <c r="A510" s="10"/>
      <c r="B510" s="13"/>
      <c r="C510" s="13"/>
      <c r="D510" s="13"/>
    </row>
    <row r="511" spans="1:4" ht="13" x14ac:dyDescent="0.15">
      <c r="A511" s="10"/>
      <c r="B511" s="13"/>
      <c r="C511" s="13"/>
      <c r="D511" s="13"/>
    </row>
    <row r="512" spans="1:4" ht="13" x14ac:dyDescent="0.15">
      <c r="A512" s="10"/>
      <c r="B512" s="13"/>
      <c r="C512" s="13"/>
      <c r="D512" s="13"/>
    </row>
    <row r="513" spans="1:4" ht="13" x14ac:dyDescent="0.15">
      <c r="A513" s="10"/>
      <c r="B513" s="13"/>
      <c r="C513" s="13"/>
      <c r="D513" s="13"/>
    </row>
    <row r="514" spans="1:4" ht="13" x14ac:dyDescent="0.15">
      <c r="A514" s="10"/>
      <c r="B514" s="13"/>
      <c r="C514" s="13"/>
      <c r="D514" s="13"/>
    </row>
    <row r="515" spans="1:4" ht="13" x14ac:dyDescent="0.15">
      <c r="A515" s="10"/>
      <c r="B515" s="13"/>
      <c r="C515" s="13"/>
      <c r="D515" s="13"/>
    </row>
    <row r="516" spans="1:4" ht="13" x14ac:dyDescent="0.15">
      <c r="A516" s="10"/>
      <c r="B516" s="13"/>
      <c r="C516" s="13"/>
      <c r="D516" s="13"/>
    </row>
    <row r="517" spans="1:4" ht="13" x14ac:dyDescent="0.15">
      <c r="A517" s="10"/>
      <c r="B517" s="13"/>
      <c r="C517" s="13"/>
      <c r="D517" s="13"/>
    </row>
    <row r="518" spans="1:4" ht="13" x14ac:dyDescent="0.15">
      <c r="A518" s="10"/>
      <c r="B518" s="13"/>
      <c r="C518" s="13"/>
      <c r="D518" s="13"/>
    </row>
    <row r="519" spans="1:4" ht="13" x14ac:dyDescent="0.15">
      <c r="A519" s="10"/>
      <c r="B519" s="13"/>
      <c r="C519" s="13"/>
      <c r="D519" s="13"/>
    </row>
    <row r="520" spans="1:4" ht="13" x14ac:dyDescent="0.15">
      <c r="A520" s="10"/>
      <c r="B520" s="13"/>
      <c r="C520" s="13"/>
      <c r="D520" s="13"/>
    </row>
    <row r="521" spans="1:4" ht="13" x14ac:dyDescent="0.15">
      <c r="A521" s="10"/>
      <c r="B521" s="13"/>
      <c r="C521" s="13"/>
      <c r="D521" s="13"/>
    </row>
    <row r="522" spans="1:4" ht="13" x14ac:dyDescent="0.15">
      <c r="A522" s="10"/>
      <c r="B522" s="13"/>
      <c r="C522" s="13"/>
      <c r="D522" s="13"/>
    </row>
    <row r="523" spans="1:4" ht="13" x14ac:dyDescent="0.15">
      <c r="A523" s="10"/>
      <c r="B523" s="13"/>
      <c r="C523" s="13"/>
      <c r="D523" s="13"/>
    </row>
    <row r="524" spans="1:4" ht="13" x14ac:dyDescent="0.15">
      <c r="A524" s="10"/>
      <c r="B524" s="13"/>
      <c r="C524" s="13"/>
      <c r="D524" s="13"/>
    </row>
    <row r="525" spans="1:4" ht="13" x14ac:dyDescent="0.15">
      <c r="A525" s="10"/>
      <c r="B525" s="13"/>
      <c r="C525" s="13"/>
      <c r="D525" s="13"/>
    </row>
    <row r="526" spans="1:4" ht="13" x14ac:dyDescent="0.15">
      <c r="A526" s="10"/>
      <c r="B526" s="13"/>
      <c r="C526" s="13"/>
      <c r="D526" s="13"/>
    </row>
    <row r="527" spans="1:4" ht="13" x14ac:dyDescent="0.15">
      <c r="A527" s="10"/>
      <c r="B527" s="13"/>
      <c r="C527" s="13"/>
      <c r="D527" s="13"/>
    </row>
    <row r="528" spans="1:4" ht="13" x14ac:dyDescent="0.15">
      <c r="A528" s="10"/>
      <c r="B528" s="13"/>
      <c r="C528" s="13"/>
      <c r="D528" s="13"/>
    </row>
    <row r="529" spans="1:4" ht="13" x14ac:dyDescent="0.15">
      <c r="A529" s="10"/>
      <c r="B529" s="13"/>
      <c r="C529" s="13"/>
      <c r="D529" s="13"/>
    </row>
    <row r="530" spans="1:4" ht="13" x14ac:dyDescent="0.15">
      <c r="A530" s="10"/>
      <c r="B530" s="13"/>
      <c r="C530" s="13"/>
      <c r="D530" s="13"/>
    </row>
    <row r="531" spans="1:4" ht="13" x14ac:dyDescent="0.15">
      <c r="A531" s="10"/>
      <c r="B531" s="13"/>
      <c r="C531" s="13"/>
      <c r="D531" s="13"/>
    </row>
    <row r="532" spans="1:4" ht="13" x14ac:dyDescent="0.15">
      <c r="A532" s="10"/>
      <c r="B532" s="13"/>
      <c r="C532" s="13"/>
      <c r="D532" s="13"/>
    </row>
    <row r="533" spans="1:4" ht="13" x14ac:dyDescent="0.15">
      <c r="A533" s="10"/>
      <c r="B533" s="13"/>
      <c r="C533" s="13"/>
      <c r="D533" s="13"/>
    </row>
    <row r="534" spans="1:4" ht="13" x14ac:dyDescent="0.15">
      <c r="A534" s="10"/>
      <c r="B534" s="13"/>
      <c r="C534" s="13"/>
      <c r="D534" s="13"/>
    </row>
    <row r="535" spans="1:4" ht="13" x14ac:dyDescent="0.15">
      <c r="A535" s="10"/>
      <c r="B535" s="13"/>
      <c r="C535" s="13"/>
      <c r="D535" s="13"/>
    </row>
    <row r="536" spans="1:4" ht="13" x14ac:dyDescent="0.15">
      <c r="A536" s="10"/>
      <c r="B536" s="13"/>
      <c r="C536" s="13"/>
      <c r="D536" s="13"/>
    </row>
    <row r="537" spans="1:4" ht="13" x14ac:dyDescent="0.15">
      <c r="A537" s="10"/>
      <c r="B537" s="13"/>
      <c r="C537" s="13"/>
      <c r="D537" s="13"/>
    </row>
    <row r="538" spans="1:4" ht="13" x14ac:dyDescent="0.15">
      <c r="A538" s="10"/>
      <c r="B538" s="13"/>
      <c r="C538" s="13"/>
      <c r="D538" s="13"/>
    </row>
    <row r="539" spans="1:4" ht="13" x14ac:dyDescent="0.15">
      <c r="A539" s="10"/>
      <c r="B539" s="13"/>
      <c r="C539" s="13"/>
      <c r="D539" s="13"/>
    </row>
    <row r="540" spans="1:4" ht="13" x14ac:dyDescent="0.15">
      <c r="A540" s="10"/>
      <c r="B540" s="13"/>
      <c r="C540" s="13"/>
      <c r="D540" s="13"/>
    </row>
    <row r="541" spans="1:4" ht="13" x14ac:dyDescent="0.15">
      <c r="A541" s="10"/>
      <c r="B541" s="13"/>
      <c r="C541" s="13"/>
      <c r="D541" s="13"/>
    </row>
    <row r="542" spans="1:4" ht="13" x14ac:dyDescent="0.15">
      <c r="A542" s="10"/>
      <c r="B542" s="13"/>
      <c r="C542" s="13"/>
      <c r="D542" s="13"/>
    </row>
    <row r="543" spans="1:4" ht="13" x14ac:dyDescent="0.15">
      <c r="A543" s="10"/>
      <c r="B543" s="13"/>
      <c r="C543" s="13"/>
      <c r="D543" s="13"/>
    </row>
    <row r="544" spans="1:4" ht="13" x14ac:dyDescent="0.15">
      <c r="A544" s="10"/>
      <c r="B544" s="13"/>
      <c r="C544" s="13"/>
      <c r="D544" s="13"/>
    </row>
    <row r="545" spans="1:4" ht="13" x14ac:dyDescent="0.15">
      <c r="A545" s="10"/>
      <c r="B545" s="13"/>
      <c r="C545" s="13"/>
      <c r="D545" s="13"/>
    </row>
    <row r="546" spans="1:4" ht="13" x14ac:dyDescent="0.15">
      <c r="A546" s="10"/>
      <c r="B546" s="13"/>
      <c r="C546" s="13"/>
      <c r="D546" s="13"/>
    </row>
    <row r="547" spans="1:4" ht="13" x14ac:dyDescent="0.15">
      <c r="A547" s="10"/>
      <c r="B547" s="13"/>
      <c r="C547" s="13"/>
      <c r="D547" s="13"/>
    </row>
    <row r="548" spans="1:4" ht="13" x14ac:dyDescent="0.15">
      <c r="A548" s="10"/>
      <c r="B548" s="13"/>
      <c r="C548" s="13"/>
      <c r="D548" s="13"/>
    </row>
    <row r="549" spans="1:4" ht="13" x14ac:dyDescent="0.15">
      <c r="A549" s="10"/>
      <c r="B549" s="13"/>
      <c r="C549" s="13"/>
      <c r="D549" s="13"/>
    </row>
    <row r="550" spans="1:4" ht="13" x14ac:dyDescent="0.15">
      <c r="A550" s="10"/>
      <c r="B550" s="13"/>
      <c r="C550" s="13"/>
      <c r="D550" s="13"/>
    </row>
    <row r="551" spans="1:4" ht="13" x14ac:dyDescent="0.15">
      <c r="A551" s="10"/>
      <c r="B551" s="13"/>
      <c r="C551" s="13"/>
      <c r="D551" s="13"/>
    </row>
    <row r="552" spans="1:4" ht="13" x14ac:dyDescent="0.15">
      <c r="A552" s="10"/>
      <c r="B552" s="13"/>
      <c r="C552" s="13"/>
      <c r="D552" s="13"/>
    </row>
    <row r="553" spans="1:4" ht="13" x14ac:dyDescent="0.15">
      <c r="A553" s="10"/>
      <c r="B553" s="13"/>
      <c r="C553" s="13"/>
      <c r="D553" s="13"/>
    </row>
    <row r="554" spans="1:4" ht="13" x14ac:dyDescent="0.15">
      <c r="A554" s="10"/>
      <c r="B554" s="13"/>
      <c r="C554" s="13"/>
      <c r="D554" s="13"/>
    </row>
    <row r="555" spans="1:4" ht="13" x14ac:dyDescent="0.15">
      <c r="A555" s="10"/>
      <c r="B555" s="13"/>
      <c r="C555" s="13"/>
      <c r="D555" s="13"/>
    </row>
    <row r="556" spans="1:4" ht="13" x14ac:dyDescent="0.15">
      <c r="A556" s="10"/>
      <c r="B556" s="13"/>
      <c r="C556" s="13"/>
      <c r="D556" s="13"/>
    </row>
    <row r="557" spans="1:4" ht="13" x14ac:dyDescent="0.15">
      <c r="A557" s="10"/>
      <c r="B557" s="13"/>
      <c r="C557" s="13"/>
      <c r="D557" s="13"/>
    </row>
    <row r="558" spans="1:4" ht="13" x14ac:dyDescent="0.15">
      <c r="A558" s="10"/>
      <c r="B558" s="13"/>
      <c r="C558" s="13"/>
      <c r="D558" s="13"/>
    </row>
    <row r="559" spans="1:4" ht="13" x14ac:dyDescent="0.15">
      <c r="A559" s="10"/>
      <c r="B559" s="13"/>
      <c r="C559" s="13"/>
      <c r="D559" s="13"/>
    </row>
    <row r="560" spans="1:4" ht="13" x14ac:dyDescent="0.15">
      <c r="A560" s="10"/>
      <c r="B560" s="13"/>
      <c r="C560" s="13"/>
      <c r="D560" s="13"/>
    </row>
    <row r="561" spans="1:4" ht="13" x14ac:dyDescent="0.15">
      <c r="A561" s="10"/>
      <c r="B561" s="13"/>
      <c r="C561" s="13"/>
      <c r="D561" s="13"/>
    </row>
    <row r="562" spans="1:4" ht="13" x14ac:dyDescent="0.15">
      <c r="A562" s="10"/>
      <c r="B562" s="13"/>
      <c r="C562" s="13"/>
      <c r="D562" s="13"/>
    </row>
    <row r="563" spans="1:4" ht="13" x14ac:dyDescent="0.15">
      <c r="A563" s="10"/>
      <c r="B563" s="13"/>
      <c r="C563" s="13"/>
      <c r="D563" s="13"/>
    </row>
    <row r="564" spans="1:4" ht="13" x14ac:dyDescent="0.15">
      <c r="A564" s="10"/>
      <c r="B564" s="13"/>
      <c r="C564" s="13"/>
      <c r="D564" s="13"/>
    </row>
    <row r="565" spans="1:4" ht="13" x14ac:dyDescent="0.15">
      <c r="A565" s="10"/>
      <c r="B565" s="13"/>
      <c r="C565" s="13"/>
      <c r="D565" s="13"/>
    </row>
    <row r="566" spans="1:4" ht="13" x14ac:dyDescent="0.15">
      <c r="A566" s="10"/>
      <c r="B566" s="13"/>
      <c r="C566" s="13"/>
      <c r="D566" s="13"/>
    </row>
    <row r="567" spans="1:4" ht="13" x14ac:dyDescent="0.15">
      <c r="A567" s="10"/>
      <c r="B567" s="13"/>
      <c r="C567" s="13"/>
      <c r="D567" s="13"/>
    </row>
    <row r="568" spans="1:4" ht="13" x14ac:dyDescent="0.15">
      <c r="A568" s="10"/>
      <c r="B568" s="13"/>
      <c r="C568" s="13"/>
      <c r="D568" s="13"/>
    </row>
    <row r="569" spans="1:4" ht="13" x14ac:dyDescent="0.15">
      <c r="A569" s="10"/>
      <c r="B569" s="13"/>
      <c r="C569" s="13"/>
      <c r="D569" s="13"/>
    </row>
    <row r="570" spans="1:4" ht="13" x14ac:dyDescent="0.15">
      <c r="A570" s="10"/>
      <c r="B570" s="13"/>
      <c r="C570" s="13"/>
      <c r="D570" s="13"/>
    </row>
    <row r="571" spans="1:4" ht="13" x14ac:dyDescent="0.15">
      <c r="A571" s="10"/>
      <c r="B571" s="13"/>
      <c r="C571" s="13"/>
      <c r="D571" s="13"/>
    </row>
    <row r="572" spans="1:4" ht="13" x14ac:dyDescent="0.15">
      <c r="A572" s="10"/>
      <c r="B572" s="13"/>
      <c r="C572" s="13"/>
      <c r="D572" s="13"/>
    </row>
    <row r="573" spans="1:4" ht="13" x14ac:dyDescent="0.15">
      <c r="A573" s="10"/>
      <c r="B573" s="13"/>
      <c r="C573" s="13"/>
      <c r="D573" s="13"/>
    </row>
    <row r="574" spans="1:4" ht="13" x14ac:dyDescent="0.15">
      <c r="A574" s="10"/>
      <c r="B574" s="13"/>
      <c r="C574" s="13"/>
      <c r="D574" s="13"/>
    </row>
    <row r="575" spans="1:4" ht="13" x14ac:dyDescent="0.15">
      <c r="A575" s="10"/>
      <c r="B575" s="13"/>
      <c r="C575" s="13"/>
      <c r="D575" s="13"/>
    </row>
    <row r="576" spans="1:4" ht="13" x14ac:dyDescent="0.15">
      <c r="A576" s="10"/>
      <c r="B576" s="13"/>
      <c r="C576" s="13"/>
      <c r="D576" s="13"/>
    </row>
    <row r="577" spans="1:4" ht="13" x14ac:dyDescent="0.15">
      <c r="A577" s="10"/>
      <c r="B577" s="13"/>
      <c r="C577" s="13"/>
      <c r="D577" s="13"/>
    </row>
    <row r="578" spans="1:4" ht="13" x14ac:dyDescent="0.15">
      <c r="A578" s="10"/>
      <c r="B578" s="13"/>
      <c r="C578" s="13"/>
      <c r="D578" s="13"/>
    </row>
    <row r="579" spans="1:4" ht="13" x14ac:dyDescent="0.15">
      <c r="A579" s="10"/>
      <c r="B579" s="13"/>
      <c r="C579" s="13"/>
      <c r="D579" s="13"/>
    </row>
    <row r="580" spans="1:4" ht="13" x14ac:dyDescent="0.15">
      <c r="A580" s="10"/>
      <c r="B580" s="13"/>
      <c r="C580" s="13"/>
      <c r="D580" s="13"/>
    </row>
    <row r="581" spans="1:4" ht="13" x14ac:dyDescent="0.15">
      <c r="A581" s="10"/>
      <c r="B581" s="13"/>
      <c r="C581" s="13"/>
      <c r="D581" s="13"/>
    </row>
    <row r="582" spans="1:4" ht="13" x14ac:dyDescent="0.15">
      <c r="A582" s="10"/>
      <c r="B582" s="13"/>
      <c r="C582" s="13"/>
      <c r="D582" s="13"/>
    </row>
    <row r="583" spans="1:4" ht="13" x14ac:dyDescent="0.15">
      <c r="A583" s="10"/>
      <c r="B583" s="13"/>
      <c r="C583" s="13"/>
      <c r="D583" s="13"/>
    </row>
    <row r="584" spans="1:4" ht="13" x14ac:dyDescent="0.15">
      <c r="A584" s="10"/>
      <c r="B584" s="13"/>
      <c r="C584" s="13"/>
      <c r="D584" s="13"/>
    </row>
    <row r="585" spans="1:4" ht="13" x14ac:dyDescent="0.15">
      <c r="A585" s="10"/>
      <c r="B585" s="13"/>
      <c r="C585" s="13"/>
      <c r="D585" s="13"/>
    </row>
    <row r="586" spans="1:4" ht="13" x14ac:dyDescent="0.15">
      <c r="A586" s="10"/>
      <c r="B586" s="13"/>
      <c r="C586" s="13"/>
      <c r="D586" s="13"/>
    </row>
    <row r="587" spans="1:4" ht="13" x14ac:dyDescent="0.15">
      <c r="A587" s="10"/>
      <c r="B587" s="13"/>
      <c r="C587" s="13"/>
      <c r="D587" s="13"/>
    </row>
    <row r="588" spans="1:4" ht="13" x14ac:dyDescent="0.15">
      <c r="A588" s="10"/>
      <c r="B588" s="13"/>
      <c r="C588" s="13"/>
      <c r="D588" s="13"/>
    </row>
    <row r="589" spans="1:4" ht="13" x14ac:dyDescent="0.15">
      <c r="A589" s="10"/>
      <c r="B589" s="13"/>
      <c r="C589" s="13"/>
      <c r="D589" s="13"/>
    </row>
    <row r="590" spans="1:4" ht="13" x14ac:dyDescent="0.15">
      <c r="A590" s="10"/>
      <c r="B590" s="13"/>
      <c r="C590" s="13"/>
      <c r="D590" s="13"/>
    </row>
    <row r="591" spans="1:4" ht="13" x14ac:dyDescent="0.15">
      <c r="A591" s="10"/>
      <c r="B591" s="13"/>
      <c r="C591" s="13"/>
      <c r="D591" s="13"/>
    </row>
    <row r="592" spans="1:4" ht="13" x14ac:dyDescent="0.15">
      <c r="A592" s="10"/>
      <c r="B592" s="13"/>
      <c r="C592" s="13"/>
      <c r="D592" s="13"/>
    </row>
    <row r="593" spans="1:4" ht="13" x14ac:dyDescent="0.15">
      <c r="A593" s="10"/>
      <c r="B593" s="13"/>
      <c r="C593" s="13"/>
      <c r="D593" s="13"/>
    </row>
    <row r="594" spans="1:4" ht="13" x14ac:dyDescent="0.15">
      <c r="A594" s="10"/>
      <c r="B594" s="13"/>
      <c r="C594" s="13"/>
      <c r="D594" s="13"/>
    </row>
    <row r="595" spans="1:4" ht="13" x14ac:dyDescent="0.15">
      <c r="A595" s="10"/>
      <c r="B595" s="13"/>
      <c r="C595" s="13"/>
      <c r="D595" s="13"/>
    </row>
    <row r="596" spans="1:4" ht="13" x14ac:dyDescent="0.15">
      <c r="A596" s="10"/>
      <c r="B596" s="13"/>
      <c r="C596" s="13"/>
      <c r="D596" s="13"/>
    </row>
    <row r="597" spans="1:4" ht="13" x14ac:dyDescent="0.15">
      <c r="A597" s="10"/>
      <c r="B597" s="13"/>
      <c r="C597" s="13"/>
      <c r="D597" s="13"/>
    </row>
    <row r="598" spans="1:4" ht="13" x14ac:dyDescent="0.15">
      <c r="A598" s="10"/>
      <c r="B598" s="13"/>
      <c r="C598" s="13"/>
      <c r="D598" s="13"/>
    </row>
    <row r="599" spans="1:4" ht="13" x14ac:dyDescent="0.15">
      <c r="A599" s="10"/>
      <c r="B599" s="13"/>
      <c r="C599" s="13"/>
      <c r="D599" s="13"/>
    </row>
    <row r="600" spans="1:4" ht="13" x14ac:dyDescent="0.15">
      <c r="A600" s="10"/>
      <c r="B600" s="13"/>
      <c r="C600" s="13"/>
      <c r="D600" s="13"/>
    </row>
    <row r="601" spans="1:4" ht="13" x14ac:dyDescent="0.15">
      <c r="A601" s="10"/>
      <c r="B601" s="13"/>
      <c r="C601" s="13"/>
      <c r="D601" s="13"/>
    </row>
    <row r="602" spans="1:4" ht="13" x14ac:dyDescent="0.15">
      <c r="A602" s="10"/>
      <c r="B602" s="13"/>
      <c r="C602" s="13"/>
      <c r="D602" s="13"/>
    </row>
    <row r="603" spans="1:4" ht="13" x14ac:dyDescent="0.15">
      <c r="A603" s="10"/>
      <c r="B603" s="13"/>
      <c r="C603" s="13"/>
      <c r="D603" s="13"/>
    </row>
    <row r="604" spans="1:4" ht="13" x14ac:dyDescent="0.15">
      <c r="A604" s="10"/>
      <c r="B604" s="13"/>
      <c r="C604" s="13"/>
      <c r="D604" s="13"/>
    </row>
    <row r="605" spans="1:4" ht="13" x14ac:dyDescent="0.15">
      <c r="A605" s="10"/>
      <c r="B605" s="13"/>
      <c r="C605" s="13"/>
      <c r="D605" s="13"/>
    </row>
    <row r="606" spans="1:4" ht="13" x14ac:dyDescent="0.15">
      <c r="A606" s="10"/>
      <c r="B606" s="13"/>
      <c r="C606" s="13"/>
      <c r="D606" s="13"/>
    </row>
    <row r="607" spans="1:4" ht="13" x14ac:dyDescent="0.15">
      <c r="A607" s="10"/>
      <c r="B607" s="13"/>
      <c r="C607" s="13"/>
      <c r="D607" s="13"/>
    </row>
    <row r="608" spans="1:4" ht="13" x14ac:dyDescent="0.15">
      <c r="A608" s="10"/>
      <c r="B608" s="13"/>
      <c r="C608" s="13"/>
      <c r="D608" s="13"/>
    </row>
    <row r="609" spans="1:4" ht="13" x14ac:dyDescent="0.15">
      <c r="A609" s="10"/>
      <c r="B609" s="13"/>
      <c r="C609" s="13"/>
      <c r="D609" s="13"/>
    </row>
    <row r="610" spans="1:4" ht="13" x14ac:dyDescent="0.15">
      <c r="A610" s="10"/>
      <c r="B610" s="13"/>
      <c r="C610" s="13"/>
      <c r="D610" s="13"/>
    </row>
    <row r="611" spans="1:4" ht="13" x14ac:dyDescent="0.15">
      <c r="A611" s="10"/>
      <c r="B611" s="13"/>
      <c r="C611" s="13"/>
      <c r="D611" s="13"/>
    </row>
    <row r="612" spans="1:4" ht="13" x14ac:dyDescent="0.15">
      <c r="A612" s="10"/>
      <c r="B612" s="13"/>
      <c r="C612" s="13"/>
      <c r="D612" s="13"/>
    </row>
    <row r="613" spans="1:4" ht="13" x14ac:dyDescent="0.15">
      <c r="A613" s="10"/>
      <c r="B613" s="13"/>
      <c r="C613" s="13"/>
      <c r="D613" s="13"/>
    </row>
    <row r="614" spans="1:4" ht="13" x14ac:dyDescent="0.15">
      <c r="A614" s="10"/>
      <c r="B614" s="13"/>
      <c r="C614" s="13"/>
      <c r="D614" s="13"/>
    </row>
    <row r="615" spans="1:4" ht="13" x14ac:dyDescent="0.15">
      <c r="A615" s="10"/>
      <c r="B615" s="13"/>
      <c r="C615" s="13"/>
      <c r="D615" s="13"/>
    </row>
    <row r="616" spans="1:4" ht="13" x14ac:dyDescent="0.15">
      <c r="A616" s="10"/>
      <c r="B616" s="13"/>
      <c r="C616" s="13"/>
      <c r="D616" s="13"/>
    </row>
    <row r="617" spans="1:4" ht="13" x14ac:dyDescent="0.15">
      <c r="A617" s="10"/>
      <c r="B617" s="13"/>
      <c r="C617" s="13"/>
      <c r="D617" s="13"/>
    </row>
    <row r="618" spans="1:4" ht="13" x14ac:dyDescent="0.15">
      <c r="A618" s="10"/>
      <c r="B618" s="13"/>
      <c r="C618" s="13"/>
      <c r="D618" s="13"/>
    </row>
    <row r="619" spans="1:4" ht="13" x14ac:dyDescent="0.15">
      <c r="A619" s="10"/>
      <c r="B619" s="13"/>
      <c r="C619" s="13"/>
      <c r="D619" s="13"/>
    </row>
    <row r="620" spans="1:4" ht="13" x14ac:dyDescent="0.15">
      <c r="A620" s="10"/>
      <c r="B620" s="13"/>
      <c r="C620" s="13"/>
      <c r="D620" s="13"/>
    </row>
    <row r="621" spans="1:4" ht="13" x14ac:dyDescent="0.15">
      <c r="A621" s="10"/>
      <c r="B621" s="13"/>
      <c r="C621" s="13"/>
      <c r="D621" s="13"/>
    </row>
    <row r="622" spans="1:4" ht="13" x14ac:dyDescent="0.15">
      <c r="A622" s="10"/>
      <c r="B622" s="13"/>
      <c r="C622" s="13"/>
      <c r="D622" s="13"/>
    </row>
    <row r="623" spans="1:4" ht="13" x14ac:dyDescent="0.15">
      <c r="A623" s="10"/>
      <c r="B623" s="13"/>
      <c r="C623" s="13"/>
      <c r="D623" s="13"/>
    </row>
    <row r="624" spans="1:4" ht="13" x14ac:dyDescent="0.15">
      <c r="A624" s="10"/>
      <c r="B624" s="13"/>
      <c r="C624" s="13"/>
      <c r="D624" s="13"/>
    </row>
    <row r="625" spans="1:4" ht="13" x14ac:dyDescent="0.15">
      <c r="A625" s="10"/>
      <c r="B625" s="13"/>
      <c r="C625" s="13"/>
      <c r="D625" s="13"/>
    </row>
    <row r="626" spans="1:4" ht="13" x14ac:dyDescent="0.15">
      <c r="A626" s="10"/>
      <c r="B626" s="13"/>
      <c r="C626" s="13"/>
      <c r="D626" s="13"/>
    </row>
    <row r="627" spans="1:4" ht="13" x14ac:dyDescent="0.15">
      <c r="A627" s="10"/>
      <c r="B627" s="13"/>
      <c r="C627" s="13"/>
      <c r="D627" s="13"/>
    </row>
    <row r="628" spans="1:4" ht="13" x14ac:dyDescent="0.15">
      <c r="A628" s="10"/>
      <c r="B628" s="13"/>
      <c r="C628" s="13"/>
      <c r="D628" s="13"/>
    </row>
    <row r="629" spans="1:4" ht="13" x14ac:dyDescent="0.15">
      <c r="A629" s="10"/>
      <c r="B629" s="13"/>
      <c r="C629" s="13"/>
      <c r="D629" s="13"/>
    </row>
    <row r="630" spans="1:4" ht="13" x14ac:dyDescent="0.15">
      <c r="A630" s="10"/>
      <c r="B630" s="13"/>
      <c r="C630" s="13"/>
      <c r="D630" s="13"/>
    </row>
    <row r="631" spans="1:4" ht="13" x14ac:dyDescent="0.15">
      <c r="A631" s="10"/>
      <c r="B631" s="13"/>
      <c r="C631" s="13"/>
      <c r="D631" s="13"/>
    </row>
    <row r="632" spans="1:4" ht="13" x14ac:dyDescent="0.15">
      <c r="A632" s="10"/>
      <c r="B632" s="13"/>
      <c r="C632" s="13"/>
      <c r="D632" s="13"/>
    </row>
    <row r="633" spans="1:4" ht="13" x14ac:dyDescent="0.15">
      <c r="A633" s="10"/>
      <c r="B633" s="13"/>
      <c r="C633" s="13"/>
      <c r="D633" s="13"/>
    </row>
    <row r="634" spans="1:4" ht="13" x14ac:dyDescent="0.15">
      <c r="A634" s="10"/>
      <c r="B634" s="13"/>
      <c r="C634" s="13"/>
      <c r="D634" s="13"/>
    </row>
    <row r="635" spans="1:4" ht="13" x14ac:dyDescent="0.15">
      <c r="A635" s="10"/>
      <c r="B635" s="13"/>
      <c r="C635" s="13"/>
      <c r="D635" s="13"/>
    </row>
    <row r="636" spans="1:4" ht="13" x14ac:dyDescent="0.15">
      <c r="A636" s="10"/>
      <c r="B636" s="13"/>
      <c r="C636" s="13"/>
      <c r="D636" s="13"/>
    </row>
    <row r="637" spans="1:4" ht="13" x14ac:dyDescent="0.15">
      <c r="A637" s="10"/>
      <c r="B637" s="13"/>
      <c r="C637" s="13"/>
      <c r="D637" s="13"/>
    </row>
    <row r="638" spans="1:4" ht="13" x14ac:dyDescent="0.15">
      <c r="A638" s="10"/>
      <c r="B638" s="13"/>
      <c r="C638" s="13"/>
      <c r="D638" s="13"/>
    </row>
    <row r="639" spans="1:4" ht="13" x14ac:dyDescent="0.15">
      <c r="A639" s="10"/>
      <c r="B639" s="13"/>
      <c r="C639" s="13"/>
      <c r="D639" s="13"/>
    </row>
    <row r="640" spans="1:4" ht="13" x14ac:dyDescent="0.15">
      <c r="A640" s="10"/>
      <c r="B640" s="13"/>
      <c r="C640" s="13"/>
      <c r="D640" s="13"/>
    </row>
    <row r="641" spans="1:4" ht="13" x14ac:dyDescent="0.15">
      <c r="A641" s="10"/>
      <c r="B641" s="13"/>
      <c r="C641" s="13"/>
      <c r="D641" s="13"/>
    </row>
    <row r="642" spans="1:4" ht="13" x14ac:dyDescent="0.15">
      <c r="A642" s="10"/>
      <c r="B642" s="13"/>
      <c r="C642" s="13"/>
      <c r="D642" s="13"/>
    </row>
    <row r="643" spans="1:4" ht="13" x14ac:dyDescent="0.15">
      <c r="A643" s="10"/>
      <c r="B643" s="13"/>
      <c r="C643" s="13"/>
      <c r="D643" s="13"/>
    </row>
    <row r="644" spans="1:4" ht="13" x14ac:dyDescent="0.15">
      <c r="A644" s="10"/>
      <c r="B644" s="13"/>
      <c r="C644" s="13"/>
      <c r="D644" s="13"/>
    </row>
    <row r="645" spans="1:4" ht="13" x14ac:dyDescent="0.15">
      <c r="A645" s="10"/>
      <c r="B645" s="13"/>
      <c r="C645" s="13"/>
      <c r="D645" s="13"/>
    </row>
    <row r="646" spans="1:4" ht="13" x14ac:dyDescent="0.15">
      <c r="A646" s="10"/>
      <c r="B646" s="13"/>
      <c r="C646" s="13"/>
      <c r="D646" s="13"/>
    </row>
    <row r="647" spans="1:4" ht="13" x14ac:dyDescent="0.15">
      <c r="A647" s="10"/>
      <c r="B647" s="13"/>
      <c r="C647" s="13"/>
      <c r="D647" s="13"/>
    </row>
    <row r="648" spans="1:4" ht="13" x14ac:dyDescent="0.15">
      <c r="A648" s="10"/>
      <c r="B648" s="13"/>
      <c r="C648" s="13"/>
      <c r="D648" s="13"/>
    </row>
    <row r="649" spans="1:4" ht="13" x14ac:dyDescent="0.15">
      <c r="A649" s="10"/>
      <c r="B649" s="13"/>
      <c r="C649" s="13"/>
      <c r="D649" s="13"/>
    </row>
    <row r="650" spans="1:4" ht="13" x14ac:dyDescent="0.15">
      <c r="A650" s="10"/>
      <c r="B650" s="13"/>
      <c r="C650" s="13"/>
      <c r="D650" s="13"/>
    </row>
    <row r="651" spans="1:4" ht="13" x14ac:dyDescent="0.15">
      <c r="A651" s="10"/>
      <c r="B651" s="13"/>
      <c r="C651" s="13"/>
      <c r="D651" s="13"/>
    </row>
    <row r="652" spans="1:4" ht="13" x14ac:dyDescent="0.15">
      <c r="A652" s="10"/>
      <c r="B652" s="13"/>
      <c r="C652" s="13"/>
      <c r="D652" s="13"/>
    </row>
    <row r="653" spans="1:4" ht="13" x14ac:dyDescent="0.15">
      <c r="A653" s="10"/>
      <c r="B653" s="13"/>
      <c r="C653" s="13"/>
      <c r="D653" s="13"/>
    </row>
    <row r="654" spans="1:4" ht="13" x14ac:dyDescent="0.15">
      <c r="A654" s="10"/>
      <c r="B654" s="13"/>
      <c r="C654" s="13"/>
      <c r="D654" s="13"/>
    </row>
    <row r="655" spans="1:4" ht="13" x14ac:dyDescent="0.15">
      <c r="A655" s="10"/>
      <c r="B655" s="13"/>
      <c r="C655" s="13"/>
      <c r="D655" s="13"/>
    </row>
    <row r="656" spans="1:4" ht="13" x14ac:dyDescent="0.15">
      <c r="A656" s="10"/>
      <c r="B656" s="13"/>
      <c r="C656" s="13"/>
      <c r="D656" s="13"/>
    </row>
    <row r="657" spans="1:4" ht="13" x14ac:dyDescent="0.15">
      <c r="A657" s="10"/>
      <c r="B657" s="13"/>
      <c r="C657" s="13"/>
      <c r="D657" s="13"/>
    </row>
    <row r="658" spans="1:4" ht="13" x14ac:dyDescent="0.15">
      <c r="A658" s="10"/>
      <c r="B658" s="13"/>
      <c r="C658" s="13"/>
      <c r="D658" s="13"/>
    </row>
    <row r="659" spans="1:4" ht="13" x14ac:dyDescent="0.15">
      <c r="A659" s="10"/>
      <c r="B659" s="13"/>
      <c r="C659" s="13"/>
      <c r="D659" s="13"/>
    </row>
    <row r="660" spans="1:4" ht="13" x14ac:dyDescent="0.15">
      <c r="A660" s="10"/>
      <c r="B660" s="13"/>
      <c r="C660" s="13"/>
      <c r="D660" s="13"/>
    </row>
    <row r="661" spans="1:4" ht="13" x14ac:dyDescent="0.15">
      <c r="A661" s="10"/>
      <c r="B661" s="13"/>
      <c r="C661" s="13"/>
      <c r="D661" s="13"/>
    </row>
    <row r="662" spans="1:4" ht="13" x14ac:dyDescent="0.15">
      <c r="A662" s="10"/>
      <c r="B662" s="13"/>
      <c r="C662" s="13"/>
      <c r="D662" s="13"/>
    </row>
    <row r="663" spans="1:4" ht="13" x14ac:dyDescent="0.15">
      <c r="A663" s="10"/>
      <c r="B663" s="13"/>
      <c r="C663" s="13"/>
      <c r="D663" s="13"/>
    </row>
    <row r="664" spans="1:4" ht="13" x14ac:dyDescent="0.15">
      <c r="A664" s="10"/>
      <c r="B664" s="13"/>
      <c r="C664" s="13"/>
      <c r="D664" s="13"/>
    </row>
    <row r="665" spans="1:4" ht="13" x14ac:dyDescent="0.15">
      <c r="A665" s="10"/>
      <c r="B665" s="13"/>
      <c r="C665" s="13"/>
      <c r="D665" s="13"/>
    </row>
    <row r="666" spans="1:4" ht="13" x14ac:dyDescent="0.15">
      <c r="A666" s="10"/>
      <c r="B666" s="13"/>
      <c r="C666" s="13"/>
      <c r="D666" s="13"/>
    </row>
    <row r="667" spans="1:4" ht="13" x14ac:dyDescent="0.15">
      <c r="A667" s="10"/>
      <c r="B667" s="13"/>
      <c r="C667" s="13"/>
      <c r="D667" s="13"/>
    </row>
    <row r="668" spans="1:4" ht="13" x14ac:dyDescent="0.15">
      <c r="A668" s="10"/>
      <c r="B668" s="13"/>
      <c r="C668" s="13"/>
      <c r="D668" s="13"/>
    </row>
    <row r="669" spans="1:4" ht="13" x14ac:dyDescent="0.15">
      <c r="A669" s="10"/>
      <c r="B669" s="13"/>
      <c r="C669" s="13"/>
      <c r="D669" s="13"/>
    </row>
    <row r="670" spans="1:4" ht="13" x14ac:dyDescent="0.15">
      <c r="A670" s="10"/>
      <c r="B670" s="13"/>
      <c r="C670" s="13"/>
      <c r="D670" s="13"/>
    </row>
    <row r="671" spans="1:4" ht="13" x14ac:dyDescent="0.15">
      <c r="A671" s="10"/>
      <c r="B671" s="13"/>
      <c r="C671" s="13"/>
      <c r="D671" s="13"/>
    </row>
    <row r="672" spans="1:4" ht="13" x14ac:dyDescent="0.15">
      <c r="A672" s="10"/>
      <c r="B672" s="13"/>
      <c r="C672" s="13"/>
      <c r="D672" s="13"/>
    </row>
    <row r="673" spans="1:4" ht="13" x14ac:dyDescent="0.15">
      <c r="A673" s="10"/>
      <c r="B673" s="13"/>
      <c r="C673" s="13"/>
      <c r="D673" s="13"/>
    </row>
    <row r="674" spans="1:4" ht="13" x14ac:dyDescent="0.15">
      <c r="A674" s="10"/>
      <c r="B674" s="13"/>
      <c r="C674" s="13"/>
      <c r="D674" s="13"/>
    </row>
    <row r="675" spans="1:4" ht="13" x14ac:dyDescent="0.15">
      <c r="A675" s="10"/>
      <c r="B675" s="13"/>
      <c r="C675" s="13"/>
      <c r="D675" s="13"/>
    </row>
    <row r="676" spans="1:4" ht="13" x14ac:dyDescent="0.15">
      <c r="A676" s="10"/>
      <c r="B676" s="13"/>
      <c r="C676" s="13"/>
      <c r="D676" s="13"/>
    </row>
    <row r="677" spans="1:4" ht="13" x14ac:dyDescent="0.15">
      <c r="A677" s="10"/>
      <c r="B677" s="13"/>
      <c r="C677" s="13"/>
      <c r="D677" s="13"/>
    </row>
    <row r="678" spans="1:4" ht="13" x14ac:dyDescent="0.15">
      <c r="A678" s="10"/>
      <c r="B678" s="13"/>
      <c r="C678" s="13"/>
      <c r="D678" s="13"/>
    </row>
    <row r="679" spans="1:4" ht="13" x14ac:dyDescent="0.15">
      <c r="A679" s="10"/>
      <c r="B679" s="13"/>
      <c r="C679" s="13"/>
      <c r="D679" s="13"/>
    </row>
    <row r="680" spans="1:4" ht="13" x14ac:dyDescent="0.15">
      <c r="A680" s="10"/>
      <c r="B680" s="13"/>
      <c r="C680" s="13"/>
      <c r="D680" s="13"/>
    </row>
    <row r="681" spans="1:4" ht="13" x14ac:dyDescent="0.15">
      <c r="A681" s="10"/>
      <c r="B681" s="13"/>
      <c r="C681" s="13"/>
      <c r="D681" s="13"/>
    </row>
    <row r="682" spans="1:4" ht="13" x14ac:dyDescent="0.15">
      <c r="A682" s="10"/>
      <c r="B682" s="13"/>
      <c r="C682" s="13"/>
      <c r="D682" s="13"/>
    </row>
    <row r="683" spans="1:4" ht="13" x14ac:dyDescent="0.15">
      <c r="A683" s="10"/>
      <c r="B683" s="13"/>
      <c r="C683" s="13"/>
      <c r="D683" s="13"/>
    </row>
    <row r="684" spans="1:4" ht="13" x14ac:dyDescent="0.15">
      <c r="A684" s="10"/>
      <c r="B684" s="13"/>
      <c r="C684" s="13"/>
      <c r="D684" s="13"/>
    </row>
    <row r="685" spans="1:4" ht="13" x14ac:dyDescent="0.15">
      <c r="A685" s="10"/>
      <c r="B685" s="13"/>
      <c r="C685" s="13"/>
      <c r="D685" s="13"/>
    </row>
    <row r="686" spans="1:4" ht="13" x14ac:dyDescent="0.15">
      <c r="A686" s="10"/>
      <c r="B686" s="13"/>
      <c r="C686" s="13"/>
      <c r="D686" s="13"/>
    </row>
    <row r="687" spans="1:4" ht="13" x14ac:dyDescent="0.15">
      <c r="A687" s="10"/>
      <c r="B687" s="13"/>
      <c r="C687" s="13"/>
      <c r="D687" s="13"/>
    </row>
    <row r="688" spans="1:4" ht="13" x14ac:dyDescent="0.15">
      <c r="A688" s="10"/>
      <c r="B688" s="13"/>
      <c r="C688" s="13"/>
      <c r="D688" s="13"/>
    </row>
    <row r="689" spans="1:4" ht="13" x14ac:dyDescent="0.15">
      <c r="A689" s="10"/>
      <c r="B689" s="13"/>
      <c r="C689" s="13"/>
      <c r="D689" s="13"/>
    </row>
    <row r="690" spans="1:4" ht="13" x14ac:dyDescent="0.15">
      <c r="A690" s="10"/>
      <c r="B690" s="13"/>
      <c r="C690" s="13"/>
      <c r="D690" s="13"/>
    </row>
    <row r="691" spans="1:4" ht="13" x14ac:dyDescent="0.15">
      <c r="A691" s="10"/>
      <c r="B691" s="13"/>
      <c r="C691" s="13"/>
      <c r="D691" s="13"/>
    </row>
    <row r="692" spans="1:4" ht="13" x14ac:dyDescent="0.15">
      <c r="A692" s="10"/>
      <c r="B692" s="13"/>
      <c r="C692" s="13"/>
      <c r="D692" s="13"/>
    </row>
    <row r="693" spans="1:4" ht="13" x14ac:dyDescent="0.15">
      <c r="A693" s="10"/>
      <c r="B693" s="13"/>
      <c r="C693" s="13"/>
      <c r="D693" s="13"/>
    </row>
    <row r="694" spans="1:4" ht="13" x14ac:dyDescent="0.15">
      <c r="A694" s="10"/>
      <c r="B694" s="13"/>
      <c r="C694" s="13"/>
      <c r="D694" s="13"/>
    </row>
    <row r="695" spans="1:4" ht="13" x14ac:dyDescent="0.15">
      <c r="A695" s="10"/>
      <c r="B695" s="13"/>
      <c r="C695" s="13"/>
      <c r="D695" s="13"/>
    </row>
    <row r="696" spans="1:4" ht="13" x14ac:dyDescent="0.15">
      <c r="A696" s="10"/>
      <c r="B696" s="13"/>
      <c r="C696" s="13"/>
      <c r="D696" s="13"/>
    </row>
    <row r="697" spans="1:4" ht="13" x14ac:dyDescent="0.15">
      <c r="A697" s="10"/>
      <c r="B697" s="13"/>
      <c r="C697" s="13"/>
      <c r="D697" s="13"/>
    </row>
    <row r="698" spans="1:4" ht="13" x14ac:dyDescent="0.15">
      <c r="A698" s="10"/>
      <c r="B698" s="13"/>
      <c r="C698" s="13"/>
      <c r="D698" s="13"/>
    </row>
    <row r="699" spans="1:4" ht="13" x14ac:dyDescent="0.15">
      <c r="A699" s="10"/>
      <c r="B699" s="13"/>
      <c r="C699" s="13"/>
      <c r="D699" s="13"/>
    </row>
    <row r="700" spans="1:4" ht="13" x14ac:dyDescent="0.15">
      <c r="A700" s="10"/>
      <c r="B700" s="13"/>
      <c r="C700" s="13"/>
      <c r="D700" s="13"/>
    </row>
    <row r="701" spans="1:4" ht="13" x14ac:dyDescent="0.15">
      <c r="A701" s="10"/>
      <c r="B701" s="13"/>
      <c r="C701" s="13"/>
      <c r="D701" s="13"/>
    </row>
    <row r="702" spans="1:4" ht="13" x14ac:dyDescent="0.15">
      <c r="A702" s="10"/>
      <c r="B702" s="13"/>
      <c r="C702" s="13"/>
      <c r="D702" s="13"/>
    </row>
    <row r="703" spans="1:4" ht="13" x14ac:dyDescent="0.15">
      <c r="A703" s="10"/>
      <c r="B703" s="13"/>
      <c r="C703" s="13"/>
      <c r="D703" s="13"/>
    </row>
    <row r="704" spans="1:4" ht="13" x14ac:dyDescent="0.15">
      <c r="A704" s="10"/>
      <c r="B704" s="13"/>
      <c r="C704" s="13"/>
      <c r="D704" s="13"/>
    </row>
    <row r="705" spans="1:4" ht="13" x14ac:dyDescent="0.15">
      <c r="A705" s="10"/>
      <c r="B705" s="13"/>
      <c r="C705" s="13"/>
      <c r="D705" s="13"/>
    </row>
    <row r="706" spans="1:4" ht="13" x14ac:dyDescent="0.15">
      <c r="A706" s="10"/>
      <c r="B706" s="13"/>
      <c r="C706" s="13"/>
      <c r="D706" s="13"/>
    </row>
    <row r="707" spans="1:4" ht="13" x14ac:dyDescent="0.15">
      <c r="A707" s="10"/>
      <c r="B707" s="13"/>
      <c r="C707" s="13"/>
      <c r="D707" s="13"/>
    </row>
    <row r="708" spans="1:4" ht="13" x14ac:dyDescent="0.15">
      <c r="A708" s="10"/>
      <c r="B708" s="13"/>
      <c r="C708" s="13"/>
      <c r="D708" s="13"/>
    </row>
    <row r="709" spans="1:4" ht="13" x14ac:dyDescent="0.15">
      <c r="A709" s="10"/>
      <c r="B709" s="13"/>
      <c r="C709" s="13"/>
      <c r="D709" s="13"/>
    </row>
    <row r="710" spans="1:4" ht="13" x14ac:dyDescent="0.15">
      <c r="A710" s="10"/>
      <c r="B710" s="13"/>
      <c r="C710" s="13"/>
      <c r="D710" s="13"/>
    </row>
    <row r="711" spans="1:4" ht="13" x14ac:dyDescent="0.15">
      <c r="A711" s="10"/>
      <c r="B711" s="13"/>
      <c r="C711" s="13"/>
      <c r="D711" s="13"/>
    </row>
    <row r="712" spans="1:4" ht="13" x14ac:dyDescent="0.15">
      <c r="A712" s="10"/>
      <c r="B712" s="13"/>
      <c r="C712" s="13"/>
      <c r="D712" s="13"/>
    </row>
    <row r="713" spans="1:4" ht="13" x14ac:dyDescent="0.15">
      <c r="A713" s="10"/>
      <c r="B713" s="13"/>
      <c r="C713" s="13"/>
      <c r="D713" s="13"/>
    </row>
    <row r="714" spans="1:4" ht="13" x14ac:dyDescent="0.15">
      <c r="A714" s="10"/>
      <c r="B714" s="13"/>
      <c r="C714" s="13"/>
      <c r="D714" s="13"/>
    </row>
    <row r="715" spans="1:4" ht="13" x14ac:dyDescent="0.15">
      <c r="A715" s="10"/>
      <c r="B715" s="13"/>
      <c r="C715" s="13"/>
      <c r="D715" s="13"/>
    </row>
    <row r="716" spans="1:4" ht="13" x14ac:dyDescent="0.15">
      <c r="A716" s="10"/>
      <c r="B716" s="13"/>
      <c r="C716" s="13"/>
      <c r="D716" s="13"/>
    </row>
    <row r="717" spans="1:4" ht="13" x14ac:dyDescent="0.15">
      <c r="A717" s="10"/>
      <c r="B717" s="13"/>
      <c r="C717" s="13"/>
      <c r="D717" s="13"/>
    </row>
    <row r="718" spans="1:4" ht="13" x14ac:dyDescent="0.15">
      <c r="A718" s="10"/>
      <c r="B718" s="13"/>
      <c r="C718" s="13"/>
      <c r="D718" s="13"/>
    </row>
    <row r="719" spans="1:4" ht="13" x14ac:dyDescent="0.15">
      <c r="A719" s="10"/>
      <c r="B719" s="13"/>
      <c r="C719" s="13"/>
      <c r="D719" s="13"/>
    </row>
    <row r="720" spans="1:4" ht="13" x14ac:dyDescent="0.15">
      <c r="A720" s="10"/>
      <c r="B720" s="13"/>
      <c r="C720" s="13"/>
      <c r="D720" s="13"/>
    </row>
    <row r="721" spans="1:4" ht="13" x14ac:dyDescent="0.15">
      <c r="A721" s="10"/>
      <c r="B721" s="13"/>
      <c r="C721" s="13"/>
      <c r="D721" s="13"/>
    </row>
    <row r="722" spans="1:4" ht="13" x14ac:dyDescent="0.15">
      <c r="A722" s="10"/>
      <c r="B722" s="13"/>
      <c r="C722" s="13"/>
      <c r="D722" s="13"/>
    </row>
    <row r="723" spans="1:4" ht="13" x14ac:dyDescent="0.15">
      <c r="A723" s="10"/>
      <c r="B723" s="13"/>
      <c r="C723" s="13"/>
      <c r="D723" s="13"/>
    </row>
    <row r="724" spans="1:4" ht="13" x14ac:dyDescent="0.15">
      <c r="A724" s="10"/>
      <c r="B724" s="13"/>
      <c r="C724" s="13"/>
      <c r="D724" s="13"/>
    </row>
    <row r="725" spans="1:4" ht="13" x14ac:dyDescent="0.15">
      <c r="A725" s="10"/>
      <c r="B725" s="13"/>
      <c r="C725" s="13"/>
      <c r="D725" s="13"/>
    </row>
    <row r="726" spans="1:4" ht="13" x14ac:dyDescent="0.15">
      <c r="A726" s="10"/>
      <c r="B726" s="13"/>
      <c r="C726" s="13"/>
      <c r="D726" s="13"/>
    </row>
    <row r="727" spans="1:4" ht="13" x14ac:dyDescent="0.15">
      <c r="A727" s="10"/>
      <c r="B727" s="13"/>
      <c r="C727" s="13"/>
      <c r="D727" s="13"/>
    </row>
    <row r="728" spans="1:4" ht="13" x14ac:dyDescent="0.15">
      <c r="A728" s="10"/>
      <c r="B728" s="13"/>
      <c r="C728" s="13"/>
      <c r="D728" s="13"/>
    </row>
    <row r="729" spans="1:4" ht="13" x14ac:dyDescent="0.15">
      <c r="A729" s="10"/>
      <c r="B729" s="13"/>
      <c r="C729" s="13"/>
      <c r="D729" s="13"/>
    </row>
    <row r="730" spans="1:4" ht="13" x14ac:dyDescent="0.15">
      <c r="A730" s="10"/>
      <c r="B730" s="13"/>
      <c r="C730" s="13"/>
      <c r="D730" s="13"/>
    </row>
    <row r="731" spans="1:4" ht="13" x14ac:dyDescent="0.15">
      <c r="A731" s="10"/>
      <c r="B731" s="13"/>
      <c r="C731" s="13"/>
      <c r="D731" s="13"/>
    </row>
    <row r="732" spans="1:4" ht="13" x14ac:dyDescent="0.15">
      <c r="A732" s="10"/>
      <c r="B732" s="13"/>
      <c r="C732" s="13"/>
      <c r="D732" s="13"/>
    </row>
    <row r="733" spans="1:4" ht="13" x14ac:dyDescent="0.15">
      <c r="A733" s="10"/>
      <c r="B733" s="13"/>
      <c r="C733" s="13"/>
      <c r="D733" s="13"/>
    </row>
    <row r="734" spans="1:4" ht="13" x14ac:dyDescent="0.15">
      <c r="A734" s="10"/>
      <c r="B734" s="13"/>
      <c r="C734" s="13"/>
      <c r="D734" s="13"/>
    </row>
    <row r="735" spans="1:4" ht="13" x14ac:dyDescent="0.15">
      <c r="A735" s="10"/>
      <c r="B735" s="13"/>
      <c r="C735" s="13"/>
      <c r="D735" s="13"/>
    </row>
    <row r="736" spans="1:4" ht="13" x14ac:dyDescent="0.15">
      <c r="A736" s="10"/>
      <c r="B736" s="13"/>
      <c r="C736" s="13"/>
      <c r="D736" s="13"/>
    </row>
    <row r="737" spans="1:4" ht="13" x14ac:dyDescent="0.15">
      <c r="A737" s="10"/>
      <c r="B737" s="13"/>
      <c r="C737" s="13"/>
      <c r="D737" s="13"/>
    </row>
    <row r="738" spans="1:4" ht="13" x14ac:dyDescent="0.15">
      <c r="A738" s="10"/>
      <c r="B738" s="13"/>
      <c r="C738" s="13"/>
      <c r="D738" s="13"/>
    </row>
    <row r="739" spans="1:4" ht="13" x14ac:dyDescent="0.15">
      <c r="A739" s="10"/>
      <c r="B739" s="13"/>
      <c r="C739" s="13"/>
      <c r="D739" s="13"/>
    </row>
    <row r="740" spans="1:4" ht="13" x14ac:dyDescent="0.15">
      <c r="A740" s="10"/>
      <c r="B740" s="13"/>
      <c r="C740" s="13"/>
      <c r="D740" s="13"/>
    </row>
    <row r="741" spans="1:4" ht="13" x14ac:dyDescent="0.15">
      <c r="A741" s="10"/>
      <c r="B741" s="13"/>
      <c r="C741" s="13"/>
      <c r="D741" s="13"/>
    </row>
    <row r="742" spans="1:4" ht="13" x14ac:dyDescent="0.15">
      <c r="A742" s="10"/>
      <c r="B742" s="13"/>
      <c r="C742" s="13"/>
      <c r="D742" s="13"/>
    </row>
    <row r="743" spans="1:4" ht="13" x14ac:dyDescent="0.15">
      <c r="A743" s="10"/>
      <c r="B743" s="13"/>
      <c r="C743" s="13"/>
      <c r="D743" s="13"/>
    </row>
    <row r="744" spans="1:4" ht="13" x14ac:dyDescent="0.15">
      <c r="A744" s="10"/>
      <c r="B744" s="13"/>
      <c r="C744" s="13"/>
      <c r="D744" s="13"/>
    </row>
    <row r="745" spans="1:4" ht="13" x14ac:dyDescent="0.15">
      <c r="A745" s="10"/>
      <c r="B745" s="13"/>
      <c r="C745" s="13"/>
      <c r="D745" s="13"/>
    </row>
    <row r="746" spans="1:4" ht="13" x14ac:dyDescent="0.15">
      <c r="A746" s="10"/>
      <c r="B746" s="13"/>
      <c r="C746" s="13"/>
      <c r="D746" s="13"/>
    </row>
    <row r="747" spans="1:4" ht="13" x14ac:dyDescent="0.15">
      <c r="A747" s="10"/>
      <c r="B747" s="13"/>
      <c r="C747" s="13"/>
      <c r="D747" s="13"/>
    </row>
    <row r="748" spans="1:4" ht="13" x14ac:dyDescent="0.15">
      <c r="A748" s="10"/>
      <c r="B748" s="13"/>
      <c r="C748" s="13"/>
      <c r="D748" s="13"/>
    </row>
    <row r="749" spans="1:4" ht="13" x14ac:dyDescent="0.15">
      <c r="A749" s="10"/>
      <c r="B749" s="13"/>
      <c r="C749" s="13"/>
      <c r="D749" s="13"/>
    </row>
    <row r="750" spans="1:4" ht="13" x14ac:dyDescent="0.15">
      <c r="A750" s="10"/>
      <c r="B750" s="13"/>
      <c r="C750" s="13"/>
      <c r="D750" s="13"/>
    </row>
    <row r="751" spans="1:4" ht="13" x14ac:dyDescent="0.15">
      <c r="A751" s="10"/>
      <c r="B751" s="13"/>
      <c r="C751" s="13"/>
      <c r="D751" s="13"/>
    </row>
    <row r="752" spans="1:4" ht="13" x14ac:dyDescent="0.15">
      <c r="A752" s="10"/>
      <c r="B752" s="13"/>
      <c r="C752" s="13"/>
      <c r="D752" s="13"/>
    </row>
    <row r="753" spans="1:4" ht="13" x14ac:dyDescent="0.15">
      <c r="A753" s="10"/>
      <c r="B753" s="13"/>
      <c r="C753" s="13"/>
      <c r="D753" s="13"/>
    </row>
    <row r="754" spans="1:4" ht="13" x14ac:dyDescent="0.15">
      <c r="A754" s="10"/>
      <c r="B754" s="13"/>
      <c r="C754" s="13"/>
      <c r="D754" s="13"/>
    </row>
    <row r="755" spans="1:4" ht="13" x14ac:dyDescent="0.15">
      <c r="A755" s="10"/>
      <c r="B755" s="13"/>
      <c r="C755" s="13"/>
      <c r="D755" s="13"/>
    </row>
    <row r="756" spans="1:4" ht="13" x14ac:dyDescent="0.15">
      <c r="A756" s="10"/>
      <c r="B756" s="13"/>
      <c r="C756" s="13"/>
      <c r="D756" s="13"/>
    </row>
    <row r="757" spans="1:4" ht="13" x14ac:dyDescent="0.15">
      <c r="A757" s="10"/>
      <c r="B757" s="13"/>
      <c r="C757" s="13"/>
      <c r="D757" s="13"/>
    </row>
    <row r="758" spans="1:4" ht="13" x14ac:dyDescent="0.15">
      <c r="A758" s="10"/>
      <c r="B758" s="13"/>
      <c r="C758" s="13"/>
      <c r="D758" s="13"/>
    </row>
    <row r="759" spans="1:4" ht="13" x14ac:dyDescent="0.15">
      <c r="A759" s="10"/>
      <c r="B759" s="13"/>
      <c r="C759" s="13"/>
      <c r="D759" s="13"/>
    </row>
    <row r="760" spans="1:4" ht="13" x14ac:dyDescent="0.15">
      <c r="A760" s="10"/>
      <c r="B760" s="13"/>
      <c r="C760" s="13"/>
      <c r="D760" s="13"/>
    </row>
    <row r="761" spans="1:4" ht="13" x14ac:dyDescent="0.15">
      <c r="A761" s="10"/>
      <c r="B761" s="13"/>
      <c r="C761" s="13"/>
      <c r="D761" s="13"/>
    </row>
    <row r="762" spans="1:4" ht="13" x14ac:dyDescent="0.15">
      <c r="A762" s="10"/>
      <c r="B762" s="13"/>
      <c r="C762" s="13"/>
      <c r="D762" s="13"/>
    </row>
    <row r="763" spans="1:4" ht="13" x14ac:dyDescent="0.15">
      <c r="A763" s="10"/>
      <c r="B763" s="13"/>
      <c r="C763" s="13"/>
      <c r="D763" s="13"/>
    </row>
    <row r="764" spans="1:4" ht="13" x14ac:dyDescent="0.15">
      <c r="A764" s="10"/>
      <c r="B764" s="13"/>
      <c r="C764" s="13"/>
      <c r="D764" s="13"/>
    </row>
    <row r="765" spans="1:4" ht="13" x14ac:dyDescent="0.15">
      <c r="A765" s="10"/>
      <c r="B765" s="13"/>
      <c r="C765" s="13"/>
      <c r="D765" s="13"/>
    </row>
    <row r="766" spans="1:4" ht="13" x14ac:dyDescent="0.15">
      <c r="A766" s="10"/>
      <c r="B766" s="13"/>
      <c r="C766" s="13"/>
      <c r="D766" s="13"/>
    </row>
    <row r="767" spans="1:4" ht="13" x14ac:dyDescent="0.15">
      <c r="A767" s="10"/>
      <c r="B767" s="13"/>
      <c r="C767" s="13"/>
      <c r="D767" s="13"/>
    </row>
    <row r="768" spans="1:4" ht="13" x14ac:dyDescent="0.15">
      <c r="A768" s="10"/>
      <c r="B768" s="13"/>
      <c r="C768" s="13"/>
      <c r="D768" s="13"/>
    </row>
    <row r="769" spans="1:4" ht="13" x14ac:dyDescent="0.15">
      <c r="A769" s="10"/>
      <c r="B769" s="13"/>
      <c r="C769" s="13"/>
      <c r="D769" s="13"/>
    </row>
    <row r="770" spans="1:4" ht="13" x14ac:dyDescent="0.15">
      <c r="A770" s="10"/>
      <c r="B770" s="13"/>
      <c r="C770" s="13"/>
      <c r="D770" s="13"/>
    </row>
    <row r="771" spans="1:4" ht="13" x14ac:dyDescent="0.15">
      <c r="A771" s="10"/>
      <c r="B771" s="13"/>
      <c r="C771" s="13"/>
      <c r="D771" s="13"/>
    </row>
    <row r="772" spans="1:4" ht="13" x14ac:dyDescent="0.15">
      <c r="A772" s="10"/>
      <c r="B772" s="13"/>
      <c r="C772" s="13"/>
      <c r="D772" s="13"/>
    </row>
    <row r="773" spans="1:4" ht="13" x14ac:dyDescent="0.15">
      <c r="A773" s="10"/>
      <c r="B773" s="13"/>
      <c r="C773" s="13"/>
      <c r="D773" s="13"/>
    </row>
    <row r="774" spans="1:4" ht="13" x14ac:dyDescent="0.15">
      <c r="A774" s="10"/>
      <c r="B774" s="13"/>
      <c r="C774" s="13"/>
      <c r="D774" s="13"/>
    </row>
    <row r="775" spans="1:4" ht="13" x14ac:dyDescent="0.15">
      <c r="A775" s="10"/>
      <c r="B775" s="13"/>
      <c r="C775" s="13"/>
      <c r="D775" s="13"/>
    </row>
    <row r="776" spans="1:4" ht="13" x14ac:dyDescent="0.15">
      <c r="A776" s="10"/>
      <c r="B776" s="13"/>
      <c r="C776" s="13"/>
      <c r="D776" s="13"/>
    </row>
    <row r="777" spans="1:4" ht="13" x14ac:dyDescent="0.15">
      <c r="A777" s="10"/>
      <c r="B777" s="13"/>
      <c r="C777" s="13"/>
      <c r="D777" s="13"/>
    </row>
    <row r="778" spans="1:4" ht="13" x14ac:dyDescent="0.15">
      <c r="A778" s="10"/>
      <c r="B778" s="13"/>
      <c r="C778" s="13"/>
      <c r="D778" s="13"/>
    </row>
    <row r="779" spans="1:4" ht="13" x14ac:dyDescent="0.15">
      <c r="A779" s="10"/>
      <c r="B779" s="13"/>
      <c r="C779" s="13"/>
      <c r="D779" s="13"/>
    </row>
    <row r="780" spans="1:4" ht="13" x14ac:dyDescent="0.15">
      <c r="A780" s="10"/>
      <c r="B780" s="13"/>
      <c r="C780" s="13"/>
      <c r="D780" s="13"/>
    </row>
    <row r="781" spans="1:4" ht="13" x14ac:dyDescent="0.15">
      <c r="A781" s="10"/>
      <c r="B781" s="13"/>
      <c r="C781" s="13"/>
      <c r="D781" s="13"/>
    </row>
    <row r="782" spans="1:4" ht="13" x14ac:dyDescent="0.15">
      <c r="A782" s="10"/>
      <c r="B782" s="13"/>
      <c r="C782" s="13"/>
      <c r="D782" s="13"/>
    </row>
    <row r="783" spans="1:4" ht="13" x14ac:dyDescent="0.15">
      <c r="A783" s="10"/>
      <c r="B783" s="13"/>
      <c r="C783" s="13"/>
      <c r="D783" s="13"/>
    </row>
    <row r="784" spans="1:4" ht="13" x14ac:dyDescent="0.15">
      <c r="A784" s="10"/>
      <c r="B784" s="13"/>
      <c r="C784" s="13"/>
      <c r="D784" s="13"/>
    </row>
    <row r="785" spans="1:4" ht="13" x14ac:dyDescent="0.15">
      <c r="A785" s="10"/>
      <c r="B785" s="13"/>
      <c r="C785" s="13"/>
      <c r="D785" s="13"/>
    </row>
    <row r="786" spans="1:4" ht="13" x14ac:dyDescent="0.15">
      <c r="A786" s="10"/>
      <c r="B786" s="13"/>
      <c r="C786" s="13"/>
      <c r="D786" s="13"/>
    </row>
    <row r="787" spans="1:4" ht="13" x14ac:dyDescent="0.15">
      <c r="A787" s="10"/>
      <c r="B787" s="13"/>
      <c r="C787" s="13"/>
      <c r="D787" s="13"/>
    </row>
    <row r="788" spans="1:4" ht="13" x14ac:dyDescent="0.15">
      <c r="A788" s="10"/>
      <c r="B788" s="13"/>
      <c r="C788" s="13"/>
      <c r="D788" s="13"/>
    </row>
    <row r="789" spans="1:4" ht="13" x14ac:dyDescent="0.15">
      <c r="A789" s="10"/>
      <c r="B789" s="13"/>
      <c r="C789" s="13"/>
      <c r="D789" s="13"/>
    </row>
    <row r="790" spans="1:4" ht="13" x14ac:dyDescent="0.15">
      <c r="A790" s="10"/>
      <c r="B790" s="13"/>
      <c r="C790" s="13"/>
      <c r="D790" s="13"/>
    </row>
    <row r="791" spans="1:4" ht="13" x14ac:dyDescent="0.15">
      <c r="A791" s="10"/>
      <c r="B791" s="13"/>
      <c r="C791" s="13"/>
      <c r="D791" s="13"/>
    </row>
    <row r="792" spans="1:4" ht="13" x14ac:dyDescent="0.15">
      <c r="A792" s="10"/>
      <c r="B792" s="13"/>
      <c r="C792" s="13"/>
      <c r="D792" s="13"/>
    </row>
    <row r="793" spans="1:4" ht="13" x14ac:dyDescent="0.15">
      <c r="A793" s="10"/>
      <c r="B793" s="13"/>
      <c r="C793" s="13"/>
      <c r="D793" s="13"/>
    </row>
    <row r="794" spans="1:4" ht="13" x14ac:dyDescent="0.15">
      <c r="A794" s="10"/>
      <c r="B794" s="13"/>
      <c r="C794" s="13"/>
      <c r="D794" s="13"/>
    </row>
    <row r="795" spans="1:4" ht="13" x14ac:dyDescent="0.15">
      <c r="A795" s="10"/>
      <c r="B795" s="13"/>
      <c r="C795" s="13"/>
      <c r="D795" s="13"/>
    </row>
    <row r="796" spans="1:4" ht="13" x14ac:dyDescent="0.15">
      <c r="A796" s="10"/>
      <c r="B796" s="13"/>
      <c r="C796" s="13"/>
      <c r="D796" s="13"/>
    </row>
    <row r="797" spans="1:4" ht="13" x14ac:dyDescent="0.15">
      <c r="A797" s="10"/>
      <c r="B797" s="13"/>
      <c r="C797" s="13"/>
      <c r="D797" s="13"/>
    </row>
    <row r="798" spans="1:4" ht="13" x14ac:dyDescent="0.15">
      <c r="A798" s="10"/>
      <c r="B798" s="13"/>
      <c r="C798" s="13"/>
      <c r="D798" s="13"/>
    </row>
    <row r="799" spans="1:4" ht="13" x14ac:dyDescent="0.15">
      <c r="A799" s="10"/>
      <c r="B799" s="13"/>
      <c r="C799" s="13"/>
      <c r="D799" s="13"/>
    </row>
    <row r="800" spans="1:4" ht="13" x14ac:dyDescent="0.15">
      <c r="A800" s="10"/>
      <c r="B800" s="13"/>
      <c r="C800" s="13"/>
      <c r="D800" s="13"/>
    </row>
    <row r="801" spans="1:4" ht="13" x14ac:dyDescent="0.15">
      <c r="A801" s="10"/>
      <c r="B801" s="13"/>
      <c r="C801" s="13"/>
      <c r="D801" s="13"/>
    </row>
    <row r="802" spans="1:4" ht="13" x14ac:dyDescent="0.15">
      <c r="A802" s="10"/>
      <c r="B802" s="13"/>
      <c r="C802" s="13"/>
      <c r="D802" s="13"/>
    </row>
    <row r="803" spans="1:4" ht="13" x14ac:dyDescent="0.15">
      <c r="A803" s="10"/>
      <c r="B803" s="13"/>
      <c r="C803" s="13"/>
      <c r="D803" s="13"/>
    </row>
    <row r="804" spans="1:4" ht="13" x14ac:dyDescent="0.15">
      <c r="A804" s="10"/>
      <c r="B804" s="13"/>
      <c r="C804" s="13"/>
      <c r="D804" s="13"/>
    </row>
    <row r="805" spans="1:4" ht="13" x14ac:dyDescent="0.15">
      <c r="A805" s="10"/>
      <c r="B805" s="13"/>
      <c r="C805" s="13"/>
      <c r="D805" s="13"/>
    </row>
    <row r="806" spans="1:4" ht="13" x14ac:dyDescent="0.15">
      <c r="A806" s="10"/>
      <c r="B806" s="13"/>
      <c r="C806" s="13"/>
      <c r="D806" s="13"/>
    </row>
    <row r="807" spans="1:4" ht="13" x14ac:dyDescent="0.15">
      <c r="A807" s="10"/>
      <c r="B807" s="13"/>
      <c r="C807" s="13"/>
      <c r="D807" s="13"/>
    </row>
    <row r="808" spans="1:4" ht="13" x14ac:dyDescent="0.15">
      <c r="A808" s="10"/>
      <c r="B808" s="13"/>
      <c r="C808" s="13"/>
      <c r="D808" s="13"/>
    </row>
    <row r="809" spans="1:4" ht="13" x14ac:dyDescent="0.15">
      <c r="A809" s="10"/>
      <c r="B809" s="13"/>
      <c r="C809" s="13"/>
      <c r="D809" s="13"/>
    </row>
    <row r="810" spans="1:4" ht="13" x14ac:dyDescent="0.15">
      <c r="A810" s="10"/>
      <c r="B810" s="13"/>
      <c r="C810" s="13"/>
      <c r="D810" s="13"/>
    </row>
    <row r="811" spans="1:4" ht="13" x14ac:dyDescent="0.15">
      <c r="A811" s="10"/>
      <c r="B811" s="13"/>
      <c r="C811" s="13"/>
      <c r="D811" s="13"/>
    </row>
    <row r="812" spans="1:4" ht="13" x14ac:dyDescent="0.15">
      <c r="A812" s="10"/>
      <c r="B812" s="13"/>
      <c r="C812" s="13"/>
      <c r="D812" s="13"/>
    </row>
    <row r="813" spans="1:4" ht="13" x14ac:dyDescent="0.15">
      <c r="A813" s="10"/>
      <c r="B813" s="13"/>
      <c r="C813" s="13"/>
      <c r="D813" s="13"/>
    </row>
    <row r="814" spans="1:4" ht="13" x14ac:dyDescent="0.15">
      <c r="A814" s="10"/>
      <c r="B814" s="13"/>
      <c r="C814" s="13"/>
      <c r="D814" s="13"/>
    </row>
    <row r="815" spans="1:4" ht="13" x14ac:dyDescent="0.15">
      <c r="A815" s="10"/>
      <c r="B815" s="13"/>
      <c r="C815" s="13"/>
      <c r="D815" s="13"/>
    </row>
    <row r="816" spans="1:4" ht="13" x14ac:dyDescent="0.15">
      <c r="A816" s="10"/>
      <c r="B816" s="13"/>
      <c r="C816" s="13"/>
      <c r="D816" s="13"/>
    </row>
    <row r="817" spans="1:4" ht="13" x14ac:dyDescent="0.15">
      <c r="A817" s="10"/>
      <c r="B817" s="13"/>
      <c r="C817" s="13"/>
      <c r="D817" s="13"/>
    </row>
    <row r="818" spans="1:4" ht="13" x14ac:dyDescent="0.15">
      <c r="A818" s="10"/>
      <c r="B818" s="13"/>
      <c r="C818" s="13"/>
      <c r="D818" s="13"/>
    </row>
    <row r="819" spans="1:4" ht="13" x14ac:dyDescent="0.15">
      <c r="A819" s="10"/>
      <c r="B819" s="13"/>
      <c r="C819" s="13"/>
      <c r="D819" s="13"/>
    </row>
    <row r="820" spans="1:4" ht="13" x14ac:dyDescent="0.15">
      <c r="A820" s="10"/>
      <c r="B820" s="13"/>
      <c r="C820" s="13"/>
      <c r="D820" s="13"/>
    </row>
    <row r="821" spans="1:4" ht="13" x14ac:dyDescent="0.15">
      <c r="A821" s="10"/>
      <c r="B821" s="13"/>
      <c r="C821" s="13"/>
      <c r="D821" s="13"/>
    </row>
    <row r="822" spans="1:4" ht="13" x14ac:dyDescent="0.15">
      <c r="A822" s="10"/>
      <c r="B822" s="13"/>
      <c r="C822" s="13"/>
      <c r="D822" s="13"/>
    </row>
    <row r="823" spans="1:4" ht="13" x14ac:dyDescent="0.15">
      <c r="A823" s="10"/>
      <c r="B823" s="13"/>
      <c r="C823" s="13"/>
      <c r="D823" s="13"/>
    </row>
    <row r="824" spans="1:4" ht="13" x14ac:dyDescent="0.15">
      <c r="A824" s="10"/>
      <c r="B824" s="13"/>
      <c r="C824" s="13"/>
      <c r="D824" s="13"/>
    </row>
    <row r="825" spans="1:4" ht="13" x14ac:dyDescent="0.15">
      <c r="A825" s="10"/>
      <c r="B825" s="13"/>
      <c r="C825" s="13"/>
      <c r="D825" s="13"/>
    </row>
    <row r="826" spans="1:4" ht="13" x14ac:dyDescent="0.15">
      <c r="A826" s="10"/>
      <c r="B826" s="13"/>
      <c r="C826" s="13"/>
      <c r="D826" s="13"/>
    </row>
    <row r="827" spans="1:4" ht="13" x14ac:dyDescent="0.15">
      <c r="A827" s="10"/>
      <c r="B827" s="13"/>
      <c r="C827" s="13"/>
      <c r="D827" s="13"/>
    </row>
    <row r="828" spans="1:4" ht="13" x14ac:dyDescent="0.15">
      <c r="A828" s="10"/>
      <c r="B828" s="13"/>
      <c r="C828" s="13"/>
      <c r="D828" s="13"/>
    </row>
    <row r="829" spans="1:4" ht="13" x14ac:dyDescent="0.15">
      <c r="A829" s="10"/>
      <c r="B829" s="13"/>
      <c r="C829" s="13"/>
      <c r="D829" s="13"/>
    </row>
    <row r="830" spans="1:4" ht="13" x14ac:dyDescent="0.15">
      <c r="A830" s="10"/>
      <c r="B830" s="13"/>
      <c r="C830" s="13"/>
      <c r="D830" s="13"/>
    </row>
    <row r="831" spans="1:4" ht="13" x14ac:dyDescent="0.15">
      <c r="A831" s="10"/>
      <c r="B831" s="13"/>
      <c r="C831" s="13"/>
      <c r="D831" s="13"/>
    </row>
    <row r="832" spans="1:4" ht="13" x14ac:dyDescent="0.15">
      <c r="A832" s="10"/>
      <c r="B832" s="13"/>
      <c r="C832" s="13"/>
      <c r="D832" s="13"/>
    </row>
    <row r="833" spans="1:4" ht="13" x14ac:dyDescent="0.15">
      <c r="A833" s="10"/>
      <c r="B833" s="13"/>
      <c r="C833" s="13"/>
      <c r="D833" s="13"/>
    </row>
    <row r="834" spans="1:4" ht="13" x14ac:dyDescent="0.15">
      <c r="A834" s="10"/>
      <c r="B834" s="13"/>
      <c r="C834" s="13"/>
      <c r="D834" s="13"/>
    </row>
    <row r="835" spans="1:4" ht="13" x14ac:dyDescent="0.15">
      <c r="A835" s="10"/>
      <c r="B835" s="13"/>
      <c r="C835" s="13"/>
      <c r="D835" s="13"/>
    </row>
    <row r="836" spans="1:4" ht="13" x14ac:dyDescent="0.15">
      <c r="A836" s="10"/>
      <c r="B836" s="13"/>
      <c r="C836" s="13"/>
      <c r="D836" s="13"/>
    </row>
    <row r="837" spans="1:4" ht="13" x14ac:dyDescent="0.15">
      <c r="A837" s="10"/>
      <c r="B837" s="13"/>
      <c r="C837" s="13"/>
      <c r="D837" s="13"/>
    </row>
    <row r="838" spans="1:4" ht="13" x14ac:dyDescent="0.15">
      <c r="A838" s="10"/>
      <c r="B838" s="13"/>
      <c r="C838" s="13"/>
      <c r="D838" s="13"/>
    </row>
    <row r="839" spans="1:4" ht="13" x14ac:dyDescent="0.15">
      <c r="A839" s="10"/>
      <c r="B839" s="13"/>
      <c r="C839" s="13"/>
      <c r="D839" s="13"/>
    </row>
    <row r="840" spans="1:4" ht="13" x14ac:dyDescent="0.15">
      <c r="A840" s="10"/>
      <c r="B840" s="13"/>
      <c r="C840" s="13"/>
      <c r="D840" s="13"/>
    </row>
    <row r="841" spans="1:4" ht="13" x14ac:dyDescent="0.15">
      <c r="A841" s="10"/>
      <c r="B841" s="13"/>
      <c r="C841" s="13"/>
      <c r="D841" s="13"/>
    </row>
    <row r="842" spans="1:4" ht="13" x14ac:dyDescent="0.15">
      <c r="A842" s="10"/>
      <c r="B842" s="13"/>
      <c r="C842" s="13"/>
      <c r="D842" s="13"/>
    </row>
    <row r="843" spans="1:4" ht="13" x14ac:dyDescent="0.15">
      <c r="A843" s="10"/>
      <c r="B843" s="13"/>
      <c r="C843" s="13"/>
      <c r="D843" s="13"/>
    </row>
    <row r="844" spans="1:4" ht="13" x14ac:dyDescent="0.15">
      <c r="A844" s="10"/>
      <c r="B844" s="13"/>
      <c r="C844" s="13"/>
      <c r="D844" s="13"/>
    </row>
    <row r="845" spans="1:4" ht="13" x14ac:dyDescent="0.15">
      <c r="A845" s="10"/>
      <c r="B845" s="13"/>
      <c r="C845" s="13"/>
      <c r="D845" s="13"/>
    </row>
    <row r="846" spans="1:4" ht="13" x14ac:dyDescent="0.15">
      <c r="A846" s="10"/>
      <c r="B846" s="13"/>
      <c r="C846" s="13"/>
      <c r="D846" s="13"/>
    </row>
    <row r="847" spans="1:4" ht="13" x14ac:dyDescent="0.15">
      <c r="A847" s="10"/>
      <c r="B847" s="13"/>
      <c r="C847" s="13"/>
      <c r="D847" s="13"/>
    </row>
    <row r="848" spans="1:4" ht="13" x14ac:dyDescent="0.15">
      <c r="A848" s="10"/>
      <c r="B848" s="13"/>
      <c r="C848" s="13"/>
      <c r="D848" s="13"/>
    </row>
    <row r="849" spans="1:4" ht="13" x14ac:dyDescent="0.15">
      <c r="A849" s="10"/>
      <c r="B849" s="13"/>
      <c r="C849" s="13"/>
      <c r="D849" s="13"/>
    </row>
    <row r="850" spans="1:4" ht="13" x14ac:dyDescent="0.15">
      <c r="A850" s="10"/>
      <c r="B850" s="13"/>
      <c r="C850" s="13"/>
      <c r="D850" s="13"/>
    </row>
    <row r="851" spans="1:4" ht="13" x14ac:dyDescent="0.15">
      <c r="A851" s="10"/>
      <c r="B851" s="13"/>
      <c r="C851" s="13"/>
      <c r="D851" s="13"/>
    </row>
    <row r="852" spans="1:4" ht="13" x14ac:dyDescent="0.15">
      <c r="A852" s="10"/>
      <c r="B852" s="13"/>
      <c r="C852" s="13"/>
      <c r="D852" s="13"/>
    </row>
    <row r="853" spans="1:4" ht="13" x14ac:dyDescent="0.15">
      <c r="A853" s="10"/>
      <c r="B853" s="13"/>
      <c r="C853" s="13"/>
      <c r="D853" s="13"/>
    </row>
    <row r="854" spans="1:4" ht="13" x14ac:dyDescent="0.15">
      <c r="A854" s="10"/>
      <c r="B854" s="13"/>
      <c r="C854" s="13"/>
      <c r="D854" s="13"/>
    </row>
    <row r="855" spans="1:4" ht="13" x14ac:dyDescent="0.15">
      <c r="A855" s="10"/>
      <c r="B855" s="13"/>
      <c r="C855" s="13"/>
      <c r="D855" s="13"/>
    </row>
    <row r="856" spans="1:4" ht="13" x14ac:dyDescent="0.15">
      <c r="A856" s="10"/>
      <c r="B856" s="13"/>
      <c r="C856" s="13"/>
      <c r="D856" s="13"/>
    </row>
    <row r="857" spans="1:4" ht="13" x14ac:dyDescent="0.15">
      <c r="A857" s="10"/>
      <c r="B857" s="13"/>
      <c r="C857" s="13"/>
      <c r="D857" s="13"/>
    </row>
    <row r="858" spans="1:4" ht="13" x14ac:dyDescent="0.15">
      <c r="A858" s="10"/>
      <c r="B858" s="13"/>
      <c r="C858" s="13"/>
      <c r="D858" s="13"/>
    </row>
    <row r="859" spans="1:4" ht="13" x14ac:dyDescent="0.15">
      <c r="A859" s="10"/>
      <c r="B859" s="13"/>
      <c r="C859" s="13"/>
      <c r="D859" s="13"/>
    </row>
    <row r="860" spans="1:4" ht="13" x14ac:dyDescent="0.15">
      <c r="A860" s="10"/>
      <c r="B860" s="13"/>
      <c r="C860" s="13"/>
      <c r="D860" s="13"/>
    </row>
    <row r="861" spans="1:4" ht="13" x14ac:dyDescent="0.15">
      <c r="A861" s="10"/>
      <c r="B861" s="13"/>
      <c r="C861" s="13"/>
      <c r="D861" s="13"/>
    </row>
    <row r="862" spans="1:4" ht="13" x14ac:dyDescent="0.15">
      <c r="A862" s="10"/>
      <c r="B862" s="13"/>
      <c r="C862" s="13"/>
      <c r="D862" s="13"/>
    </row>
    <row r="863" spans="1:4" ht="13" x14ac:dyDescent="0.15">
      <c r="A863" s="10"/>
      <c r="B863" s="13"/>
      <c r="C863" s="13"/>
      <c r="D863" s="13"/>
    </row>
    <row r="864" spans="1:4" ht="13" x14ac:dyDescent="0.15">
      <c r="A864" s="10"/>
      <c r="B864" s="13"/>
      <c r="C864" s="13"/>
      <c r="D864" s="13"/>
    </row>
    <row r="865" spans="1:4" ht="13" x14ac:dyDescent="0.15">
      <c r="A865" s="10"/>
      <c r="B865" s="13"/>
      <c r="C865" s="13"/>
      <c r="D865" s="13"/>
    </row>
    <row r="866" spans="1:4" ht="13" x14ac:dyDescent="0.15">
      <c r="A866" s="10"/>
      <c r="B866" s="13"/>
      <c r="C866" s="13"/>
      <c r="D866" s="13"/>
    </row>
    <row r="867" spans="1:4" ht="13" x14ac:dyDescent="0.15">
      <c r="A867" s="10"/>
      <c r="B867" s="13"/>
      <c r="C867" s="13"/>
      <c r="D867" s="13"/>
    </row>
    <row r="868" spans="1:4" ht="13" x14ac:dyDescent="0.15">
      <c r="A868" s="10"/>
      <c r="B868" s="13"/>
      <c r="C868" s="13"/>
      <c r="D868" s="13"/>
    </row>
    <row r="869" spans="1:4" ht="13" x14ac:dyDescent="0.15">
      <c r="A869" s="10"/>
      <c r="B869" s="13"/>
      <c r="C869" s="13"/>
      <c r="D869" s="13"/>
    </row>
    <row r="870" spans="1:4" ht="13" x14ac:dyDescent="0.15">
      <c r="A870" s="10"/>
      <c r="B870" s="13"/>
      <c r="C870" s="13"/>
      <c r="D870" s="13"/>
    </row>
    <row r="871" spans="1:4" ht="13" x14ac:dyDescent="0.15">
      <c r="A871" s="10"/>
      <c r="B871" s="13"/>
      <c r="C871" s="13"/>
      <c r="D871" s="13"/>
    </row>
    <row r="872" spans="1:4" ht="13" x14ac:dyDescent="0.15">
      <c r="A872" s="10"/>
      <c r="B872" s="13"/>
      <c r="C872" s="13"/>
      <c r="D872" s="13"/>
    </row>
    <row r="873" spans="1:4" ht="13" x14ac:dyDescent="0.15">
      <c r="A873" s="10"/>
      <c r="B873" s="13"/>
      <c r="C873" s="13"/>
      <c r="D873" s="13"/>
    </row>
    <row r="874" spans="1:4" ht="13" x14ac:dyDescent="0.15">
      <c r="A874" s="10"/>
      <c r="B874" s="13"/>
      <c r="C874" s="13"/>
      <c r="D874" s="13"/>
    </row>
    <row r="875" spans="1:4" ht="13" x14ac:dyDescent="0.15">
      <c r="A875" s="10"/>
      <c r="B875" s="13"/>
      <c r="C875" s="13"/>
      <c r="D875" s="13"/>
    </row>
    <row r="876" spans="1:4" ht="13" x14ac:dyDescent="0.15">
      <c r="A876" s="10"/>
      <c r="B876" s="13"/>
      <c r="C876" s="13"/>
      <c r="D876" s="13"/>
    </row>
    <row r="877" spans="1:4" ht="13" x14ac:dyDescent="0.15">
      <c r="A877" s="10"/>
      <c r="B877" s="13"/>
      <c r="C877" s="13"/>
      <c r="D877" s="13"/>
    </row>
    <row r="878" spans="1:4" ht="13" x14ac:dyDescent="0.15">
      <c r="A878" s="10"/>
      <c r="B878" s="13"/>
      <c r="C878" s="13"/>
      <c r="D878" s="13"/>
    </row>
    <row r="879" spans="1:4" ht="13" x14ac:dyDescent="0.15">
      <c r="A879" s="10"/>
      <c r="B879" s="13"/>
      <c r="C879" s="13"/>
      <c r="D879" s="13"/>
    </row>
    <row r="880" spans="1:4" ht="13" x14ac:dyDescent="0.15">
      <c r="A880" s="10"/>
      <c r="B880" s="13"/>
      <c r="C880" s="13"/>
      <c r="D880" s="13"/>
    </row>
    <row r="881" spans="1:4" ht="13" x14ac:dyDescent="0.15">
      <c r="A881" s="10"/>
      <c r="B881" s="13"/>
      <c r="C881" s="13"/>
      <c r="D881" s="13"/>
    </row>
    <row r="882" spans="1:4" ht="13" x14ac:dyDescent="0.15">
      <c r="A882" s="10"/>
      <c r="B882" s="13"/>
      <c r="C882" s="13"/>
      <c r="D882" s="13"/>
    </row>
    <row r="883" spans="1:4" ht="13" x14ac:dyDescent="0.15">
      <c r="A883" s="10"/>
      <c r="B883" s="13"/>
      <c r="C883" s="13"/>
      <c r="D883" s="13"/>
    </row>
    <row r="884" spans="1:4" ht="13" x14ac:dyDescent="0.15">
      <c r="A884" s="10"/>
      <c r="B884" s="13"/>
      <c r="C884" s="13"/>
      <c r="D884" s="13"/>
    </row>
    <row r="885" spans="1:4" ht="13" x14ac:dyDescent="0.15">
      <c r="A885" s="10"/>
      <c r="B885" s="13"/>
      <c r="C885" s="13"/>
      <c r="D885" s="13"/>
    </row>
    <row r="886" spans="1:4" ht="13" x14ac:dyDescent="0.15">
      <c r="A886" s="10"/>
      <c r="B886" s="13"/>
      <c r="C886" s="13"/>
      <c r="D886" s="13"/>
    </row>
    <row r="887" spans="1:4" ht="13" x14ac:dyDescent="0.15">
      <c r="A887" s="10"/>
      <c r="B887" s="13"/>
      <c r="C887" s="13"/>
      <c r="D887" s="13"/>
    </row>
    <row r="888" spans="1:4" ht="13" x14ac:dyDescent="0.15">
      <c r="A888" s="10"/>
      <c r="B888" s="13"/>
      <c r="C888" s="13"/>
      <c r="D888" s="13"/>
    </row>
    <row r="889" spans="1:4" ht="13" x14ac:dyDescent="0.15">
      <c r="A889" s="10"/>
      <c r="B889" s="13"/>
      <c r="C889" s="13"/>
      <c r="D889" s="13"/>
    </row>
    <row r="890" spans="1:4" ht="13" x14ac:dyDescent="0.15">
      <c r="A890" s="10"/>
      <c r="B890" s="13"/>
      <c r="C890" s="13"/>
      <c r="D890" s="13"/>
    </row>
    <row r="891" spans="1:4" ht="13" x14ac:dyDescent="0.15">
      <c r="A891" s="10"/>
      <c r="B891" s="13"/>
      <c r="C891" s="13"/>
      <c r="D891" s="13"/>
    </row>
    <row r="892" spans="1:4" ht="13" x14ac:dyDescent="0.15">
      <c r="A892" s="10"/>
      <c r="B892" s="13"/>
      <c r="C892" s="13"/>
      <c r="D892" s="13"/>
    </row>
    <row r="893" spans="1:4" ht="13" x14ac:dyDescent="0.15">
      <c r="A893" s="10"/>
      <c r="B893" s="13"/>
      <c r="C893" s="13"/>
      <c r="D893" s="13"/>
    </row>
    <row r="894" spans="1:4" ht="13" x14ac:dyDescent="0.15">
      <c r="A894" s="10"/>
      <c r="B894" s="13"/>
      <c r="C894" s="13"/>
      <c r="D894" s="13"/>
    </row>
    <row r="895" spans="1:4" ht="13" x14ac:dyDescent="0.15">
      <c r="A895" s="10"/>
      <c r="B895" s="13"/>
      <c r="C895" s="13"/>
      <c r="D895" s="13"/>
    </row>
    <row r="896" spans="1:4" ht="13" x14ac:dyDescent="0.15">
      <c r="A896" s="10"/>
      <c r="B896" s="13"/>
      <c r="C896" s="13"/>
      <c r="D896" s="13"/>
    </row>
    <row r="897" spans="1:4" ht="13" x14ac:dyDescent="0.15">
      <c r="A897" s="10"/>
      <c r="B897" s="13"/>
      <c r="C897" s="13"/>
      <c r="D897" s="13"/>
    </row>
    <row r="898" spans="1:4" ht="13" x14ac:dyDescent="0.15">
      <c r="A898" s="10"/>
      <c r="B898" s="13"/>
      <c r="C898" s="13"/>
      <c r="D898" s="13"/>
    </row>
    <row r="899" spans="1:4" ht="13" x14ac:dyDescent="0.15">
      <c r="A899" s="10"/>
      <c r="B899" s="13"/>
      <c r="C899" s="13"/>
      <c r="D899" s="13"/>
    </row>
    <row r="900" spans="1:4" ht="13" x14ac:dyDescent="0.15">
      <c r="A900" s="10"/>
      <c r="B900" s="13"/>
      <c r="C900" s="13"/>
      <c r="D900" s="13"/>
    </row>
    <row r="901" spans="1:4" ht="13" x14ac:dyDescent="0.15">
      <c r="A901" s="10"/>
      <c r="B901" s="13"/>
      <c r="C901" s="13"/>
      <c r="D901" s="13"/>
    </row>
    <row r="902" spans="1:4" ht="13" x14ac:dyDescent="0.15">
      <c r="A902" s="10"/>
      <c r="B902" s="13"/>
      <c r="C902" s="13"/>
      <c r="D902" s="13"/>
    </row>
    <row r="903" spans="1:4" ht="13" x14ac:dyDescent="0.15">
      <c r="A903" s="10"/>
      <c r="B903" s="13"/>
      <c r="C903" s="13"/>
      <c r="D903" s="13"/>
    </row>
    <row r="904" spans="1:4" ht="13" x14ac:dyDescent="0.15">
      <c r="A904" s="10"/>
      <c r="B904" s="13"/>
      <c r="C904" s="13"/>
      <c r="D904" s="13"/>
    </row>
    <row r="905" spans="1:4" ht="13" x14ac:dyDescent="0.15">
      <c r="A905" s="10"/>
      <c r="B905" s="13"/>
      <c r="C905" s="13"/>
      <c r="D905" s="13"/>
    </row>
    <row r="906" spans="1:4" ht="13" x14ac:dyDescent="0.15">
      <c r="A906" s="10"/>
      <c r="B906" s="13"/>
      <c r="C906" s="13"/>
      <c r="D906" s="13"/>
    </row>
    <row r="907" spans="1:4" ht="13" x14ac:dyDescent="0.15">
      <c r="A907" s="10"/>
      <c r="B907" s="13"/>
      <c r="C907" s="13"/>
      <c r="D907" s="13"/>
    </row>
    <row r="908" spans="1:4" ht="13" x14ac:dyDescent="0.15">
      <c r="A908" s="10"/>
      <c r="B908" s="13"/>
      <c r="C908" s="13"/>
      <c r="D908" s="13"/>
    </row>
    <row r="909" spans="1:4" ht="13" x14ac:dyDescent="0.15">
      <c r="A909" s="10"/>
      <c r="B909" s="13"/>
      <c r="C909" s="13"/>
      <c r="D909" s="13"/>
    </row>
    <row r="910" spans="1:4" ht="13" x14ac:dyDescent="0.15">
      <c r="A910" s="10"/>
      <c r="B910" s="13"/>
      <c r="C910" s="13"/>
      <c r="D910" s="13"/>
    </row>
    <row r="911" spans="1:4" ht="13" x14ac:dyDescent="0.15">
      <c r="A911" s="10"/>
      <c r="B911" s="13"/>
      <c r="C911" s="13"/>
      <c r="D911" s="13"/>
    </row>
    <row r="912" spans="1:4" ht="13" x14ac:dyDescent="0.15">
      <c r="A912" s="10"/>
      <c r="B912" s="13"/>
      <c r="C912" s="13"/>
      <c r="D912" s="13"/>
    </row>
    <row r="913" spans="1:4" ht="13" x14ac:dyDescent="0.15">
      <c r="A913" s="10"/>
      <c r="B913" s="13"/>
      <c r="C913" s="13"/>
      <c r="D913" s="13"/>
    </row>
    <row r="914" spans="1:4" ht="13" x14ac:dyDescent="0.15">
      <c r="A914" s="10"/>
      <c r="B914" s="13"/>
      <c r="C914" s="13"/>
      <c r="D914" s="13"/>
    </row>
    <row r="915" spans="1:4" ht="13" x14ac:dyDescent="0.15">
      <c r="A915" s="10"/>
      <c r="B915" s="13"/>
      <c r="C915" s="13"/>
      <c r="D915" s="13"/>
    </row>
    <row r="916" spans="1:4" ht="13" x14ac:dyDescent="0.15">
      <c r="A916" s="10"/>
      <c r="B916" s="13"/>
      <c r="C916" s="13"/>
      <c r="D916" s="13"/>
    </row>
    <row r="917" spans="1:4" ht="13" x14ac:dyDescent="0.15">
      <c r="A917" s="10"/>
      <c r="B917" s="13"/>
      <c r="C917" s="13"/>
      <c r="D917" s="13"/>
    </row>
    <row r="918" spans="1:4" ht="13" x14ac:dyDescent="0.15">
      <c r="A918" s="10"/>
      <c r="B918" s="13"/>
      <c r="C918" s="13"/>
      <c r="D918" s="13"/>
    </row>
    <row r="919" spans="1:4" ht="13" x14ac:dyDescent="0.15">
      <c r="A919" s="10"/>
      <c r="B919" s="13"/>
      <c r="C919" s="13"/>
      <c r="D919" s="13"/>
    </row>
    <row r="920" spans="1:4" ht="13" x14ac:dyDescent="0.15">
      <c r="A920" s="10"/>
      <c r="B920" s="13"/>
      <c r="C920" s="13"/>
      <c r="D920" s="13"/>
    </row>
    <row r="921" spans="1:4" ht="13" x14ac:dyDescent="0.15">
      <c r="A921" s="10"/>
      <c r="B921" s="13"/>
      <c r="C921" s="13"/>
      <c r="D921" s="13"/>
    </row>
    <row r="922" spans="1:4" ht="13" x14ac:dyDescent="0.15">
      <c r="A922" s="10"/>
      <c r="B922" s="13"/>
      <c r="C922" s="13"/>
      <c r="D922" s="13"/>
    </row>
    <row r="923" spans="1:4" ht="13" x14ac:dyDescent="0.15">
      <c r="A923" s="10"/>
      <c r="B923" s="13"/>
      <c r="C923" s="13"/>
      <c r="D923" s="13"/>
    </row>
    <row r="924" spans="1:4" ht="13" x14ac:dyDescent="0.15">
      <c r="A924" s="10"/>
      <c r="B924" s="13"/>
      <c r="C924" s="13"/>
      <c r="D924" s="13"/>
    </row>
    <row r="925" spans="1:4" ht="13" x14ac:dyDescent="0.15">
      <c r="A925" s="10"/>
      <c r="B925" s="13"/>
      <c r="C925" s="13"/>
      <c r="D925" s="13"/>
    </row>
    <row r="926" spans="1:4" ht="13" x14ac:dyDescent="0.15">
      <c r="A926" s="10"/>
      <c r="B926" s="13"/>
      <c r="C926" s="13"/>
      <c r="D926" s="13"/>
    </row>
    <row r="927" spans="1:4" ht="13" x14ac:dyDescent="0.15">
      <c r="A927" s="10"/>
      <c r="B927" s="13"/>
      <c r="C927" s="13"/>
      <c r="D927" s="13"/>
    </row>
    <row r="928" spans="1:4" ht="13" x14ac:dyDescent="0.15">
      <c r="A928" s="10"/>
      <c r="B928" s="13"/>
      <c r="C928" s="13"/>
      <c r="D928" s="13"/>
    </row>
    <row r="929" spans="1:4" ht="13" x14ac:dyDescent="0.15">
      <c r="A929" s="10"/>
      <c r="B929" s="13"/>
      <c r="C929" s="13"/>
      <c r="D929" s="13"/>
    </row>
    <row r="930" spans="1:4" ht="13" x14ac:dyDescent="0.15">
      <c r="A930" s="10"/>
      <c r="B930" s="13"/>
      <c r="C930" s="13"/>
      <c r="D930" s="13"/>
    </row>
    <row r="931" spans="1:4" ht="13" x14ac:dyDescent="0.15">
      <c r="A931" s="10"/>
      <c r="B931" s="13"/>
      <c r="C931" s="13"/>
      <c r="D931" s="13"/>
    </row>
    <row r="932" spans="1:4" ht="13" x14ac:dyDescent="0.15">
      <c r="A932" s="10"/>
      <c r="B932" s="13"/>
      <c r="C932" s="13"/>
      <c r="D932" s="13"/>
    </row>
    <row r="933" spans="1:4" ht="13" x14ac:dyDescent="0.15">
      <c r="A933" s="10"/>
      <c r="B933" s="13"/>
      <c r="C933" s="13"/>
      <c r="D933" s="13"/>
    </row>
    <row r="934" spans="1:4" ht="13" x14ac:dyDescent="0.15">
      <c r="A934" s="10"/>
      <c r="B934" s="13"/>
      <c r="C934" s="13"/>
      <c r="D934" s="13"/>
    </row>
    <row r="935" spans="1:4" ht="13" x14ac:dyDescent="0.15">
      <c r="A935" s="10"/>
      <c r="B935" s="13"/>
      <c r="C935" s="13"/>
      <c r="D935" s="13"/>
    </row>
    <row r="936" spans="1:4" ht="13" x14ac:dyDescent="0.15">
      <c r="A936" s="10"/>
      <c r="B936" s="13"/>
      <c r="C936" s="13"/>
      <c r="D936" s="13"/>
    </row>
    <row r="937" spans="1:4" ht="13" x14ac:dyDescent="0.15">
      <c r="A937" s="10"/>
      <c r="B937" s="13"/>
      <c r="C937" s="13"/>
      <c r="D937" s="13"/>
    </row>
    <row r="938" spans="1:4" ht="13" x14ac:dyDescent="0.15">
      <c r="A938" s="10"/>
      <c r="B938" s="13"/>
      <c r="C938" s="13"/>
      <c r="D938" s="13"/>
    </row>
    <row r="939" spans="1:4" ht="13" x14ac:dyDescent="0.15">
      <c r="A939" s="10"/>
      <c r="B939" s="13"/>
      <c r="C939" s="13"/>
      <c r="D939" s="13"/>
    </row>
    <row r="940" spans="1:4" ht="13" x14ac:dyDescent="0.15">
      <c r="A940" s="10"/>
      <c r="B940" s="13"/>
      <c r="C940" s="13"/>
      <c r="D940" s="13"/>
    </row>
    <row r="941" spans="1:4" ht="13" x14ac:dyDescent="0.15">
      <c r="A941" s="10"/>
      <c r="B941" s="13"/>
      <c r="C941" s="13"/>
      <c r="D941" s="13"/>
    </row>
    <row r="942" spans="1:4" ht="13" x14ac:dyDescent="0.15">
      <c r="A942" s="10"/>
      <c r="B942" s="13"/>
      <c r="C942" s="13"/>
      <c r="D942" s="13"/>
    </row>
    <row r="943" spans="1:4" ht="13" x14ac:dyDescent="0.15">
      <c r="A943" s="10"/>
      <c r="B943" s="13"/>
      <c r="C943" s="13"/>
      <c r="D943" s="13"/>
    </row>
    <row r="944" spans="1:4" ht="13" x14ac:dyDescent="0.15">
      <c r="A944" s="10"/>
      <c r="B944" s="13"/>
      <c r="C944" s="13"/>
      <c r="D944" s="13"/>
    </row>
    <row r="945" spans="1:4" ht="13" x14ac:dyDescent="0.15">
      <c r="A945" s="10"/>
      <c r="B945" s="13"/>
      <c r="C945" s="13"/>
      <c r="D945" s="13"/>
    </row>
    <row r="946" spans="1:4" ht="13" x14ac:dyDescent="0.15">
      <c r="A946" s="10"/>
      <c r="B946" s="13"/>
      <c r="C946" s="13"/>
      <c r="D946" s="13"/>
    </row>
    <row r="947" spans="1:4" ht="13" x14ac:dyDescent="0.15">
      <c r="A947" s="10"/>
      <c r="B947" s="13"/>
      <c r="C947" s="13"/>
      <c r="D947" s="13"/>
    </row>
    <row r="948" spans="1:4" ht="13" x14ac:dyDescent="0.15">
      <c r="A948" s="10"/>
      <c r="B948" s="13"/>
      <c r="C948" s="13"/>
      <c r="D948" s="13"/>
    </row>
    <row r="949" spans="1:4" ht="13" x14ac:dyDescent="0.15">
      <c r="A949" s="10"/>
      <c r="B949" s="13"/>
      <c r="C949" s="13"/>
      <c r="D949" s="13"/>
    </row>
    <row r="950" spans="1:4" ht="13" x14ac:dyDescent="0.15">
      <c r="A950" s="10"/>
      <c r="B950" s="13"/>
      <c r="C950" s="13"/>
      <c r="D950" s="13"/>
    </row>
    <row r="951" spans="1:4" ht="13" x14ac:dyDescent="0.15">
      <c r="A951" s="10"/>
      <c r="B951" s="13"/>
      <c r="C951" s="13"/>
      <c r="D951" s="13"/>
    </row>
    <row r="952" spans="1:4" ht="13" x14ac:dyDescent="0.15">
      <c r="A952" s="10"/>
      <c r="B952" s="13"/>
      <c r="C952" s="13"/>
      <c r="D952" s="13"/>
    </row>
    <row r="953" spans="1:4" ht="13" x14ac:dyDescent="0.15">
      <c r="A953" s="10"/>
      <c r="B953" s="13"/>
      <c r="C953" s="13"/>
      <c r="D953" s="13"/>
    </row>
    <row r="954" spans="1:4" ht="13" x14ac:dyDescent="0.15">
      <c r="A954" s="10"/>
      <c r="B954" s="13"/>
      <c r="C954" s="13"/>
      <c r="D954" s="13"/>
    </row>
    <row r="955" spans="1:4" ht="13" x14ac:dyDescent="0.15">
      <c r="A955" s="10"/>
      <c r="B955" s="13"/>
      <c r="C955" s="13"/>
      <c r="D955" s="13"/>
    </row>
    <row r="956" spans="1:4" ht="13" x14ac:dyDescent="0.15">
      <c r="A956" s="10"/>
      <c r="B956" s="13"/>
      <c r="C956" s="13"/>
      <c r="D956" s="13"/>
    </row>
    <row r="957" spans="1:4" ht="13" x14ac:dyDescent="0.15">
      <c r="A957" s="10"/>
      <c r="B957" s="13"/>
      <c r="C957" s="13"/>
      <c r="D957" s="13"/>
    </row>
    <row r="958" spans="1:4" ht="13" x14ac:dyDescent="0.15">
      <c r="A958" s="10"/>
      <c r="B958" s="13"/>
      <c r="C958" s="13"/>
      <c r="D958" s="13"/>
    </row>
    <row r="959" spans="1:4" ht="13" x14ac:dyDescent="0.15">
      <c r="A959" s="10"/>
      <c r="B959" s="13"/>
      <c r="C959" s="13"/>
      <c r="D959" s="13"/>
    </row>
    <row r="960" spans="1:4" ht="13" x14ac:dyDescent="0.15">
      <c r="A960" s="10"/>
      <c r="B960" s="13"/>
      <c r="C960" s="13"/>
      <c r="D960" s="13"/>
    </row>
    <row r="961" spans="1:4" ht="13" x14ac:dyDescent="0.15">
      <c r="A961" s="10"/>
      <c r="B961" s="13"/>
      <c r="C961" s="13"/>
      <c r="D961" s="13"/>
    </row>
    <row r="962" spans="1:4" ht="13" x14ac:dyDescent="0.15">
      <c r="A962" s="10"/>
      <c r="B962" s="13"/>
      <c r="C962" s="13"/>
      <c r="D962" s="13"/>
    </row>
    <row r="963" spans="1:4" ht="13" x14ac:dyDescent="0.15">
      <c r="A963" s="10"/>
      <c r="B963" s="13"/>
      <c r="C963" s="13"/>
      <c r="D963" s="13"/>
    </row>
    <row r="964" spans="1:4" ht="13" x14ac:dyDescent="0.15">
      <c r="A964" s="10"/>
      <c r="B964" s="13"/>
      <c r="C964" s="13"/>
      <c r="D964" s="13"/>
    </row>
    <row r="965" spans="1:4" ht="13" x14ac:dyDescent="0.15">
      <c r="A965" s="10"/>
      <c r="B965" s="13"/>
      <c r="C965" s="13"/>
      <c r="D965" s="13"/>
    </row>
    <row r="966" spans="1:4" ht="13" x14ac:dyDescent="0.15">
      <c r="A966" s="10"/>
      <c r="B966" s="13"/>
      <c r="C966" s="13"/>
      <c r="D966" s="13"/>
    </row>
    <row r="967" spans="1:4" ht="13" x14ac:dyDescent="0.15">
      <c r="A967" s="10"/>
      <c r="B967" s="13"/>
      <c r="C967" s="13"/>
      <c r="D967" s="13"/>
    </row>
    <row r="968" spans="1:4" ht="13" x14ac:dyDescent="0.15">
      <c r="A968" s="10"/>
      <c r="B968" s="13"/>
      <c r="C968" s="13"/>
      <c r="D968" s="13"/>
    </row>
    <row r="969" spans="1:4" ht="13" x14ac:dyDescent="0.15">
      <c r="A969" s="10"/>
      <c r="B969" s="13"/>
      <c r="C969" s="13"/>
      <c r="D969" s="13"/>
    </row>
    <row r="970" spans="1:4" ht="13" x14ac:dyDescent="0.15">
      <c r="A970" s="10"/>
      <c r="B970" s="13"/>
      <c r="C970" s="13"/>
      <c r="D970" s="13"/>
    </row>
    <row r="971" spans="1:4" ht="13" x14ac:dyDescent="0.15">
      <c r="A971" s="10"/>
      <c r="B971" s="13"/>
      <c r="C971" s="13"/>
      <c r="D971" s="13"/>
    </row>
    <row r="972" spans="1:4" ht="13" x14ac:dyDescent="0.15">
      <c r="A972" s="10"/>
      <c r="B972" s="13"/>
      <c r="C972" s="13"/>
      <c r="D972" s="13"/>
    </row>
    <row r="973" spans="1:4" ht="13" x14ac:dyDescent="0.15">
      <c r="A973" s="10"/>
      <c r="B973" s="13"/>
      <c r="C973" s="13"/>
      <c r="D973" s="13"/>
    </row>
    <row r="974" spans="1:4" ht="13" x14ac:dyDescent="0.15">
      <c r="A974" s="10"/>
      <c r="B974" s="13"/>
      <c r="C974" s="13"/>
      <c r="D974" s="13"/>
    </row>
    <row r="975" spans="1:4" ht="13" x14ac:dyDescent="0.15">
      <c r="A975" s="10"/>
      <c r="B975" s="13"/>
      <c r="C975" s="13"/>
      <c r="D975" s="13"/>
    </row>
    <row r="976" spans="1:4" ht="13" x14ac:dyDescent="0.15">
      <c r="A976" s="10"/>
      <c r="B976" s="13"/>
      <c r="C976" s="13"/>
      <c r="D976" s="13"/>
    </row>
    <row r="977" spans="1:4" ht="13" x14ac:dyDescent="0.15">
      <c r="A977" s="10"/>
      <c r="B977" s="13"/>
      <c r="C977" s="13"/>
      <c r="D977" s="13"/>
    </row>
    <row r="978" spans="1:4" ht="13" x14ac:dyDescent="0.15">
      <c r="A978" s="10"/>
      <c r="B978" s="13"/>
      <c r="C978" s="13"/>
      <c r="D978" s="13"/>
    </row>
    <row r="979" spans="1:4" ht="13" x14ac:dyDescent="0.15">
      <c r="A979" s="10"/>
      <c r="B979" s="13"/>
      <c r="C979" s="13"/>
      <c r="D979" s="13"/>
    </row>
    <row r="980" spans="1:4" ht="13" x14ac:dyDescent="0.15">
      <c r="A980" s="10"/>
      <c r="B980" s="13"/>
      <c r="C980" s="13"/>
      <c r="D980" s="13"/>
    </row>
    <row r="981" spans="1:4" ht="13" x14ac:dyDescent="0.15">
      <c r="A981" s="10"/>
      <c r="B981" s="13"/>
      <c r="C981" s="13"/>
      <c r="D981" s="13"/>
    </row>
    <row r="982" spans="1:4" ht="13" x14ac:dyDescent="0.15">
      <c r="A982" s="10"/>
      <c r="B982" s="13"/>
      <c r="C982" s="13"/>
      <c r="D982" s="13"/>
    </row>
    <row r="983" spans="1:4" ht="13" x14ac:dyDescent="0.15">
      <c r="A983" s="10"/>
      <c r="B983" s="13"/>
      <c r="C983" s="13"/>
      <c r="D983" s="13"/>
    </row>
    <row r="984" spans="1:4" ht="13" x14ac:dyDescent="0.15">
      <c r="A984" s="10"/>
      <c r="B984" s="13"/>
      <c r="C984" s="13"/>
      <c r="D984" s="13"/>
    </row>
    <row r="985" spans="1:4" ht="13" x14ac:dyDescent="0.15">
      <c r="A985" s="10"/>
      <c r="B985" s="13"/>
      <c r="C985" s="13"/>
      <c r="D985" s="13"/>
    </row>
    <row r="986" spans="1:4" ht="13" x14ac:dyDescent="0.15">
      <c r="A986" s="10"/>
      <c r="B986" s="13"/>
      <c r="C986" s="13"/>
      <c r="D986" s="13"/>
    </row>
    <row r="987" spans="1:4" ht="13" x14ac:dyDescent="0.15">
      <c r="A987" s="10"/>
      <c r="B987" s="13"/>
      <c r="C987" s="13"/>
      <c r="D987" s="13"/>
    </row>
    <row r="988" spans="1:4" ht="13" x14ac:dyDescent="0.15">
      <c r="A988" s="10"/>
      <c r="B988" s="13"/>
      <c r="C988" s="13"/>
      <c r="D988" s="13"/>
    </row>
    <row r="989" spans="1:4" ht="13" x14ac:dyDescent="0.15">
      <c r="A989" s="10"/>
      <c r="B989" s="13"/>
      <c r="C989" s="13"/>
      <c r="D989" s="13"/>
    </row>
    <row r="990" spans="1:4" ht="13" x14ac:dyDescent="0.15">
      <c r="A990" s="10"/>
      <c r="B990" s="13"/>
      <c r="C990" s="13"/>
      <c r="D990" s="13"/>
    </row>
    <row r="991" spans="1:4" ht="13" x14ac:dyDescent="0.15">
      <c r="A991" s="10"/>
      <c r="B991" s="13"/>
      <c r="C991" s="13"/>
      <c r="D991" s="13"/>
    </row>
    <row r="992" spans="1:4" ht="13" x14ac:dyDescent="0.15">
      <c r="A992" s="10"/>
      <c r="B992" s="13"/>
      <c r="C992" s="13"/>
      <c r="D992" s="13"/>
    </row>
    <row r="993" spans="1:4" ht="13" x14ac:dyDescent="0.15">
      <c r="A993" s="10"/>
      <c r="B993" s="13"/>
      <c r="C993" s="13"/>
      <c r="D993" s="13"/>
    </row>
    <row r="994" spans="1:4" ht="13" x14ac:dyDescent="0.15">
      <c r="A994" s="10"/>
      <c r="B994" s="13"/>
      <c r="C994" s="13"/>
      <c r="D994" s="13"/>
    </row>
    <row r="995" spans="1:4" ht="13" x14ac:dyDescent="0.15">
      <c r="A995" s="10"/>
      <c r="B995" s="13"/>
      <c r="C995" s="13"/>
      <c r="D995" s="13"/>
    </row>
    <row r="996" spans="1:4" ht="13" x14ac:dyDescent="0.15">
      <c r="A996" s="10"/>
      <c r="B996" s="13"/>
      <c r="C996" s="13"/>
      <c r="D996" s="13"/>
    </row>
    <row r="997" spans="1:4" ht="13" x14ac:dyDescent="0.15">
      <c r="A997" s="10"/>
      <c r="B997" s="13"/>
      <c r="C997" s="13"/>
      <c r="D997" s="13"/>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outlinePr summaryBelow="0" summaryRight="0"/>
  </sheetPr>
  <dimension ref="A1:D997"/>
  <sheetViews>
    <sheetView workbookViewId="0"/>
  </sheetViews>
  <sheetFormatPr baseColWidth="10" defaultColWidth="12.6640625" defaultRowHeight="15.75" customHeight="1" x14ac:dyDescent="0.15"/>
  <cols>
    <col min="1" max="1" width="71.5" customWidth="1"/>
    <col min="2" max="4" width="37.6640625" customWidth="1"/>
  </cols>
  <sheetData>
    <row r="1" spans="1:4" x14ac:dyDescent="0.2">
      <c r="A1" s="1"/>
      <c r="B1" s="22" t="str">
        <f ca="1">IFERROR(__xludf.DUMMYFUNCTION("IMPORTRANGE(""https://docs.google.com/spreadsheets/u/0/d/1_NcUY7_L0-VKMwwoDwesshr7eGsHFBVPNg4YI6jkjhk"", ""A41!B1:B22"")"),"Noelle Labadens")</f>
        <v>Noelle Labadens</v>
      </c>
      <c r="C1" s="10" t="str">
        <f ca="1">IFERROR(__xludf.DUMMYFUNCTION("IMPORTRANGE(""https://docs.google.com/spreadsheets/u/0/d/19yPRVnLV0A_2o92-w6L11RYWj24Qqnerv8i8p-ngiq4"", ""A41!B1:B22"")"),"Jackson Root")</f>
        <v>Jackson Root</v>
      </c>
      <c r="D1" s="2" t="s">
        <v>1</v>
      </c>
    </row>
    <row r="2" spans="1:4" ht="15.75" customHeight="1" x14ac:dyDescent="0.15">
      <c r="A2" s="3" t="s">
        <v>2</v>
      </c>
      <c r="B2" s="15" t="str">
        <f ca="1">IFERROR(__xludf.DUMMYFUNCTION("""COMPUTED_VALUE"""),"26220-26708 FOR")</f>
        <v>26220-26708 FOR</v>
      </c>
      <c r="C2" s="15" t="str">
        <f ca="1">IFERROR(__xludf.DUMMYFUNCTION("""COMPUTED_VALUE"""),"Stop:  26708 FOR")</f>
        <v>Stop:  26708 FOR</v>
      </c>
      <c r="D2" s="4"/>
    </row>
    <row r="3" spans="1:4" ht="15.75" customHeight="1" x14ac:dyDescent="0.15">
      <c r="A3" s="5" t="s">
        <v>3</v>
      </c>
      <c r="B3" s="17" t="str">
        <f ca="1">IFERROR(__xludf.DUMMYFUNCTION("""COMPUTED_VALUE"""),"DNA Master: 40; Phamerator: 41")</f>
        <v>DNA Master: 40; Phamerator: 41</v>
      </c>
      <c r="C3" s="17" t="str">
        <f ca="1">IFERROR(__xludf.DUMMYFUNCTION("""COMPUTED_VALUE"""),"Pham: 41   DNA: 40")</f>
        <v>Pham: 41   DNA: 40</v>
      </c>
      <c r="D3" s="6"/>
    </row>
    <row r="4" spans="1:4" ht="15.75" customHeight="1" x14ac:dyDescent="0.15">
      <c r="A4" s="5" t="s">
        <v>4</v>
      </c>
      <c r="B4" s="17" t="str">
        <f ca="1">IFERROR(__xludf.DUMMYFUNCTION("""COMPUTED_VALUE"""),"199669 3/10/25")</f>
        <v>199669 3/10/25</v>
      </c>
      <c r="C4" s="17" t="str">
        <f ca="1">IFERROR(__xludf.DUMMYFUNCTION("""COMPUTED_VALUE"""),"pham 199669   03/12/25")</f>
        <v>pham 199669   03/12/25</v>
      </c>
      <c r="D4" s="6"/>
    </row>
    <row r="5" spans="1:4" ht="15.75" customHeight="1" x14ac:dyDescent="0.15">
      <c r="A5" s="5" t="s">
        <v>5</v>
      </c>
      <c r="B5" s="17" t="str">
        <f ca="1">IFERROR(__xludf.DUMMYFUNCTION("""COMPUTED_VALUE"""),"Kovu_43")</f>
        <v>Kovu_43</v>
      </c>
      <c r="C5" s="17"/>
      <c r="D5" s="6"/>
    </row>
    <row r="6" spans="1:4" ht="15.75" customHeight="1" x14ac:dyDescent="0.15">
      <c r="A6" s="5" t="s">
        <v>6</v>
      </c>
      <c r="B6" s="17" t="str">
        <f ca="1">IFERROR(__xludf.DUMMYFUNCTION("""COMPUTED_VALUE"""),"both")</f>
        <v>both</v>
      </c>
      <c r="C6" s="17" t="str">
        <f ca="1">IFERROR(__xludf.DUMMYFUNCTION("""COMPUTED_VALUE"""),"both call 26220")</f>
        <v>both call 26220</v>
      </c>
      <c r="D6" s="6"/>
    </row>
    <row r="7" spans="1:4" ht="15.75" customHeight="1" x14ac:dyDescent="0.15">
      <c r="A7" s="5" t="s">
        <v>7</v>
      </c>
      <c r="B7" s="17" t="str">
        <f ca="1">IFERROR(__xludf.DUMMYFUNCTION("""COMPUTED_VALUE"""),"good coding potential, captures all potential")</f>
        <v>good coding potential, captures all potential</v>
      </c>
      <c r="C7" s="17" t="str">
        <f ca="1">IFERROR(__xludf.DUMMYFUNCTION("""COMPUTED_VALUE"""),"Good coding potential, The current start contains all coding potential")</f>
        <v>Good coding potential, The current start contains all coding potential</v>
      </c>
      <c r="D7" s="6"/>
    </row>
    <row r="8" spans="1:4" ht="15.75" customHeight="1" x14ac:dyDescent="0.15">
      <c r="A8" s="5" t="s">
        <v>8</v>
      </c>
      <c r="B8" s="17" t="str">
        <f ca="1">IFERROR(__xludf.DUMMYFUNCTION("""COMPUTED_VALUE"""),"yes")</f>
        <v>yes</v>
      </c>
      <c r="C8" s="17" t="str">
        <f ca="1">IFERROR(__xludf.DUMMYFUNCTION("""COMPUTED_VALUE"""),"yes, there is a start further down but this is the longest ORF")</f>
        <v>yes, there is a start further down but this is the longest ORF</v>
      </c>
      <c r="D8" s="6"/>
    </row>
    <row r="9" spans="1:4" ht="15.75" customHeight="1" x14ac:dyDescent="0.15">
      <c r="A9" s="5" t="s">
        <v>9</v>
      </c>
      <c r="B9" s="17" t="str">
        <f ca="1">IFERROR(__xludf.DUMMYFUNCTION("""COMPUTED_VALUE"""),"584 gap!")</f>
        <v>584 gap!</v>
      </c>
      <c r="C9" s="17" t="str">
        <f ca="1">IFERROR(__xludf.DUMMYFUNCTION("""COMPUTED_VALUE"""),"Gap wih Gene 39: 584 Bp, overlap with gene 41: 3 Bp")</f>
        <v>Gap wih Gene 39: 584 Bp, overlap with gene 41: 3 Bp</v>
      </c>
      <c r="D9" s="6"/>
    </row>
    <row r="10" spans="1:4" ht="15.75" customHeight="1" x14ac:dyDescent="0.15">
      <c r="A10" s="5" t="s">
        <v>10</v>
      </c>
      <c r="B10" s="17" t="str">
        <f ca="1">IFERROR(__xludf.DUMMYFUNCTION("""COMPUTED_VALUE"""),"SD: -1.748 Z: 2.957")</f>
        <v>SD: -1.748 Z: 2.957</v>
      </c>
      <c r="C10" s="17" t="str">
        <f ca="1">IFERROR(__xludf.DUMMYFUNCTION("""COMPUTED_VALUE"""),"This start has the best RBS score a 2.957")</f>
        <v>This start has the best RBS score a 2.957</v>
      </c>
      <c r="D10" s="6"/>
    </row>
    <row r="11" spans="1:4" ht="15.75" customHeight="1" x14ac:dyDescent="0.15">
      <c r="A11" s="5" t="s">
        <v>11</v>
      </c>
      <c r="B11" s="17" t="str">
        <f ca="1">IFERROR(__xludf.DUMMYFUNCTION("""COMPUTED_VALUE"""),"Kovu_43, %57, 3e-35, q:15 s:19")</f>
        <v>Kovu_43, %57, 3e-35, q:15 s:19</v>
      </c>
      <c r="C11" s="17"/>
      <c r="D11" s="6"/>
    </row>
    <row r="12" spans="1:4" ht="15.75" customHeight="1" x14ac:dyDescent="0.15">
      <c r="A12" s="5" t="s">
        <v>12</v>
      </c>
      <c r="B12" s="17" t="str">
        <f ca="1">IFERROR(__xludf.DUMMYFUNCTION("""COMPUTED_VALUE"""),"yes, 100%")</f>
        <v>yes, 100%</v>
      </c>
      <c r="C12" s="17" t="str">
        <f ca="1">IFERROR(__xludf.DUMMYFUNCTION("""COMPUTED_VALUE"""),"yes start is conserved")</f>
        <v>yes start is conserved</v>
      </c>
      <c r="D12" s="6"/>
    </row>
    <row r="13" spans="1:4" ht="15.75" customHeight="1" x14ac:dyDescent="0.15">
      <c r="A13" s="5" t="s">
        <v>13</v>
      </c>
      <c r="B13" s="17" t="str">
        <f ca="1">IFERROR(__xludf.DUMMYFUNCTION("""COMPUTED_VALUE"""),"no, it alligns with Kovu, it has good coding potential, and I don't want to push it back any further. A new gene could be in the gap")</f>
        <v>no, it alligns with Kovu, it has good coding potential, and I don't want to push it back any further. A new gene could be in the gap</v>
      </c>
      <c r="C13" s="17" t="str">
        <f ca="1">IFERROR(__xludf.DUMMYFUNCTION("""COMPUTED_VALUE"""),"No start change")</f>
        <v>No start change</v>
      </c>
      <c r="D13" s="6"/>
    </row>
    <row r="14" spans="1:4" ht="15.75" customHeight="1" x14ac:dyDescent="0.15">
      <c r="A14" s="5" t="s">
        <v>14</v>
      </c>
      <c r="B14" s="17" t="str">
        <f ca="1">IFERROR(__xludf.DUMMYFUNCTION("""COMPUTED_VALUE"""),"Kovu_43, 3e-35")</f>
        <v>Kovu_43, 3e-35</v>
      </c>
      <c r="C14" s="17" t="str">
        <f ca="1">IFERROR(__xludf.DUMMYFUNCTION("""COMPUTED_VALUE"""),"Kovu_43: function unknown; E-val: 3e-35")</f>
        <v>Kovu_43: function unknown; E-val: 3e-35</v>
      </c>
      <c r="D14" s="6"/>
    </row>
    <row r="15" spans="1:4" ht="15.75" customHeight="1" x14ac:dyDescent="0.15">
      <c r="A15" s="5" t="s">
        <v>15</v>
      </c>
      <c r="B15" s="17" t="str">
        <f ca="1">IFERROR(__xludf.DUMMYFUNCTION("""COMPUTED_VALUE"""),"function unknown Kovu_43")</f>
        <v>function unknown Kovu_43</v>
      </c>
      <c r="C15" s="17" t="str">
        <f ca="1">IFERROR(__xludf.DUMMYFUNCTION("""COMPUTED_VALUE"""),"Kovu: Function unknown")</f>
        <v>Kovu: Function unknown</v>
      </c>
      <c r="D15" s="6"/>
    </row>
    <row r="16" spans="1:4" ht="15.75" customHeight="1" x14ac:dyDescent="0.15">
      <c r="A16" s="5" t="s">
        <v>16</v>
      </c>
      <c r="B16" s="17" t="str">
        <f ca="1">IFERROR(__xludf.DUMMYFUNCTION("""COMPUTED_VALUE"""),"not the best. somewhat similar. there is a gap in ApoKipo before this gene so that is not similar, but it is similar looking to the right of the gene")</f>
        <v>not the best. somewhat similar. there is a gap in ApoKipo before this gene so that is not similar, but it is similar looking to the right of the gene</v>
      </c>
      <c r="C16" s="17" t="str">
        <f ca="1">IFERROR(__xludf.DUMMYFUNCTION("""COMPUTED_VALUE"""),"Yes synteny is good, gap tp gene 40 and found next to 42 (in pham)")</f>
        <v>Yes synteny is good, gap tp gene 40 and found next to 42 (in pham)</v>
      </c>
      <c r="D16" s="6"/>
    </row>
    <row r="17" spans="1:4" ht="15.75" customHeight="1" x14ac:dyDescent="0.15">
      <c r="A17" s="5" t="s">
        <v>17</v>
      </c>
      <c r="B17" s="17" t="str">
        <f ca="1">IFERROR(__xludf.DUMMYFUNCTION("""COMPUTED_VALUE"""),"all matches are bad! all percents are in the 70s")</f>
        <v>all matches are bad! all percents are in the 70s</v>
      </c>
      <c r="C17" s="17" t="str">
        <f ca="1">IFERROR(__xludf.DUMMYFUNCTION("""COMPUTED_VALUE"""),"Function is found withing the alignment, but is broken up into chunks;  %Q: 11.7%; %T: 30.6%")</f>
        <v>Function is found withing the alignment, but is broken up into chunks;  %Q: 11.7%; %T: 30.6%</v>
      </c>
      <c r="D17" s="6"/>
    </row>
    <row r="18" spans="1:4" ht="15.75" customHeight="1" x14ac:dyDescent="0.15">
      <c r="A18" s="5" t="s">
        <v>18</v>
      </c>
      <c r="B18" s="17" t="str">
        <f ca="1">IFERROR(__xludf.DUMMYFUNCTION("""COMPUTED_VALUE"""),"none")</f>
        <v>none</v>
      </c>
      <c r="C18" s="17" t="str">
        <f ca="1">IFERROR(__xludf.DUMMYFUNCTION("""COMPUTED_VALUE"""),"no conserved domains in NCBI")</f>
        <v>no conserved domains in NCBI</v>
      </c>
      <c r="D18" s="6"/>
    </row>
    <row r="19" spans="1:4" ht="15.75" customHeight="1" x14ac:dyDescent="0.15">
      <c r="A19" s="5" t="s">
        <v>19</v>
      </c>
      <c r="B19" s="17" t="str">
        <f ca="1">IFERROR(__xludf.DUMMYFUNCTION("""COMPUTED_VALUE"""),"none")</f>
        <v>none</v>
      </c>
      <c r="C19" s="17" t="str">
        <f ca="1">IFERROR(__xludf.DUMMYFUNCTION("""COMPUTED_VALUE"""),"Not a membrane protien, most likely inside")</f>
        <v>Not a membrane protien, most likely inside</v>
      </c>
      <c r="D19" s="6"/>
    </row>
    <row r="20" spans="1:4" ht="15.75" customHeight="1" x14ac:dyDescent="0.15">
      <c r="A20" s="5" t="s">
        <v>20</v>
      </c>
      <c r="B20" s="17" t="str">
        <f ca="1">IFERROR(__xludf.DUMMYFUNCTION("""COMPUTED_VALUE"""),"function unknown. Kovu's is unknown and there are no good hhpred matches")</f>
        <v>function unknown. Kovu's is unknown and there are no good hhpred matches</v>
      </c>
      <c r="C20" s="17" t="str">
        <f ca="1">IFERROR(__xludf.DUMMYFUNCTION("""COMPUTED_VALUE"""),"Hypothetical protien becuase within HHpred, there are a variety of different functions that dont have an approved call, and within the NCBI blast there was only one hit and it was Kovu, which had an unknown function/hypothetical protien. ")</f>
        <v xml:space="preserve">Hypothetical protien becuase within HHpred, there are a variety of different functions that dont have an approved call, and within the NCBI blast there was only one hit and it was Kovu, which had an unknown function/hypothetical protien. </v>
      </c>
      <c r="D20" s="6"/>
    </row>
    <row r="21" spans="1:4" x14ac:dyDescent="0.2">
      <c r="A21" s="7"/>
      <c r="B21" s="19"/>
      <c r="C21" s="19"/>
      <c r="D21" s="8"/>
    </row>
    <row r="22" spans="1:4" ht="15.75" customHeight="1" x14ac:dyDescent="0.15">
      <c r="A22" s="9" t="s">
        <v>21</v>
      </c>
      <c r="B22" s="19"/>
      <c r="C22" s="19"/>
      <c r="D22" s="8"/>
    </row>
    <row r="23" spans="1:4" ht="15.75" customHeight="1" x14ac:dyDescent="0.15">
      <c r="A23" s="10"/>
      <c r="B23" s="13"/>
      <c r="C23" s="13"/>
    </row>
    <row r="24" spans="1:4" ht="15.75" customHeight="1" x14ac:dyDescent="0.15">
      <c r="A24" s="10"/>
      <c r="B24" s="13"/>
      <c r="C24" s="13"/>
    </row>
    <row r="25" spans="1:4" ht="15.75" customHeight="1" x14ac:dyDescent="0.15">
      <c r="A25" s="10"/>
      <c r="B25" s="13"/>
      <c r="C25" s="13"/>
    </row>
    <row r="26" spans="1:4" ht="15.75" customHeight="1" x14ac:dyDescent="0.15">
      <c r="A26" s="10"/>
      <c r="B26" s="13"/>
      <c r="C26" s="13"/>
    </row>
    <row r="27" spans="1:4" ht="15.75" customHeight="1" x14ac:dyDescent="0.15">
      <c r="A27" s="10"/>
      <c r="B27" s="13"/>
      <c r="C27" s="13"/>
    </row>
    <row r="28" spans="1:4" ht="15.75" customHeight="1" x14ac:dyDescent="0.15">
      <c r="A28" s="10"/>
      <c r="B28" s="13"/>
      <c r="C28" s="13"/>
    </row>
    <row r="29" spans="1:4" ht="15.75" customHeight="1" x14ac:dyDescent="0.15">
      <c r="A29" s="10"/>
      <c r="B29" s="13"/>
      <c r="C29" s="13"/>
    </row>
    <row r="30" spans="1:4" ht="15.75" customHeight="1" x14ac:dyDescent="0.15">
      <c r="A30" s="10"/>
      <c r="B30" s="13"/>
      <c r="C30" s="13"/>
    </row>
    <row r="31" spans="1:4" ht="15.75" customHeight="1" x14ac:dyDescent="0.15">
      <c r="A31" s="10"/>
      <c r="B31" s="13"/>
      <c r="C31" s="13"/>
    </row>
    <row r="32" spans="1:4" ht="15.75" customHeight="1" x14ac:dyDescent="0.15">
      <c r="A32" s="10"/>
      <c r="B32" s="13"/>
      <c r="C32" s="13"/>
    </row>
    <row r="33" spans="1:3" ht="15.75" customHeight="1" x14ac:dyDescent="0.15">
      <c r="A33" s="10"/>
      <c r="B33" s="13"/>
      <c r="C33" s="13"/>
    </row>
    <row r="34" spans="1:3" ht="15.75" customHeight="1" x14ac:dyDescent="0.15">
      <c r="A34" s="10"/>
      <c r="B34" s="13"/>
      <c r="C34" s="13"/>
    </row>
    <row r="35" spans="1:3" ht="15.75" customHeight="1" x14ac:dyDescent="0.15">
      <c r="A35" s="10"/>
      <c r="B35" s="13"/>
      <c r="C35" s="13"/>
    </row>
    <row r="36" spans="1:3" ht="15.75" customHeight="1" x14ac:dyDescent="0.15">
      <c r="A36" s="10"/>
      <c r="B36" s="13"/>
      <c r="C36" s="13"/>
    </row>
    <row r="37" spans="1:3" ht="15.75" customHeight="1" x14ac:dyDescent="0.15">
      <c r="A37" s="10"/>
      <c r="B37" s="13"/>
      <c r="C37" s="13"/>
    </row>
    <row r="38" spans="1:3" ht="15.75" customHeight="1" x14ac:dyDescent="0.15">
      <c r="A38" s="10"/>
      <c r="B38" s="13"/>
      <c r="C38" s="13"/>
    </row>
    <row r="39" spans="1:3" ht="13" x14ac:dyDescent="0.15">
      <c r="A39" s="10"/>
      <c r="B39" s="13"/>
      <c r="C39" s="13"/>
    </row>
    <row r="40" spans="1:3" ht="13" x14ac:dyDescent="0.15">
      <c r="A40" s="10"/>
      <c r="B40" s="13"/>
      <c r="C40" s="13"/>
    </row>
    <row r="41" spans="1:3" ht="13" x14ac:dyDescent="0.15">
      <c r="A41" s="10"/>
      <c r="B41" s="13"/>
      <c r="C41" s="13"/>
    </row>
    <row r="42" spans="1:3" ht="13" x14ac:dyDescent="0.15">
      <c r="A42" s="10"/>
      <c r="B42" s="13"/>
      <c r="C42" s="13"/>
    </row>
    <row r="43" spans="1:3" ht="13" x14ac:dyDescent="0.15">
      <c r="A43" s="10"/>
      <c r="B43" s="13"/>
      <c r="C43" s="13"/>
    </row>
    <row r="44" spans="1:3" ht="13" x14ac:dyDescent="0.15">
      <c r="A44" s="10"/>
      <c r="B44" s="13"/>
      <c r="C44" s="13"/>
    </row>
    <row r="45" spans="1:3" ht="13" x14ac:dyDescent="0.15">
      <c r="A45" s="10"/>
      <c r="B45" s="13"/>
      <c r="C45" s="13"/>
    </row>
    <row r="46" spans="1:3" ht="13" x14ac:dyDescent="0.15">
      <c r="A46" s="10"/>
      <c r="B46" s="13"/>
      <c r="C46" s="13"/>
    </row>
    <row r="47" spans="1:3" ht="13" x14ac:dyDescent="0.15">
      <c r="A47" s="10"/>
      <c r="B47" s="13"/>
      <c r="C47" s="13"/>
    </row>
    <row r="48" spans="1:3" ht="13" x14ac:dyDescent="0.15">
      <c r="A48" s="10"/>
      <c r="B48" s="13"/>
      <c r="C48" s="13"/>
    </row>
    <row r="49" spans="1:3" ht="13" x14ac:dyDescent="0.15">
      <c r="A49" s="10"/>
      <c r="B49" s="13"/>
      <c r="C49" s="13"/>
    </row>
    <row r="50" spans="1:3" ht="13" x14ac:dyDescent="0.15">
      <c r="A50" s="10"/>
      <c r="B50" s="13"/>
      <c r="C50" s="13"/>
    </row>
    <row r="51" spans="1:3" ht="13" x14ac:dyDescent="0.15">
      <c r="A51" s="10"/>
      <c r="B51" s="13"/>
      <c r="C51" s="13"/>
    </row>
    <row r="52" spans="1:3" ht="13" x14ac:dyDescent="0.15">
      <c r="A52" s="10"/>
      <c r="B52" s="13"/>
      <c r="C52" s="13"/>
    </row>
    <row r="53" spans="1:3" ht="13" x14ac:dyDescent="0.15">
      <c r="A53" s="10"/>
      <c r="B53" s="13"/>
      <c r="C53" s="13"/>
    </row>
    <row r="54" spans="1:3" ht="13" x14ac:dyDescent="0.15">
      <c r="A54" s="10"/>
      <c r="B54" s="13"/>
      <c r="C54" s="13"/>
    </row>
    <row r="55" spans="1:3" ht="13" x14ac:dyDescent="0.15">
      <c r="A55" s="10"/>
      <c r="B55" s="13"/>
      <c r="C55" s="13"/>
    </row>
    <row r="56" spans="1:3" ht="13" x14ac:dyDescent="0.15">
      <c r="A56" s="10"/>
      <c r="B56" s="13"/>
      <c r="C56" s="13"/>
    </row>
    <row r="57" spans="1:3" ht="13" x14ac:dyDescent="0.15">
      <c r="A57" s="10"/>
      <c r="B57" s="13"/>
      <c r="C57" s="13"/>
    </row>
    <row r="58" spans="1:3" ht="13" x14ac:dyDescent="0.15">
      <c r="A58" s="10"/>
      <c r="B58" s="13"/>
      <c r="C58" s="13"/>
    </row>
    <row r="59" spans="1:3" ht="13" x14ac:dyDescent="0.15">
      <c r="A59" s="10"/>
      <c r="B59" s="13"/>
      <c r="C59" s="13"/>
    </row>
    <row r="60" spans="1:3" ht="13" x14ac:dyDescent="0.15">
      <c r="A60" s="10"/>
      <c r="B60" s="13"/>
      <c r="C60" s="13"/>
    </row>
    <row r="61" spans="1:3" ht="13" x14ac:dyDescent="0.15">
      <c r="A61" s="10"/>
      <c r="B61" s="13"/>
      <c r="C61" s="13"/>
    </row>
    <row r="62" spans="1:3" ht="13" x14ac:dyDescent="0.15">
      <c r="A62" s="10"/>
      <c r="B62" s="13"/>
      <c r="C62" s="13"/>
    </row>
    <row r="63" spans="1:3" ht="13" x14ac:dyDescent="0.15">
      <c r="A63" s="10"/>
      <c r="B63" s="13"/>
      <c r="C63" s="13"/>
    </row>
    <row r="64" spans="1:3" ht="13" x14ac:dyDescent="0.15">
      <c r="A64" s="10"/>
      <c r="B64" s="13"/>
      <c r="C64" s="13"/>
    </row>
    <row r="65" spans="1:3" ht="13" x14ac:dyDescent="0.15">
      <c r="A65" s="10"/>
      <c r="B65" s="13"/>
      <c r="C65" s="13"/>
    </row>
    <row r="66" spans="1:3" ht="13" x14ac:dyDescent="0.15">
      <c r="A66" s="10"/>
      <c r="B66" s="13"/>
      <c r="C66" s="13"/>
    </row>
    <row r="67" spans="1:3" ht="13" x14ac:dyDescent="0.15">
      <c r="A67" s="10"/>
      <c r="B67" s="13"/>
      <c r="C67" s="13"/>
    </row>
    <row r="68" spans="1:3" ht="13" x14ac:dyDescent="0.15">
      <c r="A68" s="10"/>
      <c r="B68" s="13"/>
      <c r="C68" s="13"/>
    </row>
    <row r="69" spans="1:3" ht="13" x14ac:dyDescent="0.15">
      <c r="A69" s="10"/>
      <c r="B69" s="13"/>
      <c r="C69" s="13"/>
    </row>
    <row r="70" spans="1:3" ht="13" x14ac:dyDescent="0.15">
      <c r="A70" s="10"/>
      <c r="B70" s="13"/>
      <c r="C70" s="13"/>
    </row>
    <row r="71" spans="1:3" ht="13" x14ac:dyDescent="0.15">
      <c r="A71" s="10"/>
      <c r="B71" s="13"/>
      <c r="C71" s="13"/>
    </row>
    <row r="72" spans="1:3" ht="13" x14ac:dyDescent="0.15">
      <c r="A72" s="10"/>
      <c r="B72" s="13"/>
      <c r="C72" s="13"/>
    </row>
    <row r="73" spans="1:3" ht="13" x14ac:dyDescent="0.15">
      <c r="A73" s="10"/>
      <c r="B73" s="13"/>
      <c r="C73" s="13"/>
    </row>
    <row r="74" spans="1:3" ht="13" x14ac:dyDescent="0.15">
      <c r="A74" s="10"/>
      <c r="B74" s="13"/>
      <c r="C74" s="13"/>
    </row>
    <row r="75" spans="1:3" ht="13" x14ac:dyDescent="0.15">
      <c r="A75" s="10"/>
      <c r="B75" s="13"/>
      <c r="C75" s="13"/>
    </row>
    <row r="76" spans="1:3" ht="13" x14ac:dyDescent="0.15">
      <c r="A76" s="10"/>
      <c r="B76" s="13"/>
      <c r="C76" s="13"/>
    </row>
    <row r="77" spans="1:3" ht="13" x14ac:dyDescent="0.15">
      <c r="A77" s="10"/>
      <c r="B77" s="13"/>
      <c r="C77" s="13"/>
    </row>
    <row r="78" spans="1:3" ht="13" x14ac:dyDescent="0.15">
      <c r="A78" s="10"/>
      <c r="B78" s="13"/>
      <c r="C78" s="13"/>
    </row>
    <row r="79" spans="1:3" ht="13" x14ac:dyDescent="0.15">
      <c r="A79" s="10"/>
      <c r="B79" s="13"/>
      <c r="C79" s="13"/>
    </row>
    <row r="80" spans="1:3" ht="13" x14ac:dyDescent="0.15">
      <c r="A80" s="10"/>
      <c r="B80" s="13"/>
      <c r="C80" s="13"/>
    </row>
    <row r="81" spans="1:3" ht="13" x14ac:dyDescent="0.15">
      <c r="A81" s="10"/>
      <c r="B81" s="13"/>
      <c r="C81" s="13"/>
    </row>
    <row r="82" spans="1:3" ht="13" x14ac:dyDescent="0.15">
      <c r="A82" s="10"/>
      <c r="B82" s="13"/>
      <c r="C82" s="13"/>
    </row>
    <row r="83" spans="1:3" ht="13" x14ac:dyDescent="0.15">
      <c r="A83" s="10"/>
      <c r="B83" s="13"/>
      <c r="C83" s="13"/>
    </row>
    <row r="84" spans="1:3" ht="13" x14ac:dyDescent="0.15">
      <c r="A84" s="10"/>
      <c r="B84" s="13"/>
      <c r="C84" s="13"/>
    </row>
    <row r="85" spans="1:3" ht="13" x14ac:dyDescent="0.15">
      <c r="A85" s="10"/>
      <c r="B85" s="13"/>
      <c r="C85" s="13"/>
    </row>
    <row r="86" spans="1:3" ht="13" x14ac:dyDescent="0.15">
      <c r="A86" s="10"/>
      <c r="B86" s="13"/>
      <c r="C86" s="13"/>
    </row>
    <row r="87" spans="1:3" ht="13" x14ac:dyDescent="0.15">
      <c r="A87" s="10"/>
      <c r="B87" s="13"/>
      <c r="C87" s="13"/>
    </row>
    <row r="88" spans="1:3" ht="13" x14ac:dyDescent="0.15">
      <c r="A88" s="10"/>
      <c r="B88" s="13"/>
      <c r="C88" s="13"/>
    </row>
    <row r="89" spans="1:3" ht="13" x14ac:dyDescent="0.15">
      <c r="A89" s="10"/>
      <c r="B89" s="13"/>
      <c r="C89" s="13"/>
    </row>
    <row r="90" spans="1:3" ht="13" x14ac:dyDescent="0.15">
      <c r="A90" s="10"/>
      <c r="B90" s="13"/>
      <c r="C90" s="13"/>
    </row>
    <row r="91" spans="1:3" ht="13" x14ac:dyDescent="0.15">
      <c r="A91" s="10"/>
      <c r="B91" s="13"/>
      <c r="C91" s="13"/>
    </row>
    <row r="92" spans="1:3" ht="13" x14ac:dyDescent="0.15">
      <c r="A92" s="10"/>
      <c r="B92" s="13"/>
      <c r="C92" s="13"/>
    </row>
    <row r="93" spans="1:3" ht="13" x14ac:dyDescent="0.15">
      <c r="A93" s="10"/>
      <c r="B93" s="13"/>
      <c r="C93" s="13"/>
    </row>
    <row r="94" spans="1:3" ht="13" x14ac:dyDescent="0.15">
      <c r="A94" s="10"/>
      <c r="B94" s="13"/>
      <c r="C94" s="13"/>
    </row>
    <row r="95" spans="1:3" ht="13" x14ac:dyDescent="0.15">
      <c r="A95" s="10"/>
      <c r="B95" s="13"/>
      <c r="C95" s="13"/>
    </row>
    <row r="96" spans="1:3" ht="13" x14ac:dyDescent="0.15">
      <c r="A96" s="10"/>
      <c r="B96" s="13"/>
      <c r="C96" s="13"/>
    </row>
    <row r="97" spans="1:3" ht="13" x14ac:dyDescent="0.15">
      <c r="A97" s="10"/>
      <c r="B97" s="13"/>
      <c r="C97" s="13"/>
    </row>
    <row r="98" spans="1:3" ht="13" x14ac:dyDescent="0.15">
      <c r="A98" s="10"/>
      <c r="B98" s="13"/>
      <c r="C98" s="13"/>
    </row>
    <row r="99" spans="1:3" ht="13" x14ac:dyDescent="0.15">
      <c r="A99" s="10"/>
      <c r="B99" s="13"/>
      <c r="C99" s="13"/>
    </row>
    <row r="100" spans="1:3" ht="13" x14ac:dyDescent="0.15">
      <c r="A100" s="10"/>
      <c r="B100" s="13"/>
      <c r="C100" s="13"/>
    </row>
    <row r="101" spans="1:3" ht="13" x14ac:dyDescent="0.15">
      <c r="A101" s="10"/>
      <c r="B101" s="13"/>
      <c r="C101" s="13"/>
    </row>
    <row r="102" spans="1:3" ht="13" x14ac:dyDescent="0.15">
      <c r="A102" s="10"/>
      <c r="B102" s="13"/>
      <c r="C102" s="13"/>
    </row>
    <row r="103" spans="1:3" ht="13" x14ac:dyDescent="0.15">
      <c r="A103" s="10"/>
      <c r="B103" s="13"/>
      <c r="C103" s="13"/>
    </row>
    <row r="104" spans="1:3" ht="13" x14ac:dyDescent="0.15">
      <c r="A104" s="10"/>
      <c r="B104" s="13"/>
      <c r="C104" s="13"/>
    </row>
    <row r="105" spans="1:3" ht="13" x14ac:dyDescent="0.15">
      <c r="A105" s="10"/>
      <c r="B105" s="13"/>
      <c r="C105" s="13"/>
    </row>
    <row r="106" spans="1:3" ht="13" x14ac:dyDescent="0.15">
      <c r="A106" s="10"/>
      <c r="B106" s="13"/>
      <c r="C106" s="13"/>
    </row>
    <row r="107" spans="1:3" ht="13" x14ac:dyDescent="0.15">
      <c r="A107" s="10"/>
      <c r="B107" s="13"/>
      <c r="C107" s="13"/>
    </row>
    <row r="108" spans="1:3" ht="13" x14ac:dyDescent="0.15">
      <c r="A108" s="10"/>
      <c r="B108" s="13"/>
      <c r="C108" s="13"/>
    </row>
    <row r="109" spans="1:3" ht="13" x14ac:dyDescent="0.15">
      <c r="A109" s="10"/>
      <c r="B109" s="13"/>
      <c r="C109" s="13"/>
    </row>
    <row r="110" spans="1:3" ht="13" x14ac:dyDescent="0.15">
      <c r="A110" s="10"/>
      <c r="B110" s="13"/>
      <c r="C110" s="13"/>
    </row>
    <row r="111" spans="1:3" ht="13" x14ac:dyDescent="0.15">
      <c r="A111" s="10"/>
      <c r="B111" s="13"/>
      <c r="C111" s="13"/>
    </row>
    <row r="112" spans="1:3" ht="13" x14ac:dyDescent="0.15">
      <c r="A112" s="10"/>
      <c r="B112" s="13"/>
      <c r="C112" s="13"/>
    </row>
    <row r="113" spans="1:3" ht="13" x14ac:dyDescent="0.15">
      <c r="A113" s="10"/>
      <c r="B113" s="13"/>
      <c r="C113" s="13"/>
    </row>
    <row r="114" spans="1:3" ht="13" x14ac:dyDescent="0.15">
      <c r="A114" s="10"/>
      <c r="B114" s="13"/>
      <c r="C114" s="13"/>
    </row>
    <row r="115" spans="1:3" ht="13" x14ac:dyDescent="0.15">
      <c r="A115" s="10"/>
      <c r="B115" s="13"/>
      <c r="C115" s="13"/>
    </row>
    <row r="116" spans="1:3" ht="13" x14ac:dyDescent="0.15">
      <c r="A116" s="10"/>
      <c r="B116" s="13"/>
      <c r="C116" s="13"/>
    </row>
    <row r="117" spans="1:3" ht="13" x14ac:dyDescent="0.15">
      <c r="A117" s="10"/>
      <c r="B117" s="13"/>
      <c r="C117" s="13"/>
    </row>
    <row r="118" spans="1:3" ht="13" x14ac:dyDescent="0.15">
      <c r="A118" s="10"/>
      <c r="B118" s="13"/>
      <c r="C118" s="13"/>
    </row>
    <row r="119" spans="1:3" ht="13" x14ac:dyDescent="0.15">
      <c r="A119" s="10"/>
      <c r="B119" s="13"/>
      <c r="C119" s="13"/>
    </row>
    <row r="120" spans="1:3" ht="13" x14ac:dyDescent="0.15">
      <c r="A120" s="10"/>
      <c r="B120" s="13"/>
      <c r="C120" s="13"/>
    </row>
    <row r="121" spans="1:3" ht="13" x14ac:dyDescent="0.15">
      <c r="A121" s="10"/>
      <c r="B121" s="13"/>
      <c r="C121" s="13"/>
    </row>
    <row r="122" spans="1:3" ht="13" x14ac:dyDescent="0.15">
      <c r="A122" s="10"/>
      <c r="B122" s="13"/>
      <c r="C122" s="13"/>
    </row>
    <row r="123" spans="1:3" ht="13" x14ac:dyDescent="0.15">
      <c r="A123" s="10"/>
      <c r="B123" s="13"/>
      <c r="C123" s="13"/>
    </row>
    <row r="124" spans="1:3" ht="13" x14ac:dyDescent="0.15">
      <c r="A124" s="10"/>
      <c r="B124" s="13"/>
      <c r="C124" s="13"/>
    </row>
    <row r="125" spans="1:3" ht="13" x14ac:dyDescent="0.15">
      <c r="A125" s="10"/>
      <c r="B125" s="13"/>
      <c r="C125" s="13"/>
    </row>
    <row r="126" spans="1:3" ht="13" x14ac:dyDescent="0.15">
      <c r="A126" s="10"/>
      <c r="B126" s="13"/>
      <c r="C126" s="13"/>
    </row>
    <row r="127" spans="1:3" ht="13" x14ac:dyDescent="0.15">
      <c r="A127" s="10"/>
      <c r="B127" s="13"/>
      <c r="C127" s="13"/>
    </row>
    <row r="128" spans="1:3" ht="13" x14ac:dyDescent="0.15">
      <c r="A128" s="10"/>
      <c r="B128" s="13"/>
      <c r="C128" s="13"/>
    </row>
    <row r="129" spans="1:3" ht="13" x14ac:dyDescent="0.15">
      <c r="A129" s="10"/>
      <c r="B129" s="13"/>
      <c r="C129" s="13"/>
    </row>
    <row r="130" spans="1:3" ht="13" x14ac:dyDescent="0.15">
      <c r="A130" s="10"/>
      <c r="B130" s="13"/>
      <c r="C130" s="13"/>
    </row>
    <row r="131" spans="1:3" ht="13" x14ac:dyDescent="0.15">
      <c r="A131" s="10"/>
      <c r="B131" s="13"/>
      <c r="C131" s="13"/>
    </row>
    <row r="132" spans="1:3" ht="13" x14ac:dyDescent="0.15">
      <c r="A132" s="10"/>
      <c r="B132" s="13"/>
      <c r="C132" s="13"/>
    </row>
    <row r="133" spans="1:3" ht="13" x14ac:dyDescent="0.15">
      <c r="A133" s="10"/>
      <c r="B133" s="13"/>
      <c r="C133" s="13"/>
    </row>
    <row r="134" spans="1:3" ht="13" x14ac:dyDescent="0.15">
      <c r="A134" s="10"/>
      <c r="B134" s="13"/>
      <c r="C134" s="13"/>
    </row>
    <row r="135" spans="1:3" ht="13" x14ac:dyDescent="0.15">
      <c r="A135" s="10"/>
      <c r="B135" s="13"/>
      <c r="C135" s="13"/>
    </row>
    <row r="136" spans="1:3" ht="13" x14ac:dyDescent="0.15">
      <c r="A136" s="10"/>
      <c r="B136" s="13"/>
      <c r="C136" s="13"/>
    </row>
    <row r="137" spans="1:3" ht="13" x14ac:dyDescent="0.15">
      <c r="A137" s="10"/>
      <c r="B137" s="13"/>
      <c r="C137" s="13"/>
    </row>
    <row r="138" spans="1:3" ht="13" x14ac:dyDescent="0.15">
      <c r="A138" s="10"/>
      <c r="B138" s="13"/>
      <c r="C138" s="13"/>
    </row>
    <row r="139" spans="1:3" ht="13" x14ac:dyDescent="0.15">
      <c r="A139" s="10"/>
      <c r="B139" s="13"/>
      <c r="C139" s="13"/>
    </row>
    <row r="140" spans="1:3" ht="13" x14ac:dyDescent="0.15">
      <c r="A140" s="10"/>
      <c r="B140" s="13"/>
      <c r="C140" s="13"/>
    </row>
    <row r="141" spans="1:3" ht="13" x14ac:dyDescent="0.15">
      <c r="A141" s="10"/>
      <c r="B141" s="13"/>
      <c r="C141" s="13"/>
    </row>
    <row r="142" spans="1:3" ht="13" x14ac:dyDescent="0.15">
      <c r="A142" s="10"/>
      <c r="B142" s="13"/>
      <c r="C142" s="13"/>
    </row>
    <row r="143" spans="1:3" ht="13" x14ac:dyDescent="0.15">
      <c r="A143" s="10"/>
      <c r="B143" s="13"/>
      <c r="C143" s="13"/>
    </row>
    <row r="144" spans="1:3" ht="13" x14ac:dyDescent="0.15">
      <c r="A144" s="10"/>
      <c r="B144" s="13"/>
      <c r="C144" s="13"/>
    </row>
    <row r="145" spans="1:3" ht="13" x14ac:dyDescent="0.15">
      <c r="A145" s="10"/>
      <c r="B145" s="13"/>
      <c r="C145" s="13"/>
    </row>
    <row r="146" spans="1:3" ht="13" x14ac:dyDescent="0.15">
      <c r="A146" s="10"/>
      <c r="B146" s="13"/>
      <c r="C146" s="13"/>
    </row>
    <row r="147" spans="1:3" ht="13" x14ac:dyDescent="0.15">
      <c r="A147" s="10"/>
      <c r="B147" s="13"/>
      <c r="C147" s="13"/>
    </row>
    <row r="148" spans="1:3" ht="13" x14ac:dyDescent="0.15">
      <c r="A148" s="10"/>
      <c r="B148" s="13"/>
      <c r="C148" s="13"/>
    </row>
    <row r="149" spans="1:3" ht="13" x14ac:dyDescent="0.15">
      <c r="A149" s="10"/>
      <c r="B149" s="13"/>
      <c r="C149" s="13"/>
    </row>
    <row r="150" spans="1:3" ht="13" x14ac:dyDescent="0.15">
      <c r="A150" s="10"/>
      <c r="B150" s="13"/>
      <c r="C150" s="13"/>
    </row>
    <row r="151" spans="1:3" ht="13" x14ac:dyDescent="0.15">
      <c r="A151" s="10"/>
      <c r="B151" s="13"/>
      <c r="C151" s="13"/>
    </row>
    <row r="152" spans="1:3" ht="13" x14ac:dyDescent="0.15">
      <c r="A152" s="10"/>
      <c r="B152" s="13"/>
      <c r="C152" s="13"/>
    </row>
    <row r="153" spans="1:3" ht="13" x14ac:dyDescent="0.15">
      <c r="A153" s="10"/>
      <c r="B153" s="13"/>
      <c r="C153" s="13"/>
    </row>
    <row r="154" spans="1:3" ht="13" x14ac:dyDescent="0.15">
      <c r="A154" s="10"/>
      <c r="B154" s="13"/>
      <c r="C154" s="13"/>
    </row>
    <row r="155" spans="1:3" ht="13" x14ac:dyDescent="0.15">
      <c r="A155" s="10"/>
      <c r="B155" s="13"/>
      <c r="C155" s="13"/>
    </row>
    <row r="156" spans="1:3" ht="13" x14ac:dyDescent="0.15">
      <c r="A156" s="10"/>
      <c r="B156" s="13"/>
      <c r="C156" s="13"/>
    </row>
    <row r="157" spans="1:3" ht="13" x14ac:dyDescent="0.15">
      <c r="A157" s="10"/>
      <c r="B157" s="13"/>
      <c r="C157" s="13"/>
    </row>
    <row r="158" spans="1:3" ht="13" x14ac:dyDescent="0.15">
      <c r="A158" s="10"/>
      <c r="B158" s="13"/>
      <c r="C158" s="13"/>
    </row>
    <row r="159" spans="1:3" ht="13" x14ac:dyDescent="0.15">
      <c r="A159" s="10"/>
      <c r="B159" s="13"/>
      <c r="C159" s="13"/>
    </row>
    <row r="160" spans="1:3" ht="13" x14ac:dyDescent="0.15">
      <c r="A160" s="10"/>
      <c r="B160" s="13"/>
      <c r="C160" s="13"/>
    </row>
    <row r="161" spans="1:3" ht="13" x14ac:dyDescent="0.15">
      <c r="A161" s="10"/>
      <c r="B161" s="13"/>
      <c r="C161" s="13"/>
    </row>
    <row r="162" spans="1:3" ht="13" x14ac:dyDescent="0.15">
      <c r="A162" s="10"/>
      <c r="B162" s="13"/>
      <c r="C162" s="13"/>
    </row>
    <row r="163" spans="1:3" ht="13" x14ac:dyDescent="0.15">
      <c r="A163" s="10"/>
      <c r="B163" s="13"/>
      <c r="C163" s="13"/>
    </row>
    <row r="164" spans="1:3" ht="13" x14ac:dyDescent="0.15">
      <c r="A164" s="10"/>
      <c r="B164" s="13"/>
      <c r="C164" s="13"/>
    </row>
    <row r="165" spans="1:3" ht="13" x14ac:dyDescent="0.15">
      <c r="A165" s="10"/>
      <c r="B165" s="13"/>
      <c r="C165" s="13"/>
    </row>
    <row r="166" spans="1:3" ht="13" x14ac:dyDescent="0.15">
      <c r="A166" s="10"/>
      <c r="B166" s="13"/>
      <c r="C166" s="13"/>
    </row>
    <row r="167" spans="1:3" ht="13" x14ac:dyDescent="0.15">
      <c r="A167" s="10"/>
      <c r="B167" s="13"/>
      <c r="C167" s="13"/>
    </row>
    <row r="168" spans="1:3" ht="13" x14ac:dyDescent="0.15">
      <c r="A168" s="10"/>
      <c r="B168" s="13"/>
      <c r="C168" s="13"/>
    </row>
    <row r="169" spans="1:3" ht="13" x14ac:dyDescent="0.15">
      <c r="A169" s="10"/>
      <c r="B169" s="13"/>
      <c r="C169" s="13"/>
    </row>
    <row r="170" spans="1:3" ht="13" x14ac:dyDescent="0.15">
      <c r="A170" s="10"/>
      <c r="B170" s="13"/>
      <c r="C170" s="13"/>
    </row>
    <row r="171" spans="1:3" ht="13" x14ac:dyDescent="0.15">
      <c r="A171" s="10"/>
      <c r="B171" s="13"/>
      <c r="C171" s="13"/>
    </row>
    <row r="172" spans="1:3" ht="13" x14ac:dyDescent="0.15">
      <c r="A172" s="10"/>
      <c r="B172" s="13"/>
      <c r="C172" s="13"/>
    </row>
    <row r="173" spans="1:3" ht="13" x14ac:dyDescent="0.15">
      <c r="A173" s="10"/>
      <c r="B173" s="13"/>
      <c r="C173" s="13"/>
    </row>
    <row r="174" spans="1:3" ht="13" x14ac:dyDescent="0.15">
      <c r="A174" s="10"/>
      <c r="B174" s="13"/>
      <c r="C174" s="13"/>
    </row>
    <row r="175" spans="1:3" ht="13" x14ac:dyDescent="0.15">
      <c r="A175" s="10"/>
      <c r="B175" s="13"/>
      <c r="C175" s="13"/>
    </row>
    <row r="176" spans="1:3" ht="13" x14ac:dyDescent="0.15">
      <c r="A176" s="10"/>
      <c r="B176" s="13"/>
      <c r="C176" s="13"/>
    </row>
    <row r="177" spans="1:3" ht="13" x14ac:dyDescent="0.15">
      <c r="A177" s="10"/>
      <c r="B177" s="13"/>
      <c r="C177" s="13"/>
    </row>
    <row r="178" spans="1:3" ht="13" x14ac:dyDescent="0.15">
      <c r="A178" s="10"/>
      <c r="B178" s="13"/>
      <c r="C178" s="13"/>
    </row>
    <row r="179" spans="1:3" ht="13" x14ac:dyDescent="0.15">
      <c r="A179" s="10"/>
      <c r="B179" s="13"/>
      <c r="C179" s="13"/>
    </row>
    <row r="180" spans="1:3" ht="13" x14ac:dyDescent="0.15">
      <c r="A180" s="10"/>
      <c r="B180" s="13"/>
      <c r="C180" s="13"/>
    </row>
    <row r="181" spans="1:3" ht="13" x14ac:dyDescent="0.15">
      <c r="A181" s="10"/>
      <c r="B181" s="13"/>
      <c r="C181" s="13"/>
    </row>
    <row r="182" spans="1:3" ht="13" x14ac:dyDescent="0.15">
      <c r="A182" s="10"/>
      <c r="B182" s="13"/>
      <c r="C182" s="13"/>
    </row>
    <row r="183" spans="1:3" ht="13" x14ac:dyDescent="0.15">
      <c r="A183" s="10"/>
      <c r="B183" s="13"/>
      <c r="C183" s="13"/>
    </row>
    <row r="184" spans="1:3" ht="13" x14ac:dyDescent="0.15">
      <c r="A184" s="10"/>
      <c r="B184" s="13"/>
      <c r="C184" s="13"/>
    </row>
    <row r="185" spans="1:3" ht="13" x14ac:dyDescent="0.15">
      <c r="A185" s="10"/>
      <c r="B185" s="13"/>
      <c r="C185" s="13"/>
    </row>
    <row r="186" spans="1:3" ht="13" x14ac:dyDescent="0.15">
      <c r="A186" s="10"/>
      <c r="B186" s="13"/>
      <c r="C186" s="13"/>
    </row>
    <row r="187" spans="1:3" ht="13" x14ac:dyDescent="0.15">
      <c r="A187" s="10"/>
      <c r="B187" s="13"/>
      <c r="C187" s="13"/>
    </row>
    <row r="188" spans="1:3" ht="13" x14ac:dyDescent="0.15">
      <c r="A188" s="10"/>
      <c r="B188" s="13"/>
      <c r="C188" s="13"/>
    </row>
    <row r="189" spans="1:3" ht="13" x14ac:dyDescent="0.15">
      <c r="A189" s="10"/>
      <c r="B189" s="13"/>
      <c r="C189" s="13"/>
    </row>
    <row r="190" spans="1:3" ht="13" x14ac:dyDescent="0.15">
      <c r="A190" s="10"/>
      <c r="B190" s="13"/>
      <c r="C190" s="13"/>
    </row>
    <row r="191" spans="1:3" ht="13" x14ac:dyDescent="0.15">
      <c r="A191" s="10"/>
      <c r="B191" s="13"/>
      <c r="C191" s="13"/>
    </row>
    <row r="192" spans="1:3" ht="13" x14ac:dyDescent="0.15">
      <c r="A192" s="10"/>
      <c r="B192" s="13"/>
      <c r="C192" s="13"/>
    </row>
    <row r="193" spans="1:3" ht="13" x14ac:dyDescent="0.15">
      <c r="A193" s="10"/>
      <c r="B193" s="13"/>
      <c r="C193" s="13"/>
    </row>
    <row r="194" spans="1:3" ht="13" x14ac:dyDescent="0.15">
      <c r="A194" s="10"/>
      <c r="B194" s="13"/>
      <c r="C194" s="13"/>
    </row>
    <row r="195" spans="1:3" ht="13" x14ac:dyDescent="0.15">
      <c r="A195" s="10"/>
      <c r="B195" s="13"/>
      <c r="C195" s="13"/>
    </row>
    <row r="196" spans="1:3" ht="13" x14ac:dyDescent="0.15">
      <c r="A196" s="10"/>
      <c r="B196" s="13"/>
      <c r="C196" s="13"/>
    </row>
    <row r="197" spans="1:3" ht="13" x14ac:dyDescent="0.15">
      <c r="A197" s="10"/>
      <c r="B197" s="13"/>
      <c r="C197" s="13"/>
    </row>
    <row r="198" spans="1:3" ht="13" x14ac:dyDescent="0.15">
      <c r="A198" s="10"/>
      <c r="B198" s="13"/>
      <c r="C198" s="13"/>
    </row>
    <row r="199" spans="1:3" ht="13" x14ac:dyDescent="0.15">
      <c r="A199" s="10"/>
      <c r="B199" s="13"/>
      <c r="C199" s="13"/>
    </row>
    <row r="200" spans="1:3" ht="13" x14ac:dyDescent="0.15">
      <c r="A200" s="10"/>
      <c r="B200" s="13"/>
      <c r="C200" s="13"/>
    </row>
    <row r="201" spans="1:3" ht="13" x14ac:dyDescent="0.15">
      <c r="A201" s="10"/>
      <c r="B201" s="13"/>
      <c r="C201" s="13"/>
    </row>
    <row r="202" spans="1:3" ht="13" x14ac:dyDescent="0.15">
      <c r="A202" s="10"/>
      <c r="B202" s="13"/>
      <c r="C202" s="13"/>
    </row>
    <row r="203" spans="1:3" ht="13" x14ac:dyDescent="0.15">
      <c r="A203" s="10"/>
      <c r="B203" s="13"/>
      <c r="C203" s="13"/>
    </row>
    <row r="204" spans="1:3" ht="13" x14ac:dyDescent="0.15">
      <c r="A204" s="10"/>
      <c r="B204" s="13"/>
      <c r="C204" s="13"/>
    </row>
    <row r="205" spans="1:3" ht="13" x14ac:dyDescent="0.15">
      <c r="A205" s="10"/>
      <c r="B205" s="13"/>
      <c r="C205" s="13"/>
    </row>
    <row r="206" spans="1:3" ht="13" x14ac:dyDescent="0.15">
      <c r="A206" s="10"/>
      <c r="B206" s="13"/>
      <c r="C206" s="13"/>
    </row>
    <row r="207" spans="1:3" ht="13" x14ac:dyDescent="0.15">
      <c r="A207" s="10"/>
      <c r="B207" s="13"/>
      <c r="C207" s="13"/>
    </row>
    <row r="208" spans="1:3" ht="13" x14ac:dyDescent="0.15">
      <c r="A208" s="10"/>
      <c r="B208" s="13"/>
      <c r="C208" s="13"/>
    </row>
    <row r="209" spans="1:3" ht="13" x14ac:dyDescent="0.15">
      <c r="A209" s="10"/>
      <c r="B209" s="13"/>
      <c r="C209" s="13"/>
    </row>
    <row r="210" spans="1:3" ht="13" x14ac:dyDescent="0.15">
      <c r="A210" s="10"/>
      <c r="B210" s="13"/>
      <c r="C210" s="13"/>
    </row>
    <row r="211" spans="1:3" ht="13" x14ac:dyDescent="0.15">
      <c r="A211" s="10"/>
      <c r="B211" s="13"/>
      <c r="C211" s="13"/>
    </row>
    <row r="212" spans="1:3" ht="13" x14ac:dyDescent="0.15">
      <c r="A212" s="10"/>
      <c r="B212" s="13"/>
      <c r="C212" s="13"/>
    </row>
    <row r="213" spans="1:3" ht="13" x14ac:dyDescent="0.15">
      <c r="A213" s="10"/>
      <c r="B213" s="13"/>
      <c r="C213" s="13"/>
    </row>
    <row r="214" spans="1:3" ht="13" x14ac:dyDescent="0.15">
      <c r="A214" s="10"/>
      <c r="B214" s="13"/>
      <c r="C214" s="13"/>
    </row>
    <row r="215" spans="1:3" ht="13" x14ac:dyDescent="0.15">
      <c r="A215" s="10"/>
      <c r="B215" s="13"/>
      <c r="C215" s="13"/>
    </row>
    <row r="216" spans="1:3" ht="13" x14ac:dyDescent="0.15">
      <c r="A216" s="10"/>
      <c r="B216" s="13"/>
      <c r="C216" s="13"/>
    </row>
    <row r="217" spans="1:3" ht="13" x14ac:dyDescent="0.15">
      <c r="A217" s="10"/>
      <c r="B217" s="13"/>
      <c r="C217" s="13"/>
    </row>
    <row r="218" spans="1:3" ht="13" x14ac:dyDescent="0.15">
      <c r="A218" s="10"/>
      <c r="B218" s="13"/>
      <c r="C218" s="13"/>
    </row>
    <row r="219" spans="1:3" ht="13" x14ac:dyDescent="0.15">
      <c r="A219" s="10"/>
      <c r="B219" s="13"/>
      <c r="C219" s="13"/>
    </row>
    <row r="220" spans="1:3" ht="13" x14ac:dyDescent="0.15">
      <c r="A220" s="10"/>
      <c r="B220" s="13"/>
      <c r="C220" s="13"/>
    </row>
    <row r="221" spans="1:3" ht="13" x14ac:dyDescent="0.15">
      <c r="A221" s="10"/>
      <c r="B221" s="13"/>
      <c r="C221" s="13"/>
    </row>
    <row r="222" spans="1:3" ht="13" x14ac:dyDescent="0.15">
      <c r="A222" s="10"/>
      <c r="B222" s="13"/>
      <c r="C222" s="13"/>
    </row>
    <row r="223" spans="1:3" ht="13" x14ac:dyDescent="0.15">
      <c r="A223" s="10"/>
      <c r="B223" s="13"/>
      <c r="C223" s="13"/>
    </row>
    <row r="224" spans="1:3" ht="13" x14ac:dyDescent="0.15">
      <c r="A224" s="10"/>
      <c r="B224" s="13"/>
      <c r="C224" s="13"/>
    </row>
    <row r="225" spans="1:3" ht="13" x14ac:dyDescent="0.15">
      <c r="A225" s="10"/>
      <c r="B225" s="13"/>
      <c r="C225" s="13"/>
    </row>
    <row r="226" spans="1:3" ht="13" x14ac:dyDescent="0.15">
      <c r="A226" s="10"/>
      <c r="B226" s="13"/>
      <c r="C226" s="13"/>
    </row>
    <row r="227" spans="1:3" ht="13" x14ac:dyDescent="0.15">
      <c r="A227" s="10"/>
      <c r="B227" s="13"/>
      <c r="C227" s="13"/>
    </row>
    <row r="228" spans="1:3" ht="13" x14ac:dyDescent="0.15">
      <c r="A228" s="10"/>
      <c r="B228" s="13"/>
      <c r="C228" s="13"/>
    </row>
    <row r="229" spans="1:3" ht="13" x14ac:dyDescent="0.15">
      <c r="A229" s="10"/>
      <c r="B229" s="13"/>
      <c r="C229" s="13"/>
    </row>
    <row r="230" spans="1:3" ht="13" x14ac:dyDescent="0.15">
      <c r="A230" s="10"/>
      <c r="B230" s="13"/>
      <c r="C230" s="13"/>
    </row>
    <row r="231" spans="1:3" ht="13" x14ac:dyDescent="0.15">
      <c r="A231" s="10"/>
      <c r="B231" s="13"/>
      <c r="C231" s="13"/>
    </row>
    <row r="232" spans="1:3" ht="13" x14ac:dyDescent="0.15">
      <c r="A232" s="10"/>
      <c r="B232" s="13"/>
      <c r="C232" s="13"/>
    </row>
    <row r="233" spans="1:3" ht="13" x14ac:dyDescent="0.15">
      <c r="A233" s="10"/>
      <c r="B233" s="13"/>
      <c r="C233" s="13"/>
    </row>
    <row r="234" spans="1:3" ht="13" x14ac:dyDescent="0.15">
      <c r="A234" s="10"/>
      <c r="B234" s="13"/>
      <c r="C234" s="13"/>
    </row>
    <row r="235" spans="1:3" ht="13" x14ac:dyDescent="0.15">
      <c r="A235" s="10"/>
      <c r="B235" s="13"/>
      <c r="C235" s="13"/>
    </row>
    <row r="236" spans="1:3" ht="13" x14ac:dyDescent="0.15">
      <c r="A236" s="10"/>
      <c r="B236" s="13"/>
      <c r="C236" s="13"/>
    </row>
    <row r="237" spans="1:3" ht="13" x14ac:dyDescent="0.15">
      <c r="A237" s="10"/>
      <c r="B237" s="13"/>
      <c r="C237" s="13"/>
    </row>
    <row r="238" spans="1:3" ht="13" x14ac:dyDescent="0.15">
      <c r="A238" s="10"/>
      <c r="B238" s="13"/>
      <c r="C238" s="13"/>
    </row>
    <row r="239" spans="1:3" ht="13" x14ac:dyDescent="0.15">
      <c r="A239" s="10"/>
      <c r="B239" s="13"/>
      <c r="C239" s="13"/>
    </row>
    <row r="240" spans="1:3" ht="13" x14ac:dyDescent="0.15">
      <c r="A240" s="10"/>
      <c r="B240" s="13"/>
      <c r="C240" s="13"/>
    </row>
    <row r="241" spans="1:3" ht="13" x14ac:dyDescent="0.15">
      <c r="A241" s="10"/>
      <c r="B241" s="13"/>
      <c r="C241" s="13"/>
    </row>
    <row r="242" spans="1:3" ht="13" x14ac:dyDescent="0.15">
      <c r="A242" s="10"/>
      <c r="B242" s="13"/>
      <c r="C242" s="13"/>
    </row>
    <row r="243" spans="1:3" ht="13" x14ac:dyDescent="0.15">
      <c r="A243" s="10"/>
      <c r="B243" s="13"/>
      <c r="C243" s="13"/>
    </row>
    <row r="244" spans="1:3" ht="13" x14ac:dyDescent="0.15">
      <c r="A244" s="10"/>
      <c r="B244" s="13"/>
      <c r="C244" s="13"/>
    </row>
    <row r="245" spans="1:3" ht="13" x14ac:dyDescent="0.15">
      <c r="A245" s="10"/>
      <c r="B245" s="13"/>
      <c r="C245" s="13"/>
    </row>
    <row r="246" spans="1:3" ht="13" x14ac:dyDescent="0.15">
      <c r="A246" s="10"/>
      <c r="B246" s="13"/>
      <c r="C246" s="13"/>
    </row>
    <row r="247" spans="1:3" ht="13" x14ac:dyDescent="0.15">
      <c r="A247" s="10"/>
      <c r="B247" s="13"/>
      <c r="C247" s="13"/>
    </row>
    <row r="248" spans="1:3" ht="13" x14ac:dyDescent="0.15">
      <c r="A248" s="10"/>
      <c r="B248" s="13"/>
      <c r="C248" s="13"/>
    </row>
    <row r="249" spans="1:3" ht="13" x14ac:dyDescent="0.15">
      <c r="A249" s="10"/>
      <c r="B249" s="13"/>
      <c r="C249" s="13"/>
    </row>
    <row r="250" spans="1:3" ht="13" x14ac:dyDescent="0.15">
      <c r="A250" s="10"/>
      <c r="B250" s="13"/>
      <c r="C250" s="13"/>
    </row>
    <row r="251" spans="1:3" ht="13" x14ac:dyDescent="0.15">
      <c r="A251" s="10"/>
      <c r="B251" s="13"/>
      <c r="C251" s="13"/>
    </row>
    <row r="252" spans="1:3" ht="13" x14ac:dyDescent="0.15">
      <c r="A252" s="10"/>
      <c r="B252" s="13"/>
      <c r="C252" s="13"/>
    </row>
    <row r="253" spans="1:3" ht="13" x14ac:dyDescent="0.15">
      <c r="A253" s="10"/>
      <c r="B253" s="13"/>
      <c r="C253" s="13"/>
    </row>
    <row r="254" spans="1:3" ht="13" x14ac:dyDescent="0.15">
      <c r="A254" s="10"/>
      <c r="B254" s="13"/>
      <c r="C254" s="13"/>
    </row>
    <row r="255" spans="1:3" ht="13" x14ac:dyDescent="0.15">
      <c r="A255" s="10"/>
      <c r="B255" s="13"/>
      <c r="C255" s="13"/>
    </row>
    <row r="256" spans="1:3" ht="13" x14ac:dyDescent="0.15">
      <c r="A256" s="10"/>
      <c r="B256" s="13"/>
      <c r="C256" s="13"/>
    </row>
    <row r="257" spans="1:3" ht="13" x14ac:dyDescent="0.15">
      <c r="A257" s="10"/>
      <c r="B257" s="13"/>
      <c r="C257" s="13"/>
    </row>
    <row r="258" spans="1:3" ht="13" x14ac:dyDescent="0.15">
      <c r="A258" s="10"/>
      <c r="B258" s="13"/>
      <c r="C258" s="13"/>
    </row>
    <row r="259" spans="1:3" ht="13" x14ac:dyDescent="0.15">
      <c r="A259" s="10"/>
      <c r="B259" s="13"/>
      <c r="C259" s="13"/>
    </row>
    <row r="260" spans="1:3" ht="13" x14ac:dyDescent="0.15">
      <c r="A260" s="10"/>
      <c r="B260" s="13"/>
      <c r="C260" s="13"/>
    </row>
    <row r="261" spans="1:3" ht="13" x14ac:dyDescent="0.15">
      <c r="A261" s="10"/>
      <c r="B261" s="13"/>
      <c r="C261" s="13"/>
    </row>
    <row r="262" spans="1:3" ht="13" x14ac:dyDescent="0.15">
      <c r="A262" s="10"/>
      <c r="B262" s="13"/>
      <c r="C262" s="13"/>
    </row>
    <row r="263" spans="1:3" ht="13" x14ac:dyDescent="0.15">
      <c r="A263" s="10"/>
      <c r="B263" s="13"/>
      <c r="C263" s="13"/>
    </row>
    <row r="264" spans="1:3" ht="13" x14ac:dyDescent="0.15">
      <c r="A264" s="10"/>
      <c r="B264" s="13"/>
      <c r="C264" s="13"/>
    </row>
    <row r="265" spans="1:3" ht="13" x14ac:dyDescent="0.15">
      <c r="A265" s="10"/>
      <c r="B265" s="13"/>
      <c r="C265" s="13"/>
    </row>
    <row r="266" spans="1:3" ht="13" x14ac:dyDescent="0.15">
      <c r="A266" s="10"/>
      <c r="B266" s="13"/>
      <c r="C266" s="13"/>
    </row>
    <row r="267" spans="1:3" ht="13" x14ac:dyDescent="0.15">
      <c r="A267" s="10"/>
      <c r="B267" s="13"/>
      <c r="C267" s="13"/>
    </row>
    <row r="268" spans="1:3" ht="13" x14ac:dyDescent="0.15">
      <c r="A268" s="10"/>
      <c r="B268" s="13"/>
      <c r="C268" s="13"/>
    </row>
    <row r="269" spans="1:3" ht="13" x14ac:dyDescent="0.15">
      <c r="A269" s="10"/>
      <c r="B269" s="13"/>
      <c r="C269" s="13"/>
    </row>
    <row r="270" spans="1:3" ht="13" x14ac:dyDescent="0.15">
      <c r="A270" s="10"/>
      <c r="B270" s="13"/>
      <c r="C270" s="13"/>
    </row>
    <row r="271" spans="1:3" ht="13" x14ac:dyDescent="0.15">
      <c r="A271" s="10"/>
      <c r="B271" s="13"/>
      <c r="C271" s="13"/>
    </row>
    <row r="272" spans="1:3" ht="13" x14ac:dyDescent="0.15">
      <c r="A272" s="10"/>
      <c r="B272" s="13"/>
      <c r="C272" s="13"/>
    </row>
    <row r="273" spans="1:3" ht="13" x14ac:dyDescent="0.15">
      <c r="A273" s="10"/>
      <c r="B273" s="13"/>
      <c r="C273" s="13"/>
    </row>
    <row r="274" spans="1:3" ht="13" x14ac:dyDescent="0.15">
      <c r="A274" s="10"/>
      <c r="B274" s="13"/>
      <c r="C274" s="13"/>
    </row>
    <row r="275" spans="1:3" ht="13" x14ac:dyDescent="0.15">
      <c r="A275" s="10"/>
      <c r="B275" s="13"/>
      <c r="C275" s="13"/>
    </row>
    <row r="276" spans="1:3" ht="13" x14ac:dyDescent="0.15">
      <c r="A276" s="10"/>
      <c r="B276" s="13"/>
      <c r="C276" s="13"/>
    </row>
    <row r="277" spans="1:3" ht="13" x14ac:dyDescent="0.15">
      <c r="A277" s="10"/>
      <c r="B277" s="13"/>
      <c r="C277" s="13"/>
    </row>
    <row r="278" spans="1:3" ht="13" x14ac:dyDescent="0.15">
      <c r="A278" s="10"/>
      <c r="B278" s="13"/>
      <c r="C278" s="13"/>
    </row>
    <row r="279" spans="1:3" ht="13" x14ac:dyDescent="0.15">
      <c r="A279" s="10"/>
      <c r="B279" s="13"/>
      <c r="C279" s="13"/>
    </row>
    <row r="280" spans="1:3" ht="13" x14ac:dyDescent="0.15">
      <c r="A280" s="10"/>
      <c r="B280" s="13"/>
      <c r="C280" s="13"/>
    </row>
    <row r="281" spans="1:3" ht="13" x14ac:dyDescent="0.15">
      <c r="A281" s="10"/>
      <c r="B281" s="13"/>
      <c r="C281" s="13"/>
    </row>
    <row r="282" spans="1:3" ht="13" x14ac:dyDescent="0.15">
      <c r="A282" s="10"/>
      <c r="B282" s="13"/>
      <c r="C282" s="13"/>
    </row>
    <row r="283" spans="1:3" ht="13" x14ac:dyDescent="0.15">
      <c r="A283" s="10"/>
      <c r="B283" s="13"/>
      <c r="C283" s="13"/>
    </row>
    <row r="284" spans="1:3" ht="13" x14ac:dyDescent="0.15">
      <c r="A284" s="10"/>
      <c r="B284" s="13"/>
      <c r="C284" s="13"/>
    </row>
    <row r="285" spans="1:3" ht="13" x14ac:dyDescent="0.15">
      <c r="A285" s="10"/>
      <c r="B285" s="13"/>
      <c r="C285" s="13"/>
    </row>
    <row r="286" spans="1:3" ht="13" x14ac:dyDescent="0.15">
      <c r="A286" s="10"/>
      <c r="B286" s="13"/>
      <c r="C286" s="13"/>
    </row>
    <row r="287" spans="1:3" ht="13" x14ac:dyDescent="0.15">
      <c r="A287" s="10"/>
      <c r="B287" s="13"/>
      <c r="C287" s="13"/>
    </row>
    <row r="288" spans="1:3" ht="13" x14ac:dyDescent="0.15">
      <c r="A288" s="10"/>
      <c r="B288" s="13"/>
      <c r="C288" s="13"/>
    </row>
    <row r="289" spans="1:3" ht="13" x14ac:dyDescent="0.15">
      <c r="A289" s="10"/>
      <c r="B289" s="13"/>
      <c r="C289" s="13"/>
    </row>
    <row r="290" spans="1:3" ht="13" x14ac:dyDescent="0.15">
      <c r="A290" s="10"/>
      <c r="B290" s="13"/>
      <c r="C290" s="13"/>
    </row>
    <row r="291" spans="1:3" ht="13" x14ac:dyDescent="0.15">
      <c r="A291" s="10"/>
      <c r="B291" s="13"/>
      <c r="C291" s="13"/>
    </row>
    <row r="292" spans="1:3" ht="13" x14ac:dyDescent="0.15">
      <c r="A292" s="10"/>
      <c r="B292" s="13"/>
      <c r="C292" s="13"/>
    </row>
    <row r="293" spans="1:3" ht="13" x14ac:dyDescent="0.15">
      <c r="A293" s="10"/>
      <c r="B293" s="13"/>
      <c r="C293" s="13"/>
    </row>
    <row r="294" spans="1:3" ht="13" x14ac:dyDescent="0.15">
      <c r="A294" s="10"/>
      <c r="B294" s="13"/>
      <c r="C294" s="13"/>
    </row>
    <row r="295" spans="1:3" ht="13" x14ac:dyDescent="0.15">
      <c r="A295" s="10"/>
      <c r="B295" s="13"/>
      <c r="C295" s="13"/>
    </row>
    <row r="296" spans="1:3" ht="13" x14ac:dyDescent="0.15">
      <c r="A296" s="10"/>
      <c r="B296" s="13"/>
      <c r="C296" s="13"/>
    </row>
    <row r="297" spans="1:3" ht="13" x14ac:dyDescent="0.15">
      <c r="A297" s="10"/>
      <c r="B297" s="13"/>
      <c r="C297" s="13"/>
    </row>
    <row r="298" spans="1:3" ht="13" x14ac:dyDescent="0.15">
      <c r="A298" s="10"/>
      <c r="B298" s="13"/>
      <c r="C298" s="13"/>
    </row>
    <row r="299" spans="1:3" ht="13" x14ac:dyDescent="0.15">
      <c r="A299" s="10"/>
      <c r="B299" s="13"/>
      <c r="C299" s="13"/>
    </row>
    <row r="300" spans="1:3" ht="13" x14ac:dyDescent="0.15">
      <c r="A300" s="10"/>
      <c r="B300" s="13"/>
      <c r="C300" s="13"/>
    </row>
    <row r="301" spans="1:3" ht="13" x14ac:dyDescent="0.15">
      <c r="A301" s="10"/>
      <c r="B301" s="13"/>
      <c r="C301" s="13"/>
    </row>
    <row r="302" spans="1:3" ht="13" x14ac:dyDescent="0.15">
      <c r="A302" s="10"/>
      <c r="B302" s="13"/>
      <c r="C302" s="13"/>
    </row>
    <row r="303" spans="1:3" ht="13" x14ac:dyDescent="0.15">
      <c r="A303" s="10"/>
      <c r="B303" s="13"/>
      <c r="C303" s="13"/>
    </row>
    <row r="304" spans="1:3" ht="13" x14ac:dyDescent="0.15">
      <c r="A304" s="10"/>
      <c r="B304" s="13"/>
      <c r="C304" s="13"/>
    </row>
    <row r="305" spans="1:3" ht="13" x14ac:dyDescent="0.15">
      <c r="A305" s="10"/>
      <c r="B305" s="13"/>
      <c r="C305" s="13"/>
    </row>
    <row r="306" spans="1:3" ht="13" x14ac:dyDescent="0.15">
      <c r="A306" s="10"/>
      <c r="B306" s="13"/>
      <c r="C306" s="13"/>
    </row>
    <row r="307" spans="1:3" ht="13" x14ac:dyDescent="0.15">
      <c r="A307" s="10"/>
      <c r="B307" s="13"/>
      <c r="C307" s="13"/>
    </row>
    <row r="308" spans="1:3" ht="13" x14ac:dyDescent="0.15">
      <c r="A308" s="10"/>
      <c r="B308" s="13"/>
      <c r="C308" s="13"/>
    </row>
    <row r="309" spans="1:3" ht="13" x14ac:dyDescent="0.15">
      <c r="A309" s="10"/>
      <c r="B309" s="13"/>
      <c r="C309" s="13"/>
    </row>
    <row r="310" spans="1:3" ht="13" x14ac:dyDescent="0.15">
      <c r="A310" s="10"/>
      <c r="B310" s="13"/>
      <c r="C310" s="13"/>
    </row>
    <row r="311" spans="1:3" ht="13" x14ac:dyDescent="0.15">
      <c r="A311" s="10"/>
      <c r="B311" s="13"/>
      <c r="C311" s="13"/>
    </row>
    <row r="312" spans="1:3" ht="13" x14ac:dyDescent="0.15">
      <c r="A312" s="10"/>
      <c r="B312" s="13"/>
      <c r="C312" s="13"/>
    </row>
    <row r="313" spans="1:3" ht="13" x14ac:dyDescent="0.15">
      <c r="A313" s="10"/>
      <c r="B313" s="13"/>
      <c r="C313" s="13"/>
    </row>
    <row r="314" spans="1:3" ht="13" x14ac:dyDescent="0.15">
      <c r="A314" s="10"/>
      <c r="B314" s="13"/>
      <c r="C314" s="13"/>
    </row>
    <row r="315" spans="1:3" ht="13" x14ac:dyDescent="0.15">
      <c r="A315" s="10"/>
      <c r="B315" s="13"/>
      <c r="C315" s="13"/>
    </row>
    <row r="316" spans="1:3" ht="13" x14ac:dyDescent="0.15">
      <c r="A316" s="10"/>
      <c r="B316" s="13"/>
      <c r="C316" s="13"/>
    </row>
    <row r="317" spans="1:3" ht="13" x14ac:dyDescent="0.15">
      <c r="A317" s="10"/>
      <c r="B317" s="13"/>
      <c r="C317" s="13"/>
    </row>
    <row r="318" spans="1:3" ht="13" x14ac:dyDescent="0.15">
      <c r="A318" s="10"/>
      <c r="B318" s="13"/>
      <c r="C318" s="13"/>
    </row>
    <row r="319" spans="1:3" ht="13" x14ac:dyDescent="0.15">
      <c r="A319" s="10"/>
      <c r="B319" s="13"/>
      <c r="C319" s="13"/>
    </row>
    <row r="320" spans="1:3" ht="13" x14ac:dyDescent="0.15">
      <c r="A320" s="10"/>
      <c r="B320" s="13"/>
      <c r="C320" s="13"/>
    </row>
    <row r="321" spans="1:3" ht="13" x14ac:dyDescent="0.15">
      <c r="A321" s="10"/>
      <c r="B321" s="13"/>
      <c r="C321" s="13"/>
    </row>
    <row r="322" spans="1:3" ht="13" x14ac:dyDescent="0.15">
      <c r="A322" s="10"/>
      <c r="B322" s="13"/>
      <c r="C322" s="13"/>
    </row>
    <row r="323" spans="1:3" ht="13" x14ac:dyDescent="0.15">
      <c r="A323" s="10"/>
      <c r="B323" s="13"/>
      <c r="C323" s="13"/>
    </row>
    <row r="324" spans="1:3" ht="13" x14ac:dyDescent="0.15">
      <c r="A324" s="10"/>
      <c r="B324" s="13"/>
      <c r="C324" s="13"/>
    </row>
    <row r="325" spans="1:3" ht="13" x14ac:dyDescent="0.15">
      <c r="A325" s="10"/>
      <c r="B325" s="13"/>
      <c r="C325" s="13"/>
    </row>
    <row r="326" spans="1:3" ht="13" x14ac:dyDescent="0.15">
      <c r="A326" s="10"/>
      <c r="B326" s="13"/>
      <c r="C326" s="13"/>
    </row>
    <row r="327" spans="1:3" ht="13" x14ac:dyDescent="0.15">
      <c r="A327" s="10"/>
      <c r="B327" s="13"/>
      <c r="C327" s="13"/>
    </row>
    <row r="328" spans="1:3" ht="13" x14ac:dyDescent="0.15">
      <c r="A328" s="10"/>
      <c r="B328" s="13"/>
      <c r="C328" s="13"/>
    </row>
    <row r="329" spans="1:3" ht="13" x14ac:dyDescent="0.15">
      <c r="A329" s="10"/>
      <c r="B329" s="13"/>
      <c r="C329" s="13"/>
    </row>
    <row r="330" spans="1:3" ht="13" x14ac:dyDescent="0.15">
      <c r="A330" s="10"/>
      <c r="B330" s="13"/>
      <c r="C330" s="13"/>
    </row>
    <row r="331" spans="1:3" ht="13" x14ac:dyDescent="0.15">
      <c r="A331" s="10"/>
      <c r="B331" s="13"/>
      <c r="C331" s="13"/>
    </row>
    <row r="332" spans="1:3" ht="13" x14ac:dyDescent="0.15">
      <c r="A332" s="10"/>
      <c r="B332" s="13"/>
      <c r="C332" s="13"/>
    </row>
    <row r="333" spans="1:3" ht="13" x14ac:dyDescent="0.15">
      <c r="A333" s="10"/>
      <c r="B333" s="13"/>
      <c r="C333" s="13"/>
    </row>
    <row r="334" spans="1:3" ht="13" x14ac:dyDescent="0.15">
      <c r="A334" s="10"/>
      <c r="B334" s="13"/>
      <c r="C334" s="13"/>
    </row>
    <row r="335" spans="1:3" ht="13" x14ac:dyDescent="0.15">
      <c r="A335" s="10"/>
      <c r="B335" s="13"/>
      <c r="C335" s="13"/>
    </row>
    <row r="336" spans="1:3" ht="13" x14ac:dyDescent="0.15">
      <c r="A336" s="10"/>
      <c r="B336" s="13"/>
      <c r="C336" s="13"/>
    </row>
    <row r="337" spans="1:3" ht="13" x14ac:dyDescent="0.15">
      <c r="A337" s="10"/>
      <c r="B337" s="13"/>
      <c r="C337" s="13"/>
    </row>
    <row r="338" spans="1:3" ht="13" x14ac:dyDescent="0.15">
      <c r="A338" s="10"/>
      <c r="B338" s="13"/>
      <c r="C338" s="13"/>
    </row>
    <row r="339" spans="1:3" ht="13" x14ac:dyDescent="0.15">
      <c r="A339" s="10"/>
      <c r="B339" s="13"/>
      <c r="C339" s="13"/>
    </row>
    <row r="340" spans="1:3" ht="13" x14ac:dyDescent="0.15">
      <c r="A340" s="10"/>
      <c r="B340" s="13"/>
      <c r="C340" s="13"/>
    </row>
    <row r="341" spans="1:3" ht="13" x14ac:dyDescent="0.15">
      <c r="A341" s="10"/>
      <c r="B341" s="13"/>
      <c r="C341" s="13"/>
    </row>
    <row r="342" spans="1:3" ht="13" x14ac:dyDescent="0.15">
      <c r="A342" s="10"/>
      <c r="B342" s="13"/>
      <c r="C342" s="13"/>
    </row>
    <row r="343" spans="1:3" ht="13" x14ac:dyDescent="0.15">
      <c r="A343" s="10"/>
      <c r="B343" s="13"/>
      <c r="C343" s="13"/>
    </row>
    <row r="344" spans="1:3" ht="13" x14ac:dyDescent="0.15">
      <c r="A344" s="10"/>
      <c r="B344" s="13"/>
      <c r="C344" s="13"/>
    </row>
    <row r="345" spans="1:3" ht="13" x14ac:dyDescent="0.15">
      <c r="A345" s="10"/>
      <c r="B345" s="13"/>
      <c r="C345" s="13"/>
    </row>
    <row r="346" spans="1:3" ht="13" x14ac:dyDescent="0.15">
      <c r="A346" s="10"/>
      <c r="B346" s="13"/>
      <c r="C346" s="13"/>
    </row>
    <row r="347" spans="1:3" ht="13" x14ac:dyDescent="0.15">
      <c r="A347" s="10"/>
      <c r="B347" s="13"/>
      <c r="C347" s="13"/>
    </row>
    <row r="348" spans="1:3" ht="13" x14ac:dyDescent="0.15">
      <c r="A348" s="10"/>
      <c r="B348" s="13"/>
      <c r="C348" s="13"/>
    </row>
    <row r="349" spans="1:3" ht="13" x14ac:dyDescent="0.15">
      <c r="A349" s="10"/>
      <c r="B349" s="13"/>
      <c r="C349" s="13"/>
    </row>
    <row r="350" spans="1:3" ht="13" x14ac:dyDescent="0.15">
      <c r="A350" s="10"/>
      <c r="B350" s="13"/>
      <c r="C350" s="13"/>
    </row>
    <row r="351" spans="1:3" ht="13" x14ac:dyDescent="0.15">
      <c r="A351" s="10"/>
      <c r="B351" s="13"/>
      <c r="C351" s="13"/>
    </row>
    <row r="352" spans="1:3" ht="13" x14ac:dyDescent="0.15">
      <c r="A352" s="10"/>
      <c r="B352" s="13"/>
      <c r="C352" s="13"/>
    </row>
    <row r="353" spans="1:3" ht="13" x14ac:dyDescent="0.15">
      <c r="A353" s="10"/>
      <c r="B353" s="13"/>
      <c r="C353" s="13"/>
    </row>
    <row r="354" spans="1:3" ht="13" x14ac:dyDescent="0.15">
      <c r="A354" s="10"/>
      <c r="B354" s="13"/>
      <c r="C354" s="13"/>
    </row>
    <row r="355" spans="1:3" ht="13" x14ac:dyDescent="0.15">
      <c r="A355" s="10"/>
      <c r="B355" s="13"/>
      <c r="C355" s="13"/>
    </row>
    <row r="356" spans="1:3" ht="13" x14ac:dyDescent="0.15">
      <c r="A356" s="10"/>
      <c r="B356" s="13"/>
      <c r="C356" s="13"/>
    </row>
    <row r="357" spans="1:3" ht="13" x14ac:dyDescent="0.15">
      <c r="A357" s="10"/>
      <c r="B357" s="13"/>
      <c r="C357" s="13"/>
    </row>
    <row r="358" spans="1:3" ht="13" x14ac:dyDescent="0.15">
      <c r="A358" s="10"/>
      <c r="B358" s="13"/>
      <c r="C358" s="13"/>
    </row>
    <row r="359" spans="1:3" ht="13" x14ac:dyDescent="0.15">
      <c r="A359" s="10"/>
      <c r="B359" s="13"/>
      <c r="C359" s="13"/>
    </row>
    <row r="360" spans="1:3" ht="13" x14ac:dyDescent="0.15">
      <c r="A360" s="10"/>
      <c r="B360" s="13"/>
      <c r="C360" s="13"/>
    </row>
    <row r="361" spans="1:3" ht="13" x14ac:dyDescent="0.15">
      <c r="A361" s="10"/>
      <c r="B361" s="13"/>
      <c r="C361" s="13"/>
    </row>
    <row r="362" spans="1:3" ht="13" x14ac:dyDescent="0.15">
      <c r="A362" s="10"/>
      <c r="B362" s="13"/>
      <c r="C362" s="13"/>
    </row>
    <row r="363" spans="1:3" ht="13" x14ac:dyDescent="0.15">
      <c r="A363" s="10"/>
      <c r="B363" s="13"/>
      <c r="C363" s="13"/>
    </row>
    <row r="364" spans="1:3" ht="13" x14ac:dyDescent="0.15">
      <c r="A364" s="10"/>
      <c r="B364" s="13"/>
      <c r="C364" s="13"/>
    </row>
    <row r="365" spans="1:3" ht="13" x14ac:dyDescent="0.15">
      <c r="A365" s="10"/>
      <c r="B365" s="13"/>
      <c r="C365" s="13"/>
    </row>
    <row r="366" spans="1:3" ht="13" x14ac:dyDescent="0.15">
      <c r="A366" s="10"/>
      <c r="B366" s="13"/>
      <c r="C366" s="13"/>
    </row>
    <row r="367" spans="1:3" ht="13" x14ac:dyDescent="0.15">
      <c r="A367" s="10"/>
      <c r="B367" s="13"/>
      <c r="C367" s="13"/>
    </row>
    <row r="368" spans="1:3" ht="13" x14ac:dyDescent="0.15">
      <c r="A368" s="10"/>
      <c r="B368" s="13"/>
      <c r="C368" s="13"/>
    </row>
    <row r="369" spans="1:3" ht="13" x14ac:dyDescent="0.15">
      <c r="A369" s="10"/>
      <c r="B369" s="13"/>
      <c r="C369" s="13"/>
    </row>
    <row r="370" spans="1:3" ht="13" x14ac:dyDescent="0.15">
      <c r="A370" s="10"/>
      <c r="B370" s="13"/>
      <c r="C370" s="13"/>
    </row>
    <row r="371" spans="1:3" ht="13" x14ac:dyDescent="0.15">
      <c r="A371" s="10"/>
      <c r="B371" s="13"/>
      <c r="C371" s="13"/>
    </row>
    <row r="372" spans="1:3" ht="13" x14ac:dyDescent="0.15">
      <c r="A372" s="10"/>
      <c r="B372" s="13"/>
      <c r="C372" s="13"/>
    </row>
    <row r="373" spans="1:3" ht="13" x14ac:dyDescent="0.15">
      <c r="A373" s="10"/>
      <c r="B373" s="13"/>
      <c r="C373" s="13"/>
    </row>
    <row r="374" spans="1:3" ht="13" x14ac:dyDescent="0.15">
      <c r="A374" s="10"/>
      <c r="B374" s="13"/>
      <c r="C374" s="13"/>
    </row>
    <row r="375" spans="1:3" ht="13" x14ac:dyDescent="0.15">
      <c r="A375" s="10"/>
      <c r="B375" s="13"/>
      <c r="C375" s="13"/>
    </row>
    <row r="376" spans="1:3" ht="13" x14ac:dyDescent="0.15">
      <c r="A376" s="10"/>
      <c r="B376" s="13"/>
      <c r="C376" s="13"/>
    </row>
    <row r="377" spans="1:3" ht="13" x14ac:dyDescent="0.15">
      <c r="A377" s="10"/>
      <c r="B377" s="13"/>
      <c r="C377" s="13"/>
    </row>
    <row r="378" spans="1:3" ht="13" x14ac:dyDescent="0.15">
      <c r="A378" s="10"/>
      <c r="B378" s="13"/>
      <c r="C378" s="13"/>
    </row>
    <row r="379" spans="1:3" ht="13" x14ac:dyDescent="0.15">
      <c r="A379" s="10"/>
      <c r="B379" s="13"/>
      <c r="C379" s="13"/>
    </row>
    <row r="380" spans="1:3" ht="13" x14ac:dyDescent="0.15">
      <c r="A380" s="10"/>
      <c r="B380" s="13"/>
      <c r="C380" s="13"/>
    </row>
    <row r="381" spans="1:3" ht="13" x14ac:dyDescent="0.15">
      <c r="A381" s="10"/>
      <c r="B381" s="13"/>
      <c r="C381" s="13"/>
    </row>
    <row r="382" spans="1:3" ht="13" x14ac:dyDescent="0.15">
      <c r="A382" s="10"/>
      <c r="B382" s="13"/>
      <c r="C382" s="13"/>
    </row>
    <row r="383" spans="1:3" ht="13" x14ac:dyDescent="0.15">
      <c r="A383" s="10"/>
      <c r="B383" s="13"/>
      <c r="C383" s="13"/>
    </row>
    <row r="384" spans="1:3" ht="13" x14ac:dyDescent="0.15">
      <c r="A384" s="10"/>
      <c r="B384" s="13"/>
      <c r="C384" s="13"/>
    </row>
    <row r="385" spans="1:3" ht="13" x14ac:dyDescent="0.15">
      <c r="A385" s="10"/>
      <c r="B385" s="13"/>
      <c r="C385" s="13"/>
    </row>
    <row r="386" spans="1:3" ht="13" x14ac:dyDescent="0.15">
      <c r="A386" s="10"/>
      <c r="B386" s="13"/>
      <c r="C386" s="13"/>
    </row>
    <row r="387" spans="1:3" ht="13" x14ac:dyDescent="0.15">
      <c r="A387" s="10"/>
      <c r="B387" s="13"/>
      <c r="C387" s="13"/>
    </row>
    <row r="388" spans="1:3" ht="13" x14ac:dyDescent="0.15">
      <c r="A388" s="10"/>
      <c r="B388" s="13"/>
      <c r="C388" s="13"/>
    </row>
    <row r="389" spans="1:3" ht="13" x14ac:dyDescent="0.15">
      <c r="A389" s="10"/>
      <c r="B389" s="13"/>
      <c r="C389" s="13"/>
    </row>
    <row r="390" spans="1:3" ht="13" x14ac:dyDescent="0.15">
      <c r="A390" s="10"/>
      <c r="B390" s="13"/>
      <c r="C390" s="13"/>
    </row>
    <row r="391" spans="1:3" ht="13" x14ac:dyDescent="0.15">
      <c r="A391" s="10"/>
      <c r="B391" s="13"/>
      <c r="C391" s="13"/>
    </row>
    <row r="392" spans="1:3" ht="13" x14ac:dyDescent="0.15">
      <c r="A392" s="10"/>
      <c r="B392" s="13"/>
      <c r="C392" s="13"/>
    </row>
    <row r="393" spans="1:3" ht="13" x14ac:dyDescent="0.15">
      <c r="A393" s="10"/>
      <c r="B393" s="13"/>
      <c r="C393" s="13"/>
    </row>
    <row r="394" spans="1:3" ht="13" x14ac:dyDescent="0.15">
      <c r="A394" s="10"/>
      <c r="B394" s="13"/>
      <c r="C394" s="13"/>
    </row>
    <row r="395" spans="1:3" ht="13" x14ac:dyDescent="0.15">
      <c r="A395" s="10"/>
      <c r="B395" s="13"/>
      <c r="C395" s="13"/>
    </row>
    <row r="396" spans="1:3" ht="13" x14ac:dyDescent="0.15">
      <c r="A396" s="10"/>
      <c r="B396" s="13"/>
      <c r="C396" s="13"/>
    </row>
    <row r="397" spans="1:3" ht="13" x14ac:dyDescent="0.15">
      <c r="A397" s="10"/>
      <c r="B397" s="13"/>
      <c r="C397" s="13"/>
    </row>
    <row r="398" spans="1:3" ht="13" x14ac:dyDescent="0.15">
      <c r="A398" s="10"/>
      <c r="B398" s="13"/>
      <c r="C398" s="13"/>
    </row>
    <row r="399" spans="1:3" ht="13" x14ac:dyDescent="0.15">
      <c r="A399" s="10"/>
      <c r="B399" s="13"/>
      <c r="C399" s="13"/>
    </row>
    <row r="400" spans="1:3" ht="13" x14ac:dyDescent="0.15">
      <c r="A400" s="10"/>
      <c r="B400" s="13"/>
      <c r="C400" s="13"/>
    </row>
    <row r="401" spans="1:3" ht="13" x14ac:dyDescent="0.15">
      <c r="A401" s="10"/>
      <c r="B401" s="13"/>
      <c r="C401" s="13"/>
    </row>
    <row r="402" spans="1:3" ht="13" x14ac:dyDescent="0.15">
      <c r="A402" s="10"/>
      <c r="B402" s="13"/>
      <c r="C402" s="13"/>
    </row>
    <row r="403" spans="1:3" ht="13" x14ac:dyDescent="0.15">
      <c r="A403" s="10"/>
      <c r="B403" s="13"/>
      <c r="C403" s="13"/>
    </row>
    <row r="404" spans="1:3" ht="13" x14ac:dyDescent="0.15">
      <c r="A404" s="10"/>
      <c r="B404" s="13"/>
      <c r="C404" s="13"/>
    </row>
    <row r="405" spans="1:3" ht="13" x14ac:dyDescent="0.15">
      <c r="A405" s="10"/>
      <c r="B405" s="13"/>
      <c r="C405" s="13"/>
    </row>
    <row r="406" spans="1:3" ht="13" x14ac:dyDescent="0.15">
      <c r="A406" s="10"/>
      <c r="B406" s="13"/>
      <c r="C406" s="13"/>
    </row>
    <row r="407" spans="1:3" ht="13" x14ac:dyDescent="0.15">
      <c r="A407" s="10"/>
      <c r="B407" s="13"/>
      <c r="C407" s="13"/>
    </row>
    <row r="408" spans="1:3" ht="13" x14ac:dyDescent="0.15">
      <c r="A408" s="10"/>
      <c r="B408" s="13"/>
      <c r="C408" s="13"/>
    </row>
    <row r="409" spans="1:3" ht="13" x14ac:dyDescent="0.15">
      <c r="A409" s="10"/>
      <c r="B409" s="13"/>
      <c r="C409" s="13"/>
    </row>
    <row r="410" spans="1:3" ht="13" x14ac:dyDescent="0.15">
      <c r="A410" s="10"/>
      <c r="B410" s="13"/>
      <c r="C410" s="13"/>
    </row>
    <row r="411" spans="1:3" ht="13" x14ac:dyDescent="0.15">
      <c r="A411" s="10"/>
      <c r="B411" s="13"/>
      <c r="C411" s="13"/>
    </row>
    <row r="412" spans="1:3" ht="13" x14ac:dyDescent="0.15">
      <c r="A412" s="10"/>
      <c r="B412" s="13"/>
      <c r="C412" s="13"/>
    </row>
    <row r="413" spans="1:3" ht="13" x14ac:dyDescent="0.15">
      <c r="A413" s="10"/>
      <c r="B413" s="13"/>
      <c r="C413" s="13"/>
    </row>
    <row r="414" spans="1:3" ht="13" x14ac:dyDescent="0.15">
      <c r="A414" s="10"/>
      <c r="B414" s="13"/>
      <c r="C414" s="13"/>
    </row>
    <row r="415" spans="1:3" ht="13" x14ac:dyDescent="0.15">
      <c r="A415" s="10"/>
      <c r="B415" s="13"/>
      <c r="C415" s="13"/>
    </row>
    <row r="416" spans="1:3" ht="13" x14ac:dyDescent="0.15">
      <c r="A416" s="10"/>
      <c r="B416" s="13"/>
      <c r="C416" s="13"/>
    </row>
    <row r="417" spans="1:3" ht="13" x14ac:dyDescent="0.15">
      <c r="A417" s="10"/>
      <c r="B417" s="13"/>
      <c r="C417" s="13"/>
    </row>
    <row r="418" spans="1:3" ht="13" x14ac:dyDescent="0.15">
      <c r="A418" s="10"/>
      <c r="B418" s="13"/>
      <c r="C418" s="13"/>
    </row>
    <row r="419" spans="1:3" ht="13" x14ac:dyDescent="0.15">
      <c r="A419" s="10"/>
      <c r="B419" s="13"/>
      <c r="C419" s="13"/>
    </row>
    <row r="420" spans="1:3" ht="13" x14ac:dyDescent="0.15">
      <c r="A420" s="10"/>
      <c r="B420" s="13"/>
      <c r="C420" s="13"/>
    </row>
    <row r="421" spans="1:3" ht="13" x14ac:dyDescent="0.15">
      <c r="A421" s="10"/>
      <c r="B421" s="13"/>
      <c r="C421" s="13"/>
    </row>
    <row r="422" spans="1:3" ht="13" x14ac:dyDescent="0.15">
      <c r="A422" s="10"/>
      <c r="B422" s="13"/>
      <c r="C422" s="13"/>
    </row>
    <row r="423" spans="1:3" ht="13" x14ac:dyDescent="0.15">
      <c r="A423" s="10"/>
      <c r="B423" s="13"/>
      <c r="C423" s="13"/>
    </row>
    <row r="424" spans="1:3" ht="13" x14ac:dyDescent="0.15">
      <c r="A424" s="10"/>
      <c r="B424" s="13"/>
      <c r="C424" s="13"/>
    </row>
    <row r="425" spans="1:3" ht="13" x14ac:dyDescent="0.15">
      <c r="A425" s="10"/>
      <c r="B425" s="13"/>
      <c r="C425" s="13"/>
    </row>
    <row r="426" spans="1:3" ht="13" x14ac:dyDescent="0.15">
      <c r="A426" s="10"/>
      <c r="B426" s="13"/>
      <c r="C426" s="13"/>
    </row>
    <row r="427" spans="1:3" ht="13" x14ac:dyDescent="0.15">
      <c r="A427" s="10"/>
      <c r="B427" s="13"/>
      <c r="C427" s="13"/>
    </row>
    <row r="428" spans="1:3" ht="13" x14ac:dyDescent="0.15">
      <c r="A428" s="10"/>
      <c r="B428" s="13"/>
      <c r="C428" s="13"/>
    </row>
    <row r="429" spans="1:3" ht="13" x14ac:dyDescent="0.15">
      <c r="A429" s="10"/>
      <c r="B429" s="13"/>
      <c r="C429" s="13"/>
    </row>
    <row r="430" spans="1:3" ht="13" x14ac:dyDescent="0.15">
      <c r="A430" s="10"/>
      <c r="B430" s="13"/>
      <c r="C430" s="13"/>
    </row>
    <row r="431" spans="1:3" ht="13" x14ac:dyDescent="0.15">
      <c r="A431" s="10"/>
      <c r="B431" s="13"/>
      <c r="C431" s="13"/>
    </row>
    <row r="432" spans="1:3" ht="13" x14ac:dyDescent="0.15">
      <c r="A432" s="10"/>
      <c r="B432" s="13"/>
      <c r="C432" s="13"/>
    </row>
    <row r="433" spans="1:3" ht="13" x14ac:dyDescent="0.15">
      <c r="A433" s="10"/>
      <c r="B433" s="13"/>
      <c r="C433" s="13"/>
    </row>
    <row r="434" spans="1:3" ht="13" x14ac:dyDescent="0.15">
      <c r="A434" s="10"/>
      <c r="B434" s="13"/>
      <c r="C434" s="13"/>
    </row>
    <row r="435" spans="1:3" ht="13" x14ac:dyDescent="0.15">
      <c r="A435" s="10"/>
      <c r="B435" s="13"/>
      <c r="C435" s="13"/>
    </row>
    <row r="436" spans="1:3" ht="13" x14ac:dyDescent="0.15">
      <c r="A436" s="10"/>
      <c r="B436" s="13"/>
      <c r="C436" s="13"/>
    </row>
    <row r="437" spans="1:3" ht="13" x14ac:dyDescent="0.15">
      <c r="A437" s="10"/>
      <c r="B437" s="13"/>
      <c r="C437" s="13"/>
    </row>
    <row r="438" spans="1:3" ht="13" x14ac:dyDescent="0.15">
      <c r="A438" s="10"/>
      <c r="B438" s="13"/>
      <c r="C438" s="13"/>
    </row>
    <row r="439" spans="1:3" ht="13" x14ac:dyDescent="0.15">
      <c r="A439" s="10"/>
      <c r="B439" s="13"/>
      <c r="C439" s="13"/>
    </row>
    <row r="440" spans="1:3" ht="13" x14ac:dyDescent="0.15">
      <c r="A440" s="10"/>
      <c r="B440" s="13"/>
      <c r="C440" s="13"/>
    </row>
    <row r="441" spans="1:3" ht="13" x14ac:dyDescent="0.15">
      <c r="A441" s="10"/>
      <c r="B441" s="13"/>
      <c r="C441" s="13"/>
    </row>
    <row r="442" spans="1:3" ht="13" x14ac:dyDescent="0.15">
      <c r="A442" s="10"/>
      <c r="B442" s="13"/>
      <c r="C442" s="13"/>
    </row>
    <row r="443" spans="1:3" ht="13" x14ac:dyDescent="0.15">
      <c r="A443" s="10"/>
      <c r="B443" s="13"/>
      <c r="C443" s="13"/>
    </row>
    <row r="444" spans="1:3" ht="13" x14ac:dyDescent="0.15">
      <c r="A444" s="10"/>
      <c r="B444" s="13"/>
      <c r="C444" s="13"/>
    </row>
    <row r="445" spans="1:3" ht="13" x14ac:dyDescent="0.15">
      <c r="A445" s="10"/>
      <c r="B445" s="13"/>
      <c r="C445" s="13"/>
    </row>
    <row r="446" spans="1:3" ht="13" x14ac:dyDescent="0.15">
      <c r="A446" s="10"/>
      <c r="B446" s="13"/>
      <c r="C446" s="13"/>
    </row>
    <row r="447" spans="1:3" ht="13" x14ac:dyDescent="0.15">
      <c r="A447" s="10"/>
      <c r="B447" s="13"/>
      <c r="C447" s="13"/>
    </row>
    <row r="448" spans="1:3" ht="13" x14ac:dyDescent="0.15">
      <c r="A448" s="10"/>
      <c r="B448" s="13"/>
      <c r="C448" s="13"/>
    </row>
    <row r="449" spans="1:3" ht="13" x14ac:dyDescent="0.15">
      <c r="A449" s="10"/>
      <c r="B449" s="13"/>
      <c r="C449" s="13"/>
    </row>
    <row r="450" spans="1:3" ht="13" x14ac:dyDescent="0.15">
      <c r="A450" s="10"/>
      <c r="B450" s="13"/>
      <c r="C450" s="13"/>
    </row>
    <row r="451" spans="1:3" ht="13" x14ac:dyDescent="0.15">
      <c r="A451" s="10"/>
      <c r="B451" s="13"/>
      <c r="C451" s="13"/>
    </row>
    <row r="452" spans="1:3" ht="13" x14ac:dyDescent="0.15">
      <c r="A452" s="10"/>
      <c r="B452" s="13"/>
      <c r="C452" s="13"/>
    </row>
    <row r="453" spans="1:3" ht="13" x14ac:dyDescent="0.15">
      <c r="A453" s="10"/>
      <c r="B453" s="13"/>
      <c r="C453" s="13"/>
    </row>
    <row r="454" spans="1:3" ht="13" x14ac:dyDescent="0.15">
      <c r="A454" s="10"/>
      <c r="B454" s="13"/>
      <c r="C454" s="13"/>
    </row>
    <row r="455" spans="1:3" ht="13" x14ac:dyDescent="0.15">
      <c r="A455" s="10"/>
      <c r="B455" s="13"/>
      <c r="C455" s="13"/>
    </row>
    <row r="456" spans="1:3" ht="13" x14ac:dyDescent="0.15">
      <c r="A456" s="10"/>
      <c r="B456" s="13"/>
      <c r="C456" s="13"/>
    </row>
    <row r="457" spans="1:3" ht="13" x14ac:dyDescent="0.15">
      <c r="A457" s="10"/>
      <c r="B457" s="13"/>
      <c r="C457" s="13"/>
    </row>
    <row r="458" spans="1:3" ht="13" x14ac:dyDescent="0.15">
      <c r="A458" s="10"/>
      <c r="B458" s="13"/>
      <c r="C458" s="13"/>
    </row>
    <row r="459" spans="1:3" ht="13" x14ac:dyDescent="0.15">
      <c r="A459" s="10"/>
      <c r="B459" s="13"/>
      <c r="C459" s="13"/>
    </row>
    <row r="460" spans="1:3" ht="13" x14ac:dyDescent="0.15">
      <c r="A460" s="10"/>
      <c r="B460" s="13"/>
      <c r="C460" s="13"/>
    </row>
    <row r="461" spans="1:3" ht="13" x14ac:dyDescent="0.15">
      <c r="A461" s="10"/>
      <c r="B461" s="13"/>
      <c r="C461" s="13"/>
    </row>
    <row r="462" spans="1:3" ht="13" x14ac:dyDescent="0.15">
      <c r="A462" s="10"/>
      <c r="B462" s="13"/>
      <c r="C462" s="13"/>
    </row>
    <row r="463" spans="1:3" ht="13" x14ac:dyDescent="0.15">
      <c r="A463" s="10"/>
      <c r="B463" s="13"/>
      <c r="C463" s="13"/>
    </row>
    <row r="464" spans="1:3" ht="13" x14ac:dyDescent="0.15">
      <c r="A464" s="10"/>
      <c r="B464" s="13"/>
      <c r="C464" s="13"/>
    </row>
    <row r="465" spans="1:3" ht="13" x14ac:dyDescent="0.15">
      <c r="A465" s="10"/>
      <c r="B465" s="13"/>
      <c r="C465" s="13"/>
    </row>
    <row r="466" spans="1:3" ht="13" x14ac:dyDescent="0.15">
      <c r="A466" s="10"/>
      <c r="B466" s="13"/>
      <c r="C466" s="13"/>
    </row>
    <row r="467" spans="1:3" ht="13" x14ac:dyDescent="0.15">
      <c r="A467" s="10"/>
      <c r="B467" s="13"/>
      <c r="C467" s="13"/>
    </row>
    <row r="468" spans="1:3" ht="13" x14ac:dyDescent="0.15">
      <c r="A468" s="10"/>
      <c r="B468" s="13"/>
      <c r="C468" s="13"/>
    </row>
    <row r="469" spans="1:3" ht="13" x14ac:dyDescent="0.15">
      <c r="A469" s="10"/>
      <c r="B469" s="13"/>
      <c r="C469" s="13"/>
    </row>
    <row r="470" spans="1:3" ht="13" x14ac:dyDescent="0.15">
      <c r="A470" s="10"/>
      <c r="B470" s="13"/>
      <c r="C470" s="13"/>
    </row>
    <row r="471" spans="1:3" ht="13" x14ac:dyDescent="0.15">
      <c r="A471" s="10"/>
      <c r="B471" s="13"/>
      <c r="C471" s="13"/>
    </row>
    <row r="472" spans="1:3" ht="13" x14ac:dyDescent="0.15">
      <c r="A472" s="10"/>
      <c r="B472" s="13"/>
      <c r="C472" s="13"/>
    </row>
    <row r="473" spans="1:3" ht="13" x14ac:dyDescent="0.15">
      <c r="A473" s="10"/>
      <c r="B473" s="13"/>
      <c r="C473" s="13"/>
    </row>
    <row r="474" spans="1:3" ht="13" x14ac:dyDescent="0.15">
      <c r="A474" s="10"/>
      <c r="B474" s="13"/>
      <c r="C474" s="13"/>
    </row>
    <row r="475" spans="1:3" ht="13" x14ac:dyDescent="0.15">
      <c r="A475" s="10"/>
      <c r="B475" s="13"/>
      <c r="C475" s="13"/>
    </row>
    <row r="476" spans="1:3" ht="13" x14ac:dyDescent="0.15">
      <c r="A476" s="10"/>
      <c r="B476" s="13"/>
      <c r="C476" s="13"/>
    </row>
    <row r="477" spans="1:3" ht="13" x14ac:dyDescent="0.15">
      <c r="A477" s="10"/>
      <c r="B477" s="13"/>
      <c r="C477" s="13"/>
    </row>
    <row r="478" spans="1:3" ht="13" x14ac:dyDescent="0.15">
      <c r="A478" s="10"/>
      <c r="B478" s="13"/>
      <c r="C478" s="13"/>
    </row>
    <row r="479" spans="1:3" ht="13" x14ac:dyDescent="0.15">
      <c r="A479" s="10"/>
      <c r="B479" s="13"/>
      <c r="C479" s="13"/>
    </row>
    <row r="480" spans="1:3" ht="13" x14ac:dyDescent="0.15">
      <c r="A480" s="10"/>
      <c r="B480" s="13"/>
      <c r="C480" s="13"/>
    </row>
    <row r="481" spans="1:3" ht="13" x14ac:dyDescent="0.15">
      <c r="A481" s="10"/>
      <c r="B481" s="13"/>
      <c r="C481" s="13"/>
    </row>
    <row r="482" spans="1:3" ht="13" x14ac:dyDescent="0.15">
      <c r="A482" s="10"/>
      <c r="B482" s="13"/>
      <c r="C482" s="13"/>
    </row>
    <row r="483" spans="1:3" ht="13" x14ac:dyDescent="0.15">
      <c r="A483" s="10"/>
      <c r="B483" s="13"/>
      <c r="C483" s="13"/>
    </row>
    <row r="484" spans="1:3" ht="13" x14ac:dyDescent="0.15">
      <c r="A484" s="10"/>
      <c r="B484" s="13"/>
      <c r="C484" s="13"/>
    </row>
    <row r="485" spans="1:3" ht="13" x14ac:dyDescent="0.15">
      <c r="A485" s="10"/>
      <c r="B485" s="13"/>
      <c r="C485" s="13"/>
    </row>
    <row r="486" spans="1:3" ht="13" x14ac:dyDescent="0.15">
      <c r="A486" s="10"/>
      <c r="B486" s="13"/>
      <c r="C486" s="13"/>
    </row>
    <row r="487" spans="1:3" ht="13" x14ac:dyDescent="0.15">
      <c r="A487" s="10"/>
      <c r="B487" s="13"/>
      <c r="C487" s="13"/>
    </row>
    <row r="488" spans="1:3" ht="13" x14ac:dyDescent="0.15">
      <c r="A488" s="10"/>
      <c r="B488" s="13"/>
      <c r="C488" s="13"/>
    </row>
    <row r="489" spans="1:3" ht="13" x14ac:dyDescent="0.15">
      <c r="A489" s="10"/>
      <c r="B489" s="13"/>
      <c r="C489" s="13"/>
    </row>
    <row r="490" spans="1:3" ht="13" x14ac:dyDescent="0.15">
      <c r="A490" s="10"/>
      <c r="B490" s="13"/>
      <c r="C490" s="13"/>
    </row>
    <row r="491" spans="1:3" ht="13" x14ac:dyDescent="0.15">
      <c r="A491" s="10"/>
      <c r="B491" s="13"/>
      <c r="C491" s="13"/>
    </row>
    <row r="492" spans="1:3" ht="13" x14ac:dyDescent="0.15">
      <c r="A492" s="10"/>
      <c r="B492" s="13"/>
      <c r="C492" s="13"/>
    </row>
    <row r="493" spans="1:3" ht="13" x14ac:dyDescent="0.15">
      <c r="A493" s="10"/>
      <c r="B493" s="13"/>
      <c r="C493" s="13"/>
    </row>
    <row r="494" spans="1:3" ht="13" x14ac:dyDescent="0.15">
      <c r="A494" s="10"/>
      <c r="B494" s="13"/>
      <c r="C494" s="13"/>
    </row>
    <row r="495" spans="1:3" ht="13" x14ac:dyDescent="0.15">
      <c r="A495" s="10"/>
      <c r="B495" s="13"/>
      <c r="C495" s="13"/>
    </row>
    <row r="496" spans="1:3" ht="13" x14ac:dyDescent="0.15">
      <c r="A496" s="10"/>
      <c r="B496" s="13"/>
      <c r="C496" s="13"/>
    </row>
    <row r="497" spans="1:3" ht="13" x14ac:dyDescent="0.15">
      <c r="A497" s="10"/>
      <c r="B497" s="13"/>
      <c r="C497" s="13"/>
    </row>
    <row r="498" spans="1:3" ht="13" x14ac:dyDescent="0.15">
      <c r="A498" s="10"/>
      <c r="B498" s="13"/>
      <c r="C498" s="13"/>
    </row>
    <row r="499" spans="1:3" ht="13" x14ac:dyDescent="0.15">
      <c r="A499" s="10"/>
      <c r="B499" s="13"/>
      <c r="C499" s="13"/>
    </row>
    <row r="500" spans="1:3" ht="13" x14ac:dyDescent="0.15">
      <c r="A500" s="10"/>
      <c r="B500" s="13"/>
      <c r="C500" s="13"/>
    </row>
    <row r="501" spans="1:3" ht="13" x14ac:dyDescent="0.15">
      <c r="A501" s="10"/>
      <c r="B501" s="13"/>
      <c r="C501" s="13"/>
    </row>
    <row r="502" spans="1:3" ht="13" x14ac:dyDescent="0.15">
      <c r="A502" s="10"/>
      <c r="B502" s="13"/>
      <c r="C502" s="13"/>
    </row>
    <row r="503" spans="1:3" ht="13" x14ac:dyDescent="0.15">
      <c r="A503" s="10"/>
      <c r="B503" s="13"/>
      <c r="C503" s="13"/>
    </row>
    <row r="504" spans="1:3" ht="13" x14ac:dyDescent="0.15">
      <c r="A504" s="10"/>
      <c r="B504" s="13"/>
      <c r="C504" s="13"/>
    </row>
    <row r="505" spans="1:3" ht="13" x14ac:dyDescent="0.15">
      <c r="A505" s="10"/>
      <c r="B505" s="13"/>
      <c r="C505" s="13"/>
    </row>
    <row r="506" spans="1:3" ht="13" x14ac:dyDescent="0.15">
      <c r="A506" s="10"/>
      <c r="B506" s="13"/>
      <c r="C506" s="13"/>
    </row>
    <row r="507" spans="1:3" ht="13" x14ac:dyDescent="0.15">
      <c r="A507" s="10"/>
      <c r="B507" s="13"/>
      <c r="C507" s="13"/>
    </row>
    <row r="508" spans="1:3" ht="13" x14ac:dyDescent="0.15">
      <c r="A508" s="10"/>
      <c r="B508" s="13"/>
      <c r="C508" s="13"/>
    </row>
    <row r="509" spans="1:3" ht="13" x14ac:dyDescent="0.15">
      <c r="A509" s="10"/>
      <c r="B509" s="13"/>
      <c r="C509" s="13"/>
    </row>
    <row r="510" spans="1:3" ht="13" x14ac:dyDescent="0.15">
      <c r="A510" s="10"/>
      <c r="B510" s="13"/>
      <c r="C510" s="13"/>
    </row>
    <row r="511" spans="1:3" ht="13" x14ac:dyDescent="0.15">
      <c r="A511" s="10"/>
      <c r="B511" s="13"/>
      <c r="C511" s="13"/>
    </row>
    <row r="512" spans="1:3" ht="13" x14ac:dyDescent="0.15">
      <c r="A512" s="10"/>
      <c r="B512" s="13"/>
      <c r="C512" s="13"/>
    </row>
    <row r="513" spans="1:3" ht="13" x14ac:dyDescent="0.15">
      <c r="A513" s="10"/>
      <c r="B513" s="13"/>
      <c r="C513" s="13"/>
    </row>
    <row r="514" spans="1:3" ht="13" x14ac:dyDescent="0.15">
      <c r="A514" s="10"/>
      <c r="B514" s="13"/>
      <c r="C514" s="13"/>
    </row>
    <row r="515" spans="1:3" ht="13" x14ac:dyDescent="0.15">
      <c r="A515" s="10"/>
      <c r="B515" s="13"/>
      <c r="C515" s="13"/>
    </row>
    <row r="516" spans="1:3" ht="13" x14ac:dyDescent="0.15">
      <c r="A516" s="10"/>
      <c r="B516" s="13"/>
      <c r="C516" s="13"/>
    </row>
    <row r="517" spans="1:3" ht="13" x14ac:dyDescent="0.15">
      <c r="A517" s="10"/>
      <c r="B517" s="13"/>
      <c r="C517" s="13"/>
    </row>
    <row r="518" spans="1:3" ht="13" x14ac:dyDescent="0.15">
      <c r="A518" s="10"/>
      <c r="B518" s="13"/>
      <c r="C518" s="13"/>
    </row>
    <row r="519" spans="1:3" ht="13" x14ac:dyDescent="0.15">
      <c r="A519" s="10"/>
      <c r="B519" s="13"/>
      <c r="C519" s="13"/>
    </row>
    <row r="520" spans="1:3" ht="13" x14ac:dyDescent="0.15">
      <c r="A520" s="10"/>
      <c r="B520" s="13"/>
      <c r="C520" s="13"/>
    </row>
    <row r="521" spans="1:3" ht="13" x14ac:dyDescent="0.15">
      <c r="A521" s="10"/>
      <c r="B521" s="13"/>
      <c r="C521" s="13"/>
    </row>
    <row r="522" spans="1:3" ht="13" x14ac:dyDescent="0.15">
      <c r="A522" s="10"/>
      <c r="B522" s="13"/>
      <c r="C522" s="13"/>
    </row>
    <row r="523" spans="1:3" ht="13" x14ac:dyDescent="0.15">
      <c r="A523" s="10"/>
      <c r="B523" s="13"/>
      <c r="C523" s="13"/>
    </row>
    <row r="524" spans="1:3" ht="13" x14ac:dyDescent="0.15">
      <c r="A524" s="10"/>
      <c r="B524" s="13"/>
      <c r="C524" s="13"/>
    </row>
    <row r="525" spans="1:3" ht="13" x14ac:dyDescent="0.15">
      <c r="A525" s="10"/>
      <c r="B525" s="13"/>
      <c r="C525" s="13"/>
    </row>
    <row r="526" spans="1:3" ht="13" x14ac:dyDescent="0.15">
      <c r="A526" s="10"/>
      <c r="B526" s="13"/>
      <c r="C526" s="13"/>
    </row>
    <row r="527" spans="1:3" ht="13" x14ac:dyDescent="0.15">
      <c r="A527" s="10"/>
      <c r="B527" s="13"/>
      <c r="C527" s="13"/>
    </row>
    <row r="528" spans="1:3" ht="13" x14ac:dyDescent="0.15">
      <c r="A528" s="10"/>
      <c r="B528" s="13"/>
      <c r="C528" s="13"/>
    </row>
    <row r="529" spans="1:3" ht="13" x14ac:dyDescent="0.15">
      <c r="A529" s="10"/>
      <c r="B529" s="13"/>
      <c r="C529" s="13"/>
    </row>
    <row r="530" spans="1:3" ht="13" x14ac:dyDescent="0.15">
      <c r="A530" s="10"/>
      <c r="B530" s="13"/>
      <c r="C530" s="13"/>
    </row>
    <row r="531" spans="1:3" ht="13" x14ac:dyDescent="0.15">
      <c r="A531" s="10"/>
      <c r="B531" s="13"/>
      <c r="C531" s="13"/>
    </row>
    <row r="532" spans="1:3" ht="13" x14ac:dyDescent="0.15">
      <c r="A532" s="10"/>
      <c r="B532" s="13"/>
      <c r="C532" s="13"/>
    </row>
    <row r="533" spans="1:3" ht="13" x14ac:dyDescent="0.15">
      <c r="A533" s="10"/>
      <c r="B533" s="13"/>
      <c r="C533" s="13"/>
    </row>
    <row r="534" spans="1:3" ht="13" x14ac:dyDescent="0.15">
      <c r="A534" s="10"/>
      <c r="B534" s="13"/>
      <c r="C534" s="13"/>
    </row>
    <row r="535" spans="1:3" ht="13" x14ac:dyDescent="0.15">
      <c r="A535" s="10"/>
      <c r="B535" s="13"/>
      <c r="C535" s="13"/>
    </row>
    <row r="536" spans="1:3" ht="13" x14ac:dyDescent="0.15">
      <c r="A536" s="10"/>
      <c r="B536" s="13"/>
      <c r="C536" s="13"/>
    </row>
    <row r="537" spans="1:3" ht="13" x14ac:dyDescent="0.15">
      <c r="A537" s="10"/>
      <c r="B537" s="13"/>
      <c r="C537" s="13"/>
    </row>
    <row r="538" spans="1:3" ht="13" x14ac:dyDescent="0.15">
      <c r="A538" s="10"/>
      <c r="B538" s="13"/>
      <c r="C538" s="13"/>
    </row>
    <row r="539" spans="1:3" ht="13" x14ac:dyDescent="0.15">
      <c r="A539" s="10"/>
      <c r="B539" s="13"/>
      <c r="C539" s="13"/>
    </row>
    <row r="540" spans="1:3" ht="13" x14ac:dyDescent="0.15">
      <c r="A540" s="10"/>
      <c r="B540" s="13"/>
      <c r="C540" s="13"/>
    </row>
    <row r="541" spans="1:3" ht="13" x14ac:dyDescent="0.15">
      <c r="A541" s="10"/>
      <c r="B541" s="13"/>
      <c r="C541" s="13"/>
    </row>
    <row r="542" spans="1:3" ht="13" x14ac:dyDescent="0.15">
      <c r="A542" s="10"/>
      <c r="B542" s="13"/>
      <c r="C542" s="13"/>
    </row>
    <row r="543" spans="1:3" ht="13" x14ac:dyDescent="0.15">
      <c r="A543" s="10"/>
      <c r="B543" s="13"/>
      <c r="C543" s="13"/>
    </row>
    <row r="544" spans="1:3" ht="13" x14ac:dyDescent="0.15">
      <c r="A544" s="10"/>
      <c r="B544" s="13"/>
      <c r="C544" s="13"/>
    </row>
    <row r="545" spans="1:3" ht="13" x14ac:dyDescent="0.15">
      <c r="A545" s="10"/>
      <c r="B545" s="13"/>
      <c r="C545" s="13"/>
    </row>
    <row r="546" spans="1:3" ht="13" x14ac:dyDescent="0.15">
      <c r="A546" s="10"/>
      <c r="B546" s="13"/>
      <c r="C546" s="13"/>
    </row>
    <row r="547" spans="1:3" ht="13" x14ac:dyDescent="0.15">
      <c r="A547" s="10"/>
      <c r="B547" s="13"/>
      <c r="C547" s="13"/>
    </row>
    <row r="548" spans="1:3" ht="13" x14ac:dyDescent="0.15">
      <c r="A548" s="10"/>
      <c r="B548" s="13"/>
      <c r="C548" s="13"/>
    </row>
    <row r="549" spans="1:3" ht="13" x14ac:dyDescent="0.15">
      <c r="A549" s="10"/>
      <c r="B549" s="13"/>
      <c r="C549" s="13"/>
    </row>
    <row r="550" spans="1:3" ht="13" x14ac:dyDescent="0.15">
      <c r="A550" s="10"/>
      <c r="B550" s="13"/>
      <c r="C550" s="13"/>
    </row>
    <row r="551" spans="1:3" ht="13" x14ac:dyDescent="0.15">
      <c r="A551" s="10"/>
      <c r="B551" s="13"/>
      <c r="C551" s="13"/>
    </row>
    <row r="552" spans="1:3" ht="13" x14ac:dyDescent="0.15">
      <c r="A552" s="10"/>
      <c r="B552" s="13"/>
      <c r="C552" s="13"/>
    </row>
    <row r="553" spans="1:3" ht="13" x14ac:dyDescent="0.15">
      <c r="A553" s="10"/>
      <c r="B553" s="13"/>
      <c r="C553" s="13"/>
    </row>
    <row r="554" spans="1:3" ht="13" x14ac:dyDescent="0.15">
      <c r="A554" s="10"/>
      <c r="B554" s="13"/>
      <c r="C554" s="13"/>
    </row>
    <row r="555" spans="1:3" ht="13" x14ac:dyDescent="0.15">
      <c r="A555" s="10"/>
      <c r="B555" s="13"/>
      <c r="C555" s="13"/>
    </row>
    <row r="556" spans="1:3" ht="13" x14ac:dyDescent="0.15">
      <c r="A556" s="10"/>
      <c r="B556" s="13"/>
      <c r="C556" s="13"/>
    </row>
    <row r="557" spans="1:3" ht="13" x14ac:dyDescent="0.15">
      <c r="A557" s="10"/>
      <c r="B557" s="13"/>
      <c r="C557" s="13"/>
    </row>
    <row r="558" spans="1:3" ht="13" x14ac:dyDescent="0.15">
      <c r="A558" s="10"/>
      <c r="B558" s="13"/>
      <c r="C558" s="13"/>
    </row>
    <row r="559" spans="1:3" ht="13" x14ac:dyDescent="0.15">
      <c r="A559" s="10"/>
      <c r="B559" s="13"/>
      <c r="C559" s="13"/>
    </row>
    <row r="560" spans="1:3" ht="13" x14ac:dyDescent="0.15">
      <c r="A560" s="10"/>
      <c r="B560" s="13"/>
      <c r="C560" s="13"/>
    </row>
    <row r="561" spans="1:3" ht="13" x14ac:dyDescent="0.15">
      <c r="A561" s="10"/>
      <c r="B561" s="13"/>
      <c r="C561" s="13"/>
    </row>
    <row r="562" spans="1:3" ht="13" x14ac:dyDescent="0.15">
      <c r="A562" s="10"/>
      <c r="B562" s="13"/>
      <c r="C562" s="13"/>
    </row>
    <row r="563" spans="1:3" ht="13" x14ac:dyDescent="0.15">
      <c r="A563" s="10"/>
      <c r="B563" s="13"/>
      <c r="C563" s="13"/>
    </row>
    <row r="564" spans="1:3" ht="13" x14ac:dyDescent="0.15">
      <c r="A564" s="10"/>
      <c r="B564" s="13"/>
      <c r="C564" s="13"/>
    </row>
    <row r="565" spans="1:3" ht="13" x14ac:dyDescent="0.15">
      <c r="A565" s="10"/>
      <c r="B565" s="13"/>
      <c r="C565" s="13"/>
    </row>
    <row r="566" spans="1:3" ht="13" x14ac:dyDescent="0.15">
      <c r="A566" s="10"/>
      <c r="B566" s="13"/>
      <c r="C566" s="13"/>
    </row>
    <row r="567" spans="1:3" ht="13" x14ac:dyDescent="0.15">
      <c r="A567" s="10"/>
      <c r="B567" s="13"/>
      <c r="C567" s="13"/>
    </row>
    <row r="568" spans="1:3" ht="13" x14ac:dyDescent="0.15">
      <c r="A568" s="10"/>
      <c r="B568" s="13"/>
      <c r="C568" s="13"/>
    </row>
    <row r="569" spans="1:3" ht="13" x14ac:dyDescent="0.15">
      <c r="A569" s="10"/>
      <c r="B569" s="13"/>
      <c r="C569" s="13"/>
    </row>
    <row r="570" spans="1:3" ht="13" x14ac:dyDescent="0.15">
      <c r="A570" s="10"/>
      <c r="B570" s="13"/>
      <c r="C570" s="13"/>
    </row>
    <row r="571" spans="1:3" ht="13" x14ac:dyDescent="0.15">
      <c r="A571" s="10"/>
      <c r="B571" s="13"/>
      <c r="C571" s="13"/>
    </row>
    <row r="572" spans="1:3" ht="13" x14ac:dyDescent="0.15">
      <c r="A572" s="10"/>
      <c r="B572" s="13"/>
      <c r="C572" s="13"/>
    </row>
    <row r="573" spans="1:3" ht="13" x14ac:dyDescent="0.15">
      <c r="A573" s="10"/>
      <c r="B573" s="13"/>
      <c r="C573" s="13"/>
    </row>
    <row r="574" spans="1:3" ht="13" x14ac:dyDescent="0.15">
      <c r="A574" s="10"/>
      <c r="B574" s="13"/>
      <c r="C574" s="13"/>
    </row>
    <row r="575" spans="1:3" ht="13" x14ac:dyDescent="0.15">
      <c r="A575" s="10"/>
      <c r="B575" s="13"/>
      <c r="C575" s="13"/>
    </row>
    <row r="576" spans="1:3" ht="13" x14ac:dyDescent="0.15">
      <c r="A576" s="10"/>
      <c r="B576" s="13"/>
      <c r="C576" s="13"/>
    </row>
    <row r="577" spans="1:3" ht="13" x14ac:dyDescent="0.15">
      <c r="A577" s="10"/>
      <c r="B577" s="13"/>
      <c r="C577" s="13"/>
    </row>
    <row r="578" spans="1:3" ht="13" x14ac:dyDescent="0.15">
      <c r="A578" s="10"/>
      <c r="B578" s="13"/>
      <c r="C578" s="13"/>
    </row>
    <row r="579" spans="1:3" ht="13" x14ac:dyDescent="0.15">
      <c r="A579" s="10"/>
      <c r="B579" s="13"/>
      <c r="C579" s="13"/>
    </row>
    <row r="580" spans="1:3" ht="13" x14ac:dyDescent="0.15">
      <c r="A580" s="10"/>
      <c r="B580" s="13"/>
      <c r="C580" s="13"/>
    </row>
    <row r="581" spans="1:3" ht="13" x14ac:dyDescent="0.15">
      <c r="A581" s="10"/>
      <c r="B581" s="13"/>
      <c r="C581" s="13"/>
    </row>
    <row r="582" spans="1:3" ht="13" x14ac:dyDescent="0.15">
      <c r="A582" s="10"/>
      <c r="B582" s="13"/>
      <c r="C582" s="13"/>
    </row>
    <row r="583" spans="1:3" ht="13" x14ac:dyDescent="0.15">
      <c r="A583" s="10"/>
      <c r="B583" s="13"/>
      <c r="C583" s="13"/>
    </row>
    <row r="584" spans="1:3" ht="13" x14ac:dyDescent="0.15">
      <c r="A584" s="10"/>
      <c r="B584" s="13"/>
      <c r="C584" s="13"/>
    </row>
    <row r="585" spans="1:3" ht="13" x14ac:dyDescent="0.15">
      <c r="A585" s="10"/>
      <c r="B585" s="13"/>
      <c r="C585" s="13"/>
    </row>
    <row r="586" spans="1:3" ht="13" x14ac:dyDescent="0.15">
      <c r="A586" s="10"/>
      <c r="B586" s="13"/>
      <c r="C586" s="13"/>
    </row>
    <row r="587" spans="1:3" ht="13" x14ac:dyDescent="0.15">
      <c r="A587" s="10"/>
      <c r="B587" s="13"/>
      <c r="C587" s="13"/>
    </row>
    <row r="588" spans="1:3" ht="13" x14ac:dyDescent="0.15">
      <c r="A588" s="10"/>
      <c r="B588" s="13"/>
      <c r="C588" s="13"/>
    </row>
    <row r="589" spans="1:3" ht="13" x14ac:dyDescent="0.15">
      <c r="A589" s="10"/>
      <c r="B589" s="13"/>
      <c r="C589" s="13"/>
    </row>
    <row r="590" spans="1:3" ht="13" x14ac:dyDescent="0.15">
      <c r="A590" s="10"/>
      <c r="B590" s="13"/>
      <c r="C590" s="13"/>
    </row>
    <row r="591" spans="1:3" ht="13" x14ac:dyDescent="0.15">
      <c r="A591" s="10"/>
      <c r="B591" s="13"/>
      <c r="C591" s="13"/>
    </row>
    <row r="592" spans="1:3" ht="13" x14ac:dyDescent="0.15">
      <c r="A592" s="10"/>
      <c r="B592" s="13"/>
      <c r="C592" s="13"/>
    </row>
    <row r="593" spans="1:3" ht="13" x14ac:dyDescent="0.15">
      <c r="A593" s="10"/>
      <c r="B593" s="13"/>
      <c r="C593" s="13"/>
    </row>
    <row r="594" spans="1:3" ht="13" x14ac:dyDescent="0.15">
      <c r="A594" s="10"/>
      <c r="B594" s="13"/>
      <c r="C594" s="13"/>
    </row>
    <row r="595" spans="1:3" ht="13" x14ac:dyDescent="0.15">
      <c r="A595" s="10"/>
      <c r="B595" s="13"/>
      <c r="C595" s="13"/>
    </row>
    <row r="596" spans="1:3" ht="13" x14ac:dyDescent="0.15">
      <c r="A596" s="10"/>
      <c r="B596" s="13"/>
      <c r="C596" s="13"/>
    </row>
    <row r="597" spans="1:3" ht="13" x14ac:dyDescent="0.15">
      <c r="A597" s="10"/>
      <c r="B597" s="13"/>
      <c r="C597" s="13"/>
    </row>
    <row r="598" spans="1:3" ht="13" x14ac:dyDescent="0.15">
      <c r="A598" s="10"/>
      <c r="B598" s="13"/>
      <c r="C598" s="13"/>
    </row>
    <row r="599" spans="1:3" ht="13" x14ac:dyDescent="0.15">
      <c r="A599" s="10"/>
      <c r="B599" s="13"/>
      <c r="C599" s="13"/>
    </row>
    <row r="600" spans="1:3" ht="13" x14ac:dyDescent="0.15">
      <c r="A600" s="10"/>
      <c r="B600" s="13"/>
      <c r="C600" s="13"/>
    </row>
    <row r="601" spans="1:3" ht="13" x14ac:dyDescent="0.15">
      <c r="A601" s="10"/>
      <c r="B601" s="13"/>
      <c r="C601" s="13"/>
    </row>
    <row r="602" spans="1:3" ht="13" x14ac:dyDescent="0.15">
      <c r="A602" s="10"/>
      <c r="B602" s="13"/>
      <c r="C602" s="13"/>
    </row>
    <row r="603" spans="1:3" ht="13" x14ac:dyDescent="0.15">
      <c r="A603" s="10"/>
      <c r="B603" s="13"/>
      <c r="C603" s="13"/>
    </row>
    <row r="604" spans="1:3" ht="13" x14ac:dyDescent="0.15">
      <c r="A604" s="10"/>
      <c r="B604" s="13"/>
      <c r="C604" s="13"/>
    </row>
    <row r="605" spans="1:3" ht="13" x14ac:dyDescent="0.15">
      <c r="A605" s="10"/>
      <c r="B605" s="13"/>
      <c r="C605" s="13"/>
    </row>
    <row r="606" spans="1:3" ht="13" x14ac:dyDescent="0.15">
      <c r="A606" s="10"/>
      <c r="B606" s="13"/>
      <c r="C606" s="13"/>
    </row>
    <row r="607" spans="1:3" ht="13" x14ac:dyDescent="0.15">
      <c r="A607" s="10"/>
      <c r="B607" s="13"/>
      <c r="C607" s="13"/>
    </row>
    <row r="608" spans="1:3" ht="13" x14ac:dyDescent="0.15">
      <c r="A608" s="10"/>
      <c r="B608" s="13"/>
      <c r="C608" s="13"/>
    </row>
    <row r="609" spans="1:3" ht="13" x14ac:dyDescent="0.15">
      <c r="A609" s="10"/>
      <c r="B609" s="13"/>
      <c r="C609" s="13"/>
    </row>
    <row r="610" spans="1:3" ht="13" x14ac:dyDescent="0.15">
      <c r="A610" s="10"/>
      <c r="B610" s="13"/>
      <c r="C610" s="13"/>
    </row>
    <row r="611" spans="1:3" ht="13" x14ac:dyDescent="0.15">
      <c r="A611" s="10"/>
      <c r="B611" s="13"/>
      <c r="C611" s="13"/>
    </row>
    <row r="612" spans="1:3" ht="13" x14ac:dyDescent="0.15">
      <c r="A612" s="10"/>
      <c r="B612" s="13"/>
      <c r="C612" s="13"/>
    </row>
    <row r="613" spans="1:3" ht="13" x14ac:dyDescent="0.15">
      <c r="A613" s="10"/>
      <c r="B613" s="13"/>
      <c r="C613" s="13"/>
    </row>
    <row r="614" spans="1:3" ht="13" x14ac:dyDescent="0.15">
      <c r="A614" s="10"/>
      <c r="B614" s="13"/>
      <c r="C614" s="13"/>
    </row>
    <row r="615" spans="1:3" ht="13" x14ac:dyDescent="0.15">
      <c r="A615" s="10"/>
      <c r="B615" s="13"/>
      <c r="C615" s="13"/>
    </row>
    <row r="616" spans="1:3" ht="13" x14ac:dyDescent="0.15">
      <c r="A616" s="10"/>
      <c r="B616" s="13"/>
      <c r="C616" s="13"/>
    </row>
    <row r="617" spans="1:3" ht="13" x14ac:dyDescent="0.15">
      <c r="A617" s="10"/>
      <c r="B617" s="13"/>
      <c r="C617" s="13"/>
    </row>
    <row r="618" spans="1:3" ht="13" x14ac:dyDescent="0.15">
      <c r="A618" s="10"/>
      <c r="B618" s="13"/>
      <c r="C618" s="13"/>
    </row>
    <row r="619" spans="1:3" ht="13" x14ac:dyDescent="0.15">
      <c r="A619" s="10"/>
      <c r="B619" s="13"/>
      <c r="C619" s="13"/>
    </row>
    <row r="620" spans="1:3" ht="13" x14ac:dyDescent="0.15">
      <c r="A620" s="10"/>
      <c r="B620" s="13"/>
      <c r="C620" s="13"/>
    </row>
    <row r="621" spans="1:3" ht="13" x14ac:dyDescent="0.15">
      <c r="A621" s="10"/>
      <c r="B621" s="13"/>
      <c r="C621" s="13"/>
    </row>
    <row r="622" spans="1:3" ht="13" x14ac:dyDescent="0.15">
      <c r="A622" s="10"/>
      <c r="B622" s="13"/>
      <c r="C622" s="13"/>
    </row>
    <row r="623" spans="1:3" ht="13" x14ac:dyDescent="0.15">
      <c r="A623" s="10"/>
      <c r="B623" s="13"/>
      <c r="C623" s="13"/>
    </row>
    <row r="624" spans="1:3" ht="13" x14ac:dyDescent="0.15">
      <c r="A624" s="10"/>
      <c r="B624" s="13"/>
      <c r="C624" s="13"/>
    </row>
    <row r="625" spans="1:3" ht="13" x14ac:dyDescent="0.15">
      <c r="A625" s="10"/>
      <c r="B625" s="13"/>
      <c r="C625" s="13"/>
    </row>
    <row r="626" spans="1:3" ht="13" x14ac:dyDescent="0.15">
      <c r="A626" s="10"/>
      <c r="B626" s="13"/>
      <c r="C626" s="13"/>
    </row>
    <row r="627" spans="1:3" ht="13" x14ac:dyDescent="0.15">
      <c r="A627" s="10"/>
      <c r="B627" s="13"/>
      <c r="C627" s="13"/>
    </row>
    <row r="628" spans="1:3" ht="13" x14ac:dyDescent="0.15">
      <c r="A628" s="10"/>
      <c r="B628" s="13"/>
      <c r="C628" s="13"/>
    </row>
    <row r="629" spans="1:3" ht="13" x14ac:dyDescent="0.15">
      <c r="A629" s="10"/>
      <c r="B629" s="13"/>
      <c r="C629" s="13"/>
    </row>
    <row r="630" spans="1:3" ht="13" x14ac:dyDescent="0.15">
      <c r="A630" s="10"/>
      <c r="B630" s="13"/>
      <c r="C630" s="13"/>
    </row>
    <row r="631" spans="1:3" ht="13" x14ac:dyDescent="0.15">
      <c r="A631" s="10"/>
      <c r="B631" s="13"/>
      <c r="C631" s="13"/>
    </row>
    <row r="632" spans="1:3" ht="13" x14ac:dyDescent="0.15">
      <c r="A632" s="10"/>
      <c r="B632" s="13"/>
      <c r="C632" s="13"/>
    </row>
    <row r="633" spans="1:3" ht="13" x14ac:dyDescent="0.15">
      <c r="A633" s="10"/>
      <c r="B633" s="13"/>
      <c r="C633" s="13"/>
    </row>
    <row r="634" spans="1:3" ht="13" x14ac:dyDescent="0.15">
      <c r="A634" s="10"/>
      <c r="B634" s="13"/>
      <c r="C634" s="13"/>
    </row>
    <row r="635" spans="1:3" ht="13" x14ac:dyDescent="0.15">
      <c r="A635" s="10"/>
      <c r="B635" s="13"/>
      <c r="C635" s="13"/>
    </row>
    <row r="636" spans="1:3" ht="13" x14ac:dyDescent="0.15">
      <c r="A636" s="10"/>
      <c r="B636" s="13"/>
      <c r="C636" s="13"/>
    </row>
    <row r="637" spans="1:3" ht="13" x14ac:dyDescent="0.15">
      <c r="A637" s="10"/>
      <c r="B637" s="13"/>
      <c r="C637" s="13"/>
    </row>
    <row r="638" spans="1:3" ht="13" x14ac:dyDescent="0.15">
      <c r="A638" s="10"/>
      <c r="B638" s="13"/>
      <c r="C638" s="13"/>
    </row>
    <row r="639" spans="1:3" ht="13" x14ac:dyDescent="0.15">
      <c r="A639" s="10"/>
      <c r="B639" s="13"/>
      <c r="C639" s="13"/>
    </row>
    <row r="640" spans="1:3" ht="13" x14ac:dyDescent="0.15">
      <c r="A640" s="10"/>
      <c r="B640" s="13"/>
      <c r="C640" s="13"/>
    </row>
    <row r="641" spans="1:3" ht="13" x14ac:dyDescent="0.15">
      <c r="A641" s="10"/>
      <c r="B641" s="13"/>
      <c r="C641" s="13"/>
    </row>
    <row r="642" spans="1:3" ht="13" x14ac:dyDescent="0.15">
      <c r="A642" s="10"/>
      <c r="B642" s="13"/>
      <c r="C642" s="13"/>
    </row>
    <row r="643" spans="1:3" ht="13" x14ac:dyDescent="0.15">
      <c r="A643" s="10"/>
      <c r="B643" s="13"/>
      <c r="C643" s="13"/>
    </row>
    <row r="644" spans="1:3" ht="13" x14ac:dyDescent="0.15">
      <c r="A644" s="10"/>
      <c r="B644" s="13"/>
      <c r="C644" s="13"/>
    </row>
    <row r="645" spans="1:3" ht="13" x14ac:dyDescent="0.15">
      <c r="A645" s="10"/>
      <c r="B645" s="13"/>
      <c r="C645" s="13"/>
    </row>
    <row r="646" spans="1:3" ht="13" x14ac:dyDescent="0.15">
      <c r="A646" s="10"/>
      <c r="B646" s="13"/>
      <c r="C646" s="13"/>
    </row>
    <row r="647" spans="1:3" ht="13" x14ac:dyDescent="0.15">
      <c r="A647" s="10"/>
      <c r="B647" s="13"/>
      <c r="C647" s="13"/>
    </row>
    <row r="648" spans="1:3" ht="13" x14ac:dyDescent="0.15">
      <c r="A648" s="10"/>
      <c r="B648" s="13"/>
      <c r="C648" s="13"/>
    </row>
    <row r="649" spans="1:3" ht="13" x14ac:dyDescent="0.15">
      <c r="A649" s="10"/>
      <c r="B649" s="13"/>
      <c r="C649" s="13"/>
    </row>
    <row r="650" spans="1:3" ht="13" x14ac:dyDescent="0.15">
      <c r="A650" s="10"/>
      <c r="B650" s="13"/>
      <c r="C650" s="13"/>
    </row>
    <row r="651" spans="1:3" ht="13" x14ac:dyDescent="0.15">
      <c r="A651" s="10"/>
      <c r="B651" s="13"/>
      <c r="C651" s="13"/>
    </row>
    <row r="652" spans="1:3" ht="13" x14ac:dyDescent="0.15">
      <c r="A652" s="10"/>
      <c r="B652" s="13"/>
      <c r="C652" s="13"/>
    </row>
    <row r="653" spans="1:3" ht="13" x14ac:dyDescent="0.15">
      <c r="A653" s="10"/>
      <c r="B653" s="13"/>
      <c r="C653" s="13"/>
    </row>
    <row r="654" spans="1:3" ht="13" x14ac:dyDescent="0.15">
      <c r="A654" s="10"/>
      <c r="B654" s="13"/>
      <c r="C654" s="13"/>
    </row>
    <row r="655" spans="1:3" ht="13" x14ac:dyDescent="0.15">
      <c r="A655" s="10"/>
      <c r="B655" s="13"/>
      <c r="C655" s="13"/>
    </row>
    <row r="656" spans="1:3" ht="13" x14ac:dyDescent="0.15">
      <c r="A656" s="10"/>
      <c r="B656" s="13"/>
      <c r="C656" s="13"/>
    </row>
    <row r="657" spans="1:3" ht="13" x14ac:dyDescent="0.15">
      <c r="A657" s="10"/>
      <c r="B657" s="13"/>
      <c r="C657" s="13"/>
    </row>
    <row r="658" spans="1:3" ht="13" x14ac:dyDescent="0.15">
      <c r="A658" s="10"/>
      <c r="B658" s="13"/>
      <c r="C658" s="13"/>
    </row>
    <row r="659" spans="1:3" ht="13" x14ac:dyDescent="0.15">
      <c r="A659" s="10"/>
      <c r="B659" s="13"/>
      <c r="C659" s="13"/>
    </row>
    <row r="660" spans="1:3" ht="13" x14ac:dyDescent="0.15">
      <c r="A660" s="10"/>
      <c r="B660" s="13"/>
      <c r="C660" s="13"/>
    </row>
    <row r="661" spans="1:3" ht="13" x14ac:dyDescent="0.15">
      <c r="A661" s="10"/>
      <c r="B661" s="13"/>
      <c r="C661" s="13"/>
    </row>
    <row r="662" spans="1:3" ht="13" x14ac:dyDescent="0.15">
      <c r="A662" s="10"/>
      <c r="B662" s="13"/>
      <c r="C662" s="13"/>
    </row>
    <row r="663" spans="1:3" ht="13" x14ac:dyDescent="0.15">
      <c r="A663" s="10"/>
      <c r="B663" s="13"/>
      <c r="C663" s="13"/>
    </row>
    <row r="664" spans="1:3" ht="13" x14ac:dyDescent="0.15">
      <c r="A664" s="10"/>
      <c r="B664" s="13"/>
      <c r="C664" s="13"/>
    </row>
    <row r="665" spans="1:3" ht="13" x14ac:dyDescent="0.15">
      <c r="A665" s="10"/>
      <c r="B665" s="13"/>
      <c r="C665" s="13"/>
    </row>
    <row r="666" spans="1:3" ht="13" x14ac:dyDescent="0.15">
      <c r="A666" s="10"/>
      <c r="B666" s="13"/>
      <c r="C666" s="13"/>
    </row>
    <row r="667" spans="1:3" ht="13" x14ac:dyDescent="0.15">
      <c r="A667" s="10"/>
      <c r="B667" s="13"/>
      <c r="C667" s="13"/>
    </row>
    <row r="668" spans="1:3" ht="13" x14ac:dyDescent="0.15">
      <c r="A668" s="10"/>
      <c r="B668" s="13"/>
      <c r="C668" s="13"/>
    </row>
    <row r="669" spans="1:3" ht="13" x14ac:dyDescent="0.15">
      <c r="A669" s="10"/>
      <c r="B669" s="13"/>
      <c r="C669" s="13"/>
    </row>
    <row r="670" spans="1:3" ht="13" x14ac:dyDescent="0.15">
      <c r="A670" s="10"/>
      <c r="B670" s="13"/>
      <c r="C670" s="13"/>
    </row>
    <row r="671" spans="1:3" ht="13" x14ac:dyDescent="0.15">
      <c r="A671" s="10"/>
      <c r="B671" s="13"/>
      <c r="C671" s="13"/>
    </row>
    <row r="672" spans="1:3" ht="13" x14ac:dyDescent="0.15">
      <c r="A672" s="10"/>
      <c r="B672" s="13"/>
      <c r="C672" s="13"/>
    </row>
    <row r="673" spans="1:3" ht="13" x14ac:dyDescent="0.15">
      <c r="A673" s="10"/>
      <c r="B673" s="13"/>
      <c r="C673" s="13"/>
    </row>
    <row r="674" spans="1:3" ht="13" x14ac:dyDescent="0.15">
      <c r="A674" s="10"/>
      <c r="B674" s="13"/>
      <c r="C674" s="13"/>
    </row>
    <row r="675" spans="1:3" ht="13" x14ac:dyDescent="0.15">
      <c r="A675" s="10"/>
      <c r="B675" s="13"/>
      <c r="C675" s="13"/>
    </row>
    <row r="676" spans="1:3" ht="13" x14ac:dyDescent="0.15">
      <c r="A676" s="10"/>
      <c r="B676" s="13"/>
      <c r="C676" s="13"/>
    </row>
    <row r="677" spans="1:3" ht="13" x14ac:dyDescent="0.15">
      <c r="A677" s="10"/>
      <c r="B677" s="13"/>
      <c r="C677" s="13"/>
    </row>
    <row r="678" spans="1:3" ht="13" x14ac:dyDescent="0.15">
      <c r="A678" s="10"/>
      <c r="B678" s="13"/>
      <c r="C678" s="13"/>
    </row>
    <row r="679" spans="1:3" ht="13" x14ac:dyDescent="0.15">
      <c r="A679" s="10"/>
      <c r="B679" s="13"/>
      <c r="C679" s="13"/>
    </row>
    <row r="680" spans="1:3" ht="13" x14ac:dyDescent="0.15">
      <c r="A680" s="10"/>
      <c r="B680" s="13"/>
      <c r="C680" s="13"/>
    </row>
    <row r="681" spans="1:3" ht="13" x14ac:dyDescent="0.15">
      <c r="A681" s="10"/>
      <c r="B681" s="13"/>
      <c r="C681" s="13"/>
    </row>
    <row r="682" spans="1:3" ht="13" x14ac:dyDescent="0.15">
      <c r="A682" s="10"/>
      <c r="B682" s="13"/>
      <c r="C682" s="13"/>
    </row>
    <row r="683" spans="1:3" ht="13" x14ac:dyDescent="0.15">
      <c r="A683" s="10"/>
      <c r="B683" s="13"/>
      <c r="C683" s="13"/>
    </row>
    <row r="684" spans="1:3" ht="13" x14ac:dyDescent="0.15">
      <c r="A684" s="10"/>
      <c r="B684" s="13"/>
      <c r="C684" s="13"/>
    </row>
    <row r="685" spans="1:3" ht="13" x14ac:dyDescent="0.15">
      <c r="A685" s="10"/>
      <c r="B685" s="13"/>
      <c r="C685" s="13"/>
    </row>
    <row r="686" spans="1:3" ht="13" x14ac:dyDescent="0.15">
      <c r="A686" s="10"/>
      <c r="B686" s="13"/>
      <c r="C686" s="13"/>
    </row>
    <row r="687" spans="1:3" ht="13" x14ac:dyDescent="0.15">
      <c r="A687" s="10"/>
      <c r="B687" s="13"/>
      <c r="C687" s="13"/>
    </row>
    <row r="688" spans="1:3" ht="13" x14ac:dyDescent="0.15">
      <c r="A688" s="10"/>
      <c r="B688" s="13"/>
      <c r="C688" s="13"/>
    </row>
    <row r="689" spans="1:3" ht="13" x14ac:dyDescent="0.15">
      <c r="A689" s="10"/>
      <c r="B689" s="13"/>
      <c r="C689" s="13"/>
    </row>
    <row r="690" spans="1:3" ht="13" x14ac:dyDescent="0.15">
      <c r="A690" s="10"/>
      <c r="B690" s="13"/>
      <c r="C690" s="13"/>
    </row>
    <row r="691" spans="1:3" ht="13" x14ac:dyDescent="0.15">
      <c r="A691" s="10"/>
      <c r="B691" s="13"/>
      <c r="C691" s="13"/>
    </row>
    <row r="692" spans="1:3" ht="13" x14ac:dyDescent="0.15">
      <c r="A692" s="10"/>
      <c r="B692" s="13"/>
      <c r="C692" s="13"/>
    </row>
    <row r="693" spans="1:3" ht="13" x14ac:dyDescent="0.15">
      <c r="A693" s="10"/>
      <c r="B693" s="13"/>
      <c r="C693" s="13"/>
    </row>
    <row r="694" spans="1:3" ht="13" x14ac:dyDescent="0.15">
      <c r="A694" s="10"/>
      <c r="B694" s="13"/>
      <c r="C694" s="13"/>
    </row>
    <row r="695" spans="1:3" ht="13" x14ac:dyDescent="0.15">
      <c r="A695" s="10"/>
      <c r="B695" s="13"/>
      <c r="C695" s="13"/>
    </row>
    <row r="696" spans="1:3" ht="13" x14ac:dyDescent="0.15">
      <c r="A696" s="10"/>
      <c r="B696" s="13"/>
      <c r="C696" s="13"/>
    </row>
    <row r="697" spans="1:3" ht="13" x14ac:dyDescent="0.15">
      <c r="A697" s="10"/>
      <c r="B697" s="13"/>
      <c r="C697" s="13"/>
    </row>
    <row r="698" spans="1:3" ht="13" x14ac:dyDescent="0.15">
      <c r="A698" s="10"/>
      <c r="B698" s="13"/>
      <c r="C698" s="13"/>
    </row>
    <row r="699" spans="1:3" ht="13" x14ac:dyDescent="0.15">
      <c r="A699" s="10"/>
      <c r="B699" s="13"/>
      <c r="C699" s="13"/>
    </row>
    <row r="700" spans="1:3" ht="13" x14ac:dyDescent="0.15">
      <c r="A700" s="10"/>
      <c r="B700" s="13"/>
      <c r="C700" s="13"/>
    </row>
    <row r="701" spans="1:3" ht="13" x14ac:dyDescent="0.15">
      <c r="A701" s="10"/>
      <c r="B701" s="13"/>
      <c r="C701" s="13"/>
    </row>
    <row r="702" spans="1:3" ht="13" x14ac:dyDescent="0.15">
      <c r="A702" s="10"/>
      <c r="B702" s="13"/>
      <c r="C702" s="13"/>
    </row>
    <row r="703" spans="1:3" ht="13" x14ac:dyDescent="0.15">
      <c r="A703" s="10"/>
      <c r="B703" s="13"/>
      <c r="C703" s="13"/>
    </row>
    <row r="704" spans="1:3" ht="13" x14ac:dyDescent="0.15">
      <c r="A704" s="10"/>
      <c r="B704" s="13"/>
      <c r="C704" s="13"/>
    </row>
    <row r="705" spans="1:3" ht="13" x14ac:dyDescent="0.15">
      <c r="A705" s="10"/>
      <c r="B705" s="13"/>
      <c r="C705" s="13"/>
    </row>
    <row r="706" spans="1:3" ht="13" x14ac:dyDescent="0.15">
      <c r="A706" s="10"/>
      <c r="B706" s="13"/>
      <c r="C706" s="13"/>
    </row>
    <row r="707" spans="1:3" ht="13" x14ac:dyDescent="0.15">
      <c r="A707" s="10"/>
      <c r="B707" s="13"/>
      <c r="C707" s="13"/>
    </row>
    <row r="708" spans="1:3" ht="13" x14ac:dyDescent="0.15">
      <c r="A708" s="10"/>
      <c r="B708" s="13"/>
      <c r="C708" s="13"/>
    </row>
    <row r="709" spans="1:3" ht="13" x14ac:dyDescent="0.15">
      <c r="A709" s="10"/>
      <c r="B709" s="13"/>
      <c r="C709" s="13"/>
    </row>
    <row r="710" spans="1:3" ht="13" x14ac:dyDescent="0.15">
      <c r="A710" s="10"/>
      <c r="B710" s="13"/>
      <c r="C710" s="13"/>
    </row>
    <row r="711" spans="1:3" ht="13" x14ac:dyDescent="0.15">
      <c r="A711" s="10"/>
      <c r="B711" s="13"/>
      <c r="C711" s="13"/>
    </row>
    <row r="712" spans="1:3" ht="13" x14ac:dyDescent="0.15">
      <c r="A712" s="10"/>
      <c r="B712" s="13"/>
      <c r="C712" s="13"/>
    </row>
    <row r="713" spans="1:3" ht="13" x14ac:dyDescent="0.15">
      <c r="A713" s="10"/>
      <c r="B713" s="13"/>
      <c r="C713" s="13"/>
    </row>
    <row r="714" spans="1:3" ht="13" x14ac:dyDescent="0.15">
      <c r="A714" s="10"/>
      <c r="B714" s="13"/>
      <c r="C714" s="13"/>
    </row>
    <row r="715" spans="1:3" ht="13" x14ac:dyDescent="0.15">
      <c r="A715" s="10"/>
      <c r="B715" s="13"/>
      <c r="C715" s="13"/>
    </row>
    <row r="716" spans="1:3" ht="13" x14ac:dyDescent="0.15">
      <c r="A716" s="10"/>
      <c r="B716" s="13"/>
      <c r="C716" s="13"/>
    </row>
    <row r="717" spans="1:3" ht="13" x14ac:dyDescent="0.15">
      <c r="A717" s="10"/>
      <c r="B717" s="13"/>
      <c r="C717" s="13"/>
    </row>
    <row r="718" spans="1:3" ht="13" x14ac:dyDescent="0.15">
      <c r="A718" s="10"/>
      <c r="B718" s="13"/>
      <c r="C718" s="13"/>
    </row>
    <row r="719" spans="1:3" ht="13" x14ac:dyDescent="0.15">
      <c r="A719" s="10"/>
      <c r="B719" s="13"/>
      <c r="C719" s="13"/>
    </row>
    <row r="720" spans="1:3" ht="13" x14ac:dyDescent="0.15">
      <c r="A720" s="10"/>
      <c r="B720" s="13"/>
      <c r="C720" s="13"/>
    </row>
    <row r="721" spans="1:3" ht="13" x14ac:dyDescent="0.15">
      <c r="A721" s="10"/>
      <c r="B721" s="13"/>
      <c r="C721" s="13"/>
    </row>
    <row r="722" spans="1:3" ht="13" x14ac:dyDescent="0.15">
      <c r="A722" s="10"/>
      <c r="B722" s="13"/>
      <c r="C722" s="13"/>
    </row>
    <row r="723" spans="1:3" ht="13" x14ac:dyDescent="0.15">
      <c r="A723" s="10"/>
      <c r="B723" s="13"/>
      <c r="C723" s="13"/>
    </row>
    <row r="724" spans="1:3" ht="13" x14ac:dyDescent="0.15">
      <c r="A724" s="10"/>
      <c r="B724" s="13"/>
      <c r="C724" s="13"/>
    </row>
    <row r="725" spans="1:3" ht="13" x14ac:dyDescent="0.15">
      <c r="A725" s="10"/>
      <c r="B725" s="13"/>
      <c r="C725" s="13"/>
    </row>
    <row r="726" spans="1:3" ht="13" x14ac:dyDescent="0.15">
      <c r="A726" s="10"/>
      <c r="B726" s="13"/>
      <c r="C726" s="13"/>
    </row>
    <row r="727" spans="1:3" ht="13" x14ac:dyDescent="0.15">
      <c r="A727" s="10"/>
      <c r="B727" s="13"/>
      <c r="C727" s="13"/>
    </row>
    <row r="728" spans="1:3" ht="13" x14ac:dyDescent="0.15">
      <c r="A728" s="10"/>
      <c r="B728" s="13"/>
      <c r="C728" s="13"/>
    </row>
    <row r="729" spans="1:3" ht="13" x14ac:dyDescent="0.15">
      <c r="A729" s="10"/>
      <c r="B729" s="13"/>
      <c r="C729" s="13"/>
    </row>
    <row r="730" spans="1:3" ht="13" x14ac:dyDescent="0.15">
      <c r="A730" s="10"/>
      <c r="B730" s="13"/>
      <c r="C730" s="13"/>
    </row>
    <row r="731" spans="1:3" ht="13" x14ac:dyDescent="0.15">
      <c r="A731" s="10"/>
      <c r="B731" s="13"/>
      <c r="C731" s="13"/>
    </row>
    <row r="732" spans="1:3" ht="13" x14ac:dyDescent="0.15">
      <c r="A732" s="10"/>
      <c r="B732" s="13"/>
      <c r="C732" s="13"/>
    </row>
    <row r="733" spans="1:3" ht="13" x14ac:dyDescent="0.15">
      <c r="A733" s="10"/>
      <c r="B733" s="13"/>
      <c r="C733" s="13"/>
    </row>
    <row r="734" spans="1:3" ht="13" x14ac:dyDescent="0.15">
      <c r="A734" s="10"/>
      <c r="B734" s="13"/>
      <c r="C734" s="13"/>
    </row>
    <row r="735" spans="1:3" ht="13" x14ac:dyDescent="0.15">
      <c r="A735" s="10"/>
      <c r="B735" s="13"/>
      <c r="C735" s="13"/>
    </row>
    <row r="736" spans="1:3" ht="13" x14ac:dyDescent="0.15">
      <c r="A736" s="10"/>
      <c r="B736" s="13"/>
      <c r="C736" s="13"/>
    </row>
    <row r="737" spans="1:3" ht="13" x14ac:dyDescent="0.15">
      <c r="A737" s="10"/>
      <c r="B737" s="13"/>
      <c r="C737" s="13"/>
    </row>
    <row r="738" spans="1:3" ht="13" x14ac:dyDescent="0.15">
      <c r="A738" s="10"/>
      <c r="B738" s="13"/>
      <c r="C738" s="13"/>
    </row>
    <row r="739" spans="1:3" ht="13" x14ac:dyDescent="0.15">
      <c r="A739" s="10"/>
      <c r="B739" s="13"/>
      <c r="C739" s="13"/>
    </row>
    <row r="740" spans="1:3" ht="13" x14ac:dyDescent="0.15">
      <c r="A740" s="10"/>
      <c r="B740" s="13"/>
      <c r="C740" s="13"/>
    </row>
    <row r="741" spans="1:3" ht="13" x14ac:dyDescent="0.15">
      <c r="A741" s="10"/>
      <c r="B741" s="13"/>
      <c r="C741" s="13"/>
    </row>
    <row r="742" spans="1:3" ht="13" x14ac:dyDescent="0.15">
      <c r="A742" s="10"/>
      <c r="B742" s="13"/>
      <c r="C742" s="13"/>
    </row>
    <row r="743" spans="1:3" ht="13" x14ac:dyDescent="0.15">
      <c r="A743" s="10"/>
      <c r="B743" s="13"/>
      <c r="C743" s="13"/>
    </row>
    <row r="744" spans="1:3" ht="13" x14ac:dyDescent="0.15">
      <c r="A744" s="10"/>
      <c r="B744" s="13"/>
      <c r="C744" s="13"/>
    </row>
    <row r="745" spans="1:3" ht="13" x14ac:dyDescent="0.15">
      <c r="A745" s="10"/>
      <c r="B745" s="13"/>
      <c r="C745" s="13"/>
    </row>
    <row r="746" spans="1:3" ht="13" x14ac:dyDescent="0.15">
      <c r="A746" s="10"/>
      <c r="B746" s="13"/>
      <c r="C746" s="13"/>
    </row>
    <row r="747" spans="1:3" ht="13" x14ac:dyDescent="0.15">
      <c r="A747" s="10"/>
      <c r="B747" s="13"/>
      <c r="C747" s="13"/>
    </row>
    <row r="748" spans="1:3" ht="13" x14ac:dyDescent="0.15">
      <c r="A748" s="10"/>
      <c r="B748" s="13"/>
      <c r="C748" s="13"/>
    </row>
    <row r="749" spans="1:3" ht="13" x14ac:dyDescent="0.15">
      <c r="A749" s="10"/>
      <c r="B749" s="13"/>
      <c r="C749" s="13"/>
    </row>
    <row r="750" spans="1:3" ht="13" x14ac:dyDescent="0.15">
      <c r="A750" s="10"/>
      <c r="B750" s="13"/>
      <c r="C750" s="13"/>
    </row>
    <row r="751" spans="1:3" ht="13" x14ac:dyDescent="0.15">
      <c r="A751" s="10"/>
      <c r="B751" s="13"/>
      <c r="C751" s="13"/>
    </row>
    <row r="752" spans="1:3" ht="13" x14ac:dyDescent="0.15">
      <c r="A752" s="10"/>
      <c r="B752" s="13"/>
      <c r="C752" s="13"/>
    </row>
    <row r="753" spans="1:3" ht="13" x14ac:dyDescent="0.15">
      <c r="A753" s="10"/>
      <c r="B753" s="13"/>
      <c r="C753" s="13"/>
    </row>
    <row r="754" spans="1:3" ht="13" x14ac:dyDescent="0.15">
      <c r="A754" s="10"/>
      <c r="B754" s="13"/>
      <c r="C754" s="13"/>
    </row>
    <row r="755" spans="1:3" ht="13" x14ac:dyDescent="0.15">
      <c r="A755" s="10"/>
      <c r="B755" s="13"/>
      <c r="C755" s="13"/>
    </row>
    <row r="756" spans="1:3" ht="13" x14ac:dyDescent="0.15">
      <c r="A756" s="10"/>
      <c r="B756" s="13"/>
      <c r="C756" s="13"/>
    </row>
    <row r="757" spans="1:3" ht="13" x14ac:dyDescent="0.15">
      <c r="A757" s="10"/>
      <c r="B757" s="13"/>
      <c r="C757" s="13"/>
    </row>
    <row r="758" spans="1:3" ht="13" x14ac:dyDescent="0.15">
      <c r="A758" s="10"/>
      <c r="B758" s="13"/>
      <c r="C758" s="13"/>
    </row>
    <row r="759" spans="1:3" ht="13" x14ac:dyDescent="0.15">
      <c r="A759" s="10"/>
      <c r="B759" s="13"/>
      <c r="C759" s="13"/>
    </row>
    <row r="760" spans="1:3" ht="13" x14ac:dyDescent="0.15">
      <c r="A760" s="10"/>
      <c r="B760" s="13"/>
      <c r="C760" s="13"/>
    </row>
    <row r="761" spans="1:3" ht="13" x14ac:dyDescent="0.15">
      <c r="A761" s="10"/>
      <c r="B761" s="13"/>
      <c r="C761" s="13"/>
    </row>
    <row r="762" spans="1:3" ht="13" x14ac:dyDescent="0.15">
      <c r="A762" s="10"/>
      <c r="B762" s="13"/>
      <c r="C762" s="13"/>
    </row>
    <row r="763" spans="1:3" ht="13" x14ac:dyDescent="0.15">
      <c r="A763" s="10"/>
      <c r="B763" s="13"/>
      <c r="C763" s="13"/>
    </row>
    <row r="764" spans="1:3" ht="13" x14ac:dyDescent="0.15">
      <c r="A764" s="10"/>
      <c r="B764" s="13"/>
      <c r="C764" s="13"/>
    </row>
    <row r="765" spans="1:3" ht="13" x14ac:dyDescent="0.15">
      <c r="A765" s="10"/>
      <c r="B765" s="13"/>
      <c r="C765" s="13"/>
    </row>
    <row r="766" spans="1:3" ht="13" x14ac:dyDescent="0.15">
      <c r="A766" s="10"/>
      <c r="B766" s="13"/>
      <c r="C766" s="13"/>
    </row>
    <row r="767" spans="1:3" ht="13" x14ac:dyDescent="0.15">
      <c r="A767" s="10"/>
      <c r="B767" s="13"/>
      <c r="C767" s="13"/>
    </row>
    <row r="768" spans="1:3" ht="13" x14ac:dyDescent="0.15">
      <c r="A768" s="10"/>
      <c r="B768" s="13"/>
      <c r="C768" s="13"/>
    </row>
    <row r="769" spans="1:3" ht="13" x14ac:dyDescent="0.15">
      <c r="A769" s="10"/>
      <c r="B769" s="13"/>
      <c r="C769" s="13"/>
    </row>
    <row r="770" spans="1:3" ht="13" x14ac:dyDescent="0.15">
      <c r="A770" s="10"/>
      <c r="B770" s="13"/>
      <c r="C770" s="13"/>
    </row>
    <row r="771" spans="1:3" ht="13" x14ac:dyDescent="0.15">
      <c r="A771" s="10"/>
      <c r="B771" s="13"/>
      <c r="C771" s="13"/>
    </row>
    <row r="772" spans="1:3" ht="13" x14ac:dyDescent="0.15">
      <c r="A772" s="10"/>
      <c r="B772" s="13"/>
      <c r="C772" s="13"/>
    </row>
    <row r="773" spans="1:3" ht="13" x14ac:dyDescent="0.15">
      <c r="A773" s="10"/>
      <c r="B773" s="13"/>
      <c r="C773" s="13"/>
    </row>
    <row r="774" spans="1:3" ht="13" x14ac:dyDescent="0.15">
      <c r="A774" s="10"/>
      <c r="B774" s="13"/>
      <c r="C774" s="13"/>
    </row>
    <row r="775" spans="1:3" ht="13" x14ac:dyDescent="0.15">
      <c r="A775" s="10"/>
      <c r="B775" s="13"/>
      <c r="C775" s="13"/>
    </row>
    <row r="776" spans="1:3" ht="13" x14ac:dyDescent="0.15">
      <c r="A776" s="10"/>
      <c r="B776" s="13"/>
      <c r="C776" s="13"/>
    </row>
    <row r="777" spans="1:3" ht="13" x14ac:dyDescent="0.15">
      <c r="A777" s="10"/>
      <c r="B777" s="13"/>
      <c r="C777" s="13"/>
    </row>
    <row r="778" spans="1:3" ht="13" x14ac:dyDescent="0.15">
      <c r="A778" s="10"/>
      <c r="B778" s="13"/>
      <c r="C778" s="13"/>
    </row>
    <row r="779" spans="1:3" ht="13" x14ac:dyDescent="0.15">
      <c r="A779" s="10"/>
      <c r="B779" s="13"/>
      <c r="C779" s="13"/>
    </row>
    <row r="780" spans="1:3" ht="13" x14ac:dyDescent="0.15">
      <c r="A780" s="10"/>
      <c r="B780" s="13"/>
      <c r="C780" s="13"/>
    </row>
    <row r="781" spans="1:3" ht="13" x14ac:dyDescent="0.15">
      <c r="A781" s="10"/>
      <c r="B781" s="13"/>
      <c r="C781" s="13"/>
    </row>
    <row r="782" spans="1:3" ht="13" x14ac:dyDescent="0.15">
      <c r="A782" s="10"/>
      <c r="B782" s="13"/>
      <c r="C782" s="13"/>
    </row>
    <row r="783" spans="1:3" ht="13" x14ac:dyDescent="0.15">
      <c r="A783" s="10"/>
      <c r="B783" s="13"/>
      <c r="C783" s="13"/>
    </row>
    <row r="784" spans="1:3" ht="13" x14ac:dyDescent="0.15">
      <c r="A784" s="10"/>
      <c r="B784" s="13"/>
      <c r="C784" s="13"/>
    </row>
    <row r="785" spans="1:3" ht="13" x14ac:dyDescent="0.15">
      <c r="A785" s="10"/>
      <c r="B785" s="13"/>
      <c r="C785" s="13"/>
    </row>
    <row r="786" spans="1:3" ht="13" x14ac:dyDescent="0.15">
      <c r="A786" s="10"/>
      <c r="B786" s="13"/>
      <c r="C786" s="13"/>
    </row>
    <row r="787" spans="1:3" ht="13" x14ac:dyDescent="0.15">
      <c r="A787" s="10"/>
      <c r="B787" s="13"/>
      <c r="C787" s="13"/>
    </row>
    <row r="788" spans="1:3" ht="13" x14ac:dyDescent="0.15">
      <c r="A788" s="10"/>
      <c r="B788" s="13"/>
      <c r="C788" s="13"/>
    </row>
    <row r="789" spans="1:3" ht="13" x14ac:dyDescent="0.15">
      <c r="A789" s="10"/>
      <c r="B789" s="13"/>
      <c r="C789" s="13"/>
    </row>
    <row r="790" spans="1:3" ht="13" x14ac:dyDescent="0.15">
      <c r="A790" s="10"/>
      <c r="B790" s="13"/>
      <c r="C790" s="13"/>
    </row>
    <row r="791" spans="1:3" ht="13" x14ac:dyDescent="0.15">
      <c r="A791" s="10"/>
      <c r="B791" s="13"/>
      <c r="C791" s="13"/>
    </row>
    <row r="792" spans="1:3" ht="13" x14ac:dyDescent="0.15">
      <c r="A792" s="10"/>
      <c r="B792" s="13"/>
      <c r="C792" s="13"/>
    </row>
    <row r="793" spans="1:3" ht="13" x14ac:dyDescent="0.15">
      <c r="A793" s="10"/>
      <c r="B793" s="13"/>
      <c r="C793" s="13"/>
    </row>
    <row r="794" spans="1:3" ht="13" x14ac:dyDescent="0.15">
      <c r="A794" s="10"/>
      <c r="B794" s="13"/>
      <c r="C794" s="13"/>
    </row>
    <row r="795" spans="1:3" ht="13" x14ac:dyDescent="0.15">
      <c r="A795" s="10"/>
      <c r="B795" s="13"/>
      <c r="C795" s="13"/>
    </row>
    <row r="796" spans="1:3" ht="13" x14ac:dyDescent="0.15">
      <c r="A796" s="10"/>
      <c r="B796" s="13"/>
      <c r="C796" s="13"/>
    </row>
    <row r="797" spans="1:3" ht="13" x14ac:dyDescent="0.15">
      <c r="A797" s="10"/>
      <c r="B797" s="13"/>
      <c r="C797" s="13"/>
    </row>
    <row r="798" spans="1:3" ht="13" x14ac:dyDescent="0.15">
      <c r="A798" s="10"/>
      <c r="B798" s="13"/>
      <c r="C798" s="13"/>
    </row>
    <row r="799" spans="1:3" ht="13" x14ac:dyDescent="0.15">
      <c r="A799" s="10"/>
      <c r="B799" s="13"/>
      <c r="C799" s="13"/>
    </row>
    <row r="800" spans="1:3" ht="13" x14ac:dyDescent="0.15">
      <c r="A800" s="10"/>
      <c r="B800" s="13"/>
      <c r="C800" s="13"/>
    </row>
    <row r="801" spans="1:3" ht="13" x14ac:dyDescent="0.15">
      <c r="A801" s="10"/>
      <c r="B801" s="13"/>
      <c r="C801" s="13"/>
    </row>
    <row r="802" spans="1:3" ht="13" x14ac:dyDescent="0.15">
      <c r="A802" s="10"/>
      <c r="B802" s="13"/>
      <c r="C802" s="13"/>
    </row>
    <row r="803" spans="1:3" ht="13" x14ac:dyDescent="0.15">
      <c r="A803" s="10"/>
      <c r="B803" s="13"/>
      <c r="C803" s="13"/>
    </row>
    <row r="804" spans="1:3" ht="13" x14ac:dyDescent="0.15">
      <c r="A804" s="10"/>
      <c r="B804" s="13"/>
      <c r="C804" s="13"/>
    </row>
    <row r="805" spans="1:3" ht="13" x14ac:dyDescent="0.15">
      <c r="A805" s="10"/>
      <c r="B805" s="13"/>
      <c r="C805" s="13"/>
    </row>
    <row r="806" spans="1:3" ht="13" x14ac:dyDescent="0.15">
      <c r="A806" s="10"/>
      <c r="B806" s="13"/>
      <c r="C806" s="13"/>
    </row>
    <row r="807" spans="1:3" ht="13" x14ac:dyDescent="0.15">
      <c r="A807" s="10"/>
      <c r="B807" s="13"/>
      <c r="C807" s="13"/>
    </row>
    <row r="808" spans="1:3" ht="13" x14ac:dyDescent="0.15">
      <c r="A808" s="10"/>
      <c r="B808" s="13"/>
      <c r="C808" s="13"/>
    </row>
    <row r="809" spans="1:3" ht="13" x14ac:dyDescent="0.15">
      <c r="A809" s="10"/>
      <c r="B809" s="13"/>
      <c r="C809" s="13"/>
    </row>
    <row r="810" spans="1:3" ht="13" x14ac:dyDescent="0.15">
      <c r="A810" s="10"/>
      <c r="B810" s="13"/>
      <c r="C810" s="13"/>
    </row>
    <row r="811" spans="1:3" ht="13" x14ac:dyDescent="0.15">
      <c r="A811" s="10"/>
      <c r="B811" s="13"/>
      <c r="C811" s="13"/>
    </row>
    <row r="812" spans="1:3" ht="13" x14ac:dyDescent="0.15">
      <c r="A812" s="10"/>
      <c r="B812" s="13"/>
      <c r="C812" s="13"/>
    </row>
    <row r="813" spans="1:3" ht="13" x14ac:dyDescent="0.15">
      <c r="A813" s="10"/>
      <c r="B813" s="13"/>
      <c r="C813" s="13"/>
    </row>
    <row r="814" spans="1:3" ht="13" x14ac:dyDescent="0.15">
      <c r="A814" s="10"/>
      <c r="B814" s="13"/>
      <c r="C814" s="13"/>
    </row>
    <row r="815" spans="1:3" ht="13" x14ac:dyDescent="0.15">
      <c r="A815" s="10"/>
      <c r="B815" s="13"/>
      <c r="C815" s="13"/>
    </row>
    <row r="816" spans="1:3" ht="13" x14ac:dyDescent="0.15">
      <c r="A816" s="10"/>
      <c r="B816" s="13"/>
      <c r="C816" s="13"/>
    </row>
    <row r="817" spans="1:3" ht="13" x14ac:dyDescent="0.15">
      <c r="A817" s="10"/>
      <c r="B817" s="13"/>
      <c r="C817" s="13"/>
    </row>
    <row r="818" spans="1:3" ht="13" x14ac:dyDescent="0.15">
      <c r="A818" s="10"/>
      <c r="B818" s="13"/>
      <c r="C818" s="13"/>
    </row>
    <row r="819" spans="1:3" ht="13" x14ac:dyDescent="0.15">
      <c r="A819" s="10"/>
      <c r="B819" s="13"/>
      <c r="C819" s="13"/>
    </row>
    <row r="820" spans="1:3" ht="13" x14ac:dyDescent="0.15">
      <c r="A820" s="10"/>
      <c r="B820" s="13"/>
      <c r="C820" s="13"/>
    </row>
    <row r="821" spans="1:3" ht="13" x14ac:dyDescent="0.15">
      <c r="A821" s="10"/>
      <c r="B821" s="13"/>
      <c r="C821" s="13"/>
    </row>
    <row r="822" spans="1:3" ht="13" x14ac:dyDescent="0.15">
      <c r="A822" s="10"/>
      <c r="B822" s="13"/>
      <c r="C822" s="13"/>
    </row>
    <row r="823" spans="1:3" ht="13" x14ac:dyDescent="0.15">
      <c r="A823" s="10"/>
      <c r="B823" s="13"/>
      <c r="C823" s="13"/>
    </row>
    <row r="824" spans="1:3" ht="13" x14ac:dyDescent="0.15">
      <c r="A824" s="10"/>
      <c r="B824" s="13"/>
      <c r="C824" s="13"/>
    </row>
    <row r="825" spans="1:3" ht="13" x14ac:dyDescent="0.15">
      <c r="A825" s="10"/>
      <c r="B825" s="13"/>
      <c r="C825" s="13"/>
    </row>
    <row r="826" spans="1:3" ht="13" x14ac:dyDescent="0.15">
      <c r="A826" s="10"/>
      <c r="B826" s="13"/>
      <c r="C826" s="13"/>
    </row>
    <row r="827" spans="1:3" ht="13" x14ac:dyDescent="0.15">
      <c r="A827" s="10"/>
      <c r="B827" s="13"/>
      <c r="C827" s="13"/>
    </row>
    <row r="828" spans="1:3" ht="13" x14ac:dyDescent="0.15">
      <c r="A828" s="10"/>
      <c r="B828" s="13"/>
      <c r="C828" s="13"/>
    </row>
    <row r="829" spans="1:3" ht="13" x14ac:dyDescent="0.15">
      <c r="A829" s="10"/>
      <c r="B829" s="13"/>
      <c r="C829" s="13"/>
    </row>
    <row r="830" spans="1:3" ht="13" x14ac:dyDescent="0.15">
      <c r="A830" s="10"/>
      <c r="B830" s="13"/>
      <c r="C830" s="13"/>
    </row>
    <row r="831" spans="1:3" ht="13" x14ac:dyDescent="0.15">
      <c r="A831" s="10"/>
      <c r="B831" s="13"/>
      <c r="C831" s="13"/>
    </row>
    <row r="832" spans="1:3" ht="13" x14ac:dyDescent="0.15">
      <c r="A832" s="10"/>
      <c r="B832" s="13"/>
      <c r="C832" s="13"/>
    </row>
    <row r="833" spans="1:3" ht="13" x14ac:dyDescent="0.15">
      <c r="A833" s="10"/>
      <c r="B833" s="13"/>
      <c r="C833" s="13"/>
    </row>
    <row r="834" spans="1:3" ht="13" x14ac:dyDescent="0.15">
      <c r="A834" s="10"/>
      <c r="B834" s="13"/>
      <c r="C834" s="13"/>
    </row>
    <row r="835" spans="1:3" ht="13" x14ac:dyDescent="0.15">
      <c r="A835" s="10"/>
      <c r="B835" s="13"/>
      <c r="C835" s="13"/>
    </row>
    <row r="836" spans="1:3" ht="13" x14ac:dyDescent="0.15">
      <c r="A836" s="10"/>
      <c r="B836" s="13"/>
      <c r="C836" s="13"/>
    </row>
    <row r="837" spans="1:3" ht="13" x14ac:dyDescent="0.15">
      <c r="A837" s="10"/>
      <c r="B837" s="13"/>
      <c r="C837" s="13"/>
    </row>
    <row r="838" spans="1:3" ht="13" x14ac:dyDescent="0.15">
      <c r="A838" s="10"/>
      <c r="B838" s="13"/>
      <c r="C838" s="13"/>
    </row>
    <row r="839" spans="1:3" ht="13" x14ac:dyDescent="0.15">
      <c r="A839" s="10"/>
      <c r="B839" s="13"/>
      <c r="C839" s="13"/>
    </row>
    <row r="840" spans="1:3" ht="13" x14ac:dyDescent="0.15">
      <c r="A840" s="10"/>
      <c r="B840" s="13"/>
      <c r="C840" s="13"/>
    </row>
    <row r="841" spans="1:3" ht="13" x14ac:dyDescent="0.15">
      <c r="A841" s="10"/>
      <c r="B841" s="13"/>
      <c r="C841" s="13"/>
    </row>
    <row r="842" spans="1:3" ht="13" x14ac:dyDescent="0.15">
      <c r="A842" s="10"/>
      <c r="B842" s="13"/>
      <c r="C842" s="13"/>
    </row>
    <row r="843" spans="1:3" ht="13" x14ac:dyDescent="0.15">
      <c r="A843" s="10"/>
      <c r="B843" s="13"/>
      <c r="C843" s="13"/>
    </row>
    <row r="844" spans="1:3" ht="13" x14ac:dyDescent="0.15">
      <c r="A844" s="10"/>
      <c r="B844" s="13"/>
      <c r="C844" s="13"/>
    </row>
    <row r="845" spans="1:3" ht="13" x14ac:dyDescent="0.15">
      <c r="A845" s="10"/>
      <c r="B845" s="13"/>
      <c r="C845" s="13"/>
    </row>
    <row r="846" spans="1:3" ht="13" x14ac:dyDescent="0.15">
      <c r="A846" s="10"/>
      <c r="B846" s="13"/>
      <c r="C846" s="13"/>
    </row>
    <row r="847" spans="1:3" ht="13" x14ac:dyDescent="0.15">
      <c r="A847" s="10"/>
      <c r="B847" s="13"/>
      <c r="C847" s="13"/>
    </row>
    <row r="848" spans="1:3" ht="13" x14ac:dyDescent="0.15">
      <c r="A848" s="10"/>
      <c r="B848" s="13"/>
      <c r="C848" s="13"/>
    </row>
    <row r="849" spans="1:3" ht="13" x14ac:dyDescent="0.15">
      <c r="A849" s="10"/>
      <c r="B849" s="13"/>
      <c r="C849" s="13"/>
    </row>
    <row r="850" spans="1:3" ht="13" x14ac:dyDescent="0.15">
      <c r="A850" s="10"/>
      <c r="B850" s="13"/>
      <c r="C850" s="13"/>
    </row>
    <row r="851" spans="1:3" ht="13" x14ac:dyDescent="0.15">
      <c r="A851" s="10"/>
      <c r="B851" s="13"/>
      <c r="C851" s="13"/>
    </row>
    <row r="852" spans="1:3" ht="13" x14ac:dyDescent="0.15">
      <c r="A852" s="10"/>
      <c r="B852" s="13"/>
      <c r="C852" s="13"/>
    </row>
    <row r="853" spans="1:3" ht="13" x14ac:dyDescent="0.15">
      <c r="A853" s="10"/>
      <c r="B853" s="13"/>
      <c r="C853" s="13"/>
    </row>
    <row r="854" spans="1:3" ht="13" x14ac:dyDescent="0.15">
      <c r="A854" s="10"/>
      <c r="B854" s="13"/>
      <c r="C854" s="13"/>
    </row>
    <row r="855" spans="1:3" ht="13" x14ac:dyDescent="0.15">
      <c r="A855" s="10"/>
      <c r="B855" s="13"/>
      <c r="C855" s="13"/>
    </row>
    <row r="856" spans="1:3" ht="13" x14ac:dyDescent="0.15">
      <c r="A856" s="10"/>
      <c r="B856" s="13"/>
      <c r="C856" s="13"/>
    </row>
    <row r="857" spans="1:3" ht="13" x14ac:dyDescent="0.15">
      <c r="A857" s="10"/>
      <c r="B857" s="13"/>
      <c r="C857" s="13"/>
    </row>
    <row r="858" spans="1:3" ht="13" x14ac:dyDescent="0.15">
      <c r="A858" s="10"/>
      <c r="B858" s="13"/>
      <c r="C858" s="13"/>
    </row>
    <row r="859" spans="1:3" ht="13" x14ac:dyDescent="0.15">
      <c r="A859" s="10"/>
      <c r="B859" s="13"/>
      <c r="C859" s="13"/>
    </row>
    <row r="860" spans="1:3" ht="13" x14ac:dyDescent="0.15">
      <c r="A860" s="10"/>
      <c r="B860" s="13"/>
      <c r="C860" s="13"/>
    </row>
    <row r="861" spans="1:3" ht="13" x14ac:dyDescent="0.15">
      <c r="A861" s="10"/>
      <c r="B861" s="13"/>
      <c r="C861" s="13"/>
    </row>
    <row r="862" spans="1:3" ht="13" x14ac:dyDescent="0.15">
      <c r="A862" s="10"/>
      <c r="B862" s="13"/>
      <c r="C862" s="13"/>
    </row>
    <row r="863" spans="1:3" ht="13" x14ac:dyDescent="0.15">
      <c r="A863" s="10"/>
      <c r="B863" s="13"/>
      <c r="C863" s="13"/>
    </row>
    <row r="864" spans="1:3" ht="13" x14ac:dyDescent="0.15">
      <c r="A864" s="10"/>
      <c r="B864" s="13"/>
      <c r="C864" s="13"/>
    </row>
    <row r="865" spans="1:3" ht="13" x14ac:dyDescent="0.15">
      <c r="A865" s="10"/>
      <c r="B865" s="13"/>
      <c r="C865" s="13"/>
    </row>
    <row r="866" spans="1:3" ht="13" x14ac:dyDescent="0.15">
      <c r="A866" s="10"/>
      <c r="B866" s="13"/>
      <c r="C866" s="13"/>
    </row>
    <row r="867" spans="1:3" ht="13" x14ac:dyDescent="0.15">
      <c r="A867" s="10"/>
      <c r="B867" s="13"/>
      <c r="C867" s="13"/>
    </row>
    <row r="868" spans="1:3" ht="13" x14ac:dyDescent="0.15">
      <c r="A868" s="10"/>
      <c r="B868" s="13"/>
      <c r="C868" s="13"/>
    </row>
    <row r="869" spans="1:3" ht="13" x14ac:dyDescent="0.15">
      <c r="A869" s="10"/>
      <c r="B869" s="13"/>
      <c r="C869" s="13"/>
    </row>
    <row r="870" spans="1:3" ht="13" x14ac:dyDescent="0.15">
      <c r="A870" s="10"/>
      <c r="B870" s="13"/>
      <c r="C870" s="13"/>
    </row>
    <row r="871" spans="1:3" ht="13" x14ac:dyDescent="0.15">
      <c r="A871" s="10"/>
      <c r="B871" s="13"/>
      <c r="C871" s="13"/>
    </row>
    <row r="872" spans="1:3" ht="13" x14ac:dyDescent="0.15">
      <c r="A872" s="10"/>
      <c r="B872" s="13"/>
      <c r="C872" s="13"/>
    </row>
    <row r="873" spans="1:3" ht="13" x14ac:dyDescent="0.15">
      <c r="A873" s="10"/>
      <c r="B873" s="13"/>
      <c r="C873" s="13"/>
    </row>
    <row r="874" spans="1:3" ht="13" x14ac:dyDescent="0.15">
      <c r="A874" s="10"/>
      <c r="B874" s="13"/>
      <c r="C874" s="13"/>
    </row>
    <row r="875" spans="1:3" ht="13" x14ac:dyDescent="0.15">
      <c r="A875" s="10"/>
      <c r="B875" s="13"/>
      <c r="C875" s="13"/>
    </row>
    <row r="876" spans="1:3" ht="13" x14ac:dyDescent="0.15">
      <c r="A876" s="10"/>
      <c r="B876" s="13"/>
      <c r="C876" s="13"/>
    </row>
    <row r="877" spans="1:3" ht="13" x14ac:dyDescent="0.15">
      <c r="A877" s="10"/>
      <c r="B877" s="13"/>
      <c r="C877" s="13"/>
    </row>
    <row r="878" spans="1:3" ht="13" x14ac:dyDescent="0.15">
      <c r="A878" s="10"/>
      <c r="B878" s="13"/>
      <c r="C878" s="13"/>
    </row>
    <row r="879" spans="1:3" ht="13" x14ac:dyDescent="0.15">
      <c r="A879" s="10"/>
      <c r="B879" s="13"/>
      <c r="C879" s="13"/>
    </row>
    <row r="880" spans="1:3" ht="13" x14ac:dyDescent="0.15">
      <c r="A880" s="10"/>
      <c r="B880" s="13"/>
      <c r="C880" s="13"/>
    </row>
    <row r="881" spans="1:3" ht="13" x14ac:dyDescent="0.15">
      <c r="A881" s="10"/>
      <c r="B881" s="13"/>
      <c r="C881" s="13"/>
    </row>
    <row r="882" spans="1:3" ht="13" x14ac:dyDescent="0.15">
      <c r="A882" s="10"/>
      <c r="B882" s="13"/>
      <c r="C882" s="13"/>
    </row>
    <row r="883" spans="1:3" ht="13" x14ac:dyDescent="0.15">
      <c r="A883" s="10"/>
      <c r="B883" s="13"/>
      <c r="C883" s="13"/>
    </row>
    <row r="884" spans="1:3" ht="13" x14ac:dyDescent="0.15">
      <c r="A884" s="10"/>
      <c r="B884" s="13"/>
      <c r="C884" s="13"/>
    </row>
    <row r="885" spans="1:3" ht="13" x14ac:dyDescent="0.15">
      <c r="A885" s="10"/>
      <c r="B885" s="13"/>
      <c r="C885" s="13"/>
    </row>
    <row r="886" spans="1:3" ht="13" x14ac:dyDescent="0.15">
      <c r="A886" s="10"/>
      <c r="B886" s="13"/>
      <c r="C886" s="13"/>
    </row>
    <row r="887" spans="1:3" ht="13" x14ac:dyDescent="0.15">
      <c r="A887" s="10"/>
      <c r="B887" s="13"/>
      <c r="C887" s="13"/>
    </row>
    <row r="888" spans="1:3" ht="13" x14ac:dyDescent="0.15">
      <c r="A888" s="10"/>
      <c r="B888" s="13"/>
      <c r="C888" s="13"/>
    </row>
    <row r="889" spans="1:3" ht="13" x14ac:dyDescent="0.15">
      <c r="A889" s="10"/>
      <c r="B889" s="13"/>
      <c r="C889" s="13"/>
    </row>
    <row r="890" spans="1:3" ht="13" x14ac:dyDescent="0.15">
      <c r="A890" s="10"/>
      <c r="B890" s="13"/>
      <c r="C890" s="13"/>
    </row>
    <row r="891" spans="1:3" ht="13" x14ac:dyDescent="0.15">
      <c r="A891" s="10"/>
      <c r="B891" s="13"/>
      <c r="C891" s="13"/>
    </row>
    <row r="892" spans="1:3" ht="13" x14ac:dyDescent="0.15">
      <c r="A892" s="10"/>
      <c r="B892" s="13"/>
      <c r="C892" s="13"/>
    </row>
    <row r="893" spans="1:3" ht="13" x14ac:dyDescent="0.15">
      <c r="A893" s="10"/>
      <c r="B893" s="13"/>
      <c r="C893" s="13"/>
    </row>
    <row r="894" spans="1:3" ht="13" x14ac:dyDescent="0.15">
      <c r="A894" s="10"/>
      <c r="B894" s="13"/>
      <c r="C894" s="13"/>
    </row>
    <row r="895" spans="1:3" ht="13" x14ac:dyDescent="0.15">
      <c r="A895" s="10"/>
      <c r="B895" s="13"/>
      <c r="C895" s="13"/>
    </row>
    <row r="896" spans="1:3" ht="13" x14ac:dyDescent="0.15">
      <c r="A896" s="10"/>
      <c r="B896" s="13"/>
      <c r="C896" s="13"/>
    </row>
    <row r="897" spans="1:3" ht="13" x14ac:dyDescent="0.15">
      <c r="A897" s="10"/>
      <c r="B897" s="13"/>
      <c r="C897" s="13"/>
    </row>
    <row r="898" spans="1:3" ht="13" x14ac:dyDescent="0.15">
      <c r="A898" s="10"/>
      <c r="B898" s="13"/>
      <c r="C898" s="13"/>
    </row>
    <row r="899" spans="1:3" ht="13" x14ac:dyDescent="0.15">
      <c r="A899" s="10"/>
      <c r="B899" s="13"/>
      <c r="C899" s="13"/>
    </row>
    <row r="900" spans="1:3" ht="13" x14ac:dyDescent="0.15">
      <c r="A900" s="10"/>
      <c r="B900" s="13"/>
      <c r="C900" s="13"/>
    </row>
    <row r="901" spans="1:3" ht="13" x14ac:dyDescent="0.15">
      <c r="A901" s="10"/>
      <c r="B901" s="13"/>
      <c r="C901" s="13"/>
    </row>
    <row r="902" spans="1:3" ht="13" x14ac:dyDescent="0.15">
      <c r="A902" s="10"/>
      <c r="B902" s="13"/>
      <c r="C902" s="13"/>
    </row>
    <row r="903" spans="1:3" ht="13" x14ac:dyDescent="0.15">
      <c r="A903" s="10"/>
      <c r="B903" s="13"/>
      <c r="C903" s="13"/>
    </row>
    <row r="904" spans="1:3" ht="13" x14ac:dyDescent="0.15">
      <c r="A904" s="10"/>
      <c r="B904" s="13"/>
      <c r="C904" s="13"/>
    </row>
    <row r="905" spans="1:3" ht="13" x14ac:dyDescent="0.15">
      <c r="A905" s="10"/>
      <c r="B905" s="13"/>
      <c r="C905" s="13"/>
    </row>
    <row r="906" spans="1:3" ht="13" x14ac:dyDescent="0.15">
      <c r="A906" s="10"/>
      <c r="B906" s="13"/>
      <c r="C906" s="13"/>
    </row>
    <row r="907" spans="1:3" ht="13" x14ac:dyDescent="0.15">
      <c r="A907" s="10"/>
      <c r="B907" s="13"/>
      <c r="C907" s="13"/>
    </row>
    <row r="908" spans="1:3" ht="13" x14ac:dyDescent="0.15">
      <c r="A908" s="10"/>
      <c r="B908" s="13"/>
      <c r="C908" s="13"/>
    </row>
    <row r="909" spans="1:3" ht="13" x14ac:dyDescent="0.15">
      <c r="A909" s="10"/>
      <c r="B909" s="13"/>
      <c r="C909" s="13"/>
    </row>
    <row r="910" spans="1:3" ht="13" x14ac:dyDescent="0.15">
      <c r="A910" s="10"/>
      <c r="B910" s="13"/>
      <c r="C910" s="13"/>
    </row>
    <row r="911" spans="1:3" ht="13" x14ac:dyDescent="0.15">
      <c r="A911" s="10"/>
      <c r="B911" s="13"/>
      <c r="C911" s="13"/>
    </row>
    <row r="912" spans="1:3" ht="13" x14ac:dyDescent="0.15">
      <c r="A912" s="10"/>
      <c r="B912" s="13"/>
      <c r="C912" s="13"/>
    </row>
    <row r="913" spans="1:3" ht="13" x14ac:dyDescent="0.15">
      <c r="A913" s="10"/>
      <c r="B913" s="13"/>
      <c r="C913" s="13"/>
    </row>
    <row r="914" spans="1:3" ht="13" x14ac:dyDescent="0.15">
      <c r="A914" s="10"/>
      <c r="B914" s="13"/>
      <c r="C914" s="13"/>
    </row>
    <row r="915" spans="1:3" ht="13" x14ac:dyDescent="0.15">
      <c r="A915" s="10"/>
      <c r="B915" s="13"/>
      <c r="C915" s="13"/>
    </row>
    <row r="916" spans="1:3" ht="13" x14ac:dyDescent="0.15">
      <c r="A916" s="10"/>
      <c r="B916" s="13"/>
      <c r="C916" s="13"/>
    </row>
    <row r="917" spans="1:3" ht="13" x14ac:dyDescent="0.15">
      <c r="A917" s="10"/>
      <c r="B917" s="13"/>
      <c r="C917" s="13"/>
    </row>
    <row r="918" spans="1:3" ht="13" x14ac:dyDescent="0.15">
      <c r="A918" s="10"/>
      <c r="B918" s="13"/>
      <c r="C918" s="13"/>
    </row>
    <row r="919" spans="1:3" ht="13" x14ac:dyDescent="0.15">
      <c r="A919" s="10"/>
      <c r="B919" s="13"/>
      <c r="C919" s="13"/>
    </row>
    <row r="920" spans="1:3" ht="13" x14ac:dyDescent="0.15">
      <c r="A920" s="10"/>
      <c r="B920" s="13"/>
      <c r="C920" s="13"/>
    </row>
    <row r="921" spans="1:3" ht="13" x14ac:dyDescent="0.15">
      <c r="A921" s="10"/>
      <c r="B921" s="13"/>
      <c r="C921" s="13"/>
    </row>
    <row r="922" spans="1:3" ht="13" x14ac:dyDescent="0.15">
      <c r="A922" s="10"/>
      <c r="B922" s="13"/>
      <c r="C922" s="13"/>
    </row>
    <row r="923" spans="1:3" ht="13" x14ac:dyDescent="0.15">
      <c r="A923" s="10"/>
      <c r="B923" s="13"/>
      <c r="C923" s="13"/>
    </row>
    <row r="924" spans="1:3" ht="13" x14ac:dyDescent="0.15">
      <c r="A924" s="10"/>
      <c r="B924" s="13"/>
      <c r="C924" s="13"/>
    </row>
    <row r="925" spans="1:3" ht="13" x14ac:dyDescent="0.15">
      <c r="A925" s="10"/>
      <c r="B925" s="13"/>
      <c r="C925" s="13"/>
    </row>
    <row r="926" spans="1:3" ht="13" x14ac:dyDescent="0.15">
      <c r="A926" s="10"/>
      <c r="B926" s="13"/>
      <c r="C926" s="13"/>
    </row>
    <row r="927" spans="1:3" ht="13" x14ac:dyDescent="0.15">
      <c r="A927" s="10"/>
      <c r="B927" s="13"/>
      <c r="C927" s="13"/>
    </row>
    <row r="928" spans="1:3" ht="13" x14ac:dyDescent="0.15">
      <c r="A928" s="10"/>
      <c r="B928" s="13"/>
      <c r="C928" s="13"/>
    </row>
    <row r="929" spans="1:3" ht="13" x14ac:dyDescent="0.15">
      <c r="A929" s="10"/>
      <c r="B929" s="13"/>
      <c r="C929" s="13"/>
    </row>
    <row r="930" spans="1:3" ht="13" x14ac:dyDescent="0.15">
      <c r="A930" s="10"/>
      <c r="B930" s="13"/>
      <c r="C930" s="13"/>
    </row>
    <row r="931" spans="1:3" ht="13" x14ac:dyDescent="0.15">
      <c r="A931" s="10"/>
      <c r="B931" s="13"/>
      <c r="C931" s="13"/>
    </row>
    <row r="932" spans="1:3" ht="13" x14ac:dyDescent="0.15">
      <c r="A932" s="10"/>
      <c r="B932" s="13"/>
      <c r="C932" s="13"/>
    </row>
    <row r="933" spans="1:3" ht="13" x14ac:dyDescent="0.15">
      <c r="A933" s="10"/>
      <c r="B933" s="13"/>
      <c r="C933" s="13"/>
    </row>
    <row r="934" spans="1:3" ht="13" x14ac:dyDescent="0.15">
      <c r="A934" s="10"/>
      <c r="B934" s="13"/>
      <c r="C934" s="13"/>
    </row>
    <row r="935" spans="1:3" ht="13" x14ac:dyDescent="0.15">
      <c r="A935" s="10"/>
      <c r="B935" s="13"/>
      <c r="C935" s="13"/>
    </row>
    <row r="936" spans="1:3" ht="13" x14ac:dyDescent="0.15">
      <c r="A936" s="10"/>
      <c r="B936" s="13"/>
      <c r="C936" s="13"/>
    </row>
    <row r="937" spans="1:3" ht="13" x14ac:dyDescent="0.15">
      <c r="A937" s="10"/>
      <c r="B937" s="13"/>
      <c r="C937" s="13"/>
    </row>
    <row r="938" spans="1:3" ht="13" x14ac:dyDescent="0.15">
      <c r="A938" s="10"/>
      <c r="B938" s="13"/>
      <c r="C938" s="13"/>
    </row>
    <row r="939" spans="1:3" ht="13" x14ac:dyDescent="0.15">
      <c r="A939" s="10"/>
      <c r="B939" s="13"/>
      <c r="C939" s="13"/>
    </row>
    <row r="940" spans="1:3" ht="13" x14ac:dyDescent="0.15">
      <c r="A940" s="10"/>
      <c r="B940" s="13"/>
      <c r="C940" s="13"/>
    </row>
    <row r="941" spans="1:3" ht="13" x14ac:dyDescent="0.15">
      <c r="A941" s="10"/>
      <c r="B941" s="13"/>
      <c r="C941" s="13"/>
    </row>
    <row r="942" spans="1:3" ht="13" x14ac:dyDescent="0.15">
      <c r="A942" s="10"/>
      <c r="B942" s="13"/>
      <c r="C942" s="13"/>
    </row>
    <row r="943" spans="1:3" ht="13" x14ac:dyDescent="0.15">
      <c r="A943" s="10"/>
      <c r="B943" s="13"/>
      <c r="C943" s="13"/>
    </row>
    <row r="944" spans="1:3" ht="13" x14ac:dyDescent="0.15">
      <c r="A944" s="10"/>
      <c r="B944" s="13"/>
      <c r="C944" s="13"/>
    </row>
    <row r="945" spans="1:3" ht="13" x14ac:dyDescent="0.15">
      <c r="A945" s="10"/>
      <c r="B945" s="13"/>
      <c r="C945" s="13"/>
    </row>
    <row r="946" spans="1:3" ht="13" x14ac:dyDescent="0.15">
      <c r="A946" s="10"/>
      <c r="B946" s="13"/>
      <c r="C946" s="13"/>
    </row>
    <row r="947" spans="1:3" ht="13" x14ac:dyDescent="0.15">
      <c r="A947" s="10"/>
      <c r="B947" s="13"/>
      <c r="C947" s="13"/>
    </row>
    <row r="948" spans="1:3" ht="13" x14ac:dyDescent="0.15">
      <c r="A948" s="10"/>
      <c r="B948" s="13"/>
      <c r="C948" s="13"/>
    </row>
    <row r="949" spans="1:3" ht="13" x14ac:dyDescent="0.15">
      <c r="A949" s="10"/>
      <c r="B949" s="13"/>
      <c r="C949" s="13"/>
    </row>
    <row r="950" spans="1:3" ht="13" x14ac:dyDescent="0.15">
      <c r="A950" s="10"/>
      <c r="B950" s="13"/>
      <c r="C950" s="13"/>
    </row>
    <row r="951" spans="1:3" ht="13" x14ac:dyDescent="0.15">
      <c r="A951" s="10"/>
      <c r="B951" s="13"/>
      <c r="C951" s="13"/>
    </row>
    <row r="952" spans="1:3" ht="13" x14ac:dyDescent="0.15">
      <c r="A952" s="10"/>
      <c r="B952" s="13"/>
      <c r="C952" s="13"/>
    </row>
    <row r="953" spans="1:3" ht="13" x14ac:dyDescent="0.15">
      <c r="A953" s="10"/>
      <c r="B953" s="13"/>
      <c r="C953" s="13"/>
    </row>
    <row r="954" spans="1:3" ht="13" x14ac:dyDescent="0.15">
      <c r="A954" s="10"/>
      <c r="B954" s="13"/>
      <c r="C954" s="13"/>
    </row>
    <row r="955" spans="1:3" ht="13" x14ac:dyDescent="0.15">
      <c r="A955" s="10"/>
      <c r="B955" s="13"/>
      <c r="C955" s="13"/>
    </row>
    <row r="956" spans="1:3" ht="13" x14ac:dyDescent="0.15">
      <c r="A956" s="10"/>
      <c r="B956" s="13"/>
      <c r="C956" s="13"/>
    </row>
    <row r="957" spans="1:3" ht="13" x14ac:dyDescent="0.15">
      <c r="A957" s="10"/>
      <c r="B957" s="13"/>
      <c r="C957" s="13"/>
    </row>
    <row r="958" spans="1:3" ht="13" x14ac:dyDescent="0.15">
      <c r="A958" s="10"/>
      <c r="B958" s="13"/>
      <c r="C958" s="13"/>
    </row>
    <row r="959" spans="1:3" ht="13" x14ac:dyDescent="0.15">
      <c r="A959" s="10"/>
      <c r="B959" s="13"/>
      <c r="C959" s="13"/>
    </row>
    <row r="960" spans="1:3" ht="13" x14ac:dyDescent="0.15">
      <c r="A960" s="10"/>
      <c r="B960" s="13"/>
      <c r="C960" s="13"/>
    </row>
    <row r="961" spans="1:3" ht="13" x14ac:dyDescent="0.15">
      <c r="A961" s="10"/>
      <c r="B961" s="13"/>
      <c r="C961" s="13"/>
    </row>
    <row r="962" spans="1:3" ht="13" x14ac:dyDescent="0.15">
      <c r="A962" s="10"/>
      <c r="B962" s="13"/>
      <c r="C962" s="13"/>
    </row>
    <row r="963" spans="1:3" ht="13" x14ac:dyDescent="0.15">
      <c r="A963" s="10"/>
      <c r="B963" s="13"/>
      <c r="C963" s="13"/>
    </row>
    <row r="964" spans="1:3" ht="13" x14ac:dyDescent="0.15">
      <c r="A964" s="10"/>
      <c r="B964" s="13"/>
      <c r="C964" s="13"/>
    </row>
    <row r="965" spans="1:3" ht="13" x14ac:dyDescent="0.15">
      <c r="A965" s="10"/>
      <c r="B965" s="13"/>
      <c r="C965" s="13"/>
    </row>
    <row r="966" spans="1:3" ht="13" x14ac:dyDescent="0.15">
      <c r="A966" s="10"/>
      <c r="B966" s="13"/>
      <c r="C966" s="13"/>
    </row>
    <row r="967" spans="1:3" ht="13" x14ac:dyDescent="0.15">
      <c r="A967" s="10"/>
      <c r="B967" s="13"/>
      <c r="C967" s="13"/>
    </row>
    <row r="968" spans="1:3" ht="13" x14ac:dyDescent="0.15">
      <c r="A968" s="10"/>
      <c r="B968" s="13"/>
      <c r="C968" s="13"/>
    </row>
    <row r="969" spans="1:3" ht="13" x14ac:dyDescent="0.15">
      <c r="A969" s="10"/>
      <c r="B969" s="13"/>
      <c r="C969" s="13"/>
    </row>
    <row r="970" spans="1:3" ht="13" x14ac:dyDescent="0.15">
      <c r="A970" s="10"/>
      <c r="B970" s="13"/>
      <c r="C970" s="13"/>
    </row>
    <row r="971" spans="1:3" ht="13" x14ac:dyDescent="0.15">
      <c r="A971" s="10"/>
      <c r="B971" s="13"/>
      <c r="C971" s="13"/>
    </row>
    <row r="972" spans="1:3" ht="13" x14ac:dyDescent="0.15">
      <c r="A972" s="10"/>
      <c r="B972" s="13"/>
      <c r="C972" s="13"/>
    </row>
    <row r="973" spans="1:3" ht="13" x14ac:dyDescent="0.15">
      <c r="A973" s="10"/>
      <c r="B973" s="13"/>
      <c r="C973" s="13"/>
    </row>
    <row r="974" spans="1:3" ht="13" x14ac:dyDescent="0.15">
      <c r="A974" s="10"/>
      <c r="B974" s="13"/>
      <c r="C974" s="13"/>
    </row>
    <row r="975" spans="1:3" ht="13" x14ac:dyDescent="0.15">
      <c r="A975" s="10"/>
      <c r="B975" s="13"/>
      <c r="C975" s="13"/>
    </row>
    <row r="976" spans="1:3" ht="13" x14ac:dyDescent="0.15">
      <c r="A976" s="10"/>
      <c r="B976" s="13"/>
      <c r="C976" s="13"/>
    </row>
    <row r="977" spans="1:3" ht="13" x14ac:dyDescent="0.15">
      <c r="A977" s="10"/>
      <c r="B977" s="13"/>
      <c r="C977" s="13"/>
    </row>
    <row r="978" spans="1:3" ht="13" x14ac:dyDescent="0.15">
      <c r="A978" s="10"/>
      <c r="B978" s="13"/>
      <c r="C978" s="13"/>
    </row>
    <row r="979" spans="1:3" ht="13" x14ac:dyDescent="0.15">
      <c r="A979" s="10"/>
      <c r="B979" s="13"/>
      <c r="C979" s="13"/>
    </row>
    <row r="980" spans="1:3" ht="13" x14ac:dyDescent="0.15">
      <c r="A980" s="10"/>
      <c r="B980" s="13"/>
      <c r="C980" s="13"/>
    </row>
    <row r="981" spans="1:3" ht="13" x14ac:dyDescent="0.15">
      <c r="A981" s="10"/>
      <c r="B981" s="13"/>
      <c r="C981" s="13"/>
    </row>
    <row r="982" spans="1:3" ht="13" x14ac:dyDescent="0.15">
      <c r="A982" s="10"/>
      <c r="B982" s="13"/>
      <c r="C982" s="13"/>
    </row>
    <row r="983" spans="1:3" ht="13" x14ac:dyDescent="0.15">
      <c r="A983" s="10"/>
      <c r="B983" s="13"/>
      <c r="C983" s="13"/>
    </row>
    <row r="984" spans="1:3" ht="13" x14ac:dyDescent="0.15">
      <c r="A984" s="10"/>
      <c r="B984" s="13"/>
      <c r="C984" s="13"/>
    </row>
    <row r="985" spans="1:3" ht="13" x14ac:dyDescent="0.15">
      <c r="A985" s="10"/>
      <c r="B985" s="13"/>
      <c r="C985" s="13"/>
    </row>
    <row r="986" spans="1:3" ht="13" x14ac:dyDescent="0.15">
      <c r="A986" s="10"/>
      <c r="B986" s="13"/>
      <c r="C986" s="13"/>
    </row>
    <row r="987" spans="1:3" ht="13" x14ac:dyDescent="0.15">
      <c r="A987" s="10"/>
      <c r="B987" s="13"/>
      <c r="C987" s="13"/>
    </row>
    <row r="988" spans="1:3" ht="13" x14ac:dyDescent="0.15">
      <c r="A988" s="10"/>
      <c r="B988" s="13"/>
      <c r="C988" s="13"/>
    </row>
    <row r="989" spans="1:3" ht="13" x14ac:dyDescent="0.15">
      <c r="A989" s="10"/>
      <c r="B989" s="13"/>
      <c r="C989" s="13"/>
    </row>
    <row r="990" spans="1:3" ht="13" x14ac:dyDescent="0.15">
      <c r="A990" s="10"/>
      <c r="B990" s="13"/>
      <c r="C990" s="13"/>
    </row>
    <row r="991" spans="1:3" ht="13" x14ac:dyDescent="0.15">
      <c r="A991" s="10"/>
      <c r="B991" s="13"/>
      <c r="C991" s="13"/>
    </row>
    <row r="992" spans="1:3" ht="13" x14ac:dyDescent="0.15">
      <c r="A992" s="10"/>
      <c r="B992" s="13"/>
      <c r="C992" s="13"/>
    </row>
    <row r="993" spans="1:3" ht="13" x14ac:dyDescent="0.15">
      <c r="A993" s="10"/>
      <c r="B993" s="13"/>
      <c r="C993" s="13"/>
    </row>
    <row r="994" spans="1:3" ht="13" x14ac:dyDescent="0.15">
      <c r="A994" s="10"/>
      <c r="B994" s="13"/>
      <c r="C994" s="13"/>
    </row>
    <row r="995" spans="1:3" ht="13" x14ac:dyDescent="0.15">
      <c r="A995" s="10"/>
      <c r="B995" s="13"/>
      <c r="C995" s="13"/>
    </row>
    <row r="996" spans="1:3" ht="13" x14ac:dyDescent="0.15">
      <c r="A996" s="10"/>
      <c r="B996" s="13"/>
      <c r="C996" s="13"/>
    </row>
    <row r="997" spans="1:3" ht="13" x14ac:dyDescent="0.15">
      <c r="A997" s="10"/>
      <c r="B997" s="13"/>
      <c r="C997" s="13"/>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outlinePr summaryBelow="0" summaryRight="0"/>
  </sheetPr>
  <dimension ref="A1:D997"/>
  <sheetViews>
    <sheetView workbookViewId="0"/>
  </sheetViews>
  <sheetFormatPr baseColWidth="10" defaultColWidth="12.6640625" defaultRowHeight="15.75" customHeight="1" x14ac:dyDescent="0.15"/>
  <cols>
    <col min="1" max="1" width="71.5" customWidth="1"/>
    <col min="2" max="4" width="37.6640625" customWidth="1"/>
  </cols>
  <sheetData>
    <row r="1" spans="1:4" x14ac:dyDescent="0.2">
      <c r="A1" s="1"/>
      <c r="B1" s="12" t="str">
        <f ca="1">IFERROR(__xludf.DUMMYFUNCTION("IMPORTRANGE(""https://docs.google.com/spreadsheets/d/13SmE7eku7nG0PwUe_FIOCUfCnXVjPMNZ0Q_x8FW6s5I"",""A42!B1:B22"")"),"Josiah Bolton")</f>
        <v>Josiah Bolton</v>
      </c>
      <c r="C1" s="22" t="str">
        <f ca="1">IFERROR(__xludf.DUMMYFUNCTION("IMPORTRANGE(""https://docs.google.com/spreadsheets/u/0/d/1_NcUY7_L0-VKMwwoDwesshr7eGsHFBVPNg4YI6jkjhk"", ""A42!B1:B22"")"),"Noelle Labadens")</f>
        <v>Noelle Labadens</v>
      </c>
      <c r="D1" s="2" t="s">
        <v>1</v>
      </c>
    </row>
    <row r="2" spans="1:4" ht="15.75" customHeight="1" x14ac:dyDescent="0.15">
      <c r="A2" s="3" t="s">
        <v>2</v>
      </c>
      <c r="B2" s="15" t="str">
        <f ca="1">IFERROR(__xludf.DUMMYFUNCTION("""COMPUTED_VALUE"""),"26705-27034 FOR")</f>
        <v>26705-27034 FOR</v>
      </c>
      <c r="C2" s="15" t="str">
        <f ca="1">IFERROR(__xludf.DUMMYFUNCTION("""COMPUTED_VALUE"""),"26705-27034 FOR")</f>
        <v>26705-27034 FOR</v>
      </c>
      <c r="D2" s="4"/>
    </row>
    <row r="3" spans="1:4" ht="15.75" customHeight="1" x14ac:dyDescent="0.15">
      <c r="A3" s="5" t="s">
        <v>3</v>
      </c>
      <c r="B3" s="17" t="str">
        <f ca="1">IFERROR(__xludf.DUMMYFUNCTION("""COMPUTED_VALUE"""),"Gene 41 in DNA Master
Gene 42 on Phamerator")</f>
        <v>Gene 41 in DNA Master
Gene 42 on Phamerator</v>
      </c>
      <c r="C3" s="17" t="str">
        <f ca="1">IFERROR(__xludf.DUMMYFUNCTION("""COMPUTED_VALUE"""),"DNA Master: 41; Phamerator: 42")</f>
        <v>DNA Master: 41; Phamerator: 42</v>
      </c>
      <c r="D3" s="6"/>
    </row>
    <row r="4" spans="1:4" ht="15.75" customHeight="1" x14ac:dyDescent="0.15">
      <c r="A4" s="5" t="s">
        <v>4</v>
      </c>
      <c r="B4" s="17" t="str">
        <f ca="1">IFERROR(__xludf.DUMMYFUNCTION("""COMPUTED_VALUE"""),"199840 3/10/2025")</f>
        <v>199840 3/10/2025</v>
      </c>
      <c r="C4" s="17" t="str">
        <f ca="1">IFERROR(__xludf.DUMMYFUNCTION("""COMPUTED_VALUE"""),"199840 3/10/25")</f>
        <v>199840 3/10/25</v>
      </c>
      <c r="D4" s="6"/>
    </row>
    <row r="5" spans="1:4" ht="15.75" customHeight="1" x14ac:dyDescent="0.15">
      <c r="A5" s="5" t="s">
        <v>5</v>
      </c>
      <c r="B5" s="17" t="str">
        <f ca="1">IFERROR(__xludf.DUMMYFUNCTION("""COMPUTED_VALUE"""),"Kovu 44")</f>
        <v>Kovu 44</v>
      </c>
      <c r="C5" s="17" t="str">
        <f ca="1">IFERROR(__xludf.DUMMYFUNCTION("""COMPUTED_VALUE"""),"Kovu_44")</f>
        <v>Kovu_44</v>
      </c>
      <c r="D5" s="6"/>
    </row>
    <row r="6" spans="1:4" ht="15.75" customHeight="1" x14ac:dyDescent="0.15">
      <c r="A6" s="5" t="s">
        <v>6</v>
      </c>
      <c r="B6" s="17" t="str">
        <f ca="1">IFERROR(__xludf.DUMMYFUNCTION("""COMPUTED_VALUE"""),"Both called 26705")</f>
        <v>Both called 26705</v>
      </c>
      <c r="C6" s="17" t="str">
        <f ca="1">IFERROR(__xludf.DUMMYFUNCTION("""COMPUTED_VALUE"""),"both")</f>
        <v>both</v>
      </c>
      <c r="D6" s="6"/>
    </row>
    <row r="7" spans="1:4" ht="15.75" customHeight="1" x14ac:dyDescent="0.15">
      <c r="A7" s="5" t="s">
        <v>7</v>
      </c>
      <c r="B7" s="17" t="str">
        <f ca="1">IFERROR(__xludf.DUMMYFUNCTION("""COMPUTED_VALUE"""),"There is decent gene coding potential and all is included.")</f>
        <v>There is decent gene coding potential and all is included.</v>
      </c>
      <c r="C7" s="17" t="str">
        <f ca="1">IFERROR(__xludf.DUMMYFUNCTION("""COMPUTED_VALUE"""),"good coding potential, captures all potential")</f>
        <v>good coding potential, captures all potential</v>
      </c>
      <c r="D7" s="6"/>
    </row>
    <row r="8" spans="1:4" ht="15.75" customHeight="1" x14ac:dyDescent="0.15">
      <c r="A8" s="5" t="s">
        <v>8</v>
      </c>
      <c r="B8" s="17" t="str">
        <f ca="1">IFERROR(__xludf.DUMMYFUNCTION("""COMPUTED_VALUE"""),"Yes longest ORF")</f>
        <v>Yes longest ORF</v>
      </c>
      <c r="C8" s="17" t="str">
        <f ca="1">IFERROR(__xludf.DUMMYFUNCTION("""COMPUTED_VALUE"""),"yes")</f>
        <v>yes</v>
      </c>
      <c r="D8" s="6"/>
    </row>
    <row r="9" spans="1:4" ht="15.75" customHeight="1" x14ac:dyDescent="0.15">
      <c r="A9" s="5" t="s">
        <v>9</v>
      </c>
      <c r="B9" s="17" t="str">
        <f ca="1">IFERROR(__xludf.DUMMYFUNCTION("""COMPUTED_VALUE"""),"3 nucleotide overlap.")</f>
        <v>3 nucleotide overlap.</v>
      </c>
      <c r="C9" s="17" t="str">
        <f ca="1">IFERROR(__xludf.DUMMYFUNCTION("""COMPUTED_VALUE"""),"3 nt overlap")</f>
        <v>3 nt overlap</v>
      </c>
      <c r="D9" s="6"/>
    </row>
    <row r="10" spans="1:4" ht="15.75" customHeight="1" x14ac:dyDescent="0.15">
      <c r="A10" s="5" t="s">
        <v>10</v>
      </c>
      <c r="B10" s="17" t="str">
        <f ca="1">IFERROR(__xludf.DUMMYFUNCTION("""COMPUTED_VALUE"""),"Z score is 1.695 and final score is -5.299. There is a better z score at 26759 with 2.488 with a final score of -3.514.")</f>
        <v>Z score is 1.695 and final score is -5.299. There is a better z score at 26759 with 2.488 with a final score of -3.514.</v>
      </c>
      <c r="C10" s="17" t="str">
        <f ca="1">IFERROR(__xludf.DUMMYFUNCTION("""COMPUTED_VALUE"""),"SD: -6.517 Z: 1.392")</f>
        <v>SD: -6.517 Z: 1.392</v>
      </c>
      <c r="D10" s="6"/>
    </row>
    <row r="11" spans="1:4" ht="15.75" customHeight="1" x14ac:dyDescent="0.15">
      <c r="A11" s="5" t="s">
        <v>11</v>
      </c>
      <c r="B11" s="17" t="str">
        <f ca="1">IFERROR(__xludf.DUMMYFUNCTION("""COMPUTED_VALUE"""),"Kovu 44 51.16% identity and e value of 3.0e-14 with query 19 - 104 and target 1- 83.")</f>
        <v>Kovu 44 51.16% identity and e value of 3.0e-14 with query 19 - 104 and target 1- 83.</v>
      </c>
      <c r="C11" s="17" t="str">
        <f ca="1">IFERROR(__xludf.DUMMYFUNCTION("""COMPUTED_VALUE"""),"Kovu_44, 54%, 3e-17")</f>
        <v>Kovu_44, 54%, 3e-17</v>
      </c>
      <c r="D11" s="6"/>
    </row>
    <row r="12" spans="1:4" ht="15.75" customHeight="1" x14ac:dyDescent="0.15">
      <c r="A12" s="5" t="s">
        <v>12</v>
      </c>
      <c r="B12" s="17" t="str">
        <f ca="1">IFERROR(__xludf.DUMMYFUNCTION("""COMPUTED_VALUE"""),"Only Start 1 is in ApoKipo and is called 100% of time when present")</f>
        <v>Only Start 1 is in ApoKipo and is called 100% of time when present</v>
      </c>
      <c r="C12" s="17" t="str">
        <f ca="1">IFERROR(__xludf.DUMMYFUNCTION("""COMPUTED_VALUE"""),"no, 50%")</f>
        <v>no, 50%</v>
      </c>
      <c r="D12" s="6"/>
    </row>
    <row r="13" spans="1:4" ht="15.75" customHeight="1" x14ac:dyDescent="0.15">
      <c r="A13" s="5" t="s">
        <v>13</v>
      </c>
      <c r="B13" s="17" t="str">
        <f ca="1">IFERROR(__xludf.DUMMYFUNCTION("""COMPUTED_VALUE"""),"No start change because then some coding potential will be left out.")</f>
        <v>No start change because then some coding potential will be left out.</v>
      </c>
      <c r="C13" s="17" t="str">
        <f ca="1">IFERROR(__xludf.DUMMYFUNCTION("""COMPUTED_VALUE"""),"no, even though changing the start to Kovu's would make it match, it would create a 51nt gap. no real reason to change start because it has good coding potential")</f>
        <v>no, even though changing the start to Kovu's would make it match, it would create a 51nt gap. no real reason to change start because it has good coding potential</v>
      </c>
      <c r="D13" s="6"/>
    </row>
    <row r="14" spans="1:4" ht="15.75" customHeight="1" x14ac:dyDescent="0.15">
      <c r="A14" s="5" t="s">
        <v>14</v>
      </c>
      <c r="B14" s="17" t="str">
        <f ca="1">IFERROR(__xludf.DUMMYFUNCTION("""COMPUTED_VALUE"""),"Kovu 44 3.0e -14")</f>
        <v>Kovu 44 3.0e -14</v>
      </c>
      <c r="C14" s="17" t="str">
        <f ca="1">IFERROR(__xludf.DUMMYFUNCTION("""COMPUTED_VALUE"""),"Kovu_44 3e-17")</f>
        <v>Kovu_44 3e-17</v>
      </c>
      <c r="D14" s="6"/>
    </row>
    <row r="15" spans="1:4" ht="15.75" customHeight="1" x14ac:dyDescent="0.15">
      <c r="A15" s="5" t="s">
        <v>15</v>
      </c>
      <c r="B15" s="17" t="str">
        <f ca="1">IFERROR(__xludf.DUMMYFUNCTION("""COMPUTED_VALUE"""),"Kovu 44 is hypothetical protein")</f>
        <v>Kovu 44 is hypothetical protein</v>
      </c>
      <c r="C15" s="17" t="str">
        <f ca="1">IFERROR(__xludf.DUMMYFUNCTION("""COMPUTED_VALUE"""),"function unknown, Kovu_44")</f>
        <v>function unknown, Kovu_44</v>
      </c>
      <c r="D15" s="6"/>
    </row>
    <row r="16" spans="1:4" ht="15.75" customHeight="1" x14ac:dyDescent="0.15">
      <c r="A16" s="5" t="s">
        <v>16</v>
      </c>
      <c r="B16" s="17" t="str">
        <f ca="1">IFERROR(__xludf.DUMMYFUNCTION("""COMPUTED_VALUE"""),"Yes would be expected.")</f>
        <v>Yes would be expected.</v>
      </c>
      <c r="C16" s="17" t="str">
        <f ca="1">IFERROR(__xludf.DUMMYFUNCTION("""COMPUTED_VALUE"""),"yes, all genes seen are expected. again, the right side is a little different further down because there is a gap in ApoKipo")</f>
        <v>yes, all genes seen are expected. again, the right side is a little different further down because there is a gap in ApoKipo</v>
      </c>
      <c r="D16" s="6"/>
    </row>
    <row r="17" spans="1:4" ht="15.75" customHeight="1" x14ac:dyDescent="0.15">
      <c r="A17" s="5" t="s">
        <v>17</v>
      </c>
      <c r="B17" s="17" t="str">
        <f ca="1">IFERROR(__xludf.DUMMYFUNCTION("""COMPUTED_VALUE"""),"bL31m; mitoribosome, ribosome, mitochondria, polytomella, fragmentation, rrna, evolution, translation; HET: K, ATP, MG; 2.91A {Polytomella magna}, probability is 73.04% and % alignment of query is 20.91% and the % alignment of target is 31.94%. 
Functiona"&amp;"l domain is not in target part of alignment.")</f>
        <v>bL31m; mitoribosome, ribosome, mitochondria, polytomella, fragmentation, rrna, evolution, translation; HET: K, ATP, MG; 2.91A {Polytomella magna}, probability is 73.04% and % alignment of query is 20.91% and the % alignment of target is 31.94%. 
Functional domain is not in target part of alignment.</v>
      </c>
      <c r="C17" s="17" t="str">
        <f ca="1">IFERROR(__xludf.DUMMYFUNCTION("""COMPUTED_VALUE"""),"all matches are bad! all percents are in the 70s")</f>
        <v>all matches are bad! all percents are in the 70s</v>
      </c>
      <c r="D17" s="6"/>
    </row>
    <row r="18" spans="1:4" ht="15.75" customHeight="1" x14ac:dyDescent="0.15">
      <c r="A18" s="5" t="s">
        <v>18</v>
      </c>
      <c r="B18" s="17" t="str">
        <f ca="1">IFERROR(__xludf.DUMMYFUNCTION("""COMPUTED_VALUE"""),"Hypothetical Protein because no known function.")</f>
        <v>Hypothetical Protein because no known function.</v>
      </c>
      <c r="C18" s="17" t="str">
        <f ca="1">IFERROR(__xludf.DUMMYFUNCTION("""COMPUTED_VALUE"""),"none")</f>
        <v>none</v>
      </c>
      <c r="D18" s="6"/>
    </row>
    <row r="19" spans="1:4" ht="15.75" customHeight="1" x14ac:dyDescent="0.15">
      <c r="A19" s="5" t="s">
        <v>19</v>
      </c>
      <c r="B19" s="17" t="str">
        <f ca="1">IFERROR(__xludf.DUMMYFUNCTION("""COMPUTED_VALUE"""),"None.")</f>
        <v>None.</v>
      </c>
      <c r="C19" s="17" t="str">
        <f ca="1">IFERROR(__xludf.DUMMYFUNCTION("""COMPUTED_VALUE"""),"none")</f>
        <v>none</v>
      </c>
      <c r="D19" s="6"/>
    </row>
    <row r="20" spans="1:4" ht="15.75" customHeight="1" x14ac:dyDescent="0.15">
      <c r="A20" s="5" t="s">
        <v>20</v>
      </c>
      <c r="B20" s="17" t="str">
        <f ca="1">IFERROR(__xludf.DUMMYFUNCTION("""COMPUTED_VALUE"""),"Hypothetical Protein because of evidence from HHPred, Phamerator, and DNA Master.")</f>
        <v>Hypothetical Protein because of evidence from HHPred, Phamerator, and DNA Master.</v>
      </c>
      <c r="C20" s="17" t="str">
        <f ca="1">IFERROR(__xludf.DUMMYFUNCTION("""COMPUTED_VALUE"""),"function unknown. Kovu's is unknown and there are no good hhpred matches")</f>
        <v>function unknown. Kovu's is unknown and there are no good hhpred matches</v>
      </c>
      <c r="D20" s="6"/>
    </row>
    <row r="21" spans="1:4" x14ac:dyDescent="0.2">
      <c r="A21" s="7"/>
      <c r="B21" s="19"/>
      <c r="C21" s="19"/>
      <c r="D21" s="8"/>
    </row>
    <row r="22" spans="1:4" ht="15.75" customHeight="1" x14ac:dyDescent="0.15">
      <c r="A22" s="9" t="s">
        <v>21</v>
      </c>
      <c r="B22" s="19"/>
      <c r="C22" s="19"/>
      <c r="D22" s="8"/>
    </row>
    <row r="23" spans="1:4" ht="15.75" customHeight="1" x14ac:dyDescent="0.15">
      <c r="A23" s="10"/>
      <c r="B23" s="13"/>
      <c r="C23" s="13"/>
    </row>
    <row r="24" spans="1:4" ht="15.75" customHeight="1" x14ac:dyDescent="0.15">
      <c r="A24" s="10"/>
      <c r="B24" s="13"/>
      <c r="C24" s="13"/>
    </row>
    <row r="25" spans="1:4" ht="15.75" customHeight="1" x14ac:dyDescent="0.15">
      <c r="A25" s="10"/>
      <c r="B25" s="13"/>
      <c r="C25" s="13"/>
    </row>
    <row r="26" spans="1:4" ht="15.75" customHeight="1" x14ac:dyDescent="0.15">
      <c r="A26" s="10"/>
      <c r="B26" s="13"/>
      <c r="C26" s="13"/>
    </row>
    <row r="27" spans="1:4" ht="15.75" customHeight="1" x14ac:dyDescent="0.15">
      <c r="A27" s="10"/>
      <c r="B27" s="13"/>
      <c r="C27" s="13"/>
    </row>
    <row r="28" spans="1:4" ht="15.75" customHeight="1" x14ac:dyDescent="0.15">
      <c r="A28" s="10"/>
      <c r="B28" s="13"/>
      <c r="C28" s="13"/>
    </row>
    <row r="29" spans="1:4" ht="15.75" customHeight="1" x14ac:dyDescent="0.15">
      <c r="A29" s="10"/>
      <c r="B29" s="13"/>
      <c r="C29" s="13"/>
    </row>
    <row r="30" spans="1:4" ht="15.75" customHeight="1" x14ac:dyDescent="0.15">
      <c r="A30" s="10"/>
      <c r="B30" s="13"/>
      <c r="C30" s="13"/>
    </row>
    <row r="31" spans="1:4" ht="15.75" customHeight="1" x14ac:dyDescent="0.15">
      <c r="A31" s="10"/>
      <c r="B31" s="13"/>
      <c r="C31" s="13"/>
    </row>
    <row r="32" spans="1:4" ht="15.75" customHeight="1" x14ac:dyDescent="0.15">
      <c r="A32" s="10"/>
      <c r="B32" s="13"/>
      <c r="C32" s="13"/>
    </row>
    <row r="33" spans="1:3" ht="15.75" customHeight="1" x14ac:dyDescent="0.15">
      <c r="A33" s="10"/>
      <c r="B33" s="13"/>
      <c r="C33" s="13"/>
    </row>
    <row r="34" spans="1:3" ht="15.75" customHeight="1" x14ac:dyDescent="0.15">
      <c r="A34" s="10"/>
      <c r="B34" s="13"/>
      <c r="C34" s="13"/>
    </row>
    <row r="35" spans="1:3" ht="15.75" customHeight="1" x14ac:dyDescent="0.15">
      <c r="A35" s="10"/>
      <c r="B35" s="13"/>
      <c r="C35" s="13"/>
    </row>
    <row r="36" spans="1:3" ht="15.75" customHeight="1" x14ac:dyDescent="0.15">
      <c r="A36" s="10"/>
      <c r="B36" s="13"/>
      <c r="C36" s="13"/>
    </row>
    <row r="37" spans="1:3" ht="15.75" customHeight="1" x14ac:dyDescent="0.15">
      <c r="A37" s="10"/>
      <c r="B37" s="13"/>
      <c r="C37" s="13"/>
    </row>
    <row r="38" spans="1:3" ht="15.75" customHeight="1" x14ac:dyDescent="0.15">
      <c r="A38" s="10"/>
      <c r="B38" s="13"/>
      <c r="C38" s="13"/>
    </row>
    <row r="39" spans="1:3" ht="13" x14ac:dyDescent="0.15">
      <c r="A39" s="10"/>
      <c r="B39" s="13"/>
      <c r="C39" s="13"/>
    </row>
    <row r="40" spans="1:3" ht="13" x14ac:dyDescent="0.15">
      <c r="A40" s="10"/>
      <c r="B40" s="13"/>
      <c r="C40" s="13"/>
    </row>
    <row r="41" spans="1:3" ht="13" x14ac:dyDescent="0.15">
      <c r="A41" s="10"/>
      <c r="B41" s="13"/>
      <c r="C41" s="13"/>
    </row>
    <row r="42" spans="1:3" ht="13" x14ac:dyDescent="0.15">
      <c r="A42" s="10"/>
      <c r="B42" s="13"/>
      <c r="C42" s="13"/>
    </row>
    <row r="43" spans="1:3" ht="13" x14ac:dyDescent="0.15">
      <c r="A43" s="10"/>
      <c r="B43" s="13"/>
      <c r="C43" s="13"/>
    </row>
    <row r="44" spans="1:3" ht="13" x14ac:dyDescent="0.15">
      <c r="A44" s="10"/>
      <c r="B44" s="13"/>
      <c r="C44" s="13"/>
    </row>
    <row r="45" spans="1:3" ht="13" x14ac:dyDescent="0.15">
      <c r="A45" s="10"/>
      <c r="B45" s="13"/>
      <c r="C45" s="13"/>
    </row>
    <row r="46" spans="1:3" ht="13" x14ac:dyDescent="0.15">
      <c r="A46" s="10"/>
      <c r="B46" s="13"/>
      <c r="C46" s="13"/>
    </row>
    <row r="47" spans="1:3" ht="13" x14ac:dyDescent="0.15">
      <c r="A47" s="10"/>
      <c r="B47" s="13"/>
      <c r="C47" s="13"/>
    </row>
    <row r="48" spans="1:3" ht="13" x14ac:dyDescent="0.15">
      <c r="A48" s="10"/>
      <c r="B48" s="13"/>
      <c r="C48" s="13"/>
    </row>
    <row r="49" spans="1:3" ht="13" x14ac:dyDescent="0.15">
      <c r="A49" s="10"/>
      <c r="B49" s="13"/>
      <c r="C49" s="13"/>
    </row>
    <row r="50" spans="1:3" ht="13" x14ac:dyDescent="0.15">
      <c r="A50" s="10"/>
      <c r="B50" s="13"/>
      <c r="C50" s="13"/>
    </row>
    <row r="51" spans="1:3" ht="13" x14ac:dyDescent="0.15">
      <c r="A51" s="10"/>
      <c r="B51" s="13"/>
      <c r="C51" s="13"/>
    </row>
    <row r="52" spans="1:3" ht="13" x14ac:dyDescent="0.15">
      <c r="A52" s="10"/>
      <c r="B52" s="13"/>
      <c r="C52" s="13"/>
    </row>
    <row r="53" spans="1:3" ht="13" x14ac:dyDescent="0.15">
      <c r="A53" s="10"/>
      <c r="B53" s="13"/>
      <c r="C53" s="13"/>
    </row>
    <row r="54" spans="1:3" ht="13" x14ac:dyDescent="0.15">
      <c r="A54" s="10"/>
      <c r="B54" s="13"/>
      <c r="C54" s="13"/>
    </row>
    <row r="55" spans="1:3" ht="13" x14ac:dyDescent="0.15">
      <c r="A55" s="10"/>
      <c r="B55" s="13"/>
      <c r="C55" s="13"/>
    </row>
    <row r="56" spans="1:3" ht="13" x14ac:dyDescent="0.15">
      <c r="A56" s="10"/>
      <c r="B56" s="13"/>
      <c r="C56" s="13"/>
    </row>
    <row r="57" spans="1:3" ht="13" x14ac:dyDescent="0.15">
      <c r="A57" s="10"/>
      <c r="B57" s="13"/>
      <c r="C57" s="13"/>
    </row>
    <row r="58" spans="1:3" ht="13" x14ac:dyDescent="0.15">
      <c r="A58" s="10"/>
      <c r="B58" s="13"/>
      <c r="C58" s="13"/>
    </row>
    <row r="59" spans="1:3" ht="13" x14ac:dyDescent="0.15">
      <c r="A59" s="10"/>
      <c r="B59" s="13"/>
      <c r="C59" s="13"/>
    </row>
    <row r="60" spans="1:3" ht="13" x14ac:dyDescent="0.15">
      <c r="A60" s="10"/>
      <c r="B60" s="13"/>
      <c r="C60" s="13"/>
    </row>
    <row r="61" spans="1:3" ht="13" x14ac:dyDescent="0.15">
      <c r="A61" s="10"/>
      <c r="B61" s="13"/>
      <c r="C61" s="13"/>
    </row>
    <row r="62" spans="1:3" ht="13" x14ac:dyDescent="0.15">
      <c r="A62" s="10"/>
      <c r="B62" s="13"/>
      <c r="C62" s="13"/>
    </row>
    <row r="63" spans="1:3" ht="13" x14ac:dyDescent="0.15">
      <c r="A63" s="10"/>
      <c r="B63" s="13"/>
      <c r="C63" s="13"/>
    </row>
    <row r="64" spans="1:3" ht="13" x14ac:dyDescent="0.15">
      <c r="A64" s="10"/>
      <c r="B64" s="13"/>
      <c r="C64" s="13"/>
    </row>
    <row r="65" spans="1:3" ht="13" x14ac:dyDescent="0.15">
      <c r="A65" s="10"/>
      <c r="B65" s="13"/>
      <c r="C65" s="13"/>
    </row>
    <row r="66" spans="1:3" ht="13" x14ac:dyDescent="0.15">
      <c r="A66" s="10"/>
      <c r="B66" s="13"/>
      <c r="C66" s="13"/>
    </row>
    <row r="67" spans="1:3" ht="13" x14ac:dyDescent="0.15">
      <c r="A67" s="10"/>
      <c r="B67" s="13"/>
      <c r="C67" s="13"/>
    </row>
    <row r="68" spans="1:3" ht="13" x14ac:dyDescent="0.15">
      <c r="A68" s="10"/>
      <c r="B68" s="13"/>
      <c r="C68" s="13"/>
    </row>
    <row r="69" spans="1:3" ht="13" x14ac:dyDescent="0.15">
      <c r="A69" s="10"/>
      <c r="B69" s="13"/>
      <c r="C69" s="13"/>
    </row>
    <row r="70" spans="1:3" ht="13" x14ac:dyDescent="0.15">
      <c r="A70" s="10"/>
      <c r="B70" s="13"/>
      <c r="C70" s="13"/>
    </row>
    <row r="71" spans="1:3" ht="13" x14ac:dyDescent="0.15">
      <c r="A71" s="10"/>
      <c r="B71" s="13"/>
      <c r="C71" s="13"/>
    </row>
    <row r="72" spans="1:3" ht="13" x14ac:dyDescent="0.15">
      <c r="A72" s="10"/>
      <c r="B72" s="13"/>
      <c r="C72" s="13"/>
    </row>
    <row r="73" spans="1:3" ht="13" x14ac:dyDescent="0.15">
      <c r="A73" s="10"/>
      <c r="B73" s="13"/>
      <c r="C73" s="13"/>
    </row>
    <row r="74" spans="1:3" ht="13" x14ac:dyDescent="0.15">
      <c r="A74" s="10"/>
      <c r="B74" s="13"/>
      <c r="C74" s="13"/>
    </row>
    <row r="75" spans="1:3" ht="13" x14ac:dyDescent="0.15">
      <c r="A75" s="10"/>
      <c r="B75" s="13"/>
      <c r="C75" s="13"/>
    </row>
    <row r="76" spans="1:3" ht="13" x14ac:dyDescent="0.15">
      <c r="A76" s="10"/>
      <c r="B76" s="13"/>
      <c r="C76" s="13"/>
    </row>
    <row r="77" spans="1:3" ht="13" x14ac:dyDescent="0.15">
      <c r="A77" s="10"/>
      <c r="B77" s="13"/>
      <c r="C77" s="13"/>
    </row>
    <row r="78" spans="1:3" ht="13" x14ac:dyDescent="0.15">
      <c r="A78" s="10"/>
      <c r="B78" s="13"/>
      <c r="C78" s="13"/>
    </row>
    <row r="79" spans="1:3" ht="13" x14ac:dyDescent="0.15">
      <c r="A79" s="10"/>
      <c r="B79" s="13"/>
      <c r="C79" s="13"/>
    </row>
    <row r="80" spans="1:3" ht="13" x14ac:dyDescent="0.15">
      <c r="A80" s="10"/>
      <c r="B80" s="13"/>
      <c r="C80" s="13"/>
    </row>
    <row r="81" spans="1:3" ht="13" x14ac:dyDescent="0.15">
      <c r="A81" s="10"/>
      <c r="B81" s="13"/>
      <c r="C81" s="13"/>
    </row>
    <row r="82" spans="1:3" ht="13" x14ac:dyDescent="0.15">
      <c r="A82" s="10"/>
      <c r="B82" s="13"/>
      <c r="C82" s="13"/>
    </row>
    <row r="83" spans="1:3" ht="13" x14ac:dyDescent="0.15">
      <c r="A83" s="10"/>
      <c r="B83" s="13"/>
      <c r="C83" s="13"/>
    </row>
    <row r="84" spans="1:3" ht="13" x14ac:dyDescent="0.15">
      <c r="A84" s="10"/>
      <c r="B84" s="13"/>
      <c r="C84" s="13"/>
    </row>
    <row r="85" spans="1:3" ht="13" x14ac:dyDescent="0.15">
      <c r="A85" s="10"/>
      <c r="B85" s="13"/>
      <c r="C85" s="13"/>
    </row>
    <row r="86" spans="1:3" ht="13" x14ac:dyDescent="0.15">
      <c r="A86" s="10"/>
      <c r="B86" s="13"/>
      <c r="C86" s="13"/>
    </row>
    <row r="87" spans="1:3" ht="13" x14ac:dyDescent="0.15">
      <c r="A87" s="10"/>
      <c r="B87" s="13"/>
      <c r="C87" s="13"/>
    </row>
    <row r="88" spans="1:3" ht="13" x14ac:dyDescent="0.15">
      <c r="A88" s="10"/>
      <c r="B88" s="13"/>
      <c r="C88" s="13"/>
    </row>
    <row r="89" spans="1:3" ht="13" x14ac:dyDescent="0.15">
      <c r="A89" s="10"/>
      <c r="B89" s="13"/>
      <c r="C89" s="13"/>
    </row>
    <row r="90" spans="1:3" ht="13" x14ac:dyDescent="0.15">
      <c r="A90" s="10"/>
      <c r="B90" s="13"/>
      <c r="C90" s="13"/>
    </row>
    <row r="91" spans="1:3" ht="13" x14ac:dyDescent="0.15">
      <c r="A91" s="10"/>
      <c r="B91" s="13"/>
      <c r="C91" s="13"/>
    </row>
    <row r="92" spans="1:3" ht="13" x14ac:dyDescent="0.15">
      <c r="A92" s="10"/>
      <c r="B92" s="13"/>
      <c r="C92" s="13"/>
    </row>
    <row r="93" spans="1:3" ht="13" x14ac:dyDescent="0.15">
      <c r="A93" s="10"/>
      <c r="B93" s="13"/>
      <c r="C93" s="13"/>
    </row>
    <row r="94" spans="1:3" ht="13" x14ac:dyDescent="0.15">
      <c r="A94" s="10"/>
      <c r="B94" s="13"/>
      <c r="C94" s="13"/>
    </row>
    <row r="95" spans="1:3" ht="13" x14ac:dyDescent="0.15">
      <c r="A95" s="10"/>
      <c r="B95" s="13"/>
      <c r="C95" s="13"/>
    </row>
    <row r="96" spans="1:3" ht="13" x14ac:dyDescent="0.15">
      <c r="A96" s="10"/>
      <c r="B96" s="13"/>
      <c r="C96" s="13"/>
    </row>
    <row r="97" spans="1:3" ht="13" x14ac:dyDescent="0.15">
      <c r="A97" s="10"/>
      <c r="B97" s="13"/>
      <c r="C97" s="13"/>
    </row>
    <row r="98" spans="1:3" ht="13" x14ac:dyDescent="0.15">
      <c r="A98" s="10"/>
      <c r="B98" s="13"/>
      <c r="C98" s="13"/>
    </row>
    <row r="99" spans="1:3" ht="13" x14ac:dyDescent="0.15">
      <c r="A99" s="10"/>
      <c r="B99" s="13"/>
      <c r="C99" s="13"/>
    </row>
    <row r="100" spans="1:3" ht="13" x14ac:dyDescent="0.15">
      <c r="A100" s="10"/>
      <c r="B100" s="13"/>
      <c r="C100" s="13"/>
    </row>
    <row r="101" spans="1:3" ht="13" x14ac:dyDescent="0.15">
      <c r="A101" s="10"/>
      <c r="B101" s="13"/>
      <c r="C101" s="13"/>
    </row>
    <row r="102" spans="1:3" ht="13" x14ac:dyDescent="0.15">
      <c r="A102" s="10"/>
      <c r="B102" s="13"/>
      <c r="C102" s="13"/>
    </row>
    <row r="103" spans="1:3" ht="13" x14ac:dyDescent="0.15">
      <c r="A103" s="10"/>
      <c r="B103" s="13"/>
      <c r="C103" s="13"/>
    </row>
    <row r="104" spans="1:3" ht="13" x14ac:dyDescent="0.15">
      <c r="A104" s="10"/>
      <c r="B104" s="13"/>
      <c r="C104" s="13"/>
    </row>
    <row r="105" spans="1:3" ht="13" x14ac:dyDescent="0.15">
      <c r="A105" s="10"/>
      <c r="B105" s="13"/>
      <c r="C105" s="13"/>
    </row>
    <row r="106" spans="1:3" ht="13" x14ac:dyDescent="0.15">
      <c r="A106" s="10"/>
      <c r="B106" s="13"/>
      <c r="C106" s="13"/>
    </row>
    <row r="107" spans="1:3" ht="13" x14ac:dyDescent="0.15">
      <c r="A107" s="10"/>
      <c r="B107" s="13"/>
      <c r="C107" s="13"/>
    </row>
    <row r="108" spans="1:3" ht="13" x14ac:dyDescent="0.15">
      <c r="A108" s="10"/>
      <c r="B108" s="13"/>
      <c r="C108" s="13"/>
    </row>
    <row r="109" spans="1:3" ht="13" x14ac:dyDescent="0.15">
      <c r="A109" s="10"/>
      <c r="B109" s="13"/>
      <c r="C109" s="13"/>
    </row>
    <row r="110" spans="1:3" ht="13" x14ac:dyDescent="0.15">
      <c r="A110" s="10"/>
      <c r="B110" s="13"/>
      <c r="C110" s="13"/>
    </row>
    <row r="111" spans="1:3" ht="13" x14ac:dyDescent="0.15">
      <c r="A111" s="10"/>
      <c r="B111" s="13"/>
      <c r="C111" s="13"/>
    </row>
    <row r="112" spans="1:3" ht="13" x14ac:dyDescent="0.15">
      <c r="A112" s="10"/>
      <c r="B112" s="13"/>
      <c r="C112" s="13"/>
    </row>
    <row r="113" spans="1:3" ht="13" x14ac:dyDescent="0.15">
      <c r="A113" s="10"/>
      <c r="B113" s="13"/>
      <c r="C113" s="13"/>
    </row>
    <row r="114" spans="1:3" ht="13" x14ac:dyDescent="0.15">
      <c r="A114" s="10"/>
      <c r="B114" s="13"/>
      <c r="C114" s="13"/>
    </row>
    <row r="115" spans="1:3" ht="13" x14ac:dyDescent="0.15">
      <c r="A115" s="10"/>
      <c r="B115" s="13"/>
      <c r="C115" s="13"/>
    </row>
    <row r="116" spans="1:3" ht="13" x14ac:dyDescent="0.15">
      <c r="A116" s="10"/>
      <c r="B116" s="13"/>
      <c r="C116" s="13"/>
    </row>
    <row r="117" spans="1:3" ht="13" x14ac:dyDescent="0.15">
      <c r="A117" s="10"/>
      <c r="B117" s="13"/>
      <c r="C117" s="13"/>
    </row>
    <row r="118" spans="1:3" ht="13" x14ac:dyDescent="0.15">
      <c r="A118" s="10"/>
      <c r="B118" s="13"/>
      <c r="C118" s="13"/>
    </row>
    <row r="119" spans="1:3" ht="13" x14ac:dyDescent="0.15">
      <c r="A119" s="10"/>
      <c r="B119" s="13"/>
      <c r="C119" s="13"/>
    </row>
    <row r="120" spans="1:3" ht="13" x14ac:dyDescent="0.15">
      <c r="A120" s="10"/>
      <c r="B120" s="13"/>
      <c r="C120" s="13"/>
    </row>
    <row r="121" spans="1:3" ht="13" x14ac:dyDescent="0.15">
      <c r="A121" s="10"/>
      <c r="B121" s="13"/>
      <c r="C121" s="13"/>
    </row>
    <row r="122" spans="1:3" ht="13" x14ac:dyDescent="0.15">
      <c r="A122" s="10"/>
      <c r="B122" s="13"/>
      <c r="C122" s="13"/>
    </row>
    <row r="123" spans="1:3" ht="13" x14ac:dyDescent="0.15">
      <c r="A123" s="10"/>
      <c r="B123" s="13"/>
      <c r="C123" s="13"/>
    </row>
    <row r="124" spans="1:3" ht="13" x14ac:dyDescent="0.15">
      <c r="A124" s="10"/>
      <c r="B124" s="13"/>
      <c r="C124" s="13"/>
    </row>
    <row r="125" spans="1:3" ht="13" x14ac:dyDescent="0.15">
      <c r="A125" s="10"/>
      <c r="B125" s="13"/>
      <c r="C125" s="13"/>
    </row>
    <row r="126" spans="1:3" ht="13" x14ac:dyDescent="0.15">
      <c r="A126" s="10"/>
      <c r="B126" s="13"/>
      <c r="C126" s="13"/>
    </row>
    <row r="127" spans="1:3" ht="13" x14ac:dyDescent="0.15">
      <c r="A127" s="10"/>
      <c r="B127" s="13"/>
      <c r="C127" s="13"/>
    </row>
    <row r="128" spans="1:3" ht="13" x14ac:dyDescent="0.15">
      <c r="A128" s="10"/>
      <c r="B128" s="13"/>
      <c r="C128" s="13"/>
    </row>
    <row r="129" spans="1:3" ht="13" x14ac:dyDescent="0.15">
      <c r="A129" s="10"/>
      <c r="B129" s="13"/>
      <c r="C129" s="13"/>
    </row>
    <row r="130" spans="1:3" ht="13" x14ac:dyDescent="0.15">
      <c r="A130" s="10"/>
      <c r="B130" s="13"/>
      <c r="C130" s="13"/>
    </row>
    <row r="131" spans="1:3" ht="13" x14ac:dyDescent="0.15">
      <c r="A131" s="10"/>
      <c r="B131" s="13"/>
      <c r="C131" s="13"/>
    </row>
    <row r="132" spans="1:3" ht="13" x14ac:dyDescent="0.15">
      <c r="A132" s="10"/>
      <c r="B132" s="13"/>
      <c r="C132" s="13"/>
    </row>
    <row r="133" spans="1:3" ht="13" x14ac:dyDescent="0.15">
      <c r="A133" s="10"/>
      <c r="B133" s="13"/>
      <c r="C133" s="13"/>
    </row>
    <row r="134" spans="1:3" ht="13" x14ac:dyDescent="0.15">
      <c r="A134" s="10"/>
      <c r="B134" s="13"/>
      <c r="C134" s="13"/>
    </row>
    <row r="135" spans="1:3" ht="13" x14ac:dyDescent="0.15">
      <c r="A135" s="10"/>
      <c r="B135" s="13"/>
      <c r="C135" s="13"/>
    </row>
    <row r="136" spans="1:3" ht="13" x14ac:dyDescent="0.15">
      <c r="A136" s="10"/>
      <c r="B136" s="13"/>
      <c r="C136" s="13"/>
    </row>
    <row r="137" spans="1:3" ht="13" x14ac:dyDescent="0.15">
      <c r="A137" s="10"/>
      <c r="B137" s="13"/>
      <c r="C137" s="13"/>
    </row>
    <row r="138" spans="1:3" ht="13" x14ac:dyDescent="0.15">
      <c r="A138" s="10"/>
      <c r="B138" s="13"/>
      <c r="C138" s="13"/>
    </row>
    <row r="139" spans="1:3" ht="13" x14ac:dyDescent="0.15">
      <c r="A139" s="10"/>
      <c r="B139" s="13"/>
      <c r="C139" s="13"/>
    </row>
    <row r="140" spans="1:3" ht="13" x14ac:dyDescent="0.15">
      <c r="A140" s="10"/>
      <c r="B140" s="13"/>
      <c r="C140" s="13"/>
    </row>
    <row r="141" spans="1:3" ht="13" x14ac:dyDescent="0.15">
      <c r="A141" s="10"/>
      <c r="B141" s="13"/>
      <c r="C141" s="13"/>
    </row>
    <row r="142" spans="1:3" ht="13" x14ac:dyDescent="0.15">
      <c r="A142" s="10"/>
      <c r="B142" s="13"/>
      <c r="C142" s="13"/>
    </row>
    <row r="143" spans="1:3" ht="13" x14ac:dyDescent="0.15">
      <c r="A143" s="10"/>
      <c r="B143" s="13"/>
      <c r="C143" s="13"/>
    </row>
    <row r="144" spans="1:3" ht="13" x14ac:dyDescent="0.15">
      <c r="A144" s="10"/>
      <c r="B144" s="13"/>
      <c r="C144" s="13"/>
    </row>
    <row r="145" spans="1:3" ht="13" x14ac:dyDescent="0.15">
      <c r="A145" s="10"/>
      <c r="B145" s="13"/>
      <c r="C145" s="13"/>
    </row>
    <row r="146" spans="1:3" ht="13" x14ac:dyDescent="0.15">
      <c r="A146" s="10"/>
      <c r="B146" s="13"/>
      <c r="C146" s="13"/>
    </row>
    <row r="147" spans="1:3" ht="13" x14ac:dyDescent="0.15">
      <c r="A147" s="10"/>
      <c r="B147" s="13"/>
      <c r="C147" s="13"/>
    </row>
    <row r="148" spans="1:3" ht="13" x14ac:dyDescent="0.15">
      <c r="A148" s="10"/>
      <c r="B148" s="13"/>
      <c r="C148" s="13"/>
    </row>
    <row r="149" spans="1:3" ht="13" x14ac:dyDescent="0.15">
      <c r="A149" s="10"/>
      <c r="B149" s="13"/>
      <c r="C149" s="13"/>
    </row>
    <row r="150" spans="1:3" ht="13" x14ac:dyDescent="0.15">
      <c r="A150" s="10"/>
      <c r="B150" s="13"/>
      <c r="C150" s="13"/>
    </row>
    <row r="151" spans="1:3" ht="13" x14ac:dyDescent="0.15">
      <c r="A151" s="10"/>
      <c r="B151" s="13"/>
      <c r="C151" s="13"/>
    </row>
    <row r="152" spans="1:3" ht="13" x14ac:dyDescent="0.15">
      <c r="A152" s="10"/>
      <c r="B152" s="13"/>
      <c r="C152" s="13"/>
    </row>
    <row r="153" spans="1:3" ht="13" x14ac:dyDescent="0.15">
      <c r="A153" s="10"/>
      <c r="B153" s="13"/>
      <c r="C153" s="13"/>
    </row>
    <row r="154" spans="1:3" ht="13" x14ac:dyDescent="0.15">
      <c r="A154" s="10"/>
      <c r="B154" s="13"/>
      <c r="C154" s="13"/>
    </row>
    <row r="155" spans="1:3" ht="13" x14ac:dyDescent="0.15">
      <c r="A155" s="10"/>
      <c r="B155" s="13"/>
      <c r="C155" s="13"/>
    </row>
    <row r="156" spans="1:3" ht="13" x14ac:dyDescent="0.15">
      <c r="A156" s="10"/>
      <c r="B156" s="13"/>
      <c r="C156" s="13"/>
    </row>
    <row r="157" spans="1:3" ht="13" x14ac:dyDescent="0.15">
      <c r="A157" s="10"/>
      <c r="B157" s="13"/>
      <c r="C157" s="13"/>
    </row>
    <row r="158" spans="1:3" ht="13" x14ac:dyDescent="0.15">
      <c r="A158" s="10"/>
      <c r="B158" s="13"/>
      <c r="C158" s="13"/>
    </row>
    <row r="159" spans="1:3" ht="13" x14ac:dyDescent="0.15">
      <c r="A159" s="10"/>
      <c r="B159" s="13"/>
      <c r="C159" s="13"/>
    </row>
    <row r="160" spans="1:3" ht="13" x14ac:dyDescent="0.15">
      <c r="A160" s="10"/>
      <c r="B160" s="13"/>
      <c r="C160" s="13"/>
    </row>
    <row r="161" spans="1:3" ht="13" x14ac:dyDescent="0.15">
      <c r="A161" s="10"/>
      <c r="B161" s="13"/>
      <c r="C161" s="13"/>
    </row>
    <row r="162" spans="1:3" ht="13" x14ac:dyDescent="0.15">
      <c r="A162" s="10"/>
      <c r="B162" s="13"/>
      <c r="C162" s="13"/>
    </row>
    <row r="163" spans="1:3" ht="13" x14ac:dyDescent="0.15">
      <c r="A163" s="10"/>
      <c r="B163" s="13"/>
      <c r="C163" s="13"/>
    </row>
    <row r="164" spans="1:3" ht="13" x14ac:dyDescent="0.15">
      <c r="A164" s="10"/>
      <c r="B164" s="13"/>
      <c r="C164" s="13"/>
    </row>
    <row r="165" spans="1:3" ht="13" x14ac:dyDescent="0.15">
      <c r="A165" s="10"/>
      <c r="B165" s="13"/>
      <c r="C165" s="13"/>
    </row>
    <row r="166" spans="1:3" ht="13" x14ac:dyDescent="0.15">
      <c r="A166" s="10"/>
      <c r="B166" s="13"/>
      <c r="C166" s="13"/>
    </row>
    <row r="167" spans="1:3" ht="13" x14ac:dyDescent="0.15">
      <c r="A167" s="10"/>
      <c r="B167" s="13"/>
      <c r="C167" s="13"/>
    </row>
    <row r="168" spans="1:3" ht="13" x14ac:dyDescent="0.15">
      <c r="A168" s="10"/>
      <c r="B168" s="13"/>
      <c r="C168" s="13"/>
    </row>
    <row r="169" spans="1:3" ht="13" x14ac:dyDescent="0.15">
      <c r="A169" s="10"/>
      <c r="B169" s="13"/>
      <c r="C169" s="13"/>
    </row>
    <row r="170" spans="1:3" ht="13" x14ac:dyDescent="0.15">
      <c r="A170" s="10"/>
      <c r="B170" s="13"/>
      <c r="C170" s="13"/>
    </row>
    <row r="171" spans="1:3" ht="13" x14ac:dyDescent="0.15">
      <c r="A171" s="10"/>
      <c r="B171" s="13"/>
      <c r="C171" s="13"/>
    </row>
    <row r="172" spans="1:3" ht="13" x14ac:dyDescent="0.15">
      <c r="A172" s="10"/>
      <c r="B172" s="13"/>
      <c r="C172" s="13"/>
    </row>
    <row r="173" spans="1:3" ht="13" x14ac:dyDescent="0.15">
      <c r="A173" s="10"/>
      <c r="B173" s="13"/>
      <c r="C173" s="13"/>
    </row>
    <row r="174" spans="1:3" ht="13" x14ac:dyDescent="0.15">
      <c r="A174" s="10"/>
      <c r="B174" s="13"/>
      <c r="C174" s="13"/>
    </row>
    <row r="175" spans="1:3" ht="13" x14ac:dyDescent="0.15">
      <c r="A175" s="10"/>
      <c r="B175" s="13"/>
      <c r="C175" s="13"/>
    </row>
    <row r="176" spans="1:3" ht="13" x14ac:dyDescent="0.15">
      <c r="A176" s="10"/>
      <c r="B176" s="13"/>
      <c r="C176" s="13"/>
    </row>
    <row r="177" spans="1:3" ht="13" x14ac:dyDescent="0.15">
      <c r="A177" s="10"/>
      <c r="B177" s="13"/>
      <c r="C177" s="13"/>
    </row>
    <row r="178" spans="1:3" ht="13" x14ac:dyDescent="0.15">
      <c r="A178" s="10"/>
      <c r="B178" s="13"/>
      <c r="C178" s="13"/>
    </row>
    <row r="179" spans="1:3" ht="13" x14ac:dyDescent="0.15">
      <c r="A179" s="10"/>
      <c r="B179" s="13"/>
      <c r="C179" s="13"/>
    </row>
    <row r="180" spans="1:3" ht="13" x14ac:dyDescent="0.15">
      <c r="A180" s="10"/>
      <c r="B180" s="13"/>
      <c r="C180" s="13"/>
    </row>
    <row r="181" spans="1:3" ht="13" x14ac:dyDescent="0.15">
      <c r="A181" s="10"/>
      <c r="B181" s="13"/>
      <c r="C181" s="13"/>
    </row>
    <row r="182" spans="1:3" ht="13" x14ac:dyDescent="0.15">
      <c r="A182" s="10"/>
      <c r="B182" s="13"/>
      <c r="C182" s="13"/>
    </row>
    <row r="183" spans="1:3" ht="13" x14ac:dyDescent="0.15">
      <c r="A183" s="10"/>
      <c r="B183" s="13"/>
      <c r="C183" s="13"/>
    </row>
    <row r="184" spans="1:3" ht="13" x14ac:dyDescent="0.15">
      <c r="A184" s="10"/>
      <c r="B184" s="13"/>
      <c r="C184" s="13"/>
    </row>
    <row r="185" spans="1:3" ht="13" x14ac:dyDescent="0.15">
      <c r="A185" s="10"/>
      <c r="B185" s="13"/>
      <c r="C185" s="13"/>
    </row>
    <row r="186" spans="1:3" ht="13" x14ac:dyDescent="0.15">
      <c r="A186" s="10"/>
      <c r="B186" s="13"/>
      <c r="C186" s="13"/>
    </row>
    <row r="187" spans="1:3" ht="13" x14ac:dyDescent="0.15">
      <c r="A187" s="10"/>
      <c r="B187" s="13"/>
      <c r="C187" s="13"/>
    </row>
    <row r="188" spans="1:3" ht="13" x14ac:dyDescent="0.15">
      <c r="A188" s="10"/>
      <c r="B188" s="13"/>
      <c r="C188" s="13"/>
    </row>
    <row r="189" spans="1:3" ht="13" x14ac:dyDescent="0.15">
      <c r="A189" s="10"/>
      <c r="B189" s="13"/>
      <c r="C189" s="13"/>
    </row>
    <row r="190" spans="1:3" ht="13" x14ac:dyDescent="0.15">
      <c r="A190" s="10"/>
      <c r="B190" s="13"/>
      <c r="C190" s="13"/>
    </row>
    <row r="191" spans="1:3" ht="13" x14ac:dyDescent="0.15">
      <c r="A191" s="10"/>
      <c r="B191" s="13"/>
      <c r="C191" s="13"/>
    </row>
    <row r="192" spans="1:3" ht="13" x14ac:dyDescent="0.15">
      <c r="A192" s="10"/>
      <c r="B192" s="13"/>
      <c r="C192" s="13"/>
    </row>
    <row r="193" spans="1:3" ht="13" x14ac:dyDescent="0.15">
      <c r="A193" s="10"/>
      <c r="B193" s="13"/>
      <c r="C193" s="13"/>
    </row>
    <row r="194" spans="1:3" ht="13" x14ac:dyDescent="0.15">
      <c r="A194" s="10"/>
      <c r="B194" s="13"/>
      <c r="C194" s="13"/>
    </row>
    <row r="195" spans="1:3" ht="13" x14ac:dyDescent="0.15">
      <c r="A195" s="10"/>
      <c r="B195" s="13"/>
      <c r="C195" s="13"/>
    </row>
    <row r="196" spans="1:3" ht="13" x14ac:dyDescent="0.15">
      <c r="A196" s="10"/>
      <c r="B196" s="13"/>
      <c r="C196" s="13"/>
    </row>
    <row r="197" spans="1:3" ht="13" x14ac:dyDescent="0.15">
      <c r="A197" s="10"/>
      <c r="B197" s="13"/>
      <c r="C197" s="13"/>
    </row>
    <row r="198" spans="1:3" ht="13" x14ac:dyDescent="0.15">
      <c r="A198" s="10"/>
      <c r="B198" s="13"/>
      <c r="C198" s="13"/>
    </row>
    <row r="199" spans="1:3" ht="13" x14ac:dyDescent="0.15">
      <c r="A199" s="10"/>
      <c r="B199" s="13"/>
      <c r="C199" s="13"/>
    </row>
    <row r="200" spans="1:3" ht="13" x14ac:dyDescent="0.15">
      <c r="A200" s="10"/>
      <c r="B200" s="13"/>
      <c r="C200" s="13"/>
    </row>
    <row r="201" spans="1:3" ht="13" x14ac:dyDescent="0.15">
      <c r="A201" s="10"/>
      <c r="B201" s="13"/>
      <c r="C201" s="13"/>
    </row>
    <row r="202" spans="1:3" ht="13" x14ac:dyDescent="0.15">
      <c r="A202" s="10"/>
      <c r="B202" s="13"/>
      <c r="C202" s="13"/>
    </row>
    <row r="203" spans="1:3" ht="13" x14ac:dyDescent="0.15">
      <c r="A203" s="10"/>
      <c r="B203" s="13"/>
      <c r="C203" s="13"/>
    </row>
    <row r="204" spans="1:3" ht="13" x14ac:dyDescent="0.15">
      <c r="A204" s="10"/>
      <c r="B204" s="13"/>
      <c r="C204" s="13"/>
    </row>
    <row r="205" spans="1:3" ht="13" x14ac:dyDescent="0.15">
      <c r="A205" s="10"/>
      <c r="B205" s="13"/>
      <c r="C205" s="13"/>
    </row>
    <row r="206" spans="1:3" ht="13" x14ac:dyDescent="0.15">
      <c r="A206" s="10"/>
      <c r="B206" s="13"/>
      <c r="C206" s="13"/>
    </row>
    <row r="207" spans="1:3" ht="13" x14ac:dyDescent="0.15">
      <c r="A207" s="10"/>
      <c r="B207" s="13"/>
      <c r="C207" s="13"/>
    </row>
    <row r="208" spans="1:3" ht="13" x14ac:dyDescent="0.15">
      <c r="A208" s="10"/>
      <c r="B208" s="13"/>
      <c r="C208" s="13"/>
    </row>
    <row r="209" spans="1:3" ht="13" x14ac:dyDescent="0.15">
      <c r="A209" s="10"/>
      <c r="B209" s="13"/>
      <c r="C209" s="13"/>
    </row>
    <row r="210" spans="1:3" ht="13" x14ac:dyDescent="0.15">
      <c r="A210" s="10"/>
      <c r="B210" s="13"/>
      <c r="C210" s="13"/>
    </row>
    <row r="211" spans="1:3" ht="13" x14ac:dyDescent="0.15">
      <c r="A211" s="10"/>
      <c r="B211" s="13"/>
      <c r="C211" s="13"/>
    </row>
    <row r="212" spans="1:3" ht="13" x14ac:dyDescent="0.15">
      <c r="A212" s="10"/>
      <c r="B212" s="13"/>
      <c r="C212" s="13"/>
    </row>
    <row r="213" spans="1:3" ht="13" x14ac:dyDescent="0.15">
      <c r="A213" s="10"/>
      <c r="B213" s="13"/>
      <c r="C213" s="13"/>
    </row>
    <row r="214" spans="1:3" ht="13" x14ac:dyDescent="0.15">
      <c r="A214" s="10"/>
      <c r="B214" s="13"/>
      <c r="C214" s="13"/>
    </row>
    <row r="215" spans="1:3" ht="13" x14ac:dyDescent="0.15">
      <c r="A215" s="10"/>
      <c r="B215" s="13"/>
      <c r="C215" s="13"/>
    </row>
    <row r="216" spans="1:3" ht="13" x14ac:dyDescent="0.15">
      <c r="A216" s="10"/>
      <c r="B216" s="13"/>
      <c r="C216" s="13"/>
    </row>
    <row r="217" spans="1:3" ht="13" x14ac:dyDescent="0.15">
      <c r="A217" s="10"/>
      <c r="B217" s="13"/>
      <c r="C217" s="13"/>
    </row>
    <row r="218" spans="1:3" ht="13" x14ac:dyDescent="0.15">
      <c r="A218" s="10"/>
      <c r="B218" s="13"/>
      <c r="C218" s="13"/>
    </row>
    <row r="219" spans="1:3" ht="13" x14ac:dyDescent="0.15">
      <c r="A219" s="10"/>
      <c r="B219" s="13"/>
      <c r="C219" s="13"/>
    </row>
    <row r="220" spans="1:3" ht="13" x14ac:dyDescent="0.15">
      <c r="A220" s="10"/>
      <c r="B220" s="13"/>
      <c r="C220" s="13"/>
    </row>
    <row r="221" spans="1:3" ht="13" x14ac:dyDescent="0.15">
      <c r="A221" s="10"/>
      <c r="B221" s="13"/>
      <c r="C221" s="13"/>
    </row>
    <row r="222" spans="1:3" ht="13" x14ac:dyDescent="0.15">
      <c r="A222" s="10"/>
      <c r="B222" s="13"/>
      <c r="C222" s="13"/>
    </row>
    <row r="223" spans="1:3" ht="13" x14ac:dyDescent="0.15">
      <c r="A223" s="10"/>
      <c r="B223" s="13"/>
      <c r="C223" s="13"/>
    </row>
    <row r="224" spans="1:3" ht="13" x14ac:dyDescent="0.15">
      <c r="A224" s="10"/>
      <c r="B224" s="13"/>
      <c r="C224" s="13"/>
    </row>
    <row r="225" spans="1:3" ht="13" x14ac:dyDescent="0.15">
      <c r="A225" s="10"/>
      <c r="B225" s="13"/>
      <c r="C225" s="13"/>
    </row>
    <row r="226" spans="1:3" ht="13" x14ac:dyDescent="0.15">
      <c r="A226" s="10"/>
      <c r="B226" s="13"/>
      <c r="C226" s="13"/>
    </row>
    <row r="227" spans="1:3" ht="13" x14ac:dyDescent="0.15">
      <c r="A227" s="10"/>
      <c r="B227" s="13"/>
      <c r="C227" s="13"/>
    </row>
    <row r="228" spans="1:3" ht="13" x14ac:dyDescent="0.15">
      <c r="A228" s="10"/>
      <c r="B228" s="13"/>
      <c r="C228" s="13"/>
    </row>
    <row r="229" spans="1:3" ht="13" x14ac:dyDescent="0.15">
      <c r="A229" s="10"/>
      <c r="B229" s="13"/>
      <c r="C229" s="13"/>
    </row>
    <row r="230" spans="1:3" ht="13" x14ac:dyDescent="0.15">
      <c r="A230" s="10"/>
      <c r="B230" s="13"/>
      <c r="C230" s="13"/>
    </row>
    <row r="231" spans="1:3" ht="13" x14ac:dyDescent="0.15">
      <c r="A231" s="10"/>
      <c r="B231" s="13"/>
      <c r="C231" s="13"/>
    </row>
    <row r="232" spans="1:3" ht="13" x14ac:dyDescent="0.15">
      <c r="A232" s="10"/>
      <c r="B232" s="13"/>
      <c r="C232" s="13"/>
    </row>
    <row r="233" spans="1:3" ht="13" x14ac:dyDescent="0.15">
      <c r="A233" s="10"/>
      <c r="B233" s="13"/>
      <c r="C233" s="13"/>
    </row>
    <row r="234" spans="1:3" ht="13" x14ac:dyDescent="0.15">
      <c r="A234" s="10"/>
      <c r="B234" s="13"/>
      <c r="C234" s="13"/>
    </row>
    <row r="235" spans="1:3" ht="13" x14ac:dyDescent="0.15">
      <c r="A235" s="10"/>
      <c r="B235" s="13"/>
      <c r="C235" s="13"/>
    </row>
    <row r="236" spans="1:3" ht="13" x14ac:dyDescent="0.15">
      <c r="A236" s="10"/>
      <c r="B236" s="13"/>
      <c r="C236" s="13"/>
    </row>
    <row r="237" spans="1:3" ht="13" x14ac:dyDescent="0.15">
      <c r="A237" s="10"/>
      <c r="B237" s="13"/>
      <c r="C237" s="13"/>
    </row>
    <row r="238" spans="1:3" ht="13" x14ac:dyDescent="0.15">
      <c r="A238" s="10"/>
      <c r="B238" s="13"/>
      <c r="C238" s="13"/>
    </row>
    <row r="239" spans="1:3" ht="13" x14ac:dyDescent="0.15">
      <c r="A239" s="10"/>
      <c r="B239" s="13"/>
      <c r="C239" s="13"/>
    </row>
    <row r="240" spans="1:3" ht="13" x14ac:dyDescent="0.15">
      <c r="A240" s="10"/>
      <c r="B240" s="13"/>
      <c r="C240" s="13"/>
    </row>
    <row r="241" spans="1:3" ht="13" x14ac:dyDescent="0.15">
      <c r="A241" s="10"/>
      <c r="B241" s="13"/>
      <c r="C241" s="13"/>
    </row>
    <row r="242" spans="1:3" ht="13" x14ac:dyDescent="0.15">
      <c r="A242" s="10"/>
      <c r="B242" s="13"/>
      <c r="C242" s="13"/>
    </row>
    <row r="243" spans="1:3" ht="13" x14ac:dyDescent="0.15">
      <c r="A243" s="10"/>
      <c r="B243" s="13"/>
      <c r="C243" s="13"/>
    </row>
    <row r="244" spans="1:3" ht="13" x14ac:dyDescent="0.15">
      <c r="A244" s="10"/>
      <c r="B244" s="13"/>
      <c r="C244" s="13"/>
    </row>
    <row r="245" spans="1:3" ht="13" x14ac:dyDescent="0.15">
      <c r="A245" s="10"/>
      <c r="B245" s="13"/>
      <c r="C245" s="13"/>
    </row>
    <row r="246" spans="1:3" ht="13" x14ac:dyDescent="0.15">
      <c r="A246" s="10"/>
      <c r="B246" s="13"/>
      <c r="C246" s="13"/>
    </row>
    <row r="247" spans="1:3" ht="13" x14ac:dyDescent="0.15">
      <c r="A247" s="10"/>
      <c r="B247" s="13"/>
      <c r="C247" s="13"/>
    </row>
    <row r="248" spans="1:3" ht="13" x14ac:dyDescent="0.15">
      <c r="A248" s="10"/>
      <c r="B248" s="13"/>
      <c r="C248" s="13"/>
    </row>
    <row r="249" spans="1:3" ht="13" x14ac:dyDescent="0.15">
      <c r="A249" s="10"/>
      <c r="B249" s="13"/>
      <c r="C249" s="13"/>
    </row>
    <row r="250" spans="1:3" ht="13" x14ac:dyDescent="0.15">
      <c r="A250" s="10"/>
      <c r="B250" s="13"/>
      <c r="C250" s="13"/>
    </row>
    <row r="251" spans="1:3" ht="13" x14ac:dyDescent="0.15">
      <c r="A251" s="10"/>
      <c r="B251" s="13"/>
      <c r="C251" s="13"/>
    </row>
    <row r="252" spans="1:3" ht="13" x14ac:dyDescent="0.15">
      <c r="A252" s="10"/>
      <c r="B252" s="13"/>
      <c r="C252" s="13"/>
    </row>
    <row r="253" spans="1:3" ht="13" x14ac:dyDescent="0.15">
      <c r="A253" s="10"/>
      <c r="B253" s="13"/>
      <c r="C253" s="13"/>
    </row>
    <row r="254" spans="1:3" ht="13" x14ac:dyDescent="0.15">
      <c r="A254" s="10"/>
      <c r="B254" s="13"/>
      <c r="C254" s="13"/>
    </row>
    <row r="255" spans="1:3" ht="13" x14ac:dyDescent="0.15">
      <c r="A255" s="10"/>
      <c r="B255" s="13"/>
      <c r="C255" s="13"/>
    </row>
    <row r="256" spans="1:3" ht="13" x14ac:dyDescent="0.15">
      <c r="A256" s="10"/>
      <c r="B256" s="13"/>
      <c r="C256" s="13"/>
    </row>
    <row r="257" spans="1:3" ht="13" x14ac:dyDescent="0.15">
      <c r="A257" s="10"/>
      <c r="B257" s="13"/>
      <c r="C257" s="13"/>
    </row>
    <row r="258" spans="1:3" ht="13" x14ac:dyDescent="0.15">
      <c r="A258" s="10"/>
      <c r="B258" s="13"/>
      <c r="C258" s="13"/>
    </row>
    <row r="259" spans="1:3" ht="13" x14ac:dyDescent="0.15">
      <c r="A259" s="10"/>
      <c r="B259" s="13"/>
      <c r="C259" s="13"/>
    </row>
    <row r="260" spans="1:3" ht="13" x14ac:dyDescent="0.15">
      <c r="A260" s="10"/>
      <c r="B260" s="13"/>
      <c r="C260" s="13"/>
    </row>
    <row r="261" spans="1:3" ht="13" x14ac:dyDescent="0.15">
      <c r="A261" s="10"/>
      <c r="B261" s="13"/>
      <c r="C261" s="13"/>
    </row>
    <row r="262" spans="1:3" ht="13" x14ac:dyDescent="0.15">
      <c r="A262" s="10"/>
      <c r="B262" s="13"/>
      <c r="C262" s="13"/>
    </row>
    <row r="263" spans="1:3" ht="13" x14ac:dyDescent="0.15">
      <c r="A263" s="10"/>
      <c r="B263" s="13"/>
      <c r="C263" s="13"/>
    </row>
    <row r="264" spans="1:3" ht="13" x14ac:dyDescent="0.15">
      <c r="A264" s="10"/>
      <c r="B264" s="13"/>
      <c r="C264" s="13"/>
    </row>
    <row r="265" spans="1:3" ht="13" x14ac:dyDescent="0.15">
      <c r="A265" s="10"/>
      <c r="B265" s="13"/>
      <c r="C265" s="13"/>
    </row>
    <row r="266" spans="1:3" ht="13" x14ac:dyDescent="0.15">
      <c r="A266" s="10"/>
      <c r="B266" s="13"/>
      <c r="C266" s="13"/>
    </row>
    <row r="267" spans="1:3" ht="13" x14ac:dyDescent="0.15">
      <c r="A267" s="10"/>
      <c r="B267" s="13"/>
      <c r="C267" s="13"/>
    </row>
    <row r="268" spans="1:3" ht="13" x14ac:dyDescent="0.15">
      <c r="A268" s="10"/>
      <c r="B268" s="13"/>
      <c r="C268" s="13"/>
    </row>
    <row r="269" spans="1:3" ht="13" x14ac:dyDescent="0.15">
      <c r="A269" s="10"/>
      <c r="B269" s="13"/>
      <c r="C269" s="13"/>
    </row>
    <row r="270" spans="1:3" ht="13" x14ac:dyDescent="0.15">
      <c r="A270" s="10"/>
      <c r="B270" s="13"/>
      <c r="C270" s="13"/>
    </row>
    <row r="271" spans="1:3" ht="13" x14ac:dyDescent="0.15">
      <c r="A271" s="10"/>
      <c r="B271" s="13"/>
      <c r="C271" s="13"/>
    </row>
    <row r="272" spans="1:3" ht="13" x14ac:dyDescent="0.15">
      <c r="A272" s="10"/>
      <c r="B272" s="13"/>
      <c r="C272" s="13"/>
    </row>
    <row r="273" spans="1:3" ht="13" x14ac:dyDescent="0.15">
      <c r="A273" s="10"/>
      <c r="B273" s="13"/>
      <c r="C273" s="13"/>
    </row>
    <row r="274" spans="1:3" ht="13" x14ac:dyDescent="0.15">
      <c r="A274" s="10"/>
      <c r="B274" s="13"/>
      <c r="C274" s="13"/>
    </row>
    <row r="275" spans="1:3" ht="13" x14ac:dyDescent="0.15">
      <c r="A275" s="10"/>
      <c r="B275" s="13"/>
      <c r="C275" s="13"/>
    </row>
    <row r="276" spans="1:3" ht="13" x14ac:dyDescent="0.15">
      <c r="A276" s="10"/>
      <c r="B276" s="13"/>
      <c r="C276" s="13"/>
    </row>
    <row r="277" spans="1:3" ht="13" x14ac:dyDescent="0.15">
      <c r="A277" s="10"/>
      <c r="B277" s="13"/>
      <c r="C277" s="13"/>
    </row>
    <row r="278" spans="1:3" ht="13" x14ac:dyDescent="0.15">
      <c r="A278" s="10"/>
      <c r="B278" s="13"/>
      <c r="C278" s="13"/>
    </row>
    <row r="279" spans="1:3" ht="13" x14ac:dyDescent="0.15">
      <c r="A279" s="10"/>
      <c r="B279" s="13"/>
      <c r="C279" s="13"/>
    </row>
    <row r="280" spans="1:3" ht="13" x14ac:dyDescent="0.15">
      <c r="A280" s="10"/>
      <c r="B280" s="13"/>
      <c r="C280" s="13"/>
    </row>
    <row r="281" spans="1:3" ht="13" x14ac:dyDescent="0.15">
      <c r="A281" s="10"/>
      <c r="B281" s="13"/>
      <c r="C281" s="13"/>
    </row>
    <row r="282" spans="1:3" ht="13" x14ac:dyDescent="0.15">
      <c r="A282" s="10"/>
      <c r="B282" s="13"/>
      <c r="C282" s="13"/>
    </row>
    <row r="283" spans="1:3" ht="13" x14ac:dyDescent="0.15">
      <c r="A283" s="10"/>
      <c r="B283" s="13"/>
      <c r="C283" s="13"/>
    </row>
    <row r="284" spans="1:3" ht="13" x14ac:dyDescent="0.15">
      <c r="A284" s="10"/>
      <c r="B284" s="13"/>
      <c r="C284" s="13"/>
    </row>
    <row r="285" spans="1:3" ht="13" x14ac:dyDescent="0.15">
      <c r="A285" s="10"/>
      <c r="B285" s="13"/>
      <c r="C285" s="13"/>
    </row>
    <row r="286" spans="1:3" ht="13" x14ac:dyDescent="0.15">
      <c r="A286" s="10"/>
      <c r="B286" s="13"/>
      <c r="C286" s="13"/>
    </row>
    <row r="287" spans="1:3" ht="13" x14ac:dyDescent="0.15">
      <c r="A287" s="10"/>
      <c r="B287" s="13"/>
      <c r="C287" s="13"/>
    </row>
    <row r="288" spans="1:3" ht="13" x14ac:dyDescent="0.15">
      <c r="A288" s="10"/>
      <c r="B288" s="13"/>
      <c r="C288" s="13"/>
    </row>
    <row r="289" spans="1:3" ht="13" x14ac:dyDescent="0.15">
      <c r="A289" s="10"/>
      <c r="B289" s="13"/>
      <c r="C289" s="13"/>
    </row>
    <row r="290" spans="1:3" ht="13" x14ac:dyDescent="0.15">
      <c r="A290" s="10"/>
      <c r="B290" s="13"/>
      <c r="C290" s="13"/>
    </row>
    <row r="291" spans="1:3" ht="13" x14ac:dyDescent="0.15">
      <c r="A291" s="10"/>
      <c r="B291" s="13"/>
      <c r="C291" s="13"/>
    </row>
    <row r="292" spans="1:3" ht="13" x14ac:dyDescent="0.15">
      <c r="A292" s="10"/>
      <c r="B292" s="13"/>
      <c r="C292" s="13"/>
    </row>
    <row r="293" spans="1:3" ht="13" x14ac:dyDescent="0.15">
      <c r="A293" s="10"/>
      <c r="B293" s="13"/>
      <c r="C293" s="13"/>
    </row>
    <row r="294" spans="1:3" ht="13" x14ac:dyDescent="0.15">
      <c r="A294" s="10"/>
      <c r="B294" s="13"/>
      <c r="C294" s="13"/>
    </row>
    <row r="295" spans="1:3" ht="13" x14ac:dyDescent="0.15">
      <c r="A295" s="10"/>
      <c r="B295" s="13"/>
      <c r="C295" s="13"/>
    </row>
    <row r="296" spans="1:3" ht="13" x14ac:dyDescent="0.15">
      <c r="A296" s="10"/>
      <c r="B296" s="13"/>
      <c r="C296" s="13"/>
    </row>
    <row r="297" spans="1:3" ht="13" x14ac:dyDescent="0.15">
      <c r="A297" s="10"/>
      <c r="B297" s="13"/>
      <c r="C297" s="13"/>
    </row>
    <row r="298" spans="1:3" ht="13" x14ac:dyDescent="0.15">
      <c r="A298" s="10"/>
      <c r="B298" s="13"/>
      <c r="C298" s="13"/>
    </row>
    <row r="299" spans="1:3" ht="13" x14ac:dyDescent="0.15">
      <c r="A299" s="10"/>
      <c r="B299" s="13"/>
      <c r="C299" s="13"/>
    </row>
    <row r="300" spans="1:3" ht="13" x14ac:dyDescent="0.15">
      <c r="A300" s="10"/>
      <c r="B300" s="13"/>
      <c r="C300" s="13"/>
    </row>
    <row r="301" spans="1:3" ht="13" x14ac:dyDescent="0.15">
      <c r="A301" s="10"/>
      <c r="B301" s="13"/>
      <c r="C301" s="13"/>
    </row>
    <row r="302" spans="1:3" ht="13" x14ac:dyDescent="0.15">
      <c r="A302" s="10"/>
      <c r="B302" s="13"/>
      <c r="C302" s="13"/>
    </row>
    <row r="303" spans="1:3" ht="13" x14ac:dyDescent="0.15">
      <c r="A303" s="10"/>
      <c r="B303" s="13"/>
      <c r="C303" s="13"/>
    </row>
    <row r="304" spans="1:3" ht="13" x14ac:dyDescent="0.15">
      <c r="A304" s="10"/>
      <c r="B304" s="13"/>
      <c r="C304" s="13"/>
    </row>
    <row r="305" spans="1:3" ht="13" x14ac:dyDescent="0.15">
      <c r="A305" s="10"/>
      <c r="B305" s="13"/>
      <c r="C305" s="13"/>
    </row>
    <row r="306" spans="1:3" ht="13" x14ac:dyDescent="0.15">
      <c r="A306" s="10"/>
      <c r="B306" s="13"/>
      <c r="C306" s="13"/>
    </row>
    <row r="307" spans="1:3" ht="13" x14ac:dyDescent="0.15">
      <c r="A307" s="10"/>
      <c r="B307" s="13"/>
      <c r="C307" s="13"/>
    </row>
    <row r="308" spans="1:3" ht="13" x14ac:dyDescent="0.15">
      <c r="A308" s="10"/>
      <c r="B308" s="13"/>
      <c r="C308" s="13"/>
    </row>
    <row r="309" spans="1:3" ht="13" x14ac:dyDescent="0.15">
      <c r="A309" s="10"/>
      <c r="B309" s="13"/>
      <c r="C309" s="13"/>
    </row>
    <row r="310" spans="1:3" ht="13" x14ac:dyDescent="0.15">
      <c r="A310" s="10"/>
      <c r="B310" s="13"/>
      <c r="C310" s="13"/>
    </row>
    <row r="311" spans="1:3" ht="13" x14ac:dyDescent="0.15">
      <c r="A311" s="10"/>
      <c r="B311" s="13"/>
      <c r="C311" s="13"/>
    </row>
    <row r="312" spans="1:3" ht="13" x14ac:dyDescent="0.15">
      <c r="A312" s="10"/>
      <c r="B312" s="13"/>
      <c r="C312" s="13"/>
    </row>
    <row r="313" spans="1:3" ht="13" x14ac:dyDescent="0.15">
      <c r="A313" s="10"/>
      <c r="B313" s="13"/>
      <c r="C313" s="13"/>
    </row>
    <row r="314" spans="1:3" ht="13" x14ac:dyDescent="0.15">
      <c r="A314" s="10"/>
      <c r="B314" s="13"/>
      <c r="C314" s="13"/>
    </row>
    <row r="315" spans="1:3" ht="13" x14ac:dyDescent="0.15">
      <c r="A315" s="10"/>
      <c r="B315" s="13"/>
      <c r="C315" s="13"/>
    </row>
    <row r="316" spans="1:3" ht="13" x14ac:dyDescent="0.15">
      <c r="A316" s="10"/>
      <c r="B316" s="13"/>
      <c r="C316" s="13"/>
    </row>
    <row r="317" spans="1:3" ht="13" x14ac:dyDescent="0.15">
      <c r="A317" s="10"/>
      <c r="B317" s="13"/>
      <c r="C317" s="13"/>
    </row>
    <row r="318" spans="1:3" ht="13" x14ac:dyDescent="0.15">
      <c r="A318" s="10"/>
      <c r="B318" s="13"/>
      <c r="C318" s="13"/>
    </row>
    <row r="319" spans="1:3" ht="13" x14ac:dyDescent="0.15">
      <c r="A319" s="10"/>
      <c r="B319" s="13"/>
      <c r="C319" s="13"/>
    </row>
    <row r="320" spans="1:3" ht="13" x14ac:dyDescent="0.15">
      <c r="A320" s="10"/>
      <c r="B320" s="13"/>
      <c r="C320" s="13"/>
    </row>
    <row r="321" spans="1:3" ht="13" x14ac:dyDescent="0.15">
      <c r="A321" s="10"/>
      <c r="B321" s="13"/>
      <c r="C321" s="13"/>
    </row>
    <row r="322" spans="1:3" ht="13" x14ac:dyDescent="0.15">
      <c r="A322" s="10"/>
      <c r="B322" s="13"/>
      <c r="C322" s="13"/>
    </row>
    <row r="323" spans="1:3" ht="13" x14ac:dyDescent="0.15">
      <c r="A323" s="10"/>
      <c r="B323" s="13"/>
      <c r="C323" s="13"/>
    </row>
    <row r="324" spans="1:3" ht="13" x14ac:dyDescent="0.15">
      <c r="A324" s="10"/>
      <c r="B324" s="13"/>
      <c r="C324" s="13"/>
    </row>
    <row r="325" spans="1:3" ht="13" x14ac:dyDescent="0.15">
      <c r="A325" s="10"/>
      <c r="B325" s="13"/>
      <c r="C325" s="13"/>
    </row>
    <row r="326" spans="1:3" ht="13" x14ac:dyDescent="0.15">
      <c r="A326" s="10"/>
      <c r="B326" s="13"/>
      <c r="C326" s="13"/>
    </row>
    <row r="327" spans="1:3" ht="13" x14ac:dyDescent="0.15">
      <c r="A327" s="10"/>
      <c r="B327" s="13"/>
      <c r="C327" s="13"/>
    </row>
    <row r="328" spans="1:3" ht="13" x14ac:dyDescent="0.15">
      <c r="A328" s="10"/>
      <c r="B328" s="13"/>
      <c r="C328" s="13"/>
    </row>
    <row r="329" spans="1:3" ht="13" x14ac:dyDescent="0.15">
      <c r="A329" s="10"/>
      <c r="B329" s="13"/>
      <c r="C329" s="13"/>
    </row>
    <row r="330" spans="1:3" ht="13" x14ac:dyDescent="0.15">
      <c r="A330" s="10"/>
      <c r="B330" s="13"/>
      <c r="C330" s="13"/>
    </row>
    <row r="331" spans="1:3" ht="13" x14ac:dyDescent="0.15">
      <c r="A331" s="10"/>
      <c r="B331" s="13"/>
      <c r="C331" s="13"/>
    </row>
    <row r="332" spans="1:3" ht="13" x14ac:dyDescent="0.15">
      <c r="A332" s="10"/>
      <c r="B332" s="13"/>
      <c r="C332" s="13"/>
    </row>
    <row r="333" spans="1:3" ht="13" x14ac:dyDescent="0.15">
      <c r="A333" s="10"/>
      <c r="B333" s="13"/>
      <c r="C333" s="13"/>
    </row>
    <row r="334" spans="1:3" ht="13" x14ac:dyDescent="0.15">
      <c r="A334" s="10"/>
      <c r="B334" s="13"/>
      <c r="C334" s="13"/>
    </row>
    <row r="335" spans="1:3" ht="13" x14ac:dyDescent="0.15">
      <c r="A335" s="10"/>
      <c r="B335" s="13"/>
      <c r="C335" s="13"/>
    </row>
    <row r="336" spans="1:3" ht="13" x14ac:dyDescent="0.15">
      <c r="A336" s="10"/>
      <c r="B336" s="13"/>
      <c r="C336" s="13"/>
    </row>
    <row r="337" spans="1:3" ht="13" x14ac:dyDescent="0.15">
      <c r="A337" s="10"/>
      <c r="B337" s="13"/>
      <c r="C337" s="13"/>
    </row>
    <row r="338" spans="1:3" ht="13" x14ac:dyDescent="0.15">
      <c r="A338" s="10"/>
      <c r="B338" s="13"/>
      <c r="C338" s="13"/>
    </row>
    <row r="339" spans="1:3" ht="13" x14ac:dyDescent="0.15">
      <c r="A339" s="10"/>
      <c r="B339" s="13"/>
      <c r="C339" s="13"/>
    </row>
    <row r="340" spans="1:3" ht="13" x14ac:dyDescent="0.15">
      <c r="A340" s="10"/>
      <c r="B340" s="13"/>
      <c r="C340" s="13"/>
    </row>
    <row r="341" spans="1:3" ht="13" x14ac:dyDescent="0.15">
      <c r="A341" s="10"/>
      <c r="B341" s="13"/>
      <c r="C341" s="13"/>
    </row>
    <row r="342" spans="1:3" ht="13" x14ac:dyDescent="0.15">
      <c r="A342" s="10"/>
      <c r="B342" s="13"/>
      <c r="C342" s="13"/>
    </row>
    <row r="343" spans="1:3" ht="13" x14ac:dyDescent="0.15">
      <c r="A343" s="10"/>
      <c r="B343" s="13"/>
      <c r="C343" s="13"/>
    </row>
    <row r="344" spans="1:3" ht="13" x14ac:dyDescent="0.15">
      <c r="A344" s="10"/>
      <c r="B344" s="13"/>
      <c r="C344" s="13"/>
    </row>
    <row r="345" spans="1:3" ht="13" x14ac:dyDescent="0.15">
      <c r="A345" s="10"/>
      <c r="B345" s="13"/>
      <c r="C345" s="13"/>
    </row>
    <row r="346" spans="1:3" ht="13" x14ac:dyDescent="0.15">
      <c r="A346" s="10"/>
      <c r="B346" s="13"/>
      <c r="C346" s="13"/>
    </row>
    <row r="347" spans="1:3" ht="13" x14ac:dyDescent="0.15">
      <c r="A347" s="10"/>
      <c r="B347" s="13"/>
      <c r="C347" s="13"/>
    </row>
    <row r="348" spans="1:3" ht="13" x14ac:dyDescent="0.15">
      <c r="A348" s="10"/>
      <c r="B348" s="13"/>
      <c r="C348" s="13"/>
    </row>
    <row r="349" spans="1:3" ht="13" x14ac:dyDescent="0.15">
      <c r="A349" s="10"/>
      <c r="B349" s="13"/>
      <c r="C349" s="13"/>
    </row>
    <row r="350" spans="1:3" ht="13" x14ac:dyDescent="0.15">
      <c r="A350" s="10"/>
      <c r="B350" s="13"/>
      <c r="C350" s="13"/>
    </row>
    <row r="351" spans="1:3" ht="13" x14ac:dyDescent="0.15">
      <c r="A351" s="10"/>
      <c r="B351" s="13"/>
      <c r="C351" s="13"/>
    </row>
    <row r="352" spans="1:3" ht="13" x14ac:dyDescent="0.15">
      <c r="A352" s="10"/>
      <c r="B352" s="13"/>
      <c r="C352" s="13"/>
    </row>
    <row r="353" spans="1:3" ht="13" x14ac:dyDescent="0.15">
      <c r="A353" s="10"/>
      <c r="B353" s="13"/>
      <c r="C353" s="13"/>
    </row>
    <row r="354" spans="1:3" ht="13" x14ac:dyDescent="0.15">
      <c r="A354" s="10"/>
      <c r="B354" s="13"/>
      <c r="C354" s="13"/>
    </row>
    <row r="355" spans="1:3" ht="13" x14ac:dyDescent="0.15">
      <c r="A355" s="10"/>
      <c r="B355" s="13"/>
      <c r="C355" s="13"/>
    </row>
    <row r="356" spans="1:3" ht="13" x14ac:dyDescent="0.15">
      <c r="A356" s="10"/>
      <c r="B356" s="13"/>
      <c r="C356" s="13"/>
    </row>
    <row r="357" spans="1:3" ht="13" x14ac:dyDescent="0.15">
      <c r="A357" s="10"/>
      <c r="B357" s="13"/>
      <c r="C357" s="13"/>
    </row>
    <row r="358" spans="1:3" ht="13" x14ac:dyDescent="0.15">
      <c r="A358" s="10"/>
      <c r="B358" s="13"/>
      <c r="C358" s="13"/>
    </row>
    <row r="359" spans="1:3" ht="13" x14ac:dyDescent="0.15">
      <c r="A359" s="10"/>
      <c r="B359" s="13"/>
      <c r="C359" s="13"/>
    </row>
    <row r="360" spans="1:3" ht="13" x14ac:dyDescent="0.15">
      <c r="A360" s="10"/>
      <c r="B360" s="13"/>
      <c r="C360" s="13"/>
    </row>
    <row r="361" spans="1:3" ht="13" x14ac:dyDescent="0.15">
      <c r="A361" s="10"/>
      <c r="B361" s="13"/>
      <c r="C361" s="13"/>
    </row>
    <row r="362" spans="1:3" ht="13" x14ac:dyDescent="0.15">
      <c r="A362" s="10"/>
      <c r="B362" s="13"/>
      <c r="C362" s="13"/>
    </row>
    <row r="363" spans="1:3" ht="13" x14ac:dyDescent="0.15">
      <c r="A363" s="10"/>
      <c r="B363" s="13"/>
      <c r="C363" s="13"/>
    </row>
    <row r="364" spans="1:3" ht="13" x14ac:dyDescent="0.15">
      <c r="A364" s="10"/>
      <c r="B364" s="13"/>
      <c r="C364" s="13"/>
    </row>
    <row r="365" spans="1:3" ht="13" x14ac:dyDescent="0.15">
      <c r="A365" s="10"/>
      <c r="B365" s="13"/>
      <c r="C365" s="13"/>
    </row>
    <row r="366" spans="1:3" ht="13" x14ac:dyDescent="0.15">
      <c r="A366" s="10"/>
      <c r="B366" s="13"/>
      <c r="C366" s="13"/>
    </row>
    <row r="367" spans="1:3" ht="13" x14ac:dyDescent="0.15">
      <c r="A367" s="10"/>
      <c r="B367" s="13"/>
      <c r="C367" s="13"/>
    </row>
    <row r="368" spans="1:3" ht="13" x14ac:dyDescent="0.15">
      <c r="A368" s="10"/>
      <c r="B368" s="13"/>
      <c r="C368" s="13"/>
    </row>
    <row r="369" spans="1:3" ht="13" x14ac:dyDescent="0.15">
      <c r="A369" s="10"/>
      <c r="B369" s="13"/>
      <c r="C369" s="13"/>
    </row>
    <row r="370" spans="1:3" ht="13" x14ac:dyDescent="0.15">
      <c r="A370" s="10"/>
      <c r="B370" s="13"/>
      <c r="C370" s="13"/>
    </row>
    <row r="371" spans="1:3" ht="13" x14ac:dyDescent="0.15">
      <c r="A371" s="10"/>
      <c r="B371" s="13"/>
      <c r="C371" s="13"/>
    </row>
    <row r="372" spans="1:3" ht="13" x14ac:dyDescent="0.15">
      <c r="A372" s="10"/>
      <c r="B372" s="13"/>
      <c r="C372" s="13"/>
    </row>
    <row r="373" spans="1:3" ht="13" x14ac:dyDescent="0.15">
      <c r="A373" s="10"/>
      <c r="B373" s="13"/>
      <c r="C373" s="13"/>
    </row>
    <row r="374" spans="1:3" ht="13" x14ac:dyDescent="0.15">
      <c r="A374" s="10"/>
      <c r="B374" s="13"/>
      <c r="C374" s="13"/>
    </row>
    <row r="375" spans="1:3" ht="13" x14ac:dyDescent="0.15">
      <c r="A375" s="10"/>
      <c r="B375" s="13"/>
      <c r="C375" s="13"/>
    </row>
    <row r="376" spans="1:3" ht="13" x14ac:dyDescent="0.15">
      <c r="A376" s="10"/>
      <c r="B376" s="13"/>
      <c r="C376" s="13"/>
    </row>
    <row r="377" spans="1:3" ht="13" x14ac:dyDescent="0.15">
      <c r="A377" s="10"/>
      <c r="B377" s="13"/>
      <c r="C377" s="13"/>
    </row>
    <row r="378" spans="1:3" ht="13" x14ac:dyDescent="0.15">
      <c r="A378" s="10"/>
      <c r="B378" s="13"/>
      <c r="C378" s="13"/>
    </row>
    <row r="379" spans="1:3" ht="13" x14ac:dyDescent="0.15">
      <c r="A379" s="10"/>
      <c r="B379" s="13"/>
      <c r="C379" s="13"/>
    </row>
    <row r="380" spans="1:3" ht="13" x14ac:dyDescent="0.15">
      <c r="A380" s="10"/>
      <c r="B380" s="13"/>
      <c r="C380" s="13"/>
    </row>
    <row r="381" spans="1:3" ht="13" x14ac:dyDescent="0.15">
      <c r="A381" s="10"/>
      <c r="B381" s="13"/>
      <c r="C381" s="13"/>
    </row>
    <row r="382" spans="1:3" ht="13" x14ac:dyDescent="0.15">
      <c r="A382" s="10"/>
      <c r="B382" s="13"/>
      <c r="C382" s="13"/>
    </row>
    <row r="383" spans="1:3" ht="13" x14ac:dyDescent="0.15">
      <c r="A383" s="10"/>
      <c r="B383" s="13"/>
      <c r="C383" s="13"/>
    </row>
    <row r="384" spans="1:3" ht="13" x14ac:dyDescent="0.15">
      <c r="A384" s="10"/>
      <c r="B384" s="13"/>
      <c r="C384" s="13"/>
    </row>
    <row r="385" spans="1:3" ht="13" x14ac:dyDescent="0.15">
      <c r="A385" s="10"/>
      <c r="B385" s="13"/>
      <c r="C385" s="13"/>
    </row>
    <row r="386" spans="1:3" ht="13" x14ac:dyDescent="0.15">
      <c r="A386" s="10"/>
      <c r="B386" s="13"/>
      <c r="C386" s="13"/>
    </row>
    <row r="387" spans="1:3" ht="13" x14ac:dyDescent="0.15">
      <c r="A387" s="10"/>
      <c r="B387" s="13"/>
      <c r="C387" s="13"/>
    </row>
    <row r="388" spans="1:3" ht="13" x14ac:dyDescent="0.15">
      <c r="A388" s="10"/>
      <c r="B388" s="13"/>
      <c r="C388" s="13"/>
    </row>
    <row r="389" spans="1:3" ht="13" x14ac:dyDescent="0.15">
      <c r="A389" s="10"/>
      <c r="B389" s="13"/>
      <c r="C389" s="13"/>
    </row>
    <row r="390" spans="1:3" ht="13" x14ac:dyDescent="0.15">
      <c r="A390" s="10"/>
      <c r="B390" s="13"/>
      <c r="C390" s="13"/>
    </row>
    <row r="391" spans="1:3" ht="13" x14ac:dyDescent="0.15">
      <c r="A391" s="10"/>
      <c r="B391" s="13"/>
      <c r="C391" s="13"/>
    </row>
    <row r="392" spans="1:3" ht="13" x14ac:dyDescent="0.15">
      <c r="A392" s="10"/>
      <c r="B392" s="13"/>
      <c r="C392" s="13"/>
    </row>
    <row r="393" spans="1:3" ht="13" x14ac:dyDescent="0.15">
      <c r="A393" s="10"/>
      <c r="B393" s="13"/>
      <c r="C393" s="13"/>
    </row>
    <row r="394" spans="1:3" ht="13" x14ac:dyDescent="0.15">
      <c r="A394" s="10"/>
      <c r="B394" s="13"/>
      <c r="C394" s="13"/>
    </row>
    <row r="395" spans="1:3" ht="13" x14ac:dyDescent="0.15">
      <c r="A395" s="10"/>
      <c r="B395" s="13"/>
      <c r="C395" s="13"/>
    </row>
    <row r="396" spans="1:3" ht="13" x14ac:dyDescent="0.15">
      <c r="A396" s="10"/>
      <c r="B396" s="13"/>
      <c r="C396" s="13"/>
    </row>
    <row r="397" spans="1:3" ht="13" x14ac:dyDescent="0.15">
      <c r="A397" s="10"/>
      <c r="B397" s="13"/>
      <c r="C397" s="13"/>
    </row>
    <row r="398" spans="1:3" ht="13" x14ac:dyDescent="0.15">
      <c r="A398" s="10"/>
      <c r="B398" s="13"/>
      <c r="C398" s="13"/>
    </row>
    <row r="399" spans="1:3" ht="13" x14ac:dyDescent="0.15">
      <c r="A399" s="10"/>
      <c r="B399" s="13"/>
      <c r="C399" s="13"/>
    </row>
    <row r="400" spans="1:3" ht="13" x14ac:dyDescent="0.15">
      <c r="A400" s="10"/>
      <c r="B400" s="13"/>
      <c r="C400" s="13"/>
    </row>
    <row r="401" spans="1:3" ht="13" x14ac:dyDescent="0.15">
      <c r="A401" s="10"/>
      <c r="B401" s="13"/>
      <c r="C401" s="13"/>
    </row>
    <row r="402" spans="1:3" ht="13" x14ac:dyDescent="0.15">
      <c r="A402" s="10"/>
      <c r="B402" s="13"/>
      <c r="C402" s="13"/>
    </row>
    <row r="403" spans="1:3" ht="13" x14ac:dyDescent="0.15">
      <c r="A403" s="10"/>
      <c r="B403" s="13"/>
      <c r="C403" s="13"/>
    </row>
    <row r="404" spans="1:3" ht="13" x14ac:dyDescent="0.15">
      <c r="A404" s="10"/>
      <c r="B404" s="13"/>
      <c r="C404" s="13"/>
    </row>
    <row r="405" spans="1:3" ht="13" x14ac:dyDescent="0.15">
      <c r="A405" s="10"/>
      <c r="B405" s="13"/>
      <c r="C405" s="13"/>
    </row>
    <row r="406" spans="1:3" ht="13" x14ac:dyDescent="0.15">
      <c r="A406" s="10"/>
      <c r="B406" s="13"/>
      <c r="C406" s="13"/>
    </row>
    <row r="407" spans="1:3" ht="13" x14ac:dyDescent="0.15">
      <c r="A407" s="10"/>
      <c r="B407" s="13"/>
      <c r="C407" s="13"/>
    </row>
    <row r="408" spans="1:3" ht="13" x14ac:dyDescent="0.15">
      <c r="A408" s="10"/>
      <c r="B408" s="13"/>
      <c r="C408" s="13"/>
    </row>
    <row r="409" spans="1:3" ht="13" x14ac:dyDescent="0.15">
      <c r="A409" s="10"/>
      <c r="B409" s="13"/>
      <c r="C409" s="13"/>
    </row>
    <row r="410" spans="1:3" ht="13" x14ac:dyDescent="0.15">
      <c r="A410" s="10"/>
      <c r="B410" s="13"/>
      <c r="C410" s="13"/>
    </row>
    <row r="411" spans="1:3" ht="13" x14ac:dyDescent="0.15">
      <c r="A411" s="10"/>
      <c r="B411" s="13"/>
      <c r="C411" s="13"/>
    </row>
    <row r="412" spans="1:3" ht="13" x14ac:dyDescent="0.15">
      <c r="A412" s="10"/>
      <c r="B412" s="13"/>
      <c r="C412" s="13"/>
    </row>
    <row r="413" spans="1:3" ht="13" x14ac:dyDescent="0.15">
      <c r="A413" s="10"/>
      <c r="B413" s="13"/>
      <c r="C413" s="13"/>
    </row>
    <row r="414" spans="1:3" ht="13" x14ac:dyDescent="0.15">
      <c r="A414" s="10"/>
      <c r="B414" s="13"/>
      <c r="C414" s="13"/>
    </row>
    <row r="415" spans="1:3" ht="13" x14ac:dyDescent="0.15">
      <c r="A415" s="10"/>
      <c r="B415" s="13"/>
      <c r="C415" s="13"/>
    </row>
    <row r="416" spans="1:3" ht="13" x14ac:dyDescent="0.15">
      <c r="A416" s="10"/>
      <c r="B416" s="13"/>
      <c r="C416" s="13"/>
    </row>
    <row r="417" spans="1:3" ht="13" x14ac:dyDescent="0.15">
      <c r="A417" s="10"/>
      <c r="B417" s="13"/>
      <c r="C417" s="13"/>
    </row>
    <row r="418" spans="1:3" ht="13" x14ac:dyDescent="0.15">
      <c r="A418" s="10"/>
      <c r="B418" s="13"/>
      <c r="C418" s="13"/>
    </row>
    <row r="419" spans="1:3" ht="13" x14ac:dyDescent="0.15">
      <c r="A419" s="10"/>
      <c r="B419" s="13"/>
      <c r="C419" s="13"/>
    </row>
    <row r="420" spans="1:3" ht="13" x14ac:dyDescent="0.15">
      <c r="A420" s="10"/>
      <c r="B420" s="13"/>
      <c r="C420" s="13"/>
    </row>
    <row r="421" spans="1:3" ht="13" x14ac:dyDescent="0.15">
      <c r="A421" s="10"/>
      <c r="B421" s="13"/>
      <c r="C421" s="13"/>
    </row>
    <row r="422" spans="1:3" ht="13" x14ac:dyDescent="0.15">
      <c r="A422" s="10"/>
      <c r="B422" s="13"/>
      <c r="C422" s="13"/>
    </row>
    <row r="423" spans="1:3" ht="13" x14ac:dyDescent="0.15">
      <c r="A423" s="10"/>
      <c r="B423" s="13"/>
      <c r="C423" s="13"/>
    </row>
    <row r="424" spans="1:3" ht="13" x14ac:dyDescent="0.15">
      <c r="A424" s="10"/>
      <c r="B424" s="13"/>
      <c r="C424" s="13"/>
    </row>
    <row r="425" spans="1:3" ht="13" x14ac:dyDescent="0.15">
      <c r="A425" s="10"/>
      <c r="B425" s="13"/>
      <c r="C425" s="13"/>
    </row>
    <row r="426" spans="1:3" ht="13" x14ac:dyDescent="0.15">
      <c r="A426" s="10"/>
      <c r="B426" s="13"/>
      <c r="C426" s="13"/>
    </row>
    <row r="427" spans="1:3" ht="13" x14ac:dyDescent="0.15">
      <c r="A427" s="10"/>
      <c r="B427" s="13"/>
      <c r="C427" s="13"/>
    </row>
    <row r="428" spans="1:3" ht="13" x14ac:dyDescent="0.15">
      <c r="A428" s="10"/>
      <c r="B428" s="13"/>
      <c r="C428" s="13"/>
    </row>
    <row r="429" spans="1:3" ht="13" x14ac:dyDescent="0.15">
      <c r="A429" s="10"/>
      <c r="B429" s="13"/>
      <c r="C429" s="13"/>
    </row>
    <row r="430" spans="1:3" ht="13" x14ac:dyDescent="0.15">
      <c r="A430" s="10"/>
      <c r="B430" s="13"/>
      <c r="C430" s="13"/>
    </row>
    <row r="431" spans="1:3" ht="13" x14ac:dyDescent="0.15">
      <c r="A431" s="10"/>
      <c r="B431" s="13"/>
      <c r="C431" s="13"/>
    </row>
    <row r="432" spans="1:3" ht="13" x14ac:dyDescent="0.15">
      <c r="A432" s="10"/>
      <c r="B432" s="13"/>
      <c r="C432" s="13"/>
    </row>
    <row r="433" spans="1:3" ht="13" x14ac:dyDescent="0.15">
      <c r="A433" s="10"/>
      <c r="B433" s="13"/>
      <c r="C433" s="13"/>
    </row>
    <row r="434" spans="1:3" ht="13" x14ac:dyDescent="0.15">
      <c r="A434" s="10"/>
      <c r="B434" s="13"/>
      <c r="C434" s="13"/>
    </row>
    <row r="435" spans="1:3" ht="13" x14ac:dyDescent="0.15">
      <c r="A435" s="10"/>
      <c r="B435" s="13"/>
      <c r="C435" s="13"/>
    </row>
    <row r="436" spans="1:3" ht="13" x14ac:dyDescent="0.15">
      <c r="A436" s="10"/>
      <c r="B436" s="13"/>
      <c r="C436" s="13"/>
    </row>
    <row r="437" spans="1:3" ht="13" x14ac:dyDescent="0.15">
      <c r="A437" s="10"/>
      <c r="B437" s="13"/>
      <c r="C437" s="13"/>
    </row>
    <row r="438" spans="1:3" ht="13" x14ac:dyDescent="0.15">
      <c r="A438" s="10"/>
      <c r="B438" s="13"/>
      <c r="C438" s="13"/>
    </row>
    <row r="439" spans="1:3" ht="13" x14ac:dyDescent="0.15">
      <c r="A439" s="10"/>
      <c r="B439" s="13"/>
      <c r="C439" s="13"/>
    </row>
    <row r="440" spans="1:3" ht="13" x14ac:dyDescent="0.15">
      <c r="A440" s="10"/>
      <c r="B440" s="13"/>
      <c r="C440" s="13"/>
    </row>
    <row r="441" spans="1:3" ht="13" x14ac:dyDescent="0.15">
      <c r="A441" s="10"/>
      <c r="B441" s="13"/>
      <c r="C441" s="13"/>
    </row>
    <row r="442" spans="1:3" ht="13" x14ac:dyDescent="0.15">
      <c r="A442" s="10"/>
      <c r="B442" s="13"/>
      <c r="C442" s="13"/>
    </row>
    <row r="443" spans="1:3" ht="13" x14ac:dyDescent="0.15">
      <c r="A443" s="10"/>
      <c r="B443" s="13"/>
      <c r="C443" s="13"/>
    </row>
    <row r="444" spans="1:3" ht="13" x14ac:dyDescent="0.15">
      <c r="A444" s="10"/>
      <c r="B444" s="13"/>
      <c r="C444" s="13"/>
    </row>
    <row r="445" spans="1:3" ht="13" x14ac:dyDescent="0.15">
      <c r="A445" s="10"/>
      <c r="B445" s="13"/>
      <c r="C445" s="13"/>
    </row>
    <row r="446" spans="1:3" ht="13" x14ac:dyDescent="0.15">
      <c r="A446" s="10"/>
      <c r="B446" s="13"/>
      <c r="C446" s="13"/>
    </row>
    <row r="447" spans="1:3" ht="13" x14ac:dyDescent="0.15">
      <c r="A447" s="10"/>
      <c r="B447" s="13"/>
      <c r="C447" s="13"/>
    </row>
    <row r="448" spans="1:3" ht="13" x14ac:dyDescent="0.15">
      <c r="A448" s="10"/>
      <c r="B448" s="13"/>
      <c r="C448" s="13"/>
    </row>
    <row r="449" spans="1:3" ht="13" x14ac:dyDescent="0.15">
      <c r="A449" s="10"/>
      <c r="B449" s="13"/>
      <c r="C449" s="13"/>
    </row>
    <row r="450" spans="1:3" ht="13" x14ac:dyDescent="0.15">
      <c r="A450" s="10"/>
      <c r="B450" s="13"/>
      <c r="C450" s="13"/>
    </row>
    <row r="451" spans="1:3" ht="13" x14ac:dyDescent="0.15">
      <c r="A451" s="10"/>
      <c r="B451" s="13"/>
      <c r="C451" s="13"/>
    </row>
    <row r="452" spans="1:3" ht="13" x14ac:dyDescent="0.15">
      <c r="A452" s="10"/>
      <c r="B452" s="13"/>
      <c r="C452" s="13"/>
    </row>
    <row r="453" spans="1:3" ht="13" x14ac:dyDescent="0.15">
      <c r="A453" s="10"/>
      <c r="B453" s="13"/>
      <c r="C453" s="13"/>
    </row>
    <row r="454" spans="1:3" ht="13" x14ac:dyDescent="0.15">
      <c r="A454" s="10"/>
      <c r="B454" s="13"/>
      <c r="C454" s="13"/>
    </row>
    <row r="455" spans="1:3" ht="13" x14ac:dyDescent="0.15">
      <c r="A455" s="10"/>
      <c r="B455" s="13"/>
      <c r="C455" s="13"/>
    </row>
    <row r="456" spans="1:3" ht="13" x14ac:dyDescent="0.15">
      <c r="A456" s="10"/>
      <c r="B456" s="13"/>
      <c r="C456" s="13"/>
    </row>
    <row r="457" spans="1:3" ht="13" x14ac:dyDescent="0.15">
      <c r="A457" s="10"/>
      <c r="B457" s="13"/>
      <c r="C457" s="13"/>
    </row>
    <row r="458" spans="1:3" ht="13" x14ac:dyDescent="0.15">
      <c r="A458" s="10"/>
      <c r="B458" s="13"/>
      <c r="C458" s="13"/>
    </row>
    <row r="459" spans="1:3" ht="13" x14ac:dyDescent="0.15">
      <c r="A459" s="10"/>
      <c r="B459" s="13"/>
      <c r="C459" s="13"/>
    </row>
    <row r="460" spans="1:3" ht="13" x14ac:dyDescent="0.15">
      <c r="A460" s="10"/>
      <c r="B460" s="13"/>
      <c r="C460" s="13"/>
    </row>
    <row r="461" spans="1:3" ht="13" x14ac:dyDescent="0.15">
      <c r="A461" s="10"/>
      <c r="B461" s="13"/>
      <c r="C461" s="13"/>
    </row>
    <row r="462" spans="1:3" ht="13" x14ac:dyDescent="0.15">
      <c r="A462" s="10"/>
      <c r="B462" s="13"/>
      <c r="C462" s="13"/>
    </row>
    <row r="463" spans="1:3" ht="13" x14ac:dyDescent="0.15">
      <c r="A463" s="10"/>
      <c r="B463" s="13"/>
      <c r="C463" s="13"/>
    </row>
    <row r="464" spans="1:3" ht="13" x14ac:dyDescent="0.15">
      <c r="A464" s="10"/>
      <c r="B464" s="13"/>
      <c r="C464" s="13"/>
    </row>
    <row r="465" spans="1:3" ht="13" x14ac:dyDescent="0.15">
      <c r="A465" s="10"/>
      <c r="B465" s="13"/>
      <c r="C465" s="13"/>
    </row>
    <row r="466" spans="1:3" ht="13" x14ac:dyDescent="0.15">
      <c r="A466" s="10"/>
      <c r="B466" s="13"/>
      <c r="C466" s="13"/>
    </row>
    <row r="467" spans="1:3" ht="13" x14ac:dyDescent="0.15">
      <c r="A467" s="10"/>
      <c r="B467" s="13"/>
      <c r="C467" s="13"/>
    </row>
    <row r="468" spans="1:3" ht="13" x14ac:dyDescent="0.15">
      <c r="A468" s="10"/>
      <c r="B468" s="13"/>
      <c r="C468" s="13"/>
    </row>
    <row r="469" spans="1:3" ht="13" x14ac:dyDescent="0.15">
      <c r="A469" s="10"/>
      <c r="B469" s="13"/>
      <c r="C469" s="13"/>
    </row>
    <row r="470" spans="1:3" ht="13" x14ac:dyDescent="0.15">
      <c r="A470" s="10"/>
      <c r="B470" s="13"/>
      <c r="C470" s="13"/>
    </row>
    <row r="471" spans="1:3" ht="13" x14ac:dyDescent="0.15">
      <c r="A471" s="10"/>
      <c r="B471" s="13"/>
      <c r="C471" s="13"/>
    </row>
    <row r="472" spans="1:3" ht="13" x14ac:dyDescent="0.15">
      <c r="A472" s="10"/>
      <c r="B472" s="13"/>
      <c r="C472" s="13"/>
    </row>
    <row r="473" spans="1:3" ht="13" x14ac:dyDescent="0.15">
      <c r="A473" s="10"/>
      <c r="B473" s="13"/>
      <c r="C473" s="13"/>
    </row>
    <row r="474" spans="1:3" ht="13" x14ac:dyDescent="0.15">
      <c r="A474" s="10"/>
      <c r="B474" s="13"/>
      <c r="C474" s="13"/>
    </row>
    <row r="475" spans="1:3" ht="13" x14ac:dyDescent="0.15">
      <c r="A475" s="10"/>
      <c r="B475" s="13"/>
      <c r="C475" s="13"/>
    </row>
    <row r="476" spans="1:3" ht="13" x14ac:dyDescent="0.15">
      <c r="A476" s="10"/>
      <c r="B476" s="13"/>
      <c r="C476" s="13"/>
    </row>
    <row r="477" spans="1:3" ht="13" x14ac:dyDescent="0.15">
      <c r="A477" s="10"/>
      <c r="B477" s="13"/>
      <c r="C477" s="13"/>
    </row>
    <row r="478" spans="1:3" ht="13" x14ac:dyDescent="0.15">
      <c r="A478" s="10"/>
      <c r="B478" s="13"/>
      <c r="C478" s="13"/>
    </row>
    <row r="479" spans="1:3" ht="13" x14ac:dyDescent="0.15">
      <c r="A479" s="10"/>
      <c r="B479" s="13"/>
      <c r="C479" s="13"/>
    </row>
    <row r="480" spans="1:3" ht="13" x14ac:dyDescent="0.15">
      <c r="A480" s="10"/>
      <c r="B480" s="13"/>
      <c r="C480" s="13"/>
    </row>
    <row r="481" spans="1:3" ht="13" x14ac:dyDescent="0.15">
      <c r="A481" s="10"/>
      <c r="B481" s="13"/>
      <c r="C481" s="13"/>
    </row>
    <row r="482" spans="1:3" ht="13" x14ac:dyDescent="0.15">
      <c r="A482" s="10"/>
      <c r="B482" s="13"/>
      <c r="C482" s="13"/>
    </row>
    <row r="483" spans="1:3" ht="13" x14ac:dyDescent="0.15">
      <c r="A483" s="10"/>
      <c r="B483" s="13"/>
      <c r="C483" s="13"/>
    </row>
    <row r="484" spans="1:3" ht="13" x14ac:dyDescent="0.15">
      <c r="A484" s="10"/>
      <c r="B484" s="13"/>
      <c r="C484" s="13"/>
    </row>
    <row r="485" spans="1:3" ht="13" x14ac:dyDescent="0.15">
      <c r="A485" s="10"/>
      <c r="B485" s="13"/>
      <c r="C485" s="13"/>
    </row>
    <row r="486" spans="1:3" ht="13" x14ac:dyDescent="0.15">
      <c r="A486" s="10"/>
      <c r="B486" s="13"/>
      <c r="C486" s="13"/>
    </row>
    <row r="487" spans="1:3" ht="13" x14ac:dyDescent="0.15">
      <c r="A487" s="10"/>
      <c r="B487" s="13"/>
      <c r="C487" s="13"/>
    </row>
    <row r="488" spans="1:3" ht="13" x14ac:dyDescent="0.15">
      <c r="A488" s="10"/>
      <c r="B488" s="13"/>
      <c r="C488" s="13"/>
    </row>
    <row r="489" spans="1:3" ht="13" x14ac:dyDescent="0.15">
      <c r="A489" s="10"/>
      <c r="B489" s="13"/>
      <c r="C489" s="13"/>
    </row>
    <row r="490" spans="1:3" ht="13" x14ac:dyDescent="0.15">
      <c r="A490" s="10"/>
      <c r="B490" s="13"/>
      <c r="C490" s="13"/>
    </row>
    <row r="491" spans="1:3" ht="13" x14ac:dyDescent="0.15">
      <c r="A491" s="10"/>
      <c r="B491" s="13"/>
      <c r="C491" s="13"/>
    </row>
    <row r="492" spans="1:3" ht="13" x14ac:dyDescent="0.15">
      <c r="A492" s="10"/>
      <c r="B492" s="13"/>
      <c r="C492" s="13"/>
    </row>
    <row r="493" spans="1:3" ht="13" x14ac:dyDescent="0.15">
      <c r="A493" s="10"/>
      <c r="B493" s="13"/>
      <c r="C493" s="13"/>
    </row>
    <row r="494" spans="1:3" ht="13" x14ac:dyDescent="0.15">
      <c r="A494" s="10"/>
      <c r="B494" s="13"/>
      <c r="C494" s="13"/>
    </row>
    <row r="495" spans="1:3" ht="13" x14ac:dyDescent="0.15">
      <c r="A495" s="10"/>
      <c r="B495" s="13"/>
      <c r="C495" s="13"/>
    </row>
    <row r="496" spans="1:3" ht="13" x14ac:dyDescent="0.15">
      <c r="A496" s="10"/>
      <c r="B496" s="13"/>
      <c r="C496" s="13"/>
    </row>
    <row r="497" spans="1:3" ht="13" x14ac:dyDescent="0.15">
      <c r="A497" s="10"/>
      <c r="B497" s="13"/>
      <c r="C497" s="13"/>
    </row>
    <row r="498" spans="1:3" ht="13" x14ac:dyDescent="0.15">
      <c r="A498" s="10"/>
      <c r="B498" s="13"/>
      <c r="C498" s="13"/>
    </row>
    <row r="499" spans="1:3" ht="13" x14ac:dyDescent="0.15">
      <c r="A499" s="10"/>
      <c r="B499" s="13"/>
      <c r="C499" s="13"/>
    </row>
    <row r="500" spans="1:3" ht="13" x14ac:dyDescent="0.15">
      <c r="A500" s="10"/>
      <c r="B500" s="13"/>
      <c r="C500" s="13"/>
    </row>
    <row r="501" spans="1:3" ht="13" x14ac:dyDescent="0.15">
      <c r="A501" s="10"/>
      <c r="B501" s="13"/>
      <c r="C501" s="13"/>
    </row>
    <row r="502" spans="1:3" ht="13" x14ac:dyDescent="0.15">
      <c r="A502" s="10"/>
      <c r="B502" s="13"/>
      <c r="C502" s="13"/>
    </row>
    <row r="503" spans="1:3" ht="13" x14ac:dyDescent="0.15">
      <c r="A503" s="10"/>
      <c r="B503" s="13"/>
      <c r="C503" s="13"/>
    </row>
    <row r="504" spans="1:3" ht="13" x14ac:dyDescent="0.15">
      <c r="A504" s="10"/>
      <c r="B504" s="13"/>
      <c r="C504" s="13"/>
    </row>
    <row r="505" spans="1:3" ht="13" x14ac:dyDescent="0.15">
      <c r="A505" s="10"/>
      <c r="B505" s="13"/>
      <c r="C505" s="13"/>
    </row>
    <row r="506" spans="1:3" ht="13" x14ac:dyDescent="0.15">
      <c r="A506" s="10"/>
      <c r="B506" s="13"/>
      <c r="C506" s="13"/>
    </row>
    <row r="507" spans="1:3" ht="13" x14ac:dyDescent="0.15">
      <c r="A507" s="10"/>
      <c r="B507" s="13"/>
      <c r="C507" s="13"/>
    </row>
    <row r="508" spans="1:3" ht="13" x14ac:dyDescent="0.15">
      <c r="A508" s="10"/>
      <c r="B508" s="13"/>
      <c r="C508" s="13"/>
    </row>
    <row r="509" spans="1:3" ht="13" x14ac:dyDescent="0.15">
      <c r="A509" s="10"/>
      <c r="B509" s="13"/>
      <c r="C509" s="13"/>
    </row>
    <row r="510" spans="1:3" ht="13" x14ac:dyDescent="0.15">
      <c r="A510" s="10"/>
      <c r="B510" s="13"/>
      <c r="C510" s="13"/>
    </row>
    <row r="511" spans="1:3" ht="13" x14ac:dyDescent="0.15">
      <c r="A511" s="10"/>
      <c r="B511" s="13"/>
      <c r="C511" s="13"/>
    </row>
    <row r="512" spans="1:3" ht="13" x14ac:dyDescent="0.15">
      <c r="A512" s="10"/>
      <c r="B512" s="13"/>
      <c r="C512" s="13"/>
    </row>
    <row r="513" spans="1:3" ht="13" x14ac:dyDescent="0.15">
      <c r="A513" s="10"/>
      <c r="B513" s="13"/>
      <c r="C513" s="13"/>
    </row>
    <row r="514" spans="1:3" ht="13" x14ac:dyDescent="0.15">
      <c r="A514" s="10"/>
      <c r="B514" s="13"/>
      <c r="C514" s="13"/>
    </row>
    <row r="515" spans="1:3" ht="13" x14ac:dyDescent="0.15">
      <c r="A515" s="10"/>
      <c r="B515" s="13"/>
      <c r="C515" s="13"/>
    </row>
    <row r="516" spans="1:3" ht="13" x14ac:dyDescent="0.15">
      <c r="A516" s="10"/>
      <c r="B516" s="13"/>
      <c r="C516" s="13"/>
    </row>
    <row r="517" spans="1:3" ht="13" x14ac:dyDescent="0.15">
      <c r="A517" s="10"/>
      <c r="B517" s="13"/>
      <c r="C517" s="13"/>
    </row>
    <row r="518" spans="1:3" ht="13" x14ac:dyDescent="0.15">
      <c r="A518" s="10"/>
      <c r="B518" s="13"/>
      <c r="C518" s="13"/>
    </row>
    <row r="519" spans="1:3" ht="13" x14ac:dyDescent="0.15">
      <c r="A519" s="10"/>
      <c r="B519" s="13"/>
      <c r="C519" s="13"/>
    </row>
    <row r="520" spans="1:3" ht="13" x14ac:dyDescent="0.15">
      <c r="A520" s="10"/>
      <c r="B520" s="13"/>
      <c r="C520" s="13"/>
    </row>
    <row r="521" spans="1:3" ht="13" x14ac:dyDescent="0.15">
      <c r="A521" s="10"/>
      <c r="B521" s="13"/>
      <c r="C521" s="13"/>
    </row>
    <row r="522" spans="1:3" ht="13" x14ac:dyDescent="0.15">
      <c r="A522" s="10"/>
      <c r="B522" s="13"/>
      <c r="C522" s="13"/>
    </row>
    <row r="523" spans="1:3" ht="13" x14ac:dyDescent="0.15">
      <c r="A523" s="10"/>
      <c r="B523" s="13"/>
      <c r="C523" s="13"/>
    </row>
    <row r="524" spans="1:3" ht="13" x14ac:dyDescent="0.15">
      <c r="A524" s="10"/>
      <c r="B524" s="13"/>
      <c r="C524" s="13"/>
    </row>
    <row r="525" spans="1:3" ht="13" x14ac:dyDescent="0.15">
      <c r="A525" s="10"/>
      <c r="B525" s="13"/>
      <c r="C525" s="13"/>
    </row>
    <row r="526" spans="1:3" ht="13" x14ac:dyDescent="0.15">
      <c r="A526" s="10"/>
      <c r="B526" s="13"/>
      <c r="C526" s="13"/>
    </row>
    <row r="527" spans="1:3" ht="13" x14ac:dyDescent="0.15">
      <c r="A527" s="10"/>
      <c r="B527" s="13"/>
      <c r="C527" s="13"/>
    </row>
    <row r="528" spans="1:3" ht="13" x14ac:dyDescent="0.15">
      <c r="A528" s="10"/>
      <c r="B528" s="13"/>
      <c r="C528" s="13"/>
    </row>
    <row r="529" spans="1:3" ht="13" x14ac:dyDescent="0.15">
      <c r="A529" s="10"/>
      <c r="B529" s="13"/>
      <c r="C529" s="13"/>
    </row>
    <row r="530" spans="1:3" ht="13" x14ac:dyDescent="0.15">
      <c r="A530" s="10"/>
      <c r="B530" s="13"/>
      <c r="C530" s="13"/>
    </row>
    <row r="531" spans="1:3" ht="13" x14ac:dyDescent="0.15">
      <c r="A531" s="10"/>
      <c r="B531" s="13"/>
      <c r="C531" s="13"/>
    </row>
    <row r="532" spans="1:3" ht="13" x14ac:dyDescent="0.15">
      <c r="A532" s="10"/>
      <c r="B532" s="13"/>
      <c r="C532" s="13"/>
    </row>
    <row r="533" spans="1:3" ht="13" x14ac:dyDescent="0.15">
      <c r="A533" s="10"/>
      <c r="B533" s="13"/>
      <c r="C533" s="13"/>
    </row>
    <row r="534" spans="1:3" ht="13" x14ac:dyDescent="0.15">
      <c r="A534" s="10"/>
      <c r="B534" s="13"/>
      <c r="C534" s="13"/>
    </row>
    <row r="535" spans="1:3" ht="13" x14ac:dyDescent="0.15">
      <c r="A535" s="10"/>
      <c r="B535" s="13"/>
      <c r="C535" s="13"/>
    </row>
    <row r="536" spans="1:3" ht="13" x14ac:dyDescent="0.15">
      <c r="A536" s="10"/>
      <c r="B536" s="13"/>
      <c r="C536" s="13"/>
    </row>
    <row r="537" spans="1:3" ht="13" x14ac:dyDescent="0.15">
      <c r="A537" s="10"/>
      <c r="B537" s="13"/>
      <c r="C537" s="13"/>
    </row>
    <row r="538" spans="1:3" ht="13" x14ac:dyDescent="0.15">
      <c r="A538" s="10"/>
      <c r="B538" s="13"/>
      <c r="C538" s="13"/>
    </row>
    <row r="539" spans="1:3" ht="13" x14ac:dyDescent="0.15">
      <c r="A539" s="10"/>
      <c r="B539" s="13"/>
      <c r="C539" s="13"/>
    </row>
    <row r="540" spans="1:3" ht="13" x14ac:dyDescent="0.15">
      <c r="A540" s="10"/>
      <c r="B540" s="13"/>
      <c r="C540" s="13"/>
    </row>
    <row r="541" spans="1:3" ht="13" x14ac:dyDescent="0.15">
      <c r="A541" s="10"/>
      <c r="B541" s="13"/>
      <c r="C541" s="13"/>
    </row>
    <row r="542" spans="1:3" ht="13" x14ac:dyDescent="0.15">
      <c r="A542" s="10"/>
      <c r="B542" s="13"/>
      <c r="C542" s="13"/>
    </row>
    <row r="543" spans="1:3" ht="13" x14ac:dyDescent="0.15">
      <c r="A543" s="10"/>
      <c r="B543" s="13"/>
      <c r="C543" s="13"/>
    </row>
    <row r="544" spans="1:3" ht="13" x14ac:dyDescent="0.15">
      <c r="A544" s="10"/>
      <c r="B544" s="13"/>
      <c r="C544" s="13"/>
    </row>
    <row r="545" spans="1:3" ht="13" x14ac:dyDescent="0.15">
      <c r="A545" s="10"/>
      <c r="B545" s="13"/>
      <c r="C545" s="13"/>
    </row>
    <row r="546" spans="1:3" ht="13" x14ac:dyDescent="0.15">
      <c r="A546" s="10"/>
      <c r="B546" s="13"/>
      <c r="C546" s="13"/>
    </row>
    <row r="547" spans="1:3" ht="13" x14ac:dyDescent="0.15">
      <c r="A547" s="10"/>
      <c r="B547" s="13"/>
      <c r="C547" s="13"/>
    </row>
    <row r="548" spans="1:3" ht="13" x14ac:dyDescent="0.15">
      <c r="A548" s="10"/>
      <c r="B548" s="13"/>
      <c r="C548" s="13"/>
    </row>
    <row r="549" spans="1:3" ht="13" x14ac:dyDescent="0.15">
      <c r="A549" s="10"/>
      <c r="B549" s="13"/>
      <c r="C549" s="13"/>
    </row>
    <row r="550" spans="1:3" ht="13" x14ac:dyDescent="0.15">
      <c r="A550" s="10"/>
      <c r="B550" s="13"/>
      <c r="C550" s="13"/>
    </row>
    <row r="551" spans="1:3" ht="13" x14ac:dyDescent="0.15">
      <c r="A551" s="10"/>
      <c r="B551" s="13"/>
      <c r="C551" s="13"/>
    </row>
    <row r="552" spans="1:3" ht="13" x14ac:dyDescent="0.15">
      <c r="A552" s="10"/>
      <c r="B552" s="13"/>
      <c r="C552" s="13"/>
    </row>
    <row r="553" spans="1:3" ht="13" x14ac:dyDescent="0.15">
      <c r="A553" s="10"/>
      <c r="B553" s="13"/>
      <c r="C553" s="13"/>
    </row>
    <row r="554" spans="1:3" ht="13" x14ac:dyDescent="0.15">
      <c r="A554" s="10"/>
      <c r="B554" s="13"/>
      <c r="C554" s="13"/>
    </row>
    <row r="555" spans="1:3" ht="13" x14ac:dyDescent="0.15">
      <c r="A555" s="10"/>
      <c r="B555" s="13"/>
      <c r="C555" s="13"/>
    </row>
    <row r="556" spans="1:3" ht="13" x14ac:dyDescent="0.15">
      <c r="A556" s="10"/>
      <c r="B556" s="13"/>
      <c r="C556" s="13"/>
    </row>
    <row r="557" spans="1:3" ht="13" x14ac:dyDescent="0.15">
      <c r="A557" s="10"/>
      <c r="B557" s="13"/>
      <c r="C557" s="13"/>
    </row>
    <row r="558" spans="1:3" ht="13" x14ac:dyDescent="0.15">
      <c r="A558" s="10"/>
      <c r="B558" s="13"/>
      <c r="C558" s="13"/>
    </row>
    <row r="559" spans="1:3" ht="13" x14ac:dyDescent="0.15">
      <c r="A559" s="10"/>
      <c r="B559" s="13"/>
      <c r="C559" s="13"/>
    </row>
    <row r="560" spans="1:3" ht="13" x14ac:dyDescent="0.15">
      <c r="A560" s="10"/>
      <c r="B560" s="13"/>
      <c r="C560" s="13"/>
    </row>
    <row r="561" spans="1:3" ht="13" x14ac:dyDescent="0.15">
      <c r="A561" s="10"/>
      <c r="B561" s="13"/>
      <c r="C561" s="13"/>
    </row>
    <row r="562" spans="1:3" ht="13" x14ac:dyDescent="0.15">
      <c r="A562" s="10"/>
      <c r="B562" s="13"/>
      <c r="C562" s="13"/>
    </row>
    <row r="563" spans="1:3" ht="13" x14ac:dyDescent="0.15">
      <c r="A563" s="10"/>
      <c r="B563" s="13"/>
      <c r="C563" s="13"/>
    </row>
    <row r="564" spans="1:3" ht="13" x14ac:dyDescent="0.15">
      <c r="A564" s="10"/>
      <c r="B564" s="13"/>
      <c r="C564" s="13"/>
    </row>
    <row r="565" spans="1:3" ht="13" x14ac:dyDescent="0.15">
      <c r="A565" s="10"/>
      <c r="B565" s="13"/>
      <c r="C565" s="13"/>
    </row>
    <row r="566" spans="1:3" ht="13" x14ac:dyDescent="0.15">
      <c r="A566" s="10"/>
      <c r="B566" s="13"/>
      <c r="C566" s="13"/>
    </row>
    <row r="567" spans="1:3" ht="13" x14ac:dyDescent="0.15">
      <c r="A567" s="10"/>
      <c r="B567" s="13"/>
      <c r="C567" s="13"/>
    </row>
    <row r="568" spans="1:3" ht="13" x14ac:dyDescent="0.15">
      <c r="A568" s="10"/>
      <c r="B568" s="13"/>
      <c r="C568" s="13"/>
    </row>
    <row r="569" spans="1:3" ht="13" x14ac:dyDescent="0.15">
      <c r="A569" s="10"/>
      <c r="B569" s="13"/>
      <c r="C569" s="13"/>
    </row>
    <row r="570" spans="1:3" ht="13" x14ac:dyDescent="0.15">
      <c r="A570" s="10"/>
      <c r="B570" s="13"/>
      <c r="C570" s="13"/>
    </row>
    <row r="571" spans="1:3" ht="13" x14ac:dyDescent="0.15">
      <c r="A571" s="10"/>
      <c r="B571" s="13"/>
      <c r="C571" s="13"/>
    </row>
    <row r="572" spans="1:3" ht="13" x14ac:dyDescent="0.15">
      <c r="A572" s="10"/>
      <c r="B572" s="13"/>
      <c r="C572" s="13"/>
    </row>
    <row r="573" spans="1:3" ht="13" x14ac:dyDescent="0.15">
      <c r="A573" s="10"/>
      <c r="B573" s="13"/>
      <c r="C573" s="13"/>
    </row>
    <row r="574" spans="1:3" ht="13" x14ac:dyDescent="0.15">
      <c r="A574" s="10"/>
      <c r="B574" s="13"/>
      <c r="C574" s="13"/>
    </row>
    <row r="575" spans="1:3" ht="13" x14ac:dyDescent="0.15">
      <c r="A575" s="10"/>
      <c r="B575" s="13"/>
      <c r="C575" s="13"/>
    </row>
    <row r="576" spans="1:3" ht="13" x14ac:dyDescent="0.15">
      <c r="A576" s="10"/>
      <c r="B576" s="13"/>
      <c r="C576" s="13"/>
    </row>
    <row r="577" spans="1:3" ht="13" x14ac:dyDescent="0.15">
      <c r="A577" s="10"/>
      <c r="B577" s="13"/>
      <c r="C577" s="13"/>
    </row>
    <row r="578" spans="1:3" ht="13" x14ac:dyDescent="0.15">
      <c r="A578" s="10"/>
      <c r="B578" s="13"/>
      <c r="C578" s="13"/>
    </row>
    <row r="579" spans="1:3" ht="13" x14ac:dyDescent="0.15">
      <c r="A579" s="10"/>
      <c r="B579" s="13"/>
      <c r="C579" s="13"/>
    </row>
    <row r="580" spans="1:3" ht="13" x14ac:dyDescent="0.15">
      <c r="A580" s="10"/>
      <c r="B580" s="13"/>
      <c r="C580" s="13"/>
    </row>
    <row r="581" spans="1:3" ht="13" x14ac:dyDescent="0.15">
      <c r="A581" s="10"/>
      <c r="B581" s="13"/>
      <c r="C581" s="13"/>
    </row>
    <row r="582" spans="1:3" ht="13" x14ac:dyDescent="0.15">
      <c r="A582" s="10"/>
      <c r="B582" s="13"/>
      <c r="C582" s="13"/>
    </row>
    <row r="583" spans="1:3" ht="13" x14ac:dyDescent="0.15">
      <c r="A583" s="10"/>
      <c r="B583" s="13"/>
      <c r="C583" s="13"/>
    </row>
    <row r="584" spans="1:3" ht="13" x14ac:dyDescent="0.15">
      <c r="A584" s="10"/>
      <c r="B584" s="13"/>
      <c r="C584" s="13"/>
    </row>
    <row r="585" spans="1:3" ht="13" x14ac:dyDescent="0.15">
      <c r="A585" s="10"/>
      <c r="B585" s="13"/>
      <c r="C585" s="13"/>
    </row>
    <row r="586" spans="1:3" ht="13" x14ac:dyDescent="0.15">
      <c r="A586" s="10"/>
      <c r="B586" s="13"/>
      <c r="C586" s="13"/>
    </row>
    <row r="587" spans="1:3" ht="13" x14ac:dyDescent="0.15">
      <c r="A587" s="10"/>
      <c r="B587" s="13"/>
      <c r="C587" s="13"/>
    </row>
    <row r="588" spans="1:3" ht="13" x14ac:dyDescent="0.15">
      <c r="A588" s="10"/>
      <c r="B588" s="13"/>
      <c r="C588" s="13"/>
    </row>
    <row r="589" spans="1:3" ht="13" x14ac:dyDescent="0.15">
      <c r="A589" s="10"/>
      <c r="B589" s="13"/>
      <c r="C589" s="13"/>
    </row>
    <row r="590" spans="1:3" ht="13" x14ac:dyDescent="0.15">
      <c r="A590" s="10"/>
      <c r="B590" s="13"/>
      <c r="C590" s="13"/>
    </row>
    <row r="591" spans="1:3" ht="13" x14ac:dyDescent="0.15">
      <c r="A591" s="10"/>
      <c r="B591" s="13"/>
      <c r="C591" s="13"/>
    </row>
    <row r="592" spans="1:3" ht="13" x14ac:dyDescent="0.15">
      <c r="A592" s="10"/>
      <c r="B592" s="13"/>
      <c r="C592" s="13"/>
    </row>
    <row r="593" spans="1:3" ht="13" x14ac:dyDescent="0.15">
      <c r="A593" s="10"/>
      <c r="B593" s="13"/>
      <c r="C593" s="13"/>
    </row>
    <row r="594" spans="1:3" ht="13" x14ac:dyDescent="0.15">
      <c r="A594" s="10"/>
      <c r="B594" s="13"/>
      <c r="C594" s="13"/>
    </row>
    <row r="595" spans="1:3" ht="13" x14ac:dyDescent="0.15">
      <c r="A595" s="10"/>
      <c r="B595" s="13"/>
      <c r="C595" s="13"/>
    </row>
    <row r="596" spans="1:3" ht="13" x14ac:dyDescent="0.15">
      <c r="A596" s="10"/>
      <c r="B596" s="13"/>
      <c r="C596" s="13"/>
    </row>
    <row r="597" spans="1:3" ht="13" x14ac:dyDescent="0.15">
      <c r="A597" s="10"/>
      <c r="B597" s="13"/>
      <c r="C597" s="13"/>
    </row>
    <row r="598" spans="1:3" ht="13" x14ac:dyDescent="0.15">
      <c r="A598" s="10"/>
      <c r="B598" s="13"/>
      <c r="C598" s="13"/>
    </row>
    <row r="599" spans="1:3" ht="13" x14ac:dyDescent="0.15">
      <c r="A599" s="10"/>
      <c r="B599" s="13"/>
      <c r="C599" s="13"/>
    </row>
    <row r="600" spans="1:3" ht="13" x14ac:dyDescent="0.15">
      <c r="A600" s="10"/>
      <c r="B600" s="13"/>
      <c r="C600" s="13"/>
    </row>
    <row r="601" spans="1:3" ht="13" x14ac:dyDescent="0.15">
      <c r="A601" s="10"/>
      <c r="B601" s="13"/>
      <c r="C601" s="13"/>
    </row>
    <row r="602" spans="1:3" ht="13" x14ac:dyDescent="0.15">
      <c r="A602" s="10"/>
      <c r="B602" s="13"/>
      <c r="C602" s="13"/>
    </row>
    <row r="603" spans="1:3" ht="13" x14ac:dyDescent="0.15">
      <c r="A603" s="10"/>
      <c r="B603" s="13"/>
      <c r="C603" s="13"/>
    </row>
    <row r="604" spans="1:3" ht="13" x14ac:dyDescent="0.15">
      <c r="A604" s="10"/>
      <c r="B604" s="13"/>
      <c r="C604" s="13"/>
    </row>
    <row r="605" spans="1:3" ht="13" x14ac:dyDescent="0.15">
      <c r="A605" s="10"/>
      <c r="B605" s="13"/>
      <c r="C605" s="13"/>
    </row>
    <row r="606" spans="1:3" ht="13" x14ac:dyDescent="0.15">
      <c r="A606" s="10"/>
      <c r="B606" s="13"/>
      <c r="C606" s="13"/>
    </row>
    <row r="607" spans="1:3" ht="13" x14ac:dyDescent="0.15">
      <c r="A607" s="10"/>
      <c r="B607" s="13"/>
      <c r="C607" s="13"/>
    </row>
    <row r="608" spans="1:3" ht="13" x14ac:dyDescent="0.15">
      <c r="A608" s="10"/>
      <c r="B608" s="13"/>
      <c r="C608" s="13"/>
    </row>
    <row r="609" spans="1:3" ht="13" x14ac:dyDescent="0.15">
      <c r="A609" s="10"/>
      <c r="B609" s="13"/>
      <c r="C609" s="13"/>
    </row>
    <row r="610" spans="1:3" ht="13" x14ac:dyDescent="0.15">
      <c r="A610" s="10"/>
      <c r="B610" s="13"/>
      <c r="C610" s="13"/>
    </row>
    <row r="611" spans="1:3" ht="13" x14ac:dyDescent="0.15">
      <c r="A611" s="10"/>
      <c r="B611" s="13"/>
      <c r="C611" s="13"/>
    </row>
    <row r="612" spans="1:3" ht="13" x14ac:dyDescent="0.15">
      <c r="A612" s="10"/>
      <c r="B612" s="13"/>
      <c r="C612" s="13"/>
    </row>
    <row r="613" spans="1:3" ht="13" x14ac:dyDescent="0.15">
      <c r="A613" s="10"/>
      <c r="B613" s="13"/>
      <c r="C613" s="13"/>
    </row>
    <row r="614" spans="1:3" ht="13" x14ac:dyDescent="0.15">
      <c r="A614" s="10"/>
      <c r="B614" s="13"/>
      <c r="C614" s="13"/>
    </row>
    <row r="615" spans="1:3" ht="13" x14ac:dyDescent="0.15">
      <c r="A615" s="10"/>
      <c r="B615" s="13"/>
      <c r="C615" s="13"/>
    </row>
    <row r="616" spans="1:3" ht="13" x14ac:dyDescent="0.15">
      <c r="A616" s="10"/>
      <c r="B616" s="13"/>
      <c r="C616" s="13"/>
    </row>
    <row r="617" spans="1:3" ht="13" x14ac:dyDescent="0.15">
      <c r="A617" s="10"/>
      <c r="B617" s="13"/>
      <c r="C617" s="13"/>
    </row>
    <row r="618" spans="1:3" ht="13" x14ac:dyDescent="0.15">
      <c r="A618" s="10"/>
      <c r="B618" s="13"/>
      <c r="C618" s="13"/>
    </row>
    <row r="619" spans="1:3" ht="13" x14ac:dyDescent="0.15">
      <c r="A619" s="10"/>
      <c r="B619" s="13"/>
      <c r="C619" s="13"/>
    </row>
    <row r="620" spans="1:3" ht="13" x14ac:dyDescent="0.15">
      <c r="A620" s="10"/>
      <c r="B620" s="13"/>
      <c r="C620" s="13"/>
    </row>
    <row r="621" spans="1:3" ht="13" x14ac:dyDescent="0.15">
      <c r="A621" s="10"/>
      <c r="B621" s="13"/>
      <c r="C621" s="13"/>
    </row>
    <row r="622" spans="1:3" ht="13" x14ac:dyDescent="0.15">
      <c r="A622" s="10"/>
      <c r="B622" s="13"/>
      <c r="C622" s="13"/>
    </row>
    <row r="623" spans="1:3" ht="13" x14ac:dyDescent="0.15">
      <c r="A623" s="10"/>
      <c r="B623" s="13"/>
      <c r="C623" s="13"/>
    </row>
    <row r="624" spans="1:3" ht="13" x14ac:dyDescent="0.15">
      <c r="A624" s="10"/>
      <c r="B624" s="13"/>
      <c r="C624" s="13"/>
    </row>
    <row r="625" spans="1:3" ht="13" x14ac:dyDescent="0.15">
      <c r="A625" s="10"/>
      <c r="B625" s="13"/>
      <c r="C625" s="13"/>
    </row>
    <row r="626" spans="1:3" ht="13" x14ac:dyDescent="0.15">
      <c r="A626" s="10"/>
      <c r="B626" s="13"/>
      <c r="C626" s="13"/>
    </row>
    <row r="627" spans="1:3" ht="13" x14ac:dyDescent="0.15">
      <c r="A627" s="10"/>
      <c r="B627" s="13"/>
      <c r="C627" s="13"/>
    </row>
    <row r="628" spans="1:3" ht="13" x14ac:dyDescent="0.15">
      <c r="A628" s="10"/>
      <c r="B628" s="13"/>
      <c r="C628" s="13"/>
    </row>
    <row r="629" spans="1:3" ht="13" x14ac:dyDescent="0.15">
      <c r="A629" s="10"/>
      <c r="B629" s="13"/>
      <c r="C629" s="13"/>
    </row>
    <row r="630" spans="1:3" ht="13" x14ac:dyDescent="0.15">
      <c r="A630" s="10"/>
      <c r="B630" s="13"/>
      <c r="C630" s="13"/>
    </row>
    <row r="631" spans="1:3" ht="13" x14ac:dyDescent="0.15">
      <c r="A631" s="10"/>
      <c r="B631" s="13"/>
      <c r="C631" s="13"/>
    </row>
    <row r="632" spans="1:3" ht="13" x14ac:dyDescent="0.15">
      <c r="A632" s="10"/>
      <c r="B632" s="13"/>
      <c r="C632" s="13"/>
    </row>
    <row r="633" spans="1:3" ht="13" x14ac:dyDescent="0.15">
      <c r="A633" s="10"/>
      <c r="B633" s="13"/>
      <c r="C633" s="13"/>
    </row>
    <row r="634" spans="1:3" ht="13" x14ac:dyDescent="0.15">
      <c r="A634" s="10"/>
      <c r="B634" s="13"/>
      <c r="C634" s="13"/>
    </row>
    <row r="635" spans="1:3" ht="13" x14ac:dyDescent="0.15">
      <c r="A635" s="10"/>
      <c r="B635" s="13"/>
      <c r="C635" s="13"/>
    </row>
    <row r="636" spans="1:3" ht="13" x14ac:dyDescent="0.15">
      <c r="A636" s="10"/>
      <c r="B636" s="13"/>
      <c r="C636" s="13"/>
    </row>
    <row r="637" spans="1:3" ht="13" x14ac:dyDescent="0.15">
      <c r="A637" s="10"/>
      <c r="B637" s="13"/>
      <c r="C637" s="13"/>
    </row>
    <row r="638" spans="1:3" ht="13" x14ac:dyDescent="0.15">
      <c r="A638" s="10"/>
      <c r="B638" s="13"/>
      <c r="C638" s="13"/>
    </row>
    <row r="639" spans="1:3" ht="13" x14ac:dyDescent="0.15">
      <c r="A639" s="10"/>
      <c r="B639" s="13"/>
      <c r="C639" s="13"/>
    </row>
    <row r="640" spans="1:3" ht="13" x14ac:dyDescent="0.15">
      <c r="A640" s="10"/>
      <c r="B640" s="13"/>
      <c r="C640" s="13"/>
    </row>
    <row r="641" spans="1:3" ht="13" x14ac:dyDescent="0.15">
      <c r="A641" s="10"/>
      <c r="B641" s="13"/>
      <c r="C641" s="13"/>
    </row>
    <row r="642" spans="1:3" ht="13" x14ac:dyDescent="0.15">
      <c r="A642" s="10"/>
      <c r="B642" s="13"/>
      <c r="C642" s="13"/>
    </row>
    <row r="643" spans="1:3" ht="13" x14ac:dyDescent="0.15">
      <c r="A643" s="10"/>
      <c r="B643" s="13"/>
      <c r="C643" s="13"/>
    </row>
    <row r="644" spans="1:3" ht="13" x14ac:dyDescent="0.15">
      <c r="A644" s="10"/>
      <c r="B644" s="13"/>
      <c r="C644" s="13"/>
    </row>
    <row r="645" spans="1:3" ht="13" x14ac:dyDescent="0.15">
      <c r="A645" s="10"/>
      <c r="B645" s="13"/>
      <c r="C645" s="13"/>
    </row>
    <row r="646" spans="1:3" ht="13" x14ac:dyDescent="0.15">
      <c r="A646" s="10"/>
      <c r="B646" s="13"/>
      <c r="C646" s="13"/>
    </row>
    <row r="647" spans="1:3" ht="13" x14ac:dyDescent="0.15">
      <c r="A647" s="10"/>
      <c r="B647" s="13"/>
      <c r="C647" s="13"/>
    </row>
    <row r="648" spans="1:3" ht="13" x14ac:dyDescent="0.15">
      <c r="A648" s="10"/>
      <c r="B648" s="13"/>
      <c r="C648" s="13"/>
    </row>
    <row r="649" spans="1:3" ht="13" x14ac:dyDescent="0.15">
      <c r="A649" s="10"/>
      <c r="B649" s="13"/>
      <c r="C649" s="13"/>
    </row>
    <row r="650" spans="1:3" ht="13" x14ac:dyDescent="0.15">
      <c r="A650" s="10"/>
      <c r="B650" s="13"/>
      <c r="C650" s="13"/>
    </row>
    <row r="651" spans="1:3" ht="13" x14ac:dyDescent="0.15">
      <c r="A651" s="10"/>
      <c r="B651" s="13"/>
      <c r="C651" s="13"/>
    </row>
    <row r="652" spans="1:3" ht="13" x14ac:dyDescent="0.15">
      <c r="A652" s="10"/>
      <c r="B652" s="13"/>
      <c r="C652" s="13"/>
    </row>
    <row r="653" spans="1:3" ht="13" x14ac:dyDescent="0.15">
      <c r="A653" s="10"/>
      <c r="B653" s="13"/>
      <c r="C653" s="13"/>
    </row>
    <row r="654" spans="1:3" ht="13" x14ac:dyDescent="0.15">
      <c r="A654" s="10"/>
      <c r="B654" s="13"/>
      <c r="C654" s="13"/>
    </row>
    <row r="655" spans="1:3" ht="13" x14ac:dyDescent="0.15">
      <c r="A655" s="10"/>
      <c r="B655" s="13"/>
      <c r="C655" s="13"/>
    </row>
    <row r="656" spans="1:3" ht="13" x14ac:dyDescent="0.15">
      <c r="A656" s="10"/>
      <c r="B656" s="13"/>
      <c r="C656" s="13"/>
    </row>
    <row r="657" spans="1:3" ht="13" x14ac:dyDescent="0.15">
      <c r="A657" s="10"/>
      <c r="B657" s="13"/>
      <c r="C657" s="13"/>
    </row>
    <row r="658" spans="1:3" ht="13" x14ac:dyDescent="0.15">
      <c r="A658" s="10"/>
      <c r="B658" s="13"/>
      <c r="C658" s="13"/>
    </row>
    <row r="659" spans="1:3" ht="13" x14ac:dyDescent="0.15">
      <c r="A659" s="10"/>
      <c r="B659" s="13"/>
      <c r="C659" s="13"/>
    </row>
    <row r="660" spans="1:3" ht="13" x14ac:dyDescent="0.15">
      <c r="A660" s="10"/>
      <c r="B660" s="13"/>
      <c r="C660" s="13"/>
    </row>
    <row r="661" spans="1:3" ht="13" x14ac:dyDescent="0.15">
      <c r="A661" s="10"/>
      <c r="B661" s="13"/>
      <c r="C661" s="13"/>
    </row>
    <row r="662" spans="1:3" ht="13" x14ac:dyDescent="0.15">
      <c r="A662" s="10"/>
      <c r="B662" s="13"/>
      <c r="C662" s="13"/>
    </row>
    <row r="663" spans="1:3" ht="13" x14ac:dyDescent="0.15">
      <c r="A663" s="10"/>
      <c r="B663" s="13"/>
      <c r="C663" s="13"/>
    </row>
    <row r="664" spans="1:3" ht="13" x14ac:dyDescent="0.15">
      <c r="A664" s="10"/>
      <c r="B664" s="13"/>
      <c r="C664" s="13"/>
    </row>
    <row r="665" spans="1:3" ht="13" x14ac:dyDescent="0.15">
      <c r="A665" s="10"/>
      <c r="B665" s="13"/>
      <c r="C665" s="13"/>
    </row>
    <row r="666" spans="1:3" ht="13" x14ac:dyDescent="0.15">
      <c r="A666" s="10"/>
      <c r="B666" s="13"/>
      <c r="C666" s="13"/>
    </row>
    <row r="667" spans="1:3" ht="13" x14ac:dyDescent="0.15">
      <c r="A667" s="10"/>
      <c r="B667" s="13"/>
      <c r="C667" s="13"/>
    </row>
    <row r="668" spans="1:3" ht="13" x14ac:dyDescent="0.15">
      <c r="A668" s="10"/>
      <c r="B668" s="13"/>
      <c r="C668" s="13"/>
    </row>
    <row r="669" spans="1:3" ht="13" x14ac:dyDescent="0.15">
      <c r="A669" s="10"/>
      <c r="B669" s="13"/>
      <c r="C669" s="13"/>
    </row>
    <row r="670" spans="1:3" ht="13" x14ac:dyDescent="0.15">
      <c r="A670" s="10"/>
      <c r="B670" s="13"/>
      <c r="C670" s="13"/>
    </row>
    <row r="671" spans="1:3" ht="13" x14ac:dyDescent="0.15">
      <c r="A671" s="10"/>
      <c r="B671" s="13"/>
      <c r="C671" s="13"/>
    </row>
    <row r="672" spans="1:3" ht="13" x14ac:dyDescent="0.15">
      <c r="A672" s="10"/>
      <c r="B672" s="13"/>
      <c r="C672" s="13"/>
    </row>
    <row r="673" spans="1:3" ht="13" x14ac:dyDescent="0.15">
      <c r="A673" s="10"/>
      <c r="B673" s="13"/>
      <c r="C673" s="13"/>
    </row>
    <row r="674" spans="1:3" ht="13" x14ac:dyDescent="0.15">
      <c r="A674" s="10"/>
      <c r="B674" s="13"/>
      <c r="C674" s="13"/>
    </row>
    <row r="675" spans="1:3" ht="13" x14ac:dyDescent="0.15">
      <c r="A675" s="10"/>
      <c r="B675" s="13"/>
      <c r="C675" s="13"/>
    </row>
    <row r="676" spans="1:3" ht="13" x14ac:dyDescent="0.15">
      <c r="A676" s="10"/>
      <c r="B676" s="13"/>
      <c r="C676" s="13"/>
    </row>
    <row r="677" spans="1:3" ht="13" x14ac:dyDescent="0.15">
      <c r="A677" s="10"/>
      <c r="B677" s="13"/>
      <c r="C677" s="13"/>
    </row>
    <row r="678" spans="1:3" ht="13" x14ac:dyDescent="0.15">
      <c r="A678" s="10"/>
      <c r="B678" s="13"/>
      <c r="C678" s="13"/>
    </row>
    <row r="679" spans="1:3" ht="13" x14ac:dyDescent="0.15">
      <c r="A679" s="10"/>
      <c r="B679" s="13"/>
      <c r="C679" s="13"/>
    </row>
    <row r="680" spans="1:3" ht="13" x14ac:dyDescent="0.15">
      <c r="A680" s="10"/>
      <c r="B680" s="13"/>
      <c r="C680" s="13"/>
    </row>
    <row r="681" spans="1:3" ht="13" x14ac:dyDescent="0.15">
      <c r="A681" s="10"/>
      <c r="B681" s="13"/>
      <c r="C681" s="13"/>
    </row>
    <row r="682" spans="1:3" ht="13" x14ac:dyDescent="0.15">
      <c r="A682" s="10"/>
      <c r="B682" s="13"/>
      <c r="C682" s="13"/>
    </row>
    <row r="683" spans="1:3" ht="13" x14ac:dyDescent="0.15">
      <c r="A683" s="10"/>
      <c r="B683" s="13"/>
      <c r="C683" s="13"/>
    </row>
    <row r="684" spans="1:3" ht="13" x14ac:dyDescent="0.15">
      <c r="A684" s="10"/>
      <c r="B684" s="13"/>
      <c r="C684" s="13"/>
    </row>
    <row r="685" spans="1:3" ht="13" x14ac:dyDescent="0.15">
      <c r="A685" s="10"/>
      <c r="B685" s="13"/>
      <c r="C685" s="13"/>
    </row>
    <row r="686" spans="1:3" ht="13" x14ac:dyDescent="0.15">
      <c r="A686" s="10"/>
      <c r="B686" s="13"/>
      <c r="C686" s="13"/>
    </row>
    <row r="687" spans="1:3" ht="13" x14ac:dyDescent="0.15">
      <c r="A687" s="10"/>
      <c r="B687" s="13"/>
      <c r="C687" s="13"/>
    </row>
    <row r="688" spans="1:3" ht="13" x14ac:dyDescent="0.15">
      <c r="A688" s="10"/>
      <c r="B688" s="13"/>
      <c r="C688" s="13"/>
    </row>
    <row r="689" spans="1:3" ht="13" x14ac:dyDescent="0.15">
      <c r="A689" s="10"/>
      <c r="B689" s="13"/>
      <c r="C689" s="13"/>
    </row>
    <row r="690" spans="1:3" ht="13" x14ac:dyDescent="0.15">
      <c r="A690" s="10"/>
      <c r="B690" s="13"/>
      <c r="C690" s="13"/>
    </row>
    <row r="691" spans="1:3" ht="13" x14ac:dyDescent="0.15">
      <c r="A691" s="10"/>
      <c r="B691" s="13"/>
      <c r="C691" s="13"/>
    </row>
    <row r="692" spans="1:3" ht="13" x14ac:dyDescent="0.15">
      <c r="A692" s="10"/>
      <c r="B692" s="13"/>
      <c r="C692" s="13"/>
    </row>
    <row r="693" spans="1:3" ht="13" x14ac:dyDescent="0.15">
      <c r="A693" s="10"/>
      <c r="B693" s="13"/>
      <c r="C693" s="13"/>
    </row>
    <row r="694" spans="1:3" ht="13" x14ac:dyDescent="0.15">
      <c r="A694" s="10"/>
      <c r="B694" s="13"/>
      <c r="C694" s="13"/>
    </row>
    <row r="695" spans="1:3" ht="13" x14ac:dyDescent="0.15">
      <c r="A695" s="10"/>
      <c r="B695" s="13"/>
      <c r="C695" s="13"/>
    </row>
    <row r="696" spans="1:3" ht="13" x14ac:dyDescent="0.15">
      <c r="A696" s="10"/>
      <c r="B696" s="13"/>
      <c r="C696" s="13"/>
    </row>
    <row r="697" spans="1:3" ht="13" x14ac:dyDescent="0.15">
      <c r="A697" s="10"/>
      <c r="B697" s="13"/>
      <c r="C697" s="13"/>
    </row>
    <row r="698" spans="1:3" ht="13" x14ac:dyDescent="0.15">
      <c r="A698" s="10"/>
      <c r="B698" s="13"/>
      <c r="C698" s="13"/>
    </row>
    <row r="699" spans="1:3" ht="13" x14ac:dyDescent="0.15">
      <c r="A699" s="10"/>
      <c r="B699" s="13"/>
      <c r="C699" s="13"/>
    </row>
    <row r="700" spans="1:3" ht="13" x14ac:dyDescent="0.15">
      <c r="A700" s="10"/>
      <c r="B700" s="13"/>
      <c r="C700" s="13"/>
    </row>
    <row r="701" spans="1:3" ht="13" x14ac:dyDescent="0.15">
      <c r="A701" s="10"/>
      <c r="B701" s="13"/>
      <c r="C701" s="13"/>
    </row>
    <row r="702" spans="1:3" ht="13" x14ac:dyDescent="0.15">
      <c r="A702" s="10"/>
      <c r="B702" s="13"/>
      <c r="C702" s="13"/>
    </row>
    <row r="703" spans="1:3" ht="13" x14ac:dyDescent="0.15">
      <c r="A703" s="10"/>
      <c r="B703" s="13"/>
      <c r="C703" s="13"/>
    </row>
    <row r="704" spans="1:3" ht="13" x14ac:dyDescent="0.15">
      <c r="A704" s="10"/>
      <c r="B704" s="13"/>
      <c r="C704" s="13"/>
    </row>
    <row r="705" spans="1:3" ht="13" x14ac:dyDescent="0.15">
      <c r="A705" s="10"/>
      <c r="B705" s="13"/>
      <c r="C705" s="13"/>
    </row>
    <row r="706" spans="1:3" ht="13" x14ac:dyDescent="0.15">
      <c r="A706" s="10"/>
      <c r="B706" s="13"/>
      <c r="C706" s="13"/>
    </row>
    <row r="707" spans="1:3" ht="13" x14ac:dyDescent="0.15">
      <c r="A707" s="10"/>
      <c r="B707" s="13"/>
      <c r="C707" s="13"/>
    </row>
    <row r="708" spans="1:3" ht="13" x14ac:dyDescent="0.15">
      <c r="A708" s="10"/>
      <c r="B708" s="13"/>
      <c r="C708" s="13"/>
    </row>
    <row r="709" spans="1:3" ht="13" x14ac:dyDescent="0.15">
      <c r="A709" s="10"/>
      <c r="B709" s="13"/>
      <c r="C709" s="13"/>
    </row>
    <row r="710" spans="1:3" ht="13" x14ac:dyDescent="0.15">
      <c r="A710" s="10"/>
      <c r="B710" s="13"/>
      <c r="C710" s="13"/>
    </row>
    <row r="711" spans="1:3" ht="13" x14ac:dyDescent="0.15">
      <c r="A711" s="10"/>
      <c r="B711" s="13"/>
      <c r="C711" s="13"/>
    </row>
    <row r="712" spans="1:3" ht="13" x14ac:dyDescent="0.15">
      <c r="A712" s="10"/>
      <c r="B712" s="13"/>
      <c r="C712" s="13"/>
    </row>
    <row r="713" spans="1:3" ht="13" x14ac:dyDescent="0.15">
      <c r="A713" s="10"/>
      <c r="B713" s="13"/>
      <c r="C713" s="13"/>
    </row>
    <row r="714" spans="1:3" ht="13" x14ac:dyDescent="0.15">
      <c r="A714" s="10"/>
      <c r="B714" s="13"/>
      <c r="C714" s="13"/>
    </row>
    <row r="715" spans="1:3" ht="13" x14ac:dyDescent="0.15">
      <c r="A715" s="10"/>
      <c r="B715" s="13"/>
      <c r="C715" s="13"/>
    </row>
    <row r="716" spans="1:3" ht="13" x14ac:dyDescent="0.15">
      <c r="A716" s="10"/>
      <c r="B716" s="13"/>
      <c r="C716" s="13"/>
    </row>
    <row r="717" spans="1:3" ht="13" x14ac:dyDescent="0.15">
      <c r="A717" s="10"/>
      <c r="B717" s="13"/>
      <c r="C717" s="13"/>
    </row>
    <row r="718" spans="1:3" ht="13" x14ac:dyDescent="0.15">
      <c r="A718" s="10"/>
      <c r="B718" s="13"/>
      <c r="C718" s="13"/>
    </row>
    <row r="719" spans="1:3" ht="13" x14ac:dyDescent="0.15">
      <c r="A719" s="10"/>
      <c r="B719" s="13"/>
      <c r="C719" s="13"/>
    </row>
    <row r="720" spans="1:3" ht="13" x14ac:dyDescent="0.15">
      <c r="A720" s="10"/>
      <c r="B720" s="13"/>
      <c r="C720" s="13"/>
    </row>
    <row r="721" spans="1:3" ht="13" x14ac:dyDescent="0.15">
      <c r="A721" s="10"/>
      <c r="B721" s="13"/>
      <c r="C721" s="13"/>
    </row>
    <row r="722" spans="1:3" ht="13" x14ac:dyDescent="0.15">
      <c r="A722" s="10"/>
      <c r="B722" s="13"/>
      <c r="C722" s="13"/>
    </row>
    <row r="723" spans="1:3" ht="13" x14ac:dyDescent="0.15">
      <c r="A723" s="10"/>
      <c r="B723" s="13"/>
      <c r="C723" s="13"/>
    </row>
    <row r="724" spans="1:3" ht="13" x14ac:dyDescent="0.15">
      <c r="A724" s="10"/>
      <c r="B724" s="13"/>
      <c r="C724" s="13"/>
    </row>
    <row r="725" spans="1:3" ht="13" x14ac:dyDescent="0.15">
      <c r="A725" s="10"/>
      <c r="B725" s="13"/>
      <c r="C725" s="13"/>
    </row>
    <row r="726" spans="1:3" ht="13" x14ac:dyDescent="0.15">
      <c r="A726" s="10"/>
      <c r="B726" s="13"/>
      <c r="C726" s="13"/>
    </row>
    <row r="727" spans="1:3" ht="13" x14ac:dyDescent="0.15">
      <c r="A727" s="10"/>
      <c r="B727" s="13"/>
      <c r="C727" s="13"/>
    </row>
    <row r="728" spans="1:3" ht="13" x14ac:dyDescent="0.15">
      <c r="A728" s="10"/>
      <c r="B728" s="13"/>
      <c r="C728" s="13"/>
    </row>
    <row r="729" spans="1:3" ht="13" x14ac:dyDescent="0.15">
      <c r="A729" s="10"/>
      <c r="B729" s="13"/>
      <c r="C729" s="13"/>
    </row>
    <row r="730" spans="1:3" ht="13" x14ac:dyDescent="0.15">
      <c r="A730" s="10"/>
      <c r="B730" s="13"/>
      <c r="C730" s="13"/>
    </row>
    <row r="731" spans="1:3" ht="13" x14ac:dyDescent="0.15">
      <c r="A731" s="10"/>
      <c r="B731" s="13"/>
      <c r="C731" s="13"/>
    </row>
    <row r="732" spans="1:3" ht="13" x14ac:dyDescent="0.15">
      <c r="A732" s="10"/>
      <c r="B732" s="13"/>
      <c r="C732" s="13"/>
    </row>
    <row r="733" spans="1:3" ht="13" x14ac:dyDescent="0.15">
      <c r="A733" s="10"/>
      <c r="B733" s="13"/>
      <c r="C733" s="13"/>
    </row>
    <row r="734" spans="1:3" ht="13" x14ac:dyDescent="0.15">
      <c r="A734" s="10"/>
      <c r="B734" s="13"/>
      <c r="C734" s="13"/>
    </row>
    <row r="735" spans="1:3" ht="13" x14ac:dyDescent="0.15">
      <c r="A735" s="10"/>
      <c r="B735" s="13"/>
      <c r="C735" s="13"/>
    </row>
    <row r="736" spans="1:3" ht="13" x14ac:dyDescent="0.15">
      <c r="A736" s="10"/>
      <c r="B736" s="13"/>
      <c r="C736" s="13"/>
    </row>
    <row r="737" spans="1:3" ht="13" x14ac:dyDescent="0.15">
      <c r="A737" s="10"/>
      <c r="B737" s="13"/>
      <c r="C737" s="13"/>
    </row>
    <row r="738" spans="1:3" ht="13" x14ac:dyDescent="0.15">
      <c r="A738" s="10"/>
      <c r="B738" s="13"/>
      <c r="C738" s="13"/>
    </row>
    <row r="739" spans="1:3" ht="13" x14ac:dyDescent="0.15">
      <c r="A739" s="10"/>
      <c r="B739" s="13"/>
      <c r="C739" s="13"/>
    </row>
    <row r="740" spans="1:3" ht="13" x14ac:dyDescent="0.15">
      <c r="A740" s="10"/>
      <c r="B740" s="13"/>
      <c r="C740" s="13"/>
    </row>
    <row r="741" spans="1:3" ht="13" x14ac:dyDescent="0.15">
      <c r="A741" s="10"/>
      <c r="B741" s="13"/>
      <c r="C741" s="13"/>
    </row>
    <row r="742" spans="1:3" ht="13" x14ac:dyDescent="0.15">
      <c r="A742" s="10"/>
      <c r="B742" s="13"/>
      <c r="C742" s="13"/>
    </row>
    <row r="743" spans="1:3" ht="13" x14ac:dyDescent="0.15">
      <c r="A743" s="10"/>
      <c r="B743" s="13"/>
      <c r="C743" s="13"/>
    </row>
    <row r="744" spans="1:3" ht="13" x14ac:dyDescent="0.15">
      <c r="A744" s="10"/>
      <c r="B744" s="13"/>
      <c r="C744" s="13"/>
    </row>
    <row r="745" spans="1:3" ht="13" x14ac:dyDescent="0.15">
      <c r="A745" s="10"/>
      <c r="B745" s="13"/>
      <c r="C745" s="13"/>
    </row>
    <row r="746" spans="1:3" ht="13" x14ac:dyDescent="0.15">
      <c r="A746" s="10"/>
      <c r="B746" s="13"/>
      <c r="C746" s="13"/>
    </row>
    <row r="747" spans="1:3" ht="13" x14ac:dyDescent="0.15">
      <c r="A747" s="10"/>
      <c r="B747" s="13"/>
      <c r="C747" s="13"/>
    </row>
    <row r="748" spans="1:3" ht="13" x14ac:dyDescent="0.15">
      <c r="A748" s="10"/>
      <c r="B748" s="13"/>
      <c r="C748" s="13"/>
    </row>
    <row r="749" spans="1:3" ht="13" x14ac:dyDescent="0.15">
      <c r="A749" s="10"/>
      <c r="B749" s="13"/>
      <c r="C749" s="13"/>
    </row>
    <row r="750" spans="1:3" ht="13" x14ac:dyDescent="0.15">
      <c r="A750" s="10"/>
      <c r="B750" s="13"/>
      <c r="C750" s="13"/>
    </row>
    <row r="751" spans="1:3" ht="13" x14ac:dyDescent="0.15">
      <c r="A751" s="10"/>
      <c r="B751" s="13"/>
      <c r="C751" s="13"/>
    </row>
    <row r="752" spans="1:3" ht="13" x14ac:dyDescent="0.15">
      <c r="A752" s="10"/>
      <c r="B752" s="13"/>
      <c r="C752" s="13"/>
    </row>
    <row r="753" spans="1:3" ht="13" x14ac:dyDescent="0.15">
      <c r="A753" s="10"/>
      <c r="B753" s="13"/>
      <c r="C753" s="13"/>
    </row>
    <row r="754" spans="1:3" ht="13" x14ac:dyDescent="0.15">
      <c r="A754" s="10"/>
      <c r="B754" s="13"/>
      <c r="C754" s="13"/>
    </row>
    <row r="755" spans="1:3" ht="13" x14ac:dyDescent="0.15">
      <c r="A755" s="10"/>
      <c r="B755" s="13"/>
      <c r="C755" s="13"/>
    </row>
    <row r="756" spans="1:3" ht="13" x14ac:dyDescent="0.15">
      <c r="A756" s="10"/>
      <c r="B756" s="13"/>
      <c r="C756" s="13"/>
    </row>
    <row r="757" spans="1:3" ht="13" x14ac:dyDescent="0.15">
      <c r="A757" s="10"/>
      <c r="B757" s="13"/>
      <c r="C757" s="13"/>
    </row>
    <row r="758" spans="1:3" ht="13" x14ac:dyDescent="0.15">
      <c r="A758" s="10"/>
      <c r="B758" s="13"/>
      <c r="C758" s="13"/>
    </row>
    <row r="759" spans="1:3" ht="13" x14ac:dyDescent="0.15">
      <c r="A759" s="10"/>
      <c r="B759" s="13"/>
      <c r="C759" s="13"/>
    </row>
    <row r="760" spans="1:3" ht="13" x14ac:dyDescent="0.15">
      <c r="A760" s="10"/>
      <c r="B760" s="13"/>
      <c r="C760" s="13"/>
    </row>
    <row r="761" spans="1:3" ht="13" x14ac:dyDescent="0.15">
      <c r="A761" s="10"/>
      <c r="B761" s="13"/>
      <c r="C761" s="13"/>
    </row>
    <row r="762" spans="1:3" ht="13" x14ac:dyDescent="0.15">
      <c r="A762" s="10"/>
      <c r="B762" s="13"/>
      <c r="C762" s="13"/>
    </row>
    <row r="763" spans="1:3" ht="13" x14ac:dyDescent="0.15">
      <c r="A763" s="10"/>
      <c r="B763" s="13"/>
      <c r="C763" s="13"/>
    </row>
    <row r="764" spans="1:3" ht="13" x14ac:dyDescent="0.15">
      <c r="A764" s="10"/>
      <c r="B764" s="13"/>
      <c r="C764" s="13"/>
    </row>
    <row r="765" spans="1:3" ht="13" x14ac:dyDescent="0.15">
      <c r="A765" s="10"/>
      <c r="B765" s="13"/>
      <c r="C765" s="13"/>
    </row>
    <row r="766" spans="1:3" ht="13" x14ac:dyDescent="0.15">
      <c r="A766" s="10"/>
      <c r="B766" s="13"/>
      <c r="C766" s="13"/>
    </row>
    <row r="767" spans="1:3" ht="13" x14ac:dyDescent="0.15">
      <c r="A767" s="10"/>
      <c r="B767" s="13"/>
      <c r="C767" s="13"/>
    </row>
    <row r="768" spans="1:3" ht="13" x14ac:dyDescent="0.15">
      <c r="A768" s="10"/>
      <c r="B768" s="13"/>
      <c r="C768" s="13"/>
    </row>
    <row r="769" spans="1:3" ht="13" x14ac:dyDescent="0.15">
      <c r="A769" s="10"/>
      <c r="B769" s="13"/>
      <c r="C769" s="13"/>
    </row>
    <row r="770" spans="1:3" ht="13" x14ac:dyDescent="0.15">
      <c r="A770" s="10"/>
      <c r="B770" s="13"/>
      <c r="C770" s="13"/>
    </row>
    <row r="771" spans="1:3" ht="13" x14ac:dyDescent="0.15">
      <c r="A771" s="10"/>
      <c r="B771" s="13"/>
      <c r="C771" s="13"/>
    </row>
    <row r="772" spans="1:3" ht="13" x14ac:dyDescent="0.15">
      <c r="A772" s="10"/>
      <c r="B772" s="13"/>
      <c r="C772" s="13"/>
    </row>
    <row r="773" spans="1:3" ht="13" x14ac:dyDescent="0.15">
      <c r="A773" s="10"/>
      <c r="B773" s="13"/>
      <c r="C773" s="13"/>
    </row>
    <row r="774" spans="1:3" ht="13" x14ac:dyDescent="0.15">
      <c r="A774" s="10"/>
      <c r="B774" s="13"/>
      <c r="C774" s="13"/>
    </row>
    <row r="775" spans="1:3" ht="13" x14ac:dyDescent="0.15">
      <c r="A775" s="10"/>
      <c r="B775" s="13"/>
      <c r="C775" s="13"/>
    </row>
    <row r="776" spans="1:3" ht="13" x14ac:dyDescent="0.15">
      <c r="A776" s="10"/>
      <c r="B776" s="13"/>
      <c r="C776" s="13"/>
    </row>
    <row r="777" spans="1:3" ht="13" x14ac:dyDescent="0.15">
      <c r="A777" s="10"/>
      <c r="B777" s="13"/>
      <c r="C777" s="13"/>
    </row>
    <row r="778" spans="1:3" ht="13" x14ac:dyDescent="0.15">
      <c r="A778" s="10"/>
      <c r="B778" s="13"/>
      <c r="C778" s="13"/>
    </row>
    <row r="779" spans="1:3" ht="13" x14ac:dyDescent="0.15">
      <c r="A779" s="10"/>
      <c r="B779" s="13"/>
      <c r="C779" s="13"/>
    </row>
    <row r="780" spans="1:3" ht="13" x14ac:dyDescent="0.15">
      <c r="A780" s="10"/>
      <c r="B780" s="13"/>
      <c r="C780" s="13"/>
    </row>
    <row r="781" spans="1:3" ht="13" x14ac:dyDescent="0.15">
      <c r="A781" s="10"/>
      <c r="B781" s="13"/>
      <c r="C781" s="13"/>
    </row>
    <row r="782" spans="1:3" ht="13" x14ac:dyDescent="0.15">
      <c r="A782" s="10"/>
      <c r="B782" s="13"/>
      <c r="C782" s="13"/>
    </row>
    <row r="783" spans="1:3" ht="13" x14ac:dyDescent="0.15">
      <c r="A783" s="10"/>
      <c r="B783" s="13"/>
      <c r="C783" s="13"/>
    </row>
    <row r="784" spans="1:3" ht="13" x14ac:dyDescent="0.15">
      <c r="A784" s="10"/>
      <c r="B784" s="13"/>
      <c r="C784" s="13"/>
    </row>
    <row r="785" spans="1:3" ht="13" x14ac:dyDescent="0.15">
      <c r="A785" s="10"/>
      <c r="B785" s="13"/>
      <c r="C785" s="13"/>
    </row>
    <row r="786" spans="1:3" ht="13" x14ac:dyDescent="0.15">
      <c r="A786" s="10"/>
      <c r="B786" s="13"/>
      <c r="C786" s="13"/>
    </row>
    <row r="787" spans="1:3" ht="13" x14ac:dyDescent="0.15">
      <c r="A787" s="10"/>
      <c r="B787" s="13"/>
      <c r="C787" s="13"/>
    </row>
    <row r="788" spans="1:3" ht="13" x14ac:dyDescent="0.15">
      <c r="A788" s="10"/>
      <c r="B788" s="13"/>
      <c r="C788" s="13"/>
    </row>
    <row r="789" spans="1:3" ht="13" x14ac:dyDescent="0.15">
      <c r="A789" s="10"/>
      <c r="B789" s="13"/>
      <c r="C789" s="13"/>
    </row>
    <row r="790" spans="1:3" ht="13" x14ac:dyDescent="0.15">
      <c r="A790" s="10"/>
      <c r="B790" s="13"/>
      <c r="C790" s="13"/>
    </row>
    <row r="791" spans="1:3" ht="13" x14ac:dyDescent="0.15">
      <c r="A791" s="10"/>
      <c r="B791" s="13"/>
      <c r="C791" s="13"/>
    </row>
    <row r="792" spans="1:3" ht="13" x14ac:dyDescent="0.15">
      <c r="A792" s="10"/>
      <c r="B792" s="13"/>
      <c r="C792" s="13"/>
    </row>
    <row r="793" spans="1:3" ht="13" x14ac:dyDescent="0.15">
      <c r="A793" s="10"/>
      <c r="B793" s="13"/>
      <c r="C793" s="13"/>
    </row>
    <row r="794" spans="1:3" ht="13" x14ac:dyDescent="0.15">
      <c r="A794" s="10"/>
      <c r="B794" s="13"/>
      <c r="C794" s="13"/>
    </row>
    <row r="795" spans="1:3" ht="13" x14ac:dyDescent="0.15">
      <c r="A795" s="10"/>
      <c r="B795" s="13"/>
      <c r="C795" s="13"/>
    </row>
    <row r="796" spans="1:3" ht="13" x14ac:dyDescent="0.15">
      <c r="A796" s="10"/>
      <c r="B796" s="13"/>
      <c r="C796" s="13"/>
    </row>
    <row r="797" spans="1:3" ht="13" x14ac:dyDescent="0.15">
      <c r="A797" s="10"/>
      <c r="B797" s="13"/>
      <c r="C797" s="13"/>
    </row>
    <row r="798" spans="1:3" ht="13" x14ac:dyDescent="0.15">
      <c r="A798" s="10"/>
      <c r="B798" s="13"/>
      <c r="C798" s="13"/>
    </row>
    <row r="799" spans="1:3" ht="13" x14ac:dyDescent="0.15">
      <c r="A799" s="10"/>
      <c r="B799" s="13"/>
      <c r="C799" s="13"/>
    </row>
    <row r="800" spans="1:3" ht="13" x14ac:dyDescent="0.15">
      <c r="A800" s="10"/>
      <c r="B800" s="13"/>
      <c r="C800" s="13"/>
    </row>
    <row r="801" spans="1:3" ht="13" x14ac:dyDescent="0.15">
      <c r="A801" s="10"/>
      <c r="B801" s="13"/>
      <c r="C801" s="13"/>
    </row>
    <row r="802" spans="1:3" ht="13" x14ac:dyDescent="0.15">
      <c r="A802" s="10"/>
      <c r="B802" s="13"/>
      <c r="C802" s="13"/>
    </row>
    <row r="803" spans="1:3" ht="13" x14ac:dyDescent="0.15">
      <c r="A803" s="10"/>
      <c r="B803" s="13"/>
      <c r="C803" s="13"/>
    </row>
    <row r="804" spans="1:3" ht="13" x14ac:dyDescent="0.15">
      <c r="A804" s="10"/>
      <c r="B804" s="13"/>
      <c r="C804" s="13"/>
    </row>
    <row r="805" spans="1:3" ht="13" x14ac:dyDescent="0.15">
      <c r="A805" s="10"/>
      <c r="B805" s="13"/>
      <c r="C805" s="13"/>
    </row>
    <row r="806" spans="1:3" ht="13" x14ac:dyDescent="0.15">
      <c r="A806" s="10"/>
      <c r="B806" s="13"/>
      <c r="C806" s="13"/>
    </row>
    <row r="807" spans="1:3" ht="13" x14ac:dyDescent="0.15">
      <c r="A807" s="10"/>
      <c r="B807" s="13"/>
      <c r="C807" s="13"/>
    </row>
    <row r="808" spans="1:3" ht="13" x14ac:dyDescent="0.15">
      <c r="A808" s="10"/>
      <c r="B808" s="13"/>
      <c r="C808" s="13"/>
    </row>
    <row r="809" spans="1:3" ht="13" x14ac:dyDescent="0.15">
      <c r="A809" s="10"/>
      <c r="B809" s="13"/>
      <c r="C809" s="13"/>
    </row>
    <row r="810" spans="1:3" ht="13" x14ac:dyDescent="0.15">
      <c r="A810" s="10"/>
      <c r="B810" s="13"/>
      <c r="C810" s="13"/>
    </row>
    <row r="811" spans="1:3" ht="13" x14ac:dyDescent="0.15">
      <c r="A811" s="10"/>
      <c r="B811" s="13"/>
      <c r="C811" s="13"/>
    </row>
    <row r="812" spans="1:3" ht="13" x14ac:dyDescent="0.15">
      <c r="A812" s="10"/>
      <c r="B812" s="13"/>
      <c r="C812" s="13"/>
    </row>
    <row r="813" spans="1:3" ht="13" x14ac:dyDescent="0.15">
      <c r="A813" s="10"/>
      <c r="B813" s="13"/>
      <c r="C813" s="13"/>
    </row>
    <row r="814" spans="1:3" ht="13" x14ac:dyDescent="0.15">
      <c r="A814" s="10"/>
      <c r="B814" s="13"/>
      <c r="C814" s="13"/>
    </row>
    <row r="815" spans="1:3" ht="13" x14ac:dyDescent="0.15">
      <c r="A815" s="10"/>
      <c r="B815" s="13"/>
      <c r="C815" s="13"/>
    </row>
    <row r="816" spans="1:3" ht="13" x14ac:dyDescent="0.15">
      <c r="A816" s="10"/>
      <c r="B816" s="13"/>
      <c r="C816" s="13"/>
    </row>
    <row r="817" spans="1:3" ht="13" x14ac:dyDescent="0.15">
      <c r="A817" s="10"/>
      <c r="B817" s="13"/>
      <c r="C817" s="13"/>
    </row>
    <row r="818" spans="1:3" ht="13" x14ac:dyDescent="0.15">
      <c r="A818" s="10"/>
      <c r="B818" s="13"/>
      <c r="C818" s="13"/>
    </row>
    <row r="819" spans="1:3" ht="13" x14ac:dyDescent="0.15">
      <c r="A819" s="10"/>
      <c r="B819" s="13"/>
      <c r="C819" s="13"/>
    </row>
    <row r="820" spans="1:3" ht="13" x14ac:dyDescent="0.15">
      <c r="A820" s="10"/>
      <c r="B820" s="13"/>
      <c r="C820" s="13"/>
    </row>
    <row r="821" spans="1:3" ht="13" x14ac:dyDescent="0.15">
      <c r="A821" s="10"/>
      <c r="B821" s="13"/>
      <c r="C821" s="13"/>
    </row>
    <row r="822" spans="1:3" ht="13" x14ac:dyDescent="0.15">
      <c r="A822" s="10"/>
      <c r="B822" s="13"/>
      <c r="C822" s="13"/>
    </row>
    <row r="823" spans="1:3" ht="13" x14ac:dyDescent="0.15">
      <c r="A823" s="10"/>
      <c r="B823" s="13"/>
      <c r="C823" s="13"/>
    </row>
    <row r="824" spans="1:3" ht="13" x14ac:dyDescent="0.15">
      <c r="A824" s="10"/>
      <c r="B824" s="13"/>
      <c r="C824" s="13"/>
    </row>
    <row r="825" spans="1:3" ht="13" x14ac:dyDescent="0.15">
      <c r="A825" s="10"/>
      <c r="B825" s="13"/>
      <c r="C825" s="13"/>
    </row>
    <row r="826" spans="1:3" ht="13" x14ac:dyDescent="0.15">
      <c r="A826" s="10"/>
      <c r="B826" s="13"/>
      <c r="C826" s="13"/>
    </row>
    <row r="827" spans="1:3" ht="13" x14ac:dyDescent="0.15">
      <c r="A827" s="10"/>
      <c r="B827" s="13"/>
      <c r="C827" s="13"/>
    </row>
    <row r="828" spans="1:3" ht="13" x14ac:dyDescent="0.15">
      <c r="A828" s="10"/>
      <c r="B828" s="13"/>
      <c r="C828" s="13"/>
    </row>
    <row r="829" spans="1:3" ht="13" x14ac:dyDescent="0.15">
      <c r="A829" s="10"/>
      <c r="B829" s="13"/>
      <c r="C829" s="13"/>
    </row>
    <row r="830" spans="1:3" ht="13" x14ac:dyDescent="0.15">
      <c r="A830" s="10"/>
      <c r="B830" s="13"/>
      <c r="C830" s="13"/>
    </row>
    <row r="831" spans="1:3" ht="13" x14ac:dyDescent="0.15">
      <c r="A831" s="10"/>
      <c r="B831" s="13"/>
      <c r="C831" s="13"/>
    </row>
    <row r="832" spans="1:3" ht="13" x14ac:dyDescent="0.15">
      <c r="A832" s="10"/>
      <c r="B832" s="13"/>
      <c r="C832" s="13"/>
    </row>
    <row r="833" spans="1:3" ht="13" x14ac:dyDescent="0.15">
      <c r="A833" s="10"/>
      <c r="B833" s="13"/>
      <c r="C833" s="13"/>
    </row>
    <row r="834" spans="1:3" ht="13" x14ac:dyDescent="0.15">
      <c r="A834" s="10"/>
      <c r="B834" s="13"/>
      <c r="C834" s="13"/>
    </row>
    <row r="835" spans="1:3" ht="13" x14ac:dyDescent="0.15">
      <c r="A835" s="10"/>
      <c r="B835" s="13"/>
      <c r="C835" s="13"/>
    </row>
    <row r="836" spans="1:3" ht="13" x14ac:dyDescent="0.15">
      <c r="A836" s="10"/>
      <c r="B836" s="13"/>
      <c r="C836" s="13"/>
    </row>
    <row r="837" spans="1:3" ht="13" x14ac:dyDescent="0.15">
      <c r="A837" s="10"/>
      <c r="B837" s="13"/>
      <c r="C837" s="13"/>
    </row>
    <row r="838" spans="1:3" ht="13" x14ac:dyDescent="0.15">
      <c r="A838" s="10"/>
      <c r="B838" s="13"/>
      <c r="C838" s="13"/>
    </row>
    <row r="839" spans="1:3" ht="13" x14ac:dyDescent="0.15">
      <c r="A839" s="10"/>
      <c r="B839" s="13"/>
      <c r="C839" s="13"/>
    </row>
    <row r="840" spans="1:3" ht="13" x14ac:dyDescent="0.15">
      <c r="A840" s="10"/>
      <c r="B840" s="13"/>
      <c r="C840" s="13"/>
    </row>
    <row r="841" spans="1:3" ht="13" x14ac:dyDescent="0.15">
      <c r="A841" s="10"/>
      <c r="B841" s="13"/>
      <c r="C841" s="13"/>
    </row>
    <row r="842" spans="1:3" ht="13" x14ac:dyDescent="0.15">
      <c r="A842" s="10"/>
      <c r="B842" s="13"/>
      <c r="C842" s="13"/>
    </row>
    <row r="843" spans="1:3" ht="13" x14ac:dyDescent="0.15">
      <c r="A843" s="10"/>
      <c r="B843" s="13"/>
      <c r="C843" s="13"/>
    </row>
    <row r="844" spans="1:3" ht="13" x14ac:dyDescent="0.15">
      <c r="A844" s="10"/>
      <c r="B844" s="13"/>
      <c r="C844" s="13"/>
    </row>
    <row r="845" spans="1:3" ht="13" x14ac:dyDescent="0.15">
      <c r="A845" s="10"/>
      <c r="B845" s="13"/>
      <c r="C845" s="13"/>
    </row>
    <row r="846" spans="1:3" ht="13" x14ac:dyDescent="0.15">
      <c r="A846" s="10"/>
      <c r="B846" s="13"/>
      <c r="C846" s="13"/>
    </row>
    <row r="847" spans="1:3" ht="13" x14ac:dyDescent="0.15">
      <c r="A847" s="10"/>
      <c r="B847" s="13"/>
      <c r="C847" s="13"/>
    </row>
    <row r="848" spans="1:3" ht="13" x14ac:dyDescent="0.15">
      <c r="A848" s="10"/>
      <c r="B848" s="13"/>
      <c r="C848" s="13"/>
    </row>
    <row r="849" spans="1:3" ht="13" x14ac:dyDescent="0.15">
      <c r="A849" s="10"/>
      <c r="B849" s="13"/>
      <c r="C849" s="13"/>
    </row>
    <row r="850" spans="1:3" ht="13" x14ac:dyDescent="0.15">
      <c r="A850" s="10"/>
      <c r="B850" s="13"/>
      <c r="C850" s="13"/>
    </row>
    <row r="851" spans="1:3" ht="13" x14ac:dyDescent="0.15">
      <c r="A851" s="10"/>
      <c r="B851" s="13"/>
      <c r="C851" s="13"/>
    </row>
    <row r="852" spans="1:3" ht="13" x14ac:dyDescent="0.15">
      <c r="A852" s="10"/>
      <c r="B852" s="13"/>
      <c r="C852" s="13"/>
    </row>
    <row r="853" spans="1:3" ht="13" x14ac:dyDescent="0.15">
      <c r="A853" s="10"/>
      <c r="B853" s="13"/>
      <c r="C853" s="13"/>
    </row>
    <row r="854" spans="1:3" ht="13" x14ac:dyDescent="0.15">
      <c r="A854" s="10"/>
      <c r="B854" s="13"/>
      <c r="C854" s="13"/>
    </row>
    <row r="855" spans="1:3" ht="13" x14ac:dyDescent="0.15">
      <c r="A855" s="10"/>
      <c r="B855" s="13"/>
      <c r="C855" s="13"/>
    </row>
    <row r="856" spans="1:3" ht="13" x14ac:dyDescent="0.15">
      <c r="A856" s="10"/>
      <c r="B856" s="13"/>
      <c r="C856" s="13"/>
    </row>
    <row r="857" spans="1:3" ht="13" x14ac:dyDescent="0.15">
      <c r="A857" s="10"/>
      <c r="B857" s="13"/>
      <c r="C857" s="13"/>
    </row>
    <row r="858" spans="1:3" ht="13" x14ac:dyDescent="0.15">
      <c r="A858" s="10"/>
      <c r="B858" s="13"/>
      <c r="C858" s="13"/>
    </row>
    <row r="859" spans="1:3" ht="13" x14ac:dyDescent="0.15">
      <c r="A859" s="10"/>
      <c r="B859" s="13"/>
      <c r="C859" s="13"/>
    </row>
    <row r="860" spans="1:3" ht="13" x14ac:dyDescent="0.15">
      <c r="A860" s="10"/>
      <c r="B860" s="13"/>
      <c r="C860" s="13"/>
    </row>
    <row r="861" spans="1:3" ht="13" x14ac:dyDescent="0.15">
      <c r="A861" s="10"/>
      <c r="B861" s="13"/>
      <c r="C861" s="13"/>
    </row>
    <row r="862" spans="1:3" ht="13" x14ac:dyDescent="0.15">
      <c r="A862" s="10"/>
      <c r="B862" s="13"/>
      <c r="C862" s="13"/>
    </row>
    <row r="863" spans="1:3" ht="13" x14ac:dyDescent="0.15">
      <c r="A863" s="10"/>
      <c r="B863" s="13"/>
      <c r="C863" s="13"/>
    </row>
    <row r="864" spans="1:3" ht="13" x14ac:dyDescent="0.15">
      <c r="A864" s="10"/>
      <c r="B864" s="13"/>
      <c r="C864" s="13"/>
    </row>
    <row r="865" spans="1:3" ht="13" x14ac:dyDescent="0.15">
      <c r="A865" s="10"/>
      <c r="B865" s="13"/>
      <c r="C865" s="13"/>
    </row>
    <row r="866" spans="1:3" ht="13" x14ac:dyDescent="0.15">
      <c r="A866" s="10"/>
      <c r="B866" s="13"/>
      <c r="C866" s="13"/>
    </row>
    <row r="867" spans="1:3" ht="13" x14ac:dyDescent="0.15">
      <c r="A867" s="10"/>
      <c r="B867" s="13"/>
      <c r="C867" s="13"/>
    </row>
    <row r="868" spans="1:3" ht="13" x14ac:dyDescent="0.15">
      <c r="A868" s="10"/>
      <c r="B868" s="13"/>
      <c r="C868" s="13"/>
    </row>
    <row r="869" spans="1:3" ht="13" x14ac:dyDescent="0.15">
      <c r="A869" s="10"/>
      <c r="B869" s="13"/>
      <c r="C869" s="13"/>
    </row>
    <row r="870" spans="1:3" ht="13" x14ac:dyDescent="0.15">
      <c r="A870" s="10"/>
      <c r="B870" s="13"/>
      <c r="C870" s="13"/>
    </row>
    <row r="871" spans="1:3" ht="13" x14ac:dyDescent="0.15">
      <c r="A871" s="10"/>
      <c r="B871" s="13"/>
      <c r="C871" s="13"/>
    </row>
    <row r="872" spans="1:3" ht="13" x14ac:dyDescent="0.15">
      <c r="A872" s="10"/>
      <c r="B872" s="13"/>
      <c r="C872" s="13"/>
    </row>
    <row r="873" spans="1:3" ht="13" x14ac:dyDescent="0.15">
      <c r="A873" s="10"/>
      <c r="B873" s="13"/>
      <c r="C873" s="13"/>
    </row>
    <row r="874" spans="1:3" ht="13" x14ac:dyDescent="0.15">
      <c r="A874" s="10"/>
      <c r="B874" s="13"/>
      <c r="C874" s="13"/>
    </row>
    <row r="875" spans="1:3" ht="13" x14ac:dyDescent="0.15">
      <c r="A875" s="10"/>
      <c r="B875" s="13"/>
      <c r="C875" s="13"/>
    </row>
    <row r="876" spans="1:3" ht="13" x14ac:dyDescent="0.15">
      <c r="A876" s="10"/>
      <c r="B876" s="13"/>
      <c r="C876" s="13"/>
    </row>
    <row r="877" spans="1:3" ht="13" x14ac:dyDescent="0.15">
      <c r="A877" s="10"/>
      <c r="B877" s="13"/>
      <c r="C877" s="13"/>
    </row>
    <row r="878" spans="1:3" ht="13" x14ac:dyDescent="0.15">
      <c r="A878" s="10"/>
      <c r="B878" s="13"/>
      <c r="C878" s="13"/>
    </row>
    <row r="879" spans="1:3" ht="13" x14ac:dyDescent="0.15">
      <c r="A879" s="10"/>
      <c r="B879" s="13"/>
      <c r="C879" s="13"/>
    </row>
    <row r="880" spans="1:3" ht="13" x14ac:dyDescent="0.15">
      <c r="A880" s="10"/>
      <c r="B880" s="13"/>
      <c r="C880" s="13"/>
    </row>
    <row r="881" spans="1:3" ht="13" x14ac:dyDescent="0.15">
      <c r="A881" s="10"/>
      <c r="B881" s="13"/>
      <c r="C881" s="13"/>
    </row>
    <row r="882" spans="1:3" ht="13" x14ac:dyDescent="0.15">
      <c r="A882" s="10"/>
      <c r="B882" s="13"/>
      <c r="C882" s="13"/>
    </row>
    <row r="883" spans="1:3" ht="13" x14ac:dyDescent="0.15">
      <c r="A883" s="10"/>
      <c r="B883" s="13"/>
      <c r="C883" s="13"/>
    </row>
    <row r="884" spans="1:3" ht="13" x14ac:dyDescent="0.15">
      <c r="A884" s="10"/>
      <c r="B884" s="13"/>
      <c r="C884" s="13"/>
    </row>
    <row r="885" spans="1:3" ht="13" x14ac:dyDescent="0.15">
      <c r="A885" s="10"/>
      <c r="B885" s="13"/>
      <c r="C885" s="13"/>
    </row>
    <row r="886" spans="1:3" ht="13" x14ac:dyDescent="0.15">
      <c r="A886" s="10"/>
      <c r="B886" s="13"/>
      <c r="C886" s="13"/>
    </row>
    <row r="887" spans="1:3" ht="13" x14ac:dyDescent="0.15">
      <c r="A887" s="10"/>
      <c r="B887" s="13"/>
      <c r="C887" s="13"/>
    </row>
    <row r="888" spans="1:3" ht="13" x14ac:dyDescent="0.15">
      <c r="A888" s="10"/>
      <c r="B888" s="13"/>
      <c r="C888" s="13"/>
    </row>
    <row r="889" spans="1:3" ht="13" x14ac:dyDescent="0.15">
      <c r="A889" s="10"/>
      <c r="B889" s="13"/>
      <c r="C889" s="13"/>
    </row>
    <row r="890" spans="1:3" ht="13" x14ac:dyDescent="0.15">
      <c r="A890" s="10"/>
      <c r="B890" s="13"/>
      <c r="C890" s="13"/>
    </row>
    <row r="891" spans="1:3" ht="13" x14ac:dyDescent="0.15">
      <c r="A891" s="10"/>
      <c r="B891" s="13"/>
      <c r="C891" s="13"/>
    </row>
    <row r="892" spans="1:3" ht="13" x14ac:dyDescent="0.15">
      <c r="A892" s="10"/>
      <c r="B892" s="13"/>
      <c r="C892" s="13"/>
    </row>
    <row r="893" spans="1:3" ht="13" x14ac:dyDescent="0.15">
      <c r="A893" s="10"/>
      <c r="B893" s="13"/>
      <c r="C893" s="13"/>
    </row>
    <row r="894" spans="1:3" ht="13" x14ac:dyDescent="0.15">
      <c r="A894" s="10"/>
      <c r="B894" s="13"/>
      <c r="C894" s="13"/>
    </row>
    <row r="895" spans="1:3" ht="13" x14ac:dyDescent="0.15">
      <c r="A895" s="10"/>
      <c r="B895" s="13"/>
      <c r="C895" s="13"/>
    </row>
    <row r="896" spans="1:3" ht="13" x14ac:dyDescent="0.15">
      <c r="A896" s="10"/>
      <c r="B896" s="13"/>
      <c r="C896" s="13"/>
    </row>
    <row r="897" spans="1:3" ht="13" x14ac:dyDescent="0.15">
      <c r="A897" s="10"/>
      <c r="B897" s="13"/>
      <c r="C897" s="13"/>
    </row>
    <row r="898" spans="1:3" ht="13" x14ac:dyDescent="0.15">
      <c r="A898" s="10"/>
      <c r="B898" s="13"/>
      <c r="C898" s="13"/>
    </row>
    <row r="899" spans="1:3" ht="13" x14ac:dyDescent="0.15">
      <c r="A899" s="10"/>
      <c r="B899" s="13"/>
      <c r="C899" s="13"/>
    </row>
    <row r="900" spans="1:3" ht="13" x14ac:dyDescent="0.15">
      <c r="A900" s="10"/>
      <c r="B900" s="13"/>
      <c r="C900" s="13"/>
    </row>
    <row r="901" spans="1:3" ht="13" x14ac:dyDescent="0.15">
      <c r="A901" s="10"/>
      <c r="B901" s="13"/>
      <c r="C901" s="13"/>
    </row>
    <row r="902" spans="1:3" ht="13" x14ac:dyDescent="0.15">
      <c r="A902" s="10"/>
      <c r="B902" s="13"/>
      <c r="C902" s="13"/>
    </row>
    <row r="903" spans="1:3" ht="13" x14ac:dyDescent="0.15">
      <c r="A903" s="10"/>
      <c r="B903" s="13"/>
      <c r="C903" s="13"/>
    </row>
    <row r="904" spans="1:3" ht="13" x14ac:dyDescent="0.15">
      <c r="A904" s="10"/>
      <c r="B904" s="13"/>
      <c r="C904" s="13"/>
    </row>
    <row r="905" spans="1:3" ht="13" x14ac:dyDescent="0.15">
      <c r="A905" s="10"/>
      <c r="B905" s="13"/>
      <c r="C905" s="13"/>
    </row>
    <row r="906" spans="1:3" ht="13" x14ac:dyDescent="0.15">
      <c r="A906" s="10"/>
      <c r="B906" s="13"/>
      <c r="C906" s="13"/>
    </row>
    <row r="907" spans="1:3" ht="13" x14ac:dyDescent="0.15">
      <c r="A907" s="10"/>
      <c r="B907" s="13"/>
      <c r="C907" s="13"/>
    </row>
    <row r="908" spans="1:3" ht="13" x14ac:dyDescent="0.15">
      <c r="A908" s="10"/>
      <c r="B908" s="13"/>
      <c r="C908" s="13"/>
    </row>
    <row r="909" spans="1:3" ht="13" x14ac:dyDescent="0.15">
      <c r="A909" s="10"/>
      <c r="B909" s="13"/>
      <c r="C909" s="13"/>
    </row>
    <row r="910" spans="1:3" ht="13" x14ac:dyDescent="0.15">
      <c r="A910" s="10"/>
      <c r="B910" s="13"/>
      <c r="C910" s="13"/>
    </row>
    <row r="911" spans="1:3" ht="13" x14ac:dyDescent="0.15">
      <c r="A911" s="10"/>
      <c r="B911" s="13"/>
      <c r="C911" s="13"/>
    </row>
    <row r="912" spans="1:3" ht="13" x14ac:dyDescent="0.15">
      <c r="A912" s="10"/>
      <c r="B912" s="13"/>
      <c r="C912" s="13"/>
    </row>
    <row r="913" spans="1:3" ht="13" x14ac:dyDescent="0.15">
      <c r="A913" s="10"/>
      <c r="B913" s="13"/>
      <c r="C913" s="13"/>
    </row>
    <row r="914" spans="1:3" ht="13" x14ac:dyDescent="0.15">
      <c r="A914" s="10"/>
      <c r="B914" s="13"/>
      <c r="C914" s="13"/>
    </row>
    <row r="915" spans="1:3" ht="13" x14ac:dyDescent="0.15">
      <c r="A915" s="10"/>
      <c r="B915" s="13"/>
      <c r="C915" s="13"/>
    </row>
    <row r="916" spans="1:3" ht="13" x14ac:dyDescent="0.15">
      <c r="A916" s="10"/>
      <c r="B916" s="13"/>
      <c r="C916" s="13"/>
    </row>
    <row r="917" spans="1:3" ht="13" x14ac:dyDescent="0.15">
      <c r="A917" s="10"/>
      <c r="B917" s="13"/>
      <c r="C917" s="13"/>
    </row>
    <row r="918" spans="1:3" ht="13" x14ac:dyDescent="0.15">
      <c r="A918" s="10"/>
      <c r="B918" s="13"/>
      <c r="C918" s="13"/>
    </row>
    <row r="919" spans="1:3" ht="13" x14ac:dyDescent="0.15">
      <c r="A919" s="10"/>
      <c r="B919" s="13"/>
      <c r="C919" s="13"/>
    </row>
    <row r="920" spans="1:3" ht="13" x14ac:dyDescent="0.15">
      <c r="A920" s="10"/>
      <c r="B920" s="13"/>
      <c r="C920" s="13"/>
    </row>
    <row r="921" spans="1:3" ht="13" x14ac:dyDescent="0.15">
      <c r="A921" s="10"/>
      <c r="B921" s="13"/>
      <c r="C921" s="13"/>
    </row>
    <row r="922" spans="1:3" ht="13" x14ac:dyDescent="0.15">
      <c r="A922" s="10"/>
      <c r="B922" s="13"/>
      <c r="C922" s="13"/>
    </row>
    <row r="923" spans="1:3" ht="13" x14ac:dyDescent="0.15">
      <c r="A923" s="10"/>
      <c r="B923" s="13"/>
      <c r="C923" s="13"/>
    </row>
    <row r="924" spans="1:3" ht="13" x14ac:dyDescent="0.15">
      <c r="A924" s="10"/>
      <c r="B924" s="13"/>
      <c r="C924" s="13"/>
    </row>
    <row r="925" spans="1:3" ht="13" x14ac:dyDescent="0.15">
      <c r="A925" s="10"/>
      <c r="B925" s="13"/>
      <c r="C925" s="13"/>
    </row>
    <row r="926" spans="1:3" ht="13" x14ac:dyDescent="0.15">
      <c r="A926" s="10"/>
      <c r="B926" s="13"/>
      <c r="C926" s="13"/>
    </row>
    <row r="927" spans="1:3" ht="13" x14ac:dyDescent="0.15">
      <c r="A927" s="10"/>
      <c r="B927" s="13"/>
      <c r="C927" s="13"/>
    </row>
    <row r="928" spans="1:3" ht="13" x14ac:dyDescent="0.15">
      <c r="A928" s="10"/>
      <c r="B928" s="13"/>
      <c r="C928" s="13"/>
    </row>
    <row r="929" spans="1:3" ht="13" x14ac:dyDescent="0.15">
      <c r="A929" s="10"/>
      <c r="B929" s="13"/>
      <c r="C929" s="13"/>
    </row>
    <row r="930" spans="1:3" ht="13" x14ac:dyDescent="0.15">
      <c r="A930" s="10"/>
      <c r="B930" s="13"/>
      <c r="C930" s="13"/>
    </row>
    <row r="931" spans="1:3" ht="13" x14ac:dyDescent="0.15">
      <c r="A931" s="10"/>
      <c r="B931" s="13"/>
      <c r="C931" s="13"/>
    </row>
    <row r="932" spans="1:3" ht="13" x14ac:dyDescent="0.15">
      <c r="A932" s="10"/>
      <c r="B932" s="13"/>
      <c r="C932" s="13"/>
    </row>
    <row r="933" spans="1:3" ht="13" x14ac:dyDescent="0.15">
      <c r="A933" s="10"/>
      <c r="B933" s="13"/>
      <c r="C933" s="13"/>
    </row>
    <row r="934" spans="1:3" ht="13" x14ac:dyDescent="0.15">
      <c r="A934" s="10"/>
      <c r="B934" s="13"/>
      <c r="C934" s="13"/>
    </row>
    <row r="935" spans="1:3" ht="13" x14ac:dyDescent="0.15">
      <c r="A935" s="10"/>
      <c r="B935" s="13"/>
      <c r="C935" s="13"/>
    </row>
    <row r="936" spans="1:3" ht="13" x14ac:dyDescent="0.15">
      <c r="A936" s="10"/>
      <c r="B936" s="13"/>
      <c r="C936" s="13"/>
    </row>
    <row r="937" spans="1:3" ht="13" x14ac:dyDescent="0.15">
      <c r="A937" s="10"/>
      <c r="B937" s="13"/>
      <c r="C937" s="13"/>
    </row>
    <row r="938" spans="1:3" ht="13" x14ac:dyDescent="0.15">
      <c r="A938" s="10"/>
      <c r="B938" s="13"/>
      <c r="C938" s="13"/>
    </row>
    <row r="939" spans="1:3" ht="13" x14ac:dyDescent="0.15">
      <c r="A939" s="10"/>
      <c r="B939" s="13"/>
      <c r="C939" s="13"/>
    </row>
    <row r="940" spans="1:3" ht="13" x14ac:dyDescent="0.15">
      <c r="A940" s="10"/>
      <c r="B940" s="13"/>
      <c r="C940" s="13"/>
    </row>
    <row r="941" spans="1:3" ht="13" x14ac:dyDescent="0.15">
      <c r="A941" s="10"/>
      <c r="B941" s="13"/>
      <c r="C941" s="13"/>
    </row>
    <row r="942" spans="1:3" ht="13" x14ac:dyDescent="0.15">
      <c r="A942" s="10"/>
      <c r="B942" s="13"/>
      <c r="C942" s="13"/>
    </row>
    <row r="943" spans="1:3" ht="13" x14ac:dyDescent="0.15">
      <c r="A943" s="10"/>
      <c r="B943" s="13"/>
      <c r="C943" s="13"/>
    </row>
    <row r="944" spans="1:3" ht="13" x14ac:dyDescent="0.15">
      <c r="A944" s="10"/>
      <c r="B944" s="13"/>
      <c r="C944" s="13"/>
    </row>
    <row r="945" spans="1:3" ht="13" x14ac:dyDescent="0.15">
      <c r="A945" s="10"/>
      <c r="B945" s="13"/>
      <c r="C945" s="13"/>
    </row>
    <row r="946" spans="1:3" ht="13" x14ac:dyDescent="0.15">
      <c r="A946" s="10"/>
      <c r="B946" s="13"/>
      <c r="C946" s="13"/>
    </row>
    <row r="947" spans="1:3" ht="13" x14ac:dyDescent="0.15">
      <c r="A947" s="10"/>
      <c r="B947" s="13"/>
      <c r="C947" s="13"/>
    </row>
    <row r="948" spans="1:3" ht="13" x14ac:dyDescent="0.15">
      <c r="A948" s="10"/>
      <c r="B948" s="13"/>
      <c r="C948" s="13"/>
    </row>
    <row r="949" spans="1:3" ht="13" x14ac:dyDescent="0.15">
      <c r="A949" s="10"/>
      <c r="B949" s="13"/>
      <c r="C949" s="13"/>
    </row>
    <row r="950" spans="1:3" ht="13" x14ac:dyDescent="0.15">
      <c r="A950" s="10"/>
      <c r="B950" s="13"/>
      <c r="C950" s="13"/>
    </row>
    <row r="951" spans="1:3" ht="13" x14ac:dyDescent="0.15">
      <c r="A951" s="10"/>
      <c r="B951" s="13"/>
      <c r="C951" s="13"/>
    </row>
    <row r="952" spans="1:3" ht="13" x14ac:dyDescent="0.15">
      <c r="A952" s="10"/>
      <c r="B952" s="13"/>
      <c r="C952" s="13"/>
    </row>
    <row r="953" spans="1:3" ht="13" x14ac:dyDescent="0.15">
      <c r="A953" s="10"/>
      <c r="B953" s="13"/>
      <c r="C953" s="13"/>
    </row>
    <row r="954" spans="1:3" ht="13" x14ac:dyDescent="0.15">
      <c r="A954" s="10"/>
      <c r="B954" s="13"/>
      <c r="C954" s="13"/>
    </row>
    <row r="955" spans="1:3" ht="13" x14ac:dyDescent="0.15">
      <c r="A955" s="10"/>
      <c r="B955" s="13"/>
      <c r="C955" s="13"/>
    </row>
    <row r="956" spans="1:3" ht="13" x14ac:dyDescent="0.15">
      <c r="A956" s="10"/>
      <c r="B956" s="13"/>
      <c r="C956" s="13"/>
    </row>
    <row r="957" spans="1:3" ht="13" x14ac:dyDescent="0.15">
      <c r="A957" s="10"/>
      <c r="B957" s="13"/>
      <c r="C957" s="13"/>
    </row>
    <row r="958" spans="1:3" ht="13" x14ac:dyDescent="0.15">
      <c r="A958" s="10"/>
      <c r="B958" s="13"/>
      <c r="C958" s="13"/>
    </row>
    <row r="959" spans="1:3" ht="13" x14ac:dyDescent="0.15">
      <c r="A959" s="10"/>
      <c r="B959" s="13"/>
      <c r="C959" s="13"/>
    </row>
    <row r="960" spans="1:3" ht="13" x14ac:dyDescent="0.15">
      <c r="A960" s="10"/>
      <c r="B960" s="13"/>
      <c r="C960" s="13"/>
    </row>
    <row r="961" spans="1:3" ht="13" x14ac:dyDescent="0.15">
      <c r="A961" s="10"/>
      <c r="B961" s="13"/>
      <c r="C961" s="13"/>
    </row>
    <row r="962" spans="1:3" ht="13" x14ac:dyDescent="0.15">
      <c r="A962" s="10"/>
      <c r="B962" s="13"/>
      <c r="C962" s="13"/>
    </row>
    <row r="963" spans="1:3" ht="13" x14ac:dyDescent="0.15">
      <c r="A963" s="10"/>
      <c r="B963" s="13"/>
      <c r="C963" s="13"/>
    </row>
    <row r="964" spans="1:3" ht="13" x14ac:dyDescent="0.15">
      <c r="A964" s="10"/>
      <c r="B964" s="13"/>
      <c r="C964" s="13"/>
    </row>
    <row r="965" spans="1:3" ht="13" x14ac:dyDescent="0.15">
      <c r="A965" s="10"/>
      <c r="B965" s="13"/>
      <c r="C965" s="13"/>
    </row>
    <row r="966" spans="1:3" ht="13" x14ac:dyDescent="0.15">
      <c r="A966" s="10"/>
      <c r="B966" s="13"/>
      <c r="C966" s="13"/>
    </row>
    <row r="967" spans="1:3" ht="13" x14ac:dyDescent="0.15">
      <c r="A967" s="10"/>
      <c r="B967" s="13"/>
      <c r="C967" s="13"/>
    </row>
    <row r="968" spans="1:3" ht="13" x14ac:dyDescent="0.15">
      <c r="A968" s="10"/>
      <c r="B968" s="13"/>
      <c r="C968" s="13"/>
    </row>
    <row r="969" spans="1:3" ht="13" x14ac:dyDescent="0.15">
      <c r="A969" s="10"/>
      <c r="B969" s="13"/>
      <c r="C969" s="13"/>
    </row>
    <row r="970" spans="1:3" ht="13" x14ac:dyDescent="0.15">
      <c r="A970" s="10"/>
      <c r="B970" s="13"/>
      <c r="C970" s="13"/>
    </row>
    <row r="971" spans="1:3" ht="13" x14ac:dyDescent="0.15">
      <c r="A971" s="10"/>
      <c r="B971" s="13"/>
      <c r="C971" s="13"/>
    </row>
    <row r="972" spans="1:3" ht="13" x14ac:dyDescent="0.15">
      <c r="A972" s="10"/>
      <c r="B972" s="13"/>
      <c r="C972" s="13"/>
    </row>
    <row r="973" spans="1:3" ht="13" x14ac:dyDescent="0.15">
      <c r="A973" s="10"/>
      <c r="B973" s="13"/>
      <c r="C973" s="13"/>
    </row>
    <row r="974" spans="1:3" ht="13" x14ac:dyDescent="0.15">
      <c r="A974" s="10"/>
      <c r="B974" s="13"/>
      <c r="C974" s="13"/>
    </row>
    <row r="975" spans="1:3" ht="13" x14ac:dyDescent="0.15">
      <c r="A975" s="10"/>
      <c r="B975" s="13"/>
      <c r="C975" s="13"/>
    </row>
    <row r="976" spans="1:3" ht="13" x14ac:dyDescent="0.15">
      <c r="A976" s="10"/>
      <c r="B976" s="13"/>
      <c r="C976" s="13"/>
    </row>
    <row r="977" spans="1:3" ht="13" x14ac:dyDescent="0.15">
      <c r="A977" s="10"/>
      <c r="B977" s="13"/>
      <c r="C977" s="13"/>
    </row>
    <row r="978" spans="1:3" ht="13" x14ac:dyDescent="0.15">
      <c r="A978" s="10"/>
      <c r="B978" s="13"/>
      <c r="C978" s="13"/>
    </row>
    <row r="979" spans="1:3" ht="13" x14ac:dyDescent="0.15">
      <c r="A979" s="10"/>
      <c r="B979" s="13"/>
      <c r="C979" s="13"/>
    </row>
    <row r="980" spans="1:3" ht="13" x14ac:dyDescent="0.15">
      <c r="A980" s="10"/>
      <c r="B980" s="13"/>
      <c r="C980" s="13"/>
    </row>
    <row r="981" spans="1:3" ht="13" x14ac:dyDescent="0.15">
      <c r="A981" s="10"/>
      <c r="B981" s="13"/>
      <c r="C981" s="13"/>
    </row>
    <row r="982" spans="1:3" ht="13" x14ac:dyDescent="0.15">
      <c r="A982" s="10"/>
      <c r="B982" s="13"/>
      <c r="C982" s="13"/>
    </row>
    <row r="983" spans="1:3" ht="13" x14ac:dyDescent="0.15">
      <c r="A983" s="10"/>
      <c r="B983" s="13"/>
      <c r="C983" s="13"/>
    </row>
    <row r="984" spans="1:3" ht="13" x14ac:dyDescent="0.15">
      <c r="A984" s="10"/>
      <c r="B984" s="13"/>
      <c r="C984" s="13"/>
    </row>
    <row r="985" spans="1:3" ht="13" x14ac:dyDescent="0.15">
      <c r="A985" s="10"/>
      <c r="B985" s="13"/>
      <c r="C985" s="13"/>
    </row>
    <row r="986" spans="1:3" ht="13" x14ac:dyDescent="0.15">
      <c r="A986" s="10"/>
      <c r="B986" s="13"/>
      <c r="C986" s="13"/>
    </row>
    <row r="987" spans="1:3" ht="13" x14ac:dyDescent="0.15">
      <c r="A987" s="10"/>
      <c r="B987" s="13"/>
      <c r="C987" s="13"/>
    </row>
    <row r="988" spans="1:3" ht="13" x14ac:dyDescent="0.15">
      <c r="A988" s="10"/>
      <c r="B988" s="13"/>
      <c r="C988" s="13"/>
    </row>
    <row r="989" spans="1:3" ht="13" x14ac:dyDescent="0.15">
      <c r="A989" s="10"/>
      <c r="B989" s="13"/>
      <c r="C989" s="13"/>
    </row>
    <row r="990" spans="1:3" ht="13" x14ac:dyDescent="0.15">
      <c r="A990" s="10"/>
      <c r="B990" s="13"/>
      <c r="C990" s="13"/>
    </row>
    <row r="991" spans="1:3" ht="13" x14ac:dyDescent="0.15">
      <c r="A991" s="10"/>
      <c r="B991" s="13"/>
      <c r="C991" s="13"/>
    </row>
    <row r="992" spans="1:3" ht="13" x14ac:dyDescent="0.15">
      <c r="A992" s="10"/>
      <c r="B992" s="13"/>
      <c r="C992" s="13"/>
    </row>
    <row r="993" spans="1:3" ht="13" x14ac:dyDescent="0.15">
      <c r="A993" s="10"/>
      <c r="B993" s="13"/>
      <c r="C993" s="13"/>
    </row>
    <row r="994" spans="1:3" ht="13" x14ac:dyDescent="0.15">
      <c r="A994" s="10"/>
      <c r="B994" s="13"/>
      <c r="C994" s="13"/>
    </row>
    <row r="995" spans="1:3" ht="13" x14ac:dyDescent="0.15">
      <c r="A995" s="10"/>
      <c r="B995" s="13"/>
      <c r="C995" s="13"/>
    </row>
    <row r="996" spans="1:3" ht="13" x14ac:dyDescent="0.15">
      <c r="A996" s="10"/>
      <c r="B996" s="13"/>
      <c r="C996" s="13"/>
    </row>
    <row r="997" spans="1:3" ht="13" x14ac:dyDescent="0.15">
      <c r="A997" s="10"/>
      <c r="B997" s="13"/>
      <c r="C997" s="13"/>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outlinePr summaryBelow="0" summaryRight="0"/>
  </sheetPr>
  <dimension ref="A1:E997"/>
  <sheetViews>
    <sheetView workbookViewId="0"/>
  </sheetViews>
  <sheetFormatPr baseColWidth="10" defaultColWidth="12.6640625" defaultRowHeight="15.75" customHeight="1" x14ac:dyDescent="0.15"/>
  <cols>
    <col min="1" max="1" width="71.5" customWidth="1"/>
    <col min="2" max="4" width="37.6640625" customWidth="1"/>
  </cols>
  <sheetData>
    <row r="1" spans="1:5" ht="15.75" customHeight="1" x14ac:dyDescent="0.15">
      <c r="A1" s="1"/>
      <c r="B1" s="10" t="str">
        <f ca="1">IFERROR(__xludf.DUMMYFUNCTION("IMPORTRANGE(""https://docs.google.com/spreadsheets/u/0/d/1tjgC5crHxYL6PIwdjQvl-Lz18xb2WRifl2-5aQ8KGT8"", ""A43!B1:B22"")"),"Jake Stafford")</f>
        <v>Jake Stafford</v>
      </c>
      <c r="C1" s="12" t="str">
        <f ca="1">IFERROR(__xludf.DUMMYFUNCTION("IMPORTRANGE(""https://docs.google.com/spreadsheets/d/1C06Vs6H0Eg3__x1-dePLdZcY_bo1r3ReCeWRxqLlaS4/edit?gid=222501607#gid=222501607"", ""A43!B1:B22"")"),"Layla Baldwin")</f>
        <v>Layla Baldwin</v>
      </c>
      <c r="D1" s="13" t="str">
        <f ca="1">IFERROR(__xludf.DUMMYFUNCTION("IMPORTRANGE(""https://docs.google.com/spreadsheets/d/19FYWDv6QyCNB_zbElAOE5cOI1IJ2jraXGOFWNs-qsQM"", ""A43!B1:B22"")"),"Braden Brennan")</f>
        <v>Braden Brennan</v>
      </c>
      <c r="E1" s="10" t="str">
        <f ca="1">IFERROR(__xludf.DUMMYFUNCTION("IMPORTRANGE(""https://docs.google.com/spreadsheets/u/0/d/1e6QLf1_HeiTNz7JOFlwsfbt48UsSPCJuGTSppexqIJc"", ""A98!B1:B22"")"),"Put your name here")</f>
        <v>Put your name here</v>
      </c>
    </row>
    <row r="2" spans="1:5" ht="15.75" customHeight="1" x14ac:dyDescent="0.15">
      <c r="A2" s="3" t="s">
        <v>2</v>
      </c>
      <c r="B2" s="15" t="str">
        <f ca="1">IFERROR(__xludf.DUMMYFUNCTION("""COMPUTED_VALUE"""),"Start: 27038 Stop: 27484 For")</f>
        <v>Start: 27038 Stop: 27484 For</v>
      </c>
      <c r="C2" s="15" t="str">
        <f ca="1">IFERROR(__xludf.DUMMYFUNCTION("""COMPUTED_VALUE"""),"27038-27484 forward")</f>
        <v>27038-27484 forward</v>
      </c>
      <c r="D2" s="15" t="str">
        <f ca="1">IFERROR(__xludf.DUMMYFUNCTION("""COMPUTED_VALUE"""),"27038 - 27484 forward")</f>
        <v>27038 - 27484 forward</v>
      </c>
      <c r="E2" s="10"/>
    </row>
    <row r="3" spans="1:5" ht="15.75" customHeight="1" x14ac:dyDescent="0.15">
      <c r="A3" s="5" t="s">
        <v>3</v>
      </c>
      <c r="B3" s="17" t="str">
        <f ca="1">IFERROR(__xludf.DUMMYFUNCTION("""COMPUTED_VALUE"""),"43 in Pham, 42 in DNAM")</f>
        <v>43 in Pham, 42 in DNAM</v>
      </c>
      <c r="C3" s="17" t="str">
        <f ca="1">IFERROR(__xludf.DUMMYFUNCTION("""COMPUTED_VALUE"""),"43 in Pham and PDB, 42 in DNAM")</f>
        <v>43 in Pham and PDB, 42 in DNAM</v>
      </c>
      <c r="D3" s="17" t="str">
        <f ca="1">IFERROR(__xludf.DUMMYFUNCTION("""COMPUTED_VALUE"""),"Pham: 43   DNAM: 42")</f>
        <v>Pham: 43   DNAM: 42</v>
      </c>
      <c r="E3" s="10"/>
    </row>
    <row r="4" spans="1:5" ht="15.75" customHeight="1" x14ac:dyDescent="0.15">
      <c r="A4" s="5" t="s">
        <v>4</v>
      </c>
      <c r="B4" s="17" t="str">
        <f ca="1">IFERROR(__xludf.DUMMYFUNCTION("""COMPUTED_VALUE"""),"199438 3/10/25")</f>
        <v>199438 3/10/25</v>
      </c>
      <c r="C4" s="17" t="str">
        <f ca="1">IFERROR(__xludf.DUMMYFUNCTION("""COMPUTED_VALUE"""),"199438 3-14-25")</f>
        <v>199438 3-14-25</v>
      </c>
      <c r="D4" s="17" t="str">
        <f ca="1">IFERROR(__xludf.DUMMYFUNCTION("""COMPUTED_VALUE"""),"199438  3/24/2025")</f>
        <v>199438  3/24/2025</v>
      </c>
      <c r="E4" s="10"/>
    </row>
    <row r="5" spans="1:5" ht="15.75" customHeight="1" x14ac:dyDescent="0.15">
      <c r="A5" s="5" t="s">
        <v>5</v>
      </c>
      <c r="B5" s="17" t="str">
        <f ca="1">IFERROR(__xludf.DUMMYFUNCTION("""COMPUTED_VALUE"""),"Kovu_45")</f>
        <v>Kovu_45</v>
      </c>
      <c r="C5" s="17" t="str">
        <f ca="1">IFERROR(__xludf.DUMMYFUNCTION("""COMPUTED_VALUE"""),"Kovu_45")</f>
        <v>Kovu_45</v>
      </c>
      <c r="D5" s="17"/>
      <c r="E5" s="10"/>
    </row>
    <row r="6" spans="1:5" ht="15.75" customHeight="1" x14ac:dyDescent="0.15">
      <c r="A6" s="5" t="s">
        <v>6</v>
      </c>
      <c r="B6" s="17" t="str">
        <f ca="1">IFERROR(__xludf.DUMMYFUNCTION("""COMPUTED_VALUE"""),"both called")</f>
        <v>both called</v>
      </c>
      <c r="C6" s="17" t="str">
        <f ca="1">IFERROR(__xludf.DUMMYFUNCTION("""COMPUTED_VALUE"""),"Both call")</f>
        <v>Both call</v>
      </c>
      <c r="D6" s="17" t="str">
        <f ca="1">IFERROR(__xludf.DUMMYFUNCTION("""COMPUTED_VALUE"""),"Glimmer call bp 27038 has strength 14.01")</f>
        <v>Glimmer call bp 27038 has strength 14.01</v>
      </c>
      <c r="E6" s="10"/>
    </row>
    <row r="7" spans="1:5" ht="15.75" customHeight="1" x14ac:dyDescent="0.15">
      <c r="A7" s="5" t="s">
        <v>7</v>
      </c>
      <c r="B7" s="17" t="str">
        <f ca="1">IFERROR(__xludf.DUMMYFUNCTION("""COMPUTED_VALUE"""),"Good coding potential, more potential before start, may be previous gene")</f>
        <v>Good coding potential, more potential before start, may be previous gene</v>
      </c>
      <c r="C7" s="17" t="str">
        <f ca="1">IFERROR(__xludf.DUMMYFUNCTION("""COMPUTED_VALUE"""),"Overall Gene has great potential. Called start captures all potential. Moving the start would miss out on potential.")</f>
        <v>Overall Gene has great potential. Called start captures all potential. Moving the start would miss out on potential.</v>
      </c>
      <c r="D7" s="17" t="str">
        <f ca="1">IFERROR(__xludf.DUMMYFUNCTION("""COMPUTED_VALUE"""),"Good coding potential ")</f>
        <v xml:space="preserve">Good coding potential </v>
      </c>
      <c r="E7" s="10"/>
    </row>
    <row r="8" spans="1:5" ht="15.75" customHeight="1" x14ac:dyDescent="0.15">
      <c r="A8" s="5" t="s">
        <v>8</v>
      </c>
      <c r="B8" s="17" t="str">
        <f ca="1">IFERROR(__xludf.DUMMYFUNCTION("""COMPUTED_VALUE"""),"No, has more starts before the one being called")</f>
        <v>No, has more starts before the one being called</v>
      </c>
      <c r="C8" s="17" t="str">
        <f ca="1">IFERROR(__xludf.DUMMYFUNCTION("""COMPUTED_VALUE"""),"Yes")</f>
        <v>Yes</v>
      </c>
      <c r="D8" s="17" t="str">
        <f ca="1">IFERROR(__xludf.DUMMYFUNCTION("""COMPUTED_VALUE"""),"Yes it is the longest possible ORF")</f>
        <v>Yes it is the longest possible ORF</v>
      </c>
      <c r="E8" s="10"/>
    </row>
    <row r="9" spans="1:5" ht="15.75" customHeight="1" x14ac:dyDescent="0.15">
      <c r="A9" s="5" t="s">
        <v>9</v>
      </c>
      <c r="B9" s="17" t="str">
        <f ca="1">IFERROR(__xludf.DUMMYFUNCTION("""COMPUTED_VALUE"""),"has 4 nucleotide gap")</f>
        <v>has 4 nucleotide gap</v>
      </c>
      <c r="C9" s="17" t="str">
        <f ca="1">IFERROR(__xludf.DUMMYFUNCTION("""COMPUTED_VALUE"""),"4 bp gap")</f>
        <v>4 bp gap</v>
      </c>
      <c r="D9" s="17" t="str">
        <f ca="1">IFERROR(__xludf.DUMMYFUNCTION("""COMPUTED_VALUE"""),"4 nucleotide gap")</f>
        <v>4 nucleotide gap</v>
      </c>
      <c r="E9" s="10"/>
    </row>
    <row r="10" spans="1:5" ht="15.75" customHeight="1" x14ac:dyDescent="0.15">
      <c r="A10" s="5" t="s">
        <v>10</v>
      </c>
      <c r="B10" s="17" t="str">
        <f ca="1">IFERROR(__xludf.DUMMYFUNCTION("""COMPUTED_VALUE"""),"Start #4 z-score 2.172, f-score -4.192 not the best score, start #3 z-score 2.172, f-score -4.657")</f>
        <v>Start #4 z-score 2.172, f-score -4.192 not the best score, start #3 z-score 2.172, f-score -4.657</v>
      </c>
      <c r="C10" s="17" t="str">
        <f ca="1">IFERROR(__xludf.DUMMYFUNCTION("""COMPUTED_VALUE"""),"Called start has the best Z and final scores. Z = 2.689, final = -3.160")</f>
        <v>Called start has the best Z and final scores. Z = 2.689, final = -3.160</v>
      </c>
      <c r="D10" s="17" t="str">
        <f ca="1">IFERROR(__xludf.DUMMYFUNCTION("""COMPUTED_VALUE"""),"SD-2.325)Z:2.689)Final-3.160")</f>
        <v>SD-2.325)Z:2.689)Final-3.160</v>
      </c>
      <c r="E10" s="10"/>
    </row>
    <row r="11" spans="1:5" ht="15.75" customHeight="1" x14ac:dyDescent="0.15">
      <c r="A11" s="5" t="s">
        <v>11</v>
      </c>
      <c r="B11" s="17" t="str">
        <f ca="1">IFERROR(__xludf.DUMMYFUNCTION("""COMPUTED_VALUE"""),"Hypothetical Kovu_45, 49%, 4e-42")</f>
        <v>Hypothetical Kovu_45, 49%, 4e-42</v>
      </c>
      <c r="C11" s="17" t="str">
        <f ca="1">IFERROR(__xludf.DUMMYFUNCTION("""COMPUTED_VALUE"""),"Kovu_45, % identity = 49.04, e value = 3.9E-42. q3:s2")</f>
        <v>Kovu_45, % identity = 49.04, e value = 3.9E-42. q3:s2</v>
      </c>
      <c r="D11" s="17" t="str">
        <f ca="1">IFERROR(__xludf.DUMMYFUNCTION("""COMPUTED_VALUE"""),"Kovu_45")</f>
        <v>Kovu_45</v>
      </c>
      <c r="E11" s="10"/>
    </row>
    <row r="12" spans="1:5" ht="15.75" customHeight="1" x14ac:dyDescent="0.15">
      <c r="A12" s="5" t="s">
        <v>12</v>
      </c>
      <c r="B12" s="17" t="str">
        <f ca="1">IFERROR(__xludf.DUMMYFUNCTION("""COMPUTED_VALUE"""),"Conserved in all members always called when present")</f>
        <v>Conserved in all members always called when present</v>
      </c>
      <c r="C12" s="17" t="str">
        <f ca="1">IFERROR(__xludf.DUMMYFUNCTION("""COMPUTED_VALUE"""),"Start found in 1/2 members and called 100% of the time. ")</f>
        <v xml:space="preserve">Start found in 1/2 members and called 100% of the time. </v>
      </c>
      <c r="D12" s="17" t="str">
        <f ca="1">IFERROR(__xludf.DUMMYFUNCTION("""COMPUTED_VALUE"""),"Found in 1 of 2 (50.0%) of genes in pham called 100% of the time")</f>
        <v>Found in 1 of 2 (50.0%) of genes in pham called 100% of the time</v>
      </c>
      <c r="E12" s="10"/>
    </row>
    <row r="13" spans="1:5" ht="15.75" customHeight="1" x14ac:dyDescent="0.15">
      <c r="A13" s="5" t="s">
        <v>13</v>
      </c>
      <c r="B13" s="17" t="str">
        <f ca="1">IFERROR(__xludf.DUMMYFUNCTION("""COMPUTED_VALUE"""),"No, good potential, good score, bad e-value with best BLAST match, has a 4 nucleotide gap with previous gene")</f>
        <v>No, good potential, good score, bad e-value with best BLAST match, has a 4 nucleotide gap with previous gene</v>
      </c>
      <c r="C13" s="17" t="str">
        <f ca="1">IFERROR(__xludf.DUMMYFUNCTION("""COMPUTED_VALUE"""),"No, no evidence to support changing start")</f>
        <v>No, no evidence to support changing start</v>
      </c>
      <c r="D13" s="17" t="str">
        <f ca="1">IFERROR(__xludf.DUMMYFUNCTION("""COMPUTED_VALUE"""),"No, wouldn't make sense in this scenario ")</f>
        <v xml:space="preserve">No, wouldn't make sense in this scenario </v>
      </c>
      <c r="E13" s="10"/>
    </row>
    <row r="14" spans="1:5" ht="15.75" customHeight="1" x14ac:dyDescent="0.15">
      <c r="A14" s="5" t="s">
        <v>14</v>
      </c>
      <c r="B14" s="17" t="str">
        <f ca="1">IFERROR(__xludf.DUMMYFUNCTION("""COMPUTED_VALUE"""),"Kovu_45, 2e-36")</f>
        <v>Kovu_45, 2e-36</v>
      </c>
      <c r="C14" s="17" t="str">
        <f ca="1">IFERROR(__xludf.DUMMYFUNCTION("""COMPUTED_VALUE"""),"Kovu_45, e = 2e-36")</f>
        <v>Kovu_45, e = 2e-36</v>
      </c>
      <c r="D14" s="17" t="str">
        <f ca="1">IFERROR(__xludf.DUMMYFUNCTION("""COMPUTED_VALUE"""),"No function given - kovu 45")</f>
        <v>No function given - kovu 45</v>
      </c>
      <c r="E14" s="10"/>
    </row>
    <row r="15" spans="1:5" ht="15.75" customHeight="1" x14ac:dyDescent="0.15">
      <c r="A15" s="5" t="s">
        <v>15</v>
      </c>
      <c r="B15" s="17" t="str">
        <f ca="1">IFERROR(__xludf.DUMMYFUNCTION("""COMPUTED_VALUE"""),"function unknown Kovu_45")</f>
        <v>function unknown Kovu_45</v>
      </c>
      <c r="C15" s="17" t="str">
        <f ca="1">IFERROR(__xludf.DUMMYFUNCTION("""COMPUTED_VALUE"""),"unknown function")</f>
        <v>unknown function</v>
      </c>
      <c r="D15" s="17" t="str">
        <f ca="1">IFERROR(__xludf.DUMMYFUNCTION("""COMPUTED_VALUE"""),"No function given")</f>
        <v>No function given</v>
      </c>
      <c r="E15" s="10"/>
    </row>
    <row r="16" spans="1:5" ht="15.75" customHeight="1" x14ac:dyDescent="0.15">
      <c r="A16" s="5" t="s">
        <v>16</v>
      </c>
      <c r="B16" s="17" t="str">
        <f ca="1">IFERROR(__xludf.DUMMYFUNCTION("""COMPUTED_VALUE"""),"Has similar color, and arrangement in Kovu but occurs in a slightly different location")</f>
        <v>Has similar color, and arrangement in Kovu but occurs in a slightly different location</v>
      </c>
      <c r="C16" s="17" t="str">
        <f ca="1">IFERROR(__xludf.DUMMYFUNCTION("""COMPUTED_VALUE"""),"Yes")</f>
        <v>Yes</v>
      </c>
      <c r="D16" s="17" t="str">
        <f ca="1">IFERROR(__xludf.DUMMYFUNCTION("""COMPUTED_VALUE"""),"The gene fits well into the sequences. matches its kovu counter parts well")</f>
        <v>The gene fits well into the sequences. matches its kovu counter parts well</v>
      </c>
      <c r="E16" s="10"/>
    </row>
    <row r="17" spans="1:5" ht="15.75" customHeight="1" x14ac:dyDescent="0.15">
      <c r="A17" s="5" t="s">
        <v>17</v>
      </c>
      <c r="B17" s="17" t="str">
        <f ca="1">IFERROR(__xludf.DUMMYFUNCTION("""COMPUTED_VALUE"""),"Monopolin complex subunit CSM1; monopolin, kinetochore, CELL CYCLE; 1.79A {Candida glabrata}, 36.07% prob, 14.86% allq, 18.97% allT. Functional domain is in the target part of the alignment.")</f>
        <v>Monopolin complex subunit CSM1; monopolin, kinetochore, CELL CYCLE; 1.79A {Candida glabrata}, 36.07% prob, 14.86% allq, 18.97% allT. Functional domain is in the target part of the alignment.</v>
      </c>
      <c r="C17" s="17" t="str">
        <f ca="1">IFERROR(__xludf.DUMMYFUNCTION("""COMPUTED_VALUE"""),"Not great results, only one score higher than 50%. Bacterial Tetracyclin repressor, C-terminal domain. AOQ = 52, AOT = 73, probability = 75")</f>
        <v>Not great results, only one score higher than 50%. Bacterial Tetracyclin repressor, C-terminal domain. AOQ = 52, AOT = 73, probability = 75</v>
      </c>
      <c r="D17" s="17" t="str">
        <f ca="1">IFERROR(__xludf.DUMMYFUNCTION("""COMPUTED_VALUE"""),"TetR_C_35 ; Bacterial Tetracyclin repressor-74.49% probability- Q:52.02%- T:73.33%")</f>
        <v>TetR_C_35 ; Bacterial Tetracyclin repressor-74.49% probability- Q:52.02%- T:73.33%</v>
      </c>
      <c r="E17" s="10"/>
    </row>
    <row r="18" spans="1:5" ht="15.75" customHeight="1" x14ac:dyDescent="0.15">
      <c r="A18" s="5" t="s">
        <v>18</v>
      </c>
      <c r="B18" s="17" t="str">
        <f ca="1">IFERROR(__xludf.DUMMYFUNCTION("""COMPUTED_VALUE"""),"none")</f>
        <v>none</v>
      </c>
      <c r="C18" s="17" t="str">
        <f ca="1">IFERROR(__xludf.DUMMYFUNCTION("""COMPUTED_VALUE"""),"No")</f>
        <v>No</v>
      </c>
      <c r="D18" s="17" t="str">
        <f ca="1">IFERROR(__xludf.DUMMYFUNCTION("""COMPUTED_VALUE"""),"No conserved domain on Pham")</f>
        <v>No conserved domain on Pham</v>
      </c>
      <c r="E18" s="10"/>
    </row>
    <row r="19" spans="1:5" ht="15.75" customHeight="1" x14ac:dyDescent="0.15">
      <c r="A19" s="5" t="s">
        <v>19</v>
      </c>
      <c r="B19" s="17" t="str">
        <f ca="1">IFERROR(__xludf.DUMMYFUNCTION("""COMPUTED_VALUE"""),"none")</f>
        <v>none</v>
      </c>
      <c r="C19" s="17" t="str">
        <f ca="1">IFERROR(__xludf.DUMMYFUNCTION("""COMPUTED_VALUE"""),"No")</f>
        <v>No</v>
      </c>
      <c r="D19" s="17" t="str">
        <f ca="1">IFERROR(__xludf.DUMMYFUNCTION("""COMPUTED_VALUE"""),"1.0 inside")</f>
        <v>1.0 inside</v>
      </c>
      <c r="E19" s="10"/>
    </row>
    <row r="20" spans="1:5" ht="15.75" customHeight="1" x14ac:dyDescent="0.15">
      <c r="A20" s="5" t="s">
        <v>20</v>
      </c>
      <c r="B20" s="17" t="str">
        <f ca="1">IFERROR(__xludf.DUMMYFUNCTION("""COMPUTED_VALUE"""),"Unknown function, homologous protein also unknown. HHpred does not give gene with function on approved gene list. Hypothetical protien")</f>
        <v>Unknown function, homologous protein also unknown. HHpred does not give gene with function on approved gene list. Hypothetical protien</v>
      </c>
      <c r="C20" s="17" t="str">
        <f ca="1">IFERROR(__xludf.DUMMYFUNCTION("""COMPUTED_VALUE"""),"Hypothetical protein, no evidence to support anything else")</f>
        <v>Hypothetical protein, no evidence to support anything else</v>
      </c>
      <c r="D20" s="17"/>
      <c r="E20" s="10"/>
    </row>
    <row r="21" spans="1:5" x14ac:dyDescent="0.2">
      <c r="A21" s="7"/>
      <c r="B21" s="19"/>
      <c r="C21" s="19"/>
      <c r="D21" s="19"/>
      <c r="E21" s="10"/>
    </row>
    <row r="22" spans="1:5" ht="15.75" customHeight="1" x14ac:dyDescent="0.15">
      <c r="A22" s="9" t="s">
        <v>21</v>
      </c>
      <c r="B22" s="19"/>
      <c r="C22" s="19"/>
      <c r="D22" s="19"/>
      <c r="E22" s="10"/>
    </row>
    <row r="23" spans="1:5" ht="15.75" customHeight="1" x14ac:dyDescent="0.15">
      <c r="A23" s="10"/>
      <c r="B23" s="13"/>
      <c r="C23" s="13"/>
      <c r="D23" s="13"/>
    </row>
    <row r="24" spans="1:5" ht="15.75" customHeight="1" x14ac:dyDescent="0.15">
      <c r="A24" s="10"/>
      <c r="B24" s="13"/>
      <c r="C24" s="13"/>
      <c r="D24" s="13"/>
    </row>
    <row r="25" spans="1:5" ht="15.75" customHeight="1" x14ac:dyDescent="0.15">
      <c r="A25" s="10"/>
      <c r="B25" s="13"/>
      <c r="C25" s="13"/>
      <c r="D25" s="13"/>
    </row>
    <row r="26" spans="1:5" ht="15.75" customHeight="1" x14ac:dyDescent="0.15">
      <c r="A26" s="10"/>
      <c r="B26" s="13"/>
      <c r="C26" s="13"/>
      <c r="D26" s="13"/>
    </row>
    <row r="27" spans="1:5" ht="15.75" customHeight="1" x14ac:dyDescent="0.15">
      <c r="A27" s="10"/>
      <c r="B27" s="13"/>
      <c r="C27" s="13"/>
      <c r="D27" s="13"/>
    </row>
    <row r="28" spans="1:5" ht="15.75" customHeight="1" x14ac:dyDescent="0.15">
      <c r="A28" s="10"/>
      <c r="B28" s="13"/>
      <c r="C28" s="13"/>
      <c r="D28" s="13"/>
    </row>
    <row r="29" spans="1:5" ht="15.75" customHeight="1" x14ac:dyDescent="0.15">
      <c r="A29" s="10"/>
      <c r="B29" s="13"/>
      <c r="C29" s="13"/>
      <c r="D29" s="13"/>
    </row>
    <row r="30" spans="1:5" ht="15.75" customHeight="1" x14ac:dyDescent="0.15">
      <c r="A30" s="10"/>
      <c r="B30" s="13"/>
      <c r="C30" s="13"/>
      <c r="D30" s="13"/>
    </row>
    <row r="31" spans="1:5" ht="15.75" customHeight="1" x14ac:dyDescent="0.15">
      <c r="A31" s="10"/>
      <c r="B31" s="13"/>
      <c r="C31" s="13"/>
      <c r="D31" s="13"/>
    </row>
    <row r="32" spans="1:5" ht="15.75" customHeight="1" x14ac:dyDescent="0.15">
      <c r="A32" s="10"/>
      <c r="B32" s="13"/>
      <c r="C32" s="13"/>
      <c r="D32" s="13"/>
    </row>
    <row r="33" spans="1:4" ht="15.75" customHeight="1" x14ac:dyDescent="0.15">
      <c r="A33" s="10"/>
      <c r="B33" s="13"/>
      <c r="C33" s="13"/>
      <c r="D33" s="13"/>
    </row>
    <row r="34" spans="1:4" ht="15.75" customHeight="1" x14ac:dyDescent="0.15">
      <c r="A34" s="10"/>
      <c r="B34" s="13"/>
      <c r="C34" s="13"/>
      <c r="D34" s="13"/>
    </row>
    <row r="35" spans="1:4" ht="15.75" customHeight="1" x14ac:dyDescent="0.15">
      <c r="A35" s="10"/>
      <c r="B35" s="13"/>
      <c r="C35" s="13"/>
      <c r="D35" s="13"/>
    </row>
    <row r="36" spans="1:4" ht="15.75" customHeight="1" x14ac:dyDescent="0.15">
      <c r="A36" s="10"/>
      <c r="B36" s="13"/>
      <c r="C36" s="13"/>
      <c r="D36" s="13"/>
    </row>
    <row r="37" spans="1:4" ht="15.75" customHeight="1" x14ac:dyDescent="0.15">
      <c r="A37" s="10"/>
      <c r="B37" s="13"/>
      <c r="C37" s="13"/>
      <c r="D37" s="13"/>
    </row>
    <row r="38" spans="1:4" ht="15.75" customHeight="1" x14ac:dyDescent="0.15">
      <c r="A38" s="10"/>
      <c r="B38" s="13"/>
      <c r="C38" s="13"/>
      <c r="D38" s="13"/>
    </row>
    <row r="39" spans="1:4" ht="13" x14ac:dyDescent="0.15">
      <c r="A39" s="10"/>
      <c r="B39" s="13"/>
      <c r="C39" s="13"/>
      <c r="D39" s="13"/>
    </row>
    <row r="40" spans="1:4" ht="13" x14ac:dyDescent="0.15">
      <c r="A40" s="10"/>
      <c r="B40" s="13"/>
      <c r="C40" s="13"/>
      <c r="D40" s="13"/>
    </row>
    <row r="41" spans="1:4" ht="13" x14ac:dyDescent="0.15">
      <c r="A41" s="10"/>
      <c r="B41" s="13"/>
      <c r="C41" s="13"/>
      <c r="D41" s="13"/>
    </row>
    <row r="42" spans="1:4" ht="13" x14ac:dyDescent="0.15">
      <c r="A42" s="10"/>
      <c r="B42" s="13"/>
      <c r="C42" s="13"/>
      <c r="D42" s="13"/>
    </row>
    <row r="43" spans="1:4" ht="13" x14ac:dyDescent="0.15">
      <c r="A43" s="10"/>
      <c r="B43" s="13"/>
      <c r="C43" s="13"/>
      <c r="D43" s="13"/>
    </row>
    <row r="44" spans="1:4" ht="13" x14ac:dyDescent="0.15">
      <c r="A44" s="10"/>
      <c r="B44" s="13"/>
      <c r="C44" s="13"/>
      <c r="D44" s="13"/>
    </row>
    <row r="45" spans="1:4" ht="13" x14ac:dyDescent="0.15">
      <c r="A45" s="10"/>
      <c r="B45" s="13"/>
      <c r="C45" s="13"/>
      <c r="D45" s="13"/>
    </row>
    <row r="46" spans="1:4" ht="13" x14ac:dyDescent="0.15">
      <c r="A46" s="10"/>
      <c r="B46" s="13"/>
      <c r="C46" s="13"/>
      <c r="D46" s="13"/>
    </row>
    <row r="47" spans="1:4" ht="13" x14ac:dyDescent="0.15">
      <c r="A47" s="10"/>
      <c r="B47" s="13"/>
      <c r="C47" s="13"/>
      <c r="D47" s="13"/>
    </row>
    <row r="48" spans="1:4" ht="13" x14ac:dyDescent="0.15">
      <c r="A48" s="10"/>
      <c r="B48" s="13"/>
      <c r="C48" s="13"/>
      <c r="D48" s="13"/>
    </row>
    <row r="49" spans="1:4" ht="13" x14ac:dyDescent="0.15">
      <c r="A49" s="10"/>
      <c r="B49" s="13"/>
      <c r="C49" s="13"/>
      <c r="D49" s="13"/>
    </row>
    <row r="50" spans="1:4" ht="13" x14ac:dyDescent="0.15">
      <c r="A50" s="10"/>
      <c r="B50" s="13"/>
      <c r="C50" s="13"/>
      <c r="D50" s="13"/>
    </row>
    <row r="51" spans="1:4" ht="13" x14ac:dyDescent="0.15">
      <c r="A51" s="10"/>
      <c r="B51" s="13"/>
      <c r="C51" s="13"/>
      <c r="D51" s="13"/>
    </row>
    <row r="52" spans="1:4" ht="13" x14ac:dyDescent="0.15">
      <c r="A52" s="10"/>
      <c r="B52" s="13"/>
      <c r="C52" s="13"/>
      <c r="D52" s="13"/>
    </row>
    <row r="53" spans="1:4" ht="13" x14ac:dyDescent="0.15">
      <c r="A53" s="10"/>
      <c r="B53" s="13"/>
      <c r="C53" s="13"/>
      <c r="D53" s="13"/>
    </row>
    <row r="54" spans="1:4" ht="13" x14ac:dyDescent="0.15">
      <c r="A54" s="10"/>
      <c r="B54" s="13"/>
      <c r="C54" s="13"/>
      <c r="D54" s="13"/>
    </row>
    <row r="55" spans="1:4" ht="13" x14ac:dyDescent="0.15">
      <c r="A55" s="10"/>
      <c r="B55" s="13"/>
      <c r="C55" s="13"/>
      <c r="D55" s="13"/>
    </row>
    <row r="56" spans="1:4" ht="13" x14ac:dyDescent="0.15">
      <c r="A56" s="10"/>
      <c r="B56" s="13"/>
      <c r="C56" s="13"/>
      <c r="D56" s="13"/>
    </row>
    <row r="57" spans="1:4" ht="13" x14ac:dyDescent="0.15">
      <c r="A57" s="10"/>
      <c r="B57" s="13"/>
      <c r="C57" s="13"/>
      <c r="D57" s="13"/>
    </row>
    <row r="58" spans="1:4" ht="13" x14ac:dyDescent="0.15">
      <c r="A58" s="10"/>
      <c r="B58" s="13"/>
      <c r="C58" s="13"/>
      <c r="D58" s="13"/>
    </row>
    <row r="59" spans="1:4" ht="13" x14ac:dyDescent="0.15">
      <c r="A59" s="10"/>
      <c r="B59" s="13"/>
      <c r="C59" s="13"/>
      <c r="D59" s="13"/>
    </row>
    <row r="60" spans="1:4" ht="13" x14ac:dyDescent="0.15">
      <c r="A60" s="10"/>
      <c r="B60" s="13"/>
      <c r="C60" s="13"/>
      <c r="D60" s="13"/>
    </row>
    <row r="61" spans="1:4" ht="13" x14ac:dyDescent="0.15">
      <c r="A61" s="10"/>
      <c r="B61" s="13"/>
      <c r="C61" s="13"/>
      <c r="D61" s="13"/>
    </row>
    <row r="62" spans="1:4" ht="13" x14ac:dyDescent="0.15">
      <c r="A62" s="10"/>
      <c r="B62" s="13"/>
      <c r="C62" s="13"/>
      <c r="D62" s="13"/>
    </row>
    <row r="63" spans="1:4" ht="13" x14ac:dyDescent="0.15">
      <c r="A63" s="10"/>
      <c r="B63" s="13"/>
      <c r="C63" s="13"/>
      <c r="D63" s="13"/>
    </row>
    <row r="64" spans="1:4" ht="13" x14ac:dyDescent="0.15">
      <c r="A64" s="10"/>
      <c r="B64" s="13"/>
      <c r="C64" s="13"/>
      <c r="D64" s="13"/>
    </row>
    <row r="65" spans="1:4" ht="13" x14ac:dyDescent="0.15">
      <c r="A65" s="10"/>
      <c r="B65" s="13"/>
      <c r="C65" s="13"/>
      <c r="D65" s="13"/>
    </row>
    <row r="66" spans="1:4" ht="13" x14ac:dyDescent="0.15">
      <c r="A66" s="10"/>
      <c r="B66" s="13"/>
      <c r="C66" s="13"/>
      <c r="D66" s="13"/>
    </row>
    <row r="67" spans="1:4" ht="13" x14ac:dyDescent="0.15">
      <c r="A67" s="10"/>
      <c r="B67" s="13"/>
      <c r="C67" s="13"/>
      <c r="D67" s="13"/>
    </row>
    <row r="68" spans="1:4" ht="13" x14ac:dyDescent="0.15">
      <c r="A68" s="10"/>
      <c r="B68" s="13"/>
      <c r="C68" s="13"/>
      <c r="D68" s="13"/>
    </row>
    <row r="69" spans="1:4" ht="13" x14ac:dyDescent="0.15">
      <c r="A69" s="10"/>
      <c r="B69" s="13"/>
      <c r="C69" s="13"/>
      <c r="D69" s="13"/>
    </row>
    <row r="70" spans="1:4" ht="13" x14ac:dyDescent="0.15">
      <c r="A70" s="10"/>
      <c r="B70" s="13"/>
      <c r="C70" s="13"/>
      <c r="D70" s="13"/>
    </row>
    <row r="71" spans="1:4" ht="13" x14ac:dyDescent="0.15">
      <c r="A71" s="10"/>
      <c r="B71" s="13"/>
      <c r="C71" s="13"/>
      <c r="D71" s="13"/>
    </row>
    <row r="72" spans="1:4" ht="13" x14ac:dyDescent="0.15">
      <c r="A72" s="10"/>
      <c r="B72" s="13"/>
      <c r="C72" s="13"/>
      <c r="D72" s="13"/>
    </row>
    <row r="73" spans="1:4" ht="13" x14ac:dyDescent="0.15">
      <c r="A73" s="10"/>
      <c r="B73" s="13"/>
      <c r="C73" s="13"/>
      <c r="D73" s="13"/>
    </row>
    <row r="74" spans="1:4" ht="13" x14ac:dyDescent="0.15">
      <c r="A74" s="10"/>
      <c r="B74" s="13"/>
      <c r="C74" s="13"/>
      <c r="D74" s="13"/>
    </row>
    <row r="75" spans="1:4" ht="13" x14ac:dyDescent="0.15">
      <c r="A75" s="10"/>
      <c r="B75" s="13"/>
      <c r="C75" s="13"/>
      <c r="D75" s="13"/>
    </row>
    <row r="76" spans="1:4" ht="13" x14ac:dyDescent="0.15">
      <c r="A76" s="10"/>
      <c r="B76" s="13"/>
      <c r="C76" s="13"/>
      <c r="D76" s="13"/>
    </row>
    <row r="77" spans="1:4" ht="13" x14ac:dyDescent="0.15">
      <c r="A77" s="10"/>
      <c r="B77" s="13"/>
      <c r="C77" s="13"/>
      <c r="D77" s="13"/>
    </row>
    <row r="78" spans="1:4" ht="13" x14ac:dyDescent="0.15">
      <c r="A78" s="10"/>
      <c r="B78" s="13"/>
      <c r="C78" s="13"/>
      <c r="D78" s="13"/>
    </row>
    <row r="79" spans="1:4" ht="13" x14ac:dyDescent="0.15">
      <c r="A79" s="10"/>
      <c r="B79" s="13"/>
      <c r="C79" s="13"/>
      <c r="D79" s="13"/>
    </row>
    <row r="80" spans="1:4" ht="13" x14ac:dyDescent="0.15">
      <c r="A80" s="10"/>
      <c r="B80" s="13"/>
      <c r="C80" s="13"/>
      <c r="D80" s="13"/>
    </row>
    <row r="81" spans="1:4" ht="13" x14ac:dyDescent="0.15">
      <c r="A81" s="10"/>
      <c r="B81" s="13"/>
      <c r="C81" s="13"/>
      <c r="D81" s="13"/>
    </row>
    <row r="82" spans="1:4" ht="13" x14ac:dyDescent="0.15">
      <c r="A82" s="10"/>
      <c r="B82" s="13"/>
      <c r="C82" s="13"/>
      <c r="D82" s="13"/>
    </row>
    <row r="83" spans="1:4" ht="13" x14ac:dyDescent="0.15">
      <c r="A83" s="10"/>
      <c r="B83" s="13"/>
      <c r="C83" s="13"/>
      <c r="D83" s="13"/>
    </row>
    <row r="84" spans="1:4" ht="13" x14ac:dyDescent="0.15">
      <c r="A84" s="10"/>
      <c r="B84" s="13"/>
      <c r="C84" s="13"/>
      <c r="D84" s="13"/>
    </row>
    <row r="85" spans="1:4" ht="13" x14ac:dyDescent="0.15">
      <c r="A85" s="10"/>
      <c r="B85" s="13"/>
      <c r="C85" s="13"/>
      <c r="D85" s="13"/>
    </row>
    <row r="86" spans="1:4" ht="13" x14ac:dyDescent="0.15">
      <c r="A86" s="10"/>
      <c r="B86" s="13"/>
      <c r="C86" s="13"/>
      <c r="D86" s="13"/>
    </row>
    <row r="87" spans="1:4" ht="13" x14ac:dyDescent="0.15">
      <c r="A87" s="10"/>
      <c r="B87" s="13"/>
      <c r="C87" s="13"/>
      <c r="D87" s="13"/>
    </row>
    <row r="88" spans="1:4" ht="13" x14ac:dyDescent="0.15">
      <c r="A88" s="10"/>
      <c r="B88" s="13"/>
      <c r="C88" s="13"/>
      <c r="D88" s="13"/>
    </row>
    <row r="89" spans="1:4" ht="13" x14ac:dyDescent="0.15">
      <c r="A89" s="10"/>
      <c r="B89" s="13"/>
      <c r="C89" s="13"/>
      <c r="D89" s="13"/>
    </row>
    <row r="90" spans="1:4" ht="13" x14ac:dyDescent="0.15">
      <c r="A90" s="10"/>
      <c r="B90" s="13"/>
      <c r="C90" s="13"/>
      <c r="D90" s="13"/>
    </row>
    <row r="91" spans="1:4" ht="13" x14ac:dyDescent="0.15">
      <c r="A91" s="10"/>
      <c r="B91" s="13"/>
      <c r="C91" s="13"/>
      <c r="D91" s="13"/>
    </row>
    <row r="92" spans="1:4" ht="13" x14ac:dyDescent="0.15">
      <c r="A92" s="10"/>
      <c r="B92" s="13"/>
      <c r="C92" s="13"/>
      <c r="D92" s="13"/>
    </row>
    <row r="93" spans="1:4" ht="13" x14ac:dyDescent="0.15">
      <c r="A93" s="10"/>
      <c r="B93" s="13"/>
      <c r="C93" s="13"/>
      <c r="D93" s="13"/>
    </row>
    <row r="94" spans="1:4" ht="13" x14ac:dyDescent="0.15">
      <c r="A94" s="10"/>
      <c r="B94" s="13"/>
      <c r="C94" s="13"/>
      <c r="D94" s="13"/>
    </row>
    <row r="95" spans="1:4" ht="13" x14ac:dyDescent="0.15">
      <c r="A95" s="10"/>
      <c r="B95" s="13"/>
      <c r="C95" s="13"/>
      <c r="D95" s="13"/>
    </row>
    <row r="96" spans="1:4" ht="13" x14ac:dyDescent="0.15">
      <c r="A96" s="10"/>
      <c r="B96" s="13"/>
      <c r="C96" s="13"/>
      <c r="D96" s="13"/>
    </row>
    <row r="97" spans="1:4" ht="13" x14ac:dyDescent="0.15">
      <c r="A97" s="10"/>
      <c r="B97" s="13"/>
      <c r="C97" s="13"/>
      <c r="D97" s="13"/>
    </row>
    <row r="98" spans="1:4" ht="13" x14ac:dyDescent="0.15">
      <c r="A98" s="10"/>
      <c r="B98" s="13"/>
      <c r="C98" s="13"/>
      <c r="D98" s="13"/>
    </row>
    <row r="99" spans="1:4" ht="13" x14ac:dyDescent="0.15">
      <c r="A99" s="10"/>
      <c r="B99" s="13"/>
      <c r="C99" s="13"/>
      <c r="D99" s="13"/>
    </row>
    <row r="100" spans="1:4" ht="13" x14ac:dyDescent="0.15">
      <c r="A100" s="10"/>
      <c r="B100" s="13"/>
      <c r="C100" s="13"/>
      <c r="D100" s="13"/>
    </row>
    <row r="101" spans="1:4" ht="13" x14ac:dyDescent="0.15">
      <c r="A101" s="10"/>
      <c r="B101" s="13"/>
      <c r="C101" s="13"/>
      <c r="D101" s="13"/>
    </row>
    <row r="102" spans="1:4" ht="13" x14ac:dyDescent="0.15">
      <c r="A102" s="10"/>
      <c r="B102" s="13"/>
      <c r="C102" s="13"/>
      <c r="D102" s="13"/>
    </row>
    <row r="103" spans="1:4" ht="13" x14ac:dyDescent="0.15">
      <c r="A103" s="10"/>
      <c r="B103" s="13"/>
      <c r="C103" s="13"/>
      <c r="D103" s="13"/>
    </row>
    <row r="104" spans="1:4" ht="13" x14ac:dyDescent="0.15">
      <c r="A104" s="10"/>
      <c r="B104" s="13"/>
      <c r="C104" s="13"/>
      <c r="D104" s="13"/>
    </row>
    <row r="105" spans="1:4" ht="13" x14ac:dyDescent="0.15">
      <c r="A105" s="10"/>
      <c r="B105" s="13"/>
      <c r="C105" s="13"/>
      <c r="D105" s="13"/>
    </row>
    <row r="106" spans="1:4" ht="13" x14ac:dyDescent="0.15">
      <c r="A106" s="10"/>
      <c r="B106" s="13"/>
      <c r="C106" s="13"/>
      <c r="D106" s="13"/>
    </row>
    <row r="107" spans="1:4" ht="13" x14ac:dyDescent="0.15">
      <c r="A107" s="10"/>
      <c r="B107" s="13"/>
      <c r="C107" s="13"/>
      <c r="D107" s="13"/>
    </row>
    <row r="108" spans="1:4" ht="13" x14ac:dyDescent="0.15">
      <c r="A108" s="10"/>
      <c r="B108" s="13"/>
      <c r="C108" s="13"/>
      <c r="D108" s="13"/>
    </row>
    <row r="109" spans="1:4" ht="13" x14ac:dyDescent="0.15">
      <c r="A109" s="10"/>
      <c r="B109" s="13"/>
      <c r="C109" s="13"/>
      <c r="D109" s="13"/>
    </row>
    <row r="110" spans="1:4" ht="13" x14ac:dyDescent="0.15">
      <c r="A110" s="10"/>
      <c r="B110" s="13"/>
      <c r="C110" s="13"/>
      <c r="D110" s="13"/>
    </row>
    <row r="111" spans="1:4" ht="13" x14ac:dyDescent="0.15">
      <c r="A111" s="10"/>
      <c r="B111" s="13"/>
      <c r="C111" s="13"/>
      <c r="D111" s="13"/>
    </row>
    <row r="112" spans="1:4" ht="13" x14ac:dyDescent="0.15">
      <c r="A112" s="10"/>
      <c r="B112" s="13"/>
      <c r="C112" s="13"/>
      <c r="D112" s="13"/>
    </row>
    <row r="113" spans="1:4" ht="13" x14ac:dyDescent="0.15">
      <c r="A113" s="10"/>
      <c r="B113" s="13"/>
      <c r="C113" s="13"/>
      <c r="D113" s="13"/>
    </row>
    <row r="114" spans="1:4" ht="13" x14ac:dyDescent="0.15">
      <c r="A114" s="10"/>
      <c r="B114" s="13"/>
      <c r="C114" s="13"/>
      <c r="D114" s="13"/>
    </row>
    <row r="115" spans="1:4" ht="13" x14ac:dyDescent="0.15">
      <c r="A115" s="10"/>
      <c r="B115" s="13"/>
      <c r="C115" s="13"/>
      <c r="D115" s="13"/>
    </row>
    <row r="116" spans="1:4" ht="13" x14ac:dyDescent="0.15">
      <c r="A116" s="10"/>
      <c r="B116" s="13"/>
      <c r="C116" s="13"/>
      <c r="D116" s="13"/>
    </row>
    <row r="117" spans="1:4" ht="13" x14ac:dyDescent="0.15">
      <c r="A117" s="10"/>
      <c r="B117" s="13"/>
      <c r="C117" s="13"/>
      <c r="D117" s="13"/>
    </row>
    <row r="118" spans="1:4" ht="13" x14ac:dyDescent="0.15">
      <c r="A118" s="10"/>
      <c r="B118" s="13"/>
      <c r="C118" s="13"/>
      <c r="D118" s="13"/>
    </row>
    <row r="119" spans="1:4" ht="13" x14ac:dyDescent="0.15">
      <c r="A119" s="10"/>
      <c r="B119" s="13"/>
      <c r="C119" s="13"/>
      <c r="D119" s="13"/>
    </row>
    <row r="120" spans="1:4" ht="13" x14ac:dyDescent="0.15">
      <c r="A120" s="10"/>
      <c r="B120" s="13"/>
      <c r="C120" s="13"/>
      <c r="D120" s="13"/>
    </row>
    <row r="121" spans="1:4" ht="13" x14ac:dyDescent="0.15">
      <c r="A121" s="10"/>
      <c r="B121" s="13"/>
      <c r="C121" s="13"/>
      <c r="D121" s="13"/>
    </row>
    <row r="122" spans="1:4" ht="13" x14ac:dyDescent="0.15">
      <c r="A122" s="10"/>
      <c r="B122" s="13"/>
      <c r="C122" s="13"/>
      <c r="D122" s="13"/>
    </row>
    <row r="123" spans="1:4" ht="13" x14ac:dyDescent="0.15">
      <c r="A123" s="10"/>
      <c r="B123" s="13"/>
      <c r="C123" s="13"/>
      <c r="D123" s="13"/>
    </row>
    <row r="124" spans="1:4" ht="13" x14ac:dyDescent="0.15">
      <c r="A124" s="10"/>
      <c r="B124" s="13"/>
      <c r="C124" s="13"/>
      <c r="D124" s="13"/>
    </row>
    <row r="125" spans="1:4" ht="13" x14ac:dyDescent="0.15">
      <c r="A125" s="10"/>
      <c r="B125" s="13"/>
      <c r="C125" s="13"/>
      <c r="D125" s="13"/>
    </row>
    <row r="126" spans="1:4" ht="13" x14ac:dyDescent="0.15">
      <c r="A126" s="10"/>
      <c r="B126" s="13"/>
      <c r="C126" s="13"/>
      <c r="D126" s="13"/>
    </row>
    <row r="127" spans="1:4" ht="13" x14ac:dyDescent="0.15">
      <c r="A127" s="10"/>
      <c r="B127" s="13"/>
      <c r="C127" s="13"/>
      <c r="D127" s="13"/>
    </row>
    <row r="128" spans="1:4" ht="13" x14ac:dyDescent="0.15">
      <c r="A128" s="10"/>
      <c r="B128" s="13"/>
      <c r="C128" s="13"/>
      <c r="D128" s="13"/>
    </row>
    <row r="129" spans="1:4" ht="13" x14ac:dyDescent="0.15">
      <c r="A129" s="10"/>
      <c r="B129" s="13"/>
      <c r="C129" s="13"/>
      <c r="D129" s="13"/>
    </row>
    <row r="130" spans="1:4" ht="13" x14ac:dyDescent="0.15">
      <c r="A130" s="10"/>
      <c r="B130" s="13"/>
      <c r="C130" s="13"/>
      <c r="D130" s="13"/>
    </row>
    <row r="131" spans="1:4" ht="13" x14ac:dyDescent="0.15">
      <c r="A131" s="10"/>
      <c r="B131" s="13"/>
      <c r="C131" s="13"/>
      <c r="D131" s="13"/>
    </row>
    <row r="132" spans="1:4" ht="13" x14ac:dyDescent="0.15">
      <c r="A132" s="10"/>
      <c r="B132" s="13"/>
      <c r="C132" s="13"/>
      <c r="D132" s="13"/>
    </row>
    <row r="133" spans="1:4" ht="13" x14ac:dyDescent="0.15">
      <c r="A133" s="10"/>
      <c r="B133" s="13"/>
      <c r="C133" s="13"/>
      <c r="D133" s="13"/>
    </row>
    <row r="134" spans="1:4" ht="13" x14ac:dyDescent="0.15">
      <c r="A134" s="10"/>
      <c r="B134" s="13"/>
      <c r="C134" s="13"/>
      <c r="D134" s="13"/>
    </row>
    <row r="135" spans="1:4" ht="13" x14ac:dyDescent="0.15">
      <c r="A135" s="10"/>
      <c r="B135" s="13"/>
      <c r="C135" s="13"/>
      <c r="D135" s="13"/>
    </row>
    <row r="136" spans="1:4" ht="13" x14ac:dyDescent="0.15">
      <c r="A136" s="10"/>
      <c r="B136" s="13"/>
      <c r="C136" s="13"/>
      <c r="D136" s="13"/>
    </row>
    <row r="137" spans="1:4" ht="13" x14ac:dyDescent="0.15">
      <c r="A137" s="10"/>
      <c r="B137" s="13"/>
      <c r="C137" s="13"/>
      <c r="D137" s="13"/>
    </row>
    <row r="138" spans="1:4" ht="13" x14ac:dyDescent="0.15">
      <c r="A138" s="10"/>
      <c r="B138" s="13"/>
      <c r="C138" s="13"/>
      <c r="D138" s="13"/>
    </row>
    <row r="139" spans="1:4" ht="13" x14ac:dyDescent="0.15">
      <c r="A139" s="10"/>
      <c r="B139" s="13"/>
      <c r="C139" s="13"/>
      <c r="D139" s="13"/>
    </row>
    <row r="140" spans="1:4" ht="13" x14ac:dyDescent="0.15">
      <c r="A140" s="10"/>
      <c r="B140" s="13"/>
      <c r="C140" s="13"/>
      <c r="D140" s="13"/>
    </row>
    <row r="141" spans="1:4" ht="13" x14ac:dyDescent="0.15">
      <c r="A141" s="10"/>
      <c r="B141" s="13"/>
      <c r="C141" s="13"/>
      <c r="D141" s="13"/>
    </row>
    <row r="142" spans="1:4" ht="13" x14ac:dyDescent="0.15">
      <c r="A142" s="10"/>
      <c r="B142" s="13"/>
      <c r="C142" s="13"/>
      <c r="D142" s="13"/>
    </row>
    <row r="143" spans="1:4" ht="13" x14ac:dyDescent="0.15">
      <c r="A143" s="10"/>
      <c r="B143" s="13"/>
      <c r="C143" s="13"/>
      <c r="D143" s="13"/>
    </row>
    <row r="144" spans="1:4" ht="13" x14ac:dyDescent="0.15">
      <c r="A144" s="10"/>
      <c r="B144" s="13"/>
      <c r="C144" s="13"/>
      <c r="D144" s="13"/>
    </row>
    <row r="145" spans="1:4" ht="13" x14ac:dyDescent="0.15">
      <c r="A145" s="10"/>
      <c r="B145" s="13"/>
      <c r="C145" s="13"/>
      <c r="D145" s="13"/>
    </row>
    <row r="146" spans="1:4" ht="13" x14ac:dyDescent="0.15">
      <c r="A146" s="10"/>
      <c r="B146" s="13"/>
      <c r="C146" s="13"/>
      <c r="D146" s="13"/>
    </row>
    <row r="147" spans="1:4" ht="13" x14ac:dyDescent="0.15">
      <c r="A147" s="10"/>
      <c r="B147" s="13"/>
      <c r="C147" s="13"/>
      <c r="D147" s="13"/>
    </row>
    <row r="148" spans="1:4" ht="13" x14ac:dyDescent="0.15">
      <c r="A148" s="10"/>
      <c r="B148" s="13"/>
      <c r="C148" s="13"/>
      <c r="D148" s="13"/>
    </row>
    <row r="149" spans="1:4" ht="13" x14ac:dyDescent="0.15">
      <c r="A149" s="10"/>
      <c r="B149" s="13"/>
      <c r="C149" s="13"/>
      <c r="D149" s="13"/>
    </row>
    <row r="150" spans="1:4" ht="13" x14ac:dyDescent="0.15">
      <c r="A150" s="10"/>
      <c r="B150" s="13"/>
      <c r="C150" s="13"/>
      <c r="D150" s="13"/>
    </row>
    <row r="151" spans="1:4" ht="13" x14ac:dyDescent="0.15">
      <c r="A151" s="10"/>
      <c r="B151" s="13"/>
      <c r="C151" s="13"/>
      <c r="D151" s="13"/>
    </row>
    <row r="152" spans="1:4" ht="13" x14ac:dyDescent="0.15">
      <c r="A152" s="10"/>
      <c r="B152" s="13"/>
      <c r="C152" s="13"/>
      <c r="D152" s="13"/>
    </row>
    <row r="153" spans="1:4" ht="13" x14ac:dyDescent="0.15">
      <c r="A153" s="10"/>
      <c r="B153" s="13"/>
      <c r="C153" s="13"/>
      <c r="D153" s="13"/>
    </row>
    <row r="154" spans="1:4" ht="13" x14ac:dyDescent="0.15">
      <c r="A154" s="10"/>
      <c r="B154" s="13"/>
      <c r="C154" s="13"/>
      <c r="D154" s="13"/>
    </row>
    <row r="155" spans="1:4" ht="13" x14ac:dyDescent="0.15">
      <c r="A155" s="10"/>
      <c r="B155" s="13"/>
      <c r="C155" s="13"/>
      <c r="D155" s="13"/>
    </row>
    <row r="156" spans="1:4" ht="13" x14ac:dyDescent="0.15">
      <c r="A156" s="10"/>
      <c r="B156" s="13"/>
      <c r="C156" s="13"/>
      <c r="D156" s="13"/>
    </row>
    <row r="157" spans="1:4" ht="13" x14ac:dyDescent="0.15">
      <c r="A157" s="10"/>
      <c r="B157" s="13"/>
      <c r="C157" s="13"/>
      <c r="D157" s="13"/>
    </row>
    <row r="158" spans="1:4" ht="13" x14ac:dyDescent="0.15">
      <c r="A158" s="10"/>
      <c r="B158" s="13"/>
      <c r="C158" s="13"/>
      <c r="D158" s="13"/>
    </row>
    <row r="159" spans="1:4" ht="13" x14ac:dyDescent="0.15">
      <c r="A159" s="10"/>
      <c r="B159" s="13"/>
      <c r="C159" s="13"/>
      <c r="D159" s="13"/>
    </row>
    <row r="160" spans="1:4" ht="13" x14ac:dyDescent="0.15">
      <c r="A160" s="10"/>
      <c r="B160" s="13"/>
      <c r="C160" s="13"/>
      <c r="D160" s="13"/>
    </row>
    <row r="161" spans="1:4" ht="13" x14ac:dyDescent="0.15">
      <c r="A161" s="10"/>
      <c r="B161" s="13"/>
      <c r="C161" s="13"/>
      <c r="D161" s="13"/>
    </row>
    <row r="162" spans="1:4" ht="13" x14ac:dyDescent="0.15">
      <c r="A162" s="10"/>
      <c r="B162" s="13"/>
      <c r="C162" s="13"/>
      <c r="D162" s="13"/>
    </row>
    <row r="163" spans="1:4" ht="13" x14ac:dyDescent="0.15">
      <c r="A163" s="10"/>
      <c r="B163" s="13"/>
      <c r="C163" s="13"/>
      <c r="D163" s="13"/>
    </row>
    <row r="164" spans="1:4" ht="13" x14ac:dyDescent="0.15">
      <c r="A164" s="10"/>
      <c r="B164" s="13"/>
      <c r="C164" s="13"/>
      <c r="D164" s="13"/>
    </row>
    <row r="165" spans="1:4" ht="13" x14ac:dyDescent="0.15">
      <c r="A165" s="10"/>
      <c r="B165" s="13"/>
      <c r="C165" s="13"/>
      <c r="D165" s="13"/>
    </row>
    <row r="166" spans="1:4" ht="13" x14ac:dyDescent="0.15">
      <c r="A166" s="10"/>
      <c r="B166" s="13"/>
      <c r="C166" s="13"/>
      <c r="D166" s="13"/>
    </row>
    <row r="167" spans="1:4" ht="13" x14ac:dyDescent="0.15">
      <c r="A167" s="10"/>
      <c r="B167" s="13"/>
      <c r="C167" s="13"/>
      <c r="D167" s="13"/>
    </row>
    <row r="168" spans="1:4" ht="13" x14ac:dyDescent="0.15">
      <c r="A168" s="10"/>
      <c r="B168" s="13"/>
      <c r="C168" s="13"/>
      <c r="D168" s="13"/>
    </row>
    <row r="169" spans="1:4" ht="13" x14ac:dyDescent="0.15">
      <c r="A169" s="10"/>
      <c r="B169" s="13"/>
      <c r="C169" s="13"/>
      <c r="D169" s="13"/>
    </row>
    <row r="170" spans="1:4" ht="13" x14ac:dyDescent="0.15">
      <c r="A170" s="10"/>
      <c r="B170" s="13"/>
      <c r="C170" s="13"/>
      <c r="D170" s="13"/>
    </row>
    <row r="171" spans="1:4" ht="13" x14ac:dyDescent="0.15">
      <c r="A171" s="10"/>
      <c r="B171" s="13"/>
      <c r="C171" s="13"/>
      <c r="D171" s="13"/>
    </row>
    <row r="172" spans="1:4" ht="13" x14ac:dyDescent="0.15">
      <c r="A172" s="10"/>
      <c r="B172" s="13"/>
      <c r="C172" s="13"/>
      <c r="D172" s="13"/>
    </row>
    <row r="173" spans="1:4" ht="13" x14ac:dyDescent="0.15">
      <c r="A173" s="10"/>
      <c r="B173" s="13"/>
      <c r="C173" s="13"/>
      <c r="D173" s="13"/>
    </row>
    <row r="174" spans="1:4" ht="13" x14ac:dyDescent="0.15">
      <c r="A174" s="10"/>
      <c r="B174" s="13"/>
      <c r="C174" s="13"/>
      <c r="D174" s="13"/>
    </row>
    <row r="175" spans="1:4" ht="13" x14ac:dyDescent="0.15">
      <c r="A175" s="10"/>
      <c r="B175" s="13"/>
      <c r="C175" s="13"/>
      <c r="D175" s="13"/>
    </row>
    <row r="176" spans="1:4" ht="13" x14ac:dyDescent="0.15">
      <c r="A176" s="10"/>
      <c r="B176" s="13"/>
      <c r="C176" s="13"/>
      <c r="D176" s="13"/>
    </row>
    <row r="177" spans="1:4" ht="13" x14ac:dyDescent="0.15">
      <c r="A177" s="10"/>
      <c r="B177" s="13"/>
      <c r="C177" s="13"/>
      <c r="D177" s="13"/>
    </row>
    <row r="178" spans="1:4" ht="13" x14ac:dyDescent="0.15">
      <c r="A178" s="10"/>
      <c r="B178" s="13"/>
      <c r="C178" s="13"/>
      <c r="D178" s="13"/>
    </row>
    <row r="179" spans="1:4" ht="13" x14ac:dyDescent="0.15">
      <c r="A179" s="10"/>
      <c r="B179" s="13"/>
      <c r="C179" s="13"/>
      <c r="D179" s="13"/>
    </row>
    <row r="180" spans="1:4" ht="13" x14ac:dyDescent="0.15">
      <c r="A180" s="10"/>
      <c r="B180" s="13"/>
      <c r="C180" s="13"/>
      <c r="D180" s="13"/>
    </row>
    <row r="181" spans="1:4" ht="13" x14ac:dyDescent="0.15">
      <c r="A181" s="10"/>
      <c r="B181" s="13"/>
      <c r="C181" s="13"/>
      <c r="D181" s="13"/>
    </row>
    <row r="182" spans="1:4" ht="13" x14ac:dyDescent="0.15">
      <c r="A182" s="10"/>
      <c r="B182" s="13"/>
      <c r="C182" s="13"/>
      <c r="D182" s="13"/>
    </row>
    <row r="183" spans="1:4" ht="13" x14ac:dyDescent="0.15">
      <c r="A183" s="10"/>
      <c r="B183" s="13"/>
      <c r="C183" s="13"/>
      <c r="D183" s="13"/>
    </row>
    <row r="184" spans="1:4" ht="13" x14ac:dyDescent="0.15">
      <c r="A184" s="10"/>
      <c r="B184" s="13"/>
      <c r="C184" s="13"/>
      <c r="D184" s="13"/>
    </row>
    <row r="185" spans="1:4" ht="13" x14ac:dyDescent="0.15">
      <c r="A185" s="10"/>
      <c r="B185" s="13"/>
      <c r="C185" s="13"/>
      <c r="D185" s="13"/>
    </row>
    <row r="186" spans="1:4" ht="13" x14ac:dyDescent="0.15">
      <c r="A186" s="10"/>
      <c r="B186" s="13"/>
      <c r="C186" s="13"/>
      <c r="D186" s="13"/>
    </row>
    <row r="187" spans="1:4" ht="13" x14ac:dyDescent="0.15">
      <c r="A187" s="10"/>
      <c r="B187" s="13"/>
      <c r="C187" s="13"/>
      <c r="D187" s="13"/>
    </row>
    <row r="188" spans="1:4" ht="13" x14ac:dyDescent="0.15">
      <c r="A188" s="10"/>
      <c r="B188" s="13"/>
      <c r="C188" s="13"/>
      <c r="D188" s="13"/>
    </row>
    <row r="189" spans="1:4" ht="13" x14ac:dyDescent="0.15">
      <c r="A189" s="10"/>
      <c r="B189" s="13"/>
      <c r="C189" s="13"/>
      <c r="D189" s="13"/>
    </row>
    <row r="190" spans="1:4" ht="13" x14ac:dyDescent="0.15">
      <c r="A190" s="10"/>
      <c r="B190" s="13"/>
      <c r="C190" s="13"/>
      <c r="D190" s="13"/>
    </row>
    <row r="191" spans="1:4" ht="13" x14ac:dyDescent="0.15">
      <c r="A191" s="10"/>
      <c r="B191" s="13"/>
      <c r="C191" s="13"/>
      <c r="D191" s="13"/>
    </row>
    <row r="192" spans="1:4" ht="13" x14ac:dyDescent="0.15">
      <c r="A192" s="10"/>
      <c r="B192" s="13"/>
      <c r="C192" s="13"/>
      <c r="D192" s="13"/>
    </row>
    <row r="193" spans="1:4" ht="13" x14ac:dyDescent="0.15">
      <c r="A193" s="10"/>
      <c r="B193" s="13"/>
      <c r="C193" s="13"/>
      <c r="D193" s="13"/>
    </row>
    <row r="194" spans="1:4" ht="13" x14ac:dyDescent="0.15">
      <c r="A194" s="10"/>
      <c r="B194" s="13"/>
      <c r="C194" s="13"/>
      <c r="D194" s="13"/>
    </row>
    <row r="195" spans="1:4" ht="13" x14ac:dyDescent="0.15">
      <c r="A195" s="10"/>
      <c r="B195" s="13"/>
      <c r="C195" s="13"/>
      <c r="D195" s="13"/>
    </row>
    <row r="196" spans="1:4" ht="13" x14ac:dyDescent="0.15">
      <c r="A196" s="10"/>
      <c r="B196" s="13"/>
      <c r="C196" s="13"/>
      <c r="D196" s="13"/>
    </row>
    <row r="197" spans="1:4" ht="13" x14ac:dyDescent="0.15">
      <c r="A197" s="10"/>
      <c r="B197" s="13"/>
      <c r="C197" s="13"/>
      <c r="D197" s="13"/>
    </row>
    <row r="198" spans="1:4" ht="13" x14ac:dyDescent="0.15">
      <c r="A198" s="10"/>
      <c r="B198" s="13"/>
      <c r="C198" s="13"/>
      <c r="D198" s="13"/>
    </row>
    <row r="199" spans="1:4" ht="13" x14ac:dyDescent="0.15">
      <c r="A199" s="10"/>
      <c r="B199" s="13"/>
      <c r="C199" s="13"/>
      <c r="D199" s="13"/>
    </row>
    <row r="200" spans="1:4" ht="13" x14ac:dyDescent="0.15">
      <c r="A200" s="10"/>
      <c r="B200" s="13"/>
      <c r="C200" s="13"/>
      <c r="D200" s="13"/>
    </row>
    <row r="201" spans="1:4" ht="13" x14ac:dyDescent="0.15">
      <c r="A201" s="10"/>
      <c r="B201" s="13"/>
      <c r="C201" s="13"/>
      <c r="D201" s="13"/>
    </row>
    <row r="202" spans="1:4" ht="13" x14ac:dyDescent="0.15">
      <c r="A202" s="10"/>
      <c r="B202" s="13"/>
      <c r="C202" s="13"/>
      <c r="D202" s="13"/>
    </row>
    <row r="203" spans="1:4" ht="13" x14ac:dyDescent="0.15">
      <c r="A203" s="10"/>
      <c r="B203" s="13"/>
      <c r="C203" s="13"/>
      <c r="D203" s="13"/>
    </row>
    <row r="204" spans="1:4" ht="13" x14ac:dyDescent="0.15">
      <c r="A204" s="10"/>
      <c r="B204" s="13"/>
      <c r="C204" s="13"/>
      <c r="D204" s="13"/>
    </row>
    <row r="205" spans="1:4" ht="13" x14ac:dyDescent="0.15">
      <c r="A205" s="10"/>
      <c r="B205" s="13"/>
      <c r="C205" s="13"/>
      <c r="D205" s="13"/>
    </row>
    <row r="206" spans="1:4" ht="13" x14ac:dyDescent="0.15">
      <c r="A206" s="10"/>
      <c r="B206" s="13"/>
      <c r="C206" s="13"/>
      <c r="D206" s="13"/>
    </row>
    <row r="207" spans="1:4" ht="13" x14ac:dyDescent="0.15">
      <c r="A207" s="10"/>
      <c r="B207" s="13"/>
      <c r="C207" s="13"/>
      <c r="D207" s="13"/>
    </row>
    <row r="208" spans="1:4" ht="13" x14ac:dyDescent="0.15">
      <c r="A208" s="10"/>
      <c r="B208" s="13"/>
      <c r="C208" s="13"/>
      <c r="D208" s="13"/>
    </row>
    <row r="209" spans="1:4" ht="13" x14ac:dyDescent="0.15">
      <c r="A209" s="10"/>
      <c r="B209" s="13"/>
      <c r="C209" s="13"/>
      <c r="D209" s="13"/>
    </row>
    <row r="210" spans="1:4" ht="13" x14ac:dyDescent="0.15">
      <c r="A210" s="10"/>
      <c r="B210" s="13"/>
      <c r="C210" s="13"/>
      <c r="D210" s="13"/>
    </row>
    <row r="211" spans="1:4" ht="13" x14ac:dyDescent="0.15">
      <c r="A211" s="10"/>
      <c r="B211" s="13"/>
      <c r="C211" s="13"/>
      <c r="D211" s="13"/>
    </row>
    <row r="212" spans="1:4" ht="13" x14ac:dyDescent="0.15">
      <c r="A212" s="10"/>
      <c r="B212" s="13"/>
      <c r="C212" s="13"/>
      <c r="D212" s="13"/>
    </row>
    <row r="213" spans="1:4" ht="13" x14ac:dyDescent="0.15">
      <c r="A213" s="10"/>
      <c r="B213" s="13"/>
      <c r="C213" s="13"/>
      <c r="D213" s="13"/>
    </row>
    <row r="214" spans="1:4" ht="13" x14ac:dyDescent="0.15">
      <c r="A214" s="10"/>
      <c r="B214" s="13"/>
      <c r="C214" s="13"/>
      <c r="D214" s="13"/>
    </row>
    <row r="215" spans="1:4" ht="13" x14ac:dyDescent="0.15">
      <c r="A215" s="10"/>
      <c r="B215" s="13"/>
      <c r="C215" s="13"/>
      <c r="D215" s="13"/>
    </row>
    <row r="216" spans="1:4" ht="13" x14ac:dyDescent="0.15">
      <c r="A216" s="10"/>
      <c r="B216" s="13"/>
      <c r="C216" s="13"/>
      <c r="D216" s="13"/>
    </row>
    <row r="217" spans="1:4" ht="13" x14ac:dyDescent="0.15">
      <c r="A217" s="10"/>
      <c r="B217" s="13"/>
      <c r="C217" s="13"/>
      <c r="D217" s="13"/>
    </row>
    <row r="218" spans="1:4" ht="13" x14ac:dyDescent="0.15">
      <c r="A218" s="10"/>
      <c r="B218" s="13"/>
      <c r="C218" s="13"/>
      <c r="D218" s="13"/>
    </row>
    <row r="219" spans="1:4" ht="13" x14ac:dyDescent="0.15">
      <c r="A219" s="10"/>
      <c r="B219" s="13"/>
      <c r="C219" s="13"/>
      <c r="D219" s="13"/>
    </row>
    <row r="220" spans="1:4" ht="13" x14ac:dyDescent="0.15">
      <c r="A220" s="10"/>
      <c r="B220" s="13"/>
      <c r="C220" s="13"/>
      <c r="D220" s="13"/>
    </row>
    <row r="221" spans="1:4" ht="13" x14ac:dyDescent="0.15">
      <c r="A221" s="10"/>
      <c r="B221" s="13"/>
      <c r="C221" s="13"/>
      <c r="D221" s="13"/>
    </row>
    <row r="222" spans="1:4" ht="13" x14ac:dyDescent="0.15">
      <c r="A222" s="10"/>
      <c r="B222" s="13"/>
      <c r="C222" s="13"/>
      <c r="D222" s="13"/>
    </row>
    <row r="223" spans="1:4" ht="13" x14ac:dyDescent="0.15">
      <c r="A223" s="10"/>
      <c r="B223" s="13"/>
      <c r="C223" s="13"/>
      <c r="D223" s="13"/>
    </row>
    <row r="224" spans="1:4" ht="13" x14ac:dyDescent="0.15">
      <c r="A224" s="10"/>
      <c r="B224" s="13"/>
      <c r="C224" s="13"/>
      <c r="D224" s="13"/>
    </row>
    <row r="225" spans="1:4" ht="13" x14ac:dyDescent="0.15">
      <c r="A225" s="10"/>
      <c r="B225" s="13"/>
      <c r="C225" s="13"/>
      <c r="D225" s="13"/>
    </row>
    <row r="226" spans="1:4" ht="13" x14ac:dyDescent="0.15">
      <c r="A226" s="10"/>
      <c r="B226" s="13"/>
      <c r="C226" s="13"/>
      <c r="D226" s="13"/>
    </row>
    <row r="227" spans="1:4" ht="13" x14ac:dyDescent="0.15">
      <c r="A227" s="10"/>
      <c r="B227" s="13"/>
      <c r="C227" s="13"/>
      <c r="D227" s="13"/>
    </row>
    <row r="228" spans="1:4" ht="13" x14ac:dyDescent="0.15">
      <c r="A228" s="10"/>
      <c r="B228" s="13"/>
      <c r="C228" s="13"/>
      <c r="D228" s="13"/>
    </row>
    <row r="229" spans="1:4" ht="13" x14ac:dyDescent="0.15">
      <c r="A229" s="10"/>
      <c r="B229" s="13"/>
      <c r="C229" s="13"/>
      <c r="D229" s="13"/>
    </row>
    <row r="230" spans="1:4" ht="13" x14ac:dyDescent="0.15">
      <c r="A230" s="10"/>
      <c r="B230" s="13"/>
      <c r="C230" s="13"/>
      <c r="D230" s="13"/>
    </row>
    <row r="231" spans="1:4" ht="13" x14ac:dyDescent="0.15">
      <c r="A231" s="10"/>
      <c r="B231" s="13"/>
      <c r="C231" s="13"/>
      <c r="D231" s="13"/>
    </row>
    <row r="232" spans="1:4" ht="13" x14ac:dyDescent="0.15">
      <c r="A232" s="10"/>
      <c r="B232" s="13"/>
      <c r="C232" s="13"/>
      <c r="D232" s="13"/>
    </row>
    <row r="233" spans="1:4" ht="13" x14ac:dyDescent="0.15">
      <c r="A233" s="10"/>
      <c r="B233" s="13"/>
      <c r="C233" s="13"/>
      <c r="D233" s="13"/>
    </row>
    <row r="234" spans="1:4" ht="13" x14ac:dyDescent="0.15">
      <c r="A234" s="10"/>
      <c r="B234" s="13"/>
      <c r="C234" s="13"/>
      <c r="D234" s="13"/>
    </row>
    <row r="235" spans="1:4" ht="13" x14ac:dyDescent="0.15">
      <c r="A235" s="10"/>
      <c r="B235" s="13"/>
      <c r="C235" s="13"/>
      <c r="D235" s="13"/>
    </row>
    <row r="236" spans="1:4" ht="13" x14ac:dyDescent="0.15">
      <c r="A236" s="10"/>
      <c r="B236" s="13"/>
      <c r="C236" s="13"/>
      <c r="D236" s="13"/>
    </row>
    <row r="237" spans="1:4" ht="13" x14ac:dyDescent="0.15">
      <c r="A237" s="10"/>
      <c r="B237" s="13"/>
      <c r="C237" s="13"/>
      <c r="D237" s="13"/>
    </row>
    <row r="238" spans="1:4" ht="13" x14ac:dyDescent="0.15">
      <c r="A238" s="10"/>
      <c r="B238" s="13"/>
      <c r="C238" s="13"/>
      <c r="D238" s="13"/>
    </row>
    <row r="239" spans="1:4" ht="13" x14ac:dyDescent="0.15">
      <c r="A239" s="10"/>
      <c r="B239" s="13"/>
      <c r="C239" s="13"/>
      <c r="D239" s="13"/>
    </row>
    <row r="240" spans="1:4" ht="13" x14ac:dyDescent="0.15">
      <c r="A240" s="10"/>
      <c r="B240" s="13"/>
      <c r="C240" s="13"/>
      <c r="D240" s="13"/>
    </row>
    <row r="241" spans="1:4" ht="13" x14ac:dyDescent="0.15">
      <c r="A241" s="10"/>
      <c r="B241" s="13"/>
      <c r="C241" s="13"/>
      <c r="D241" s="13"/>
    </row>
    <row r="242" spans="1:4" ht="13" x14ac:dyDescent="0.15">
      <c r="A242" s="10"/>
      <c r="B242" s="13"/>
      <c r="C242" s="13"/>
      <c r="D242" s="13"/>
    </row>
    <row r="243" spans="1:4" ht="13" x14ac:dyDescent="0.15">
      <c r="A243" s="10"/>
      <c r="B243" s="13"/>
      <c r="C243" s="13"/>
      <c r="D243" s="13"/>
    </row>
    <row r="244" spans="1:4" ht="13" x14ac:dyDescent="0.15">
      <c r="A244" s="10"/>
      <c r="B244" s="13"/>
      <c r="C244" s="13"/>
      <c r="D244" s="13"/>
    </row>
    <row r="245" spans="1:4" ht="13" x14ac:dyDescent="0.15">
      <c r="A245" s="10"/>
      <c r="B245" s="13"/>
      <c r="C245" s="13"/>
      <c r="D245" s="13"/>
    </row>
    <row r="246" spans="1:4" ht="13" x14ac:dyDescent="0.15">
      <c r="A246" s="10"/>
      <c r="B246" s="13"/>
      <c r="C246" s="13"/>
      <c r="D246" s="13"/>
    </row>
    <row r="247" spans="1:4" ht="13" x14ac:dyDescent="0.15">
      <c r="A247" s="10"/>
      <c r="B247" s="13"/>
      <c r="C247" s="13"/>
      <c r="D247" s="13"/>
    </row>
    <row r="248" spans="1:4" ht="13" x14ac:dyDescent="0.15">
      <c r="A248" s="10"/>
      <c r="B248" s="13"/>
      <c r="C248" s="13"/>
      <c r="D248" s="13"/>
    </row>
    <row r="249" spans="1:4" ht="13" x14ac:dyDescent="0.15">
      <c r="A249" s="10"/>
      <c r="B249" s="13"/>
      <c r="C249" s="13"/>
      <c r="D249" s="13"/>
    </row>
    <row r="250" spans="1:4" ht="13" x14ac:dyDescent="0.15">
      <c r="A250" s="10"/>
      <c r="B250" s="13"/>
      <c r="C250" s="13"/>
      <c r="D250" s="13"/>
    </row>
    <row r="251" spans="1:4" ht="13" x14ac:dyDescent="0.15">
      <c r="A251" s="10"/>
      <c r="B251" s="13"/>
      <c r="C251" s="13"/>
      <c r="D251" s="13"/>
    </row>
    <row r="252" spans="1:4" ht="13" x14ac:dyDescent="0.15">
      <c r="A252" s="10"/>
      <c r="B252" s="13"/>
      <c r="C252" s="13"/>
      <c r="D252" s="13"/>
    </row>
    <row r="253" spans="1:4" ht="13" x14ac:dyDescent="0.15">
      <c r="A253" s="10"/>
      <c r="B253" s="13"/>
      <c r="C253" s="13"/>
      <c r="D253" s="13"/>
    </row>
    <row r="254" spans="1:4" ht="13" x14ac:dyDescent="0.15">
      <c r="A254" s="10"/>
      <c r="B254" s="13"/>
      <c r="C254" s="13"/>
      <c r="D254" s="13"/>
    </row>
    <row r="255" spans="1:4" ht="13" x14ac:dyDescent="0.15">
      <c r="A255" s="10"/>
      <c r="B255" s="13"/>
      <c r="C255" s="13"/>
      <c r="D255" s="13"/>
    </row>
    <row r="256" spans="1:4" ht="13" x14ac:dyDescent="0.15">
      <c r="A256" s="10"/>
      <c r="B256" s="13"/>
      <c r="C256" s="13"/>
      <c r="D256" s="13"/>
    </row>
    <row r="257" spans="1:4" ht="13" x14ac:dyDescent="0.15">
      <c r="A257" s="10"/>
      <c r="B257" s="13"/>
      <c r="C257" s="13"/>
      <c r="D257" s="13"/>
    </row>
    <row r="258" spans="1:4" ht="13" x14ac:dyDescent="0.15">
      <c r="A258" s="10"/>
      <c r="B258" s="13"/>
      <c r="C258" s="13"/>
      <c r="D258" s="13"/>
    </row>
    <row r="259" spans="1:4" ht="13" x14ac:dyDescent="0.15">
      <c r="A259" s="10"/>
      <c r="B259" s="13"/>
      <c r="C259" s="13"/>
      <c r="D259" s="13"/>
    </row>
    <row r="260" spans="1:4" ht="13" x14ac:dyDescent="0.15">
      <c r="A260" s="10"/>
      <c r="B260" s="13"/>
      <c r="C260" s="13"/>
      <c r="D260" s="13"/>
    </row>
    <row r="261" spans="1:4" ht="13" x14ac:dyDescent="0.15">
      <c r="A261" s="10"/>
      <c r="B261" s="13"/>
      <c r="C261" s="13"/>
      <c r="D261" s="13"/>
    </row>
    <row r="262" spans="1:4" ht="13" x14ac:dyDescent="0.15">
      <c r="A262" s="10"/>
      <c r="B262" s="13"/>
      <c r="C262" s="13"/>
      <c r="D262" s="13"/>
    </row>
    <row r="263" spans="1:4" ht="13" x14ac:dyDescent="0.15">
      <c r="A263" s="10"/>
      <c r="B263" s="13"/>
      <c r="C263" s="13"/>
      <c r="D263" s="13"/>
    </row>
    <row r="264" spans="1:4" ht="13" x14ac:dyDescent="0.15">
      <c r="A264" s="10"/>
      <c r="B264" s="13"/>
      <c r="C264" s="13"/>
      <c r="D264" s="13"/>
    </row>
    <row r="265" spans="1:4" ht="13" x14ac:dyDescent="0.15">
      <c r="A265" s="10"/>
      <c r="B265" s="13"/>
      <c r="C265" s="13"/>
      <c r="D265" s="13"/>
    </row>
    <row r="266" spans="1:4" ht="13" x14ac:dyDescent="0.15">
      <c r="A266" s="10"/>
      <c r="B266" s="13"/>
      <c r="C266" s="13"/>
      <c r="D266" s="13"/>
    </row>
    <row r="267" spans="1:4" ht="13" x14ac:dyDescent="0.15">
      <c r="A267" s="10"/>
      <c r="B267" s="13"/>
      <c r="C267" s="13"/>
      <c r="D267" s="13"/>
    </row>
    <row r="268" spans="1:4" ht="13" x14ac:dyDescent="0.15">
      <c r="A268" s="10"/>
      <c r="B268" s="13"/>
      <c r="C268" s="13"/>
      <c r="D268" s="13"/>
    </row>
    <row r="269" spans="1:4" ht="13" x14ac:dyDescent="0.15">
      <c r="A269" s="10"/>
      <c r="B269" s="13"/>
      <c r="C269" s="13"/>
      <c r="D269" s="13"/>
    </row>
    <row r="270" spans="1:4" ht="13" x14ac:dyDescent="0.15">
      <c r="A270" s="10"/>
      <c r="B270" s="13"/>
      <c r="C270" s="13"/>
      <c r="D270" s="13"/>
    </row>
    <row r="271" spans="1:4" ht="13" x14ac:dyDescent="0.15">
      <c r="A271" s="10"/>
      <c r="B271" s="13"/>
      <c r="C271" s="13"/>
      <c r="D271" s="13"/>
    </row>
    <row r="272" spans="1:4" ht="13" x14ac:dyDescent="0.15">
      <c r="A272" s="10"/>
      <c r="B272" s="13"/>
      <c r="C272" s="13"/>
      <c r="D272" s="13"/>
    </row>
    <row r="273" spans="1:4" ht="13" x14ac:dyDescent="0.15">
      <c r="A273" s="10"/>
      <c r="B273" s="13"/>
      <c r="C273" s="13"/>
      <c r="D273" s="13"/>
    </row>
    <row r="274" spans="1:4" ht="13" x14ac:dyDescent="0.15">
      <c r="A274" s="10"/>
      <c r="B274" s="13"/>
      <c r="C274" s="13"/>
      <c r="D274" s="13"/>
    </row>
    <row r="275" spans="1:4" ht="13" x14ac:dyDescent="0.15">
      <c r="A275" s="10"/>
      <c r="B275" s="13"/>
      <c r="C275" s="13"/>
      <c r="D275" s="13"/>
    </row>
    <row r="276" spans="1:4" ht="13" x14ac:dyDescent="0.15">
      <c r="A276" s="10"/>
      <c r="B276" s="13"/>
      <c r="C276" s="13"/>
      <c r="D276" s="13"/>
    </row>
    <row r="277" spans="1:4" ht="13" x14ac:dyDescent="0.15">
      <c r="A277" s="10"/>
      <c r="B277" s="13"/>
      <c r="C277" s="13"/>
      <c r="D277" s="13"/>
    </row>
    <row r="278" spans="1:4" ht="13" x14ac:dyDescent="0.15">
      <c r="A278" s="10"/>
      <c r="B278" s="13"/>
      <c r="C278" s="13"/>
      <c r="D278" s="13"/>
    </row>
    <row r="279" spans="1:4" ht="13" x14ac:dyDescent="0.15">
      <c r="A279" s="10"/>
      <c r="B279" s="13"/>
      <c r="C279" s="13"/>
      <c r="D279" s="13"/>
    </row>
    <row r="280" spans="1:4" ht="13" x14ac:dyDescent="0.15">
      <c r="A280" s="10"/>
      <c r="B280" s="13"/>
      <c r="C280" s="13"/>
      <c r="D280" s="13"/>
    </row>
    <row r="281" spans="1:4" ht="13" x14ac:dyDescent="0.15">
      <c r="A281" s="10"/>
      <c r="B281" s="13"/>
      <c r="C281" s="13"/>
      <c r="D281" s="13"/>
    </row>
    <row r="282" spans="1:4" ht="13" x14ac:dyDescent="0.15">
      <c r="A282" s="10"/>
      <c r="B282" s="13"/>
      <c r="C282" s="13"/>
      <c r="D282" s="13"/>
    </row>
    <row r="283" spans="1:4" ht="13" x14ac:dyDescent="0.15">
      <c r="A283" s="10"/>
      <c r="B283" s="13"/>
      <c r="C283" s="13"/>
      <c r="D283" s="13"/>
    </row>
    <row r="284" spans="1:4" ht="13" x14ac:dyDescent="0.15">
      <c r="A284" s="10"/>
      <c r="B284" s="13"/>
      <c r="C284" s="13"/>
      <c r="D284" s="13"/>
    </row>
    <row r="285" spans="1:4" ht="13" x14ac:dyDescent="0.15">
      <c r="A285" s="10"/>
      <c r="B285" s="13"/>
      <c r="C285" s="13"/>
      <c r="D285" s="13"/>
    </row>
    <row r="286" spans="1:4" ht="13" x14ac:dyDescent="0.15">
      <c r="A286" s="10"/>
      <c r="B286" s="13"/>
      <c r="C286" s="13"/>
      <c r="D286" s="13"/>
    </row>
    <row r="287" spans="1:4" ht="13" x14ac:dyDescent="0.15">
      <c r="A287" s="10"/>
      <c r="B287" s="13"/>
      <c r="C287" s="13"/>
      <c r="D287" s="13"/>
    </row>
    <row r="288" spans="1:4" ht="13" x14ac:dyDescent="0.15">
      <c r="A288" s="10"/>
      <c r="B288" s="13"/>
      <c r="C288" s="13"/>
      <c r="D288" s="13"/>
    </row>
    <row r="289" spans="1:4" ht="13" x14ac:dyDescent="0.15">
      <c r="A289" s="10"/>
      <c r="B289" s="13"/>
      <c r="C289" s="13"/>
      <c r="D289" s="13"/>
    </row>
    <row r="290" spans="1:4" ht="13" x14ac:dyDescent="0.15">
      <c r="A290" s="10"/>
      <c r="B290" s="13"/>
      <c r="C290" s="13"/>
      <c r="D290" s="13"/>
    </row>
    <row r="291" spans="1:4" ht="13" x14ac:dyDescent="0.15">
      <c r="A291" s="10"/>
      <c r="B291" s="13"/>
      <c r="C291" s="13"/>
      <c r="D291" s="13"/>
    </row>
    <row r="292" spans="1:4" ht="13" x14ac:dyDescent="0.15">
      <c r="A292" s="10"/>
      <c r="B292" s="13"/>
      <c r="C292" s="13"/>
      <c r="D292" s="13"/>
    </row>
    <row r="293" spans="1:4" ht="13" x14ac:dyDescent="0.15">
      <c r="A293" s="10"/>
      <c r="B293" s="13"/>
      <c r="C293" s="13"/>
      <c r="D293" s="13"/>
    </row>
    <row r="294" spans="1:4" ht="13" x14ac:dyDescent="0.15">
      <c r="A294" s="10"/>
      <c r="B294" s="13"/>
      <c r="C294" s="13"/>
      <c r="D294" s="13"/>
    </row>
    <row r="295" spans="1:4" ht="13" x14ac:dyDescent="0.15">
      <c r="A295" s="10"/>
      <c r="B295" s="13"/>
      <c r="C295" s="13"/>
      <c r="D295" s="13"/>
    </row>
    <row r="296" spans="1:4" ht="13" x14ac:dyDescent="0.15">
      <c r="A296" s="10"/>
      <c r="B296" s="13"/>
      <c r="C296" s="13"/>
      <c r="D296" s="13"/>
    </row>
    <row r="297" spans="1:4" ht="13" x14ac:dyDescent="0.15">
      <c r="A297" s="10"/>
      <c r="B297" s="13"/>
      <c r="C297" s="13"/>
      <c r="D297" s="13"/>
    </row>
    <row r="298" spans="1:4" ht="13" x14ac:dyDescent="0.15">
      <c r="A298" s="10"/>
      <c r="B298" s="13"/>
      <c r="C298" s="13"/>
      <c r="D298" s="13"/>
    </row>
    <row r="299" spans="1:4" ht="13" x14ac:dyDescent="0.15">
      <c r="A299" s="10"/>
      <c r="B299" s="13"/>
      <c r="C299" s="13"/>
      <c r="D299" s="13"/>
    </row>
    <row r="300" spans="1:4" ht="13" x14ac:dyDescent="0.15">
      <c r="A300" s="10"/>
      <c r="B300" s="13"/>
      <c r="C300" s="13"/>
      <c r="D300" s="13"/>
    </row>
    <row r="301" spans="1:4" ht="13" x14ac:dyDescent="0.15">
      <c r="A301" s="10"/>
      <c r="B301" s="13"/>
      <c r="C301" s="13"/>
      <c r="D301" s="13"/>
    </row>
    <row r="302" spans="1:4" ht="13" x14ac:dyDescent="0.15">
      <c r="A302" s="10"/>
      <c r="B302" s="13"/>
      <c r="C302" s="13"/>
      <c r="D302" s="13"/>
    </row>
    <row r="303" spans="1:4" ht="13" x14ac:dyDescent="0.15">
      <c r="A303" s="10"/>
      <c r="B303" s="13"/>
      <c r="C303" s="13"/>
      <c r="D303" s="13"/>
    </row>
    <row r="304" spans="1:4" ht="13" x14ac:dyDescent="0.15">
      <c r="A304" s="10"/>
      <c r="B304" s="13"/>
      <c r="C304" s="13"/>
      <c r="D304" s="13"/>
    </row>
    <row r="305" spans="1:4" ht="13" x14ac:dyDescent="0.15">
      <c r="A305" s="10"/>
      <c r="B305" s="13"/>
      <c r="C305" s="13"/>
      <c r="D305" s="13"/>
    </row>
    <row r="306" spans="1:4" ht="13" x14ac:dyDescent="0.15">
      <c r="A306" s="10"/>
      <c r="B306" s="13"/>
      <c r="C306" s="13"/>
      <c r="D306" s="13"/>
    </row>
    <row r="307" spans="1:4" ht="13" x14ac:dyDescent="0.15">
      <c r="A307" s="10"/>
      <c r="B307" s="13"/>
      <c r="C307" s="13"/>
      <c r="D307" s="13"/>
    </row>
    <row r="308" spans="1:4" ht="13" x14ac:dyDescent="0.15">
      <c r="A308" s="10"/>
      <c r="B308" s="13"/>
      <c r="C308" s="13"/>
      <c r="D308" s="13"/>
    </row>
    <row r="309" spans="1:4" ht="13" x14ac:dyDescent="0.15">
      <c r="A309" s="10"/>
      <c r="B309" s="13"/>
      <c r="C309" s="13"/>
      <c r="D309" s="13"/>
    </row>
    <row r="310" spans="1:4" ht="13" x14ac:dyDescent="0.15">
      <c r="A310" s="10"/>
      <c r="B310" s="13"/>
      <c r="C310" s="13"/>
      <c r="D310" s="13"/>
    </row>
    <row r="311" spans="1:4" ht="13" x14ac:dyDescent="0.15">
      <c r="A311" s="10"/>
      <c r="B311" s="13"/>
      <c r="C311" s="13"/>
      <c r="D311" s="13"/>
    </row>
    <row r="312" spans="1:4" ht="13" x14ac:dyDescent="0.15">
      <c r="A312" s="10"/>
      <c r="B312" s="13"/>
      <c r="C312" s="13"/>
      <c r="D312" s="13"/>
    </row>
    <row r="313" spans="1:4" ht="13" x14ac:dyDescent="0.15">
      <c r="A313" s="10"/>
      <c r="B313" s="13"/>
      <c r="C313" s="13"/>
      <c r="D313" s="13"/>
    </row>
    <row r="314" spans="1:4" ht="13" x14ac:dyDescent="0.15">
      <c r="A314" s="10"/>
      <c r="B314" s="13"/>
      <c r="C314" s="13"/>
      <c r="D314" s="13"/>
    </row>
    <row r="315" spans="1:4" ht="13" x14ac:dyDescent="0.15">
      <c r="A315" s="10"/>
      <c r="B315" s="13"/>
      <c r="C315" s="13"/>
      <c r="D315" s="13"/>
    </row>
    <row r="316" spans="1:4" ht="13" x14ac:dyDescent="0.15">
      <c r="A316" s="10"/>
      <c r="B316" s="13"/>
      <c r="C316" s="13"/>
      <c r="D316" s="13"/>
    </row>
    <row r="317" spans="1:4" ht="13" x14ac:dyDescent="0.15">
      <c r="A317" s="10"/>
      <c r="B317" s="13"/>
      <c r="C317" s="13"/>
      <c r="D317" s="13"/>
    </row>
    <row r="318" spans="1:4" ht="13" x14ac:dyDescent="0.15">
      <c r="A318" s="10"/>
      <c r="B318" s="13"/>
      <c r="C318" s="13"/>
      <c r="D318" s="13"/>
    </row>
    <row r="319" spans="1:4" ht="13" x14ac:dyDescent="0.15">
      <c r="A319" s="10"/>
      <c r="B319" s="13"/>
      <c r="C319" s="13"/>
      <c r="D319" s="13"/>
    </row>
    <row r="320" spans="1:4" ht="13" x14ac:dyDescent="0.15">
      <c r="A320" s="10"/>
      <c r="B320" s="13"/>
      <c r="C320" s="13"/>
      <c r="D320" s="13"/>
    </row>
    <row r="321" spans="1:4" ht="13" x14ac:dyDescent="0.15">
      <c r="A321" s="10"/>
      <c r="B321" s="13"/>
      <c r="C321" s="13"/>
      <c r="D321" s="13"/>
    </row>
    <row r="322" spans="1:4" ht="13" x14ac:dyDescent="0.15">
      <c r="A322" s="10"/>
      <c r="B322" s="13"/>
      <c r="C322" s="13"/>
      <c r="D322" s="13"/>
    </row>
    <row r="323" spans="1:4" ht="13" x14ac:dyDescent="0.15">
      <c r="A323" s="10"/>
      <c r="B323" s="13"/>
      <c r="C323" s="13"/>
      <c r="D323" s="13"/>
    </row>
    <row r="324" spans="1:4" ht="13" x14ac:dyDescent="0.15">
      <c r="A324" s="10"/>
      <c r="B324" s="13"/>
      <c r="C324" s="13"/>
      <c r="D324" s="13"/>
    </row>
    <row r="325" spans="1:4" ht="13" x14ac:dyDescent="0.15">
      <c r="A325" s="10"/>
      <c r="B325" s="13"/>
      <c r="C325" s="13"/>
      <c r="D325" s="13"/>
    </row>
    <row r="326" spans="1:4" ht="13" x14ac:dyDescent="0.15">
      <c r="A326" s="10"/>
      <c r="B326" s="13"/>
      <c r="C326" s="13"/>
      <c r="D326" s="13"/>
    </row>
    <row r="327" spans="1:4" ht="13" x14ac:dyDescent="0.15">
      <c r="A327" s="10"/>
      <c r="B327" s="13"/>
      <c r="C327" s="13"/>
      <c r="D327" s="13"/>
    </row>
    <row r="328" spans="1:4" ht="13" x14ac:dyDescent="0.15">
      <c r="A328" s="10"/>
      <c r="B328" s="13"/>
      <c r="C328" s="13"/>
      <c r="D328" s="13"/>
    </row>
    <row r="329" spans="1:4" ht="13" x14ac:dyDescent="0.15">
      <c r="A329" s="10"/>
      <c r="B329" s="13"/>
      <c r="C329" s="13"/>
      <c r="D329" s="13"/>
    </row>
    <row r="330" spans="1:4" ht="13" x14ac:dyDescent="0.15">
      <c r="A330" s="10"/>
      <c r="B330" s="13"/>
      <c r="C330" s="13"/>
      <c r="D330" s="13"/>
    </row>
    <row r="331" spans="1:4" ht="13" x14ac:dyDescent="0.15">
      <c r="A331" s="10"/>
      <c r="B331" s="13"/>
      <c r="C331" s="13"/>
      <c r="D331" s="13"/>
    </row>
    <row r="332" spans="1:4" ht="13" x14ac:dyDescent="0.15">
      <c r="A332" s="10"/>
      <c r="B332" s="13"/>
      <c r="C332" s="13"/>
      <c r="D332" s="13"/>
    </row>
    <row r="333" spans="1:4" ht="13" x14ac:dyDescent="0.15">
      <c r="A333" s="10"/>
      <c r="B333" s="13"/>
      <c r="C333" s="13"/>
      <c r="D333" s="13"/>
    </row>
    <row r="334" spans="1:4" ht="13" x14ac:dyDescent="0.15">
      <c r="A334" s="10"/>
      <c r="B334" s="13"/>
      <c r="C334" s="13"/>
      <c r="D334" s="13"/>
    </row>
    <row r="335" spans="1:4" ht="13" x14ac:dyDescent="0.15">
      <c r="A335" s="10"/>
      <c r="B335" s="13"/>
      <c r="C335" s="13"/>
      <c r="D335" s="13"/>
    </row>
    <row r="336" spans="1:4" ht="13" x14ac:dyDescent="0.15">
      <c r="A336" s="10"/>
      <c r="B336" s="13"/>
      <c r="C336" s="13"/>
      <c r="D336" s="13"/>
    </row>
    <row r="337" spans="1:4" ht="13" x14ac:dyDescent="0.15">
      <c r="A337" s="10"/>
      <c r="B337" s="13"/>
      <c r="C337" s="13"/>
      <c r="D337" s="13"/>
    </row>
    <row r="338" spans="1:4" ht="13" x14ac:dyDescent="0.15">
      <c r="A338" s="10"/>
      <c r="B338" s="13"/>
      <c r="C338" s="13"/>
      <c r="D338" s="13"/>
    </row>
    <row r="339" spans="1:4" ht="13" x14ac:dyDescent="0.15">
      <c r="A339" s="10"/>
      <c r="B339" s="13"/>
      <c r="C339" s="13"/>
      <c r="D339" s="13"/>
    </row>
    <row r="340" spans="1:4" ht="13" x14ac:dyDescent="0.15">
      <c r="A340" s="10"/>
      <c r="B340" s="13"/>
      <c r="C340" s="13"/>
      <c r="D340" s="13"/>
    </row>
    <row r="341" spans="1:4" ht="13" x14ac:dyDescent="0.15">
      <c r="A341" s="10"/>
      <c r="B341" s="13"/>
      <c r="C341" s="13"/>
      <c r="D341" s="13"/>
    </row>
    <row r="342" spans="1:4" ht="13" x14ac:dyDescent="0.15">
      <c r="A342" s="10"/>
      <c r="B342" s="13"/>
      <c r="C342" s="13"/>
      <c r="D342" s="13"/>
    </row>
    <row r="343" spans="1:4" ht="13" x14ac:dyDescent="0.15">
      <c r="A343" s="10"/>
      <c r="B343" s="13"/>
      <c r="C343" s="13"/>
      <c r="D343" s="13"/>
    </row>
    <row r="344" spans="1:4" ht="13" x14ac:dyDescent="0.15">
      <c r="A344" s="10"/>
      <c r="B344" s="13"/>
      <c r="C344" s="13"/>
      <c r="D344" s="13"/>
    </row>
    <row r="345" spans="1:4" ht="13" x14ac:dyDescent="0.15">
      <c r="A345" s="10"/>
      <c r="B345" s="13"/>
      <c r="C345" s="13"/>
      <c r="D345" s="13"/>
    </row>
    <row r="346" spans="1:4" ht="13" x14ac:dyDescent="0.15">
      <c r="A346" s="10"/>
      <c r="B346" s="13"/>
      <c r="C346" s="13"/>
      <c r="D346" s="13"/>
    </row>
    <row r="347" spans="1:4" ht="13" x14ac:dyDescent="0.15">
      <c r="A347" s="10"/>
      <c r="B347" s="13"/>
      <c r="C347" s="13"/>
      <c r="D347" s="13"/>
    </row>
    <row r="348" spans="1:4" ht="13" x14ac:dyDescent="0.15">
      <c r="A348" s="10"/>
      <c r="B348" s="13"/>
      <c r="C348" s="13"/>
      <c r="D348" s="13"/>
    </row>
    <row r="349" spans="1:4" ht="13" x14ac:dyDescent="0.15">
      <c r="A349" s="10"/>
      <c r="B349" s="13"/>
      <c r="C349" s="13"/>
      <c r="D349" s="13"/>
    </row>
    <row r="350" spans="1:4" ht="13" x14ac:dyDescent="0.15">
      <c r="A350" s="10"/>
      <c r="B350" s="13"/>
      <c r="C350" s="13"/>
      <c r="D350" s="13"/>
    </row>
    <row r="351" spans="1:4" ht="13" x14ac:dyDescent="0.15">
      <c r="A351" s="10"/>
      <c r="B351" s="13"/>
      <c r="C351" s="13"/>
      <c r="D351" s="13"/>
    </row>
    <row r="352" spans="1:4" ht="13" x14ac:dyDescent="0.15">
      <c r="A352" s="10"/>
      <c r="B352" s="13"/>
      <c r="C352" s="13"/>
      <c r="D352" s="13"/>
    </row>
    <row r="353" spans="1:4" ht="13" x14ac:dyDescent="0.15">
      <c r="A353" s="10"/>
      <c r="B353" s="13"/>
      <c r="C353" s="13"/>
      <c r="D353" s="13"/>
    </row>
    <row r="354" spans="1:4" ht="13" x14ac:dyDescent="0.15">
      <c r="A354" s="10"/>
      <c r="B354" s="13"/>
      <c r="C354" s="13"/>
      <c r="D354" s="13"/>
    </row>
    <row r="355" spans="1:4" ht="13" x14ac:dyDescent="0.15">
      <c r="A355" s="10"/>
      <c r="B355" s="13"/>
      <c r="C355" s="13"/>
      <c r="D355" s="13"/>
    </row>
    <row r="356" spans="1:4" ht="13" x14ac:dyDescent="0.15">
      <c r="A356" s="10"/>
      <c r="B356" s="13"/>
      <c r="C356" s="13"/>
      <c r="D356" s="13"/>
    </row>
    <row r="357" spans="1:4" ht="13" x14ac:dyDescent="0.15">
      <c r="A357" s="10"/>
      <c r="B357" s="13"/>
      <c r="C357" s="13"/>
      <c r="D357" s="13"/>
    </row>
    <row r="358" spans="1:4" ht="13" x14ac:dyDescent="0.15">
      <c r="A358" s="10"/>
      <c r="B358" s="13"/>
      <c r="C358" s="13"/>
      <c r="D358" s="13"/>
    </row>
    <row r="359" spans="1:4" ht="13" x14ac:dyDescent="0.15">
      <c r="A359" s="10"/>
      <c r="B359" s="13"/>
      <c r="C359" s="13"/>
      <c r="D359" s="13"/>
    </row>
    <row r="360" spans="1:4" ht="13" x14ac:dyDescent="0.15">
      <c r="A360" s="10"/>
      <c r="B360" s="13"/>
      <c r="C360" s="13"/>
      <c r="D360" s="13"/>
    </row>
    <row r="361" spans="1:4" ht="13" x14ac:dyDescent="0.15">
      <c r="A361" s="10"/>
      <c r="B361" s="13"/>
      <c r="C361" s="13"/>
      <c r="D361" s="13"/>
    </row>
    <row r="362" spans="1:4" ht="13" x14ac:dyDescent="0.15">
      <c r="A362" s="10"/>
      <c r="B362" s="13"/>
      <c r="C362" s="13"/>
      <c r="D362" s="13"/>
    </row>
    <row r="363" spans="1:4" ht="13" x14ac:dyDescent="0.15">
      <c r="A363" s="10"/>
      <c r="B363" s="13"/>
      <c r="C363" s="13"/>
      <c r="D363" s="13"/>
    </row>
    <row r="364" spans="1:4" ht="13" x14ac:dyDescent="0.15">
      <c r="A364" s="10"/>
      <c r="B364" s="13"/>
      <c r="C364" s="13"/>
      <c r="D364" s="13"/>
    </row>
    <row r="365" spans="1:4" ht="13" x14ac:dyDescent="0.15">
      <c r="A365" s="10"/>
      <c r="B365" s="13"/>
      <c r="C365" s="13"/>
      <c r="D365" s="13"/>
    </row>
    <row r="366" spans="1:4" ht="13" x14ac:dyDescent="0.15">
      <c r="A366" s="10"/>
      <c r="B366" s="13"/>
      <c r="C366" s="13"/>
      <c r="D366" s="13"/>
    </row>
    <row r="367" spans="1:4" ht="13" x14ac:dyDescent="0.15">
      <c r="A367" s="10"/>
      <c r="B367" s="13"/>
      <c r="C367" s="13"/>
      <c r="D367" s="13"/>
    </row>
    <row r="368" spans="1:4" ht="13" x14ac:dyDescent="0.15">
      <c r="A368" s="10"/>
      <c r="B368" s="13"/>
      <c r="C368" s="13"/>
      <c r="D368" s="13"/>
    </row>
    <row r="369" spans="1:4" ht="13" x14ac:dyDescent="0.15">
      <c r="A369" s="10"/>
      <c r="B369" s="13"/>
      <c r="C369" s="13"/>
      <c r="D369" s="13"/>
    </row>
    <row r="370" spans="1:4" ht="13" x14ac:dyDescent="0.15">
      <c r="A370" s="10"/>
      <c r="B370" s="13"/>
      <c r="C370" s="13"/>
      <c r="D370" s="13"/>
    </row>
    <row r="371" spans="1:4" ht="13" x14ac:dyDescent="0.15">
      <c r="A371" s="10"/>
      <c r="B371" s="13"/>
      <c r="C371" s="13"/>
      <c r="D371" s="13"/>
    </row>
    <row r="372" spans="1:4" ht="13" x14ac:dyDescent="0.15">
      <c r="A372" s="10"/>
      <c r="B372" s="13"/>
      <c r="C372" s="13"/>
      <c r="D372" s="13"/>
    </row>
    <row r="373" spans="1:4" ht="13" x14ac:dyDescent="0.15">
      <c r="A373" s="10"/>
      <c r="B373" s="13"/>
      <c r="C373" s="13"/>
      <c r="D373" s="13"/>
    </row>
    <row r="374" spans="1:4" ht="13" x14ac:dyDescent="0.15">
      <c r="A374" s="10"/>
      <c r="B374" s="13"/>
      <c r="C374" s="13"/>
      <c r="D374" s="13"/>
    </row>
    <row r="375" spans="1:4" ht="13" x14ac:dyDescent="0.15">
      <c r="A375" s="10"/>
      <c r="B375" s="13"/>
      <c r="C375" s="13"/>
      <c r="D375" s="13"/>
    </row>
    <row r="376" spans="1:4" ht="13" x14ac:dyDescent="0.15">
      <c r="A376" s="10"/>
      <c r="B376" s="13"/>
      <c r="C376" s="13"/>
      <c r="D376" s="13"/>
    </row>
    <row r="377" spans="1:4" ht="13" x14ac:dyDescent="0.15">
      <c r="A377" s="10"/>
      <c r="B377" s="13"/>
      <c r="C377" s="13"/>
      <c r="D377" s="13"/>
    </row>
    <row r="378" spans="1:4" ht="13" x14ac:dyDescent="0.15">
      <c r="A378" s="10"/>
      <c r="B378" s="13"/>
      <c r="C378" s="13"/>
      <c r="D378" s="13"/>
    </row>
    <row r="379" spans="1:4" ht="13" x14ac:dyDescent="0.15">
      <c r="A379" s="10"/>
      <c r="B379" s="13"/>
      <c r="C379" s="13"/>
      <c r="D379" s="13"/>
    </row>
    <row r="380" spans="1:4" ht="13" x14ac:dyDescent="0.15">
      <c r="A380" s="10"/>
      <c r="B380" s="13"/>
      <c r="C380" s="13"/>
      <c r="D380" s="13"/>
    </row>
    <row r="381" spans="1:4" ht="13" x14ac:dyDescent="0.15">
      <c r="A381" s="10"/>
      <c r="B381" s="13"/>
      <c r="C381" s="13"/>
      <c r="D381" s="13"/>
    </row>
    <row r="382" spans="1:4" ht="13" x14ac:dyDescent="0.15">
      <c r="A382" s="10"/>
      <c r="B382" s="13"/>
      <c r="C382" s="13"/>
      <c r="D382" s="13"/>
    </row>
    <row r="383" spans="1:4" ht="13" x14ac:dyDescent="0.15">
      <c r="A383" s="10"/>
      <c r="B383" s="13"/>
      <c r="C383" s="13"/>
      <c r="D383" s="13"/>
    </row>
    <row r="384" spans="1:4" ht="13" x14ac:dyDescent="0.15">
      <c r="A384" s="10"/>
      <c r="B384" s="13"/>
      <c r="C384" s="13"/>
      <c r="D384" s="13"/>
    </row>
    <row r="385" spans="1:4" ht="13" x14ac:dyDescent="0.15">
      <c r="A385" s="10"/>
      <c r="B385" s="13"/>
      <c r="C385" s="13"/>
      <c r="D385" s="13"/>
    </row>
    <row r="386" spans="1:4" ht="13" x14ac:dyDescent="0.15">
      <c r="A386" s="10"/>
      <c r="B386" s="13"/>
      <c r="C386" s="13"/>
      <c r="D386" s="13"/>
    </row>
    <row r="387" spans="1:4" ht="13" x14ac:dyDescent="0.15">
      <c r="A387" s="10"/>
      <c r="B387" s="13"/>
      <c r="C387" s="13"/>
      <c r="D387" s="13"/>
    </row>
    <row r="388" spans="1:4" ht="13" x14ac:dyDescent="0.15">
      <c r="A388" s="10"/>
      <c r="B388" s="13"/>
      <c r="C388" s="13"/>
      <c r="D388" s="13"/>
    </row>
    <row r="389" spans="1:4" ht="13" x14ac:dyDescent="0.15">
      <c r="A389" s="10"/>
      <c r="B389" s="13"/>
      <c r="C389" s="13"/>
      <c r="D389" s="13"/>
    </row>
    <row r="390" spans="1:4" ht="13" x14ac:dyDescent="0.15">
      <c r="A390" s="10"/>
      <c r="B390" s="13"/>
      <c r="C390" s="13"/>
      <c r="D390" s="13"/>
    </row>
    <row r="391" spans="1:4" ht="13" x14ac:dyDescent="0.15">
      <c r="A391" s="10"/>
      <c r="B391" s="13"/>
      <c r="C391" s="13"/>
      <c r="D391" s="13"/>
    </row>
    <row r="392" spans="1:4" ht="13" x14ac:dyDescent="0.15">
      <c r="A392" s="10"/>
      <c r="B392" s="13"/>
      <c r="C392" s="13"/>
      <c r="D392" s="13"/>
    </row>
    <row r="393" spans="1:4" ht="13" x14ac:dyDescent="0.15">
      <c r="A393" s="10"/>
      <c r="B393" s="13"/>
      <c r="C393" s="13"/>
      <c r="D393" s="13"/>
    </row>
    <row r="394" spans="1:4" ht="13" x14ac:dyDescent="0.15">
      <c r="A394" s="10"/>
      <c r="B394" s="13"/>
      <c r="C394" s="13"/>
      <c r="D394" s="13"/>
    </row>
    <row r="395" spans="1:4" ht="13" x14ac:dyDescent="0.15">
      <c r="A395" s="10"/>
      <c r="B395" s="13"/>
      <c r="C395" s="13"/>
      <c r="D395" s="13"/>
    </row>
    <row r="396" spans="1:4" ht="13" x14ac:dyDescent="0.15">
      <c r="A396" s="10"/>
      <c r="B396" s="13"/>
      <c r="C396" s="13"/>
      <c r="D396" s="13"/>
    </row>
    <row r="397" spans="1:4" ht="13" x14ac:dyDescent="0.15">
      <c r="A397" s="10"/>
      <c r="B397" s="13"/>
      <c r="C397" s="13"/>
      <c r="D397" s="13"/>
    </row>
    <row r="398" spans="1:4" ht="13" x14ac:dyDescent="0.15">
      <c r="A398" s="10"/>
      <c r="B398" s="13"/>
      <c r="C398" s="13"/>
      <c r="D398" s="13"/>
    </row>
    <row r="399" spans="1:4" ht="13" x14ac:dyDescent="0.15">
      <c r="A399" s="10"/>
      <c r="B399" s="13"/>
      <c r="C399" s="13"/>
      <c r="D399" s="13"/>
    </row>
    <row r="400" spans="1:4" ht="13" x14ac:dyDescent="0.15">
      <c r="A400" s="10"/>
      <c r="B400" s="13"/>
      <c r="C400" s="13"/>
      <c r="D400" s="13"/>
    </row>
    <row r="401" spans="1:4" ht="13" x14ac:dyDescent="0.15">
      <c r="A401" s="10"/>
      <c r="B401" s="13"/>
      <c r="C401" s="13"/>
      <c r="D401" s="13"/>
    </row>
    <row r="402" spans="1:4" ht="13" x14ac:dyDescent="0.15">
      <c r="A402" s="10"/>
      <c r="B402" s="13"/>
      <c r="C402" s="13"/>
      <c r="D402" s="13"/>
    </row>
    <row r="403" spans="1:4" ht="13" x14ac:dyDescent="0.15">
      <c r="A403" s="10"/>
      <c r="B403" s="13"/>
      <c r="C403" s="13"/>
      <c r="D403" s="13"/>
    </row>
    <row r="404" spans="1:4" ht="13" x14ac:dyDescent="0.15">
      <c r="A404" s="10"/>
      <c r="B404" s="13"/>
      <c r="C404" s="13"/>
      <c r="D404" s="13"/>
    </row>
    <row r="405" spans="1:4" ht="13" x14ac:dyDescent="0.15">
      <c r="A405" s="10"/>
      <c r="B405" s="13"/>
      <c r="C405" s="13"/>
      <c r="D405" s="13"/>
    </row>
    <row r="406" spans="1:4" ht="13" x14ac:dyDescent="0.15">
      <c r="A406" s="10"/>
      <c r="B406" s="13"/>
      <c r="C406" s="13"/>
      <c r="D406" s="13"/>
    </row>
    <row r="407" spans="1:4" ht="13" x14ac:dyDescent="0.15">
      <c r="A407" s="10"/>
      <c r="B407" s="13"/>
      <c r="C407" s="13"/>
      <c r="D407" s="13"/>
    </row>
    <row r="408" spans="1:4" ht="13" x14ac:dyDescent="0.15">
      <c r="A408" s="10"/>
      <c r="B408" s="13"/>
      <c r="C408" s="13"/>
      <c r="D408" s="13"/>
    </row>
    <row r="409" spans="1:4" ht="13" x14ac:dyDescent="0.15">
      <c r="A409" s="10"/>
      <c r="B409" s="13"/>
      <c r="C409" s="13"/>
      <c r="D409" s="13"/>
    </row>
    <row r="410" spans="1:4" ht="13" x14ac:dyDescent="0.15">
      <c r="A410" s="10"/>
      <c r="B410" s="13"/>
      <c r="C410" s="13"/>
      <c r="D410" s="13"/>
    </row>
    <row r="411" spans="1:4" ht="13" x14ac:dyDescent="0.15">
      <c r="A411" s="10"/>
      <c r="B411" s="13"/>
      <c r="C411" s="13"/>
      <c r="D411" s="13"/>
    </row>
    <row r="412" spans="1:4" ht="13" x14ac:dyDescent="0.15">
      <c r="A412" s="10"/>
      <c r="B412" s="13"/>
      <c r="C412" s="13"/>
      <c r="D412" s="13"/>
    </row>
    <row r="413" spans="1:4" ht="13" x14ac:dyDescent="0.15">
      <c r="A413" s="10"/>
      <c r="B413" s="13"/>
      <c r="C413" s="13"/>
      <c r="D413" s="13"/>
    </row>
    <row r="414" spans="1:4" ht="13" x14ac:dyDescent="0.15">
      <c r="A414" s="10"/>
      <c r="B414" s="13"/>
      <c r="C414" s="13"/>
      <c r="D414" s="13"/>
    </row>
    <row r="415" spans="1:4" ht="13" x14ac:dyDescent="0.15">
      <c r="A415" s="10"/>
      <c r="B415" s="13"/>
      <c r="C415" s="13"/>
      <c r="D415" s="13"/>
    </row>
    <row r="416" spans="1:4" ht="13" x14ac:dyDescent="0.15">
      <c r="A416" s="10"/>
      <c r="B416" s="13"/>
      <c r="C416" s="13"/>
      <c r="D416" s="13"/>
    </row>
    <row r="417" spans="1:4" ht="13" x14ac:dyDescent="0.15">
      <c r="A417" s="10"/>
      <c r="B417" s="13"/>
      <c r="C417" s="13"/>
      <c r="D417" s="13"/>
    </row>
    <row r="418" spans="1:4" ht="13" x14ac:dyDescent="0.15">
      <c r="A418" s="10"/>
      <c r="B418" s="13"/>
      <c r="C418" s="13"/>
      <c r="D418" s="13"/>
    </row>
    <row r="419" spans="1:4" ht="13" x14ac:dyDescent="0.15">
      <c r="A419" s="10"/>
      <c r="B419" s="13"/>
      <c r="C419" s="13"/>
      <c r="D419" s="13"/>
    </row>
    <row r="420" spans="1:4" ht="13" x14ac:dyDescent="0.15">
      <c r="A420" s="10"/>
      <c r="B420" s="13"/>
      <c r="C420" s="13"/>
      <c r="D420" s="13"/>
    </row>
    <row r="421" spans="1:4" ht="13" x14ac:dyDescent="0.15">
      <c r="A421" s="10"/>
      <c r="B421" s="13"/>
      <c r="C421" s="13"/>
      <c r="D421" s="13"/>
    </row>
    <row r="422" spans="1:4" ht="13" x14ac:dyDescent="0.15">
      <c r="A422" s="10"/>
      <c r="B422" s="13"/>
      <c r="C422" s="13"/>
      <c r="D422" s="13"/>
    </row>
    <row r="423" spans="1:4" ht="13" x14ac:dyDescent="0.15">
      <c r="A423" s="10"/>
      <c r="B423" s="13"/>
      <c r="C423" s="13"/>
      <c r="D423" s="13"/>
    </row>
    <row r="424" spans="1:4" ht="13" x14ac:dyDescent="0.15">
      <c r="A424" s="10"/>
      <c r="B424" s="13"/>
      <c r="C424" s="13"/>
      <c r="D424" s="13"/>
    </row>
    <row r="425" spans="1:4" ht="13" x14ac:dyDescent="0.15">
      <c r="A425" s="10"/>
      <c r="B425" s="13"/>
      <c r="C425" s="13"/>
      <c r="D425" s="13"/>
    </row>
    <row r="426" spans="1:4" ht="13" x14ac:dyDescent="0.15">
      <c r="A426" s="10"/>
      <c r="B426" s="13"/>
      <c r="C426" s="13"/>
      <c r="D426" s="13"/>
    </row>
    <row r="427" spans="1:4" ht="13" x14ac:dyDescent="0.15">
      <c r="A427" s="10"/>
      <c r="B427" s="13"/>
      <c r="C427" s="13"/>
      <c r="D427" s="13"/>
    </row>
    <row r="428" spans="1:4" ht="13" x14ac:dyDescent="0.15">
      <c r="A428" s="10"/>
      <c r="B428" s="13"/>
      <c r="C428" s="13"/>
      <c r="D428" s="13"/>
    </row>
    <row r="429" spans="1:4" ht="13" x14ac:dyDescent="0.15">
      <c r="A429" s="10"/>
      <c r="B429" s="13"/>
      <c r="C429" s="13"/>
      <c r="D429" s="13"/>
    </row>
    <row r="430" spans="1:4" ht="13" x14ac:dyDescent="0.15">
      <c r="A430" s="10"/>
      <c r="B430" s="13"/>
      <c r="C430" s="13"/>
      <c r="D430" s="13"/>
    </row>
    <row r="431" spans="1:4" ht="13" x14ac:dyDescent="0.15">
      <c r="A431" s="10"/>
      <c r="B431" s="13"/>
      <c r="C431" s="13"/>
      <c r="D431" s="13"/>
    </row>
    <row r="432" spans="1:4" ht="13" x14ac:dyDescent="0.15">
      <c r="A432" s="10"/>
      <c r="B432" s="13"/>
      <c r="C432" s="13"/>
      <c r="D432" s="13"/>
    </row>
    <row r="433" spans="1:4" ht="13" x14ac:dyDescent="0.15">
      <c r="A433" s="10"/>
      <c r="B433" s="13"/>
      <c r="C433" s="13"/>
      <c r="D433" s="13"/>
    </row>
    <row r="434" spans="1:4" ht="13" x14ac:dyDescent="0.15">
      <c r="A434" s="10"/>
      <c r="B434" s="13"/>
      <c r="C434" s="13"/>
      <c r="D434" s="13"/>
    </row>
    <row r="435" spans="1:4" ht="13" x14ac:dyDescent="0.15">
      <c r="A435" s="10"/>
      <c r="B435" s="13"/>
      <c r="C435" s="13"/>
      <c r="D435" s="13"/>
    </row>
    <row r="436" spans="1:4" ht="13" x14ac:dyDescent="0.15">
      <c r="A436" s="10"/>
      <c r="B436" s="13"/>
      <c r="C436" s="13"/>
      <c r="D436" s="13"/>
    </row>
    <row r="437" spans="1:4" ht="13" x14ac:dyDescent="0.15">
      <c r="A437" s="10"/>
      <c r="B437" s="13"/>
      <c r="C437" s="13"/>
      <c r="D437" s="13"/>
    </row>
    <row r="438" spans="1:4" ht="13" x14ac:dyDescent="0.15">
      <c r="A438" s="10"/>
      <c r="B438" s="13"/>
      <c r="C438" s="13"/>
      <c r="D438" s="13"/>
    </row>
    <row r="439" spans="1:4" ht="13" x14ac:dyDescent="0.15">
      <c r="A439" s="10"/>
      <c r="B439" s="13"/>
      <c r="C439" s="13"/>
      <c r="D439" s="13"/>
    </row>
    <row r="440" spans="1:4" ht="13" x14ac:dyDescent="0.15">
      <c r="A440" s="10"/>
      <c r="B440" s="13"/>
      <c r="C440" s="13"/>
      <c r="D440" s="13"/>
    </row>
    <row r="441" spans="1:4" ht="13" x14ac:dyDescent="0.15">
      <c r="A441" s="10"/>
      <c r="B441" s="13"/>
      <c r="C441" s="13"/>
      <c r="D441" s="13"/>
    </row>
    <row r="442" spans="1:4" ht="13" x14ac:dyDescent="0.15">
      <c r="A442" s="10"/>
      <c r="B442" s="13"/>
      <c r="C442" s="13"/>
      <c r="D442" s="13"/>
    </row>
    <row r="443" spans="1:4" ht="13" x14ac:dyDescent="0.15">
      <c r="A443" s="10"/>
      <c r="B443" s="13"/>
      <c r="C443" s="13"/>
      <c r="D443" s="13"/>
    </row>
    <row r="444" spans="1:4" ht="13" x14ac:dyDescent="0.15">
      <c r="A444" s="10"/>
      <c r="B444" s="13"/>
      <c r="C444" s="13"/>
      <c r="D444" s="13"/>
    </row>
    <row r="445" spans="1:4" ht="13" x14ac:dyDescent="0.15">
      <c r="A445" s="10"/>
      <c r="B445" s="13"/>
      <c r="C445" s="13"/>
      <c r="D445" s="13"/>
    </row>
    <row r="446" spans="1:4" ht="13" x14ac:dyDescent="0.15">
      <c r="A446" s="10"/>
      <c r="B446" s="13"/>
      <c r="C446" s="13"/>
      <c r="D446" s="13"/>
    </row>
    <row r="447" spans="1:4" ht="13" x14ac:dyDescent="0.15">
      <c r="A447" s="10"/>
      <c r="B447" s="13"/>
      <c r="C447" s="13"/>
      <c r="D447" s="13"/>
    </row>
    <row r="448" spans="1:4" ht="13" x14ac:dyDescent="0.15">
      <c r="A448" s="10"/>
      <c r="B448" s="13"/>
      <c r="C448" s="13"/>
      <c r="D448" s="13"/>
    </row>
    <row r="449" spans="1:4" ht="13" x14ac:dyDescent="0.15">
      <c r="A449" s="10"/>
      <c r="B449" s="13"/>
      <c r="C449" s="13"/>
      <c r="D449" s="13"/>
    </row>
    <row r="450" spans="1:4" ht="13" x14ac:dyDescent="0.15">
      <c r="A450" s="10"/>
      <c r="B450" s="13"/>
      <c r="C450" s="13"/>
      <c r="D450" s="13"/>
    </row>
    <row r="451" spans="1:4" ht="13" x14ac:dyDescent="0.15">
      <c r="A451" s="10"/>
      <c r="B451" s="13"/>
      <c r="C451" s="13"/>
      <c r="D451" s="13"/>
    </row>
    <row r="452" spans="1:4" ht="13" x14ac:dyDescent="0.15">
      <c r="A452" s="10"/>
      <c r="B452" s="13"/>
      <c r="C452" s="13"/>
      <c r="D452" s="13"/>
    </row>
    <row r="453" spans="1:4" ht="13" x14ac:dyDescent="0.15">
      <c r="A453" s="10"/>
      <c r="B453" s="13"/>
      <c r="C453" s="13"/>
      <c r="D453" s="13"/>
    </row>
    <row r="454" spans="1:4" ht="13" x14ac:dyDescent="0.15">
      <c r="A454" s="10"/>
      <c r="B454" s="13"/>
      <c r="C454" s="13"/>
      <c r="D454" s="13"/>
    </row>
    <row r="455" spans="1:4" ht="13" x14ac:dyDescent="0.15">
      <c r="A455" s="10"/>
      <c r="B455" s="13"/>
      <c r="C455" s="13"/>
      <c r="D455" s="13"/>
    </row>
    <row r="456" spans="1:4" ht="13" x14ac:dyDescent="0.15">
      <c r="A456" s="10"/>
      <c r="B456" s="13"/>
      <c r="C456" s="13"/>
      <c r="D456" s="13"/>
    </row>
    <row r="457" spans="1:4" ht="13" x14ac:dyDescent="0.15">
      <c r="A457" s="10"/>
      <c r="B457" s="13"/>
      <c r="C457" s="13"/>
      <c r="D457" s="13"/>
    </row>
    <row r="458" spans="1:4" ht="13" x14ac:dyDescent="0.15">
      <c r="A458" s="10"/>
      <c r="B458" s="13"/>
      <c r="C458" s="13"/>
      <c r="D458" s="13"/>
    </row>
    <row r="459" spans="1:4" ht="13" x14ac:dyDescent="0.15">
      <c r="A459" s="10"/>
      <c r="B459" s="13"/>
      <c r="C459" s="13"/>
      <c r="D459" s="13"/>
    </row>
    <row r="460" spans="1:4" ht="13" x14ac:dyDescent="0.15">
      <c r="A460" s="10"/>
      <c r="B460" s="13"/>
      <c r="C460" s="13"/>
      <c r="D460" s="13"/>
    </row>
    <row r="461" spans="1:4" ht="13" x14ac:dyDescent="0.15">
      <c r="A461" s="10"/>
      <c r="B461" s="13"/>
      <c r="C461" s="13"/>
      <c r="D461" s="13"/>
    </row>
    <row r="462" spans="1:4" ht="13" x14ac:dyDescent="0.15">
      <c r="A462" s="10"/>
      <c r="B462" s="13"/>
      <c r="C462" s="13"/>
      <c r="D462" s="13"/>
    </row>
    <row r="463" spans="1:4" ht="13" x14ac:dyDescent="0.15">
      <c r="A463" s="10"/>
      <c r="B463" s="13"/>
      <c r="C463" s="13"/>
      <c r="D463" s="13"/>
    </row>
    <row r="464" spans="1:4" ht="13" x14ac:dyDescent="0.15">
      <c r="A464" s="10"/>
      <c r="B464" s="13"/>
      <c r="C464" s="13"/>
      <c r="D464" s="13"/>
    </row>
    <row r="465" spans="1:4" ht="13" x14ac:dyDescent="0.15">
      <c r="A465" s="10"/>
      <c r="B465" s="13"/>
      <c r="C465" s="13"/>
      <c r="D465" s="13"/>
    </row>
    <row r="466" spans="1:4" ht="13" x14ac:dyDescent="0.15">
      <c r="A466" s="10"/>
      <c r="B466" s="13"/>
      <c r="C466" s="13"/>
      <c r="D466" s="13"/>
    </row>
    <row r="467" spans="1:4" ht="13" x14ac:dyDescent="0.15">
      <c r="A467" s="10"/>
      <c r="B467" s="13"/>
      <c r="C467" s="13"/>
      <c r="D467" s="13"/>
    </row>
    <row r="468" spans="1:4" ht="13" x14ac:dyDescent="0.15">
      <c r="A468" s="10"/>
      <c r="B468" s="13"/>
      <c r="C468" s="13"/>
      <c r="D468" s="13"/>
    </row>
    <row r="469" spans="1:4" ht="13" x14ac:dyDescent="0.15">
      <c r="A469" s="10"/>
      <c r="B469" s="13"/>
      <c r="C469" s="13"/>
      <c r="D469" s="13"/>
    </row>
    <row r="470" spans="1:4" ht="13" x14ac:dyDescent="0.15">
      <c r="A470" s="10"/>
      <c r="B470" s="13"/>
      <c r="C470" s="13"/>
      <c r="D470" s="13"/>
    </row>
    <row r="471" spans="1:4" ht="13" x14ac:dyDescent="0.15">
      <c r="A471" s="10"/>
      <c r="B471" s="13"/>
      <c r="C471" s="13"/>
      <c r="D471" s="13"/>
    </row>
    <row r="472" spans="1:4" ht="13" x14ac:dyDescent="0.15">
      <c r="A472" s="10"/>
      <c r="B472" s="13"/>
      <c r="C472" s="13"/>
      <c r="D472" s="13"/>
    </row>
    <row r="473" spans="1:4" ht="13" x14ac:dyDescent="0.15">
      <c r="A473" s="10"/>
      <c r="B473" s="13"/>
      <c r="C473" s="13"/>
      <c r="D473" s="13"/>
    </row>
    <row r="474" spans="1:4" ht="13" x14ac:dyDescent="0.15">
      <c r="A474" s="10"/>
      <c r="B474" s="13"/>
      <c r="C474" s="13"/>
      <c r="D474" s="13"/>
    </row>
    <row r="475" spans="1:4" ht="13" x14ac:dyDescent="0.15">
      <c r="A475" s="10"/>
      <c r="B475" s="13"/>
      <c r="C475" s="13"/>
      <c r="D475" s="13"/>
    </row>
    <row r="476" spans="1:4" ht="13" x14ac:dyDescent="0.15">
      <c r="A476" s="10"/>
      <c r="B476" s="13"/>
      <c r="C476" s="13"/>
      <c r="D476" s="13"/>
    </row>
    <row r="477" spans="1:4" ht="13" x14ac:dyDescent="0.15">
      <c r="A477" s="10"/>
      <c r="B477" s="13"/>
      <c r="C477" s="13"/>
      <c r="D477" s="13"/>
    </row>
    <row r="478" spans="1:4" ht="13" x14ac:dyDescent="0.15">
      <c r="A478" s="10"/>
      <c r="B478" s="13"/>
      <c r="C478" s="13"/>
      <c r="D478" s="13"/>
    </row>
    <row r="479" spans="1:4" ht="13" x14ac:dyDescent="0.15">
      <c r="A479" s="10"/>
      <c r="B479" s="13"/>
      <c r="C479" s="13"/>
      <c r="D479" s="13"/>
    </row>
    <row r="480" spans="1:4" ht="13" x14ac:dyDescent="0.15">
      <c r="A480" s="10"/>
      <c r="B480" s="13"/>
      <c r="C480" s="13"/>
      <c r="D480" s="13"/>
    </row>
    <row r="481" spans="1:4" ht="13" x14ac:dyDescent="0.15">
      <c r="A481" s="10"/>
      <c r="B481" s="13"/>
      <c r="C481" s="13"/>
      <c r="D481" s="13"/>
    </row>
    <row r="482" spans="1:4" ht="13" x14ac:dyDescent="0.15">
      <c r="A482" s="10"/>
      <c r="B482" s="13"/>
      <c r="C482" s="13"/>
      <c r="D482" s="13"/>
    </row>
    <row r="483" spans="1:4" ht="13" x14ac:dyDescent="0.15">
      <c r="A483" s="10"/>
      <c r="B483" s="13"/>
      <c r="C483" s="13"/>
      <c r="D483" s="13"/>
    </row>
    <row r="484" spans="1:4" ht="13" x14ac:dyDescent="0.15">
      <c r="A484" s="10"/>
      <c r="B484" s="13"/>
      <c r="C484" s="13"/>
      <c r="D484" s="13"/>
    </row>
    <row r="485" spans="1:4" ht="13" x14ac:dyDescent="0.15">
      <c r="A485" s="10"/>
      <c r="B485" s="13"/>
      <c r="C485" s="13"/>
      <c r="D485" s="13"/>
    </row>
    <row r="486" spans="1:4" ht="13" x14ac:dyDescent="0.15">
      <c r="A486" s="10"/>
      <c r="B486" s="13"/>
      <c r="C486" s="13"/>
      <c r="D486" s="13"/>
    </row>
    <row r="487" spans="1:4" ht="13" x14ac:dyDescent="0.15">
      <c r="A487" s="10"/>
      <c r="B487" s="13"/>
      <c r="C487" s="13"/>
      <c r="D487" s="13"/>
    </row>
    <row r="488" spans="1:4" ht="13" x14ac:dyDescent="0.15">
      <c r="A488" s="10"/>
      <c r="B488" s="13"/>
      <c r="C488" s="13"/>
      <c r="D488" s="13"/>
    </row>
    <row r="489" spans="1:4" ht="13" x14ac:dyDescent="0.15">
      <c r="A489" s="10"/>
      <c r="B489" s="13"/>
      <c r="C489" s="13"/>
      <c r="D489" s="13"/>
    </row>
    <row r="490" spans="1:4" ht="13" x14ac:dyDescent="0.15">
      <c r="A490" s="10"/>
      <c r="B490" s="13"/>
      <c r="C490" s="13"/>
      <c r="D490" s="13"/>
    </row>
    <row r="491" spans="1:4" ht="13" x14ac:dyDescent="0.15">
      <c r="A491" s="10"/>
      <c r="B491" s="13"/>
      <c r="C491" s="13"/>
      <c r="D491" s="13"/>
    </row>
    <row r="492" spans="1:4" ht="13" x14ac:dyDescent="0.15">
      <c r="A492" s="10"/>
      <c r="B492" s="13"/>
      <c r="C492" s="13"/>
      <c r="D492" s="13"/>
    </row>
    <row r="493" spans="1:4" ht="13" x14ac:dyDescent="0.15">
      <c r="A493" s="10"/>
      <c r="B493" s="13"/>
      <c r="C493" s="13"/>
      <c r="D493" s="13"/>
    </row>
    <row r="494" spans="1:4" ht="13" x14ac:dyDescent="0.15">
      <c r="A494" s="10"/>
      <c r="B494" s="13"/>
      <c r="C494" s="13"/>
      <c r="D494" s="13"/>
    </row>
    <row r="495" spans="1:4" ht="13" x14ac:dyDescent="0.15">
      <c r="A495" s="10"/>
      <c r="B495" s="13"/>
      <c r="C495" s="13"/>
      <c r="D495" s="13"/>
    </row>
    <row r="496" spans="1:4" ht="13" x14ac:dyDescent="0.15">
      <c r="A496" s="10"/>
      <c r="B496" s="13"/>
      <c r="C496" s="13"/>
      <c r="D496" s="13"/>
    </row>
    <row r="497" spans="1:4" ht="13" x14ac:dyDescent="0.15">
      <c r="A497" s="10"/>
      <c r="B497" s="13"/>
      <c r="C497" s="13"/>
      <c r="D497" s="13"/>
    </row>
    <row r="498" spans="1:4" ht="13" x14ac:dyDescent="0.15">
      <c r="A498" s="10"/>
      <c r="B498" s="13"/>
      <c r="C498" s="13"/>
      <c r="D498" s="13"/>
    </row>
    <row r="499" spans="1:4" ht="13" x14ac:dyDescent="0.15">
      <c r="A499" s="10"/>
      <c r="B499" s="13"/>
      <c r="C499" s="13"/>
      <c r="D499" s="13"/>
    </row>
    <row r="500" spans="1:4" ht="13" x14ac:dyDescent="0.15">
      <c r="A500" s="10"/>
      <c r="B500" s="13"/>
      <c r="C500" s="13"/>
      <c r="D500" s="13"/>
    </row>
    <row r="501" spans="1:4" ht="13" x14ac:dyDescent="0.15">
      <c r="A501" s="10"/>
      <c r="B501" s="13"/>
      <c r="C501" s="13"/>
      <c r="D501" s="13"/>
    </row>
    <row r="502" spans="1:4" ht="13" x14ac:dyDescent="0.15">
      <c r="A502" s="10"/>
      <c r="B502" s="13"/>
      <c r="C502" s="13"/>
      <c r="D502" s="13"/>
    </row>
    <row r="503" spans="1:4" ht="13" x14ac:dyDescent="0.15">
      <c r="A503" s="10"/>
      <c r="B503" s="13"/>
      <c r="C503" s="13"/>
      <c r="D503" s="13"/>
    </row>
    <row r="504" spans="1:4" ht="13" x14ac:dyDescent="0.15">
      <c r="A504" s="10"/>
      <c r="B504" s="13"/>
      <c r="C504" s="13"/>
      <c r="D504" s="13"/>
    </row>
    <row r="505" spans="1:4" ht="13" x14ac:dyDescent="0.15">
      <c r="A505" s="10"/>
      <c r="B505" s="13"/>
      <c r="C505" s="13"/>
      <c r="D505" s="13"/>
    </row>
    <row r="506" spans="1:4" ht="13" x14ac:dyDescent="0.15">
      <c r="A506" s="10"/>
      <c r="B506" s="13"/>
      <c r="C506" s="13"/>
      <c r="D506" s="13"/>
    </row>
    <row r="507" spans="1:4" ht="13" x14ac:dyDescent="0.15">
      <c r="A507" s="10"/>
      <c r="B507" s="13"/>
      <c r="C507" s="13"/>
      <c r="D507" s="13"/>
    </row>
    <row r="508" spans="1:4" ht="13" x14ac:dyDescent="0.15">
      <c r="A508" s="10"/>
      <c r="B508" s="13"/>
      <c r="C508" s="13"/>
      <c r="D508" s="13"/>
    </row>
    <row r="509" spans="1:4" ht="13" x14ac:dyDescent="0.15">
      <c r="A509" s="10"/>
      <c r="B509" s="13"/>
      <c r="C509" s="13"/>
      <c r="D509" s="13"/>
    </row>
    <row r="510" spans="1:4" ht="13" x14ac:dyDescent="0.15">
      <c r="A510" s="10"/>
      <c r="B510" s="13"/>
      <c r="C510" s="13"/>
      <c r="D510" s="13"/>
    </row>
    <row r="511" spans="1:4" ht="13" x14ac:dyDescent="0.15">
      <c r="A511" s="10"/>
      <c r="B511" s="13"/>
      <c r="C511" s="13"/>
      <c r="D511" s="13"/>
    </row>
    <row r="512" spans="1:4" ht="13" x14ac:dyDescent="0.15">
      <c r="A512" s="10"/>
      <c r="B512" s="13"/>
      <c r="C512" s="13"/>
      <c r="D512" s="13"/>
    </row>
    <row r="513" spans="1:4" ht="13" x14ac:dyDescent="0.15">
      <c r="A513" s="10"/>
      <c r="B513" s="13"/>
      <c r="C513" s="13"/>
      <c r="D513" s="13"/>
    </row>
    <row r="514" spans="1:4" ht="13" x14ac:dyDescent="0.15">
      <c r="A514" s="10"/>
      <c r="B514" s="13"/>
      <c r="C514" s="13"/>
      <c r="D514" s="13"/>
    </row>
    <row r="515" spans="1:4" ht="13" x14ac:dyDescent="0.15">
      <c r="A515" s="10"/>
      <c r="B515" s="13"/>
      <c r="C515" s="13"/>
      <c r="D515" s="13"/>
    </row>
    <row r="516" spans="1:4" ht="13" x14ac:dyDescent="0.15">
      <c r="A516" s="10"/>
      <c r="B516" s="13"/>
      <c r="C516" s="13"/>
      <c r="D516" s="13"/>
    </row>
    <row r="517" spans="1:4" ht="13" x14ac:dyDescent="0.15">
      <c r="A517" s="10"/>
      <c r="B517" s="13"/>
      <c r="C517" s="13"/>
      <c r="D517" s="13"/>
    </row>
    <row r="518" spans="1:4" ht="13" x14ac:dyDescent="0.15">
      <c r="A518" s="10"/>
      <c r="B518" s="13"/>
      <c r="C518" s="13"/>
      <c r="D518" s="13"/>
    </row>
    <row r="519" spans="1:4" ht="13" x14ac:dyDescent="0.15">
      <c r="A519" s="10"/>
      <c r="B519" s="13"/>
      <c r="C519" s="13"/>
      <c r="D519" s="13"/>
    </row>
    <row r="520" spans="1:4" ht="13" x14ac:dyDescent="0.15">
      <c r="A520" s="10"/>
      <c r="B520" s="13"/>
      <c r="C520" s="13"/>
      <c r="D520" s="13"/>
    </row>
    <row r="521" spans="1:4" ht="13" x14ac:dyDescent="0.15">
      <c r="A521" s="10"/>
      <c r="B521" s="13"/>
      <c r="C521" s="13"/>
      <c r="D521" s="13"/>
    </row>
    <row r="522" spans="1:4" ht="13" x14ac:dyDescent="0.15">
      <c r="A522" s="10"/>
      <c r="B522" s="13"/>
      <c r="C522" s="13"/>
      <c r="D522" s="13"/>
    </row>
    <row r="523" spans="1:4" ht="13" x14ac:dyDescent="0.15">
      <c r="A523" s="10"/>
      <c r="B523" s="13"/>
      <c r="C523" s="13"/>
      <c r="D523" s="13"/>
    </row>
    <row r="524" spans="1:4" ht="13" x14ac:dyDescent="0.15">
      <c r="A524" s="10"/>
      <c r="B524" s="13"/>
      <c r="C524" s="13"/>
      <c r="D524" s="13"/>
    </row>
    <row r="525" spans="1:4" ht="13" x14ac:dyDescent="0.15">
      <c r="A525" s="10"/>
      <c r="B525" s="13"/>
      <c r="C525" s="13"/>
      <c r="D525" s="13"/>
    </row>
    <row r="526" spans="1:4" ht="13" x14ac:dyDescent="0.15">
      <c r="A526" s="10"/>
      <c r="B526" s="13"/>
      <c r="C526" s="13"/>
      <c r="D526" s="13"/>
    </row>
    <row r="527" spans="1:4" ht="13" x14ac:dyDescent="0.15">
      <c r="A527" s="10"/>
      <c r="B527" s="13"/>
      <c r="C527" s="13"/>
      <c r="D527" s="13"/>
    </row>
    <row r="528" spans="1:4" ht="13" x14ac:dyDescent="0.15">
      <c r="A528" s="10"/>
      <c r="B528" s="13"/>
      <c r="C528" s="13"/>
      <c r="D528" s="13"/>
    </row>
    <row r="529" spans="1:4" ht="13" x14ac:dyDescent="0.15">
      <c r="A529" s="10"/>
      <c r="B529" s="13"/>
      <c r="C529" s="13"/>
      <c r="D529" s="13"/>
    </row>
    <row r="530" spans="1:4" ht="13" x14ac:dyDescent="0.15">
      <c r="A530" s="10"/>
      <c r="B530" s="13"/>
      <c r="C530" s="13"/>
      <c r="D530" s="13"/>
    </row>
    <row r="531" spans="1:4" ht="13" x14ac:dyDescent="0.15">
      <c r="A531" s="10"/>
      <c r="B531" s="13"/>
      <c r="C531" s="13"/>
      <c r="D531" s="13"/>
    </row>
    <row r="532" spans="1:4" ht="13" x14ac:dyDescent="0.15">
      <c r="A532" s="10"/>
      <c r="B532" s="13"/>
      <c r="C532" s="13"/>
      <c r="D532" s="13"/>
    </row>
    <row r="533" spans="1:4" ht="13" x14ac:dyDescent="0.15">
      <c r="A533" s="10"/>
      <c r="B533" s="13"/>
      <c r="C533" s="13"/>
      <c r="D533" s="13"/>
    </row>
    <row r="534" spans="1:4" ht="13" x14ac:dyDescent="0.15">
      <c r="A534" s="10"/>
      <c r="B534" s="13"/>
      <c r="C534" s="13"/>
      <c r="D534" s="13"/>
    </row>
    <row r="535" spans="1:4" ht="13" x14ac:dyDescent="0.15">
      <c r="A535" s="10"/>
      <c r="B535" s="13"/>
      <c r="C535" s="13"/>
      <c r="D535" s="13"/>
    </row>
    <row r="536" spans="1:4" ht="13" x14ac:dyDescent="0.15">
      <c r="A536" s="10"/>
      <c r="B536" s="13"/>
      <c r="C536" s="13"/>
      <c r="D536" s="13"/>
    </row>
    <row r="537" spans="1:4" ht="13" x14ac:dyDescent="0.15">
      <c r="A537" s="10"/>
      <c r="B537" s="13"/>
      <c r="C537" s="13"/>
      <c r="D537" s="13"/>
    </row>
    <row r="538" spans="1:4" ht="13" x14ac:dyDescent="0.15">
      <c r="A538" s="10"/>
      <c r="B538" s="13"/>
      <c r="C538" s="13"/>
      <c r="D538" s="13"/>
    </row>
    <row r="539" spans="1:4" ht="13" x14ac:dyDescent="0.15">
      <c r="A539" s="10"/>
      <c r="B539" s="13"/>
      <c r="C539" s="13"/>
      <c r="D539" s="13"/>
    </row>
    <row r="540" spans="1:4" ht="13" x14ac:dyDescent="0.15">
      <c r="A540" s="10"/>
      <c r="B540" s="13"/>
      <c r="C540" s="13"/>
      <c r="D540" s="13"/>
    </row>
    <row r="541" spans="1:4" ht="13" x14ac:dyDescent="0.15">
      <c r="A541" s="10"/>
      <c r="B541" s="13"/>
      <c r="C541" s="13"/>
      <c r="D541" s="13"/>
    </row>
    <row r="542" spans="1:4" ht="13" x14ac:dyDescent="0.15">
      <c r="A542" s="10"/>
      <c r="B542" s="13"/>
      <c r="C542" s="13"/>
      <c r="D542" s="13"/>
    </row>
    <row r="543" spans="1:4" ht="13" x14ac:dyDescent="0.15">
      <c r="A543" s="10"/>
      <c r="B543" s="13"/>
      <c r="C543" s="13"/>
      <c r="D543" s="13"/>
    </row>
    <row r="544" spans="1:4" ht="13" x14ac:dyDescent="0.15">
      <c r="A544" s="10"/>
      <c r="B544" s="13"/>
      <c r="C544" s="13"/>
      <c r="D544" s="13"/>
    </row>
    <row r="545" spans="1:4" ht="13" x14ac:dyDescent="0.15">
      <c r="A545" s="10"/>
      <c r="B545" s="13"/>
      <c r="C545" s="13"/>
      <c r="D545" s="13"/>
    </row>
    <row r="546" spans="1:4" ht="13" x14ac:dyDescent="0.15">
      <c r="A546" s="10"/>
      <c r="B546" s="13"/>
      <c r="C546" s="13"/>
      <c r="D546" s="13"/>
    </row>
    <row r="547" spans="1:4" ht="13" x14ac:dyDescent="0.15">
      <c r="A547" s="10"/>
      <c r="B547" s="13"/>
      <c r="C547" s="13"/>
      <c r="D547" s="13"/>
    </row>
    <row r="548" spans="1:4" ht="13" x14ac:dyDescent="0.15">
      <c r="A548" s="10"/>
      <c r="B548" s="13"/>
      <c r="C548" s="13"/>
      <c r="D548" s="13"/>
    </row>
    <row r="549" spans="1:4" ht="13" x14ac:dyDescent="0.15">
      <c r="A549" s="10"/>
      <c r="B549" s="13"/>
      <c r="C549" s="13"/>
      <c r="D549" s="13"/>
    </row>
    <row r="550" spans="1:4" ht="13" x14ac:dyDescent="0.15">
      <c r="A550" s="10"/>
      <c r="B550" s="13"/>
      <c r="C550" s="13"/>
      <c r="D550" s="13"/>
    </row>
    <row r="551" spans="1:4" ht="13" x14ac:dyDescent="0.15">
      <c r="A551" s="10"/>
      <c r="B551" s="13"/>
      <c r="C551" s="13"/>
      <c r="D551" s="13"/>
    </row>
    <row r="552" spans="1:4" ht="13" x14ac:dyDescent="0.15">
      <c r="A552" s="10"/>
      <c r="B552" s="13"/>
      <c r="C552" s="13"/>
      <c r="D552" s="13"/>
    </row>
    <row r="553" spans="1:4" ht="13" x14ac:dyDescent="0.15">
      <c r="A553" s="10"/>
      <c r="B553" s="13"/>
      <c r="C553" s="13"/>
      <c r="D553" s="13"/>
    </row>
    <row r="554" spans="1:4" ht="13" x14ac:dyDescent="0.15">
      <c r="A554" s="10"/>
      <c r="B554" s="13"/>
      <c r="C554" s="13"/>
      <c r="D554" s="13"/>
    </row>
    <row r="555" spans="1:4" ht="13" x14ac:dyDescent="0.15">
      <c r="A555" s="10"/>
      <c r="B555" s="13"/>
      <c r="C555" s="13"/>
      <c r="D555" s="13"/>
    </row>
    <row r="556" spans="1:4" ht="13" x14ac:dyDescent="0.15">
      <c r="A556" s="10"/>
      <c r="B556" s="13"/>
      <c r="C556" s="13"/>
      <c r="D556" s="13"/>
    </row>
    <row r="557" spans="1:4" ht="13" x14ac:dyDescent="0.15">
      <c r="A557" s="10"/>
      <c r="B557" s="13"/>
      <c r="C557" s="13"/>
      <c r="D557" s="13"/>
    </row>
    <row r="558" spans="1:4" ht="13" x14ac:dyDescent="0.15">
      <c r="A558" s="10"/>
      <c r="B558" s="13"/>
      <c r="C558" s="13"/>
      <c r="D558" s="13"/>
    </row>
    <row r="559" spans="1:4" ht="13" x14ac:dyDescent="0.15">
      <c r="A559" s="10"/>
      <c r="B559" s="13"/>
      <c r="C559" s="13"/>
      <c r="D559" s="13"/>
    </row>
    <row r="560" spans="1:4" ht="13" x14ac:dyDescent="0.15">
      <c r="A560" s="10"/>
      <c r="B560" s="13"/>
      <c r="C560" s="13"/>
      <c r="D560" s="13"/>
    </row>
    <row r="561" spans="1:4" ht="13" x14ac:dyDescent="0.15">
      <c r="A561" s="10"/>
      <c r="B561" s="13"/>
      <c r="C561" s="13"/>
      <c r="D561" s="13"/>
    </row>
    <row r="562" spans="1:4" ht="13" x14ac:dyDescent="0.15">
      <c r="A562" s="10"/>
      <c r="B562" s="13"/>
      <c r="C562" s="13"/>
      <c r="D562" s="13"/>
    </row>
    <row r="563" spans="1:4" ht="13" x14ac:dyDescent="0.15">
      <c r="A563" s="10"/>
      <c r="B563" s="13"/>
      <c r="C563" s="13"/>
      <c r="D563" s="13"/>
    </row>
    <row r="564" spans="1:4" ht="13" x14ac:dyDescent="0.15">
      <c r="A564" s="10"/>
      <c r="B564" s="13"/>
      <c r="C564" s="13"/>
      <c r="D564" s="13"/>
    </row>
    <row r="565" spans="1:4" ht="13" x14ac:dyDescent="0.15">
      <c r="A565" s="10"/>
      <c r="B565" s="13"/>
      <c r="C565" s="13"/>
      <c r="D565" s="13"/>
    </row>
    <row r="566" spans="1:4" ht="13" x14ac:dyDescent="0.15">
      <c r="A566" s="10"/>
      <c r="B566" s="13"/>
      <c r="C566" s="13"/>
      <c r="D566" s="13"/>
    </row>
    <row r="567" spans="1:4" ht="13" x14ac:dyDescent="0.15">
      <c r="A567" s="10"/>
      <c r="B567" s="13"/>
      <c r="C567" s="13"/>
      <c r="D567" s="13"/>
    </row>
    <row r="568" spans="1:4" ht="13" x14ac:dyDescent="0.15">
      <c r="A568" s="10"/>
      <c r="B568" s="13"/>
      <c r="C568" s="13"/>
      <c r="D568" s="13"/>
    </row>
    <row r="569" spans="1:4" ht="13" x14ac:dyDescent="0.15">
      <c r="A569" s="10"/>
      <c r="B569" s="13"/>
      <c r="C569" s="13"/>
      <c r="D569" s="13"/>
    </row>
    <row r="570" spans="1:4" ht="13" x14ac:dyDescent="0.15">
      <c r="A570" s="10"/>
      <c r="B570" s="13"/>
      <c r="C570" s="13"/>
      <c r="D570" s="13"/>
    </row>
    <row r="571" spans="1:4" ht="13" x14ac:dyDescent="0.15">
      <c r="A571" s="10"/>
      <c r="B571" s="13"/>
      <c r="C571" s="13"/>
      <c r="D571" s="13"/>
    </row>
    <row r="572" spans="1:4" ht="13" x14ac:dyDescent="0.15">
      <c r="A572" s="10"/>
      <c r="B572" s="13"/>
      <c r="C572" s="13"/>
      <c r="D572" s="13"/>
    </row>
    <row r="573" spans="1:4" ht="13" x14ac:dyDescent="0.15">
      <c r="A573" s="10"/>
      <c r="B573" s="13"/>
      <c r="C573" s="13"/>
      <c r="D573" s="13"/>
    </row>
    <row r="574" spans="1:4" ht="13" x14ac:dyDescent="0.15">
      <c r="A574" s="10"/>
      <c r="B574" s="13"/>
      <c r="C574" s="13"/>
      <c r="D574" s="13"/>
    </row>
    <row r="575" spans="1:4" ht="13" x14ac:dyDescent="0.15">
      <c r="A575" s="10"/>
      <c r="B575" s="13"/>
      <c r="C575" s="13"/>
      <c r="D575" s="13"/>
    </row>
    <row r="576" spans="1:4" ht="13" x14ac:dyDescent="0.15">
      <c r="A576" s="10"/>
      <c r="B576" s="13"/>
      <c r="C576" s="13"/>
      <c r="D576" s="13"/>
    </row>
    <row r="577" spans="1:4" ht="13" x14ac:dyDescent="0.15">
      <c r="A577" s="10"/>
      <c r="B577" s="13"/>
      <c r="C577" s="13"/>
      <c r="D577" s="13"/>
    </row>
    <row r="578" spans="1:4" ht="13" x14ac:dyDescent="0.15">
      <c r="A578" s="10"/>
      <c r="B578" s="13"/>
      <c r="C578" s="13"/>
      <c r="D578" s="13"/>
    </row>
    <row r="579" spans="1:4" ht="13" x14ac:dyDescent="0.15">
      <c r="A579" s="10"/>
      <c r="B579" s="13"/>
      <c r="C579" s="13"/>
      <c r="D579" s="13"/>
    </row>
    <row r="580" spans="1:4" ht="13" x14ac:dyDescent="0.15">
      <c r="A580" s="10"/>
      <c r="B580" s="13"/>
      <c r="C580" s="13"/>
      <c r="D580" s="13"/>
    </row>
    <row r="581" spans="1:4" ht="13" x14ac:dyDescent="0.15">
      <c r="A581" s="10"/>
      <c r="B581" s="13"/>
      <c r="C581" s="13"/>
      <c r="D581" s="13"/>
    </row>
    <row r="582" spans="1:4" ht="13" x14ac:dyDescent="0.15">
      <c r="A582" s="10"/>
      <c r="B582" s="13"/>
      <c r="C582" s="13"/>
      <c r="D582" s="13"/>
    </row>
    <row r="583" spans="1:4" ht="13" x14ac:dyDescent="0.15">
      <c r="A583" s="10"/>
      <c r="B583" s="13"/>
      <c r="C583" s="13"/>
      <c r="D583" s="13"/>
    </row>
    <row r="584" spans="1:4" ht="13" x14ac:dyDescent="0.15">
      <c r="A584" s="10"/>
      <c r="B584" s="13"/>
      <c r="C584" s="13"/>
      <c r="D584" s="13"/>
    </row>
    <row r="585" spans="1:4" ht="13" x14ac:dyDescent="0.15">
      <c r="A585" s="10"/>
      <c r="B585" s="13"/>
      <c r="C585" s="13"/>
      <c r="D585" s="13"/>
    </row>
    <row r="586" spans="1:4" ht="13" x14ac:dyDescent="0.15">
      <c r="A586" s="10"/>
      <c r="B586" s="13"/>
      <c r="C586" s="13"/>
      <c r="D586" s="13"/>
    </row>
    <row r="587" spans="1:4" ht="13" x14ac:dyDescent="0.15">
      <c r="A587" s="10"/>
      <c r="B587" s="13"/>
      <c r="C587" s="13"/>
      <c r="D587" s="13"/>
    </row>
    <row r="588" spans="1:4" ht="13" x14ac:dyDescent="0.15">
      <c r="A588" s="10"/>
      <c r="B588" s="13"/>
      <c r="C588" s="13"/>
      <c r="D588" s="13"/>
    </row>
    <row r="589" spans="1:4" ht="13" x14ac:dyDescent="0.15">
      <c r="A589" s="10"/>
      <c r="B589" s="13"/>
      <c r="C589" s="13"/>
      <c r="D589" s="13"/>
    </row>
    <row r="590" spans="1:4" ht="13" x14ac:dyDescent="0.15">
      <c r="A590" s="10"/>
      <c r="B590" s="13"/>
      <c r="C590" s="13"/>
      <c r="D590" s="13"/>
    </row>
    <row r="591" spans="1:4" ht="13" x14ac:dyDescent="0.15">
      <c r="A591" s="10"/>
      <c r="B591" s="13"/>
      <c r="C591" s="13"/>
      <c r="D591" s="13"/>
    </row>
    <row r="592" spans="1:4" ht="13" x14ac:dyDescent="0.15">
      <c r="A592" s="10"/>
      <c r="B592" s="13"/>
      <c r="C592" s="13"/>
      <c r="D592" s="13"/>
    </row>
    <row r="593" spans="1:4" ht="13" x14ac:dyDescent="0.15">
      <c r="A593" s="10"/>
      <c r="B593" s="13"/>
      <c r="C593" s="13"/>
      <c r="D593" s="13"/>
    </row>
    <row r="594" spans="1:4" ht="13" x14ac:dyDescent="0.15">
      <c r="A594" s="10"/>
      <c r="B594" s="13"/>
      <c r="C594" s="13"/>
      <c r="D594" s="13"/>
    </row>
    <row r="595" spans="1:4" ht="13" x14ac:dyDescent="0.15">
      <c r="A595" s="10"/>
      <c r="B595" s="13"/>
      <c r="C595" s="13"/>
      <c r="D595" s="13"/>
    </row>
    <row r="596" spans="1:4" ht="13" x14ac:dyDescent="0.15">
      <c r="A596" s="10"/>
      <c r="B596" s="13"/>
      <c r="C596" s="13"/>
      <c r="D596" s="13"/>
    </row>
    <row r="597" spans="1:4" ht="13" x14ac:dyDescent="0.15">
      <c r="A597" s="10"/>
      <c r="B597" s="13"/>
      <c r="C597" s="13"/>
      <c r="D597" s="13"/>
    </row>
    <row r="598" spans="1:4" ht="13" x14ac:dyDescent="0.15">
      <c r="A598" s="10"/>
      <c r="B598" s="13"/>
      <c r="C598" s="13"/>
      <c r="D598" s="13"/>
    </row>
    <row r="599" spans="1:4" ht="13" x14ac:dyDescent="0.15">
      <c r="A599" s="10"/>
      <c r="B599" s="13"/>
      <c r="C599" s="13"/>
      <c r="D599" s="13"/>
    </row>
    <row r="600" spans="1:4" ht="13" x14ac:dyDescent="0.15">
      <c r="A600" s="10"/>
      <c r="B600" s="13"/>
      <c r="C600" s="13"/>
      <c r="D600" s="13"/>
    </row>
    <row r="601" spans="1:4" ht="13" x14ac:dyDescent="0.15">
      <c r="A601" s="10"/>
      <c r="B601" s="13"/>
      <c r="C601" s="13"/>
      <c r="D601" s="13"/>
    </row>
    <row r="602" spans="1:4" ht="13" x14ac:dyDescent="0.15">
      <c r="A602" s="10"/>
      <c r="B602" s="13"/>
      <c r="C602" s="13"/>
      <c r="D602" s="13"/>
    </row>
    <row r="603" spans="1:4" ht="13" x14ac:dyDescent="0.15">
      <c r="A603" s="10"/>
      <c r="B603" s="13"/>
      <c r="C603" s="13"/>
      <c r="D603" s="13"/>
    </row>
    <row r="604" spans="1:4" ht="13" x14ac:dyDescent="0.15">
      <c r="A604" s="10"/>
      <c r="B604" s="13"/>
      <c r="C604" s="13"/>
      <c r="D604" s="13"/>
    </row>
    <row r="605" spans="1:4" ht="13" x14ac:dyDescent="0.15">
      <c r="A605" s="10"/>
      <c r="B605" s="13"/>
      <c r="C605" s="13"/>
      <c r="D605" s="13"/>
    </row>
    <row r="606" spans="1:4" ht="13" x14ac:dyDescent="0.15">
      <c r="A606" s="10"/>
      <c r="B606" s="13"/>
      <c r="C606" s="13"/>
      <c r="D606" s="13"/>
    </row>
    <row r="607" spans="1:4" ht="13" x14ac:dyDescent="0.15">
      <c r="A607" s="10"/>
      <c r="B607" s="13"/>
      <c r="C607" s="13"/>
      <c r="D607" s="13"/>
    </row>
    <row r="608" spans="1:4" ht="13" x14ac:dyDescent="0.15">
      <c r="A608" s="10"/>
      <c r="B608" s="13"/>
      <c r="C608" s="13"/>
      <c r="D608" s="13"/>
    </row>
    <row r="609" spans="1:4" ht="13" x14ac:dyDescent="0.15">
      <c r="A609" s="10"/>
      <c r="B609" s="13"/>
      <c r="C609" s="13"/>
      <c r="D609" s="13"/>
    </row>
    <row r="610" spans="1:4" ht="13" x14ac:dyDescent="0.15">
      <c r="A610" s="10"/>
      <c r="B610" s="13"/>
      <c r="C610" s="13"/>
      <c r="D610" s="13"/>
    </row>
    <row r="611" spans="1:4" ht="13" x14ac:dyDescent="0.15">
      <c r="A611" s="10"/>
      <c r="B611" s="13"/>
      <c r="C611" s="13"/>
      <c r="D611" s="13"/>
    </row>
    <row r="612" spans="1:4" ht="13" x14ac:dyDescent="0.15">
      <c r="A612" s="10"/>
      <c r="B612" s="13"/>
      <c r="C612" s="13"/>
      <c r="D612" s="13"/>
    </row>
    <row r="613" spans="1:4" ht="13" x14ac:dyDescent="0.15">
      <c r="A613" s="10"/>
      <c r="B613" s="13"/>
      <c r="C613" s="13"/>
      <c r="D613" s="13"/>
    </row>
    <row r="614" spans="1:4" ht="13" x14ac:dyDescent="0.15">
      <c r="A614" s="10"/>
      <c r="B614" s="13"/>
      <c r="C614" s="13"/>
      <c r="D614" s="13"/>
    </row>
    <row r="615" spans="1:4" ht="13" x14ac:dyDescent="0.15">
      <c r="A615" s="10"/>
      <c r="B615" s="13"/>
      <c r="C615" s="13"/>
      <c r="D615" s="13"/>
    </row>
    <row r="616" spans="1:4" ht="13" x14ac:dyDescent="0.15">
      <c r="A616" s="10"/>
      <c r="B616" s="13"/>
      <c r="C616" s="13"/>
      <c r="D616" s="13"/>
    </row>
    <row r="617" spans="1:4" ht="13" x14ac:dyDescent="0.15">
      <c r="A617" s="10"/>
      <c r="B617" s="13"/>
      <c r="C617" s="13"/>
      <c r="D617" s="13"/>
    </row>
    <row r="618" spans="1:4" ht="13" x14ac:dyDescent="0.15">
      <c r="A618" s="10"/>
      <c r="B618" s="13"/>
      <c r="C618" s="13"/>
      <c r="D618" s="13"/>
    </row>
    <row r="619" spans="1:4" ht="13" x14ac:dyDescent="0.15">
      <c r="A619" s="10"/>
      <c r="B619" s="13"/>
      <c r="C619" s="13"/>
      <c r="D619" s="13"/>
    </row>
    <row r="620" spans="1:4" ht="13" x14ac:dyDescent="0.15">
      <c r="A620" s="10"/>
      <c r="B620" s="13"/>
      <c r="C620" s="13"/>
      <c r="D620" s="13"/>
    </row>
    <row r="621" spans="1:4" ht="13" x14ac:dyDescent="0.15">
      <c r="A621" s="10"/>
      <c r="B621" s="13"/>
      <c r="C621" s="13"/>
      <c r="D621" s="13"/>
    </row>
    <row r="622" spans="1:4" ht="13" x14ac:dyDescent="0.15">
      <c r="A622" s="10"/>
      <c r="B622" s="13"/>
      <c r="C622" s="13"/>
      <c r="D622" s="13"/>
    </row>
    <row r="623" spans="1:4" ht="13" x14ac:dyDescent="0.15">
      <c r="A623" s="10"/>
      <c r="B623" s="13"/>
      <c r="C623" s="13"/>
      <c r="D623" s="13"/>
    </row>
    <row r="624" spans="1:4" ht="13" x14ac:dyDescent="0.15">
      <c r="A624" s="10"/>
      <c r="B624" s="13"/>
      <c r="C624" s="13"/>
      <c r="D624" s="13"/>
    </row>
    <row r="625" spans="1:4" ht="13" x14ac:dyDescent="0.15">
      <c r="A625" s="10"/>
      <c r="B625" s="13"/>
      <c r="C625" s="13"/>
      <c r="D625" s="13"/>
    </row>
    <row r="626" spans="1:4" ht="13" x14ac:dyDescent="0.15">
      <c r="A626" s="10"/>
      <c r="B626" s="13"/>
      <c r="C626" s="13"/>
      <c r="D626" s="13"/>
    </row>
    <row r="627" spans="1:4" ht="13" x14ac:dyDescent="0.15">
      <c r="A627" s="10"/>
      <c r="B627" s="13"/>
      <c r="C627" s="13"/>
      <c r="D627" s="13"/>
    </row>
    <row r="628" spans="1:4" ht="13" x14ac:dyDescent="0.15">
      <c r="A628" s="10"/>
      <c r="B628" s="13"/>
      <c r="C628" s="13"/>
      <c r="D628" s="13"/>
    </row>
    <row r="629" spans="1:4" ht="13" x14ac:dyDescent="0.15">
      <c r="A629" s="10"/>
      <c r="B629" s="13"/>
      <c r="C629" s="13"/>
      <c r="D629" s="13"/>
    </row>
    <row r="630" spans="1:4" ht="13" x14ac:dyDescent="0.15">
      <c r="A630" s="10"/>
      <c r="B630" s="13"/>
      <c r="C630" s="13"/>
      <c r="D630" s="13"/>
    </row>
    <row r="631" spans="1:4" ht="13" x14ac:dyDescent="0.15">
      <c r="A631" s="10"/>
      <c r="B631" s="13"/>
      <c r="C631" s="13"/>
      <c r="D631" s="13"/>
    </row>
    <row r="632" spans="1:4" ht="13" x14ac:dyDescent="0.15">
      <c r="A632" s="10"/>
      <c r="B632" s="13"/>
      <c r="C632" s="13"/>
      <c r="D632" s="13"/>
    </row>
    <row r="633" spans="1:4" ht="13" x14ac:dyDescent="0.15">
      <c r="A633" s="10"/>
      <c r="B633" s="13"/>
      <c r="C633" s="13"/>
      <c r="D633" s="13"/>
    </row>
    <row r="634" spans="1:4" ht="13" x14ac:dyDescent="0.15">
      <c r="A634" s="10"/>
      <c r="B634" s="13"/>
      <c r="C634" s="13"/>
      <c r="D634" s="13"/>
    </row>
    <row r="635" spans="1:4" ht="13" x14ac:dyDescent="0.15">
      <c r="A635" s="10"/>
      <c r="B635" s="13"/>
      <c r="C635" s="13"/>
      <c r="D635" s="13"/>
    </row>
    <row r="636" spans="1:4" ht="13" x14ac:dyDescent="0.15">
      <c r="A636" s="10"/>
      <c r="B636" s="13"/>
      <c r="C636" s="13"/>
      <c r="D636" s="13"/>
    </row>
    <row r="637" spans="1:4" ht="13" x14ac:dyDescent="0.15">
      <c r="A637" s="10"/>
      <c r="B637" s="13"/>
      <c r="C637" s="13"/>
      <c r="D637" s="13"/>
    </row>
    <row r="638" spans="1:4" ht="13" x14ac:dyDescent="0.15">
      <c r="A638" s="10"/>
      <c r="B638" s="13"/>
      <c r="C638" s="13"/>
      <c r="D638" s="13"/>
    </row>
    <row r="639" spans="1:4" ht="13" x14ac:dyDescent="0.15">
      <c r="A639" s="10"/>
      <c r="B639" s="13"/>
      <c r="C639" s="13"/>
      <c r="D639" s="13"/>
    </row>
    <row r="640" spans="1:4" ht="13" x14ac:dyDescent="0.15">
      <c r="A640" s="10"/>
      <c r="B640" s="13"/>
      <c r="C640" s="13"/>
      <c r="D640" s="13"/>
    </row>
    <row r="641" spans="1:4" ht="13" x14ac:dyDescent="0.15">
      <c r="A641" s="10"/>
      <c r="B641" s="13"/>
      <c r="C641" s="13"/>
      <c r="D641" s="13"/>
    </row>
    <row r="642" spans="1:4" ht="13" x14ac:dyDescent="0.15">
      <c r="A642" s="10"/>
      <c r="B642" s="13"/>
      <c r="C642" s="13"/>
      <c r="D642" s="13"/>
    </row>
    <row r="643" spans="1:4" ht="13" x14ac:dyDescent="0.15">
      <c r="A643" s="10"/>
      <c r="B643" s="13"/>
      <c r="C643" s="13"/>
      <c r="D643" s="13"/>
    </row>
    <row r="644" spans="1:4" ht="13" x14ac:dyDescent="0.15">
      <c r="A644" s="10"/>
      <c r="B644" s="13"/>
      <c r="C644" s="13"/>
      <c r="D644" s="13"/>
    </row>
    <row r="645" spans="1:4" ht="13" x14ac:dyDescent="0.15">
      <c r="A645" s="10"/>
      <c r="B645" s="13"/>
      <c r="C645" s="13"/>
      <c r="D645" s="13"/>
    </row>
    <row r="646" spans="1:4" ht="13" x14ac:dyDescent="0.15">
      <c r="A646" s="10"/>
      <c r="B646" s="13"/>
      <c r="C646" s="13"/>
      <c r="D646" s="13"/>
    </row>
    <row r="647" spans="1:4" ht="13" x14ac:dyDescent="0.15">
      <c r="A647" s="10"/>
      <c r="B647" s="13"/>
      <c r="C647" s="13"/>
      <c r="D647" s="13"/>
    </row>
    <row r="648" spans="1:4" ht="13" x14ac:dyDescent="0.15">
      <c r="A648" s="10"/>
      <c r="B648" s="13"/>
      <c r="C648" s="13"/>
      <c r="D648" s="13"/>
    </row>
    <row r="649" spans="1:4" ht="13" x14ac:dyDescent="0.15">
      <c r="A649" s="10"/>
      <c r="B649" s="13"/>
      <c r="C649" s="13"/>
      <c r="D649" s="13"/>
    </row>
    <row r="650" spans="1:4" ht="13" x14ac:dyDescent="0.15">
      <c r="A650" s="10"/>
      <c r="B650" s="13"/>
      <c r="C650" s="13"/>
      <c r="D650" s="13"/>
    </row>
    <row r="651" spans="1:4" ht="13" x14ac:dyDescent="0.15">
      <c r="A651" s="10"/>
      <c r="B651" s="13"/>
      <c r="C651" s="13"/>
      <c r="D651" s="13"/>
    </row>
    <row r="652" spans="1:4" ht="13" x14ac:dyDescent="0.15">
      <c r="A652" s="10"/>
      <c r="B652" s="13"/>
      <c r="C652" s="13"/>
      <c r="D652" s="13"/>
    </row>
    <row r="653" spans="1:4" ht="13" x14ac:dyDescent="0.15">
      <c r="A653" s="10"/>
      <c r="B653" s="13"/>
      <c r="C653" s="13"/>
      <c r="D653" s="13"/>
    </row>
    <row r="654" spans="1:4" ht="13" x14ac:dyDescent="0.15">
      <c r="A654" s="10"/>
      <c r="B654" s="13"/>
      <c r="C654" s="13"/>
      <c r="D654" s="13"/>
    </row>
    <row r="655" spans="1:4" ht="13" x14ac:dyDescent="0.15">
      <c r="A655" s="10"/>
      <c r="B655" s="13"/>
      <c r="C655" s="13"/>
      <c r="D655" s="13"/>
    </row>
    <row r="656" spans="1:4" ht="13" x14ac:dyDescent="0.15">
      <c r="A656" s="10"/>
      <c r="B656" s="13"/>
      <c r="C656" s="13"/>
      <c r="D656" s="13"/>
    </row>
    <row r="657" spans="1:4" ht="13" x14ac:dyDescent="0.15">
      <c r="A657" s="10"/>
      <c r="B657" s="13"/>
      <c r="C657" s="13"/>
      <c r="D657" s="13"/>
    </row>
    <row r="658" spans="1:4" ht="13" x14ac:dyDescent="0.15">
      <c r="A658" s="10"/>
      <c r="B658" s="13"/>
      <c r="C658" s="13"/>
      <c r="D658" s="13"/>
    </row>
    <row r="659" spans="1:4" ht="13" x14ac:dyDescent="0.15">
      <c r="A659" s="10"/>
      <c r="B659" s="13"/>
      <c r="C659" s="13"/>
      <c r="D659" s="13"/>
    </row>
    <row r="660" spans="1:4" ht="13" x14ac:dyDescent="0.15">
      <c r="A660" s="10"/>
      <c r="B660" s="13"/>
      <c r="C660" s="13"/>
      <c r="D660" s="13"/>
    </row>
    <row r="661" spans="1:4" ht="13" x14ac:dyDescent="0.15">
      <c r="A661" s="10"/>
      <c r="B661" s="13"/>
      <c r="C661" s="13"/>
      <c r="D661" s="13"/>
    </row>
    <row r="662" spans="1:4" ht="13" x14ac:dyDescent="0.15">
      <c r="A662" s="10"/>
      <c r="B662" s="13"/>
      <c r="C662" s="13"/>
      <c r="D662" s="13"/>
    </row>
    <row r="663" spans="1:4" ht="13" x14ac:dyDescent="0.15">
      <c r="A663" s="10"/>
      <c r="B663" s="13"/>
      <c r="C663" s="13"/>
      <c r="D663" s="13"/>
    </row>
    <row r="664" spans="1:4" ht="13" x14ac:dyDescent="0.15">
      <c r="A664" s="10"/>
      <c r="B664" s="13"/>
      <c r="C664" s="13"/>
      <c r="D664" s="13"/>
    </row>
    <row r="665" spans="1:4" ht="13" x14ac:dyDescent="0.15">
      <c r="A665" s="10"/>
      <c r="B665" s="13"/>
      <c r="C665" s="13"/>
      <c r="D665" s="13"/>
    </row>
    <row r="666" spans="1:4" ht="13" x14ac:dyDescent="0.15">
      <c r="A666" s="10"/>
      <c r="B666" s="13"/>
      <c r="C666" s="13"/>
      <c r="D666" s="13"/>
    </row>
    <row r="667" spans="1:4" ht="13" x14ac:dyDescent="0.15">
      <c r="A667" s="10"/>
      <c r="B667" s="13"/>
      <c r="C667" s="13"/>
      <c r="D667" s="13"/>
    </row>
    <row r="668" spans="1:4" ht="13" x14ac:dyDescent="0.15">
      <c r="A668" s="10"/>
      <c r="B668" s="13"/>
      <c r="C668" s="13"/>
      <c r="D668" s="13"/>
    </row>
    <row r="669" spans="1:4" ht="13" x14ac:dyDescent="0.15">
      <c r="A669" s="10"/>
      <c r="B669" s="13"/>
      <c r="C669" s="13"/>
      <c r="D669" s="13"/>
    </row>
    <row r="670" spans="1:4" ht="13" x14ac:dyDescent="0.15">
      <c r="A670" s="10"/>
      <c r="B670" s="13"/>
      <c r="C670" s="13"/>
      <c r="D670" s="13"/>
    </row>
    <row r="671" spans="1:4" ht="13" x14ac:dyDescent="0.15">
      <c r="A671" s="10"/>
      <c r="B671" s="13"/>
      <c r="C671" s="13"/>
      <c r="D671" s="13"/>
    </row>
    <row r="672" spans="1:4" ht="13" x14ac:dyDescent="0.15">
      <c r="A672" s="10"/>
      <c r="B672" s="13"/>
      <c r="C672" s="13"/>
      <c r="D672" s="13"/>
    </row>
    <row r="673" spans="1:4" ht="13" x14ac:dyDescent="0.15">
      <c r="A673" s="10"/>
      <c r="B673" s="13"/>
      <c r="C673" s="13"/>
      <c r="D673" s="13"/>
    </row>
    <row r="674" spans="1:4" ht="13" x14ac:dyDescent="0.15">
      <c r="A674" s="10"/>
      <c r="B674" s="13"/>
      <c r="C674" s="13"/>
      <c r="D674" s="13"/>
    </row>
    <row r="675" spans="1:4" ht="13" x14ac:dyDescent="0.15">
      <c r="A675" s="10"/>
      <c r="B675" s="13"/>
      <c r="C675" s="13"/>
      <c r="D675" s="13"/>
    </row>
    <row r="676" spans="1:4" ht="13" x14ac:dyDescent="0.15">
      <c r="A676" s="10"/>
      <c r="B676" s="13"/>
      <c r="C676" s="13"/>
      <c r="D676" s="13"/>
    </row>
    <row r="677" spans="1:4" ht="13" x14ac:dyDescent="0.15">
      <c r="A677" s="10"/>
      <c r="B677" s="13"/>
      <c r="C677" s="13"/>
      <c r="D677" s="13"/>
    </row>
    <row r="678" spans="1:4" ht="13" x14ac:dyDescent="0.15">
      <c r="A678" s="10"/>
      <c r="B678" s="13"/>
      <c r="C678" s="13"/>
      <c r="D678" s="13"/>
    </row>
    <row r="679" spans="1:4" ht="13" x14ac:dyDescent="0.15">
      <c r="A679" s="10"/>
      <c r="B679" s="13"/>
      <c r="C679" s="13"/>
      <c r="D679" s="13"/>
    </row>
    <row r="680" spans="1:4" ht="13" x14ac:dyDescent="0.15">
      <c r="A680" s="10"/>
      <c r="B680" s="13"/>
      <c r="C680" s="13"/>
      <c r="D680" s="13"/>
    </row>
    <row r="681" spans="1:4" ht="13" x14ac:dyDescent="0.15">
      <c r="A681" s="10"/>
      <c r="B681" s="13"/>
      <c r="C681" s="13"/>
      <c r="D681" s="13"/>
    </row>
    <row r="682" spans="1:4" ht="13" x14ac:dyDescent="0.15">
      <c r="A682" s="10"/>
      <c r="B682" s="13"/>
      <c r="C682" s="13"/>
      <c r="D682" s="13"/>
    </row>
    <row r="683" spans="1:4" ht="13" x14ac:dyDescent="0.15">
      <c r="A683" s="10"/>
      <c r="B683" s="13"/>
      <c r="C683" s="13"/>
      <c r="D683" s="13"/>
    </row>
    <row r="684" spans="1:4" ht="13" x14ac:dyDescent="0.15">
      <c r="A684" s="10"/>
      <c r="B684" s="13"/>
      <c r="C684" s="13"/>
      <c r="D684" s="13"/>
    </row>
    <row r="685" spans="1:4" ht="13" x14ac:dyDescent="0.15">
      <c r="A685" s="10"/>
      <c r="B685" s="13"/>
      <c r="C685" s="13"/>
      <c r="D685" s="13"/>
    </row>
    <row r="686" spans="1:4" ht="13" x14ac:dyDescent="0.15">
      <c r="A686" s="10"/>
      <c r="B686" s="13"/>
      <c r="C686" s="13"/>
      <c r="D686" s="13"/>
    </row>
    <row r="687" spans="1:4" ht="13" x14ac:dyDescent="0.15">
      <c r="A687" s="10"/>
      <c r="B687" s="13"/>
      <c r="C687" s="13"/>
      <c r="D687" s="13"/>
    </row>
    <row r="688" spans="1:4" ht="13" x14ac:dyDescent="0.15">
      <c r="A688" s="10"/>
      <c r="B688" s="13"/>
      <c r="C688" s="13"/>
      <c r="D688" s="13"/>
    </row>
    <row r="689" spans="1:4" ht="13" x14ac:dyDescent="0.15">
      <c r="A689" s="10"/>
      <c r="B689" s="13"/>
      <c r="C689" s="13"/>
      <c r="D689" s="13"/>
    </row>
    <row r="690" spans="1:4" ht="13" x14ac:dyDescent="0.15">
      <c r="A690" s="10"/>
      <c r="B690" s="13"/>
      <c r="C690" s="13"/>
      <c r="D690" s="13"/>
    </row>
    <row r="691" spans="1:4" ht="13" x14ac:dyDescent="0.15">
      <c r="A691" s="10"/>
      <c r="B691" s="13"/>
      <c r="C691" s="13"/>
      <c r="D691" s="13"/>
    </row>
    <row r="692" spans="1:4" ht="13" x14ac:dyDescent="0.15">
      <c r="A692" s="10"/>
      <c r="B692" s="13"/>
      <c r="C692" s="13"/>
      <c r="D692" s="13"/>
    </row>
    <row r="693" spans="1:4" ht="13" x14ac:dyDescent="0.15">
      <c r="A693" s="10"/>
      <c r="B693" s="13"/>
      <c r="C693" s="13"/>
      <c r="D693" s="13"/>
    </row>
    <row r="694" spans="1:4" ht="13" x14ac:dyDescent="0.15">
      <c r="A694" s="10"/>
      <c r="B694" s="13"/>
      <c r="C694" s="13"/>
      <c r="D694" s="13"/>
    </row>
    <row r="695" spans="1:4" ht="13" x14ac:dyDescent="0.15">
      <c r="A695" s="10"/>
      <c r="B695" s="13"/>
      <c r="C695" s="13"/>
      <c r="D695" s="13"/>
    </row>
    <row r="696" spans="1:4" ht="13" x14ac:dyDescent="0.15">
      <c r="A696" s="10"/>
      <c r="B696" s="13"/>
      <c r="C696" s="13"/>
      <c r="D696" s="13"/>
    </row>
    <row r="697" spans="1:4" ht="13" x14ac:dyDescent="0.15">
      <c r="A697" s="10"/>
      <c r="B697" s="13"/>
      <c r="C697" s="13"/>
      <c r="D697" s="13"/>
    </row>
    <row r="698" spans="1:4" ht="13" x14ac:dyDescent="0.15">
      <c r="A698" s="10"/>
      <c r="B698" s="13"/>
      <c r="C698" s="13"/>
      <c r="D698" s="13"/>
    </row>
    <row r="699" spans="1:4" ht="13" x14ac:dyDescent="0.15">
      <c r="A699" s="10"/>
      <c r="B699" s="13"/>
      <c r="C699" s="13"/>
      <c r="D699" s="13"/>
    </row>
    <row r="700" spans="1:4" ht="13" x14ac:dyDescent="0.15">
      <c r="A700" s="10"/>
      <c r="B700" s="13"/>
      <c r="C700" s="13"/>
      <c r="D700" s="13"/>
    </row>
    <row r="701" spans="1:4" ht="13" x14ac:dyDescent="0.15">
      <c r="A701" s="10"/>
      <c r="B701" s="13"/>
      <c r="C701" s="13"/>
      <c r="D701" s="13"/>
    </row>
    <row r="702" spans="1:4" ht="13" x14ac:dyDescent="0.15">
      <c r="A702" s="10"/>
      <c r="B702" s="13"/>
      <c r="C702" s="13"/>
      <c r="D702" s="13"/>
    </row>
    <row r="703" spans="1:4" ht="13" x14ac:dyDescent="0.15">
      <c r="A703" s="10"/>
      <c r="B703" s="13"/>
      <c r="C703" s="13"/>
      <c r="D703" s="13"/>
    </row>
    <row r="704" spans="1:4" ht="13" x14ac:dyDescent="0.15">
      <c r="A704" s="10"/>
      <c r="B704" s="13"/>
      <c r="C704" s="13"/>
      <c r="D704" s="13"/>
    </row>
    <row r="705" spans="1:4" ht="13" x14ac:dyDescent="0.15">
      <c r="A705" s="10"/>
      <c r="B705" s="13"/>
      <c r="C705" s="13"/>
      <c r="D705" s="13"/>
    </row>
    <row r="706" spans="1:4" ht="13" x14ac:dyDescent="0.15">
      <c r="A706" s="10"/>
      <c r="B706" s="13"/>
      <c r="C706" s="13"/>
      <c r="D706" s="13"/>
    </row>
    <row r="707" spans="1:4" ht="13" x14ac:dyDescent="0.15">
      <c r="A707" s="10"/>
      <c r="B707" s="13"/>
      <c r="C707" s="13"/>
      <c r="D707" s="13"/>
    </row>
    <row r="708" spans="1:4" ht="13" x14ac:dyDescent="0.15">
      <c r="A708" s="10"/>
      <c r="B708" s="13"/>
      <c r="C708" s="13"/>
      <c r="D708" s="13"/>
    </row>
    <row r="709" spans="1:4" ht="13" x14ac:dyDescent="0.15">
      <c r="A709" s="10"/>
      <c r="B709" s="13"/>
      <c r="C709" s="13"/>
      <c r="D709" s="13"/>
    </row>
    <row r="710" spans="1:4" ht="13" x14ac:dyDescent="0.15">
      <c r="A710" s="10"/>
      <c r="B710" s="13"/>
      <c r="C710" s="13"/>
      <c r="D710" s="13"/>
    </row>
    <row r="711" spans="1:4" ht="13" x14ac:dyDescent="0.15">
      <c r="A711" s="10"/>
      <c r="B711" s="13"/>
      <c r="C711" s="13"/>
      <c r="D711" s="13"/>
    </row>
    <row r="712" spans="1:4" ht="13" x14ac:dyDescent="0.15">
      <c r="A712" s="10"/>
      <c r="B712" s="13"/>
      <c r="C712" s="13"/>
      <c r="D712" s="13"/>
    </row>
    <row r="713" spans="1:4" ht="13" x14ac:dyDescent="0.15">
      <c r="A713" s="10"/>
      <c r="B713" s="13"/>
      <c r="C713" s="13"/>
      <c r="D713" s="13"/>
    </row>
    <row r="714" spans="1:4" ht="13" x14ac:dyDescent="0.15">
      <c r="A714" s="10"/>
      <c r="B714" s="13"/>
      <c r="C714" s="13"/>
      <c r="D714" s="13"/>
    </row>
    <row r="715" spans="1:4" ht="13" x14ac:dyDescent="0.15">
      <c r="A715" s="10"/>
      <c r="B715" s="13"/>
      <c r="C715" s="13"/>
      <c r="D715" s="13"/>
    </row>
    <row r="716" spans="1:4" ht="13" x14ac:dyDescent="0.15">
      <c r="A716" s="10"/>
      <c r="B716" s="13"/>
      <c r="C716" s="13"/>
      <c r="D716" s="13"/>
    </row>
    <row r="717" spans="1:4" ht="13" x14ac:dyDescent="0.15">
      <c r="A717" s="10"/>
      <c r="B717" s="13"/>
      <c r="C717" s="13"/>
      <c r="D717" s="13"/>
    </row>
    <row r="718" spans="1:4" ht="13" x14ac:dyDescent="0.15">
      <c r="A718" s="10"/>
      <c r="B718" s="13"/>
      <c r="C718" s="13"/>
      <c r="D718" s="13"/>
    </row>
    <row r="719" spans="1:4" ht="13" x14ac:dyDescent="0.15">
      <c r="A719" s="10"/>
      <c r="B719" s="13"/>
      <c r="C719" s="13"/>
      <c r="D719" s="13"/>
    </row>
    <row r="720" spans="1:4" ht="13" x14ac:dyDescent="0.15">
      <c r="A720" s="10"/>
      <c r="B720" s="13"/>
      <c r="C720" s="13"/>
      <c r="D720" s="13"/>
    </row>
    <row r="721" spans="1:4" ht="13" x14ac:dyDescent="0.15">
      <c r="A721" s="10"/>
      <c r="B721" s="13"/>
      <c r="C721" s="13"/>
      <c r="D721" s="13"/>
    </row>
    <row r="722" spans="1:4" ht="13" x14ac:dyDescent="0.15">
      <c r="A722" s="10"/>
      <c r="B722" s="13"/>
      <c r="C722" s="13"/>
      <c r="D722" s="13"/>
    </row>
    <row r="723" spans="1:4" ht="13" x14ac:dyDescent="0.15">
      <c r="A723" s="10"/>
      <c r="B723" s="13"/>
      <c r="C723" s="13"/>
      <c r="D723" s="13"/>
    </row>
    <row r="724" spans="1:4" ht="13" x14ac:dyDescent="0.15">
      <c r="A724" s="10"/>
      <c r="B724" s="13"/>
      <c r="C724" s="13"/>
      <c r="D724" s="13"/>
    </row>
    <row r="725" spans="1:4" ht="13" x14ac:dyDescent="0.15">
      <c r="A725" s="10"/>
      <c r="B725" s="13"/>
      <c r="C725" s="13"/>
      <c r="D725" s="13"/>
    </row>
    <row r="726" spans="1:4" ht="13" x14ac:dyDescent="0.15">
      <c r="A726" s="10"/>
      <c r="B726" s="13"/>
      <c r="C726" s="13"/>
      <c r="D726" s="13"/>
    </row>
    <row r="727" spans="1:4" ht="13" x14ac:dyDescent="0.15">
      <c r="A727" s="10"/>
      <c r="B727" s="13"/>
      <c r="C727" s="13"/>
      <c r="D727" s="13"/>
    </row>
    <row r="728" spans="1:4" ht="13" x14ac:dyDescent="0.15">
      <c r="A728" s="10"/>
      <c r="B728" s="13"/>
      <c r="C728" s="13"/>
      <c r="D728" s="13"/>
    </row>
    <row r="729" spans="1:4" ht="13" x14ac:dyDescent="0.15">
      <c r="A729" s="10"/>
      <c r="B729" s="13"/>
      <c r="C729" s="13"/>
      <c r="D729" s="13"/>
    </row>
    <row r="730" spans="1:4" ht="13" x14ac:dyDescent="0.15">
      <c r="A730" s="10"/>
      <c r="B730" s="13"/>
      <c r="C730" s="13"/>
      <c r="D730" s="13"/>
    </row>
    <row r="731" spans="1:4" ht="13" x14ac:dyDescent="0.15">
      <c r="A731" s="10"/>
      <c r="B731" s="13"/>
      <c r="C731" s="13"/>
      <c r="D731" s="13"/>
    </row>
    <row r="732" spans="1:4" ht="13" x14ac:dyDescent="0.15">
      <c r="A732" s="10"/>
      <c r="B732" s="13"/>
      <c r="C732" s="13"/>
      <c r="D732" s="13"/>
    </row>
    <row r="733" spans="1:4" ht="13" x14ac:dyDescent="0.15">
      <c r="A733" s="10"/>
      <c r="B733" s="13"/>
      <c r="C733" s="13"/>
      <c r="D733" s="13"/>
    </row>
    <row r="734" spans="1:4" ht="13" x14ac:dyDescent="0.15">
      <c r="A734" s="10"/>
      <c r="B734" s="13"/>
      <c r="C734" s="13"/>
      <c r="D734" s="13"/>
    </row>
    <row r="735" spans="1:4" ht="13" x14ac:dyDescent="0.15">
      <c r="A735" s="10"/>
      <c r="B735" s="13"/>
      <c r="C735" s="13"/>
      <c r="D735" s="13"/>
    </row>
    <row r="736" spans="1:4" ht="13" x14ac:dyDescent="0.15">
      <c r="A736" s="10"/>
      <c r="B736" s="13"/>
      <c r="C736" s="13"/>
      <c r="D736" s="13"/>
    </row>
    <row r="737" spans="1:4" ht="13" x14ac:dyDescent="0.15">
      <c r="A737" s="10"/>
      <c r="B737" s="13"/>
      <c r="C737" s="13"/>
      <c r="D737" s="13"/>
    </row>
    <row r="738" spans="1:4" ht="13" x14ac:dyDescent="0.15">
      <c r="A738" s="10"/>
      <c r="B738" s="13"/>
      <c r="C738" s="13"/>
      <c r="D738" s="13"/>
    </row>
    <row r="739" spans="1:4" ht="13" x14ac:dyDescent="0.15">
      <c r="A739" s="10"/>
      <c r="B739" s="13"/>
      <c r="C739" s="13"/>
      <c r="D739" s="13"/>
    </row>
    <row r="740" spans="1:4" ht="13" x14ac:dyDescent="0.15">
      <c r="A740" s="10"/>
      <c r="B740" s="13"/>
      <c r="C740" s="13"/>
      <c r="D740" s="13"/>
    </row>
    <row r="741" spans="1:4" ht="13" x14ac:dyDescent="0.15">
      <c r="A741" s="10"/>
      <c r="B741" s="13"/>
      <c r="C741" s="13"/>
      <c r="D741" s="13"/>
    </row>
    <row r="742" spans="1:4" ht="13" x14ac:dyDescent="0.15">
      <c r="A742" s="10"/>
      <c r="B742" s="13"/>
      <c r="C742" s="13"/>
      <c r="D742" s="13"/>
    </row>
    <row r="743" spans="1:4" ht="13" x14ac:dyDescent="0.15">
      <c r="A743" s="10"/>
      <c r="B743" s="13"/>
      <c r="C743" s="13"/>
      <c r="D743" s="13"/>
    </row>
    <row r="744" spans="1:4" ht="13" x14ac:dyDescent="0.15">
      <c r="A744" s="10"/>
      <c r="B744" s="13"/>
      <c r="C744" s="13"/>
      <c r="D744" s="13"/>
    </row>
    <row r="745" spans="1:4" ht="13" x14ac:dyDescent="0.15">
      <c r="A745" s="10"/>
      <c r="B745" s="13"/>
      <c r="C745" s="13"/>
      <c r="D745" s="13"/>
    </row>
    <row r="746" spans="1:4" ht="13" x14ac:dyDescent="0.15">
      <c r="A746" s="10"/>
      <c r="B746" s="13"/>
      <c r="C746" s="13"/>
      <c r="D746" s="13"/>
    </row>
    <row r="747" spans="1:4" ht="13" x14ac:dyDescent="0.15">
      <c r="A747" s="10"/>
      <c r="B747" s="13"/>
      <c r="C747" s="13"/>
      <c r="D747" s="13"/>
    </row>
    <row r="748" spans="1:4" ht="13" x14ac:dyDescent="0.15">
      <c r="A748" s="10"/>
      <c r="B748" s="13"/>
      <c r="C748" s="13"/>
      <c r="D748" s="13"/>
    </row>
    <row r="749" spans="1:4" ht="13" x14ac:dyDescent="0.15">
      <c r="A749" s="10"/>
      <c r="B749" s="13"/>
      <c r="C749" s="13"/>
      <c r="D749" s="13"/>
    </row>
    <row r="750" spans="1:4" ht="13" x14ac:dyDescent="0.15">
      <c r="A750" s="10"/>
      <c r="B750" s="13"/>
      <c r="C750" s="13"/>
      <c r="D750" s="13"/>
    </row>
    <row r="751" spans="1:4" ht="13" x14ac:dyDescent="0.15">
      <c r="A751" s="10"/>
      <c r="B751" s="13"/>
      <c r="C751" s="13"/>
      <c r="D751" s="13"/>
    </row>
    <row r="752" spans="1:4" ht="13" x14ac:dyDescent="0.15">
      <c r="A752" s="10"/>
      <c r="B752" s="13"/>
      <c r="C752" s="13"/>
      <c r="D752" s="13"/>
    </row>
    <row r="753" spans="1:4" ht="13" x14ac:dyDescent="0.15">
      <c r="A753" s="10"/>
      <c r="B753" s="13"/>
      <c r="C753" s="13"/>
      <c r="D753" s="13"/>
    </row>
    <row r="754" spans="1:4" ht="13" x14ac:dyDescent="0.15">
      <c r="A754" s="10"/>
      <c r="B754" s="13"/>
      <c r="C754" s="13"/>
      <c r="D754" s="13"/>
    </row>
    <row r="755" spans="1:4" ht="13" x14ac:dyDescent="0.15">
      <c r="A755" s="10"/>
      <c r="B755" s="13"/>
      <c r="C755" s="13"/>
      <c r="D755" s="13"/>
    </row>
    <row r="756" spans="1:4" ht="13" x14ac:dyDescent="0.15">
      <c r="A756" s="10"/>
      <c r="B756" s="13"/>
      <c r="C756" s="13"/>
      <c r="D756" s="13"/>
    </row>
    <row r="757" spans="1:4" ht="13" x14ac:dyDescent="0.15">
      <c r="A757" s="10"/>
      <c r="B757" s="13"/>
      <c r="C757" s="13"/>
      <c r="D757" s="13"/>
    </row>
    <row r="758" spans="1:4" ht="13" x14ac:dyDescent="0.15">
      <c r="A758" s="10"/>
      <c r="B758" s="13"/>
      <c r="C758" s="13"/>
      <c r="D758" s="13"/>
    </row>
    <row r="759" spans="1:4" ht="13" x14ac:dyDescent="0.15">
      <c r="A759" s="10"/>
      <c r="B759" s="13"/>
      <c r="C759" s="13"/>
      <c r="D759" s="13"/>
    </row>
    <row r="760" spans="1:4" ht="13" x14ac:dyDescent="0.15">
      <c r="A760" s="10"/>
      <c r="B760" s="13"/>
      <c r="C760" s="13"/>
      <c r="D760" s="13"/>
    </row>
    <row r="761" spans="1:4" ht="13" x14ac:dyDescent="0.15">
      <c r="A761" s="10"/>
      <c r="B761" s="13"/>
      <c r="C761" s="13"/>
      <c r="D761" s="13"/>
    </row>
    <row r="762" spans="1:4" ht="13" x14ac:dyDescent="0.15">
      <c r="A762" s="10"/>
      <c r="B762" s="13"/>
      <c r="C762" s="13"/>
      <c r="D762" s="13"/>
    </row>
    <row r="763" spans="1:4" ht="13" x14ac:dyDescent="0.15">
      <c r="A763" s="10"/>
      <c r="B763" s="13"/>
      <c r="C763" s="13"/>
      <c r="D763" s="13"/>
    </row>
    <row r="764" spans="1:4" ht="13" x14ac:dyDescent="0.15">
      <c r="A764" s="10"/>
      <c r="B764" s="13"/>
      <c r="C764" s="13"/>
      <c r="D764" s="13"/>
    </row>
    <row r="765" spans="1:4" ht="13" x14ac:dyDescent="0.15">
      <c r="A765" s="10"/>
      <c r="B765" s="13"/>
      <c r="C765" s="13"/>
      <c r="D765" s="13"/>
    </row>
    <row r="766" spans="1:4" ht="13" x14ac:dyDescent="0.15">
      <c r="A766" s="10"/>
      <c r="B766" s="13"/>
      <c r="C766" s="13"/>
      <c r="D766" s="13"/>
    </row>
    <row r="767" spans="1:4" ht="13" x14ac:dyDescent="0.15">
      <c r="A767" s="10"/>
      <c r="B767" s="13"/>
      <c r="C767" s="13"/>
      <c r="D767" s="13"/>
    </row>
    <row r="768" spans="1:4" ht="13" x14ac:dyDescent="0.15">
      <c r="A768" s="10"/>
      <c r="B768" s="13"/>
      <c r="C768" s="13"/>
      <c r="D768" s="13"/>
    </row>
    <row r="769" spans="1:4" ht="13" x14ac:dyDescent="0.15">
      <c r="A769" s="10"/>
      <c r="B769" s="13"/>
      <c r="C769" s="13"/>
      <c r="D769" s="13"/>
    </row>
    <row r="770" spans="1:4" ht="13" x14ac:dyDescent="0.15">
      <c r="A770" s="10"/>
      <c r="B770" s="13"/>
      <c r="C770" s="13"/>
      <c r="D770" s="13"/>
    </row>
    <row r="771" spans="1:4" ht="13" x14ac:dyDescent="0.15">
      <c r="A771" s="10"/>
      <c r="B771" s="13"/>
      <c r="C771" s="13"/>
      <c r="D771" s="13"/>
    </row>
    <row r="772" spans="1:4" ht="13" x14ac:dyDescent="0.15">
      <c r="A772" s="10"/>
      <c r="B772" s="13"/>
      <c r="C772" s="13"/>
      <c r="D772" s="13"/>
    </row>
    <row r="773" spans="1:4" ht="13" x14ac:dyDescent="0.15">
      <c r="A773" s="10"/>
      <c r="B773" s="13"/>
      <c r="C773" s="13"/>
      <c r="D773" s="13"/>
    </row>
    <row r="774" spans="1:4" ht="13" x14ac:dyDescent="0.15">
      <c r="A774" s="10"/>
      <c r="B774" s="13"/>
      <c r="C774" s="13"/>
      <c r="D774" s="13"/>
    </row>
    <row r="775" spans="1:4" ht="13" x14ac:dyDescent="0.15">
      <c r="A775" s="10"/>
      <c r="B775" s="13"/>
      <c r="C775" s="13"/>
      <c r="D775" s="13"/>
    </row>
    <row r="776" spans="1:4" ht="13" x14ac:dyDescent="0.15">
      <c r="A776" s="10"/>
      <c r="B776" s="13"/>
      <c r="C776" s="13"/>
      <c r="D776" s="13"/>
    </row>
    <row r="777" spans="1:4" ht="13" x14ac:dyDescent="0.15">
      <c r="A777" s="10"/>
      <c r="B777" s="13"/>
      <c r="C777" s="13"/>
      <c r="D777" s="13"/>
    </row>
    <row r="778" spans="1:4" ht="13" x14ac:dyDescent="0.15">
      <c r="A778" s="10"/>
      <c r="B778" s="13"/>
      <c r="C778" s="13"/>
      <c r="D778" s="13"/>
    </row>
    <row r="779" spans="1:4" ht="13" x14ac:dyDescent="0.15">
      <c r="A779" s="10"/>
      <c r="B779" s="13"/>
      <c r="C779" s="13"/>
      <c r="D779" s="13"/>
    </row>
    <row r="780" spans="1:4" ht="13" x14ac:dyDescent="0.15">
      <c r="A780" s="10"/>
      <c r="B780" s="13"/>
      <c r="C780" s="13"/>
      <c r="D780" s="13"/>
    </row>
    <row r="781" spans="1:4" ht="13" x14ac:dyDescent="0.15">
      <c r="A781" s="10"/>
      <c r="B781" s="13"/>
      <c r="C781" s="13"/>
      <c r="D781" s="13"/>
    </row>
    <row r="782" spans="1:4" ht="13" x14ac:dyDescent="0.15">
      <c r="A782" s="10"/>
      <c r="B782" s="13"/>
      <c r="C782" s="13"/>
      <c r="D782" s="13"/>
    </row>
    <row r="783" spans="1:4" ht="13" x14ac:dyDescent="0.15">
      <c r="A783" s="10"/>
      <c r="B783" s="13"/>
      <c r="C783" s="13"/>
      <c r="D783" s="13"/>
    </row>
    <row r="784" spans="1:4" ht="13" x14ac:dyDescent="0.15">
      <c r="A784" s="10"/>
      <c r="B784" s="13"/>
      <c r="C784" s="13"/>
      <c r="D784" s="13"/>
    </row>
    <row r="785" spans="1:4" ht="13" x14ac:dyDescent="0.15">
      <c r="A785" s="10"/>
      <c r="B785" s="13"/>
      <c r="C785" s="13"/>
      <c r="D785" s="13"/>
    </row>
    <row r="786" spans="1:4" ht="13" x14ac:dyDescent="0.15">
      <c r="A786" s="10"/>
      <c r="B786" s="13"/>
      <c r="C786" s="13"/>
      <c r="D786" s="13"/>
    </row>
    <row r="787" spans="1:4" ht="13" x14ac:dyDescent="0.15">
      <c r="A787" s="10"/>
      <c r="B787" s="13"/>
      <c r="C787" s="13"/>
      <c r="D787" s="13"/>
    </row>
    <row r="788" spans="1:4" ht="13" x14ac:dyDescent="0.15">
      <c r="A788" s="10"/>
      <c r="B788" s="13"/>
      <c r="C788" s="13"/>
      <c r="D788" s="13"/>
    </row>
    <row r="789" spans="1:4" ht="13" x14ac:dyDescent="0.15">
      <c r="A789" s="10"/>
      <c r="B789" s="13"/>
      <c r="C789" s="13"/>
      <c r="D789" s="13"/>
    </row>
    <row r="790" spans="1:4" ht="13" x14ac:dyDescent="0.15">
      <c r="A790" s="10"/>
      <c r="B790" s="13"/>
      <c r="C790" s="13"/>
      <c r="D790" s="13"/>
    </row>
    <row r="791" spans="1:4" ht="13" x14ac:dyDescent="0.15">
      <c r="A791" s="10"/>
      <c r="B791" s="13"/>
      <c r="C791" s="13"/>
      <c r="D791" s="13"/>
    </row>
    <row r="792" spans="1:4" ht="13" x14ac:dyDescent="0.15">
      <c r="A792" s="10"/>
      <c r="B792" s="13"/>
      <c r="C792" s="13"/>
      <c r="D792" s="13"/>
    </row>
    <row r="793" spans="1:4" ht="13" x14ac:dyDescent="0.15">
      <c r="A793" s="10"/>
      <c r="B793" s="13"/>
      <c r="C793" s="13"/>
      <c r="D793" s="13"/>
    </row>
    <row r="794" spans="1:4" ht="13" x14ac:dyDescent="0.15">
      <c r="A794" s="10"/>
      <c r="B794" s="13"/>
      <c r="C794" s="13"/>
      <c r="D794" s="13"/>
    </row>
    <row r="795" spans="1:4" ht="13" x14ac:dyDescent="0.15">
      <c r="A795" s="10"/>
      <c r="B795" s="13"/>
      <c r="C795" s="13"/>
      <c r="D795" s="13"/>
    </row>
    <row r="796" spans="1:4" ht="13" x14ac:dyDescent="0.15">
      <c r="A796" s="10"/>
      <c r="B796" s="13"/>
      <c r="C796" s="13"/>
      <c r="D796" s="13"/>
    </row>
    <row r="797" spans="1:4" ht="13" x14ac:dyDescent="0.15">
      <c r="A797" s="10"/>
      <c r="B797" s="13"/>
      <c r="C797" s="13"/>
      <c r="D797" s="13"/>
    </row>
    <row r="798" spans="1:4" ht="13" x14ac:dyDescent="0.15">
      <c r="A798" s="10"/>
      <c r="B798" s="13"/>
      <c r="C798" s="13"/>
      <c r="D798" s="13"/>
    </row>
    <row r="799" spans="1:4" ht="13" x14ac:dyDescent="0.15">
      <c r="A799" s="10"/>
      <c r="B799" s="13"/>
      <c r="C799" s="13"/>
      <c r="D799" s="13"/>
    </row>
    <row r="800" spans="1:4" ht="13" x14ac:dyDescent="0.15">
      <c r="A800" s="10"/>
      <c r="B800" s="13"/>
      <c r="C800" s="13"/>
      <c r="D800" s="13"/>
    </row>
    <row r="801" spans="1:4" ht="13" x14ac:dyDescent="0.15">
      <c r="A801" s="10"/>
      <c r="B801" s="13"/>
      <c r="C801" s="13"/>
      <c r="D801" s="13"/>
    </row>
    <row r="802" spans="1:4" ht="13" x14ac:dyDescent="0.15">
      <c r="A802" s="10"/>
      <c r="B802" s="13"/>
      <c r="C802" s="13"/>
      <c r="D802" s="13"/>
    </row>
    <row r="803" spans="1:4" ht="13" x14ac:dyDescent="0.15">
      <c r="A803" s="10"/>
      <c r="B803" s="13"/>
      <c r="C803" s="13"/>
      <c r="D803" s="13"/>
    </row>
    <row r="804" spans="1:4" ht="13" x14ac:dyDescent="0.15">
      <c r="A804" s="10"/>
      <c r="B804" s="13"/>
      <c r="C804" s="13"/>
      <c r="D804" s="13"/>
    </row>
    <row r="805" spans="1:4" ht="13" x14ac:dyDescent="0.15">
      <c r="A805" s="10"/>
      <c r="B805" s="13"/>
      <c r="C805" s="13"/>
      <c r="D805" s="13"/>
    </row>
    <row r="806" spans="1:4" ht="13" x14ac:dyDescent="0.15">
      <c r="A806" s="10"/>
      <c r="B806" s="13"/>
      <c r="C806" s="13"/>
      <c r="D806" s="13"/>
    </row>
    <row r="807" spans="1:4" ht="13" x14ac:dyDescent="0.15">
      <c r="A807" s="10"/>
      <c r="B807" s="13"/>
      <c r="C807" s="13"/>
      <c r="D807" s="13"/>
    </row>
    <row r="808" spans="1:4" ht="13" x14ac:dyDescent="0.15">
      <c r="A808" s="10"/>
      <c r="B808" s="13"/>
      <c r="C808" s="13"/>
      <c r="D808" s="13"/>
    </row>
    <row r="809" spans="1:4" ht="13" x14ac:dyDescent="0.15">
      <c r="A809" s="10"/>
      <c r="B809" s="13"/>
      <c r="C809" s="13"/>
      <c r="D809" s="13"/>
    </row>
    <row r="810" spans="1:4" ht="13" x14ac:dyDescent="0.15">
      <c r="A810" s="10"/>
      <c r="B810" s="13"/>
      <c r="C810" s="13"/>
      <c r="D810" s="13"/>
    </row>
    <row r="811" spans="1:4" ht="13" x14ac:dyDescent="0.15">
      <c r="A811" s="10"/>
      <c r="B811" s="13"/>
      <c r="C811" s="13"/>
      <c r="D811" s="13"/>
    </row>
    <row r="812" spans="1:4" ht="13" x14ac:dyDescent="0.15">
      <c r="A812" s="10"/>
      <c r="B812" s="13"/>
      <c r="C812" s="13"/>
      <c r="D812" s="13"/>
    </row>
    <row r="813" spans="1:4" ht="13" x14ac:dyDescent="0.15">
      <c r="A813" s="10"/>
      <c r="B813" s="13"/>
      <c r="C813" s="13"/>
      <c r="D813" s="13"/>
    </row>
    <row r="814" spans="1:4" ht="13" x14ac:dyDescent="0.15">
      <c r="A814" s="10"/>
      <c r="B814" s="13"/>
      <c r="C814" s="13"/>
      <c r="D814" s="13"/>
    </row>
    <row r="815" spans="1:4" ht="13" x14ac:dyDescent="0.15">
      <c r="A815" s="10"/>
      <c r="B815" s="13"/>
      <c r="C815" s="13"/>
      <c r="D815" s="13"/>
    </row>
    <row r="816" spans="1:4" ht="13" x14ac:dyDescent="0.15">
      <c r="A816" s="10"/>
      <c r="B816" s="13"/>
      <c r="C816" s="13"/>
      <c r="D816" s="13"/>
    </row>
    <row r="817" spans="1:4" ht="13" x14ac:dyDescent="0.15">
      <c r="A817" s="10"/>
      <c r="B817" s="13"/>
      <c r="C817" s="13"/>
      <c r="D817" s="13"/>
    </row>
    <row r="818" spans="1:4" ht="13" x14ac:dyDescent="0.15">
      <c r="A818" s="10"/>
      <c r="B818" s="13"/>
      <c r="C818" s="13"/>
      <c r="D818" s="13"/>
    </row>
    <row r="819" spans="1:4" ht="13" x14ac:dyDescent="0.15">
      <c r="A819" s="10"/>
      <c r="B819" s="13"/>
      <c r="C819" s="13"/>
      <c r="D819" s="13"/>
    </row>
    <row r="820" spans="1:4" ht="13" x14ac:dyDescent="0.15">
      <c r="A820" s="10"/>
      <c r="B820" s="13"/>
      <c r="C820" s="13"/>
      <c r="D820" s="13"/>
    </row>
    <row r="821" spans="1:4" ht="13" x14ac:dyDescent="0.15">
      <c r="A821" s="10"/>
      <c r="B821" s="13"/>
      <c r="C821" s="13"/>
      <c r="D821" s="13"/>
    </row>
    <row r="822" spans="1:4" ht="13" x14ac:dyDescent="0.15">
      <c r="A822" s="10"/>
      <c r="B822" s="13"/>
      <c r="C822" s="13"/>
      <c r="D822" s="13"/>
    </row>
    <row r="823" spans="1:4" ht="13" x14ac:dyDescent="0.15">
      <c r="A823" s="10"/>
      <c r="B823" s="13"/>
      <c r="C823" s="13"/>
      <c r="D823" s="13"/>
    </row>
    <row r="824" spans="1:4" ht="13" x14ac:dyDescent="0.15">
      <c r="A824" s="10"/>
      <c r="B824" s="13"/>
      <c r="C824" s="13"/>
      <c r="D824" s="13"/>
    </row>
    <row r="825" spans="1:4" ht="13" x14ac:dyDescent="0.15">
      <c r="A825" s="10"/>
      <c r="B825" s="13"/>
      <c r="C825" s="13"/>
      <c r="D825" s="13"/>
    </row>
    <row r="826" spans="1:4" ht="13" x14ac:dyDescent="0.15">
      <c r="A826" s="10"/>
      <c r="B826" s="13"/>
      <c r="C826" s="13"/>
      <c r="D826" s="13"/>
    </row>
    <row r="827" spans="1:4" ht="13" x14ac:dyDescent="0.15">
      <c r="A827" s="10"/>
      <c r="B827" s="13"/>
      <c r="C827" s="13"/>
      <c r="D827" s="13"/>
    </row>
    <row r="828" spans="1:4" ht="13" x14ac:dyDescent="0.15">
      <c r="A828" s="10"/>
      <c r="B828" s="13"/>
      <c r="C828" s="13"/>
      <c r="D828" s="13"/>
    </row>
    <row r="829" spans="1:4" ht="13" x14ac:dyDescent="0.15">
      <c r="A829" s="10"/>
      <c r="B829" s="13"/>
      <c r="C829" s="13"/>
      <c r="D829" s="13"/>
    </row>
    <row r="830" spans="1:4" ht="13" x14ac:dyDescent="0.15">
      <c r="A830" s="10"/>
      <c r="B830" s="13"/>
      <c r="C830" s="13"/>
      <c r="D830" s="13"/>
    </row>
    <row r="831" spans="1:4" ht="13" x14ac:dyDescent="0.15">
      <c r="A831" s="10"/>
      <c r="B831" s="13"/>
      <c r="C831" s="13"/>
      <c r="D831" s="13"/>
    </row>
    <row r="832" spans="1:4" ht="13" x14ac:dyDescent="0.15">
      <c r="A832" s="10"/>
      <c r="B832" s="13"/>
      <c r="C832" s="13"/>
      <c r="D832" s="13"/>
    </row>
    <row r="833" spans="1:4" ht="13" x14ac:dyDescent="0.15">
      <c r="A833" s="10"/>
      <c r="B833" s="13"/>
      <c r="C833" s="13"/>
      <c r="D833" s="13"/>
    </row>
    <row r="834" spans="1:4" ht="13" x14ac:dyDescent="0.15">
      <c r="A834" s="10"/>
      <c r="B834" s="13"/>
      <c r="C834" s="13"/>
      <c r="D834" s="13"/>
    </row>
    <row r="835" spans="1:4" ht="13" x14ac:dyDescent="0.15">
      <c r="A835" s="10"/>
      <c r="B835" s="13"/>
      <c r="C835" s="13"/>
      <c r="D835" s="13"/>
    </row>
    <row r="836" spans="1:4" ht="13" x14ac:dyDescent="0.15">
      <c r="A836" s="10"/>
      <c r="B836" s="13"/>
      <c r="C836" s="13"/>
      <c r="D836" s="13"/>
    </row>
    <row r="837" spans="1:4" ht="13" x14ac:dyDescent="0.15">
      <c r="A837" s="10"/>
      <c r="B837" s="13"/>
      <c r="C837" s="13"/>
      <c r="D837" s="13"/>
    </row>
    <row r="838" spans="1:4" ht="13" x14ac:dyDescent="0.15">
      <c r="A838" s="10"/>
      <c r="B838" s="13"/>
      <c r="C838" s="13"/>
      <c r="D838" s="13"/>
    </row>
    <row r="839" spans="1:4" ht="13" x14ac:dyDescent="0.15">
      <c r="A839" s="10"/>
      <c r="B839" s="13"/>
      <c r="C839" s="13"/>
      <c r="D839" s="13"/>
    </row>
    <row r="840" spans="1:4" ht="13" x14ac:dyDescent="0.15">
      <c r="A840" s="10"/>
      <c r="B840" s="13"/>
      <c r="C840" s="13"/>
      <c r="D840" s="13"/>
    </row>
    <row r="841" spans="1:4" ht="13" x14ac:dyDescent="0.15">
      <c r="A841" s="10"/>
      <c r="B841" s="13"/>
      <c r="C841" s="13"/>
      <c r="D841" s="13"/>
    </row>
    <row r="842" spans="1:4" ht="13" x14ac:dyDescent="0.15">
      <c r="A842" s="10"/>
      <c r="B842" s="13"/>
      <c r="C842" s="13"/>
      <c r="D842" s="13"/>
    </row>
    <row r="843" spans="1:4" ht="13" x14ac:dyDescent="0.15">
      <c r="A843" s="10"/>
      <c r="B843" s="13"/>
      <c r="C843" s="13"/>
      <c r="D843" s="13"/>
    </row>
    <row r="844" spans="1:4" ht="13" x14ac:dyDescent="0.15">
      <c r="A844" s="10"/>
      <c r="B844" s="13"/>
      <c r="C844" s="13"/>
      <c r="D844" s="13"/>
    </row>
    <row r="845" spans="1:4" ht="13" x14ac:dyDescent="0.15">
      <c r="A845" s="10"/>
      <c r="B845" s="13"/>
      <c r="C845" s="13"/>
      <c r="D845" s="13"/>
    </row>
    <row r="846" spans="1:4" ht="13" x14ac:dyDescent="0.15">
      <c r="A846" s="10"/>
      <c r="B846" s="13"/>
      <c r="C846" s="13"/>
      <c r="D846" s="13"/>
    </row>
    <row r="847" spans="1:4" ht="13" x14ac:dyDescent="0.15">
      <c r="A847" s="10"/>
      <c r="B847" s="13"/>
      <c r="C847" s="13"/>
      <c r="D847" s="13"/>
    </row>
    <row r="848" spans="1:4" ht="13" x14ac:dyDescent="0.15">
      <c r="A848" s="10"/>
      <c r="B848" s="13"/>
      <c r="C848" s="13"/>
      <c r="D848" s="13"/>
    </row>
    <row r="849" spans="1:4" ht="13" x14ac:dyDescent="0.15">
      <c r="A849" s="10"/>
      <c r="B849" s="13"/>
      <c r="C849" s="13"/>
      <c r="D849" s="13"/>
    </row>
    <row r="850" spans="1:4" ht="13" x14ac:dyDescent="0.15">
      <c r="A850" s="10"/>
      <c r="B850" s="13"/>
      <c r="C850" s="13"/>
      <c r="D850" s="13"/>
    </row>
    <row r="851" spans="1:4" ht="13" x14ac:dyDescent="0.15">
      <c r="A851" s="10"/>
      <c r="B851" s="13"/>
      <c r="C851" s="13"/>
      <c r="D851" s="13"/>
    </row>
    <row r="852" spans="1:4" ht="13" x14ac:dyDescent="0.15">
      <c r="A852" s="10"/>
      <c r="B852" s="13"/>
      <c r="C852" s="13"/>
      <c r="D852" s="13"/>
    </row>
    <row r="853" spans="1:4" ht="13" x14ac:dyDescent="0.15">
      <c r="A853" s="10"/>
      <c r="B853" s="13"/>
      <c r="C853" s="13"/>
      <c r="D853" s="13"/>
    </row>
    <row r="854" spans="1:4" ht="13" x14ac:dyDescent="0.15">
      <c r="A854" s="10"/>
      <c r="B854" s="13"/>
      <c r="C854" s="13"/>
      <c r="D854" s="13"/>
    </row>
    <row r="855" spans="1:4" ht="13" x14ac:dyDescent="0.15">
      <c r="A855" s="10"/>
      <c r="B855" s="13"/>
      <c r="C855" s="13"/>
      <c r="D855" s="13"/>
    </row>
    <row r="856" spans="1:4" ht="13" x14ac:dyDescent="0.15">
      <c r="A856" s="10"/>
      <c r="B856" s="13"/>
      <c r="C856" s="13"/>
      <c r="D856" s="13"/>
    </row>
    <row r="857" spans="1:4" ht="13" x14ac:dyDescent="0.15">
      <c r="A857" s="10"/>
      <c r="B857" s="13"/>
      <c r="C857" s="13"/>
      <c r="D857" s="13"/>
    </row>
    <row r="858" spans="1:4" ht="13" x14ac:dyDescent="0.15">
      <c r="A858" s="10"/>
      <c r="B858" s="13"/>
      <c r="C858" s="13"/>
      <c r="D858" s="13"/>
    </row>
    <row r="859" spans="1:4" ht="13" x14ac:dyDescent="0.15">
      <c r="A859" s="10"/>
      <c r="B859" s="13"/>
      <c r="C859" s="13"/>
      <c r="D859" s="13"/>
    </row>
    <row r="860" spans="1:4" ht="13" x14ac:dyDescent="0.15">
      <c r="A860" s="10"/>
      <c r="B860" s="13"/>
      <c r="C860" s="13"/>
      <c r="D860" s="13"/>
    </row>
    <row r="861" spans="1:4" ht="13" x14ac:dyDescent="0.15">
      <c r="A861" s="10"/>
      <c r="B861" s="13"/>
      <c r="C861" s="13"/>
      <c r="D861" s="13"/>
    </row>
    <row r="862" spans="1:4" ht="13" x14ac:dyDescent="0.15">
      <c r="A862" s="10"/>
      <c r="B862" s="13"/>
      <c r="C862" s="13"/>
      <c r="D862" s="13"/>
    </row>
    <row r="863" spans="1:4" ht="13" x14ac:dyDescent="0.15">
      <c r="A863" s="10"/>
      <c r="B863" s="13"/>
      <c r="C863" s="13"/>
      <c r="D863" s="13"/>
    </row>
    <row r="864" spans="1:4" ht="13" x14ac:dyDescent="0.15">
      <c r="A864" s="10"/>
      <c r="B864" s="13"/>
      <c r="C864" s="13"/>
      <c r="D864" s="13"/>
    </row>
    <row r="865" spans="1:4" ht="13" x14ac:dyDescent="0.15">
      <c r="A865" s="10"/>
      <c r="B865" s="13"/>
      <c r="C865" s="13"/>
      <c r="D865" s="13"/>
    </row>
    <row r="866" spans="1:4" ht="13" x14ac:dyDescent="0.15">
      <c r="A866" s="10"/>
      <c r="B866" s="13"/>
      <c r="C866" s="13"/>
      <c r="D866" s="13"/>
    </row>
    <row r="867" spans="1:4" ht="13" x14ac:dyDescent="0.15">
      <c r="A867" s="10"/>
      <c r="B867" s="13"/>
      <c r="C867" s="13"/>
      <c r="D867" s="13"/>
    </row>
    <row r="868" spans="1:4" ht="13" x14ac:dyDescent="0.15">
      <c r="A868" s="10"/>
      <c r="B868" s="13"/>
      <c r="C868" s="13"/>
      <c r="D868" s="13"/>
    </row>
    <row r="869" spans="1:4" ht="13" x14ac:dyDescent="0.15">
      <c r="A869" s="10"/>
      <c r="B869" s="13"/>
      <c r="C869" s="13"/>
      <c r="D869" s="13"/>
    </row>
    <row r="870" spans="1:4" ht="13" x14ac:dyDescent="0.15">
      <c r="A870" s="10"/>
      <c r="B870" s="13"/>
      <c r="C870" s="13"/>
      <c r="D870" s="13"/>
    </row>
    <row r="871" spans="1:4" ht="13" x14ac:dyDescent="0.15">
      <c r="A871" s="10"/>
      <c r="B871" s="13"/>
      <c r="C871" s="13"/>
      <c r="D871" s="13"/>
    </row>
    <row r="872" spans="1:4" ht="13" x14ac:dyDescent="0.15">
      <c r="A872" s="10"/>
      <c r="B872" s="13"/>
      <c r="C872" s="13"/>
      <c r="D872" s="13"/>
    </row>
    <row r="873" spans="1:4" ht="13" x14ac:dyDescent="0.15">
      <c r="A873" s="10"/>
      <c r="B873" s="13"/>
      <c r="C873" s="13"/>
      <c r="D873" s="13"/>
    </row>
    <row r="874" spans="1:4" ht="13" x14ac:dyDescent="0.15">
      <c r="A874" s="10"/>
      <c r="B874" s="13"/>
      <c r="C874" s="13"/>
      <c r="D874" s="13"/>
    </row>
    <row r="875" spans="1:4" ht="13" x14ac:dyDescent="0.15">
      <c r="A875" s="10"/>
      <c r="B875" s="13"/>
      <c r="C875" s="13"/>
      <c r="D875" s="13"/>
    </row>
    <row r="876" spans="1:4" ht="13" x14ac:dyDescent="0.15">
      <c r="A876" s="10"/>
      <c r="B876" s="13"/>
      <c r="C876" s="13"/>
      <c r="D876" s="13"/>
    </row>
    <row r="877" spans="1:4" ht="13" x14ac:dyDescent="0.15">
      <c r="A877" s="10"/>
      <c r="B877" s="13"/>
      <c r="C877" s="13"/>
      <c r="D877" s="13"/>
    </row>
    <row r="878" spans="1:4" ht="13" x14ac:dyDescent="0.15">
      <c r="A878" s="10"/>
      <c r="B878" s="13"/>
      <c r="C878" s="13"/>
      <c r="D878" s="13"/>
    </row>
    <row r="879" spans="1:4" ht="13" x14ac:dyDescent="0.15">
      <c r="A879" s="10"/>
      <c r="B879" s="13"/>
      <c r="C879" s="13"/>
      <c r="D879" s="13"/>
    </row>
    <row r="880" spans="1:4" ht="13" x14ac:dyDescent="0.15">
      <c r="A880" s="10"/>
      <c r="B880" s="13"/>
      <c r="C880" s="13"/>
      <c r="D880" s="13"/>
    </row>
    <row r="881" spans="1:4" ht="13" x14ac:dyDescent="0.15">
      <c r="A881" s="10"/>
      <c r="B881" s="13"/>
      <c r="C881" s="13"/>
      <c r="D881" s="13"/>
    </row>
    <row r="882" spans="1:4" ht="13" x14ac:dyDescent="0.15">
      <c r="A882" s="10"/>
      <c r="B882" s="13"/>
      <c r="C882" s="13"/>
      <c r="D882" s="13"/>
    </row>
    <row r="883" spans="1:4" ht="13" x14ac:dyDescent="0.15">
      <c r="A883" s="10"/>
      <c r="B883" s="13"/>
      <c r="C883" s="13"/>
      <c r="D883" s="13"/>
    </row>
    <row r="884" spans="1:4" ht="13" x14ac:dyDescent="0.15">
      <c r="A884" s="10"/>
      <c r="B884" s="13"/>
      <c r="C884" s="13"/>
      <c r="D884" s="13"/>
    </row>
    <row r="885" spans="1:4" ht="13" x14ac:dyDescent="0.15">
      <c r="A885" s="10"/>
      <c r="B885" s="13"/>
      <c r="C885" s="13"/>
      <c r="D885" s="13"/>
    </row>
    <row r="886" spans="1:4" ht="13" x14ac:dyDescent="0.15">
      <c r="A886" s="10"/>
      <c r="B886" s="13"/>
      <c r="C886" s="13"/>
      <c r="D886" s="13"/>
    </row>
    <row r="887" spans="1:4" ht="13" x14ac:dyDescent="0.15">
      <c r="A887" s="10"/>
      <c r="B887" s="13"/>
      <c r="C887" s="13"/>
      <c r="D887" s="13"/>
    </row>
    <row r="888" spans="1:4" ht="13" x14ac:dyDescent="0.15">
      <c r="A888" s="10"/>
      <c r="B888" s="13"/>
      <c r="C888" s="13"/>
      <c r="D888" s="13"/>
    </row>
    <row r="889" spans="1:4" ht="13" x14ac:dyDescent="0.15">
      <c r="A889" s="10"/>
      <c r="B889" s="13"/>
      <c r="C889" s="13"/>
      <c r="D889" s="13"/>
    </row>
    <row r="890" spans="1:4" ht="13" x14ac:dyDescent="0.15">
      <c r="A890" s="10"/>
      <c r="B890" s="13"/>
      <c r="C890" s="13"/>
      <c r="D890" s="13"/>
    </row>
    <row r="891" spans="1:4" ht="13" x14ac:dyDescent="0.15">
      <c r="A891" s="10"/>
      <c r="B891" s="13"/>
      <c r="C891" s="13"/>
      <c r="D891" s="13"/>
    </row>
    <row r="892" spans="1:4" ht="13" x14ac:dyDescent="0.15">
      <c r="A892" s="10"/>
      <c r="B892" s="13"/>
      <c r="C892" s="13"/>
      <c r="D892" s="13"/>
    </row>
    <row r="893" spans="1:4" ht="13" x14ac:dyDescent="0.15">
      <c r="A893" s="10"/>
      <c r="B893" s="13"/>
      <c r="C893" s="13"/>
      <c r="D893" s="13"/>
    </row>
    <row r="894" spans="1:4" ht="13" x14ac:dyDescent="0.15">
      <c r="A894" s="10"/>
      <c r="B894" s="13"/>
      <c r="C894" s="13"/>
      <c r="D894" s="13"/>
    </row>
    <row r="895" spans="1:4" ht="13" x14ac:dyDescent="0.15">
      <c r="A895" s="10"/>
      <c r="B895" s="13"/>
      <c r="C895" s="13"/>
      <c r="D895" s="13"/>
    </row>
    <row r="896" spans="1:4" ht="13" x14ac:dyDescent="0.15">
      <c r="A896" s="10"/>
      <c r="B896" s="13"/>
      <c r="C896" s="13"/>
      <c r="D896" s="13"/>
    </row>
    <row r="897" spans="1:4" ht="13" x14ac:dyDescent="0.15">
      <c r="A897" s="10"/>
      <c r="B897" s="13"/>
      <c r="C897" s="13"/>
      <c r="D897" s="13"/>
    </row>
    <row r="898" spans="1:4" ht="13" x14ac:dyDescent="0.15">
      <c r="A898" s="10"/>
      <c r="B898" s="13"/>
      <c r="C898" s="13"/>
      <c r="D898" s="13"/>
    </row>
    <row r="899" spans="1:4" ht="13" x14ac:dyDescent="0.15">
      <c r="A899" s="10"/>
      <c r="B899" s="13"/>
      <c r="C899" s="13"/>
      <c r="D899" s="13"/>
    </row>
    <row r="900" spans="1:4" ht="13" x14ac:dyDescent="0.15">
      <c r="A900" s="10"/>
      <c r="B900" s="13"/>
      <c r="C900" s="13"/>
      <c r="D900" s="13"/>
    </row>
    <row r="901" spans="1:4" ht="13" x14ac:dyDescent="0.15">
      <c r="A901" s="10"/>
      <c r="B901" s="13"/>
      <c r="C901" s="13"/>
      <c r="D901" s="13"/>
    </row>
    <row r="902" spans="1:4" ht="13" x14ac:dyDescent="0.15">
      <c r="A902" s="10"/>
      <c r="B902" s="13"/>
      <c r="C902" s="13"/>
      <c r="D902" s="13"/>
    </row>
    <row r="903" spans="1:4" ht="13" x14ac:dyDescent="0.15">
      <c r="A903" s="10"/>
      <c r="B903" s="13"/>
      <c r="C903" s="13"/>
      <c r="D903" s="13"/>
    </row>
    <row r="904" spans="1:4" ht="13" x14ac:dyDescent="0.15">
      <c r="A904" s="10"/>
      <c r="B904" s="13"/>
      <c r="C904" s="13"/>
      <c r="D904" s="13"/>
    </row>
    <row r="905" spans="1:4" ht="13" x14ac:dyDescent="0.15">
      <c r="A905" s="10"/>
      <c r="B905" s="13"/>
      <c r="C905" s="13"/>
      <c r="D905" s="13"/>
    </row>
    <row r="906" spans="1:4" ht="13" x14ac:dyDescent="0.15">
      <c r="A906" s="10"/>
      <c r="B906" s="13"/>
      <c r="C906" s="13"/>
      <c r="D906" s="13"/>
    </row>
    <row r="907" spans="1:4" ht="13" x14ac:dyDescent="0.15">
      <c r="A907" s="10"/>
      <c r="B907" s="13"/>
      <c r="C907" s="13"/>
      <c r="D907" s="13"/>
    </row>
    <row r="908" spans="1:4" ht="13" x14ac:dyDescent="0.15">
      <c r="A908" s="10"/>
      <c r="B908" s="13"/>
      <c r="C908" s="13"/>
      <c r="D908" s="13"/>
    </row>
    <row r="909" spans="1:4" ht="13" x14ac:dyDescent="0.15">
      <c r="A909" s="10"/>
      <c r="B909" s="13"/>
      <c r="C909" s="13"/>
      <c r="D909" s="13"/>
    </row>
    <row r="910" spans="1:4" ht="13" x14ac:dyDescent="0.15">
      <c r="A910" s="10"/>
      <c r="B910" s="13"/>
      <c r="C910" s="13"/>
      <c r="D910" s="13"/>
    </row>
    <row r="911" spans="1:4" ht="13" x14ac:dyDescent="0.15">
      <c r="A911" s="10"/>
      <c r="B911" s="13"/>
      <c r="C911" s="13"/>
      <c r="D911" s="13"/>
    </row>
    <row r="912" spans="1:4" ht="13" x14ac:dyDescent="0.15">
      <c r="A912" s="10"/>
      <c r="B912" s="13"/>
      <c r="C912" s="13"/>
      <c r="D912" s="13"/>
    </row>
    <row r="913" spans="1:4" ht="13" x14ac:dyDescent="0.15">
      <c r="A913" s="10"/>
      <c r="B913" s="13"/>
      <c r="C913" s="13"/>
      <c r="D913" s="13"/>
    </row>
    <row r="914" spans="1:4" ht="13" x14ac:dyDescent="0.15">
      <c r="A914" s="10"/>
      <c r="B914" s="13"/>
      <c r="C914" s="13"/>
      <c r="D914" s="13"/>
    </row>
    <row r="915" spans="1:4" ht="13" x14ac:dyDescent="0.15">
      <c r="A915" s="10"/>
      <c r="B915" s="13"/>
      <c r="C915" s="13"/>
      <c r="D915" s="13"/>
    </row>
    <row r="916" spans="1:4" ht="13" x14ac:dyDescent="0.15">
      <c r="A916" s="10"/>
      <c r="B916" s="13"/>
      <c r="C916" s="13"/>
      <c r="D916" s="13"/>
    </row>
    <row r="917" spans="1:4" ht="13" x14ac:dyDescent="0.15">
      <c r="A917" s="10"/>
      <c r="B917" s="13"/>
      <c r="C917" s="13"/>
      <c r="D917" s="13"/>
    </row>
    <row r="918" spans="1:4" ht="13" x14ac:dyDescent="0.15">
      <c r="A918" s="10"/>
      <c r="B918" s="13"/>
      <c r="C918" s="13"/>
      <c r="D918" s="13"/>
    </row>
    <row r="919" spans="1:4" ht="13" x14ac:dyDescent="0.15">
      <c r="A919" s="10"/>
      <c r="B919" s="13"/>
      <c r="C919" s="13"/>
      <c r="D919" s="13"/>
    </row>
    <row r="920" spans="1:4" ht="13" x14ac:dyDescent="0.15">
      <c r="A920" s="10"/>
      <c r="B920" s="13"/>
      <c r="C920" s="13"/>
      <c r="D920" s="13"/>
    </row>
    <row r="921" spans="1:4" ht="13" x14ac:dyDescent="0.15">
      <c r="A921" s="10"/>
      <c r="B921" s="13"/>
      <c r="C921" s="13"/>
      <c r="D921" s="13"/>
    </row>
    <row r="922" spans="1:4" ht="13" x14ac:dyDescent="0.15">
      <c r="A922" s="10"/>
      <c r="B922" s="13"/>
      <c r="C922" s="13"/>
      <c r="D922" s="13"/>
    </row>
    <row r="923" spans="1:4" ht="13" x14ac:dyDescent="0.15">
      <c r="A923" s="10"/>
      <c r="B923" s="13"/>
      <c r="C923" s="13"/>
      <c r="D923" s="13"/>
    </row>
    <row r="924" spans="1:4" ht="13" x14ac:dyDescent="0.15">
      <c r="A924" s="10"/>
      <c r="B924" s="13"/>
      <c r="C924" s="13"/>
      <c r="D924" s="13"/>
    </row>
    <row r="925" spans="1:4" ht="13" x14ac:dyDescent="0.15">
      <c r="A925" s="10"/>
      <c r="B925" s="13"/>
      <c r="C925" s="13"/>
      <c r="D925" s="13"/>
    </row>
    <row r="926" spans="1:4" ht="13" x14ac:dyDescent="0.15">
      <c r="A926" s="10"/>
      <c r="B926" s="13"/>
      <c r="C926" s="13"/>
      <c r="D926" s="13"/>
    </row>
    <row r="927" spans="1:4" ht="13" x14ac:dyDescent="0.15">
      <c r="A927" s="10"/>
      <c r="B927" s="13"/>
      <c r="C927" s="13"/>
      <c r="D927" s="13"/>
    </row>
    <row r="928" spans="1:4" ht="13" x14ac:dyDescent="0.15">
      <c r="A928" s="10"/>
      <c r="B928" s="13"/>
      <c r="C928" s="13"/>
      <c r="D928" s="13"/>
    </row>
    <row r="929" spans="1:4" ht="13" x14ac:dyDescent="0.15">
      <c r="A929" s="10"/>
      <c r="B929" s="13"/>
      <c r="C929" s="13"/>
      <c r="D929" s="13"/>
    </row>
    <row r="930" spans="1:4" ht="13" x14ac:dyDescent="0.15">
      <c r="A930" s="10"/>
      <c r="B930" s="13"/>
      <c r="C930" s="13"/>
      <c r="D930" s="13"/>
    </row>
    <row r="931" spans="1:4" ht="13" x14ac:dyDescent="0.15">
      <c r="A931" s="10"/>
      <c r="B931" s="13"/>
      <c r="C931" s="13"/>
      <c r="D931" s="13"/>
    </row>
    <row r="932" spans="1:4" ht="13" x14ac:dyDescent="0.15">
      <c r="A932" s="10"/>
      <c r="B932" s="13"/>
      <c r="C932" s="13"/>
      <c r="D932" s="13"/>
    </row>
    <row r="933" spans="1:4" ht="13" x14ac:dyDescent="0.15">
      <c r="A933" s="10"/>
      <c r="B933" s="13"/>
      <c r="C933" s="13"/>
      <c r="D933" s="13"/>
    </row>
    <row r="934" spans="1:4" ht="13" x14ac:dyDescent="0.15">
      <c r="A934" s="10"/>
      <c r="B934" s="13"/>
      <c r="C934" s="13"/>
      <c r="D934" s="13"/>
    </row>
    <row r="935" spans="1:4" ht="13" x14ac:dyDescent="0.15">
      <c r="A935" s="10"/>
      <c r="B935" s="13"/>
      <c r="C935" s="13"/>
      <c r="D935" s="13"/>
    </row>
    <row r="936" spans="1:4" ht="13" x14ac:dyDescent="0.15">
      <c r="A936" s="10"/>
      <c r="B936" s="13"/>
      <c r="C936" s="13"/>
      <c r="D936" s="13"/>
    </row>
    <row r="937" spans="1:4" ht="13" x14ac:dyDescent="0.15">
      <c r="A937" s="10"/>
      <c r="B937" s="13"/>
      <c r="C937" s="13"/>
      <c r="D937" s="13"/>
    </row>
    <row r="938" spans="1:4" ht="13" x14ac:dyDescent="0.15">
      <c r="A938" s="10"/>
      <c r="B938" s="13"/>
      <c r="C938" s="13"/>
      <c r="D938" s="13"/>
    </row>
    <row r="939" spans="1:4" ht="13" x14ac:dyDescent="0.15">
      <c r="A939" s="10"/>
      <c r="B939" s="13"/>
      <c r="C939" s="13"/>
      <c r="D939" s="13"/>
    </row>
    <row r="940" spans="1:4" ht="13" x14ac:dyDescent="0.15">
      <c r="A940" s="10"/>
      <c r="B940" s="13"/>
      <c r="C940" s="13"/>
      <c r="D940" s="13"/>
    </row>
    <row r="941" spans="1:4" ht="13" x14ac:dyDescent="0.15">
      <c r="A941" s="10"/>
      <c r="B941" s="13"/>
      <c r="C941" s="13"/>
      <c r="D941" s="13"/>
    </row>
    <row r="942" spans="1:4" ht="13" x14ac:dyDescent="0.15">
      <c r="A942" s="10"/>
      <c r="B942" s="13"/>
      <c r="C942" s="13"/>
      <c r="D942" s="13"/>
    </row>
    <row r="943" spans="1:4" ht="13" x14ac:dyDescent="0.15">
      <c r="A943" s="10"/>
      <c r="B943" s="13"/>
      <c r="C943" s="13"/>
      <c r="D943" s="13"/>
    </row>
    <row r="944" spans="1:4" ht="13" x14ac:dyDescent="0.15">
      <c r="A944" s="10"/>
      <c r="B944" s="13"/>
      <c r="C944" s="13"/>
      <c r="D944" s="13"/>
    </row>
    <row r="945" spans="1:4" ht="13" x14ac:dyDescent="0.15">
      <c r="A945" s="10"/>
      <c r="B945" s="13"/>
      <c r="C945" s="13"/>
      <c r="D945" s="13"/>
    </row>
    <row r="946" spans="1:4" ht="13" x14ac:dyDescent="0.15">
      <c r="A946" s="10"/>
      <c r="B946" s="13"/>
      <c r="C946" s="13"/>
      <c r="D946" s="13"/>
    </row>
    <row r="947" spans="1:4" ht="13" x14ac:dyDescent="0.15">
      <c r="A947" s="10"/>
      <c r="B947" s="13"/>
      <c r="C947" s="13"/>
      <c r="D947" s="13"/>
    </row>
    <row r="948" spans="1:4" ht="13" x14ac:dyDescent="0.15">
      <c r="A948" s="10"/>
      <c r="B948" s="13"/>
      <c r="C948" s="13"/>
      <c r="D948" s="13"/>
    </row>
    <row r="949" spans="1:4" ht="13" x14ac:dyDescent="0.15">
      <c r="A949" s="10"/>
      <c r="B949" s="13"/>
      <c r="C949" s="13"/>
      <c r="D949" s="13"/>
    </row>
    <row r="950" spans="1:4" ht="13" x14ac:dyDescent="0.15">
      <c r="A950" s="10"/>
      <c r="B950" s="13"/>
      <c r="C950" s="13"/>
      <c r="D950" s="13"/>
    </row>
    <row r="951" spans="1:4" ht="13" x14ac:dyDescent="0.15">
      <c r="A951" s="10"/>
      <c r="B951" s="13"/>
      <c r="C951" s="13"/>
      <c r="D951" s="13"/>
    </row>
    <row r="952" spans="1:4" ht="13" x14ac:dyDescent="0.15">
      <c r="A952" s="10"/>
      <c r="B952" s="13"/>
      <c r="C952" s="13"/>
      <c r="D952" s="13"/>
    </row>
    <row r="953" spans="1:4" ht="13" x14ac:dyDescent="0.15">
      <c r="A953" s="10"/>
      <c r="B953" s="13"/>
      <c r="C953" s="13"/>
      <c r="D953" s="13"/>
    </row>
    <row r="954" spans="1:4" ht="13" x14ac:dyDescent="0.15">
      <c r="A954" s="10"/>
      <c r="B954" s="13"/>
      <c r="C954" s="13"/>
      <c r="D954" s="13"/>
    </row>
    <row r="955" spans="1:4" ht="13" x14ac:dyDescent="0.15">
      <c r="A955" s="10"/>
      <c r="B955" s="13"/>
      <c r="C955" s="13"/>
      <c r="D955" s="13"/>
    </row>
    <row r="956" spans="1:4" ht="13" x14ac:dyDescent="0.15">
      <c r="A956" s="10"/>
      <c r="B956" s="13"/>
      <c r="C956" s="13"/>
      <c r="D956" s="13"/>
    </row>
    <row r="957" spans="1:4" ht="13" x14ac:dyDescent="0.15">
      <c r="A957" s="10"/>
      <c r="B957" s="13"/>
      <c r="C957" s="13"/>
      <c r="D957" s="13"/>
    </row>
    <row r="958" spans="1:4" ht="13" x14ac:dyDescent="0.15">
      <c r="A958" s="10"/>
      <c r="B958" s="13"/>
      <c r="C958" s="13"/>
      <c r="D958" s="13"/>
    </row>
    <row r="959" spans="1:4" ht="13" x14ac:dyDescent="0.15">
      <c r="A959" s="10"/>
      <c r="B959" s="13"/>
      <c r="C959" s="13"/>
      <c r="D959" s="13"/>
    </row>
    <row r="960" spans="1:4" ht="13" x14ac:dyDescent="0.15">
      <c r="A960" s="10"/>
      <c r="B960" s="13"/>
      <c r="C960" s="13"/>
      <c r="D960" s="13"/>
    </row>
    <row r="961" spans="1:4" ht="13" x14ac:dyDescent="0.15">
      <c r="A961" s="10"/>
      <c r="B961" s="13"/>
      <c r="C961" s="13"/>
      <c r="D961" s="13"/>
    </row>
    <row r="962" spans="1:4" ht="13" x14ac:dyDescent="0.15">
      <c r="A962" s="10"/>
      <c r="B962" s="13"/>
      <c r="C962" s="13"/>
      <c r="D962" s="13"/>
    </row>
    <row r="963" spans="1:4" ht="13" x14ac:dyDescent="0.15">
      <c r="A963" s="10"/>
      <c r="B963" s="13"/>
      <c r="C963" s="13"/>
      <c r="D963" s="13"/>
    </row>
    <row r="964" spans="1:4" ht="13" x14ac:dyDescent="0.15">
      <c r="A964" s="10"/>
      <c r="B964" s="13"/>
      <c r="C964" s="13"/>
      <c r="D964" s="13"/>
    </row>
    <row r="965" spans="1:4" ht="13" x14ac:dyDescent="0.15">
      <c r="A965" s="10"/>
      <c r="B965" s="13"/>
      <c r="C965" s="13"/>
      <c r="D965" s="13"/>
    </row>
    <row r="966" spans="1:4" ht="13" x14ac:dyDescent="0.15">
      <c r="A966" s="10"/>
      <c r="B966" s="13"/>
      <c r="C966" s="13"/>
      <c r="D966" s="13"/>
    </row>
    <row r="967" spans="1:4" ht="13" x14ac:dyDescent="0.15">
      <c r="A967" s="10"/>
      <c r="B967" s="13"/>
      <c r="C967" s="13"/>
      <c r="D967" s="13"/>
    </row>
    <row r="968" spans="1:4" ht="13" x14ac:dyDescent="0.15">
      <c r="A968" s="10"/>
      <c r="B968" s="13"/>
      <c r="C968" s="13"/>
      <c r="D968" s="13"/>
    </row>
    <row r="969" spans="1:4" ht="13" x14ac:dyDescent="0.15">
      <c r="A969" s="10"/>
      <c r="B969" s="13"/>
      <c r="C969" s="13"/>
      <c r="D969" s="13"/>
    </row>
    <row r="970" spans="1:4" ht="13" x14ac:dyDescent="0.15">
      <c r="A970" s="10"/>
      <c r="B970" s="13"/>
      <c r="C970" s="13"/>
      <c r="D970" s="13"/>
    </row>
    <row r="971" spans="1:4" ht="13" x14ac:dyDescent="0.15">
      <c r="A971" s="10"/>
      <c r="B971" s="13"/>
      <c r="C971" s="13"/>
      <c r="D971" s="13"/>
    </row>
    <row r="972" spans="1:4" ht="13" x14ac:dyDescent="0.15">
      <c r="A972" s="10"/>
      <c r="B972" s="13"/>
      <c r="C972" s="13"/>
      <c r="D972" s="13"/>
    </row>
    <row r="973" spans="1:4" ht="13" x14ac:dyDescent="0.15">
      <c r="A973" s="10"/>
      <c r="B973" s="13"/>
      <c r="C973" s="13"/>
      <c r="D973" s="13"/>
    </row>
    <row r="974" spans="1:4" ht="13" x14ac:dyDescent="0.15">
      <c r="A974" s="10"/>
      <c r="B974" s="13"/>
      <c r="C974" s="13"/>
      <c r="D974" s="13"/>
    </row>
    <row r="975" spans="1:4" ht="13" x14ac:dyDescent="0.15">
      <c r="A975" s="10"/>
      <c r="B975" s="13"/>
      <c r="C975" s="13"/>
      <c r="D975" s="13"/>
    </row>
    <row r="976" spans="1:4" ht="13" x14ac:dyDescent="0.15">
      <c r="A976" s="10"/>
      <c r="B976" s="13"/>
      <c r="C976" s="13"/>
      <c r="D976" s="13"/>
    </row>
    <row r="977" spans="1:4" ht="13" x14ac:dyDescent="0.15">
      <c r="A977" s="10"/>
      <c r="B977" s="13"/>
      <c r="C977" s="13"/>
      <c r="D977" s="13"/>
    </row>
    <row r="978" spans="1:4" ht="13" x14ac:dyDescent="0.15">
      <c r="A978" s="10"/>
      <c r="B978" s="13"/>
      <c r="C978" s="13"/>
      <c r="D978" s="13"/>
    </row>
    <row r="979" spans="1:4" ht="13" x14ac:dyDescent="0.15">
      <c r="A979" s="10"/>
      <c r="B979" s="13"/>
      <c r="C979" s="13"/>
      <c r="D979" s="13"/>
    </row>
    <row r="980" spans="1:4" ht="13" x14ac:dyDescent="0.15">
      <c r="A980" s="10"/>
      <c r="B980" s="13"/>
      <c r="C980" s="13"/>
      <c r="D980" s="13"/>
    </row>
    <row r="981" spans="1:4" ht="13" x14ac:dyDescent="0.15">
      <c r="A981" s="10"/>
      <c r="B981" s="13"/>
      <c r="C981" s="13"/>
      <c r="D981" s="13"/>
    </row>
    <row r="982" spans="1:4" ht="13" x14ac:dyDescent="0.15">
      <c r="A982" s="10"/>
      <c r="B982" s="13"/>
      <c r="C982" s="13"/>
      <c r="D982" s="13"/>
    </row>
    <row r="983" spans="1:4" ht="13" x14ac:dyDescent="0.15">
      <c r="A983" s="10"/>
      <c r="B983" s="13"/>
      <c r="C983" s="13"/>
      <c r="D983" s="13"/>
    </row>
    <row r="984" spans="1:4" ht="13" x14ac:dyDescent="0.15">
      <c r="A984" s="10"/>
      <c r="B984" s="13"/>
      <c r="C984" s="13"/>
      <c r="D984" s="13"/>
    </row>
    <row r="985" spans="1:4" ht="13" x14ac:dyDescent="0.15">
      <c r="A985" s="10"/>
      <c r="B985" s="13"/>
      <c r="C985" s="13"/>
      <c r="D985" s="13"/>
    </row>
    <row r="986" spans="1:4" ht="13" x14ac:dyDescent="0.15">
      <c r="A986" s="10"/>
      <c r="B986" s="13"/>
      <c r="C986" s="13"/>
      <c r="D986" s="13"/>
    </row>
    <row r="987" spans="1:4" ht="13" x14ac:dyDescent="0.15">
      <c r="A987" s="10"/>
      <c r="B987" s="13"/>
      <c r="C987" s="13"/>
      <c r="D987" s="13"/>
    </row>
    <row r="988" spans="1:4" ht="13" x14ac:dyDescent="0.15">
      <c r="A988" s="10"/>
      <c r="B988" s="13"/>
      <c r="C988" s="13"/>
      <c r="D988" s="13"/>
    </row>
    <row r="989" spans="1:4" ht="13" x14ac:dyDescent="0.15">
      <c r="A989" s="10"/>
      <c r="B989" s="13"/>
      <c r="C989" s="13"/>
      <c r="D989" s="13"/>
    </row>
    <row r="990" spans="1:4" ht="13" x14ac:dyDescent="0.15">
      <c r="A990" s="10"/>
      <c r="B990" s="13"/>
      <c r="C990" s="13"/>
      <c r="D990" s="13"/>
    </row>
    <row r="991" spans="1:4" ht="13" x14ac:dyDescent="0.15">
      <c r="A991" s="10"/>
      <c r="B991" s="13"/>
      <c r="C991" s="13"/>
      <c r="D991" s="13"/>
    </row>
    <row r="992" spans="1:4" ht="13" x14ac:dyDescent="0.15">
      <c r="A992" s="10"/>
      <c r="B992" s="13"/>
      <c r="C992" s="13"/>
      <c r="D992" s="13"/>
    </row>
    <row r="993" spans="1:4" ht="13" x14ac:dyDescent="0.15">
      <c r="A993" s="10"/>
      <c r="B993" s="13"/>
      <c r="C993" s="13"/>
      <c r="D993" s="13"/>
    </row>
    <row r="994" spans="1:4" ht="13" x14ac:dyDescent="0.15">
      <c r="A994" s="10"/>
      <c r="B994" s="13"/>
      <c r="C994" s="13"/>
      <c r="D994" s="13"/>
    </row>
    <row r="995" spans="1:4" ht="13" x14ac:dyDescent="0.15">
      <c r="A995" s="10"/>
      <c r="B995" s="13"/>
      <c r="C995" s="13"/>
      <c r="D995" s="13"/>
    </row>
    <row r="996" spans="1:4" ht="13" x14ac:dyDescent="0.15">
      <c r="A996" s="10"/>
      <c r="B996" s="13"/>
      <c r="C996" s="13"/>
      <c r="D996" s="13"/>
    </row>
    <row r="997" spans="1:4" ht="13" x14ac:dyDescent="0.15">
      <c r="A997" s="10"/>
      <c r="B997" s="13"/>
      <c r="C997" s="13"/>
      <c r="D997" s="13"/>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outlinePr summaryBelow="0" summaryRight="0"/>
  </sheetPr>
  <dimension ref="A1:D997"/>
  <sheetViews>
    <sheetView workbookViewId="0"/>
  </sheetViews>
  <sheetFormatPr baseColWidth="10" defaultColWidth="12.6640625" defaultRowHeight="15.75" customHeight="1" x14ac:dyDescent="0.15"/>
  <cols>
    <col min="1" max="1" width="71.5" customWidth="1"/>
    <col min="2" max="4" width="37.6640625" customWidth="1"/>
  </cols>
  <sheetData>
    <row r="1" spans="1:4" x14ac:dyDescent="0.2">
      <c r="A1" s="1"/>
      <c r="B1" s="12" t="str">
        <f ca="1">IFERROR(__xludf.DUMMYFUNCTION("IMPORTRANGE(""https://docs.google.com/spreadsheets/d/1C06Vs6H0Eg3__x1-dePLdZcY_bo1r3ReCeWRxqLlaS4"",""A44!B1:B22"")"),"Layla Baldwin")</f>
        <v>Layla Baldwin</v>
      </c>
      <c r="C1" s="21" t="str">
        <f ca="1">IFERROR(__xludf.DUMMYFUNCTION("IMPORTRANGE(""https://docs.google.com/spreadsheets/d/1Eq2M_a4_TeZImjU1FJcBSaIp6Xib8-RIHm3cQ24mbRI"", ""A44!B1:B22"")"),"Zachary Edwards")</f>
        <v>Zachary Edwards</v>
      </c>
      <c r="D1" s="2" t="s">
        <v>1</v>
      </c>
    </row>
    <row r="2" spans="1:4" ht="15.75" customHeight="1" x14ac:dyDescent="0.15">
      <c r="A2" s="3" t="s">
        <v>2</v>
      </c>
      <c r="B2" s="15" t="str">
        <f ca="1">IFERROR(__xludf.DUMMYFUNCTION("""COMPUTED_VALUE"""),"27484-27732 forward")</f>
        <v>27484-27732 forward</v>
      </c>
      <c r="C2" s="15" t="str">
        <f ca="1">IFERROR(__xludf.DUMMYFUNCTION("""COMPUTED_VALUE"""),"PHAM Start: 27484 Stop:27732
DNAM Start:27484 Stop:27732
FOR")</f>
        <v>PHAM Start: 27484 Stop:27732
DNAM Start:27484 Stop:27732
FOR</v>
      </c>
      <c r="D2" s="4"/>
    </row>
    <row r="3" spans="1:4" ht="15.75" customHeight="1" x14ac:dyDescent="0.15">
      <c r="A3" s="5" t="s">
        <v>3</v>
      </c>
      <c r="B3" s="17" t="str">
        <f ca="1">IFERROR(__xludf.DUMMYFUNCTION("""COMPUTED_VALUE"""),"44 in Pham and PDB, 43 in DNAM")</f>
        <v>44 in Pham and PDB, 43 in DNAM</v>
      </c>
      <c r="C3" s="17" t="str">
        <f ca="1">IFERROR(__xludf.DUMMYFUNCTION("""COMPUTED_VALUE"""),"Gene 44 PHAM
Gene 43 DNAM")</f>
        <v>Gene 44 PHAM
Gene 43 DNAM</v>
      </c>
      <c r="D3" s="6"/>
    </row>
    <row r="4" spans="1:4" ht="15.75" customHeight="1" x14ac:dyDescent="0.15">
      <c r="A4" s="5" t="s">
        <v>4</v>
      </c>
      <c r="B4" s="17" t="str">
        <f ca="1">IFERROR(__xludf.DUMMYFUNCTION("""COMPUTED_VALUE"""),"209704 3/14/25")</f>
        <v>209704 3/14/25</v>
      </c>
      <c r="C4" s="17" t="str">
        <f ca="1">IFERROR(__xludf.DUMMYFUNCTION("""COMPUTED_VALUE"""),"209704 3/10/25")</f>
        <v>209704 3/10/25</v>
      </c>
      <c r="D4" s="6"/>
    </row>
    <row r="5" spans="1:4" ht="15.75" customHeight="1" x14ac:dyDescent="0.15">
      <c r="A5" s="5" t="s">
        <v>5</v>
      </c>
      <c r="B5" s="17" t="str">
        <f ca="1">IFERROR(__xludf.DUMMYFUNCTION("""COMPUTED_VALUE"""),"Orhpan")</f>
        <v>Orhpan</v>
      </c>
      <c r="C5" s="17" t="str">
        <f ca="1">IFERROR(__xludf.DUMMYFUNCTION("""COMPUTED_VALUE"""),"None")</f>
        <v>None</v>
      </c>
      <c r="D5" s="6"/>
    </row>
    <row r="6" spans="1:4" ht="15.75" customHeight="1" x14ac:dyDescent="0.15">
      <c r="A6" s="5" t="s">
        <v>6</v>
      </c>
      <c r="B6" s="17" t="str">
        <f ca="1">IFERROR(__xludf.DUMMYFUNCTION("""COMPUTED_VALUE"""),"Both")</f>
        <v>Both</v>
      </c>
      <c r="C6" s="17" t="str">
        <f ca="1">IFERROR(__xludf.DUMMYFUNCTION("""COMPUTED_VALUE"""),"Both call it a gene")</f>
        <v>Both call it a gene</v>
      </c>
      <c r="D6" s="6"/>
    </row>
    <row r="7" spans="1:4" ht="15.75" customHeight="1" x14ac:dyDescent="0.15">
      <c r="A7" s="5" t="s">
        <v>7</v>
      </c>
      <c r="B7" s="17" t="str">
        <f ca="1">IFERROR(__xludf.DUMMYFUNCTION("""COMPUTED_VALUE"""),"Start captures potential, gene has good coding potential")</f>
        <v>Start captures potential, gene has good coding potential</v>
      </c>
      <c r="C7" s="17" t="str">
        <f ca="1">IFERROR(__xludf.DUMMYFUNCTION("""COMPUTED_VALUE"""),"Yes all coding is included")</f>
        <v>Yes all coding is included</v>
      </c>
      <c r="D7" s="6"/>
    </row>
    <row r="8" spans="1:4" ht="15.75" customHeight="1" x14ac:dyDescent="0.15">
      <c r="A8" s="5" t="s">
        <v>8</v>
      </c>
      <c r="B8" s="17" t="str">
        <f ca="1">IFERROR(__xludf.DUMMYFUNCTION("""COMPUTED_VALUE"""),"No, three previous starts")</f>
        <v>No, three previous starts</v>
      </c>
      <c r="C8" s="17" t="str">
        <f ca="1">IFERROR(__xludf.DUMMYFUNCTION("""COMPUTED_VALUE"""),"Yes")</f>
        <v>Yes</v>
      </c>
      <c r="D8" s="6"/>
    </row>
    <row r="9" spans="1:4" ht="15.75" customHeight="1" x14ac:dyDescent="0.15">
      <c r="A9" s="5" t="s">
        <v>9</v>
      </c>
      <c r="B9" s="17" t="str">
        <f ca="1">IFERROR(__xludf.DUMMYFUNCTION("""COMPUTED_VALUE"""),"No gap or overlap")</f>
        <v>No gap or overlap</v>
      </c>
      <c r="C9" s="17" t="str">
        <f ca="1">IFERROR(__xludf.DUMMYFUNCTION("""COMPUTED_VALUE"""),"The Stop of Gene 43 (42 DNAM)  is the Gene 44 Start.
3 NT overlap at end")</f>
        <v>The Stop of Gene 43 (42 DNAM)  is the Gene 44 Start.
3 NT overlap at end</v>
      </c>
      <c r="D9" s="6"/>
    </row>
    <row r="10" spans="1:4" ht="15.75" customHeight="1" x14ac:dyDescent="0.15">
      <c r="A10" s="5" t="s">
        <v>10</v>
      </c>
      <c r="B10" s="17" t="str">
        <f ca="1">IFERROR(__xludf.DUMMYFUNCTION("""COMPUTED_VALUE""")," For current start: Z = 2.172, final = -4.192. Second best scores. The second start has the best scores")</f>
        <v xml:space="preserve"> For current start: Z = 2.172, final = -4.192. Second best scores. The second start has the best scores</v>
      </c>
      <c r="C10" s="17" t="str">
        <f ca="1">IFERROR(__xludf.DUMMYFUNCTION("""COMPUTED_VALUE"""),"The RBS of the start is 2.172. above 2 for the other start potentials")</f>
        <v>The RBS of the start is 2.172. above 2 for the other start potentials</v>
      </c>
      <c r="D10" s="6"/>
    </row>
    <row r="11" spans="1:4" ht="15.75" customHeight="1" x14ac:dyDescent="0.15">
      <c r="A11" s="5" t="s">
        <v>11</v>
      </c>
      <c r="B11" s="17" t="str">
        <f ca="1">IFERROR(__xludf.DUMMYFUNCTION("""COMPUTED_VALUE"""),"Kovu_46, identity = 67.65, e = 6.9e-7, q1:s1")</f>
        <v>Kovu_46, identity = 67.65, e = 6.9e-7, q1:s1</v>
      </c>
      <c r="C11" s="17" t="str">
        <f ca="1">IFERROR(__xludf.DUMMYFUNCTION("""COMPUTED_VALUE"""),"Compared to the first portion of KOVU_46.
E: 6.9e-7
%ID: 67.65
1:1 on that first portion")</f>
        <v>Compared to the first portion of KOVU_46.
E: 6.9e-7
%ID: 67.65
1:1 on that first portion</v>
      </c>
      <c r="D11" s="6"/>
    </row>
    <row r="12" spans="1:4" ht="15.75" customHeight="1" x14ac:dyDescent="0.15">
      <c r="A12" s="5" t="s">
        <v>12</v>
      </c>
      <c r="B12" s="17" t="str">
        <f ca="1">IFERROR(__xludf.DUMMYFUNCTION("""COMPUTED_VALUE"""),"No data, orpham")</f>
        <v>No data, orpham</v>
      </c>
      <c r="C12" s="17" t="str">
        <f ca="1">IFERROR(__xludf.DUMMYFUNCTION("""COMPUTED_VALUE"""),"Orphan no data")</f>
        <v>Orphan no data</v>
      </c>
      <c r="D12" s="6"/>
    </row>
    <row r="13" spans="1:4" ht="15.75" customHeight="1" x14ac:dyDescent="0.15">
      <c r="A13" s="5" t="s">
        <v>13</v>
      </c>
      <c r="B13" s="17" t="str">
        <f ca="1">IFERROR(__xludf.DUMMYFUNCTION("""COMPUTED_VALUE"""),"No, no reason to change the start except the scores, but moving the start there would cause a large overlap.")</f>
        <v>No, no reason to change the start except the scores, but moving the start there would cause a large overlap.</v>
      </c>
      <c r="C13" s="17" t="str">
        <f ca="1">IFERROR(__xludf.DUMMYFUNCTION("""COMPUTED_VALUE"""),"No reason to")</f>
        <v>No reason to</v>
      </c>
      <c r="D13" s="6"/>
    </row>
    <row r="14" spans="1:4" ht="15.75" customHeight="1" x14ac:dyDescent="0.15">
      <c r="A14" s="5" t="s">
        <v>14</v>
      </c>
      <c r="B14" s="17" t="str">
        <f ca="1">IFERROR(__xludf.DUMMYFUNCTION("""COMPUTED_VALUE"""),"Kovu_46, e = 5e-9")</f>
        <v>Kovu_46, e = 5e-9</v>
      </c>
      <c r="C14" s="17" t="str">
        <f ca="1">IFERROR(__xludf.DUMMYFUNCTION("""COMPUTED_VALUE"""),"Unknown Function")</f>
        <v>Unknown Function</v>
      </c>
      <c r="D14" s="6"/>
    </row>
    <row r="15" spans="1:4" ht="15.75" customHeight="1" x14ac:dyDescent="0.15">
      <c r="A15" s="5" t="s">
        <v>15</v>
      </c>
      <c r="B15" s="17" t="str">
        <f ca="1">IFERROR(__xludf.DUMMYFUNCTION("""COMPUTED_VALUE"""),"function unkown")</f>
        <v>function unkown</v>
      </c>
      <c r="C15" s="17" t="str">
        <f ca="1">IFERROR(__xludf.DUMMYFUNCTION("""COMPUTED_VALUE"""),"Compared to the first portion of KOVU_46.
")</f>
        <v xml:space="preserve">Compared to the first portion of KOVU_46.
</v>
      </c>
      <c r="D15" s="6"/>
    </row>
    <row r="16" spans="1:4" ht="15.75" customHeight="1" x14ac:dyDescent="0.15">
      <c r="A16" s="5" t="s">
        <v>16</v>
      </c>
      <c r="B16" s="17" t="str">
        <f ca="1">IFERROR(__xludf.DUMMYFUNCTION("""COMPUTED_VALUE"""),"Yes")</f>
        <v>Yes</v>
      </c>
      <c r="C16" s="17" t="str">
        <f ca="1">IFERROR(__xludf.DUMMYFUNCTION("""COMPUTED_VALUE"""),"Found in the same genetic environment as Kovu_46")</f>
        <v>Found in the same genetic environment as Kovu_46</v>
      </c>
      <c r="D16" s="6"/>
    </row>
    <row r="17" spans="1:4" ht="15.75" customHeight="1" x14ac:dyDescent="0.15">
      <c r="A17" s="5" t="s">
        <v>17</v>
      </c>
      <c r="B17" s="17" t="str">
        <f ca="1">IFERROR(__xludf.DUMMYFUNCTION("""COMPUTED_VALUE"""),"DNA binding domain of partition protein StbA of plasmid R388, AOQ = 43, AOT = 72, probability = 62, no functional domain")</f>
        <v>DNA binding domain of partition protein StbA of plasmid R388, AOQ = 43, AOT = 72, probability = 62, no functional domain</v>
      </c>
      <c r="C17" s="17" t="str">
        <f ca="1">IFERROR(__xludf.DUMMYFUNCTION("""COMPUTED_VALUE"""),"Nothing of Comparability")</f>
        <v>Nothing of Comparability</v>
      </c>
      <c r="D17" s="6"/>
    </row>
    <row r="18" spans="1:4" ht="15.75" customHeight="1" x14ac:dyDescent="0.15">
      <c r="A18" s="5" t="s">
        <v>18</v>
      </c>
      <c r="B18" s="17" t="str">
        <f ca="1">IFERROR(__xludf.DUMMYFUNCTION("""COMPUTED_VALUE"""),"No")</f>
        <v>No</v>
      </c>
      <c r="C18" s="17" t="str">
        <f ca="1">IFERROR(__xludf.DUMMYFUNCTION("""COMPUTED_VALUE"""),"DUF")</f>
        <v>DUF</v>
      </c>
      <c r="D18" s="6"/>
    </row>
    <row r="19" spans="1:4" ht="15.75" customHeight="1" x14ac:dyDescent="0.15">
      <c r="A19" s="5" t="s">
        <v>19</v>
      </c>
      <c r="B19" s="17" t="str">
        <f ca="1">IFERROR(__xludf.DUMMYFUNCTION("""COMPUTED_VALUE"""),"No")</f>
        <v>No</v>
      </c>
      <c r="C19" s="17" t="str">
        <f ca="1">IFERROR(__xludf.DUMMYFUNCTION("""COMPUTED_VALUE"""),"no")</f>
        <v>no</v>
      </c>
      <c r="D19" s="6"/>
    </row>
    <row r="20" spans="1:4" ht="15.75" customHeight="1" x14ac:dyDescent="0.15">
      <c r="A20" s="5" t="s">
        <v>20</v>
      </c>
      <c r="B20" s="17" t="str">
        <f ca="1">IFERROR(__xludf.DUMMYFUNCTION("""COMPUTED_VALUE"""),"Hypothetical protein, no evidence to support anything else")</f>
        <v>Hypothetical protein, no evidence to support anything else</v>
      </c>
      <c r="C20" s="17" t="str">
        <f ca="1">IFERROR(__xludf.DUMMYFUNCTION("""COMPUTED_VALUE"""),"Hypothetical Protein")</f>
        <v>Hypothetical Protein</v>
      </c>
      <c r="D20" s="6"/>
    </row>
    <row r="21" spans="1:4" x14ac:dyDescent="0.2">
      <c r="A21" s="7"/>
      <c r="B21" s="19"/>
      <c r="C21" s="19"/>
      <c r="D21" s="8"/>
    </row>
    <row r="22" spans="1:4" ht="15.75" customHeight="1" x14ac:dyDescent="0.15">
      <c r="A22" s="9" t="s">
        <v>21</v>
      </c>
      <c r="B22" s="19"/>
      <c r="C22" s="19"/>
      <c r="D22" s="8"/>
    </row>
    <row r="23" spans="1:4" ht="15.75" customHeight="1" x14ac:dyDescent="0.15">
      <c r="A23" s="10"/>
      <c r="B23" s="13"/>
      <c r="C23" s="13"/>
    </row>
    <row r="24" spans="1:4" ht="15.75" customHeight="1" x14ac:dyDescent="0.15">
      <c r="A24" s="10"/>
      <c r="B24" s="13"/>
      <c r="C24" s="13"/>
    </row>
    <row r="25" spans="1:4" ht="15.75" customHeight="1" x14ac:dyDescent="0.15">
      <c r="A25" s="10"/>
      <c r="B25" s="13"/>
      <c r="C25" s="13"/>
    </row>
    <row r="26" spans="1:4" ht="15.75" customHeight="1" x14ac:dyDescent="0.15">
      <c r="A26" s="10"/>
      <c r="B26" s="13"/>
      <c r="C26" s="13"/>
    </row>
    <row r="27" spans="1:4" ht="15.75" customHeight="1" x14ac:dyDescent="0.15">
      <c r="A27" s="10"/>
      <c r="B27" s="13"/>
      <c r="C27" s="13"/>
    </row>
    <row r="28" spans="1:4" ht="15.75" customHeight="1" x14ac:dyDescent="0.15">
      <c r="A28" s="10"/>
      <c r="B28" s="13"/>
      <c r="C28" s="13"/>
    </row>
    <row r="29" spans="1:4" ht="15.75" customHeight="1" x14ac:dyDescent="0.15">
      <c r="A29" s="10"/>
      <c r="B29" s="13"/>
      <c r="C29" s="13"/>
    </row>
    <row r="30" spans="1:4" ht="15.75" customHeight="1" x14ac:dyDescent="0.15">
      <c r="A30" s="10"/>
      <c r="B30" s="13"/>
      <c r="C30" s="13"/>
    </row>
    <row r="31" spans="1:4" ht="15.75" customHeight="1" x14ac:dyDescent="0.15">
      <c r="A31" s="10"/>
      <c r="B31" s="13"/>
      <c r="C31" s="13"/>
    </row>
    <row r="32" spans="1:4" ht="15.75" customHeight="1" x14ac:dyDescent="0.15">
      <c r="A32" s="10"/>
      <c r="B32" s="13"/>
      <c r="C32" s="13"/>
    </row>
    <row r="33" spans="1:3" ht="15.75" customHeight="1" x14ac:dyDescent="0.15">
      <c r="A33" s="10"/>
      <c r="B33" s="13"/>
      <c r="C33" s="13"/>
    </row>
    <row r="34" spans="1:3" ht="15.75" customHeight="1" x14ac:dyDescent="0.15">
      <c r="A34" s="10"/>
      <c r="B34" s="13"/>
      <c r="C34" s="13"/>
    </row>
    <row r="35" spans="1:3" ht="15.75" customHeight="1" x14ac:dyDescent="0.15">
      <c r="A35" s="10"/>
      <c r="B35" s="13"/>
      <c r="C35" s="13"/>
    </row>
    <row r="36" spans="1:3" ht="15.75" customHeight="1" x14ac:dyDescent="0.15">
      <c r="A36" s="10"/>
      <c r="B36" s="13"/>
      <c r="C36" s="13"/>
    </row>
    <row r="37" spans="1:3" ht="15.75" customHeight="1" x14ac:dyDescent="0.15">
      <c r="A37" s="10"/>
      <c r="B37" s="13"/>
      <c r="C37" s="13"/>
    </row>
    <row r="38" spans="1:3" ht="15.75" customHeight="1" x14ac:dyDescent="0.15">
      <c r="A38" s="10"/>
      <c r="B38" s="13"/>
      <c r="C38" s="13"/>
    </row>
    <row r="39" spans="1:3" ht="13" x14ac:dyDescent="0.15">
      <c r="A39" s="10"/>
      <c r="B39" s="13"/>
      <c r="C39" s="13"/>
    </row>
    <row r="40" spans="1:3" ht="13" x14ac:dyDescent="0.15">
      <c r="A40" s="10"/>
      <c r="B40" s="13"/>
      <c r="C40" s="13"/>
    </row>
    <row r="41" spans="1:3" ht="13" x14ac:dyDescent="0.15">
      <c r="A41" s="10"/>
      <c r="B41" s="13"/>
      <c r="C41" s="13"/>
    </row>
    <row r="42" spans="1:3" ht="13" x14ac:dyDescent="0.15">
      <c r="A42" s="10"/>
      <c r="B42" s="13"/>
      <c r="C42" s="13"/>
    </row>
    <row r="43" spans="1:3" ht="13" x14ac:dyDescent="0.15">
      <c r="A43" s="10"/>
      <c r="B43" s="13"/>
      <c r="C43" s="13"/>
    </row>
    <row r="44" spans="1:3" ht="13" x14ac:dyDescent="0.15">
      <c r="A44" s="10"/>
      <c r="B44" s="13"/>
      <c r="C44" s="13"/>
    </row>
    <row r="45" spans="1:3" ht="13" x14ac:dyDescent="0.15">
      <c r="A45" s="10"/>
      <c r="B45" s="13"/>
      <c r="C45" s="13"/>
    </row>
    <row r="46" spans="1:3" ht="13" x14ac:dyDescent="0.15">
      <c r="A46" s="10"/>
      <c r="B46" s="13"/>
      <c r="C46" s="13"/>
    </row>
    <row r="47" spans="1:3" ht="13" x14ac:dyDescent="0.15">
      <c r="A47" s="10"/>
      <c r="B47" s="13"/>
      <c r="C47" s="13"/>
    </row>
    <row r="48" spans="1:3" ht="13" x14ac:dyDescent="0.15">
      <c r="A48" s="10"/>
      <c r="B48" s="13"/>
      <c r="C48" s="13"/>
    </row>
    <row r="49" spans="1:3" ht="13" x14ac:dyDescent="0.15">
      <c r="A49" s="10"/>
      <c r="B49" s="13"/>
      <c r="C49" s="13"/>
    </row>
    <row r="50" spans="1:3" ht="13" x14ac:dyDescent="0.15">
      <c r="A50" s="10"/>
      <c r="B50" s="13"/>
      <c r="C50" s="13"/>
    </row>
    <row r="51" spans="1:3" ht="13" x14ac:dyDescent="0.15">
      <c r="A51" s="10"/>
      <c r="B51" s="13"/>
      <c r="C51" s="13"/>
    </row>
    <row r="52" spans="1:3" ht="13" x14ac:dyDescent="0.15">
      <c r="A52" s="10"/>
      <c r="B52" s="13"/>
      <c r="C52" s="13"/>
    </row>
    <row r="53" spans="1:3" ht="13" x14ac:dyDescent="0.15">
      <c r="A53" s="10"/>
      <c r="B53" s="13"/>
      <c r="C53" s="13"/>
    </row>
    <row r="54" spans="1:3" ht="13" x14ac:dyDescent="0.15">
      <c r="A54" s="10"/>
      <c r="B54" s="13"/>
      <c r="C54" s="13"/>
    </row>
    <row r="55" spans="1:3" ht="13" x14ac:dyDescent="0.15">
      <c r="A55" s="10"/>
      <c r="B55" s="13"/>
      <c r="C55" s="13"/>
    </row>
    <row r="56" spans="1:3" ht="13" x14ac:dyDescent="0.15">
      <c r="A56" s="10"/>
      <c r="B56" s="13"/>
      <c r="C56" s="13"/>
    </row>
    <row r="57" spans="1:3" ht="13" x14ac:dyDescent="0.15">
      <c r="A57" s="10"/>
      <c r="B57" s="13"/>
      <c r="C57" s="13"/>
    </row>
    <row r="58" spans="1:3" ht="13" x14ac:dyDescent="0.15">
      <c r="A58" s="10"/>
      <c r="B58" s="13"/>
      <c r="C58" s="13"/>
    </row>
    <row r="59" spans="1:3" ht="13" x14ac:dyDescent="0.15">
      <c r="A59" s="10"/>
      <c r="B59" s="13"/>
      <c r="C59" s="13"/>
    </row>
    <row r="60" spans="1:3" ht="13" x14ac:dyDescent="0.15">
      <c r="A60" s="10"/>
      <c r="B60" s="13"/>
      <c r="C60" s="13"/>
    </row>
    <row r="61" spans="1:3" ht="13" x14ac:dyDescent="0.15">
      <c r="A61" s="10"/>
      <c r="B61" s="13"/>
      <c r="C61" s="13"/>
    </row>
    <row r="62" spans="1:3" ht="13" x14ac:dyDescent="0.15">
      <c r="A62" s="10"/>
      <c r="B62" s="13"/>
      <c r="C62" s="13"/>
    </row>
    <row r="63" spans="1:3" ht="13" x14ac:dyDescent="0.15">
      <c r="A63" s="10"/>
      <c r="B63" s="13"/>
      <c r="C63" s="13"/>
    </row>
    <row r="64" spans="1:3" ht="13" x14ac:dyDescent="0.15">
      <c r="A64" s="10"/>
      <c r="B64" s="13"/>
      <c r="C64" s="13"/>
    </row>
    <row r="65" spans="1:3" ht="13" x14ac:dyDescent="0.15">
      <c r="A65" s="10"/>
      <c r="B65" s="13"/>
      <c r="C65" s="13"/>
    </row>
    <row r="66" spans="1:3" ht="13" x14ac:dyDescent="0.15">
      <c r="A66" s="10"/>
      <c r="B66" s="13"/>
      <c r="C66" s="13"/>
    </row>
    <row r="67" spans="1:3" ht="13" x14ac:dyDescent="0.15">
      <c r="A67" s="10"/>
      <c r="B67" s="13"/>
      <c r="C67" s="13"/>
    </row>
    <row r="68" spans="1:3" ht="13" x14ac:dyDescent="0.15">
      <c r="A68" s="10"/>
      <c r="B68" s="13"/>
      <c r="C68" s="13"/>
    </row>
    <row r="69" spans="1:3" ht="13" x14ac:dyDescent="0.15">
      <c r="A69" s="10"/>
      <c r="B69" s="13"/>
      <c r="C69" s="13"/>
    </row>
    <row r="70" spans="1:3" ht="13" x14ac:dyDescent="0.15">
      <c r="A70" s="10"/>
      <c r="B70" s="13"/>
      <c r="C70" s="13"/>
    </row>
    <row r="71" spans="1:3" ht="13" x14ac:dyDescent="0.15">
      <c r="A71" s="10"/>
      <c r="B71" s="13"/>
      <c r="C71" s="13"/>
    </row>
    <row r="72" spans="1:3" ht="13" x14ac:dyDescent="0.15">
      <c r="A72" s="10"/>
      <c r="B72" s="13"/>
      <c r="C72" s="13"/>
    </row>
    <row r="73" spans="1:3" ht="13" x14ac:dyDescent="0.15">
      <c r="A73" s="10"/>
      <c r="B73" s="13"/>
      <c r="C73" s="13"/>
    </row>
    <row r="74" spans="1:3" ht="13" x14ac:dyDescent="0.15">
      <c r="A74" s="10"/>
      <c r="B74" s="13"/>
      <c r="C74" s="13"/>
    </row>
    <row r="75" spans="1:3" ht="13" x14ac:dyDescent="0.15">
      <c r="A75" s="10"/>
      <c r="B75" s="13"/>
      <c r="C75" s="13"/>
    </row>
    <row r="76" spans="1:3" ht="13" x14ac:dyDescent="0.15">
      <c r="A76" s="10"/>
      <c r="B76" s="13"/>
      <c r="C76" s="13"/>
    </row>
    <row r="77" spans="1:3" ht="13" x14ac:dyDescent="0.15">
      <c r="A77" s="10"/>
      <c r="B77" s="13"/>
      <c r="C77" s="13"/>
    </row>
    <row r="78" spans="1:3" ht="13" x14ac:dyDescent="0.15">
      <c r="A78" s="10"/>
      <c r="B78" s="13"/>
      <c r="C78" s="13"/>
    </row>
    <row r="79" spans="1:3" ht="13" x14ac:dyDescent="0.15">
      <c r="A79" s="10"/>
      <c r="B79" s="13"/>
      <c r="C79" s="13"/>
    </row>
    <row r="80" spans="1:3" ht="13" x14ac:dyDescent="0.15">
      <c r="A80" s="10"/>
      <c r="B80" s="13"/>
      <c r="C80" s="13"/>
    </row>
    <row r="81" spans="1:3" ht="13" x14ac:dyDescent="0.15">
      <c r="A81" s="10"/>
      <c r="B81" s="13"/>
      <c r="C81" s="13"/>
    </row>
    <row r="82" spans="1:3" ht="13" x14ac:dyDescent="0.15">
      <c r="A82" s="10"/>
      <c r="B82" s="13"/>
      <c r="C82" s="13"/>
    </row>
    <row r="83" spans="1:3" ht="13" x14ac:dyDescent="0.15">
      <c r="A83" s="10"/>
      <c r="B83" s="13"/>
      <c r="C83" s="13"/>
    </row>
    <row r="84" spans="1:3" ht="13" x14ac:dyDescent="0.15">
      <c r="A84" s="10"/>
      <c r="B84" s="13"/>
      <c r="C84" s="13"/>
    </row>
    <row r="85" spans="1:3" ht="13" x14ac:dyDescent="0.15">
      <c r="A85" s="10"/>
      <c r="B85" s="13"/>
      <c r="C85" s="13"/>
    </row>
    <row r="86" spans="1:3" ht="13" x14ac:dyDescent="0.15">
      <c r="A86" s="10"/>
      <c r="B86" s="13"/>
      <c r="C86" s="13"/>
    </row>
    <row r="87" spans="1:3" ht="13" x14ac:dyDescent="0.15">
      <c r="A87" s="10"/>
      <c r="B87" s="13"/>
      <c r="C87" s="13"/>
    </row>
    <row r="88" spans="1:3" ht="13" x14ac:dyDescent="0.15">
      <c r="A88" s="10"/>
      <c r="B88" s="13"/>
      <c r="C88" s="13"/>
    </row>
    <row r="89" spans="1:3" ht="13" x14ac:dyDescent="0.15">
      <c r="A89" s="10"/>
      <c r="B89" s="13"/>
      <c r="C89" s="13"/>
    </row>
    <row r="90" spans="1:3" ht="13" x14ac:dyDescent="0.15">
      <c r="A90" s="10"/>
      <c r="B90" s="13"/>
      <c r="C90" s="13"/>
    </row>
    <row r="91" spans="1:3" ht="13" x14ac:dyDescent="0.15">
      <c r="A91" s="10"/>
      <c r="B91" s="13"/>
      <c r="C91" s="13"/>
    </row>
    <row r="92" spans="1:3" ht="13" x14ac:dyDescent="0.15">
      <c r="A92" s="10"/>
      <c r="B92" s="13"/>
      <c r="C92" s="13"/>
    </row>
    <row r="93" spans="1:3" ht="13" x14ac:dyDescent="0.15">
      <c r="A93" s="10"/>
      <c r="B93" s="13"/>
      <c r="C93" s="13"/>
    </row>
    <row r="94" spans="1:3" ht="13" x14ac:dyDescent="0.15">
      <c r="A94" s="10"/>
      <c r="B94" s="13"/>
      <c r="C94" s="13"/>
    </row>
    <row r="95" spans="1:3" ht="13" x14ac:dyDescent="0.15">
      <c r="A95" s="10"/>
      <c r="B95" s="13"/>
      <c r="C95" s="13"/>
    </row>
    <row r="96" spans="1:3" ht="13" x14ac:dyDescent="0.15">
      <c r="A96" s="10"/>
      <c r="B96" s="13"/>
      <c r="C96" s="13"/>
    </row>
    <row r="97" spans="1:3" ht="13" x14ac:dyDescent="0.15">
      <c r="A97" s="10"/>
      <c r="B97" s="13"/>
      <c r="C97" s="13"/>
    </row>
    <row r="98" spans="1:3" ht="13" x14ac:dyDescent="0.15">
      <c r="A98" s="10"/>
      <c r="B98" s="13"/>
      <c r="C98" s="13"/>
    </row>
    <row r="99" spans="1:3" ht="13" x14ac:dyDescent="0.15">
      <c r="A99" s="10"/>
      <c r="B99" s="13"/>
      <c r="C99" s="13"/>
    </row>
    <row r="100" spans="1:3" ht="13" x14ac:dyDescent="0.15">
      <c r="A100" s="10"/>
      <c r="B100" s="13"/>
      <c r="C100" s="13"/>
    </row>
    <row r="101" spans="1:3" ht="13" x14ac:dyDescent="0.15">
      <c r="A101" s="10"/>
      <c r="B101" s="13"/>
      <c r="C101" s="13"/>
    </row>
    <row r="102" spans="1:3" ht="13" x14ac:dyDescent="0.15">
      <c r="A102" s="10"/>
      <c r="B102" s="13"/>
      <c r="C102" s="13"/>
    </row>
    <row r="103" spans="1:3" ht="13" x14ac:dyDescent="0.15">
      <c r="A103" s="10"/>
      <c r="B103" s="13"/>
      <c r="C103" s="13"/>
    </row>
    <row r="104" spans="1:3" ht="13" x14ac:dyDescent="0.15">
      <c r="A104" s="10"/>
      <c r="B104" s="13"/>
      <c r="C104" s="13"/>
    </row>
    <row r="105" spans="1:3" ht="13" x14ac:dyDescent="0.15">
      <c r="A105" s="10"/>
      <c r="B105" s="13"/>
      <c r="C105" s="13"/>
    </row>
    <row r="106" spans="1:3" ht="13" x14ac:dyDescent="0.15">
      <c r="A106" s="10"/>
      <c r="B106" s="13"/>
      <c r="C106" s="13"/>
    </row>
    <row r="107" spans="1:3" ht="13" x14ac:dyDescent="0.15">
      <c r="A107" s="10"/>
      <c r="B107" s="13"/>
      <c r="C107" s="13"/>
    </row>
    <row r="108" spans="1:3" ht="13" x14ac:dyDescent="0.15">
      <c r="A108" s="10"/>
      <c r="B108" s="13"/>
      <c r="C108" s="13"/>
    </row>
    <row r="109" spans="1:3" ht="13" x14ac:dyDescent="0.15">
      <c r="A109" s="10"/>
      <c r="B109" s="13"/>
      <c r="C109" s="13"/>
    </row>
    <row r="110" spans="1:3" ht="13" x14ac:dyDescent="0.15">
      <c r="A110" s="10"/>
      <c r="B110" s="13"/>
      <c r="C110" s="13"/>
    </row>
    <row r="111" spans="1:3" ht="13" x14ac:dyDescent="0.15">
      <c r="A111" s="10"/>
      <c r="B111" s="13"/>
      <c r="C111" s="13"/>
    </row>
    <row r="112" spans="1:3" ht="13" x14ac:dyDescent="0.15">
      <c r="A112" s="10"/>
      <c r="B112" s="13"/>
      <c r="C112" s="13"/>
    </row>
    <row r="113" spans="1:3" ht="13" x14ac:dyDescent="0.15">
      <c r="A113" s="10"/>
      <c r="B113" s="13"/>
      <c r="C113" s="13"/>
    </row>
    <row r="114" spans="1:3" ht="13" x14ac:dyDescent="0.15">
      <c r="A114" s="10"/>
      <c r="B114" s="13"/>
      <c r="C114" s="13"/>
    </row>
    <row r="115" spans="1:3" ht="13" x14ac:dyDescent="0.15">
      <c r="A115" s="10"/>
      <c r="B115" s="13"/>
      <c r="C115" s="13"/>
    </row>
    <row r="116" spans="1:3" ht="13" x14ac:dyDescent="0.15">
      <c r="A116" s="10"/>
      <c r="B116" s="13"/>
      <c r="C116" s="13"/>
    </row>
    <row r="117" spans="1:3" ht="13" x14ac:dyDescent="0.15">
      <c r="A117" s="10"/>
      <c r="B117" s="13"/>
      <c r="C117" s="13"/>
    </row>
    <row r="118" spans="1:3" ht="13" x14ac:dyDescent="0.15">
      <c r="A118" s="10"/>
      <c r="B118" s="13"/>
      <c r="C118" s="13"/>
    </row>
    <row r="119" spans="1:3" ht="13" x14ac:dyDescent="0.15">
      <c r="A119" s="10"/>
      <c r="B119" s="13"/>
      <c r="C119" s="13"/>
    </row>
    <row r="120" spans="1:3" ht="13" x14ac:dyDescent="0.15">
      <c r="A120" s="10"/>
      <c r="B120" s="13"/>
      <c r="C120" s="13"/>
    </row>
    <row r="121" spans="1:3" ht="13" x14ac:dyDescent="0.15">
      <c r="A121" s="10"/>
      <c r="B121" s="13"/>
      <c r="C121" s="13"/>
    </row>
    <row r="122" spans="1:3" ht="13" x14ac:dyDescent="0.15">
      <c r="A122" s="10"/>
      <c r="B122" s="13"/>
      <c r="C122" s="13"/>
    </row>
    <row r="123" spans="1:3" ht="13" x14ac:dyDescent="0.15">
      <c r="A123" s="10"/>
      <c r="B123" s="13"/>
      <c r="C123" s="13"/>
    </row>
    <row r="124" spans="1:3" ht="13" x14ac:dyDescent="0.15">
      <c r="A124" s="10"/>
      <c r="B124" s="13"/>
      <c r="C124" s="13"/>
    </row>
    <row r="125" spans="1:3" ht="13" x14ac:dyDescent="0.15">
      <c r="A125" s="10"/>
      <c r="B125" s="13"/>
      <c r="C125" s="13"/>
    </row>
    <row r="126" spans="1:3" ht="13" x14ac:dyDescent="0.15">
      <c r="A126" s="10"/>
      <c r="B126" s="13"/>
      <c r="C126" s="13"/>
    </row>
    <row r="127" spans="1:3" ht="13" x14ac:dyDescent="0.15">
      <c r="A127" s="10"/>
      <c r="B127" s="13"/>
      <c r="C127" s="13"/>
    </row>
    <row r="128" spans="1:3" ht="13" x14ac:dyDescent="0.15">
      <c r="A128" s="10"/>
      <c r="B128" s="13"/>
      <c r="C128" s="13"/>
    </row>
    <row r="129" spans="1:3" ht="13" x14ac:dyDescent="0.15">
      <c r="A129" s="10"/>
      <c r="B129" s="13"/>
      <c r="C129" s="13"/>
    </row>
    <row r="130" spans="1:3" ht="13" x14ac:dyDescent="0.15">
      <c r="A130" s="10"/>
      <c r="B130" s="13"/>
      <c r="C130" s="13"/>
    </row>
    <row r="131" spans="1:3" ht="13" x14ac:dyDescent="0.15">
      <c r="A131" s="10"/>
      <c r="B131" s="13"/>
      <c r="C131" s="13"/>
    </row>
    <row r="132" spans="1:3" ht="13" x14ac:dyDescent="0.15">
      <c r="A132" s="10"/>
      <c r="B132" s="13"/>
      <c r="C132" s="13"/>
    </row>
    <row r="133" spans="1:3" ht="13" x14ac:dyDescent="0.15">
      <c r="A133" s="10"/>
      <c r="B133" s="13"/>
      <c r="C133" s="13"/>
    </row>
    <row r="134" spans="1:3" ht="13" x14ac:dyDescent="0.15">
      <c r="A134" s="10"/>
      <c r="B134" s="13"/>
      <c r="C134" s="13"/>
    </row>
    <row r="135" spans="1:3" ht="13" x14ac:dyDescent="0.15">
      <c r="A135" s="10"/>
      <c r="B135" s="13"/>
      <c r="C135" s="13"/>
    </row>
    <row r="136" spans="1:3" ht="13" x14ac:dyDescent="0.15">
      <c r="A136" s="10"/>
      <c r="B136" s="13"/>
      <c r="C136" s="13"/>
    </row>
    <row r="137" spans="1:3" ht="13" x14ac:dyDescent="0.15">
      <c r="A137" s="10"/>
      <c r="B137" s="13"/>
      <c r="C137" s="13"/>
    </row>
    <row r="138" spans="1:3" ht="13" x14ac:dyDescent="0.15">
      <c r="A138" s="10"/>
      <c r="B138" s="13"/>
      <c r="C138" s="13"/>
    </row>
    <row r="139" spans="1:3" ht="13" x14ac:dyDescent="0.15">
      <c r="A139" s="10"/>
      <c r="B139" s="13"/>
      <c r="C139" s="13"/>
    </row>
    <row r="140" spans="1:3" ht="13" x14ac:dyDescent="0.15">
      <c r="A140" s="10"/>
      <c r="B140" s="13"/>
      <c r="C140" s="13"/>
    </row>
    <row r="141" spans="1:3" ht="13" x14ac:dyDescent="0.15">
      <c r="A141" s="10"/>
      <c r="B141" s="13"/>
      <c r="C141" s="13"/>
    </row>
    <row r="142" spans="1:3" ht="13" x14ac:dyDescent="0.15">
      <c r="A142" s="10"/>
      <c r="B142" s="13"/>
      <c r="C142" s="13"/>
    </row>
    <row r="143" spans="1:3" ht="13" x14ac:dyDescent="0.15">
      <c r="A143" s="10"/>
      <c r="B143" s="13"/>
      <c r="C143" s="13"/>
    </row>
    <row r="144" spans="1:3" ht="13" x14ac:dyDescent="0.15">
      <c r="A144" s="10"/>
      <c r="B144" s="13"/>
      <c r="C144" s="13"/>
    </row>
    <row r="145" spans="1:3" ht="13" x14ac:dyDescent="0.15">
      <c r="A145" s="10"/>
      <c r="B145" s="13"/>
      <c r="C145" s="13"/>
    </row>
    <row r="146" spans="1:3" ht="13" x14ac:dyDescent="0.15">
      <c r="A146" s="10"/>
      <c r="B146" s="13"/>
      <c r="C146" s="13"/>
    </row>
    <row r="147" spans="1:3" ht="13" x14ac:dyDescent="0.15">
      <c r="A147" s="10"/>
      <c r="B147" s="13"/>
      <c r="C147" s="13"/>
    </row>
    <row r="148" spans="1:3" ht="13" x14ac:dyDescent="0.15">
      <c r="A148" s="10"/>
      <c r="B148" s="13"/>
      <c r="C148" s="13"/>
    </row>
    <row r="149" spans="1:3" ht="13" x14ac:dyDescent="0.15">
      <c r="A149" s="10"/>
      <c r="B149" s="13"/>
      <c r="C149" s="13"/>
    </row>
    <row r="150" spans="1:3" ht="13" x14ac:dyDescent="0.15">
      <c r="A150" s="10"/>
      <c r="B150" s="13"/>
      <c r="C150" s="13"/>
    </row>
    <row r="151" spans="1:3" ht="13" x14ac:dyDescent="0.15">
      <c r="A151" s="10"/>
      <c r="B151" s="13"/>
      <c r="C151" s="13"/>
    </row>
    <row r="152" spans="1:3" ht="13" x14ac:dyDescent="0.15">
      <c r="A152" s="10"/>
      <c r="B152" s="13"/>
      <c r="C152" s="13"/>
    </row>
    <row r="153" spans="1:3" ht="13" x14ac:dyDescent="0.15">
      <c r="A153" s="10"/>
      <c r="B153" s="13"/>
      <c r="C153" s="13"/>
    </row>
    <row r="154" spans="1:3" ht="13" x14ac:dyDescent="0.15">
      <c r="A154" s="10"/>
      <c r="B154" s="13"/>
      <c r="C154" s="13"/>
    </row>
    <row r="155" spans="1:3" ht="13" x14ac:dyDescent="0.15">
      <c r="A155" s="10"/>
      <c r="B155" s="13"/>
      <c r="C155" s="13"/>
    </row>
    <row r="156" spans="1:3" ht="13" x14ac:dyDescent="0.15">
      <c r="A156" s="10"/>
      <c r="B156" s="13"/>
      <c r="C156" s="13"/>
    </row>
    <row r="157" spans="1:3" ht="13" x14ac:dyDescent="0.15">
      <c r="A157" s="10"/>
      <c r="B157" s="13"/>
      <c r="C157" s="13"/>
    </row>
    <row r="158" spans="1:3" ht="13" x14ac:dyDescent="0.15">
      <c r="A158" s="10"/>
      <c r="B158" s="13"/>
      <c r="C158" s="13"/>
    </row>
    <row r="159" spans="1:3" ht="13" x14ac:dyDescent="0.15">
      <c r="A159" s="10"/>
      <c r="B159" s="13"/>
      <c r="C159" s="13"/>
    </row>
    <row r="160" spans="1:3" ht="13" x14ac:dyDescent="0.15">
      <c r="A160" s="10"/>
      <c r="B160" s="13"/>
      <c r="C160" s="13"/>
    </row>
    <row r="161" spans="1:3" ht="13" x14ac:dyDescent="0.15">
      <c r="A161" s="10"/>
      <c r="B161" s="13"/>
      <c r="C161" s="13"/>
    </row>
    <row r="162" spans="1:3" ht="13" x14ac:dyDescent="0.15">
      <c r="A162" s="10"/>
      <c r="B162" s="13"/>
      <c r="C162" s="13"/>
    </row>
    <row r="163" spans="1:3" ht="13" x14ac:dyDescent="0.15">
      <c r="A163" s="10"/>
      <c r="B163" s="13"/>
      <c r="C163" s="13"/>
    </row>
    <row r="164" spans="1:3" ht="13" x14ac:dyDescent="0.15">
      <c r="A164" s="10"/>
      <c r="B164" s="13"/>
      <c r="C164" s="13"/>
    </row>
    <row r="165" spans="1:3" ht="13" x14ac:dyDescent="0.15">
      <c r="A165" s="10"/>
      <c r="B165" s="13"/>
      <c r="C165" s="13"/>
    </row>
    <row r="166" spans="1:3" ht="13" x14ac:dyDescent="0.15">
      <c r="A166" s="10"/>
      <c r="B166" s="13"/>
      <c r="C166" s="13"/>
    </row>
    <row r="167" spans="1:3" ht="13" x14ac:dyDescent="0.15">
      <c r="A167" s="10"/>
      <c r="B167" s="13"/>
      <c r="C167" s="13"/>
    </row>
    <row r="168" spans="1:3" ht="13" x14ac:dyDescent="0.15">
      <c r="A168" s="10"/>
      <c r="B168" s="13"/>
      <c r="C168" s="13"/>
    </row>
    <row r="169" spans="1:3" ht="13" x14ac:dyDescent="0.15">
      <c r="A169" s="10"/>
      <c r="B169" s="13"/>
      <c r="C169" s="13"/>
    </row>
    <row r="170" spans="1:3" ht="13" x14ac:dyDescent="0.15">
      <c r="A170" s="10"/>
      <c r="B170" s="13"/>
      <c r="C170" s="13"/>
    </row>
    <row r="171" spans="1:3" ht="13" x14ac:dyDescent="0.15">
      <c r="A171" s="10"/>
      <c r="B171" s="13"/>
      <c r="C171" s="13"/>
    </row>
    <row r="172" spans="1:3" ht="13" x14ac:dyDescent="0.15">
      <c r="A172" s="10"/>
      <c r="B172" s="13"/>
      <c r="C172" s="13"/>
    </row>
    <row r="173" spans="1:3" ht="13" x14ac:dyDescent="0.15">
      <c r="A173" s="10"/>
      <c r="B173" s="13"/>
      <c r="C173" s="13"/>
    </row>
    <row r="174" spans="1:3" ht="13" x14ac:dyDescent="0.15">
      <c r="A174" s="10"/>
      <c r="B174" s="13"/>
      <c r="C174" s="13"/>
    </row>
    <row r="175" spans="1:3" ht="13" x14ac:dyDescent="0.15">
      <c r="A175" s="10"/>
      <c r="B175" s="13"/>
      <c r="C175" s="13"/>
    </row>
    <row r="176" spans="1:3" ht="13" x14ac:dyDescent="0.15">
      <c r="A176" s="10"/>
      <c r="B176" s="13"/>
      <c r="C176" s="13"/>
    </row>
    <row r="177" spans="1:3" ht="13" x14ac:dyDescent="0.15">
      <c r="A177" s="10"/>
      <c r="B177" s="13"/>
      <c r="C177" s="13"/>
    </row>
    <row r="178" spans="1:3" ht="13" x14ac:dyDescent="0.15">
      <c r="A178" s="10"/>
      <c r="B178" s="13"/>
      <c r="C178" s="13"/>
    </row>
    <row r="179" spans="1:3" ht="13" x14ac:dyDescent="0.15">
      <c r="A179" s="10"/>
      <c r="B179" s="13"/>
      <c r="C179" s="13"/>
    </row>
    <row r="180" spans="1:3" ht="13" x14ac:dyDescent="0.15">
      <c r="A180" s="10"/>
      <c r="B180" s="13"/>
      <c r="C180" s="13"/>
    </row>
    <row r="181" spans="1:3" ht="13" x14ac:dyDescent="0.15">
      <c r="A181" s="10"/>
      <c r="B181" s="13"/>
      <c r="C181" s="13"/>
    </row>
    <row r="182" spans="1:3" ht="13" x14ac:dyDescent="0.15">
      <c r="A182" s="10"/>
      <c r="B182" s="13"/>
      <c r="C182" s="13"/>
    </row>
    <row r="183" spans="1:3" ht="13" x14ac:dyDescent="0.15">
      <c r="A183" s="10"/>
      <c r="B183" s="13"/>
      <c r="C183" s="13"/>
    </row>
    <row r="184" spans="1:3" ht="13" x14ac:dyDescent="0.15">
      <c r="A184" s="10"/>
      <c r="B184" s="13"/>
      <c r="C184" s="13"/>
    </row>
    <row r="185" spans="1:3" ht="13" x14ac:dyDescent="0.15">
      <c r="A185" s="10"/>
      <c r="B185" s="13"/>
      <c r="C185" s="13"/>
    </row>
    <row r="186" spans="1:3" ht="13" x14ac:dyDescent="0.15">
      <c r="A186" s="10"/>
      <c r="B186" s="13"/>
      <c r="C186" s="13"/>
    </row>
    <row r="187" spans="1:3" ht="13" x14ac:dyDescent="0.15">
      <c r="A187" s="10"/>
      <c r="B187" s="13"/>
      <c r="C187" s="13"/>
    </row>
    <row r="188" spans="1:3" ht="13" x14ac:dyDescent="0.15">
      <c r="A188" s="10"/>
      <c r="B188" s="13"/>
      <c r="C188" s="13"/>
    </row>
    <row r="189" spans="1:3" ht="13" x14ac:dyDescent="0.15">
      <c r="A189" s="10"/>
      <c r="B189" s="13"/>
      <c r="C189" s="13"/>
    </row>
    <row r="190" spans="1:3" ht="13" x14ac:dyDescent="0.15">
      <c r="A190" s="10"/>
      <c r="B190" s="13"/>
      <c r="C190" s="13"/>
    </row>
    <row r="191" spans="1:3" ht="13" x14ac:dyDescent="0.15">
      <c r="A191" s="10"/>
      <c r="B191" s="13"/>
      <c r="C191" s="13"/>
    </row>
    <row r="192" spans="1:3" ht="13" x14ac:dyDescent="0.15">
      <c r="A192" s="10"/>
      <c r="B192" s="13"/>
      <c r="C192" s="13"/>
    </row>
    <row r="193" spans="1:3" ht="13" x14ac:dyDescent="0.15">
      <c r="A193" s="10"/>
      <c r="B193" s="13"/>
      <c r="C193" s="13"/>
    </row>
    <row r="194" spans="1:3" ht="13" x14ac:dyDescent="0.15">
      <c r="A194" s="10"/>
      <c r="B194" s="13"/>
      <c r="C194" s="13"/>
    </row>
    <row r="195" spans="1:3" ht="13" x14ac:dyDescent="0.15">
      <c r="A195" s="10"/>
      <c r="B195" s="13"/>
      <c r="C195" s="13"/>
    </row>
    <row r="196" spans="1:3" ht="13" x14ac:dyDescent="0.15">
      <c r="A196" s="10"/>
      <c r="B196" s="13"/>
      <c r="C196" s="13"/>
    </row>
    <row r="197" spans="1:3" ht="13" x14ac:dyDescent="0.15">
      <c r="A197" s="10"/>
      <c r="B197" s="13"/>
      <c r="C197" s="13"/>
    </row>
    <row r="198" spans="1:3" ht="13" x14ac:dyDescent="0.15">
      <c r="A198" s="10"/>
      <c r="B198" s="13"/>
      <c r="C198" s="13"/>
    </row>
    <row r="199" spans="1:3" ht="13" x14ac:dyDescent="0.15">
      <c r="A199" s="10"/>
      <c r="B199" s="13"/>
      <c r="C199" s="13"/>
    </row>
    <row r="200" spans="1:3" ht="13" x14ac:dyDescent="0.15">
      <c r="A200" s="10"/>
      <c r="B200" s="13"/>
      <c r="C200" s="13"/>
    </row>
    <row r="201" spans="1:3" ht="13" x14ac:dyDescent="0.15">
      <c r="A201" s="10"/>
      <c r="B201" s="13"/>
      <c r="C201" s="13"/>
    </row>
    <row r="202" spans="1:3" ht="13" x14ac:dyDescent="0.15">
      <c r="A202" s="10"/>
      <c r="B202" s="13"/>
      <c r="C202" s="13"/>
    </row>
    <row r="203" spans="1:3" ht="13" x14ac:dyDescent="0.15">
      <c r="A203" s="10"/>
      <c r="B203" s="13"/>
      <c r="C203" s="13"/>
    </row>
    <row r="204" spans="1:3" ht="13" x14ac:dyDescent="0.15">
      <c r="A204" s="10"/>
      <c r="B204" s="13"/>
      <c r="C204" s="13"/>
    </row>
    <row r="205" spans="1:3" ht="13" x14ac:dyDescent="0.15">
      <c r="A205" s="10"/>
      <c r="B205" s="13"/>
      <c r="C205" s="13"/>
    </row>
    <row r="206" spans="1:3" ht="13" x14ac:dyDescent="0.15">
      <c r="A206" s="10"/>
      <c r="B206" s="13"/>
      <c r="C206" s="13"/>
    </row>
    <row r="207" spans="1:3" ht="13" x14ac:dyDescent="0.15">
      <c r="A207" s="10"/>
      <c r="B207" s="13"/>
      <c r="C207" s="13"/>
    </row>
    <row r="208" spans="1:3" ht="13" x14ac:dyDescent="0.15">
      <c r="A208" s="10"/>
      <c r="B208" s="13"/>
      <c r="C208" s="13"/>
    </row>
    <row r="209" spans="1:3" ht="13" x14ac:dyDescent="0.15">
      <c r="A209" s="10"/>
      <c r="B209" s="13"/>
      <c r="C209" s="13"/>
    </row>
    <row r="210" spans="1:3" ht="13" x14ac:dyDescent="0.15">
      <c r="A210" s="10"/>
      <c r="B210" s="13"/>
      <c r="C210" s="13"/>
    </row>
    <row r="211" spans="1:3" ht="13" x14ac:dyDescent="0.15">
      <c r="A211" s="10"/>
      <c r="B211" s="13"/>
      <c r="C211" s="13"/>
    </row>
    <row r="212" spans="1:3" ht="13" x14ac:dyDescent="0.15">
      <c r="A212" s="10"/>
      <c r="B212" s="13"/>
      <c r="C212" s="13"/>
    </row>
    <row r="213" spans="1:3" ht="13" x14ac:dyDescent="0.15">
      <c r="A213" s="10"/>
      <c r="B213" s="13"/>
      <c r="C213" s="13"/>
    </row>
    <row r="214" spans="1:3" ht="13" x14ac:dyDescent="0.15">
      <c r="A214" s="10"/>
      <c r="B214" s="13"/>
      <c r="C214" s="13"/>
    </row>
    <row r="215" spans="1:3" ht="13" x14ac:dyDescent="0.15">
      <c r="A215" s="10"/>
      <c r="B215" s="13"/>
      <c r="C215" s="13"/>
    </row>
    <row r="216" spans="1:3" ht="13" x14ac:dyDescent="0.15">
      <c r="A216" s="10"/>
      <c r="B216" s="13"/>
      <c r="C216" s="13"/>
    </row>
    <row r="217" spans="1:3" ht="13" x14ac:dyDescent="0.15">
      <c r="A217" s="10"/>
      <c r="B217" s="13"/>
      <c r="C217" s="13"/>
    </row>
    <row r="218" spans="1:3" ht="13" x14ac:dyDescent="0.15">
      <c r="A218" s="10"/>
      <c r="B218" s="13"/>
      <c r="C218" s="13"/>
    </row>
    <row r="219" spans="1:3" ht="13" x14ac:dyDescent="0.15">
      <c r="A219" s="10"/>
      <c r="B219" s="13"/>
      <c r="C219" s="13"/>
    </row>
    <row r="220" spans="1:3" ht="13" x14ac:dyDescent="0.15">
      <c r="A220" s="10"/>
      <c r="B220" s="13"/>
      <c r="C220" s="13"/>
    </row>
    <row r="221" spans="1:3" ht="13" x14ac:dyDescent="0.15">
      <c r="A221" s="10"/>
      <c r="B221" s="13"/>
      <c r="C221" s="13"/>
    </row>
    <row r="222" spans="1:3" ht="13" x14ac:dyDescent="0.15">
      <c r="A222" s="10"/>
      <c r="B222" s="13"/>
      <c r="C222" s="13"/>
    </row>
    <row r="223" spans="1:3" ht="13" x14ac:dyDescent="0.15">
      <c r="A223" s="10"/>
      <c r="B223" s="13"/>
      <c r="C223" s="13"/>
    </row>
    <row r="224" spans="1:3" ht="13" x14ac:dyDescent="0.15">
      <c r="A224" s="10"/>
      <c r="B224" s="13"/>
      <c r="C224" s="13"/>
    </row>
    <row r="225" spans="1:3" ht="13" x14ac:dyDescent="0.15">
      <c r="A225" s="10"/>
      <c r="B225" s="13"/>
      <c r="C225" s="13"/>
    </row>
    <row r="226" spans="1:3" ht="13" x14ac:dyDescent="0.15">
      <c r="A226" s="10"/>
      <c r="B226" s="13"/>
      <c r="C226" s="13"/>
    </row>
    <row r="227" spans="1:3" ht="13" x14ac:dyDescent="0.15">
      <c r="A227" s="10"/>
      <c r="B227" s="13"/>
      <c r="C227" s="13"/>
    </row>
    <row r="228" spans="1:3" ht="13" x14ac:dyDescent="0.15">
      <c r="A228" s="10"/>
      <c r="B228" s="13"/>
      <c r="C228" s="13"/>
    </row>
    <row r="229" spans="1:3" ht="13" x14ac:dyDescent="0.15">
      <c r="A229" s="10"/>
      <c r="B229" s="13"/>
      <c r="C229" s="13"/>
    </row>
    <row r="230" spans="1:3" ht="13" x14ac:dyDescent="0.15">
      <c r="A230" s="10"/>
      <c r="B230" s="13"/>
      <c r="C230" s="13"/>
    </row>
    <row r="231" spans="1:3" ht="13" x14ac:dyDescent="0.15">
      <c r="A231" s="10"/>
      <c r="B231" s="13"/>
      <c r="C231" s="13"/>
    </row>
    <row r="232" spans="1:3" ht="13" x14ac:dyDescent="0.15">
      <c r="A232" s="10"/>
      <c r="B232" s="13"/>
      <c r="C232" s="13"/>
    </row>
    <row r="233" spans="1:3" ht="13" x14ac:dyDescent="0.15">
      <c r="A233" s="10"/>
      <c r="B233" s="13"/>
      <c r="C233" s="13"/>
    </row>
    <row r="234" spans="1:3" ht="13" x14ac:dyDescent="0.15">
      <c r="A234" s="10"/>
      <c r="B234" s="13"/>
      <c r="C234" s="13"/>
    </row>
    <row r="235" spans="1:3" ht="13" x14ac:dyDescent="0.15">
      <c r="A235" s="10"/>
      <c r="B235" s="13"/>
      <c r="C235" s="13"/>
    </row>
    <row r="236" spans="1:3" ht="13" x14ac:dyDescent="0.15">
      <c r="A236" s="10"/>
      <c r="B236" s="13"/>
      <c r="C236" s="13"/>
    </row>
    <row r="237" spans="1:3" ht="13" x14ac:dyDescent="0.15">
      <c r="A237" s="10"/>
      <c r="B237" s="13"/>
      <c r="C237" s="13"/>
    </row>
    <row r="238" spans="1:3" ht="13" x14ac:dyDescent="0.15">
      <c r="A238" s="10"/>
      <c r="B238" s="13"/>
      <c r="C238" s="13"/>
    </row>
    <row r="239" spans="1:3" ht="13" x14ac:dyDescent="0.15">
      <c r="A239" s="10"/>
      <c r="B239" s="13"/>
      <c r="C239" s="13"/>
    </row>
    <row r="240" spans="1:3" ht="13" x14ac:dyDescent="0.15">
      <c r="A240" s="10"/>
      <c r="B240" s="13"/>
      <c r="C240" s="13"/>
    </row>
    <row r="241" spans="1:3" ht="13" x14ac:dyDescent="0.15">
      <c r="A241" s="10"/>
      <c r="B241" s="13"/>
      <c r="C241" s="13"/>
    </row>
    <row r="242" spans="1:3" ht="13" x14ac:dyDescent="0.15">
      <c r="A242" s="10"/>
      <c r="B242" s="13"/>
      <c r="C242" s="13"/>
    </row>
    <row r="243" spans="1:3" ht="13" x14ac:dyDescent="0.15">
      <c r="A243" s="10"/>
      <c r="B243" s="13"/>
      <c r="C243" s="13"/>
    </row>
    <row r="244" spans="1:3" ht="13" x14ac:dyDescent="0.15">
      <c r="A244" s="10"/>
      <c r="B244" s="13"/>
      <c r="C244" s="13"/>
    </row>
    <row r="245" spans="1:3" ht="13" x14ac:dyDescent="0.15">
      <c r="A245" s="10"/>
      <c r="B245" s="13"/>
      <c r="C245" s="13"/>
    </row>
    <row r="246" spans="1:3" ht="13" x14ac:dyDescent="0.15">
      <c r="A246" s="10"/>
      <c r="B246" s="13"/>
      <c r="C246" s="13"/>
    </row>
    <row r="247" spans="1:3" ht="13" x14ac:dyDescent="0.15">
      <c r="A247" s="10"/>
      <c r="B247" s="13"/>
      <c r="C247" s="13"/>
    </row>
    <row r="248" spans="1:3" ht="13" x14ac:dyDescent="0.15">
      <c r="A248" s="10"/>
      <c r="B248" s="13"/>
      <c r="C248" s="13"/>
    </row>
    <row r="249" spans="1:3" ht="13" x14ac:dyDescent="0.15">
      <c r="A249" s="10"/>
      <c r="B249" s="13"/>
      <c r="C249" s="13"/>
    </row>
    <row r="250" spans="1:3" ht="13" x14ac:dyDescent="0.15">
      <c r="A250" s="10"/>
      <c r="B250" s="13"/>
      <c r="C250" s="13"/>
    </row>
    <row r="251" spans="1:3" ht="13" x14ac:dyDescent="0.15">
      <c r="A251" s="10"/>
      <c r="B251" s="13"/>
      <c r="C251" s="13"/>
    </row>
    <row r="252" spans="1:3" ht="13" x14ac:dyDescent="0.15">
      <c r="A252" s="10"/>
      <c r="B252" s="13"/>
      <c r="C252" s="13"/>
    </row>
    <row r="253" spans="1:3" ht="13" x14ac:dyDescent="0.15">
      <c r="A253" s="10"/>
      <c r="B253" s="13"/>
      <c r="C253" s="13"/>
    </row>
    <row r="254" spans="1:3" ht="13" x14ac:dyDescent="0.15">
      <c r="A254" s="10"/>
      <c r="B254" s="13"/>
      <c r="C254" s="13"/>
    </row>
    <row r="255" spans="1:3" ht="13" x14ac:dyDescent="0.15">
      <c r="A255" s="10"/>
      <c r="B255" s="13"/>
      <c r="C255" s="13"/>
    </row>
    <row r="256" spans="1:3" ht="13" x14ac:dyDescent="0.15">
      <c r="A256" s="10"/>
      <c r="B256" s="13"/>
      <c r="C256" s="13"/>
    </row>
    <row r="257" spans="1:3" ht="13" x14ac:dyDescent="0.15">
      <c r="A257" s="10"/>
      <c r="B257" s="13"/>
      <c r="C257" s="13"/>
    </row>
    <row r="258" spans="1:3" ht="13" x14ac:dyDescent="0.15">
      <c r="A258" s="10"/>
      <c r="B258" s="13"/>
      <c r="C258" s="13"/>
    </row>
    <row r="259" spans="1:3" ht="13" x14ac:dyDescent="0.15">
      <c r="A259" s="10"/>
      <c r="B259" s="13"/>
      <c r="C259" s="13"/>
    </row>
    <row r="260" spans="1:3" ht="13" x14ac:dyDescent="0.15">
      <c r="A260" s="10"/>
      <c r="B260" s="13"/>
      <c r="C260" s="13"/>
    </row>
    <row r="261" spans="1:3" ht="13" x14ac:dyDescent="0.15">
      <c r="A261" s="10"/>
      <c r="B261" s="13"/>
      <c r="C261" s="13"/>
    </row>
    <row r="262" spans="1:3" ht="13" x14ac:dyDescent="0.15">
      <c r="A262" s="10"/>
      <c r="B262" s="13"/>
      <c r="C262" s="13"/>
    </row>
    <row r="263" spans="1:3" ht="13" x14ac:dyDescent="0.15">
      <c r="A263" s="10"/>
      <c r="B263" s="13"/>
      <c r="C263" s="13"/>
    </row>
    <row r="264" spans="1:3" ht="13" x14ac:dyDescent="0.15">
      <c r="A264" s="10"/>
      <c r="B264" s="13"/>
      <c r="C264" s="13"/>
    </row>
    <row r="265" spans="1:3" ht="13" x14ac:dyDescent="0.15">
      <c r="A265" s="10"/>
      <c r="B265" s="13"/>
      <c r="C265" s="13"/>
    </row>
    <row r="266" spans="1:3" ht="13" x14ac:dyDescent="0.15">
      <c r="A266" s="10"/>
      <c r="B266" s="13"/>
      <c r="C266" s="13"/>
    </row>
    <row r="267" spans="1:3" ht="13" x14ac:dyDescent="0.15">
      <c r="A267" s="10"/>
      <c r="B267" s="13"/>
      <c r="C267" s="13"/>
    </row>
    <row r="268" spans="1:3" ht="13" x14ac:dyDescent="0.15">
      <c r="A268" s="10"/>
      <c r="B268" s="13"/>
      <c r="C268" s="13"/>
    </row>
    <row r="269" spans="1:3" ht="13" x14ac:dyDescent="0.15">
      <c r="A269" s="10"/>
      <c r="B269" s="13"/>
      <c r="C269" s="13"/>
    </row>
    <row r="270" spans="1:3" ht="13" x14ac:dyDescent="0.15">
      <c r="A270" s="10"/>
      <c r="B270" s="13"/>
      <c r="C270" s="13"/>
    </row>
    <row r="271" spans="1:3" ht="13" x14ac:dyDescent="0.15">
      <c r="A271" s="10"/>
      <c r="B271" s="13"/>
      <c r="C271" s="13"/>
    </row>
    <row r="272" spans="1:3" ht="13" x14ac:dyDescent="0.15">
      <c r="A272" s="10"/>
      <c r="B272" s="13"/>
      <c r="C272" s="13"/>
    </row>
    <row r="273" spans="1:3" ht="13" x14ac:dyDescent="0.15">
      <c r="A273" s="10"/>
      <c r="B273" s="13"/>
      <c r="C273" s="13"/>
    </row>
    <row r="274" spans="1:3" ht="13" x14ac:dyDescent="0.15">
      <c r="A274" s="10"/>
      <c r="B274" s="13"/>
      <c r="C274" s="13"/>
    </row>
    <row r="275" spans="1:3" ht="13" x14ac:dyDescent="0.15">
      <c r="A275" s="10"/>
      <c r="B275" s="13"/>
      <c r="C275" s="13"/>
    </row>
    <row r="276" spans="1:3" ht="13" x14ac:dyDescent="0.15">
      <c r="A276" s="10"/>
      <c r="B276" s="13"/>
      <c r="C276" s="13"/>
    </row>
    <row r="277" spans="1:3" ht="13" x14ac:dyDescent="0.15">
      <c r="A277" s="10"/>
      <c r="B277" s="13"/>
      <c r="C277" s="13"/>
    </row>
    <row r="278" spans="1:3" ht="13" x14ac:dyDescent="0.15">
      <c r="A278" s="10"/>
      <c r="B278" s="13"/>
      <c r="C278" s="13"/>
    </row>
    <row r="279" spans="1:3" ht="13" x14ac:dyDescent="0.15">
      <c r="A279" s="10"/>
      <c r="B279" s="13"/>
      <c r="C279" s="13"/>
    </row>
    <row r="280" spans="1:3" ht="13" x14ac:dyDescent="0.15">
      <c r="A280" s="10"/>
      <c r="B280" s="13"/>
      <c r="C280" s="13"/>
    </row>
    <row r="281" spans="1:3" ht="13" x14ac:dyDescent="0.15">
      <c r="A281" s="10"/>
      <c r="B281" s="13"/>
      <c r="C281" s="13"/>
    </row>
    <row r="282" spans="1:3" ht="13" x14ac:dyDescent="0.15">
      <c r="A282" s="10"/>
      <c r="B282" s="13"/>
      <c r="C282" s="13"/>
    </row>
    <row r="283" spans="1:3" ht="13" x14ac:dyDescent="0.15">
      <c r="A283" s="10"/>
      <c r="B283" s="13"/>
      <c r="C283" s="13"/>
    </row>
    <row r="284" spans="1:3" ht="13" x14ac:dyDescent="0.15">
      <c r="A284" s="10"/>
      <c r="B284" s="13"/>
      <c r="C284" s="13"/>
    </row>
    <row r="285" spans="1:3" ht="13" x14ac:dyDescent="0.15">
      <c r="A285" s="10"/>
      <c r="B285" s="13"/>
      <c r="C285" s="13"/>
    </row>
    <row r="286" spans="1:3" ht="13" x14ac:dyDescent="0.15">
      <c r="A286" s="10"/>
      <c r="B286" s="13"/>
      <c r="C286" s="13"/>
    </row>
    <row r="287" spans="1:3" ht="13" x14ac:dyDescent="0.15">
      <c r="A287" s="10"/>
      <c r="B287" s="13"/>
      <c r="C287" s="13"/>
    </row>
    <row r="288" spans="1:3" ht="13" x14ac:dyDescent="0.15">
      <c r="A288" s="10"/>
      <c r="B288" s="13"/>
      <c r="C288" s="13"/>
    </row>
    <row r="289" spans="1:3" ht="13" x14ac:dyDescent="0.15">
      <c r="A289" s="10"/>
      <c r="B289" s="13"/>
      <c r="C289" s="13"/>
    </row>
    <row r="290" spans="1:3" ht="13" x14ac:dyDescent="0.15">
      <c r="A290" s="10"/>
      <c r="B290" s="13"/>
      <c r="C290" s="13"/>
    </row>
    <row r="291" spans="1:3" ht="13" x14ac:dyDescent="0.15">
      <c r="A291" s="10"/>
      <c r="B291" s="13"/>
      <c r="C291" s="13"/>
    </row>
    <row r="292" spans="1:3" ht="13" x14ac:dyDescent="0.15">
      <c r="A292" s="10"/>
      <c r="B292" s="13"/>
      <c r="C292" s="13"/>
    </row>
    <row r="293" spans="1:3" ht="13" x14ac:dyDescent="0.15">
      <c r="A293" s="10"/>
      <c r="B293" s="13"/>
      <c r="C293" s="13"/>
    </row>
    <row r="294" spans="1:3" ht="13" x14ac:dyDescent="0.15">
      <c r="A294" s="10"/>
      <c r="B294" s="13"/>
      <c r="C294" s="13"/>
    </row>
    <row r="295" spans="1:3" ht="13" x14ac:dyDescent="0.15">
      <c r="A295" s="10"/>
      <c r="B295" s="13"/>
      <c r="C295" s="13"/>
    </row>
    <row r="296" spans="1:3" ht="13" x14ac:dyDescent="0.15">
      <c r="A296" s="10"/>
      <c r="B296" s="13"/>
      <c r="C296" s="13"/>
    </row>
    <row r="297" spans="1:3" ht="13" x14ac:dyDescent="0.15">
      <c r="A297" s="10"/>
      <c r="B297" s="13"/>
      <c r="C297" s="13"/>
    </row>
    <row r="298" spans="1:3" ht="13" x14ac:dyDescent="0.15">
      <c r="A298" s="10"/>
      <c r="B298" s="13"/>
      <c r="C298" s="13"/>
    </row>
    <row r="299" spans="1:3" ht="13" x14ac:dyDescent="0.15">
      <c r="A299" s="10"/>
      <c r="B299" s="13"/>
      <c r="C299" s="13"/>
    </row>
    <row r="300" spans="1:3" ht="13" x14ac:dyDescent="0.15">
      <c r="A300" s="10"/>
      <c r="B300" s="13"/>
      <c r="C300" s="13"/>
    </row>
    <row r="301" spans="1:3" ht="13" x14ac:dyDescent="0.15">
      <c r="A301" s="10"/>
      <c r="B301" s="13"/>
      <c r="C301" s="13"/>
    </row>
    <row r="302" spans="1:3" ht="13" x14ac:dyDescent="0.15">
      <c r="A302" s="10"/>
      <c r="B302" s="13"/>
      <c r="C302" s="13"/>
    </row>
    <row r="303" spans="1:3" ht="13" x14ac:dyDescent="0.15">
      <c r="A303" s="10"/>
      <c r="B303" s="13"/>
      <c r="C303" s="13"/>
    </row>
    <row r="304" spans="1:3" ht="13" x14ac:dyDescent="0.15">
      <c r="A304" s="10"/>
      <c r="B304" s="13"/>
      <c r="C304" s="13"/>
    </row>
    <row r="305" spans="1:3" ht="13" x14ac:dyDescent="0.15">
      <c r="A305" s="10"/>
      <c r="B305" s="13"/>
      <c r="C305" s="13"/>
    </row>
    <row r="306" spans="1:3" ht="13" x14ac:dyDescent="0.15">
      <c r="A306" s="10"/>
      <c r="B306" s="13"/>
      <c r="C306" s="13"/>
    </row>
    <row r="307" spans="1:3" ht="13" x14ac:dyDescent="0.15">
      <c r="A307" s="10"/>
      <c r="B307" s="13"/>
      <c r="C307" s="13"/>
    </row>
    <row r="308" spans="1:3" ht="13" x14ac:dyDescent="0.15">
      <c r="A308" s="10"/>
      <c r="B308" s="13"/>
      <c r="C308" s="13"/>
    </row>
    <row r="309" spans="1:3" ht="13" x14ac:dyDescent="0.15">
      <c r="A309" s="10"/>
      <c r="B309" s="13"/>
      <c r="C309" s="13"/>
    </row>
    <row r="310" spans="1:3" ht="13" x14ac:dyDescent="0.15">
      <c r="A310" s="10"/>
      <c r="B310" s="13"/>
      <c r="C310" s="13"/>
    </row>
    <row r="311" spans="1:3" ht="13" x14ac:dyDescent="0.15">
      <c r="A311" s="10"/>
      <c r="B311" s="13"/>
      <c r="C311" s="13"/>
    </row>
    <row r="312" spans="1:3" ht="13" x14ac:dyDescent="0.15">
      <c r="A312" s="10"/>
      <c r="B312" s="13"/>
      <c r="C312" s="13"/>
    </row>
    <row r="313" spans="1:3" ht="13" x14ac:dyDescent="0.15">
      <c r="A313" s="10"/>
      <c r="B313" s="13"/>
      <c r="C313" s="13"/>
    </row>
    <row r="314" spans="1:3" ht="13" x14ac:dyDescent="0.15">
      <c r="A314" s="10"/>
      <c r="B314" s="13"/>
      <c r="C314" s="13"/>
    </row>
    <row r="315" spans="1:3" ht="13" x14ac:dyDescent="0.15">
      <c r="A315" s="10"/>
      <c r="B315" s="13"/>
      <c r="C315" s="13"/>
    </row>
    <row r="316" spans="1:3" ht="13" x14ac:dyDescent="0.15">
      <c r="A316" s="10"/>
      <c r="B316" s="13"/>
      <c r="C316" s="13"/>
    </row>
    <row r="317" spans="1:3" ht="13" x14ac:dyDescent="0.15">
      <c r="A317" s="10"/>
      <c r="B317" s="13"/>
      <c r="C317" s="13"/>
    </row>
    <row r="318" spans="1:3" ht="13" x14ac:dyDescent="0.15">
      <c r="A318" s="10"/>
      <c r="B318" s="13"/>
      <c r="C318" s="13"/>
    </row>
    <row r="319" spans="1:3" ht="13" x14ac:dyDescent="0.15">
      <c r="A319" s="10"/>
      <c r="B319" s="13"/>
      <c r="C319" s="13"/>
    </row>
    <row r="320" spans="1:3" ht="13" x14ac:dyDescent="0.15">
      <c r="A320" s="10"/>
      <c r="B320" s="13"/>
      <c r="C320" s="13"/>
    </row>
    <row r="321" spans="1:3" ht="13" x14ac:dyDescent="0.15">
      <c r="A321" s="10"/>
      <c r="B321" s="13"/>
      <c r="C321" s="13"/>
    </row>
    <row r="322" spans="1:3" ht="13" x14ac:dyDescent="0.15">
      <c r="A322" s="10"/>
      <c r="B322" s="13"/>
      <c r="C322" s="13"/>
    </row>
    <row r="323" spans="1:3" ht="13" x14ac:dyDescent="0.15">
      <c r="A323" s="10"/>
      <c r="B323" s="13"/>
      <c r="C323" s="13"/>
    </row>
    <row r="324" spans="1:3" ht="13" x14ac:dyDescent="0.15">
      <c r="A324" s="10"/>
      <c r="B324" s="13"/>
      <c r="C324" s="13"/>
    </row>
    <row r="325" spans="1:3" ht="13" x14ac:dyDescent="0.15">
      <c r="A325" s="10"/>
      <c r="B325" s="13"/>
      <c r="C325" s="13"/>
    </row>
    <row r="326" spans="1:3" ht="13" x14ac:dyDescent="0.15">
      <c r="A326" s="10"/>
      <c r="B326" s="13"/>
      <c r="C326" s="13"/>
    </row>
    <row r="327" spans="1:3" ht="13" x14ac:dyDescent="0.15">
      <c r="A327" s="10"/>
      <c r="B327" s="13"/>
      <c r="C327" s="13"/>
    </row>
    <row r="328" spans="1:3" ht="13" x14ac:dyDescent="0.15">
      <c r="A328" s="10"/>
      <c r="B328" s="13"/>
      <c r="C328" s="13"/>
    </row>
    <row r="329" spans="1:3" ht="13" x14ac:dyDescent="0.15">
      <c r="A329" s="10"/>
      <c r="B329" s="13"/>
      <c r="C329" s="13"/>
    </row>
    <row r="330" spans="1:3" ht="13" x14ac:dyDescent="0.15">
      <c r="A330" s="10"/>
      <c r="B330" s="13"/>
      <c r="C330" s="13"/>
    </row>
    <row r="331" spans="1:3" ht="13" x14ac:dyDescent="0.15">
      <c r="A331" s="10"/>
      <c r="B331" s="13"/>
      <c r="C331" s="13"/>
    </row>
    <row r="332" spans="1:3" ht="13" x14ac:dyDescent="0.15">
      <c r="A332" s="10"/>
      <c r="B332" s="13"/>
      <c r="C332" s="13"/>
    </row>
    <row r="333" spans="1:3" ht="13" x14ac:dyDescent="0.15">
      <c r="A333" s="10"/>
      <c r="B333" s="13"/>
      <c r="C333" s="13"/>
    </row>
    <row r="334" spans="1:3" ht="13" x14ac:dyDescent="0.15">
      <c r="A334" s="10"/>
      <c r="B334" s="13"/>
      <c r="C334" s="13"/>
    </row>
    <row r="335" spans="1:3" ht="13" x14ac:dyDescent="0.15">
      <c r="A335" s="10"/>
      <c r="B335" s="13"/>
      <c r="C335" s="13"/>
    </row>
    <row r="336" spans="1:3" ht="13" x14ac:dyDescent="0.15">
      <c r="A336" s="10"/>
      <c r="B336" s="13"/>
      <c r="C336" s="13"/>
    </row>
    <row r="337" spans="1:3" ht="13" x14ac:dyDescent="0.15">
      <c r="A337" s="10"/>
      <c r="B337" s="13"/>
      <c r="C337" s="13"/>
    </row>
    <row r="338" spans="1:3" ht="13" x14ac:dyDescent="0.15">
      <c r="A338" s="10"/>
      <c r="B338" s="13"/>
      <c r="C338" s="13"/>
    </row>
    <row r="339" spans="1:3" ht="13" x14ac:dyDescent="0.15">
      <c r="A339" s="10"/>
      <c r="B339" s="13"/>
      <c r="C339" s="13"/>
    </row>
    <row r="340" spans="1:3" ht="13" x14ac:dyDescent="0.15">
      <c r="A340" s="10"/>
      <c r="B340" s="13"/>
      <c r="C340" s="13"/>
    </row>
    <row r="341" spans="1:3" ht="13" x14ac:dyDescent="0.15">
      <c r="A341" s="10"/>
      <c r="B341" s="13"/>
      <c r="C341" s="13"/>
    </row>
    <row r="342" spans="1:3" ht="13" x14ac:dyDescent="0.15">
      <c r="A342" s="10"/>
      <c r="B342" s="13"/>
      <c r="C342" s="13"/>
    </row>
    <row r="343" spans="1:3" ht="13" x14ac:dyDescent="0.15">
      <c r="A343" s="10"/>
      <c r="B343" s="13"/>
      <c r="C343" s="13"/>
    </row>
    <row r="344" spans="1:3" ht="13" x14ac:dyDescent="0.15">
      <c r="A344" s="10"/>
      <c r="B344" s="13"/>
      <c r="C344" s="13"/>
    </row>
    <row r="345" spans="1:3" ht="13" x14ac:dyDescent="0.15">
      <c r="A345" s="10"/>
      <c r="B345" s="13"/>
      <c r="C345" s="13"/>
    </row>
    <row r="346" spans="1:3" ht="13" x14ac:dyDescent="0.15">
      <c r="A346" s="10"/>
      <c r="B346" s="13"/>
      <c r="C346" s="13"/>
    </row>
    <row r="347" spans="1:3" ht="13" x14ac:dyDescent="0.15">
      <c r="A347" s="10"/>
      <c r="B347" s="13"/>
      <c r="C347" s="13"/>
    </row>
    <row r="348" spans="1:3" ht="13" x14ac:dyDescent="0.15">
      <c r="A348" s="10"/>
      <c r="B348" s="13"/>
      <c r="C348" s="13"/>
    </row>
    <row r="349" spans="1:3" ht="13" x14ac:dyDescent="0.15">
      <c r="A349" s="10"/>
      <c r="B349" s="13"/>
      <c r="C349" s="13"/>
    </row>
    <row r="350" spans="1:3" ht="13" x14ac:dyDescent="0.15">
      <c r="A350" s="10"/>
      <c r="B350" s="13"/>
      <c r="C350" s="13"/>
    </row>
    <row r="351" spans="1:3" ht="13" x14ac:dyDescent="0.15">
      <c r="A351" s="10"/>
      <c r="B351" s="13"/>
      <c r="C351" s="13"/>
    </row>
    <row r="352" spans="1:3" ht="13" x14ac:dyDescent="0.15">
      <c r="A352" s="10"/>
      <c r="B352" s="13"/>
      <c r="C352" s="13"/>
    </row>
    <row r="353" spans="1:3" ht="13" x14ac:dyDescent="0.15">
      <c r="A353" s="10"/>
      <c r="B353" s="13"/>
      <c r="C353" s="13"/>
    </row>
    <row r="354" spans="1:3" ht="13" x14ac:dyDescent="0.15">
      <c r="A354" s="10"/>
      <c r="B354" s="13"/>
      <c r="C354" s="13"/>
    </row>
    <row r="355" spans="1:3" ht="13" x14ac:dyDescent="0.15">
      <c r="A355" s="10"/>
      <c r="B355" s="13"/>
      <c r="C355" s="13"/>
    </row>
    <row r="356" spans="1:3" ht="13" x14ac:dyDescent="0.15">
      <c r="A356" s="10"/>
      <c r="B356" s="13"/>
      <c r="C356" s="13"/>
    </row>
    <row r="357" spans="1:3" ht="13" x14ac:dyDescent="0.15">
      <c r="A357" s="10"/>
      <c r="B357" s="13"/>
      <c r="C357" s="13"/>
    </row>
    <row r="358" spans="1:3" ht="13" x14ac:dyDescent="0.15">
      <c r="A358" s="10"/>
      <c r="B358" s="13"/>
      <c r="C358" s="13"/>
    </row>
    <row r="359" spans="1:3" ht="13" x14ac:dyDescent="0.15">
      <c r="A359" s="10"/>
      <c r="B359" s="13"/>
      <c r="C359" s="13"/>
    </row>
    <row r="360" spans="1:3" ht="13" x14ac:dyDescent="0.15">
      <c r="A360" s="10"/>
      <c r="B360" s="13"/>
      <c r="C360" s="13"/>
    </row>
    <row r="361" spans="1:3" ht="13" x14ac:dyDescent="0.15">
      <c r="A361" s="10"/>
      <c r="B361" s="13"/>
      <c r="C361" s="13"/>
    </row>
    <row r="362" spans="1:3" ht="13" x14ac:dyDescent="0.15">
      <c r="A362" s="10"/>
      <c r="B362" s="13"/>
      <c r="C362" s="13"/>
    </row>
    <row r="363" spans="1:3" ht="13" x14ac:dyDescent="0.15">
      <c r="A363" s="10"/>
      <c r="B363" s="13"/>
      <c r="C363" s="13"/>
    </row>
    <row r="364" spans="1:3" ht="13" x14ac:dyDescent="0.15">
      <c r="A364" s="10"/>
      <c r="B364" s="13"/>
      <c r="C364" s="13"/>
    </row>
    <row r="365" spans="1:3" ht="13" x14ac:dyDescent="0.15">
      <c r="A365" s="10"/>
      <c r="B365" s="13"/>
      <c r="C365" s="13"/>
    </row>
    <row r="366" spans="1:3" ht="13" x14ac:dyDescent="0.15">
      <c r="A366" s="10"/>
      <c r="B366" s="13"/>
      <c r="C366" s="13"/>
    </row>
    <row r="367" spans="1:3" ht="13" x14ac:dyDescent="0.15">
      <c r="A367" s="10"/>
      <c r="B367" s="13"/>
      <c r="C367" s="13"/>
    </row>
    <row r="368" spans="1:3" ht="13" x14ac:dyDescent="0.15">
      <c r="A368" s="10"/>
      <c r="B368" s="13"/>
      <c r="C368" s="13"/>
    </row>
    <row r="369" spans="1:3" ht="13" x14ac:dyDescent="0.15">
      <c r="A369" s="10"/>
      <c r="B369" s="13"/>
      <c r="C369" s="13"/>
    </row>
    <row r="370" spans="1:3" ht="13" x14ac:dyDescent="0.15">
      <c r="A370" s="10"/>
      <c r="B370" s="13"/>
      <c r="C370" s="13"/>
    </row>
    <row r="371" spans="1:3" ht="13" x14ac:dyDescent="0.15">
      <c r="A371" s="10"/>
      <c r="B371" s="13"/>
      <c r="C371" s="13"/>
    </row>
    <row r="372" spans="1:3" ht="13" x14ac:dyDescent="0.15">
      <c r="A372" s="10"/>
      <c r="B372" s="13"/>
      <c r="C372" s="13"/>
    </row>
    <row r="373" spans="1:3" ht="13" x14ac:dyDescent="0.15">
      <c r="A373" s="10"/>
      <c r="B373" s="13"/>
      <c r="C373" s="13"/>
    </row>
    <row r="374" spans="1:3" ht="13" x14ac:dyDescent="0.15">
      <c r="A374" s="10"/>
      <c r="B374" s="13"/>
      <c r="C374" s="13"/>
    </row>
    <row r="375" spans="1:3" ht="13" x14ac:dyDescent="0.15">
      <c r="A375" s="10"/>
      <c r="B375" s="13"/>
      <c r="C375" s="13"/>
    </row>
    <row r="376" spans="1:3" ht="13" x14ac:dyDescent="0.15">
      <c r="A376" s="10"/>
      <c r="B376" s="13"/>
      <c r="C376" s="13"/>
    </row>
    <row r="377" spans="1:3" ht="13" x14ac:dyDescent="0.15">
      <c r="A377" s="10"/>
      <c r="B377" s="13"/>
      <c r="C377" s="13"/>
    </row>
    <row r="378" spans="1:3" ht="13" x14ac:dyDescent="0.15">
      <c r="A378" s="10"/>
      <c r="B378" s="13"/>
      <c r="C378" s="13"/>
    </row>
    <row r="379" spans="1:3" ht="13" x14ac:dyDescent="0.15">
      <c r="A379" s="10"/>
      <c r="B379" s="13"/>
      <c r="C379" s="13"/>
    </row>
    <row r="380" spans="1:3" ht="13" x14ac:dyDescent="0.15">
      <c r="A380" s="10"/>
      <c r="B380" s="13"/>
      <c r="C380" s="13"/>
    </row>
    <row r="381" spans="1:3" ht="13" x14ac:dyDescent="0.15">
      <c r="A381" s="10"/>
      <c r="B381" s="13"/>
      <c r="C381" s="13"/>
    </row>
    <row r="382" spans="1:3" ht="13" x14ac:dyDescent="0.15">
      <c r="A382" s="10"/>
      <c r="B382" s="13"/>
      <c r="C382" s="13"/>
    </row>
    <row r="383" spans="1:3" ht="13" x14ac:dyDescent="0.15">
      <c r="A383" s="10"/>
      <c r="B383" s="13"/>
      <c r="C383" s="13"/>
    </row>
    <row r="384" spans="1:3" ht="13" x14ac:dyDescent="0.15">
      <c r="A384" s="10"/>
      <c r="B384" s="13"/>
      <c r="C384" s="13"/>
    </row>
    <row r="385" spans="1:3" ht="13" x14ac:dyDescent="0.15">
      <c r="A385" s="10"/>
      <c r="B385" s="13"/>
      <c r="C385" s="13"/>
    </row>
    <row r="386" spans="1:3" ht="13" x14ac:dyDescent="0.15">
      <c r="A386" s="10"/>
      <c r="B386" s="13"/>
      <c r="C386" s="13"/>
    </row>
    <row r="387" spans="1:3" ht="13" x14ac:dyDescent="0.15">
      <c r="A387" s="10"/>
      <c r="B387" s="13"/>
      <c r="C387" s="13"/>
    </row>
    <row r="388" spans="1:3" ht="13" x14ac:dyDescent="0.15">
      <c r="A388" s="10"/>
      <c r="B388" s="13"/>
      <c r="C388" s="13"/>
    </row>
    <row r="389" spans="1:3" ht="13" x14ac:dyDescent="0.15">
      <c r="A389" s="10"/>
      <c r="B389" s="13"/>
      <c r="C389" s="13"/>
    </row>
    <row r="390" spans="1:3" ht="13" x14ac:dyDescent="0.15">
      <c r="A390" s="10"/>
      <c r="B390" s="13"/>
      <c r="C390" s="13"/>
    </row>
    <row r="391" spans="1:3" ht="13" x14ac:dyDescent="0.15">
      <c r="A391" s="10"/>
      <c r="B391" s="13"/>
      <c r="C391" s="13"/>
    </row>
    <row r="392" spans="1:3" ht="13" x14ac:dyDescent="0.15">
      <c r="A392" s="10"/>
      <c r="B392" s="13"/>
      <c r="C392" s="13"/>
    </row>
    <row r="393" spans="1:3" ht="13" x14ac:dyDescent="0.15">
      <c r="A393" s="10"/>
      <c r="B393" s="13"/>
      <c r="C393" s="13"/>
    </row>
    <row r="394" spans="1:3" ht="13" x14ac:dyDescent="0.15">
      <c r="A394" s="10"/>
      <c r="B394" s="13"/>
      <c r="C394" s="13"/>
    </row>
    <row r="395" spans="1:3" ht="13" x14ac:dyDescent="0.15">
      <c r="A395" s="10"/>
      <c r="B395" s="13"/>
      <c r="C395" s="13"/>
    </row>
    <row r="396" spans="1:3" ht="13" x14ac:dyDescent="0.15">
      <c r="A396" s="10"/>
      <c r="B396" s="13"/>
      <c r="C396" s="13"/>
    </row>
    <row r="397" spans="1:3" ht="13" x14ac:dyDescent="0.15">
      <c r="A397" s="10"/>
      <c r="B397" s="13"/>
      <c r="C397" s="13"/>
    </row>
    <row r="398" spans="1:3" ht="13" x14ac:dyDescent="0.15">
      <c r="A398" s="10"/>
      <c r="B398" s="13"/>
      <c r="C398" s="13"/>
    </row>
    <row r="399" spans="1:3" ht="13" x14ac:dyDescent="0.15">
      <c r="A399" s="10"/>
      <c r="B399" s="13"/>
      <c r="C399" s="13"/>
    </row>
    <row r="400" spans="1:3" ht="13" x14ac:dyDescent="0.15">
      <c r="A400" s="10"/>
      <c r="B400" s="13"/>
      <c r="C400" s="13"/>
    </row>
    <row r="401" spans="1:3" ht="13" x14ac:dyDescent="0.15">
      <c r="A401" s="10"/>
      <c r="B401" s="13"/>
      <c r="C401" s="13"/>
    </row>
    <row r="402" spans="1:3" ht="13" x14ac:dyDescent="0.15">
      <c r="A402" s="10"/>
      <c r="B402" s="13"/>
      <c r="C402" s="13"/>
    </row>
    <row r="403" spans="1:3" ht="13" x14ac:dyDescent="0.15">
      <c r="A403" s="10"/>
      <c r="B403" s="13"/>
      <c r="C403" s="13"/>
    </row>
    <row r="404" spans="1:3" ht="13" x14ac:dyDescent="0.15">
      <c r="A404" s="10"/>
      <c r="B404" s="13"/>
      <c r="C404" s="13"/>
    </row>
    <row r="405" spans="1:3" ht="13" x14ac:dyDescent="0.15">
      <c r="A405" s="10"/>
      <c r="B405" s="13"/>
      <c r="C405" s="13"/>
    </row>
    <row r="406" spans="1:3" ht="13" x14ac:dyDescent="0.15">
      <c r="A406" s="10"/>
      <c r="B406" s="13"/>
      <c r="C406" s="13"/>
    </row>
    <row r="407" spans="1:3" ht="13" x14ac:dyDescent="0.15">
      <c r="A407" s="10"/>
      <c r="B407" s="13"/>
      <c r="C407" s="13"/>
    </row>
    <row r="408" spans="1:3" ht="13" x14ac:dyDescent="0.15">
      <c r="A408" s="10"/>
      <c r="B408" s="13"/>
      <c r="C408" s="13"/>
    </row>
    <row r="409" spans="1:3" ht="13" x14ac:dyDescent="0.15">
      <c r="A409" s="10"/>
      <c r="B409" s="13"/>
      <c r="C409" s="13"/>
    </row>
    <row r="410" spans="1:3" ht="13" x14ac:dyDescent="0.15">
      <c r="A410" s="10"/>
      <c r="B410" s="13"/>
      <c r="C410" s="13"/>
    </row>
    <row r="411" spans="1:3" ht="13" x14ac:dyDescent="0.15">
      <c r="A411" s="10"/>
      <c r="B411" s="13"/>
      <c r="C411" s="13"/>
    </row>
    <row r="412" spans="1:3" ht="13" x14ac:dyDescent="0.15">
      <c r="A412" s="10"/>
      <c r="B412" s="13"/>
      <c r="C412" s="13"/>
    </row>
    <row r="413" spans="1:3" ht="13" x14ac:dyDescent="0.15">
      <c r="A413" s="10"/>
      <c r="B413" s="13"/>
      <c r="C413" s="13"/>
    </row>
    <row r="414" spans="1:3" ht="13" x14ac:dyDescent="0.15">
      <c r="A414" s="10"/>
      <c r="B414" s="13"/>
      <c r="C414" s="13"/>
    </row>
    <row r="415" spans="1:3" ht="13" x14ac:dyDescent="0.15">
      <c r="A415" s="10"/>
      <c r="B415" s="13"/>
      <c r="C415" s="13"/>
    </row>
    <row r="416" spans="1:3" ht="13" x14ac:dyDescent="0.15">
      <c r="A416" s="10"/>
      <c r="B416" s="13"/>
      <c r="C416" s="13"/>
    </row>
    <row r="417" spans="1:3" ht="13" x14ac:dyDescent="0.15">
      <c r="A417" s="10"/>
      <c r="B417" s="13"/>
      <c r="C417" s="13"/>
    </row>
    <row r="418" spans="1:3" ht="13" x14ac:dyDescent="0.15">
      <c r="A418" s="10"/>
      <c r="B418" s="13"/>
      <c r="C418" s="13"/>
    </row>
    <row r="419" spans="1:3" ht="13" x14ac:dyDescent="0.15">
      <c r="A419" s="10"/>
      <c r="B419" s="13"/>
      <c r="C419" s="13"/>
    </row>
    <row r="420" spans="1:3" ht="13" x14ac:dyDescent="0.15">
      <c r="A420" s="10"/>
      <c r="B420" s="13"/>
      <c r="C420" s="13"/>
    </row>
    <row r="421" spans="1:3" ht="13" x14ac:dyDescent="0.15">
      <c r="A421" s="10"/>
      <c r="B421" s="13"/>
      <c r="C421" s="13"/>
    </row>
    <row r="422" spans="1:3" ht="13" x14ac:dyDescent="0.15">
      <c r="A422" s="10"/>
      <c r="B422" s="13"/>
      <c r="C422" s="13"/>
    </row>
    <row r="423" spans="1:3" ht="13" x14ac:dyDescent="0.15">
      <c r="A423" s="10"/>
      <c r="B423" s="13"/>
      <c r="C423" s="13"/>
    </row>
    <row r="424" spans="1:3" ht="13" x14ac:dyDescent="0.15">
      <c r="A424" s="10"/>
      <c r="B424" s="13"/>
      <c r="C424" s="13"/>
    </row>
    <row r="425" spans="1:3" ht="13" x14ac:dyDescent="0.15">
      <c r="A425" s="10"/>
      <c r="B425" s="13"/>
      <c r="C425" s="13"/>
    </row>
    <row r="426" spans="1:3" ht="13" x14ac:dyDescent="0.15">
      <c r="A426" s="10"/>
      <c r="B426" s="13"/>
      <c r="C426" s="13"/>
    </row>
    <row r="427" spans="1:3" ht="13" x14ac:dyDescent="0.15">
      <c r="A427" s="10"/>
      <c r="B427" s="13"/>
      <c r="C427" s="13"/>
    </row>
    <row r="428" spans="1:3" ht="13" x14ac:dyDescent="0.15">
      <c r="A428" s="10"/>
      <c r="B428" s="13"/>
      <c r="C428" s="13"/>
    </row>
    <row r="429" spans="1:3" ht="13" x14ac:dyDescent="0.15">
      <c r="A429" s="10"/>
      <c r="B429" s="13"/>
      <c r="C429" s="13"/>
    </row>
    <row r="430" spans="1:3" ht="13" x14ac:dyDescent="0.15">
      <c r="A430" s="10"/>
      <c r="B430" s="13"/>
      <c r="C430" s="13"/>
    </row>
    <row r="431" spans="1:3" ht="13" x14ac:dyDescent="0.15">
      <c r="A431" s="10"/>
      <c r="B431" s="13"/>
      <c r="C431" s="13"/>
    </row>
    <row r="432" spans="1:3" ht="13" x14ac:dyDescent="0.15">
      <c r="A432" s="10"/>
      <c r="B432" s="13"/>
      <c r="C432" s="13"/>
    </row>
    <row r="433" spans="1:3" ht="13" x14ac:dyDescent="0.15">
      <c r="A433" s="10"/>
      <c r="B433" s="13"/>
      <c r="C433" s="13"/>
    </row>
    <row r="434" spans="1:3" ht="13" x14ac:dyDescent="0.15">
      <c r="A434" s="10"/>
      <c r="B434" s="13"/>
      <c r="C434" s="13"/>
    </row>
    <row r="435" spans="1:3" ht="13" x14ac:dyDescent="0.15">
      <c r="A435" s="10"/>
      <c r="B435" s="13"/>
      <c r="C435" s="13"/>
    </row>
    <row r="436" spans="1:3" ht="13" x14ac:dyDescent="0.15">
      <c r="A436" s="10"/>
      <c r="B436" s="13"/>
      <c r="C436" s="13"/>
    </row>
    <row r="437" spans="1:3" ht="13" x14ac:dyDescent="0.15">
      <c r="A437" s="10"/>
      <c r="B437" s="13"/>
      <c r="C437" s="13"/>
    </row>
    <row r="438" spans="1:3" ht="13" x14ac:dyDescent="0.15">
      <c r="A438" s="10"/>
      <c r="B438" s="13"/>
      <c r="C438" s="13"/>
    </row>
    <row r="439" spans="1:3" ht="13" x14ac:dyDescent="0.15">
      <c r="A439" s="10"/>
      <c r="B439" s="13"/>
      <c r="C439" s="13"/>
    </row>
    <row r="440" spans="1:3" ht="13" x14ac:dyDescent="0.15">
      <c r="A440" s="10"/>
      <c r="B440" s="13"/>
      <c r="C440" s="13"/>
    </row>
    <row r="441" spans="1:3" ht="13" x14ac:dyDescent="0.15">
      <c r="A441" s="10"/>
      <c r="B441" s="13"/>
      <c r="C441" s="13"/>
    </row>
    <row r="442" spans="1:3" ht="13" x14ac:dyDescent="0.15">
      <c r="A442" s="10"/>
      <c r="B442" s="13"/>
      <c r="C442" s="13"/>
    </row>
    <row r="443" spans="1:3" ht="13" x14ac:dyDescent="0.15">
      <c r="A443" s="10"/>
      <c r="B443" s="13"/>
      <c r="C443" s="13"/>
    </row>
    <row r="444" spans="1:3" ht="13" x14ac:dyDescent="0.15">
      <c r="A444" s="10"/>
      <c r="B444" s="13"/>
      <c r="C444" s="13"/>
    </row>
    <row r="445" spans="1:3" ht="13" x14ac:dyDescent="0.15">
      <c r="A445" s="10"/>
      <c r="B445" s="13"/>
      <c r="C445" s="13"/>
    </row>
    <row r="446" spans="1:3" ht="13" x14ac:dyDescent="0.15">
      <c r="A446" s="10"/>
      <c r="B446" s="13"/>
      <c r="C446" s="13"/>
    </row>
    <row r="447" spans="1:3" ht="13" x14ac:dyDescent="0.15">
      <c r="A447" s="10"/>
      <c r="B447" s="13"/>
      <c r="C447" s="13"/>
    </row>
    <row r="448" spans="1:3" ht="13" x14ac:dyDescent="0.15">
      <c r="A448" s="10"/>
      <c r="B448" s="13"/>
      <c r="C448" s="13"/>
    </row>
    <row r="449" spans="1:3" ht="13" x14ac:dyDescent="0.15">
      <c r="A449" s="10"/>
      <c r="B449" s="13"/>
      <c r="C449" s="13"/>
    </row>
    <row r="450" spans="1:3" ht="13" x14ac:dyDescent="0.15">
      <c r="A450" s="10"/>
      <c r="B450" s="13"/>
      <c r="C450" s="13"/>
    </row>
    <row r="451" spans="1:3" ht="13" x14ac:dyDescent="0.15">
      <c r="A451" s="10"/>
      <c r="B451" s="13"/>
      <c r="C451" s="13"/>
    </row>
    <row r="452" spans="1:3" ht="13" x14ac:dyDescent="0.15">
      <c r="A452" s="10"/>
      <c r="B452" s="13"/>
      <c r="C452" s="13"/>
    </row>
    <row r="453" spans="1:3" ht="13" x14ac:dyDescent="0.15">
      <c r="A453" s="10"/>
      <c r="B453" s="13"/>
      <c r="C453" s="13"/>
    </row>
    <row r="454" spans="1:3" ht="13" x14ac:dyDescent="0.15">
      <c r="A454" s="10"/>
      <c r="B454" s="13"/>
      <c r="C454" s="13"/>
    </row>
    <row r="455" spans="1:3" ht="13" x14ac:dyDescent="0.15">
      <c r="A455" s="10"/>
      <c r="B455" s="13"/>
      <c r="C455" s="13"/>
    </row>
    <row r="456" spans="1:3" ht="13" x14ac:dyDescent="0.15">
      <c r="A456" s="10"/>
      <c r="B456" s="13"/>
      <c r="C456" s="13"/>
    </row>
    <row r="457" spans="1:3" ht="13" x14ac:dyDescent="0.15">
      <c r="A457" s="10"/>
      <c r="B457" s="13"/>
      <c r="C457" s="13"/>
    </row>
    <row r="458" spans="1:3" ht="13" x14ac:dyDescent="0.15">
      <c r="A458" s="10"/>
      <c r="B458" s="13"/>
      <c r="C458" s="13"/>
    </row>
    <row r="459" spans="1:3" ht="13" x14ac:dyDescent="0.15">
      <c r="A459" s="10"/>
      <c r="B459" s="13"/>
      <c r="C459" s="13"/>
    </row>
    <row r="460" spans="1:3" ht="13" x14ac:dyDescent="0.15">
      <c r="A460" s="10"/>
      <c r="B460" s="13"/>
      <c r="C460" s="13"/>
    </row>
    <row r="461" spans="1:3" ht="13" x14ac:dyDescent="0.15">
      <c r="A461" s="10"/>
      <c r="B461" s="13"/>
      <c r="C461" s="13"/>
    </row>
    <row r="462" spans="1:3" ht="13" x14ac:dyDescent="0.15">
      <c r="A462" s="10"/>
      <c r="B462" s="13"/>
      <c r="C462" s="13"/>
    </row>
    <row r="463" spans="1:3" ht="13" x14ac:dyDescent="0.15">
      <c r="A463" s="10"/>
      <c r="B463" s="13"/>
      <c r="C463" s="13"/>
    </row>
    <row r="464" spans="1:3" ht="13" x14ac:dyDescent="0.15">
      <c r="A464" s="10"/>
      <c r="B464" s="13"/>
      <c r="C464" s="13"/>
    </row>
    <row r="465" spans="1:3" ht="13" x14ac:dyDescent="0.15">
      <c r="A465" s="10"/>
      <c r="B465" s="13"/>
      <c r="C465" s="13"/>
    </row>
    <row r="466" spans="1:3" ht="13" x14ac:dyDescent="0.15">
      <c r="A466" s="10"/>
      <c r="B466" s="13"/>
      <c r="C466" s="13"/>
    </row>
    <row r="467" spans="1:3" ht="13" x14ac:dyDescent="0.15">
      <c r="A467" s="10"/>
      <c r="B467" s="13"/>
      <c r="C467" s="13"/>
    </row>
    <row r="468" spans="1:3" ht="13" x14ac:dyDescent="0.15">
      <c r="A468" s="10"/>
      <c r="B468" s="13"/>
      <c r="C468" s="13"/>
    </row>
    <row r="469" spans="1:3" ht="13" x14ac:dyDescent="0.15">
      <c r="A469" s="10"/>
      <c r="B469" s="13"/>
      <c r="C469" s="13"/>
    </row>
    <row r="470" spans="1:3" ht="13" x14ac:dyDescent="0.15">
      <c r="A470" s="10"/>
      <c r="B470" s="13"/>
      <c r="C470" s="13"/>
    </row>
    <row r="471" spans="1:3" ht="13" x14ac:dyDescent="0.15">
      <c r="A471" s="10"/>
      <c r="B471" s="13"/>
      <c r="C471" s="13"/>
    </row>
    <row r="472" spans="1:3" ht="13" x14ac:dyDescent="0.15">
      <c r="A472" s="10"/>
      <c r="B472" s="13"/>
      <c r="C472" s="13"/>
    </row>
    <row r="473" spans="1:3" ht="13" x14ac:dyDescent="0.15">
      <c r="A473" s="10"/>
      <c r="B473" s="13"/>
      <c r="C473" s="13"/>
    </row>
    <row r="474" spans="1:3" ht="13" x14ac:dyDescent="0.15">
      <c r="A474" s="10"/>
      <c r="B474" s="13"/>
      <c r="C474" s="13"/>
    </row>
    <row r="475" spans="1:3" ht="13" x14ac:dyDescent="0.15">
      <c r="A475" s="10"/>
      <c r="B475" s="13"/>
      <c r="C475" s="13"/>
    </row>
    <row r="476" spans="1:3" ht="13" x14ac:dyDescent="0.15">
      <c r="A476" s="10"/>
      <c r="B476" s="13"/>
      <c r="C476" s="13"/>
    </row>
    <row r="477" spans="1:3" ht="13" x14ac:dyDescent="0.15">
      <c r="A477" s="10"/>
      <c r="B477" s="13"/>
      <c r="C477" s="13"/>
    </row>
    <row r="478" spans="1:3" ht="13" x14ac:dyDescent="0.15">
      <c r="A478" s="10"/>
      <c r="B478" s="13"/>
      <c r="C478" s="13"/>
    </row>
    <row r="479" spans="1:3" ht="13" x14ac:dyDescent="0.15">
      <c r="A479" s="10"/>
      <c r="B479" s="13"/>
      <c r="C479" s="13"/>
    </row>
    <row r="480" spans="1:3" ht="13" x14ac:dyDescent="0.15">
      <c r="A480" s="10"/>
      <c r="B480" s="13"/>
      <c r="C480" s="13"/>
    </row>
    <row r="481" spans="1:3" ht="13" x14ac:dyDescent="0.15">
      <c r="A481" s="10"/>
      <c r="B481" s="13"/>
      <c r="C481" s="13"/>
    </row>
    <row r="482" spans="1:3" ht="13" x14ac:dyDescent="0.15">
      <c r="A482" s="10"/>
      <c r="B482" s="13"/>
      <c r="C482" s="13"/>
    </row>
    <row r="483" spans="1:3" ht="13" x14ac:dyDescent="0.15">
      <c r="A483" s="10"/>
      <c r="B483" s="13"/>
      <c r="C483" s="13"/>
    </row>
    <row r="484" spans="1:3" ht="13" x14ac:dyDescent="0.15">
      <c r="A484" s="10"/>
      <c r="B484" s="13"/>
      <c r="C484" s="13"/>
    </row>
    <row r="485" spans="1:3" ht="13" x14ac:dyDescent="0.15">
      <c r="A485" s="10"/>
      <c r="B485" s="13"/>
      <c r="C485" s="13"/>
    </row>
    <row r="486" spans="1:3" ht="13" x14ac:dyDescent="0.15">
      <c r="A486" s="10"/>
      <c r="B486" s="13"/>
      <c r="C486" s="13"/>
    </row>
    <row r="487" spans="1:3" ht="13" x14ac:dyDescent="0.15">
      <c r="A487" s="10"/>
      <c r="B487" s="13"/>
      <c r="C487" s="13"/>
    </row>
    <row r="488" spans="1:3" ht="13" x14ac:dyDescent="0.15">
      <c r="A488" s="10"/>
      <c r="B488" s="13"/>
      <c r="C488" s="13"/>
    </row>
    <row r="489" spans="1:3" ht="13" x14ac:dyDescent="0.15">
      <c r="A489" s="10"/>
      <c r="B489" s="13"/>
      <c r="C489" s="13"/>
    </row>
    <row r="490" spans="1:3" ht="13" x14ac:dyDescent="0.15">
      <c r="A490" s="10"/>
      <c r="B490" s="13"/>
      <c r="C490" s="13"/>
    </row>
    <row r="491" spans="1:3" ht="13" x14ac:dyDescent="0.15">
      <c r="A491" s="10"/>
      <c r="B491" s="13"/>
      <c r="C491" s="13"/>
    </row>
    <row r="492" spans="1:3" ht="13" x14ac:dyDescent="0.15">
      <c r="A492" s="10"/>
      <c r="B492" s="13"/>
      <c r="C492" s="13"/>
    </row>
    <row r="493" spans="1:3" ht="13" x14ac:dyDescent="0.15">
      <c r="A493" s="10"/>
      <c r="B493" s="13"/>
      <c r="C493" s="13"/>
    </row>
    <row r="494" spans="1:3" ht="13" x14ac:dyDescent="0.15">
      <c r="A494" s="10"/>
      <c r="B494" s="13"/>
      <c r="C494" s="13"/>
    </row>
    <row r="495" spans="1:3" ht="13" x14ac:dyDescent="0.15">
      <c r="A495" s="10"/>
      <c r="B495" s="13"/>
      <c r="C495" s="13"/>
    </row>
    <row r="496" spans="1:3" ht="13" x14ac:dyDescent="0.15">
      <c r="A496" s="10"/>
      <c r="B496" s="13"/>
      <c r="C496" s="13"/>
    </row>
    <row r="497" spans="1:3" ht="13" x14ac:dyDescent="0.15">
      <c r="A497" s="10"/>
      <c r="B497" s="13"/>
      <c r="C497" s="13"/>
    </row>
    <row r="498" spans="1:3" ht="13" x14ac:dyDescent="0.15">
      <c r="A498" s="10"/>
      <c r="B498" s="13"/>
      <c r="C498" s="13"/>
    </row>
    <row r="499" spans="1:3" ht="13" x14ac:dyDescent="0.15">
      <c r="A499" s="10"/>
      <c r="B499" s="13"/>
      <c r="C499" s="13"/>
    </row>
    <row r="500" spans="1:3" ht="13" x14ac:dyDescent="0.15">
      <c r="A500" s="10"/>
      <c r="B500" s="13"/>
      <c r="C500" s="13"/>
    </row>
    <row r="501" spans="1:3" ht="13" x14ac:dyDescent="0.15">
      <c r="A501" s="10"/>
      <c r="B501" s="13"/>
      <c r="C501" s="13"/>
    </row>
    <row r="502" spans="1:3" ht="13" x14ac:dyDescent="0.15">
      <c r="A502" s="10"/>
      <c r="B502" s="13"/>
      <c r="C502" s="13"/>
    </row>
    <row r="503" spans="1:3" ht="13" x14ac:dyDescent="0.15">
      <c r="A503" s="10"/>
      <c r="B503" s="13"/>
      <c r="C503" s="13"/>
    </row>
    <row r="504" spans="1:3" ht="13" x14ac:dyDescent="0.15">
      <c r="A504" s="10"/>
      <c r="B504" s="13"/>
      <c r="C504" s="13"/>
    </row>
    <row r="505" spans="1:3" ht="13" x14ac:dyDescent="0.15">
      <c r="A505" s="10"/>
      <c r="B505" s="13"/>
      <c r="C505" s="13"/>
    </row>
    <row r="506" spans="1:3" ht="13" x14ac:dyDescent="0.15">
      <c r="A506" s="10"/>
      <c r="B506" s="13"/>
      <c r="C506" s="13"/>
    </row>
    <row r="507" spans="1:3" ht="13" x14ac:dyDescent="0.15">
      <c r="A507" s="10"/>
      <c r="B507" s="13"/>
      <c r="C507" s="13"/>
    </row>
    <row r="508" spans="1:3" ht="13" x14ac:dyDescent="0.15">
      <c r="A508" s="10"/>
      <c r="B508" s="13"/>
      <c r="C508" s="13"/>
    </row>
    <row r="509" spans="1:3" ht="13" x14ac:dyDescent="0.15">
      <c r="A509" s="10"/>
      <c r="B509" s="13"/>
      <c r="C509" s="13"/>
    </row>
    <row r="510" spans="1:3" ht="13" x14ac:dyDescent="0.15">
      <c r="A510" s="10"/>
      <c r="B510" s="13"/>
      <c r="C510" s="13"/>
    </row>
    <row r="511" spans="1:3" ht="13" x14ac:dyDescent="0.15">
      <c r="A511" s="10"/>
      <c r="B511" s="13"/>
      <c r="C511" s="13"/>
    </row>
    <row r="512" spans="1:3" ht="13" x14ac:dyDescent="0.15">
      <c r="A512" s="10"/>
      <c r="B512" s="13"/>
      <c r="C512" s="13"/>
    </row>
    <row r="513" spans="1:3" ht="13" x14ac:dyDescent="0.15">
      <c r="A513" s="10"/>
      <c r="B513" s="13"/>
      <c r="C513" s="13"/>
    </row>
    <row r="514" spans="1:3" ht="13" x14ac:dyDescent="0.15">
      <c r="A514" s="10"/>
      <c r="B514" s="13"/>
      <c r="C514" s="13"/>
    </row>
    <row r="515" spans="1:3" ht="13" x14ac:dyDescent="0.15">
      <c r="A515" s="10"/>
      <c r="B515" s="13"/>
      <c r="C515" s="13"/>
    </row>
    <row r="516" spans="1:3" ht="13" x14ac:dyDescent="0.15">
      <c r="A516" s="10"/>
      <c r="B516" s="13"/>
      <c r="C516" s="13"/>
    </row>
    <row r="517" spans="1:3" ht="13" x14ac:dyDescent="0.15">
      <c r="A517" s="10"/>
      <c r="B517" s="13"/>
      <c r="C517" s="13"/>
    </row>
    <row r="518" spans="1:3" ht="13" x14ac:dyDescent="0.15">
      <c r="A518" s="10"/>
      <c r="B518" s="13"/>
      <c r="C518" s="13"/>
    </row>
    <row r="519" spans="1:3" ht="13" x14ac:dyDescent="0.15">
      <c r="A519" s="10"/>
      <c r="B519" s="13"/>
      <c r="C519" s="13"/>
    </row>
    <row r="520" spans="1:3" ht="13" x14ac:dyDescent="0.15">
      <c r="A520" s="10"/>
      <c r="B520" s="13"/>
      <c r="C520" s="13"/>
    </row>
    <row r="521" spans="1:3" ht="13" x14ac:dyDescent="0.15">
      <c r="A521" s="10"/>
      <c r="B521" s="13"/>
      <c r="C521" s="13"/>
    </row>
    <row r="522" spans="1:3" ht="13" x14ac:dyDescent="0.15">
      <c r="A522" s="10"/>
      <c r="B522" s="13"/>
      <c r="C522" s="13"/>
    </row>
    <row r="523" spans="1:3" ht="13" x14ac:dyDescent="0.15">
      <c r="A523" s="10"/>
      <c r="B523" s="13"/>
      <c r="C523" s="13"/>
    </row>
    <row r="524" spans="1:3" ht="13" x14ac:dyDescent="0.15">
      <c r="A524" s="10"/>
      <c r="B524" s="13"/>
      <c r="C524" s="13"/>
    </row>
    <row r="525" spans="1:3" ht="13" x14ac:dyDescent="0.15">
      <c r="A525" s="10"/>
      <c r="B525" s="13"/>
      <c r="C525" s="13"/>
    </row>
    <row r="526" spans="1:3" ht="13" x14ac:dyDescent="0.15">
      <c r="A526" s="10"/>
      <c r="B526" s="13"/>
      <c r="C526" s="13"/>
    </row>
    <row r="527" spans="1:3" ht="13" x14ac:dyDescent="0.15">
      <c r="A527" s="10"/>
      <c r="B527" s="13"/>
      <c r="C527" s="13"/>
    </row>
    <row r="528" spans="1:3" ht="13" x14ac:dyDescent="0.15">
      <c r="A528" s="10"/>
      <c r="B528" s="13"/>
      <c r="C528" s="13"/>
    </row>
    <row r="529" spans="1:3" ht="13" x14ac:dyDescent="0.15">
      <c r="A529" s="10"/>
      <c r="B529" s="13"/>
      <c r="C529" s="13"/>
    </row>
    <row r="530" spans="1:3" ht="13" x14ac:dyDescent="0.15">
      <c r="A530" s="10"/>
      <c r="B530" s="13"/>
      <c r="C530" s="13"/>
    </row>
    <row r="531" spans="1:3" ht="13" x14ac:dyDescent="0.15">
      <c r="A531" s="10"/>
      <c r="B531" s="13"/>
      <c r="C531" s="13"/>
    </row>
    <row r="532" spans="1:3" ht="13" x14ac:dyDescent="0.15">
      <c r="A532" s="10"/>
      <c r="B532" s="13"/>
      <c r="C532" s="13"/>
    </row>
    <row r="533" spans="1:3" ht="13" x14ac:dyDescent="0.15">
      <c r="A533" s="10"/>
      <c r="B533" s="13"/>
      <c r="C533" s="13"/>
    </row>
    <row r="534" spans="1:3" ht="13" x14ac:dyDescent="0.15">
      <c r="A534" s="10"/>
      <c r="B534" s="13"/>
      <c r="C534" s="13"/>
    </row>
    <row r="535" spans="1:3" ht="13" x14ac:dyDescent="0.15">
      <c r="A535" s="10"/>
      <c r="B535" s="13"/>
      <c r="C535" s="13"/>
    </row>
    <row r="536" spans="1:3" ht="13" x14ac:dyDescent="0.15">
      <c r="A536" s="10"/>
      <c r="B536" s="13"/>
      <c r="C536" s="13"/>
    </row>
    <row r="537" spans="1:3" ht="13" x14ac:dyDescent="0.15">
      <c r="A537" s="10"/>
      <c r="B537" s="13"/>
      <c r="C537" s="13"/>
    </row>
    <row r="538" spans="1:3" ht="13" x14ac:dyDescent="0.15">
      <c r="A538" s="10"/>
      <c r="B538" s="13"/>
      <c r="C538" s="13"/>
    </row>
    <row r="539" spans="1:3" ht="13" x14ac:dyDescent="0.15">
      <c r="A539" s="10"/>
      <c r="B539" s="13"/>
      <c r="C539" s="13"/>
    </row>
    <row r="540" spans="1:3" ht="13" x14ac:dyDescent="0.15">
      <c r="A540" s="10"/>
      <c r="B540" s="13"/>
      <c r="C540" s="13"/>
    </row>
    <row r="541" spans="1:3" ht="13" x14ac:dyDescent="0.15">
      <c r="A541" s="10"/>
      <c r="B541" s="13"/>
      <c r="C541" s="13"/>
    </row>
    <row r="542" spans="1:3" ht="13" x14ac:dyDescent="0.15">
      <c r="A542" s="10"/>
      <c r="B542" s="13"/>
      <c r="C542" s="13"/>
    </row>
    <row r="543" spans="1:3" ht="13" x14ac:dyDescent="0.15">
      <c r="A543" s="10"/>
      <c r="B543" s="13"/>
      <c r="C543" s="13"/>
    </row>
    <row r="544" spans="1:3" ht="13" x14ac:dyDescent="0.15">
      <c r="A544" s="10"/>
      <c r="B544" s="13"/>
      <c r="C544" s="13"/>
    </row>
    <row r="545" spans="1:3" ht="13" x14ac:dyDescent="0.15">
      <c r="A545" s="10"/>
      <c r="B545" s="13"/>
      <c r="C545" s="13"/>
    </row>
    <row r="546" spans="1:3" ht="13" x14ac:dyDescent="0.15">
      <c r="A546" s="10"/>
      <c r="B546" s="13"/>
      <c r="C546" s="13"/>
    </row>
    <row r="547" spans="1:3" ht="13" x14ac:dyDescent="0.15">
      <c r="A547" s="10"/>
      <c r="B547" s="13"/>
      <c r="C547" s="13"/>
    </row>
    <row r="548" spans="1:3" ht="13" x14ac:dyDescent="0.15">
      <c r="A548" s="10"/>
      <c r="B548" s="13"/>
      <c r="C548" s="13"/>
    </row>
    <row r="549" spans="1:3" ht="13" x14ac:dyDescent="0.15">
      <c r="A549" s="10"/>
      <c r="B549" s="13"/>
      <c r="C549" s="13"/>
    </row>
    <row r="550" spans="1:3" ht="13" x14ac:dyDescent="0.15">
      <c r="A550" s="10"/>
      <c r="B550" s="13"/>
      <c r="C550" s="13"/>
    </row>
    <row r="551" spans="1:3" ht="13" x14ac:dyDescent="0.15">
      <c r="A551" s="10"/>
      <c r="B551" s="13"/>
      <c r="C551" s="13"/>
    </row>
    <row r="552" spans="1:3" ht="13" x14ac:dyDescent="0.15">
      <c r="A552" s="10"/>
      <c r="B552" s="13"/>
      <c r="C552" s="13"/>
    </row>
    <row r="553" spans="1:3" ht="13" x14ac:dyDescent="0.15">
      <c r="A553" s="10"/>
      <c r="B553" s="13"/>
      <c r="C553" s="13"/>
    </row>
    <row r="554" spans="1:3" ht="13" x14ac:dyDescent="0.15">
      <c r="A554" s="10"/>
      <c r="B554" s="13"/>
      <c r="C554" s="13"/>
    </row>
    <row r="555" spans="1:3" ht="13" x14ac:dyDescent="0.15">
      <c r="A555" s="10"/>
      <c r="B555" s="13"/>
      <c r="C555" s="13"/>
    </row>
    <row r="556" spans="1:3" ht="13" x14ac:dyDescent="0.15">
      <c r="A556" s="10"/>
      <c r="B556" s="13"/>
      <c r="C556" s="13"/>
    </row>
    <row r="557" spans="1:3" ht="13" x14ac:dyDescent="0.15">
      <c r="A557" s="10"/>
      <c r="B557" s="13"/>
      <c r="C557" s="13"/>
    </row>
    <row r="558" spans="1:3" ht="13" x14ac:dyDescent="0.15">
      <c r="A558" s="10"/>
      <c r="B558" s="13"/>
      <c r="C558" s="13"/>
    </row>
    <row r="559" spans="1:3" ht="13" x14ac:dyDescent="0.15">
      <c r="A559" s="10"/>
      <c r="B559" s="13"/>
      <c r="C559" s="13"/>
    </row>
    <row r="560" spans="1:3" ht="13" x14ac:dyDescent="0.15">
      <c r="A560" s="10"/>
      <c r="B560" s="13"/>
      <c r="C560" s="13"/>
    </row>
    <row r="561" spans="1:3" ht="13" x14ac:dyDescent="0.15">
      <c r="A561" s="10"/>
      <c r="B561" s="13"/>
      <c r="C561" s="13"/>
    </row>
    <row r="562" spans="1:3" ht="13" x14ac:dyDescent="0.15">
      <c r="A562" s="10"/>
      <c r="B562" s="13"/>
      <c r="C562" s="13"/>
    </row>
    <row r="563" spans="1:3" ht="13" x14ac:dyDescent="0.15">
      <c r="A563" s="10"/>
      <c r="B563" s="13"/>
      <c r="C563" s="13"/>
    </row>
    <row r="564" spans="1:3" ht="13" x14ac:dyDescent="0.15">
      <c r="A564" s="10"/>
      <c r="B564" s="13"/>
      <c r="C564" s="13"/>
    </row>
    <row r="565" spans="1:3" ht="13" x14ac:dyDescent="0.15">
      <c r="A565" s="10"/>
      <c r="B565" s="13"/>
      <c r="C565" s="13"/>
    </row>
    <row r="566" spans="1:3" ht="13" x14ac:dyDescent="0.15">
      <c r="A566" s="10"/>
      <c r="B566" s="13"/>
      <c r="C566" s="13"/>
    </row>
    <row r="567" spans="1:3" ht="13" x14ac:dyDescent="0.15">
      <c r="A567" s="10"/>
      <c r="B567" s="13"/>
      <c r="C567" s="13"/>
    </row>
    <row r="568" spans="1:3" ht="13" x14ac:dyDescent="0.15">
      <c r="A568" s="10"/>
      <c r="B568" s="13"/>
      <c r="C568" s="13"/>
    </row>
    <row r="569" spans="1:3" ht="13" x14ac:dyDescent="0.15">
      <c r="A569" s="10"/>
      <c r="B569" s="13"/>
      <c r="C569" s="13"/>
    </row>
    <row r="570" spans="1:3" ht="13" x14ac:dyDescent="0.15">
      <c r="A570" s="10"/>
      <c r="B570" s="13"/>
      <c r="C570" s="13"/>
    </row>
    <row r="571" spans="1:3" ht="13" x14ac:dyDescent="0.15">
      <c r="A571" s="10"/>
      <c r="B571" s="13"/>
      <c r="C571" s="13"/>
    </row>
    <row r="572" spans="1:3" ht="13" x14ac:dyDescent="0.15">
      <c r="A572" s="10"/>
      <c r="B572" s="13"/>
      <c r="C572" s="13"/>
    </row>
    <row r="573" spans="1:3" ht="13" x14ac:dyDescent="0.15">
      <c r="A573" s="10"/>
      <c r="B573" s="13"/>
      <c r="C573" s="13"/>
    </row>
    <row r="574" spans="1:3" ht="13" x14ac:dyDescent="0.15">
      <c r="A574" s="10"/>
      <c r="B574" s="13"/>
      <c r="C574" s="13"/>
    </row>
    <row r="575" spans="1:3" ht="13" x14ac:dyDescent="0.15">
      <c r="A575" s="10"/>
      <c r="B575" s="13"/>
      <c r="C575" s="13"/>
    </row>
    <row r="576" spans="1:3" ht="13" x14ac:dyDescent="0.15">
      <c r="A576" s="10"/>
      <c r="B576" s="13"/>
      <c r="C576" s="13"/>
    </row>
    <row r="577" spans="1:3" ht="13" x14ac:dyDescent="0.15">
      <c r="A577" s="10"/>
      <c r="B577" s="13"/>
      <c r="C577" s="13"/>
    </row>
    <row r="578" spans="1:3" ht="13" x14ac:dyDescent="0.15">
      <c r="A578" s="10"/>
      <c r="B578" s="13"/>
      <c r="C578" s="13"/>
    </row>
    <row r="579" spans="1:3" ht="13" x14ac:dyDescent="0.15">
      <c r="A579" s="10"/>
      <c r="B579" s="13"/>
      <c r="C579" s="13"/>
    </row>
    <row r="580" spans="1:3" ht="13" x14ac:dyDescent="0.15">
      <c r="A580" s="10"/>
      <c r="B580" s="13"/>
      <c r="C580" s="13"/>
    </row>
    <row r="581" spans="1:3" ht="13" x14ac:dyDescent="0.15">
      <c r="A581" s="10"/>
      <c r="B581" s="13"/>
      <c r="C581" s="13"/>
    </row>
    <row r="582" spans="1:3" ht="13" x14ac:dyDescent="0.15">
      <c r="A582" s="10"/>
      <c r="B582" s="13"/>
      <c r="C582" s="13"/>
    </row>
    <row r="583" spans="1:3" ht="13" x14ac:dyDescent="0.15">
      <c r="A583" s="10"/>
      <c r="B583" s="13"/>
      <c r="C583" s="13"/>
    </row>
    <row r="584" spans="1:3" ht="13" x14ac:dyDescent="0.15">
      <c r="A584" s="10"/>
      <c r="B584" s="13"/>
      <c r="C584" s="13"/>
    </row>
    <row r="585" spans="1:3" ht="13" x14ac:dyDescent="0.15">
      <c r="A585" s="10"/>
      <c r="B585" s="13"/>
      <c r="C585" s="13"/>
    </row>
    <row r="586" spans="1:3" ht="13" x14ac:dyDescent="0.15">
      <c r="A586" s="10"/>
      <c r="B586" s="13"/>
      <c r="C586" s="13"/>
    </row>
    <row r="587" spans="1:3" ht="13" x14ac:dyDescent="0.15">
      <c r="A587" s="10"/>
      <c r="B587" s="13"/>
      <c r="C587" s="13"/>
    </row>
    <row r="588" spans="1:3" ht="13" x14ac:dyDescent="0.15">
      <c r="A588" s="10"/>
      <c r="B588" s="13"/>
      <c r="C588" s="13"/>
    </row>
    <row r="589" spans="1:3" ht="13" x14ac:dyDescent="0.15">
      <c r="A589" s="10"/>
      <c r="B589" s="13"/>
      <c r="C589" s="13"/>
    </row>
    <row r="590" spans="1:3" ht="13" x14ac:dyDescent="0.15">
      <c r="A590" s="10"/>
      <c r="B590" s="13"/>
      <c r="C590" s="13"/>
    </row>
    <row r="591" spans="1:3" ht="13" x14ac:dyDescent="0.15">
      <c r="A591" s="10"/>
      <c r="B591" s="13"/>
      <c r="C591" s="13"/>
    </row>
    <row r="592" spans="1:3" ht="13" x14ac:dyDescent="0.15">
      <c r="A592" s="10"/>
      <c r="B592" s="13"/>
      <c r="C592" s="13"/>
    </row>
    <row r="593" spans="1:3" ht="13" x14ac:dyDescent="0.15">
      <c r="A593" s="10"/>
      <c r="B593" s="13"/>
      <c r="C593" s="13"/>
    </row>
    <row r="594" spans="1:3" ht="13" x14ac:dyDescent="0.15">
      <c r="A594" s="10"/>
      <c r="B594" s="13"/>
      <c r="C594" s="13"/>
    </row>
    <row r="595" spans="1:3" ht="13" x14ac:dyDescent="0.15">
      <c r="A595" s="10"/>
      <c r="B595" s="13"/>
      <c r="C595" s="13"/>
    </row>
    <row r="596" spans="1:3" ht="13" x14ac:dyDescent="0.15">
      <c r="A596" s="10"/>
      <c r="B596" s="13"/>
      <c r="C596" s="13"/>
    </row>
    <row r="597" spans="1:3" ht="13" x14ac:dyDescent="0.15">
      <c r="A597" s="10"/>
      <c r="B597" s="13"/>
      <c r="C597" s="13"/>
    </row>
    <row r="598" spans="1:3" ht="13" x14ac:dyDescent="0.15">
      <c r="A598" s="10"/>
      <c r="B598" s="13"/>
      <c r="C598" s="13"/>
    </row>
    <row r="599" spans="1:3" ht="13" x14ac:dyDescent="0.15">
      <c r="A599" s="10"/>
      <c r="B599" s="13"/>
      <c r="C599" s="13"/>
    </row>
    <row r="600" spans="1:3" ht="13" x14ac:dyDescent="0.15">
      <c r="A600" s="10"/>
      <c r="B600" s="13"/>
      <c r="C600" s="13"/>
    </row>
    <row r="601" spans="1:3" ht="13" x14ac:dyDescent="0.15">
      <c r="A601" s="10"/>
      <c r="B601" s="13"/>
      <c r="C601" s="13"/>
    </row>
    <row r="602" spans="1:3" ht="13" x14ac:dyDescent="0.15">
      <c r="A602" s="10"/>
      <c r="B602" s="13"/>
      <c r="C602" s="13"/>
    </row>
    <row r="603" spans="1:3" ht="13" x14ac:dyDescent="0.15">
      <c r="A603" s="10"/>
      <c r="B603" s="13"/>
      <c r="C603" s="13"/>
    </row>
    <row r="604" spans="1:3" ht="13" x14ac:dyDescent="0.15">
      <c r="A604" s="10"/>
      <c r="B604" s="13"/>
      <c r="C604" s="13"/>
    </row>
    <row r="605" spans="1:3" ht="13" x14ac:dyDescent="0.15">
      <c r="A605" s="10"/>
      <c r="B605" s="13"/>
      <c r="C605" s="13"/>
    </row>
    <row r="606" spans="1:3" ht="13" x14ac:dyDescent="0.15">
      <c r="A606" s="10"/>
      <c r="B606" s="13"/>
      <c r="C606" s="13"/>
    </row>
    <row r="607" spans="1:3" ht="13" x14ac:dyDescent="0.15">
      <c r="A607" s="10"/>
      <c r="B607" s="13"/>
      <c r="C607" s="13"/>
    </row>
    <row r="608" spans="1:3" ht="13" x14ac:dyDescent="0.15">
      <c r="A608" s="10"/>
      <c r="B608" s="13"/>
      <c r="C608" s="13"/>
    </row>
    <row r="609" spans="1:3" ht="13" x14ac:dyDescent="0.15">
      <c r="A609" s="10"/>
      <c r="B609" s="13"/>
      <c r="C609" s="13"/>
    </row>
    <row r="610" spans="1:3" ht="13" x14ac:dyDescent="0.15">
      <c r="A610" s="10"/>
      <c r="B610" s="13"/>
      <c r="C610" s="13"/>
    </row>
    <row r="611" spans="1:3" ht="13" x14ac:dyDescent="0.15">
      <c r="A611" s="10"/>
      <c r="B611" s="13"/>
      <c r="C611" s="13"/>
    </row>
    <row r="612" spans="1:3" ht="13" x14ac:dyDescent="0.15">
      <c r="A612" s="10"/>
      <c r="B612" s="13"/>
      <c r="C612" s="13"/>
    </row>
    <row r="613" spans="1:3" ht="13" x14ac:dyDescent="0.15">
      <c r="A613" s="10"/>
      <c r="B613" s="13"/>
      <c r="C613" s="13"/>
    </row>
    <row r="614" spans="1:3" ht="13" x14ac:dyDescent="0.15">
      <c r="A614" s="10"/>
      <c r="B614" s="13"/>
      <c r="C614" s="13"/>
    </row>
    <row r="615" spans="1:3" ht="13" x14ac:dyDescent="0.15">
      <c r="A615" s="10"/>
      <c r="B615" s="13"/>
      <c r="C615" s="13"/>
    </row>
    <row r="616" spans="1:3" ht="13" x14ac:dyDescent="0.15">
      <c r="A616" s="10"/>
      <c r="B616" s="13"/>
      <c r="C616" s="13"/>
    </row>
    <row r="617" spans="1:3" ht="13" x14ac:dyDescent="0.15">
      <c r="A617" s="10"/>
      <c r="B617" s="13"/>
      <c r="C617" s="13"/>
    </row>
    <row r="618" spans="1:3" ht="13" x14ac:dyDescent="0.15">
      <c r="A618" s="10"/>
      <c r="B618" s="13"/>
      <c r="C618" s="13"/>
    </row>
    <row r="619" spans="1:3" ht="13" x14ac:dyDescent="0.15">
      <c r="A619" s="10"/>
      <c r="B619" s="13"/>
      <c r="C619" s="13"/>
    </row>
    <row r="620" spans="1:3" ht="13" x14ac:dyDescent="0.15">
      <c r="A620" s="10"/>
      <c r="B620" s="13"/>
      <c r="C620" s="13"/>
    </row>
    <row r="621" spans="1:3" ht="13" x14ac:dyDescent="0.15">
      <c r="A621" s="10"/>
      <c r="B621" s="13"/>
      <c r="C621" s="13"/>
    </row>
    <row r="622" spans="1:3" ht="13" x14ac:dyDescent="0.15">
      <c r="A622" s="10"/>
      <c r="B622" s="13"/>
      <c r="C622" s="13"/>
    </row>
    <row r="623" spans="1:3" ht="13" x14ac:dyDescent="0.15">
      <c r="A623" s="10"/>
      <c r="B623" s="13"/>
      <c r="C623" s="13"/>
    </row>
    <row r="624" spans="1:3" ht="13" x14ac:dyDescent="0.15">
      <c r="A624" s="10"/>
      <c r="B624" s="13"/>
      <c r="C624" s="13"/>
    </row>
    <row r="625" spans="1:3" ht="13" x14ac:dyDescent="0.15">
      <c r="A625" s="10"/>
      <c r="B625" s="13"/>
      <c r="C625" s="13"/>
    </row>
    <row r="626" spans="1:3" ht="13" x14ac:dyDescent="0.15">
      <c r="A626" s="10"/>
      <c r="B626" s="13"/>
      <c r="C626" s="13"/>
    </row>
    <row r="627" spans="1:3" ht="13" x14ac:dyDescent="0.15">
      <c r="A627" s="10"/>
      <c r="B627" s="13"/>
      <c r="C627" s="13"/>
    </row>
    <row r="628" spans="1:3" ht="13" x14ac:dyDescent="0.15">
      <c r="A628" s="10"/>
      <c r="B628" s="13"/>
      <c r="C628" s="13"/>
    </row>
    <row r="629" spans="1:3" ht="13" x14ac:dyDescent="0.15">
      <c r="A629" s="10"/>
      <c r="B629" s="13"/>
      <c r="C629" s="13"/>
    </row>
    <row r="630" spans="1:3" ht="13" x14ac:dyDescent="0.15">
      <c r="A630" s="10"/>
      <c r="B630" s="13"/>
      <c r="C630" s="13"/>
    </row>
    <row r="631" spans="1:3" ht="13" x14ac:dyDescent="0.15">
      <c r="A631" s="10"/>
      <c r="B631" s="13"/>
      <c r="C631" s="13"/>
    </row>
    <row r="632" spans="1:3" ht="13" x14ac:dyDescent="0.15">
      <c r="A632" s="10"/>
      <c r="B632" s="13"/>
      <c r="C632" s="13"/>
    </row>
    <row r="633" spans="1:3" ht="13" x14ac:dyDescent="0.15">
      <c r="A633" s="10"/>
      <c r="B633" s="13"/>
      <c r="C633" s="13"/>
    </row>
    <row r="634" spans="1:3" ht="13" x14ac:dyDescent="0.15">
      <c r="A634" s="10"/>
      <c r="B634" s="13"/>
      <c r="C634" s="13"/>
    </row>
    <row r="635" spans="1:3" ht="13" x14ac:dyDescent="0.15">
      <c r="A635" s="10"/>
      <c r="B635" s="13"/>
      <c r="C635" s="13"/>
    </row>
    <row r="636" spans="1:3" ht="13" x14ac:dyDescent="0.15">
      <c r="A636" s="10"/>
      <c r="B636" s="13"/>
      <c r="C636" s="13"/>
    </row>
    <row r="637" spans="1:3" ht="13" x14ac:dyDescent="0.15">
      <c r="A637" s="10"/>
      <c r="B637" s="13"/>
      <c r="C637" s="13"/>
    </row>
    <row r="638" spans="1:3" ht="13" x14ac:dyDescent="0.15">
      <c r="A638" s="10"/>
      <c r="B638" s="13"/>
      <c r="C638" s="13"/>
    </row>
    <row r="639" spans="1:3" ht="13" x14ac:dyDescent="0.15">
      <c r="A639" s="10"/>
      <c r="B639" s="13"/>
      <c r="C639" s="13"/>
    </row>
    <row r="640" spans="1:3" ht="13" x14ac:dyDescent="0.15">
      <c r="A640" s="10"/>
      <c r="B640" s="13"/>
      <c r="C640" s="13"/>
    </row>
    <row r="641" spans="1:3" ht="13" x14ac:dyDescent="0.15">
      <c r="A641" s="10"/>
      <c r="B641" s="13"/>
      <c r="C641" s="13"/>
    </row>
    <row r="642" spans="1:3" ht="13" x14ac:dyDescent="0.15">
      <c r="A642" s="10"/>
      <c r="B642" s="13"/>
      <c r="C642" s="13"/>
    </row>
    <row r="643" spans="1:3" ht="13" x14ac:dyDescent="0.15">
      <c r="A643" s="10"/>
      <c r="B643" s="13"/>
      <c r="C643" s="13"/>
    </row>
    <row r="644" spans="1:3" ht="13" x14ac:dyDescent="0.15">
      <c r="A644" s="10"/>
      <c r="B644" s="13"/>
      <c r="C644" s="13"/>
    </row>
    <row r="645" spans="1:3" ht="13" x14ac:dyDescent="0.15">
      <c r="A645" s="10"/>
      <c r="B645" s="13"/>
      <c r="C645" s="13"/>
    </row>
    <row r="646" spans="1:3" ht="13" x14ac:dyDescent="0.15">
      <c r="A646" s="10"/>
      <c r="B646" s="13"/>
      <c r="C646" s="13"/>
    </row>
    <row r="647" spans="1:3" ht="13" x14ac:dyDescent="0.15">
      <c r="A647" s="10"/>
      <c r="B647" s="13"/>
      <c r="C647" s="13"/>
    </row>
    <row r="648" spans="1:3" ht="13" x14ac:dyDescent="0.15">
      <c r="A648" s="10"/>
      <c r="B648" s="13"/>
      <c r="C648" s="13"/>
    </row>
    <row r="649" spans="1:3" ht="13" x14ac:dyDescent="0.15">
      <c r="A649" s="10"/>
      <c r="B649" s="13"/>
      <c r="C649" s="13"/>
    </row>
    <row r="650" spans="1:3" ht="13" x14ac:dyDescent="0.15">
      <c r="A650" s="10"/>
      <c r="B650" s="13"/>
      <c r="C650" s="13"/>
    </row>
    <row r="651" spans="1:3" ht="13" x14ac:dyDescent="0.15">
      <c r="A651" s="10"/>
      <c r="B651" s="13"/>
      <c r="C651" s="13"/>
    </row>
    <row r="652" spans="1:3" ht="13" x14ac:dyDescent="0.15">
      <c r="A652" s="10"/>
      <c r="B652" s="13"/>
      <c r="C652" s="13"/>
    </row>
    <row r="653" spans="1:3" ht="13" x14ac:dyDescent="0.15">
      <c r="A653" s="10"/>
      <c r="B653" s="13"/>
      <c r="C653" s="13"/>
    </row>
    <row r="654" spans="1:3" ht="13" x14ac:dyDescent="0.15">
      <c r="A654" s="10"/>
      <c r="B654" s="13"/>
      <c r="C654" s="13"/>
    </row>
    <row r="655" spans="1:3" ht="13" x14ac:dyDescent="0.15">
      <c r="A655" s="10"/>
      <c r="B655" s="13"/>
      <c r="C655" s="13"/>
    </row>
    <row r="656" spans="1:3" ht="13" x14ac:dyDescent="0.15">
      <c r="A656" s="10"/>
      <c r="B656" s="13"/>
      <c r="C656" s="13"/>
    </row>
    <row r="657" spans="1:3" ht="13" x14ac:dyDescent="0.15">
      <c r="A657" s="10"/>
      <c r="B657" s="13"/>
      <c r="C657" s="13"/>
    </row>
    <row r="658" spans="1:3" ht="13" x14ac:dyDescent="0.15">
      <c r="A658" s="10"/>
      <c r="B658" s="13"/>
      <c r="C658" s="13"/>
    </row>
    <row r="659" spans="1:3" ht="13" x14ac:dyDescent="0.15">
      <c r="A659" s="10"/>
      <c r="B659" s="13"/>
      <c r="C659" s="13"/>
    </row>
    <row r="660" spans="1:3" ht="13" x14ac:dyDescent="0.15">
      <c r="A660" s="10"/>
      <c r="B660" s="13"/>
      <c r="C660" s="13"/>
    </row>
    <row r="661" spans="1:3" ht="13" x14ac:dyDescent="0.15">
      <c r="A661" s="10"/>
      <c r="B661" s="13"/>
      <c r="C661" s="13"/>
    </row>
    <row r="662" spans="1:3" ht="13" x14ac:dyDescent="0.15">
      <c r="A662" s="10"/>
      <c r="B662" s="13"/>
      <c r="C662" s="13"/>
    </row>
    <row r="663" spans="1:3" ht="13" x14ac:dyDescent="0.15">
      <c r="A663" s="10"/>
      <c r="B663" s="13"/>
      <c r="C663" s="13"/>
    </row>
    <row r="664" spans="1:3" ht="13" x14ac:dyDescent="0.15">
      <c r="A664" s="10"/>
      <c r="B664" s="13"/>
      <c r="C664" s="13"/>
    </row>
    <row r="665" spans="1:3" ht="13" x14ac:dyDescent="0.15">
      <c r="A665" s="10"/>
      <c r="B665" s="13"/>
      <c r="C665" s="13"/>
    </row>
    <row r="666" spans="1:3" ht="13" x14ac:dyDescent="0.15">
      <c r="A666" s="10"/>
      <c r="B666" s="13"/>
      <c r="C666" s="13"/>
    </row>
    <row r="667" spans="1:3" ht="13" x14ac:dyDescent="0.15">
      <c r="A667" s="10"/>
      <c r="B667" s="13"/>
      <c r="C667" s="13"/>
    </row>
    <row r="668" spans="1:3" ht="13" x14ac:dyDescent="0.15">
      <c r="A668" s="10"/>
      <c r="B668" s="13"/>
      <c r="C668" s="13"/>
    </row>
    <row r="669" spans="1:3" ht="13" x14ac:dyDescent="0.15">
      <c r="A669" s="10"/>
      <c r="B669" s="13"/>
      <c r="C669" s="13"/>
    </row>
    <row r="670" spans="1:3" ht="13" x14ac:dyDescent="0.15">
      <c r="A670" s="10"/>
      <c r="B670" s="13"/>
      <c r="C670" s="13"/>
    </row>
    <row r="671" spans="1:3" ht="13" x14ac:dyDescent="0.15">
      <c r="A671" s="10"/>
      <c r="B671" s="13"/>
      <c r="C671" s="13"/>
    </row>
    <row r="672" spans="1:3" ht="13" x14ac:dyDescent="0.15">
      <c r="A672" s="10"/>
      <c r="B672" s="13"/>
      <c r="C672" s="13"/>
    </row>
    <row r="673" spans="1:3" ht="13" x14ac:dyDescent="0.15">
      <c r="A673" s="10"/>
      <c r="B673" s="13"/>
      <c r="C673" s="13"/>
    </row>
    <row r="674" spans="1:3" ht="13" x14ac:dyDescent="0.15">
      <c r="A674" s="10"/>
      <c r="B674" s="13"/>
      <c r="C674" s="13"/>
    </row>
    <row r="675" spans="1:3" ht="13" x14ac:dyDescent="0.15">
      <c r="A675" s="10"/>
      <c r="B675" s="13"/>
      <c r="C675" s="13"/>
    </row>
    <row r="676" spans="1:3" ht="13" x14ac:dyDescent="0.15">
      <c r="A676" s="10"/>
      <c r="B676" s="13"/>
      <c r="C676" s="13"/>
    </row>
    <row r="677" spans="1:3" ht="13" x14ac:dyDescent="0.15">
      <c r="A677" s="10"/>
      <c r="B677" s="13"/>
      <c r="C677" s="13"/>
    </row>
    <row r="678" spans="1:3" ht="13" x14ac:dyDescent="0.15">
      <c r="A678" s="10"/>
      <c r="B678" s="13"/>
      <c r="C678" s="13"/>
    </row>
    <row r="679" spans="1:3" ht="13" x14ac:dyDescent="0.15">
      <c r="A679" s="10"/>
      <c r="B679" s="13"/>
      <c r="C679" s="13"/>
    </row>
    <row r="680" spans="1:3" ht="13" x14ac:dyDescent="0.15">
      <c r="A680" s="10"/>
      <c r="B680" s="13"/>
      <c r="C680" s="13"/>
    </row>
    <row r="681" spans="1:3" ht="13" x14ac:dyDescent="0.15">
      <c r="A681" s="10"/>
      <c r="B681" s="13"/>
      <c r="C681" s="13"/>
    </row>
    <row r="682" spans="1:3" ht="13" x14ac:dyDescent="0.15">
      <c r="A682" s="10"/>
      <c r="B682" s="13"/>
      <c r="C682" s="13"/>
    </row>
    <row r="683" spans="1:3" ht="13" x14ac:dyDescent="0.15">
      <c r="A683" s="10"/>
      <c r="B683" s="13"/>
      <c r="C683" s="13"/>
    </row>
    <row r="684" spans="1:3" ht="13" x14ac:dyDescent="0.15">
      <c r="A684" s="10"/>
      <c r="B684" s="13"/>
      <c r="C684" s="13"/>
    </row>
    <row r="685" spans="1:3" ht="13" x14ac:dyDescent="0.15">
      <c r="A685" s="10"/>
      <c r="B685" s="13"/>
      <c r="C685" s="13"/>
    </row>
    <row r="686" spans="1:3" ht="13" x14ac:dyDescent="0.15">
      <c r="A686" s="10"/>
      <c r="B686" s="13"/>
      <c r="C686" s="13"/>
    </row>
    <row r="687" spans="1:3" ht="13" x14ac:dyDescent="0.15">
      <c r="A687" s="10"/>
      <c r="B687" s="13"/>
      <c r="C687" s="13"/>
    </row>
    <row r="688" spans="1:3" ht="13" x14ac:dyDescent="0.15">
      <c r="A688" s="10"/>
      <c r="B688" s="13"/>
      <c r="C688" s="13"/>
    </row>
    <row r="689" spans="1:3" ht="13" x14ac:dyDescent="0.15">
      <c r="A689" s="10"/>
      <c r="B689" s="13"/>
      <c r="C689" s="13"/>
    </row>
    <row r="690" spans="1:3" ht="13" x14ac:dyDescent="0.15">
      <c r="A690" s="10"/>
      <c r="B690" s="13"/>
      <c r="C690" s="13"/>
    </row>
    <row r="691" spans="1:3" ht="13" x14ac:dyDescent="0.15">
      <c r="A691" s="10"/>
      <c r="B691" s="13"/>
      <c r="C691" s="13"/>
    </row>
    <row r="692" spans="1:3" ht="13" x14ac:dyDescent="0.15">
      <c r="A692" s="10"/>
      <c r="B692" s="13"/>
      <c r="C692" s="13"/>
    </row>
    <row r="693" spans="1:3" ht="13" x14ac:dyDescent="0.15">
      <c r="A693" s="10"/>
      <c r="B693" s="13"/>
      <c r="C693" s="13"/>
    </row>
    <row r="694" spans="1:3" ht="13" x14ac:dyDescent="0.15">
      <c r="A694" s="10"/>
      <c r="B694" s="13"/>
      <c r="C694" s="13"/>
    </row>
    <row r="695" spans="1:3" ht="13" x14ac:dyDescent="0.15">
      <c r="A695" s="10"/>
      <c r="B695" s="13"/>
      <c r="C695" s="13"/>
    </row>
    <row r="696" spans="1:3" ht="13" x14ac:dyDescent="0.15">
      <c r="A696" s="10"/>
      <c r="B696" s="13"/>
      <c r="C696" s="13"/>
    </row>
    <row r="697" spans="1:3" ht="13" x14ac:dyDescent="0.15">
      <c r="A697" s="10"/>
      <c r="B697" s="13"/>
      <c r="C697" s="13"/>
    </row>
    <row r="698" spans="1:3" ht="13" x14ac:dyDescent="0.15">
      <c r="A698" s="10"/>
      <c r="B698" s="13"/>
      <c r="C698" s="13"/>
    </row>
    <row r="699" spans="1:3" ht="13" x14ac:dyDescent="0.15">
      <c r="A699" s="10"/>
      <c r="B699" s="13"/>
      <c r="C699" s="13"/>
    </row>
    <row r="700" spans="1:3" ht="13" x14ac:dyDescent="0.15">
      <c r="A700" s="10"/>
      <c r="B700" s="13"/>
      <c r="C700" s="13"/>
    </row>
    <row r="701" spans="1:3" ht="13" x14ac:dyDescent="0.15">
      <c r="A701" s="10"/>
      <c r="B701" s="13"/>
      <c r="C701" s="13"/>
    </row>
    <row r="702" spans="1:3" ht="13" x14ac:dyDescent="0.15">
      <c r="A702" s="10"/>
      <c r="B702" s="13"/>
      <c r="C702" s="13"/>
    </row>
    <row r="703" spans="1:3" ht="13" x14ac:dyDescent="0.15">
      <c r="A703" s="10"/>
      <c r="B703" s="13"/>
      <c r="C703" s="13"/>
    </row>
    <row r="704" spans="1:3" ht="13" x14ac:dyDescent="0.15">
      <c r="A704" s="10"/>
      <c r="B704" s="13"/>
      <c r="C704" s="13"/>
    </row>
    <row r="705" spans="1:3" ht="13" x14ac:dyDescent="0.15">
      <c r="A705" s="10"/>
      <c r="B705" s="13"/>
      <c r="C705" s="13"/>
    </row>
    <row r="706" spans="1:3" ht="13" x14ac:dyDescent="0.15">
      <c r="A706" s="10"/>
      <c r="B706" s="13"/>
      <c r="C706" s="13"/>
    </row>
    <row r="707" spans="1:3" ht="13" x14ac:dyDescent="0.15">
      <c r="A707" s="10"/>
      <c r="B707" s="13"/>
      <c r="C707" s="13"/>
    </row>
    <row r="708" spans="1:3" ht="13" x14ac:dyDescent="0.15">
      <c r="A708" s="10"/>
      <c r="B708" s="13"/>
      <c r="C708" s="13"/>
    </row>
    <row r="709" spans="1:3" ht="13" x14ac:dyDescent="0.15">
      <c r="A709" s="10"/>
      <c r="B709" s="13"/>
      <c r="C709" s="13"/>
    </row>
    <row r="710" spans="1:3" ht="13" x14ac:dyDescent="0.15">
      <c r="A710" s="10"/>
      <c r="B710" s="13"/>
      <c r="C710" s="13"/>
    </row>
    <row r="711" spans="1:3" ht="13" x14ac:dyDescent="0.15">
      <c r="A711" s="10"/>
      <c r="B711" s="13"/>
      <c r="C711" s="13"/>
    </row>
    <row r="712" spans="1:3" ht="13" x14ac:dyDescent="0.15">
      <c r="A712" s="10"/>
      <c r="B712" s="13"/>
      <c r="C712" s="13"/>
    </row>
    <row r="713" spans="1:3" ht="13" x14ac:dyDescent="0.15">
      <c r="A713" s="10"/>
      <c r="B713" s="13"/>
      <c r="C713" s="13"/>
    </row>
    <row r="714" spans="1:3" ht="13" x14ac:dyDescent="0.15">
      <c r="A714" s="10"/>
      <c r="B714" s="13"/>
      <c r="C714" s="13"/>
    </row>
    <row r="715" spans="1:3" ht="13" x14ac:dyDescent="0.15">
      <c r="A715" s="10"/>
      <c r="B715" s="13"/>
      <c r="C715" s="13"/>
    </row>
    <row r="716" spans="1:3" ht="13" x14ac:dyDescent="0.15">
      <c r="A716" s="10"/>
      <c r="B716" s="13"/>
      <c r="C716" s="13"/>
    </row>
    <row r="717" spans="1:3" ht="13" x14ac:dyDescent="0.15">
      <c r="A717" s="10"/>
      <c r="B717" s="13"/>
      <c r="C717" s="13"/>
    </row>
    <row r="718" spans="1:3" ht="13" x14ac:dyDescent="0.15">
      <c r="A718" s="10"/>
      <c r="B718" s="13"/>
      <c r="C718" s="13"/>
    </row>
    <row r="719" spans="1:3" ht="13" x14ac:dyDescent="0.15">
      <c r="A719" s="10"/>
      <c r="B719" s="13"/>
      <c r="C719" s="13"/>
    </row>
    <row r="720" spans="1:3" ht="13" x14ac:dyDescent="0.15">
      <c r="A720" s="10"/>
      <c r="B720" s="13"/>
      <c r="C720" s="13"/>
    </row>
    <row r="721" spans="1:3" ht="13" x14ac:dyDescent="0.15">
      <c r="A721" s="10"/>
      <c r="B721" s="13"/>
      <c r="C721" s="13"/>
    </row>
    <row r="722" spans="1:3" ht="13" x14ac:dyDescent="0.15">
      <c r="A722" s="10"/>
      <c r="B722" s="13"/>
      <c r="C722" s="13"/>
    </row>
    <row r="723" spans="1:3" ht="13" x14ac:dyDescent="0.15">
      <c r="A723" s="10"/>
      <c r="B723" s="13"/>
      <c r="C723" s="13"/>
    </row>
    <row r="724" spans="1:3" ht="13" x14ac:dyDescent="0.15">
      <c r="A724" s="10"/>
      <c r="B724" s="13"/>
      <c r="C724" s="13"/>
    </row>
    <row r="725" spans="1:3" ht="13" x14ac:dyDescent="0.15">
      <c r="A725" s="10"/>
      <c r="B725" s="13"/>
      <c r="C725" s="13"/>
    </row>
    <row r="726" spans="1:3" ht="13" x14ac:dyDescent="0.15">
      <c r="A726" s="10"/>
      <c r="B726" s="13"/>
      <c r="C726" s="13"/>
    </row>
    <row r="727" spans="1:3" ht="13" x14ac:dyDescent="0.15">
      <c r="A727" s="10"/>
      <c r="B727" s="13"/>
      <c r="C727" s="13"/>
    </row>
    <row r="728" spans="1:3" ht="13" x14ac:dyDescent="0.15">
      <c r="A728" s="10"/>
      <c r="B728" s="13"/>
      <c r="C728" s="13"/>
    </row>
    <row r="729" spans="1:3" ht="13" x14ac:dyDescent="0.15">
      <c r="A729" s="10"/>
      <c r="B729" s="13"/>
      <c r="C729" s="13"/>
    </row>
    <row r="730" spans="1:3" ht="13" x14ac:dyDescent="0.15">
      <c r="A730" s="10"/>
      <c r="B730" s="13"/>
      <c r="C730" s="13"/>
    </row>
    <row r="731" spans="1:3" ht="13" x14ac:dyDescent="0.15">
      <c r="A731" s="10"/>
      <c r="B731" s="13"/>
      <c r="C731" s="13"/>
    </row>
    <row r="732" spans="1:3" ht="13" x14ac:dyDescent="0.15">
      <c r="A732" s="10"/>
      <c r="B732" s="13"/>
      <c r="C732" s="13"/>
    </row>
    <row r="733" spans="1:3" ht="13" x14ac:dyDescent="0.15">
      <c r="A733" s="10"/>
      <c r="B733" s="13"/>
      <c r="C733" s="13"/>
    </row>
    <row r="734" spans="1:3" ht="13" x14ac:dyDescent="0.15">
      <c r="A734" s="10"/>
      <c r="B734" s="13"/>
      <c r="C734" s="13"/>
    </row>
    <row r="735" spans="1:3" ht="13" x14ac:dyDescent="0.15">
      <c r="A735" s="10"/>
      <c r="B735" s="13"/>
      <c r="C735" s="13"/>
    </row>
    <row r="736" spans="1:3" ht="13" x14ac:dyDescent="0.15">
      <c r="A736" s="10"/>
      <c r="B736" s="13"/>
      <c r="C736" s="13"/>
    </row>
    <row r="737" spans="1:3" ht="13" x14ac:dyDescent="0.15">
      <c r="A737" s="10"/>
      <c r="B737" s="13"/>
      <c r="C737" s="13"/>
    </row>
    <row r="738" spans="1:3" ht="13" x14ac:dyDescent="0.15">
      <c r="A738" s="10"/>
      <c r="B738" s="13"/>
      <c r="C738" s="13"/>
    </row>
    <row r="739" spans="1:3" ht="13" x14ac:dyDescent="0.15">
      <c r="A739" s="10"/>
      <c r="B739" s="13"/>
      <c r="C739" s="13"/>
    </row>
    <row r="740" spans="1:3" ht="13" x14ac:dyDescent="0.15">
      <c r="A740" s="10"/>
      <c r="B740" s="13"/>
      <c r="C740" s="13"/>
    </row>
    <row r="741" spans="1:3" ht="13" x14ac:dyDescent="0.15">
      <c r="A741" s="10"/>
      <c r="B741" s="13"/>
      <c r="C741" s="13"/>
    </row>
    <row r="742" spans="1:3" ht="13" x14ac:dyDescent="0.15">
      <c r="A742" s="10"/>
      <c r="B742" s="13"/>
      <c r="C742" s="13"/>
    </row>
    <row r="743" spans="1:3" ht="13" x14ac:dyDescent="0.15">
      <c r="A743" s="10"/>
      <c r="B743" s="13"/>
      <c r="C743" s="13"/>
    </row>
    <row r="744" spans="1:3" ht="13" x14ac:dyDescent="0.15">
      <c r="A744" s="10"/>
      <c r="B744" s="13"/>
      <c r="C744" s="13"/>
    </row>
    <row r="745" spans="1:3" ht="13" x14ac:dyDescent="0.15">
      <c r="A745" s="10"/>
      <c r="B745" s="13"/>
      <c r="C745" s="13"/>
    </row>
    <row r="746" spans="1:3" ht="13" x14ac:dyDescent="0.15">
      <c r="A746" s="10"/>
      <c r="B746" s="13"/>
      <c r="C746" s="13"/>
    </row>
    <row r="747" spans="1:3" ht="13" x14ac:dyDescent="0.15">
      <c r="A747" s="10"/>
      <c r="B747" s="13"/>
      <c r="C747" s="13"/>
    </row>
    <row r="748" spans="1:3" ht="13" x14ac:dyDescent="0.15">
      <c r="A748" s="10"/>
      <c r="B748" s="13"/>
      <c r="C748" s="13"/>
    </row>
    <row r="749" spans="1:3" ht="13" x14ac:dyDescent="0.15">
      <c r="A749" s="10"/>
      <c r="B749" s="13"/>
      <c r="C749" s="13"/>
    </row>
    <row r="750" spans="1:3" ht="13" x14ac:dyDescent="0.15">
      <c r="A750" s="10"/>
      <c r="B750" s="13"/>
      <c r="C750" s="13"/>
    </row>
    <row r="751" spans="1:3" ht="13" x14ac:dyDescent="0.15">
      <c r="A751" s="10"/>
      <c r="B751" s="13"/>
      <c r="C751" s="13"/>
    </row>
    <row r="752" spans="1:3" ht="13" x14ac:dyDescent="0.15">
      <c r="A752" s="10"/>
      <c r="B752" s="13"/>
      <c r="C752" s="13"/>
    </row>
    <row r="753" spans="1:3" ht="13" x14ac:dyDescent="0.15">
      <c r="A753" s="10"/>
      <c r="B753" s="13"/>
      <c r="C753" s="13"/>
    </row>
    <row r="754" spans="1:3" ht="13" x14ac:dyDescent="0.15">
      <c r="A754" s="10"/>
      <c r="B754" s="13"/>
      <c r="C754" s="13"/>
    </row>
    <row r="755" spans="1:3" ht="13" x14ac:dyDescent="0.15">
      <c r="A755" s="10"/>
      <c r="B755" s="13"/>
      <c r="C755" s="13"/>
    </row>
    <row r="756" spans="1:3" ht="13" x14ac:dyDescent="0.15">
      <c r="A756" s="10"/>
      <c r="B756" s="13"/>
      <c r="C756" s="13"/>
    </row>
    <row r="757" spans="1:3" ht="13" x14ac:dyDescent="0.15">
      <c r="A757" s="10"/>
      <c r="B757" s="13"/>
      <c r="C757" s="13"/>
    </row>
    <row r="758" spans="1:3" ht="13" x14ac:dyDescent="0.15">
      <c r="A758" s="10"/>
      <c r="B758" s="13"/>
      <c r="C758" s="13"/>
    </row>
    <row r="759" spans="1:3" ht="13" x14ac:dyDescent="0.15">
      <c r="A759" s="10"/>
      <c r="B759" s="13"/>
      <c r="C759" s="13"/>
    </row>
    <row r="760" spans="1:3" ht="13" x14ac:dyDescent="0.15">
      <c r="A760" s="10"/>
      <c r="B760" s="13"/>
      <c r="C760" s="13"/>
    </row>
    <row r="761" spans="1:3" ht="13" x14ac:dyDescent="0.15">
      <c r="A761" s="10"/>
      <c r="B761" s="13"/>
      <c r="C761" s="13"/>
    </row>
    <row r="762" spans="1:3" ht="13" x14ac:dyDescent="0.15">
      <c r="A762" s="10"/>
      <c r="B762" s="13"/>
      <c r="C762" s="13"/>
    </row>
    <row r="763" spans="1:3" ht="13" x14ac:dyDescent="0.15">
      <c r="A763" s="10"/>
      <c r="B763" s="13"/>
      <c r="C763" s="13"/>
    </row>
    <row r="764" spans="1:3" ht="13" x14ac:dyDescent="0.15">
      <c r="A764" s="10"/>
      <c r="B764" s="13"/>
      <c r="C764" s="13"/>
    </row>
    <row r="765" spans="1:3" ht="13" x14ac:dyDescent="0.15">
      <c r="A765" s="10"/>
      <c r="B765" s="13"/>
      <c r="C765" s="13"/>
    </row>
    <row r="766" spans="1:3" ht="13" x14ac:dyDescent="0.15">
      <c r="A766" s="10"/>
      <c r="B766" s="13"/>
      <c r="C766" s="13"/>
    </row>
    <row r="767" spans="1:3" ht="13" x14ac:dyDescent="0.15">
      <c r="A767" s="10"/>
      <c r="B767" s="13"/>
      <c r="C767" s="13"/>
    </row>
    <row r="768" spans="1:3" ht="13" x14ac:dyDescent="0.15">
      <c r="A768" s="10"/>
      <c r="B768" s="13"/>
      <c r="C768" s="13"/>
    </row>
    <row r="769" spans="1:3" ht="13" x14ac:dyDescent="0.15">
      <c r="A769" s="10"/>
      <c r="B769" s="13"/>
      <c r="C769" s="13"/>
    </row>
    <row r="770" spans="1:3" ht="13" x14ac:dyDescent="0.15">
      <c r="A770" s="10"/>
      <c r="B770" s="13"/>
      <c r="C770" s="13"/>
    </row>
    <row r="771" spans="1:3" ht="13" x14ac:dyDescent="0.15">
      <c r="A771" s="10"/>
      <c r="B771" s="13"/>
      <c r="C771" s="13"/>
    </row>
    <row r="772" spans="1:3" ht="13" x14ac:dyDescent="0.15">
      <c r="A772" s="10"/>
      <c r="B772" s="13"/>
      <c r="C772" s="13"/>
    </row>
    <row r="773" spans="1:3" ht="13" x14ac:dyDescent="0.15">
      <c r="A773" s="10"/>
      <c r="B773" s="13"/>
      <c r="C773" s="13"/>
    </row>
    <row r="774" spans="1:3" ht="13" x14ac:dyDescent="0.15">
      <c r="A774" s="10"/>
      <c r="B774" s="13"/>
      <c r="C774" s="13"/>
    </row>
    <row r="775" spans="1:3" ht="13" x14ac:dyDescent="0.15">
      <c r="A775" s="10"/>
      <c r="B775" s="13"/>
      <c r="C775" s="13"/>
    </row>
    <row r="776" spans="1:3" ht="13" x14ac:dyDescent="0.15">
      <c r="A776" s="10"/>
      <c r="B776" s="13"/>
      <c r="C776" s="13"/>
    </row>
    <row r="777" spans="1:3" ht="13" x14ac:dyDescent="0.15">
      <c r="A777" s="10"/>
      <c r="B777" s="13"/>
      <c r="C777" s="13"/>
    </row>
    <row r="778" spans="1:3" ht="13" x14ac:dyDescent="0.15">
      <c r="A778" s="10"/>
      <c r="B778" s="13"/>
      <c r="C778" s="13"/>
    </row>
    <row r="779" spans="1:3" ht="13" x14ac:dyDescent="0.15">
      <c r="A779" s="10"/>
      <c r="B779" s="13"/>
      <c r="C779" s="13"/>
    </row>
    <row r="780" spans="1:3" ht="13" x14ac:dyDescent="0.15">
      <c r="A780" s="10"/>
      <c r="B780" s="13"/>
      <c r="C780" s="13"/>
    </row>
    <row r="781" spans="1:3" ht="13" x14ac:dyDescent="0.15">
      <c r="A781" s="10"/>
      <c r="B781" s="13"/>
      <c r="C781" s="13"/>
    </row>
    <row r="782" spans="1:3" ht="13" x14ac:dyDescent="0.15">
      <c r="A782" s="10"/>
      <c r="B782" s="13"/>
      <c r="C782" s="13"/>
    </row>
    <row r="783" spans="1:3" ht="13" x14ac:dyDescent="0.15">
      <c r="A783" s="10"/>
      <c r="B783" s="13"/>
      <c r="C783" s="13"/>
    </row>
    <row r="784" spans="1:3" ht="13" x14ac:dyDescent="0.15">
      <c r="A784" s="10"/>
      <c r="B784" s="13"/>
      <c r="C784" s="13"/>
    </row>
    <row r="785" spans="1:3" ht="13" x14ac:dyDescent="0.15">
      <c r="A785" s="10"/>
      <c r="B785" s="13"/>
      <c r="C785" s="13"/>
    </row>
    <row r="786" spans="1:3" ht="13" x14ac:dyDescent="0.15">
      <c r="A786" s="10"/>
      <c r="B786" s="13"/>
      <c r="C786" s="13"/>
    </row>
    <row r="787" spans="1:3" ht="13" x14ac:dyDescent="0.15">
      <c r="A787" s="10"/>
      <c r="B787" s="13"/>
      <c r="C787" s="13"/>
    </row>
    <row r="788" spans="1:3" ht="13" x14ac:dyDescent="0.15">
      <c r="A788" s="10"/>
      <c r="B788" s="13"/>
      <c r="C788" s="13"/>
    </row>
    <row r="789" spans="1:3" ht="13" x14ac:dyDescent="0.15">
      <c r="A789" s="10"/>
      <c r="B789" s="13"/>
      <c r="C789" s="13"/>
    </row>
    <row r="790" spans="1:3" ht="13" x14ac:dyDescent="0.15">
      <c r="A790" s="10"/>
      <c r="B790" s="13"/>
      <c r="C790" s="13"/>
    </row>
    <row r="791" spans="1:3" ht="13" x14ac:dyDescent="0.15">
      <c r="A791" s="10"/>
      <c r="B791" s="13"/>
      <c r="C791" s="13"/>
    </row>
    <row r="792" spans="1:3" ht="13" x14ac:dyDescent="0.15">
      <c r="A792" s="10"/>
      <c r="B792" s="13"/>
      <c r="C792" s="13"/>
    </row>
    <row r="793" spans="1:3" ht="13" x14ac:dyDescent="0.15">
      <c r="A793" s="10"/>
      <c r="B793" s="13"/>
      <c r="C793" s="13"/>
    </row>
    <row r="794" spans="1:3" ht="13" x14ac:dyDescent="0.15">
      <c r="A794" s="10"/>
      <c r="B794" s="13"/>
      <c r="C794" s="13"/>
    </row>
    <row r="795" spans="1:3" ht="13" x14ac:dyDescent="0.15">
      <c r="A795" s="10"/>
      <c r="B795" s="13"/>
      <c r="C795" s="13"/>
    </row>
    <row r="796" spans="1:3" ht="13" x14ac:dyDescent="0.15">
      <c r="A796" s="10"/>
      <c r="B796" s="13"/>
      <c r="C796" s="13"/>
    </row>
    <row r="797" spans="1:3" ht="13" x14ac:dyDescent="0.15">
      <c r="A797" s="10"/>
      <c r="B797" s="13"/>
      <c r="C797" s="13"/>
    </row>
    <row r="798" spans="1:3" ht="13" x14ac:dyDescent="0.15">
      <c r="A798" s="10"/>
      <c r="B798" s="13"/>
      <c r="C798" s="13"/>
    </row>
    <row r="799" spans="1:3" ht="13" x14ac:dyDescent="0.15">
      <c r="A799" s="10"/>
      <c r="B799" s="13"/>
      <c r="C799" s="13"/>
    </row>
    <row r="800" spans="1:3" ht="13" x14ac:dyDescent="0.15">
      <c r="A800" s="10"/>
      <c r="B800" s="13"/>
      <c r="C800" s="13"/>
    </row>
    <row r="801" spans="1:3" ht="13" x14ac:dyDescent="0.15">
      <c r="A801" s="10"/>
      <c r="B801" s="13"/>
      <c r="C801" s="13"/>
    </row>
    <row r="802" spans="1:3" ht="13" x14ac:dyDescent="0.15">
      <c r="A802" s="10"/>
      <c r="B802" s="13"/>
      <c r="C802" s="13"/>
    </row>
    <row r="803" spans="1:3" ht="13" x14ac:dyDescent="0.15">
      <c r="A803" s="10"/>
      <c r="B803" s="13"/>
      <c r="C803" s="13"/>
    </row>
    <row r="804" spans="1:3" ht="13" x14ac:dyDescent="0.15">
      <c r="A804" s="10"/>
      <c r="B804" s="13"/>
      <c r="C804" s="13"/>
    </row>
    <row r="805" spans="1:3" ht="13" x14ac:dyDescent="0.15">
      <c r="A805" s="10"/>
      <c r="B805" s="13"/>
      <c r="C805" s="13"/>
    </row>
    <row r="806" spans="1:3" ht="13" x14ac:dyDescent="0.15">
      <c r="A806" s="10"/>
      <c r="B806" s="13"/>
      <c r="C806" s="13"/>
    </row>
    <row r="807" spans="1:3" ht="13" x14ac:dyDescent="0.15">
      <c r="A807" s="10"/>
      <c r="B807" s="13"/>
      <c r="C807" s="13"/>
    </row>
    <row r="808" spans="1:3" ht="13" x14ac:dyDescent="0.15">
      <c r="A808" s="10"/>
      <c r="B808" s="13"/>
      <c r="C808" s="13"/>
    </row>
    <row r="809" spans="1:3" ht="13" x14ac:dyDescent="0.15">
      <c r="A809" s="10"/>
      <c r="B809" s="13"/>
      <c r="C809" s="13"/>
    </row>
    <row r="810" spans="1:3" ht="13" x14ac:dyDescent="0.15">
      <c r="A810" s="10"/>
      <c r="B810" s="13"/>
      <c r="C810" s="13"/>
    </row>
    <row r="811" spans="1:3" ht="13" x14ac:dyDescent="0.15">
      <c r="A811" s="10"/>
      <c r="B811" s="13"/>
      <c r="C811" s="13"/>
    </row>
    <row r="812" spans="1:3" ht="13" x14ac:dyDescent="0.15">
      <c r="A812" s="10"/>
      <c r="B812" s="13"/>
      <c r="C812" s="13"/>
    </row>
    <row r="813" spans="1:3" ht="13" x14ac:dyDescent="0.15">
      <c r="A813" s="10"/>
      <c r="B813" s="13"/>
      <c r="C813" s="13"/>
    </row>
    <row r="814" spans="1:3" ht="13" x14ac:dyDescent="0.15">
      <c r="A814" s="10"/>
      <c r="B814" s="13"/>
      <c r="C814" s="13"/>
    </row>
    <row r="815" spans="1:3" ht="13" x14ac:dyDescent="0.15">
      <c r="A815" s="10"/>
      <c r="B815" s="13"/>
      <c r="C815" s="13"/>
    </row>
    <row r="816" spans="1:3" ht="13" x14ac:dyDescent="0.15">
      <c r="A816" s="10"/>
      <c r="B816" s="13"/>
      <c r="C816" s="13"/>
    </row>
    <row r="817" spans="1:3" ht="13" x14ac:dyDescent="0.15">
      <c r="A817" s="10"/>
      <c r="B817" s="13"/>
      <c r="C817" s="13"/>
    </row>
    <row r="818" spans="1:3" ht="13" x14ac:dyDescent="0.15">
      <c r="A818" s="10"/>
      <c r="B818" s="13"/>
      <c r="C818" s="13"/>
    </row>
    <row r="819" spans="1:3" ht="13" x14ac:dyDescent="0.15">
      <c r="A819" s="10"/>
      <c r="B819" s="13"/>
      <c r="C819" s="13"/>
    </row>
    <row r="820" spans="1:3" ht="13" x14ac:dyDescent="0.15">
      <c r="A820" s="10"/>
      <c r="B820" s="13"/>
      <c r="C820" s="13"/>
    </row>
    <row r="821" spans="1:3" ht="13" x14ac:dyDescent="0.15">
      <c r="A821" s="10"/>
      <c r="B821" s="13"/>
      <c r="C821" s="13"/>
    </row>
    <row r="822" spans="1:3" ht="13" x14ac:dyDescent="0.15">
      <c r="A822" s="10"/>
      <c r="B822" s="13"/>
      <c r="C822" s="13"/>
    </row>
    <row r="823" spans="1:3" ht="13" x14ac:dyDescent="0.15">
      <c r="A823" s="10"/>
      <c r="B823" s="13"/>
      <c r="C823" s="13"/>
    </row>
    <row r="824" spans="1:3" ht="13" x14ac:dyDescent="0.15">
      <c r="A824" s="10"/>
      <c r="B824" s="13"/>
      <c r="C824" s="13"/>
    </row>
    <row r="825" spans="1:3" ht="13" x14ac:dyDescent="0.15">
      <c r="A825" s="10"/>
      <c r="B825" s="13"/>
      <c r="C825" s="13"/>
    </row>
    <row r="826" spans="1:3" ht="13" x14ac:dyDescent="0.15">
      <c r="A826" s="10"/>
      <c r="B826" s="13"/>
      <c r="C826" s="13"/>
    </row>
    <row r="827" spans="1:3" ht="13" x14ac:dyDescent="0.15">
      <c r="A827" s="10"/>
      <c r="B827" s="13"/>
      <c r="C827" s="13"/>
    </row>
    <row r="828" spans="1:3" ht="13" x14ac:dyDescent="0.15">
      <c r="A828" s="10"/>
      <c r="B828" s="13"/>
      <c r="C828" s="13"/>
    </row>
    <row r="829" spans="1:3" ht="13" x14ac:dyDescent="0.15">
      <c r="A829" s="10"/>
      <c r="B829" s="13"/>
      <c r="C829" s="13"/>
    </row>
    <row r="830" spans="1:3" ht="13" x14ac:dyDescent="0.15">
      <c r="A830" s="10"/>
      <c r="B830" s="13"/>
      <c r="C830" s="13"/>
    </row>
    <row r="831" spans="1:3" ht="13" x14ac:dyDescent="0.15">
      <c r="A831" s="10"/>
      <c r="B831" s="13"/>
      <c r="C831" s="13"/>
    </row>
    <row r="832" spans="1:3" ht="13" x14ac:dyDescent="0.15">
      <c r="A832" s="10"/>
      <c r="B832" s="13"/>
      <c r="C832" s="13"/>
    </row>
    <row r="833" spans="1:3" ht="13" x14ac:dyDescent="0.15">
      <c r="A833" s="10"/>
      <c r="B833" s="13"/>
      <c r="C833" s="13"/>
    </row>
    <row r="834" spans="1:3" ht="13" x14ac:dyDescent="0.15">
      <c r="A834" s="10"/>
      <c r="B834" s="13"/>
      <c r="C834" s="13"/>
    </row>
    <row r="835" spans="1:3" ht="13" x14ac:dyDescent="0.15">
      <c r="A835" s="10"/>
      <c r="B835" s="13"/>
      <c r="C835" s="13"/>
    </row>
    <row r="836" spans="1:3" ht="13" x14ac:dyDescent="0.15">
      <c r="A836" s="10"/>
      <c r="B836" s="13"/>
      <c r="C836" s="13"/>
    </row>
    <row r="837" spans="1:3" ht="13" x14ac:dyDescent="0.15">
      <c r="A837" s="10"/>
      <c r="B837" s="13"/>
      <c r="C837" s="13"/>
    </row>
    <row r="838" spans="1:3" ht="13" x14ac:dyDescent="0.15">
      <c r="A838" s="10"/>
      <c r="B838" s="13"/>
      <c r="C838" s="13"/>
    </row>
    <row r="839" spans="1:3" ht="13" x14ac:dyDescent="0.15">
      <c r="A839" s="10"/>
      <c r="B839" s="13"/>
      <c r="C839" s="13"/>
    </row>
    <row r="840" spans="1:3" ht="13" x14ac:dyDescent="0.15">
      <c r="A840" s="10"/>
      <c r="B840" s="13"/>
      <c r="C840" s="13"/>
    </row>
    <row r="841" spans="1:3" ht="13" x14ac:dyDescent="0.15">
      <c r="A841" s="10"/>
      <c r="B841" s="13"/>
      <c r="C841" s="13"/>
    </row>
    <row r="842" spans="1:3" ht="13" x14ac:dyDescent="0.15">
      <c r="A842" s="10"/>
      <c r="B842" s="13"/>
      <c r="C842" s="13"/>
    </row>
    <row r="843" spans="1:3" ht="13" x14ac:dyDescent="0.15">
      <c r="A843" s="10"/>
      <c r="B843" s="13"/>
      <c r="C843" s="13"/>
    </row>
    <row r="844" spans="1:3" ht="13" x14ac:dyDescent="0.15">
      <c r="A844" s="10"/>
      <c r="B844" s="13"/>
      <c r="C844" s="13"/>
    </row>
    <row r="845" spans="1:3" ht="13" x14ac:dyDescent="0.15">
      <c r="A845" s="10"/>
      <c r="B845" s="13"/>
      <c r="C845" s="13"/>
    </row>
    <row r="846" spans="1:3" ht="13" x14ac:dyDescent="0.15">
      <c r="A846" s="10"/>
      <c r="B846" s="13"/>
      <c r="C846" s="13"/>
    </row>
    <row r="847" spans="1:3" ht="13" x14ac:dyDescent="0.15">
      <c r="A847" s="10"/>
      <c r="B847" s="13"/>
      <c r="C847" s="13"/>
    </row>
    <row r="848" spans="1:3" ht="13" x14ac:dyDescent="0.15">
      <c r="A848" s="10"/>
      <c r="B848" s="13"/>
      <c r="C848" s="13"/>
    </row>
    <row r="849" spans="1:3" ht="13" x14ac:dyDescent="0.15">
      <c r="A849" s="10"/>
      <c r="B849" s="13"/>
      <c r="C849" s="13"/>
    </row>
    <row r="850" spans="1:3" ht="13" x14ac:dyDescent="0.15">
      <c r="A850" s="10"/>
      <c r="B850" s="13"/>
      <c r="C850" s="13"/>
    </row>
    <row r="851" spans="1:3" ht="13" x14ac:dyDescent="0.15">
      <c r="A851" s="10"/>
      <c r="B851" s="13"/>
      <c r="C851" s="13"/>
    </row>
    <row r="852" spans="1:3" ht="13" x14ac:dyDescent="0.15">
      <c r="A852" s="10"/>
      <c r="B852" s="13"/>
      <c r="C852" s="13"/>
    </row>
    <row r="853" spans="1:3" ht="13" x14ac:dyDescent="0.15">
      <c r="A853" s="10"/>
      <c r="B853" s="13"/>
      <c r="C853" s="13"/>
    </row>
    <row r="854" spans="1:3" ht="13" x14ac:dyDescent="0.15">
      <c r="A854" s="10"/>
      <c r="B854" s="13"/>
      <c r="C854" s="13"/>
    </row>
    <row r="855" spans="1:3" ht="13" x14ac:dyDescent="0.15">
      <c r="A855" s="10"/>
      <c r="B855" s="13"/>
      <c r="C855" s="13"/>
    </row>
    <row r="856" spans="1:3" ht="13" x14ac:dyDescent="0.15">
      <c r="A856" s="10"/>
      <c r="B856" s="13"/>
      <c r="C856" s="13"/>
    </row>
    <row r="857" spans="1:3" ht="13" x14ac:dyDescent="0.15">
      <c r="A857" s="10"/>
      <c r="B857" s="13"/>
      <c r="C857" s="13"/>
    </row>
    <row r="858" spans="1:3" ht="13" x14ac:dyDescent="0.15">
      <c r="A858" s="10"/>
      <c r="B858" s="13"/>
      <c r="C858" s="13"/>
    </row>
    <row r="859" spans="1:3" ht="13" x14ac:dyDescent="0.15">
      <c r="A859" s="10"/>
      <c r="B859" s="13"/>
      <c r="C859" s="13"/>
    </row>
    <row r="860" spans="1:3" ht="13" x14ac:dyDescent="0.15">
      <c r="A860" s="10"/>
      <c r="B860" s="13"/>
      <c r="C860" s="13"/>
    </row>
    <row r="861" spans="1:3" ht="13" x14ac:dyDescent="0.15">
      <c r="A861" s="10"/>
      <c r="B861" s="13"/>
      <c r="C861" s="13"/>
    </row>
    <row r="862" spans="1:3" ht="13" x14ac:dyDescent="0.15">
      <c r="A862" s="10"/>
      <c r="B862" s="13"/>
      <c r="C862" s="13"/>
    </row>
    <row r="863" spans="1:3" ht="13" x14ac:dyDescent="0.15">
      <c r="A863" s="10"/>
      <c r="B863" s="13"/>
      <c r="C863" s="13"/>
    </row>
    <row r="864" spans="1:3" ht="13" x14ac:dyDescent="0.15">
      <c r="A864" s="10"/>
      <c r="B864" s="13"/>
      <c r="C864" s="13"/>
    </row>
    <row r="865" spans="1:3" ht="13" x14ac:dyDescent="0.15">
      <c r="A865" s="10"/>
      <c r="B865" s="13"/>
      <c r="C865" s="13"/>
    </row>
    <row r="866" spans="1:3" ht="13" x14ac:dyDescent="0.15">
      <c r="A866" s="10"/>
      <c r="B866" s="13"/>
      <c r="C866" s="13"/>
    </row>
    <row r="867" spans="1:3" ht="13" x14ac:dyDescent="0.15">
      <c r="A867" s="10"/>
      <c r="B867" s="13"/>
      <c r="C867" s="13"/>
    </row>
    <row r="868" spans="1:3" ht="13" x14ac:dyDescent="0.15">
      <c r="A868" s="10"/>
      <c r="B868" s="13"/>
      <c r="C868" s="13"/>
    </row>
    <row r="869" spans="1:3" ht="13" x14ac:dyDescent="0.15">
      <c r="A869" s="10"/>
      <c r="B869" s="13"/>
      <c r="C869" s="13"/>
    </row>
    <row r="870" spans="1:3" ht="13" x14ac:dyDescent="0.15">
      <c r="A870" s="10"/>
      <c r="B870" s="13"/>
      <c r="C870" s="13"/>
    </row>
    <row r="871" spans="1:3" ht="13" x14ac:dyDescent="0.15">
      <c r="A871" s="10"/>
      <c r="B871" s="13"/>
      <c r="C871" s="13"/>
    </row>
    <row r="872" spans="1:3" ht="13" x14ac:dyDescent="0.15">
      <c r="A872" s="10"/>
      <c r="B872" s="13"/>
      <c r="C872" s="13"/>
    </row>
    <row r="873" spans="1:3" ht="13" x14ac:dyDescent="0.15">
      <c r="A873" s="10"/>
      <c r="B873" s="13"/>
      <c r="C873" s="13"/>
    </row>
    <row r="874" spans="1:3" ht="13" x14ac:dyDescent="0.15">
      <c r="A874" s="10"/>
      <c r="B874" s="13"/>
      <c r="C874" s="13"/>
    </row>
    <row r="875" spans="1:3" ht="13" x14ac:dyDescent="0.15">
      <c r="A875" s="10"/>
      <c r="B875" s="13"/>
      <c r="C875" s="13"/>
    </row>
    <row r="876" spans="1:3" ht="13" x14ac:dyDescent="0.15">
      <c r="A876" s="10"/>
      <c r="B876" s="13"/>
      <c r="C876" s="13"/>
    </row>
    <row r="877" spans="1:3" ht="13" x14ac:dyDescent="0.15">
      <c r="A877" s="10"/>
      <c r="B877" s="13"/>
      <c r="C877" s="13"/>
    </row>
    <row r="878" spans="1:3" ht="13" x14ac:dyDescent="0.15">
      <c r="A878" s="10"/>
      <c r="B878" s="13"/>
      <c r="C878" s="13"/>
    </row>
    <row r="879" spans="1:3" ht="13" x14ac:dyDescent="0.15">
      <c r="A879" s="10"/>
      <c r="B879" s="13"/>
      <c r="C879" s="13"/>
    </row>
    <row r="880" spans="1:3" ht="13" x14ac:dyDescent="0.15">
      <c r="A880" s="10"/>
      <c r="B880" s="13"/>
      <c r="C880" s="13"/>
    </row>
    <row r="881" spans="1:3" ht="13" x14ac:dyDescent="0.15">
      <c r="A881" s="10"/>
      <c r="B881" s="13"/>
      <c r="C881" s="13"/>
    </row>
    <row r="882" spans="1:3" ht="13" x14ac:dyDescent="0.15">
      <c r="A882" s="10"/>
      <c r="B882" s="13"/>
      <c r="C882" s="13"/>
    </row>
    <row r="883" spans="1:3" ht="13" x14ac:dyDescent="0.15">
      <c r="A883" s="10"/>
      <c r="B883" s="13"/>
      <c r="C883" s="13"/>
    </row>
    <row r="884" spans="1:3" ht="13" x14ac:dyDescent="0.15">
      <c r="A884" s="10"/>
      <c r="B884" s="13"/>
      <c r="C884" s="13"/>
    </row>
    <row r="885" spans="1:3" ht="13" x14ac:dyDescent="0.15">
      <c r="A885" s="10"/>
      <c r="B885" s="13"/>
      <c r="C885" s="13"/>
    </row>
    <row r="886" spans="1:3" ht="13" x14ac:dyDescent="0.15">
      <c r="A886" s="10"/>
      <c r="B886" s="13"/>
      <c r="C886" s="13"/>
    </row>
    <row r="887" spans="1:3" ht="13" x14ac:dyDescent="0.15">
      <c r="A887" s="10"/>
      <c r="B887" s="13"/>
      <c r="C887" s="13"/>
    </row>
    <row r="888" spans="1:3" ht="13" x14ac:dyDescent="0.15">
      <c r="A888" s="10"/>
      <c r="B888" s="13"/>
      <c r="C888" s="13"/>
    </row>
    <row r="889" spans="1:3" ht="13" x14ac:dyDescent="0.15">
      <c r="A889" s="10"/>
      <c r="B889" s="13"/>
      <c r="C889" s="13"/>
    </row>
    <row r="890" spans="1:3" ht="13" x14ac:dyDescent="0.15">
      <c r="A890" s="10"/>
      <c r="B890" s="13"/>
      <c r="C890" s="13"/>
    </row>
    <row r="891" spans="1:3" ht="13" x14ac:dyDescent="0.15">
      <c r="A891" s="10"/>
      <c r="B891" s="13"/>
      <c r="C891" s="13"/>
    </row>
    <row r="892" spans="1:3" ht="13" x14ac:dyDescent="0.15">
      <c r="A892" s="10"/>
      <c r="B892" s="13"/>
      <c r="C892" s="13"/>
    </row>
    <row r="893" spans="1:3" ht="13" x14ac:dyDescent="0.15">
      <c r="A893" s="10"/>
      <c r="B893" s="13"/>
      <c r="C893" s="13"/>
    </row>
    <row r="894" spans="1:3" ht="13" x14ac:dyDescent="0.15">
      <c r="A894" s="10"/>
      <c r="B894" s="13"/>
      <c r="C894" s="13"/>
    </row>
    <row r="895" spans="1:3" ht="13" x14ac:dyDescent="0.15">
      <c r="A895" s="10"/>
      <c r="B895" s="13"/>
      <c r="C895" s="13"/>
    </row>
    <row r="896" spans="1:3" ht="13" x14ac:dyDescent="0.15">
      <c r="A896" s="10"/>
      <c r="B896" s="13"/>
      <c r="C896" s="13"/>
    </row>
    <row r="897" spans="1:3" ht="13" x14ac:dyDescent="0.15">
      <c r="A897" s="10"/>
      <c r="B897" s="13"/>
      <c r="C897" s="13"/>
    </row>
    <row r="898" spans="1:3" ht="13" x14ac:dyDescent="0.15">
      <c r="A898" s="10"/>
      <c r="B898" s="13"/>
      <c r="C898" s="13"/>
    </row>
    <row r="899" spans="1:3" ht="13" x14ac:dyDescent="0.15">
      <c r="A899" s="10"/>
      <c r="B899" s="13"/>
      <c r="C899" s="13"/>
    </row>
    <row r="900" spans="1:3" ht="13" x14ac:dyDescent="0.15">
      <c r="A900" s="10"/>
      <c r="B900" s="13"/>
      <c r="C900" s="13"/>
    </row>
    <row r="901" spans="1:3" ht="13" x14ac:dyDescent="0.15">
      <c r="A901" s="10"/>
      <c r="B901" s="13"/>
      <c r="C901" s="13"/>
    </row>
    <row r="902" spans="1:3" ht="13" x14ac:dyDescent="0.15">
      <c r="A902" s="10"/>
      <c r="B902" s="13"/>
      <c r="C902" s="13"/>
    </row>
    <row r="903" spans="1:3" ht="13" x14ac:dyDescent="0.15">
      <c r="A903" s="10"/>
      <c r="B903" s="13"/>
      <c r="C903" s="13"/>
    </row>
    <row r="904" spans="1:3" ht="13" x14ac:dyDescent="0.15">
      <c r="A904" s="10"/>
      <c r="B904" s="13"/>
      <c r="C904" s="13"/>
    </row>
    <row r="905" spans="1:3" ht="13" x14ac:dyDescent="0.15">
      <c r="A905" s="10"/>
      <c r="B905" s="13"/>
      <c r="C905" s="13"/>
    </row>
    <row r="906" spans="1:3" ht="13" x14ac:dyDescent="0.15">
      <c r="A906" s="10"/>
      <c r="B906" s="13"/>
      <c r="C906" s="13"/>
    </row>
    <row r="907" spans="1:3" ht="13" x14ac:dyDescent="0.15">
      <c r="A907" s="10"/>
      <c r="B907" s="13"/>
      <c r="C907" s="13"/>
    </row>
    <row r="908" spans="1:3" ht="13" x14ac:dyDescent="0.15">
      <c r="A908" s="10"/>
      <c r="B908" s="13"/>
      <c r="C908" s="13"/>
    </row>
    <row r="909" spans="1:3" ht="13" x14ac:dyDescent="0.15">
      <c r="A909" s="10"/>
      <c r="B909" s="13"/>
      <c r="C909" s="13"/>
    </row>
    <row r="910" spans="1:3" ht="13" x14ac:dyDescent="0.15">
      <c r="A910" s="10"/>
      <c r="B910" s="13"/>
      <c r="C910" s="13"/>
    </row>
    <row r="911" spans="1:3" ht="13" x14ac:dyDescent="0.15">
      <c r="A911" s="10"/>
      <c r="B911" s="13"/>
      <c r="C911" s="13"/>
    </row>
    <row r="912" spans="1:3" ht="13" x14ac:dyDescent="0.15">
      <c r="A912" s="10"/>
      <c r="B912" s="13"/>
      <c r="C912" s="13"/>
    </row>
    <row r="913" spans="1:3" ht="13" x14ac:dyDescent="0.15">
      <c r="A913" s="10"/>
      <c r="B913" s="13"/>
      <c r="C913" s="13"/>
    </row>
    <row r="914" spans="1:3" ht="13" x14ac:dyDescent="0.15">
      <c r="A914" s="10"/>
      <c r="B914" s="13"/>
      <c r="C914" s="13"/>
    </row>
    <row r="915" spans="1:3" ht="13" x14ac:dyDescent="0.15">
      <c r="A915" s="10"/>
      <c r="B915" s="13"/>
      <c r="C915" s="13"/>
    </row>
    <row r="916" spans="1:3" ht="13" x14ac:dyDescent="0.15">
      <c r="A916" s="10"/>
      <c r="B916" s="13"/>
      <c r="C916" s="13"/>
    </row>
    <row r="917" spans="1:3" ht="13" x14ac:dyDescent="0.15">
      <c r="A917" s="10"/>
      <c r="B917" s="13"/>
      <c r="C917" s="13"/>
    </row>
    <row r="918" spans="1:3" ht="13" x14ac:dyDescent="0.15">
      <c r="A918" s="10"/>
      <c r="B918" s="13"/>
      <c r="C918" s="13"/>
    </row>
    <row r="919" spans="1:3" ht="13" x14ac:dyDescent="0.15">
      <c r="A919" s="10"/>
      <c r="B919" s="13"/>
      <c r="C919" s="13"/>
    </row>
    <row r="920" spans="1:3" ht="13" x14ac:dyDescent="0.15">
      <c r="A920" s="10"/>
      <c r="B920" s="13"/>
      <c r="C920" s="13"/>
    </row>
    <row r="921" spans="1:3" ht="13" x14ac:dyDescent="0.15">
      <c r="A921" s="10"/>
      <c r="B921" s="13"/>
      <c r="C921" s="13"/>
    </row>
    <row r="922" spans="1:3" ht="13" x14ac:dyDescent="0.15">
      <c r="A922" s="10"/>
      <c r="B922" s="13"/>
      <c r="C922" s="13"/>
    </row>
    <row r="923" spans="1:3" ht="13" x14ac:dyDescent="0.15">
      <c r="A923" s="10"/>
      <c r="B923" s="13"/>
      <c r="C923" s="13"/>
    </row>
    <row r="924" spans="1:3" ht="13" x14ac:dyDescent="0.15">
      <c r="A924" s="10"/>
      <c r="B924" s="13"/>
      <c r="C924" s="13"/>
    </row>
    <row r="925" spans="1:3" ht="13" x14ac:dyDescent="0.15">
      <c r="A925" s="10"/>
      <c r="B925" s="13"/>
      <c r="C925" s="13"/>
    </row>
    <row r="926" spans="1:3" ht="13" x14ac:dyDescent="0.15">
      <c r="A926" s="10"/>
      <c r="B926" s="13"/>
      <c r="C926" s="13"/>
    </row>
    <row r="927" spans="1:3" ht="13" x14ac:dyDescent="0.15">
      <c r="A927" s="10"/>
      <c r="B927" s="13"/>
      <c r="C927" s="13"/>
    </row>
    <row r="928" spans="1:3" ht="13" x14ac:dyDescent="0.15">
      <c r="A928" s="10"/>
      <c r="B928" s="13"/>
      <c r="C928" s="13"/>
    </row>
    <row r="929" spans="1:3" ht="13" x14ac:dyDescent="0.15">
      <c r="A929" s="10"/>
      <c r="B929" s="13"/>
      <c r="C929" s="13"/>
    </row>
    <row r="930" spans="1:3" ht="13" x14ac:dyDescent="0.15">
      <c r="A930" s="10"/>
      <c r="B930" s="13"/>
      <c r="C930" s="13"/>
    </row>
    <row r="931" spans="1:3" ht="13" x14ac:dyDescent="0.15">
      <c r="A931" s="10"/>
      <c r="B931" s="13"/>
      <c r="C931" s="13"/>
    </row>
    <row r="932" spans="1:3" ht="13" x14ac:dyDescent="0.15">
      <c r="A932" s="10"/>
      <c r="B932" s="13"/>
      <c r="C932" s="13"/>
    </row>
    <row r="933" spans="1:3" ht="13" x14ac:dyDescent="0.15">
      <c r="A933" s="10"/>
      <c r="B933" s="13"/>
      <c r="C933" s="13"/>
    </row>
    <row r="934" spans="1:3" ht="13" x14ac:dyDescent="0.15">
      <c r="A934" s="10"/>
      <c r="B934" s="13"/>
      <c r="C934" s="13"/>
    </row>
    <row r="935" spans="1:3" ht="13" x14ac:dyDescent="0.15">
      <c r="A935" s="10"/>
      <c r="B935" s="13"/>
      <c r="C935" s="13"/>
    </row>
    <row r="936" spans="1:3" ht="13" x14ac:dyDescent="0.15">
      <c r="A936" s="10"/>
      <c r="B936" s="13"/>
      <c r="C936" s="13"/>
    </row>
    <row r="937" spans="1:3" ht="13" x14ac:dyDescent="0.15">
      <c r="A937" s="10"/>
      <c r="B937" s="13"/>
      <c r="C937" s="13"/>
    </row>
    <row r="938" spans="1:3" ht="13" x14ac:dyDescent="0.15">
      <c r="A938" s="10"/>
      <c r="B938" s="13"/>
      <c r="C938" s="13"/>
    </row>
    <row r="939" spans="1:3" ht="13" x14ac:dyDescent="0.15">
      <c r="A939" s="10"/>
      <c r="B939" s="13"/>
      <c r="C939" s="13"/>
    </row>
    <row r="940" spans="1:3" ht="13" x14ac:dyDescent="0.15">
      <c r="A940" s="10"/>
      <c r="B940" s="13"/>
      <c r="C940" s="13"/>
    </row>
    <row r="941" spans="1:3" ht="13" x14ac:dyDescent="0.15">
      <c r="A941" s="10"/>
      <c r="B941" s="13"/>
      <c r="C941" s="13"/>
    </row>
    <row r="942" spans="1:3" ht="13" x14ac:dyDescent="0.15">
      <c r="A942" s="10"/>
      <c r="B942" s="13"/>
      <c r="C942" s="13"/>
    </row>
    <row r="943" spans="1:3" ht="13" x14ac:dyDescent="0.15">
      <c r="A943" s="10"/>
      <c r="B943" s="13"/>
      <c r="C943" s="13"/>
    </row>
    <row r="944" spans="1:3" ht="13" x14ac:dyDescent="0.15">
      <c r="A944" s="10"/>
      <c r="B944" s="13"/>
      <c r="C944" s="13"/>
    </row>
    <row r="945" spans="1:3" ht="13" x14ac:dyDescent="0.15">
      <c r="A945" s="10"/>
      <c r="B945" s="13"/>
      <c r="C945" s="13"/>
    </row>
    <row r="946" spans="1:3" ht="13" x14ac:dyDescent="0.15">
      <c r="A946" s="10"/>
      <c r="B946" s="13"/>
      <c r="C946" s="13"/>
    </row>
    <row r="947" spans="1:3" ht="13" x14ac:dyDescent="0.15">
      <c r="A947" s="10"/>
      <c r="B947" s="13"/>
      <c r="C947" s="13"/>
    </row>
    <row r="948" spans="1:3" ht="13" x14ac:dyDescent="0.15">
      <c r="A948" s="10"/>
      <c r="B948" s="13"/>
      <c r="C948" s="13"/>
    </row>
    <row r="949" spans="1:3" ht="13" x14ac:dyDescent="0.15">
      <c r="A949" s="10"/>
      <c r="B949" s="13"/>
      <c r="C949" s="13"/>
    </row>
    <row r="950" spans="1:3" ht="13" x14ac:dyDescent="0.15">
      <c r="A950" s="10"/>
      <c r="B950" s="13"/>
      <c r="C950" s="13"/>
    </row>
    <row r="951" spans="1:3" ht="13" x14ac:dyDescent="0.15">
      <c r="A951" s="10"/>
      <c r="B951" s="13"/>
      <c r="C951" s="13"/>
    </row>
    <row r="952" spans="1:3" ht="13" x14ac:dyDescent="0.15">
      <c r="A952" s="10"/>
      <c r="B952" s="13"/>
      <c r="C952" s="13"/>
    </row>
    <row r="953" spans="1:3" ht="13" x14ac:dyDescent="0.15">
      <c r="A953" s="10"/>
      <c r="B953" s="13"/>
      <c r="C953" s="13"/>
    </row>
    <row r="954" spans="1:3" ht="13" x14ac:dyDescent="0.15">
      <c r="A954" s="10"/>
      <c r="B954" s="13"/>
      <c r="C954" s="13"/>
    </row>
    <row r="955" spans="1:3" ht="13" x14ac:dyDescent="0.15">
      <c r="A955" s="10"/>
      <c r="B955" s="13"/>
      <c r="C955" s="13"/>
    </row>
    <row r="956" spans="1:3" ht="13" x14ac:dyDescent="0.15">
      <c r="A956" s="10"/>
      <c r="B956" s="13"/>
      <c r="C956" s="13"/>
    </row>
    <row r="957" spans="1:3" ht="13" x14ac:dyDescent="0.15">
      <c r="A957" s="10"/>
      <c r="B957" s="13"/>
      <c r="C957" s="13"/>
    </row>
    <row r="958" spans="1:3" ht="13" x14ac:dyDescent="0.15">
      <c r="A958" s="10"/>
      <c r="B958" s="13"/>
      <c r="C958" s="13"/>
    </row>
    <row r="959" spans="1:3" ht="13" x14ac:dyDescent="0.15">
      <c r="A959" s="10"/>
      <c r="B959" s="13"/>
      <c r="C959" s="13"/>
    </row>
    <row r="960" spans="1:3" ht="13" x14ac:dyDescent="0.15">
      <c r="A960" s="10"/>
      <c r="B960" s="13"/>
      <c r="C960" s="13"/>
    </row>
    <row r="961" spans="1:3" ht="13" x14ac:dyDescent="0.15">
      <c r="A961" s="10"/>
      <c r="B961" s="13"/>
      <c r="C961" s="13"/>
    </row>
    <row r="962" spans="1:3" ht="13" x14ac:dyDescent="0.15">
      <c r="A962" s="10"/>
      <c r="B962" s="13"/>
      <c r="C962" s="13"/>
    </row>
    <row r="963" spans="1:3" ht="13" x14ac:dyDescent="0.15">
      <c r="A963" s="10"/>
      <c r="B963" s="13"/>
      <c r="C963" s="13"/>
    </row>
    <row r="964" spans="1:3" ht="13" x14ac:dyDescent="0.15">
      <c r="A964" s="10"/>
      <c r="B964" s="13"/>
      <c r="C964" s="13"/>
    </row>
    <row r="965" spans="1:3" ht="13" x14ac:dyDescent="0.15">
      <c r="A965" s="10"/>
      <c r="B965" s="13"/>
      <c r="C965" s="13"/>
    </row>
    <row r="966" spans="1:3" ht="13" x14ac:dyDescent="0.15">
      <c r="A966" s="10"/>
      <c r="B966" s="13"/>
      <c r="C966" s="13"/>
    </row>
    <row r="967" spans="1:3" ht="13" x14ac:dyDescent="0.15">
      <c r="A967" s="10"/>
      <c r="B967" s="13"/>
      <c r="C967" s="13"/>
    </row>
    <row r="968" spans="1:3" ht="13" x14ac:dyDescent="0.15">
      <c r="A968" s="10"/>
      <c r="B968" s="13"/>
      <c r="C968" s="13"/>
    </row>
    <row r="969" spans="1:3" ht="13" x14ac:dyDescent="0.15">
      <c r="A969" s="10"/>
      <c r="B969" s="13"/>
      <c r="C969" s="13"/>
    </row>
    <row r="970" spans="1:3" ht="13" x14ac:dyDescent="0.15">
      <c r="A970" s="10"/>
      <c r="B970" s="13"/>
      <c r="C970" s="13"/>
    </row>
    <row r="971" spans="1:3" ht="13" x14ac:dyDescent="0.15">
      <c r="A971" s="10"/>
      <c r="B971" s="13"/>
      <c r="C971" s="13"/>
    </row>
    <row r="972" spans="1:3" ht="13" x14ac:dyDescent="0.15">
      <c r="A972" s="10"/>
      <c r="B972" s="13"/>
      <c r="C972" s="13"/>
    </row>
    <row r="973" spans="1:3" ht="13" x14ac:dyDescent="0.15">
      <c r="A973" s="10"/>
      <c r="B973" s="13"/>
      <c r="C973" s="13"/>
    </row>
    <row r="974" spans="1:3" ht="13" x14ac:dyDescent="0.15">
      <c r="A974" s="10"/>
      <c r="B974" s="13"/>
      <c r="C974" s="13"/>
    </row>
    <row r="975" spans="1:3" ht="13" x14ac:dyDescent="0.15">
      <c r="A975" s="10"/>
      <c r="B975" s="13"/>
      <c r="C975" s="13"/>
    </row>
    <row r="976" spans="1:3" ht="13" x14ac:dyDescent="0.15">
      <c r="A976" s="10"/>
      <c r="B976" s="13"/>
      <c r="C976" s="13"/>
    </row>
    <row r="977" spans="1:3" ht="13" x14ac:dyDescent="0.15">
      <c r="A977" s="10"/>
      <c r="B977" s="13"/>
      <c r="C977" s="13"/>
    </row>
    <row r="978" spans="1:3" ht="13" x14ac:dyDescent="0.15">
      <c r="A978" s="10"/>
      <c r="B978" s="13"/>
      <c r="C978" s="13"/>
    </row>
    <row r="979" spans="1:3" ht="13" x14ac:dyDescent="0.15">
      <c r="A979" s="10"/>
      <c r="B979" s="13"/>
      <c r="C979" s="13"/>
    </row>
    <row r="980" spans="1:3" ht="13" x14ac:dyDescent="0.15">
      <c r="A980" s="10"/>
      <c r="B980" s="13"/>
      <c r="C980" s="13"/>
    </row>
    <row r="981" spans="1:3" ht="13" x14ac:dyDescent="0.15">
      <c r="A981" s="10"/>
      <c r="B981" s="13"/>
      <c r="C981" s="13"/>
    </row>
    <row r="982" spans="1:3" ht="13" x14ac:dyDescent="0.15">
      <c r="A982" s="10"/>
      <c r="B982" s="13"/>
      <c r="C982" s="13"/>
    </row>
    <row r="983" spans="1:3" ht="13" x14ac:dyDescent="0.15">
      <c r="A983" s="10"/>
      <c r="B983" s="13"/>
      <c r="C983" s="13"/>
    </row>
    <row r="984" spans="1:3" ht="13" x14ac:dyDescent="0.15">
      <c r="A984" s="10"/>
      <c r="B984" s="13"/>
      <c r="C984" s="13"/>
    </row>
    <row r="985" spans="1:3" ht="13" x14ac:dyDescent="0.15">
      <c r="A985" s="10"/>
      <c r="B985" s="13"/>
      <c r="C985" s="13"/>
    </row>
    <row r="986" spans="1:3" ht="13" x14ac:dyDescent="0.15">
      <c r="A986" s="10"/>
      <c r="B986" s="13"/>
      <c r="C986" s="13"/>
    </row>
    <row r="987" spans="1:3" ht="13" x14ac:dyDescent="0.15">
      <c r="A987" s="10"/>
      <c r="B987" s="13"/>
      <c r="C987" s="13"/>
    </row>
    <row r="988" spans="1:3" ht="13" x14ac:dyDescent="0.15">
      <c r="A988" s="10"/>
      <c r="B988" s="13"/>
      <c r="C988" s="13"/>
    </row>
    <row r="989" spans="1:3" ht="13" x14ac:dyDescent="0.15">
      <c r="A989" s="10"/>
      <c r="B989" s="13"/>
      <c r="C989" s="13"/>
    </row>
    <row r="990" spans="1:3" ht="13" x14ac:dyDescent="0.15">
      <c r="A990" s="10"/>
      <c r="B990" s="13"/>
      <c r="C990" s="13"/>
    </row>
    <row r="991" spans="1:3" ht="13" x14ac:dyDescent="0.15">
      <c r="A991" s="10"/>
      <c r="B991" s="13"/>
      <c r="C991" s="13"/>
    </row>
    <row r="992" spans="1:3" ht="13" x14ac:dyDescent="0.15">
      <c r="A992" s="10"/>
      <c r="B992" s="13"/>
      <c r="C992" s="13"/>
    </row>
    <row r="993" spans="1:3" ht="13" x14ac:dyDescent="0.15">
      <c r="A993" s="10"/>
      <c r="B993" s="13"/>
      <c r="C993" s="13"/>
    </row>
    <row r="994" spans="1:3" ht="13" x14ac:dyDescent="0.15">
      <c r="A994" s="10"/>
      <c r="B994" s="13"/>
      <c r="C994" s="13"/>
    </row>
    <row r="995" spans="1:3" ht="13" x14ac:dyDescent="0.15">
      <c r="A995" s="10"/>
      <c r="B995" s="13"/>
      <c r="C995" s="13"/>
    </row>
    <row r="996" spans="1:3" ht="13" x14ac:dyDescent="0.15">
      <c r="A996" s="10"/>
      <c r="B996" s="13"/>
      <c r="C996" s="13"/>
    </row>
    <row r="997" spans="1:3" ht="13" x14ac:dyDescent="0.15">
      <c r="A997" s="10"/>
      <c r="B997" s="13"/>
      <c r="C997" s="13"/>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outlinePr summaryBelow="0" summaryRight="0"/>
  </sheetPr>
  <dimension ref="A1:E997"/>
  <sheetViews>
    <sheetView workbookViewId="0"/>
  </sheetViews>
  <sheetFormatPr baseColWidth="10" defaultColWidth="12.6640625" defaultRowHeight="15.75" customHeight="1" x14ac:dyDescent="0.15"/>
  <cols>
    <col min="1" max="1" width="71.5" customWidth="1"/>
    <col min="2" max="4" width="37.6640625" customWidth="1"/>
  </cols>
  <sheetData>
    <row r="1" spans="1:5" ht="15.75" customHeight="1" x14ac:dyDescent="0.15">
      <c r="A1" s="1"/>
      <c r="B1" s="12" t="str">
        <f ca="1">IFERROR(__xludf.DUMMYFUNCTION("IMPORTRANGE(""https://docs.google.com/spreadsheets/d/1Eq2M_a4_TeZImjU1FJcBSaIp6Xib8-RIHm3cQ24mbRI"", ""A45!B1:B22"")
"),"Zachary Edwards")</f>
        <v>Zachary Edwards</v>
      </c>
      <c r="C1" s="13" t="str">
        <f ca="1">IFERROR(__xludf.DUMMYFUNCTION("IMPORTRANGE(""https://docs.google.com/spreadsheets/u/0/d/1_NcUY7_L0-VKMwwoDwesshr7eGsHFBVPNg4YI6jkjhk"", ""A45!B1:B22"")"),"Noelle Labadens")</f>
        <v>Noelle Labadens</v>
      </c>
      <c r="D1" s="13" t="str">
        <f ca="1">IFERROR(__xludf.DUMMYFUNCTION("IMPORTRANGE(""https://docs.google.com/spreadsheets/u/0/d/1C06Vs6H0Eg3__x1-dePLdZcY_bo1r3ReCeWRxqLlaS4"", ""A45!B1:B22"")"),"Layla")</f>
        <v>Layla</v>
      </c>
      <c r="E1" s="10" t="str">
        <f ca="1">IFERROR(__xludf.DUMMYFUNCTION("IMPORTRANGE(""https://docs.google.com/spreadsheets/u/0/d/1e6QLf1_HeiTNz7JOFlwsfbt48UsSPCJuGTSppexqIJc"", ""45!B1:B22"")"),"Tyler Thibodeaux")</f>
        <v>Tyler Thibodeaux</v>
      </c>
    </row>
    <row r="2" spans="1:5" ht="15.75" customHeight="1" x14ac:dyDescent="0.15">
      <c r="A2" s="3" t="s">
        <v>2</v>
      </c>
      <c r="B2" s="15" t="str">
        <f ca="1">IFERROR(__xludf.DUMMYFUNCTION("""COMPUTED_VALUE"""),"PHAM Start:27729 Stop:27920
DNAM Start:27729 Stop:27920
FOR")</f>
        <v>PHAM Start:27729 Stop:27920
DNAM Start:27729 Stop:27920
FOR</v>
      </c>
      <c r="C2" s="15" t="str">
        <f ca="1">IFERROR(__xludf.DUMMYFUNCTION("""COMPUTED_VALUE"""),"27729-27920 FOR")</f>
        <v>27729-27920 FOR</v>
      </c>
      <c r="D2" s="15" t="str">
        <f ca="1">IFERROR(__xludf.DUMMYFUNCTION("""COMPUTED_VALUE"""),"27729-27920 forward")</f>
        <v>27729-27920 forward</v>
      </c>
      <c r="E2" s="10" t="str">
        <f ca="1">IFERROR(__xludf.DUMMYFUNCTION("""COMPUTED_VALUE"""),"27917 to 28225 (Forward)")</f>
        <v>27917 to 28225 (Forward)</v>
      </c>
    </row>
    <row r="3" spans="1:5" ht="15.75" customHeight="1" x14ac:dyDescent="0.15">
      <c r="A3" s="5" t="s">
        <v>3</v>
      </c>
      <c r="B3" s="17" t="str">
        <f ca="1">IFERROR(__xludf.DUMMYFUNCTION("""COMPUTED_VALUE"""),"Gene 44 in DNAM and Gene 45 in PHAM")</f>
        <v>Gene 44 in DNAM and Gene 45 in PHAM</v>
      </c>
      <c r="C3" s="17" t="str">
        <f ca="1">IFERROR(__xludf.DUMMYFUNCTION("""COMPUTED_VALUE"""),"DNA Master:44 Phamerator:45")</f>
        <v>DNA Master:44 Phamerator:45</v>
      </c>
      <c r="D3" s="17" t="str">
        <f ca="1">IFERROR(__xludf.DUMMYFUNCTION("""COMPUTED_VALUE"""),"45 in Pham and PDB, 44 in DNAM")</f>
        <v>45 in Pham and PDB, 44 in DNAM</v>
      </c>
      <c r="E3" s="10" t="str">
        <f ca="1">IFERROR(__xludf.DUMMYFUNCTION("""COMPUTED_VALUE"""),"DNAm= 45 , PHAM = 46")</f>
        <v>DNAm= 45 , PHAM = 46</v>
      </c>
    </row>
    <row r="4" spans="1:5" ht="15.75" customHeight="1" x14ac:dyDescent="0.15">
      <c r="A4" s="5" t="s">
        <v>4</v>
      </c>
      <c r="B4" s="17" t="str">
        <f ca="1">IFERROR(__xludf.DUMMYFUNCTION("""COMPUTED_VALUE"""),"199843 3/10/25")</f>
        <v>199843 3/10/25</v>
      </c>
      <c r="C4" s="17" t="str">
        <f ca="1">IFERROR(__xludf.DUMMYFUNCTION("""COMPUTED_VALUE"""),"pham 199843")</f>
        <v>pham 199843</v>
      </c>
      <c r="D4" s="17" t="str">
        <f ca="1">IFERROR(__xludf.DUMMYFUNCTION("""COMPUTED_VALUE"""),"199843, 3/24/25")</f>
        <v>199843, 3/24/25</v>
      </c>
      <c r="E4" s="10" t="str">
        <f ca="1">IFERROR(__xludf.DUMMYFUNCTION("""COMPUTED_VALUE""")," pham 199266, 3-14-25")</f>
        <v xml:space="preserve"> pham 199266, 3-14-25</v>
      </c>
    </row>
    <row r="5" spans="1:5" ht="15.75" customHeight="1" x14ac:dyDescent="0.15">
      <c r="A5" s="5" t="s">
        <v>5</v>
      </c>
      <c r="B5" s="17" t="str">
        <f ca="1">IFERROR(__xludf.DUMMYFUNCTION("""COMPUTED_VALUE"""),"Kovu_47")</f>
        <v>Kovu_47</v>
      </c>
      <c r="C5" s="17" t="str">
        <f ca="1">IFERROR(__xludf.DUMMYFUNCTION("""COMPUTED_VALUE"""),"Kovu_47")</f>
        <v>Kovu_47</v>
      </c>
      <c r="D5" s="17" t="str">
        <f ca="1">IFERROR(__xludf.DUMMYFUNCTION("""COMPUTED_VALUE"""),"Kovu_47")</f>
        <v>Kovu_47</v>
      </c>
      <c r="E5" s="10" t="str">
        <f ca="1">IFERROR(__xludf.DUMMYFUNCTION("""COMPUTED_VALUE"""),"Kovu_48")</f>
        <v>Kovu_48</v>
      </c>
    </row>
    <row r="6" spans="1:5" ht="15.75" customHeight="1" x14ac:dyDescent="0.15">
      <c r="A6" s="5" t="s">
        <v>6</v>
      </c>
      <c r="B6" s="17" t="str">
        <f ca="1">IFERROR(__xludf.DUMMYFUNCTION("""COMPUTED_VALUE"""),"They Both agree on the gene")</f>
        <v>They Both agree on the gene</v>
      </c>
      <c r="C6" s="17" t="str">
        <f ca="1">IFERROR(__xludf.DUMMYFUNCTION("""COMPUTED_VALUE"""),"both")</f>
        <v>both</v>
      </c>
      <c r="D6" s="17" t="str">
        <f ca="1">IFERROR(__xludf.DUMMYFUNCTION("""COMPUTED_VALUE"""),"Both call")</f>
        <v>Both call</v>
      </c>
      <c r="E6" s="10" t="str">
        <f ca="1">IFERROR(__xludf.DUMMYFUNCTION("""COMPUTED_VALUE"""),"Original Glimmer call @bp 27917. GeneMark calls start at 27953")</f>
        <v>Original Glimmer call @bp 27917. GeneMark calls start at 27953</v>
      </c>
    </row>
    <row r="7" spans="1:5" ht="15.75" customHeight="1" x14ac:dyDescent="0.15">
      <c r="A7" s="5" t="s">
        <v>7</v>
      </c>
      <c r="B7" s="17" t="str">
        <f ca="1">IFERROR(__xludf.DUMMYFUNCTION("""COMPUTED_VALUE"""),"There is good coding potenital and all of the gene is inlcuded just not all of the open reading frame")</f>
        <v>There is good coding potenital and all of the gene is inlcuded just not all of the open reading frame</v>
      </c>
      <c r="C7" s="17" t="str">
        <f ca="1">IFERROR(__xludf.DUMMYFUNCTION("""COMPUTED_VALUE"""),"good coding potential, captures all potential")</f>
        <v>good coding potential, captures all potential</v>
      </c>
      <c r="D7" s="17" t="str">
        <f ca="1">IFERROR(__xludf.DUMMYFUNCTION("""COMPUTED_VALUE"""),"Overall good potential, start captures potential")</f>
        <v>Overall good potential, start captures potential</v>
      </c>
      <c r="E7" s="10" t="str">
        <f ca="1">IFERROR(__xludf.DUMMYFUNCTION("""COMPUTED_VALUE"""),"It has good coding potential. It is included in the start. ")</f>
        <v xml:space="preserve">It has good coding potential. It is included in the start. </v>
      </c>
    </row>
    <row r="8" spans="1:5" ht="15.75" customHeight="1" x14ac:dyDescent="0.15">
      <c r="A8" s="5" t="s">
        <v>8</v>
      </c>
      <c r="B8" s="17" t="str">
        <f ca="1">IFERROR(__xludf.DUMMYFUNCTION("""COMPUTED_VALUE"""),"Yes")</f>
        <v>Yes</v>
      </c>
      <c r="C8" s="17" t="str">
        <f ca="1">IFERROR(__xludf.DUMMYFUNCTION("""COMPUTED_VALUE"""),"no, start 1 starts at 27720. called is start 2")</f>
        <v>no, start 1 starts at 27720. called is start 2</v>
      </c>
      <c r="D8" s="17" t="str">
        <f ca="1">IFERROR(__xludf.DUMMYFUNCTION("""COMPUTED_VALUE"""),"No, 1 previous start")</f>
        <v>No, 1 previous start</v>
      </c>
      <c r="E8" s="10" t="str">
        <f ca="1">IFERROR(__xludf.DUMMYFUNCTION("""COMPUTED_VALUE"""),"It is the longest possible ORF")</f>
        <v>It is the longest possible ORF</v>
      </c>
    </row>
    <row r="9" spans="1:5" ht="15.75" customHeight="1" x14ac:dyDescent="0.15">
      <c r="A9" s="5" t="s">
        <v>9</v>
      </c>
      <c r="B9" s="17" t="str">
        <f ca="1">IFERROR(__xludf.DUMMYFUNCTION("""COMPUTED_VALUE"""),"3 NT overlap at the begining with 44 (DNAM 43)")</f>
        <v>3 NT overlap at the begining with 44 (DNAM 43)</v>
      </c>
      <c r="C9" s="17" t="str">
        <f ca="1">IFERROR(__xludf.DUMMYFUNCTION("""COMPUTED_VALUE"""),"3 nt overlap")</f>
        <v>3 nt overlap</v>
      </c>
      <c r="D9" s="17" t="str">
        <f ca="1">IFERROR(__xludf.DUMMYFUNCTION("""COMPUTED_VALUE"""),"3 bp overlap")</f>
        <v>3 bp overlap</v>
      </c>
      <c r="E9" s="10" t="str">
        <f ca="1">IFERROR(__xludf.DUMMYFUNCTION("""COMPUTED_VALUE"""),"3 nucleotide overlap, not significant. ")</f>
        <v xml:space="preserve">3 nucleotide overlap, not significant. </v>
      </c>
    </row>
    <row r="10" spans="1:5" ht="15.75" customHeight="1" x14ac:dyDescent="0.15">
      <c r="A10" s="5" t="s">
        <v>10</v>
      </c>
      <c r="B10" s="17" t="str">
        <f ca="1">IFERROR(__xludf.DUMMYFUNCTION("""COMPUTED_VALUE"""),"Z: 2.709
Two other start poteinitals above 2 at 27825 and 27843")</f>
        <v>Z: 2.709
Two other start poteinitals above 2 at 27825 and 27843</v>
      </c>
      <c r="C10" s="17" t="str">
        <f ca="1">IFERROR(__xludf.DUMMYFUNCTION("""COMPUTED_VALUE"""),"Z score: 2.709. start 1 score is worse.")</f>
        <v>Z score: 2.709. start 1 score is worse.</v>
      </c>
      <c r="D10" s="17" t="str">
        <f ca="1">IFERROR(__xludf.DUMMYFUNCTION("""COMPUTED_VALUE"""),"Called start has best scores, Z = 2.709, final = -3.327")</f>
        <v>Called start has best scores, Z = 2.709, final = -3.327</v>
      </c>
      <c r="E10" s="10" t="str">
        <f ca="1">IFERROR(__xludf.DUMMYFUNCTION("""COMPUTED_VALUE"""),"Z score= 2.488, It is the best score, so start 1 is the best. No others should be considered ")</f>
        <v xml:space="preserve">Z score= 2.488, It is the best score, so start 1 is the best. No others should be considered </v>
      </c>
    </row>
    <row r="11" spans="1:5" ht="15.75" customHeight="1" x14ac:dyDescent="0.15">
      <c r="A11" s="5" t="s">
        <v>11</v>
      </c>
      <c r="B11" s="17" t="str">
        <f ca="1">IFERROR(__xludf.DUMMYFUNCTION("""COMPUTED_VALUE"""),"Kovu_47
E: 1.9e-22
%ID:69.35
1:1")</f>
        <v>Kovu_47
E: 1.9e-22
%ID:69.35
1:1</v>
      </c>
      <c r="C11" s="17" t="str">
        <f ca="1">IFERROR(__xludf.DUMMYFUNCTION("""COMPUTED_VALUE"""),"no good blast hits, only hit is Kovu_47 but its percent identity is only 69%.")</f>
        <v>no good blast hits, only hit is Kovu_47 but its percent identity is only 69%.</v>
      </c>
      <c r="D11" s="17" t="str">
        <f ca="1">IFERROR(__xludf.DUMMYFUNCTION("""COMPUTED_VALUE"""),"Kovu_47, identity = 69.35, e = 1.9e-22, q1:s1")</f>
        <v>Kovu_47, identity = 69.35, e = 1.9e-22, q1:s1</v>
      </c>
      <c r="E11" s="10" t="str">
        <f ca="1">IFERROR(__xludf.DUMMYFUNCTION("""COMPUTED_VALUE"""),"Kovu, gene 48, % Identity= 86%, e= 9e-54, q1:s1")</f>
        <v>Kovu, gene 48, % Identity= 86%, e= 9e-54, q1:s1</v>
      </c>
    </row>
    <row r="12" spans="1:5" ht="15.75" customHeight="1" x14ac:dyDescent="0.15">
      <c r="A12" s="5" t="s">
        <v>12</v>
      </c>
      <c r="B12" s="17" t="str">
        <f ca="1">IFERROR(__xludf.DUMMYFUNCTION("""COMPUTED_VALUE"""),"Starts line up on 2 of 2")</f>
        <v>Starts line up on 2 of 2</v>
      </c>
      <c r="C12" s="17" t="str">
        <f ca="1">IFERROR(__xludf.DUMMYFUNCTION("""COMPUTED_VALUE"""),"yes, 100% of the time")</f>
        <v>yes, 100% of the time</v>
      </c>
      <c r="D12" s="17" t="str">
        <f ca="1">IFERROR(__xludf.DUMMYFUNCTION("""COMPUTED_VALUE"""),"Found and called in all members")</f>
        <v>Found and called in all members</v>
      </c>
      <c r="E12" s="10" t="str">
        <f ca="1">IFERROR(__xludf.DUMMYFUNCTION("""COMPUTED_VALUE"""),"It is conserved in all members, and is called a 100 % of the time. ")</f>
        <v xml:space="preserve">It is conserved in all members, and is called a 100 % of the time. </v>
      </c>
    </row>
    <row r="13" spans="1:5" ht="15.75" customHeight="1" x14ac:dyDescent="0.15">
      <c r="A13" s="5" t="s">
        <v>13</v>
      </c>
      <c r="B13" s="17" t="str">
        <f ca="1">IFERROR(__xludf.DUMMYFUNCTION("""COMPUTED_VALUE"""),"No reason to")</f>
        <v>No reason to</v>
      </c>
      <c r="C13" s="17" t="str">
        <f ca="1">IFERROR(__xludf.DUMMYFUNCTION("""COMPUTED_VALUE"""),"no. good coding potential, other starts have worse z scores, and the start matches with Kovu.")</f>
        <v>no. good coding potential, other starts have worse z scores, and the start matches with Kovu.</v>
      </c>
      <c r="D13" s="17" t="str">
        <f ca="1">IFERROR(__xludf.DUMMYFUNCTION("""COMPUTED_VALUE"""),"No, no reason to")</f>
        <v>No, no reason to</v>
      </c>
      <c r="E13" s="10" t="str">
        <f ca="1">IFERROR(__xludf.DUMMYFUNCTION("""COMPUTED_VALUE"""),"NO ")</f>
        <v xml:space="preserve">NO </v>
      </c>
    </row>
    <row r="14" spans="1:5" ht="15.75" customHeight="1" x14ac:dyDescent="0.15">
      <c r="A14" s="5" t="s">
        <v>14</v>
      </c>
      <c r="B14" s="17" t="str">
        <f ca="1">IFERROR(__xludf.DUMMYFUNCTION("""COMPUTED_VALUE"""),"Kovu_47 E:6e-20")</f>
        <v>Kovu_47 E:6e-20</v>
      </c>
      <c r="C14" s="17" t="str">
        <f ca="1">IFERROR(__xludf.DUMMYFUNCTION("""COMPUTED_VALUE"""),"kovu_47")</f>
        <v>kovu_47</v>
      </c>
      <c r="D14" s="17" t="str">
        <f ca="1">IFERROR(__xludf.DUMMYFUNCTION("""COMPUTED_VALUE"""),"Kovu_47, e = 6e-20")</f>
        <v>Kovu_47, e = 6e-20</v>
      </c>
      <c r="E14" s="10" t="str">
        <f ca="1">IFERROR(__xludf.DUMMYFUNCTION("""COMPUTED_VALUE"""),"Kovu_48, e= 4e-45, Wheelbite_47, e= 9e-05 ")</f>
        <v xml:space="preserve">Kovu_48, e= 4e-45, Wheelbite_47, e= 9e-05 </v>
      </c>
    </row>
    <row r="15" spans="1:5" ht="15.75" customHeight="1" x14ac:dyDescent="0.15">
      <c r="A15" s="5" t="s">
        <v>15</v>
      </c>
      <c r="B15" s="17" t="str">
        <f ca="1">IFERROR(__xludf.DUMMYFUNCTION("""COMPUTED_VALUE"""),"Unknown function")</f>
        <v>Unknown function</v>
      </c>
      <c r="C15" s="17" t="str">
        <f ca="1">IFERROR(__xludf.DUMMYFUNCTION("""COMPUTED_VALUE"""),"function unknown Kovu_47")</f>
        <v>function unknown Kovu_47</v>
      </c>
      <c r="D15" s="17" t="str">
        <f ca="1">IFERROR(__xludf.DUMMYFUNCTION("""COMPUTED_VALUE"""),"unknow function, Kovu_47")</f>
        <v>unknow function, Kovu_47</v>
      </c>
      <c r="E15" s="10" t="str">
        <f ca="1">IFERROR(__xludf.DUMMYFUNCTION("""COMPUTED_VALUE"""),"Kovu_48, function unknown")</f>
        <v>Kovu_48, function unknown</v>
      </c>
    </row>
    <row r="16" spans="1:5" ht="15.75" customHeight="1" x14ac:dyDescent="0.15">
      <c r="A16" s="5" t="s">
        <v>16</v>
      </c>
      <c r="B16" s="17" t="str">
        <f ca="1">IFERROR(__xludf.DUMMYFUNCTION("""COMPUTED_VALUE"""),"In the Same Gentic environement as Kovu")</f>
        <v>In the Same Gentic environement as Kovu</v>
      </c>
      <c r="C16" s="17" t="str">
        <f ca="1">IFERROR(__xludf.DUMMYFUNCTION("""COMPUTED_VALUE"""),"yes, adjactent genes are to be expected")</f>
        <v>yes, adjactent genes are to be expected</v>
      </c>
      <c r="D16" s="17" t="str">
        <f ca="1">IFERROR(__xludf.DUMMYFUNCTION("""COMPUTED_VALUE"""),"Yes")</f>
        <v>Yes</v>
      </c>
      <c r="E16" s="10" t="str">
        <f ca="1">IFERROR(__xludf.DUMMYFUNCTION("""COMPUTED_VALUE"""),"It is in the same genetic enviornment as kovu")</f>
        <v>It is in the same genetic enviornment as kovu</v>
      </c>
    </row>
    <row r="17" spans="1:5" ht="15.75" customHeight="1" x14ac:dyDescent="0.15">
      <c r="A17" s="5" t="s">
        <v>17</v>
      </c>
      <c r="B17" s="17" t="str">
        <f ca="1">IFERROR(__xludf.DUMMYFUNCTION("""COMPUTED_VALUE"""),"Nothing of Comparability ")</f>
        <v xml:space="preserve">Nothing of Comparability </v>
      </c>
      <c r="C17" s="17" t="str">
        <f ca="1">IFERROR(__xludf.DUMMYFUNCTION("""COMPUTED_VALUE"""),"not helpful, all probabilities are below 80%")</f>
        <v>not helpful, all probabilities are below 80%</v>
      </c>
      <c r="D17" s="17" t="str">
        <f ca="1">IFERROR(__xludf.DUMMYFUNCTION("""COMPUTED_VALUE"""),"Poly(A)-specific ribonuclease PARN; PARN, Protein-RNA-complex, m7G-cap, m7GTP, RNA recognition motif, RRM, Exonuclease,. probability = 63.93, aoq = 52, aot = 33, no functional domain ")</f>
        <v xml:space="preserve">Poly(A)-specific ribonuclease PARN; PARN, Protein-RNA-complex, m7G-cap, m7GTP, RNA recognition motif, RRM, Exonuclease,. probability = 63.93, aoq = 52, aot = 33, no functional domain </v>
      </c>
      <c r="E17" s="10" t="str">
        <f ca="1">IFERROR(__xludf.DUMMYFUNCTION("""COMPUTED_VALUE""")," DUF5669 ; Family of unknown function (DUF5669), 94% identity, %Q= 33%, %T=  9%, No functional domain known. ")</f>
        <v xml:space="preserve"> DUF5669 ; Family of unknown function (DUF5669), 94% identity, %Q= 33%, %T=  9%, No functional domain known. </v>
      </c>
    </row>
    <row r="18" spans="1:5" ht="15.75" customHeight="1" x14ac:dyDescent="0.15">
      <c r="A18" s="5" t="s">
        <v>18</v>
      </c>
      <c r="B18" s="17" t="str">
        <f ca="1">IFERROR(__xludf.DUMMYFUNCTION("""COMPUTED_VALUE"""),"DUF")</f>
        <v>DUF</v>
      </c>
      <c r="C18" s="17" t="str">
        <f ca="1">IFERROR(__xludf.DUMMYFUNCTION("""COMPUTED_VALUE"""),"none")</f>
        <v>none</v>
      </c>
      <c r="D18" s="17" t="str">
        <f ca="1">IFERROR(__xludf.DUMMYFUNCTION("""COMPUTED_VALUE"""),"No")</f>
        <v>No</v>
      </c>
      <c r="E18" s="10" t="str">
        <f ca="1">IFERROR(__xludf.DUMMYFUNCTION("""COMPUTED_VALUE"""),"None")</f>
        <v>None</v>
      </c>
    </row>
    <row r="19" spans="1:5" ht="15.75" customHeight="1" x14ac:dyDescent="0.15">
      <c r="A19" s="5" t="s">
        <v>19</v>
      </c>
      <c r="B19" s="17" t="str">
        <f ca="1">IFERROR(__xludf.DUMMYFUNCTION("""COMPUTED_VALUE"""),"No")</f>
        <v>No</v>
      </c>
      <c r="C19" s="17" t="str">
        <f ca="1">IFERROR(__xludf.DUMMYFUNCTION("""COMPUTED_VALUE"""),"none")</f>
        <v>none</v>
      </c>
      <c r="D19" s="17" t="str">
        <f ca="1">IFERROR(__xludf.DUMMYFUNCTION("""COMPUTED_VALUE"""),"No")</f>
        <v>No</v>
      </c>
      <c r="E19" s="10" t="str">
        <f ca="1">IFERROR(__xludf.DUMMYFUNCTION("""COMPUTED_VALUE"""),"None")</f>
        <v>None</v>
      </c>
    </row>
    <row r="20" spans="1:5" ht="15.75" customHeight="1" x14ac:dyDescent="0.15">
      <c r="A20" s="5" t="s">
        <v>20</v>
      </c>
      <c r="B20" s="17" t="str">
        <f ca="1">IFERROR(__xludf.DUMMYFUNCTION("""COMPUTED_VALUE"""),"Hypotetical Protein")</f>
        <v>Hypotetical Protein</v>
      </c>
      <c r="C20" s="17" t="str">
        <f ca="1">IFERROR(__xludf.DUMMYFUNCTION("""COMPUTED_VALUE"""),"function unknown. all other pham functions are unknown, synteny is good with Kovu, and hhpred was not helpful.")</f>
        <v>function unknown. all other pham functions are unknown, synteny is good with Kovu, and hhpred was not helpful.</v>
      </c>
      <c r="D20" s="17" t="str">
        <f ca="1">IFERROR(__xludf.DUMMYFUNCTION("""COMPUTED_VALUE"""),"Hypothetical protein")</f>
        <v>Hypothetical protein</v>
      </c>
      <c r="E20" s="10" t="str">
        <f ca="1">IFERROR(__xludf.DUMMYFUNCTION("""COMPUTED_VALUE"""),"Hypothetical Protein. This is due to the NCBI blast, the HHPred, no conserved domains or functional domains, and the synteny being related to Kovu_48, of which is also a hypothetical protein. ")</f>
        <v xml:space="preserve">Hypothetical Protein. This is due to the NCBI blast, the HHPred, no conserved domains or functional domains, and the synteny being related to Kovu_48, of which is also a hypothetical protein. </v>
      </c>
    </row>
    <row r="21" spans="1:5" x14ac:dyDescent="0.2">
      <c r="A21" s="7"/>
      <c r="B21" s="19"/>
      <c r="C21" s="19"/>
      <c r="D21" s="19"/>
      <c r="E21" s="10"/>
    </row>
    <row r="22" spans="1:5" ht="15.75" customHeight="1" x14ac:dyDescent="0.15">
      <c r="A22" s="9" t="s">
        <v>21</v>
      </c>
      <c r="B22" s="19"/>
      <c r="C22" s="19"/>
      <c r="D22" s="19"/>
      <c r="E22" s="10"/>
    </row>
    <row r="23" spans="1:5" ht="15.75" customHeight="1" x14ac:dyDescent="0.15">
      <c r="A23" s="10"/>
      <c r="B23" s="13"/>
      <c r="C23" s="13"/>
      <c r="D23" s="13"/>
    </row>
    <row r="24" spans="1:5" ht="15.75" customHeight="1" x14ac:dyDescent="0.15">
      <c r="A24" s="10"/>
      <c r="B24" s="13"/>
      <c r="C24" s="13"/>
      <c r="D24" s="13"/>
    </row>
    <row r="25" spans="1:5" ht="15.75" customHeight="1" x14ac:dyDescent="0.15">
      <c r="A25" s="10"/>
      <c r="B25" s="13"/>
      <c r="C25" s="13"/>
      <c r="D25" s="13"/>
    </row>
    <row r="26" spans="1:5" ht="15.75" customHeight="1" x14ac:dyDescent="0.15">
      <c r="A26" s="10"/>
      <c r="B26" s="13"/>
      <c r="C26" s="13"/>
      <c r="D26" s="13"/>
    </row>
    <row r="27" spans="1:5" ht="15.75" customHeight="1" x14ac:dyDescent="0.15">
      <c r="A27" s="10"/>
      <c r="B27" s="13"/>
      <c r="C27" s="13"/>
      <c r="D27" s="13"/>
    </row>
    <row r="28" spans="1:5" ht="15.75" customHeight="1" x14ac:dyDescent="0.15">
      <c r="A28" s="10"/>
      <c r="B28" s="13"/>
      <c r="C28" s="13"/>
      <c r="D28" s="13"/>
    </row>
    <row r="29" spans="1:5" ht="15.75" customHeight="1" x14ac:dyDescent="0.15">
      <c r="A29" s="10"/>
      <c r="B29" s="13"/>
      <c r="C29" s="13"/>
      <c r="D29" s="13"/>
    </row>
    <row r="30" spans="1:5" ht="15.75" customHeight="1" x14ac:dyDescent="0.15">
      <c r="A30" s="10"/>
      <c r="B30" s="13"/>
      <c r="C30" s="13"/>
      <c r="D30" s="13"/>
    </row>
    <row r="31" spans="1:5" ht="15.75" customHeight="1" x14ac:dyDescent="0.15">
      <c r="A31" s="10"/>
      <c r="B31" s="13"/>
      <c r="C31" s="13"/>
      <c r="D31" s="13"/>
    </row>
    <row r="32" spans="1:5" ht="15.75" customHeight="1" x14ac:dyDescent="0.15">
      <c r="A32" s="10"/>
      <c r="B32" s="13"/>
      <c r="C32" s="13"/>
      <c r="D32" s="13"/>
    </row>
    <row r="33" spans="1:4" ht="15.75" customHeight="1" x14ac:dyDescent="0.15">
      <c r="A33" s="10"/>
      <c r="B33" s="13"/>
      <c r="C33" s="13"/>
      <c r="D33" s="13"/>
    </row>
    <row r="34" spans="1:4" ht="15.75" customHeight="1" x14ac:dyDescent="0.15">
      <c r="A34" s="10"/>
      <c r="B34" s="13"/>
      <c r="C34" s="13"/>
      <c r="D34" s="13"/>
    </row>
    <row r="35" spans="1:4" ht="15.75" customHeight="1" x14ac:dyDescent="0.15">
      <c r="A35" s="10"/>
      <c r="B35" s="13"/>
      <c r="C35" s="13"/>
      <c r="D35" s="13"/>
    </row>
    <row r="36" spans="1:4" ht="15.75" customHeight="1" x14ac:dyDescent="0.15">
      <c r="A36" s="10"/>
      <c r="B36" s="13"/>
      <c r="C36" s="13"/>
      <c r="D36" s="13"/>
    </row>
    <row r="37" spans="1:4" ht="15.75" customHeight="1" x14ac:dyDescent="0.15">
      <c r="A37" s="10"/>
      <c r="B37" s="13"/>
      <c r="C37" s="13"/>
      <c r="D37" s="13"/>
    </row>
    <row r="38" spans="1:4" ht="15.75" customHeight="1" x14ac:dyDescent="0.15">
      <c r="A38" s="10"/>
      <c r="B38" s="13"/>
      <c r="C38" s="13"/>
      <c r="D38" s="13"/>
    </row>
    <row r="39" spans="1:4" ht="13" x14ac:dyDescent="0.15">
      <c r="A39" s="10"/>
      <c r="B39" s="13"/>
      <c r="C39" s="13"/>
      <c r="D39" s="13"/>
    </row>
    <row r="40" spans="1:4" ht="13" x14ac:dyDescent="0.15">
      <c r="A40" s="10"/>
      <c r="B40" s="13"/>
      <c r="C40" s="13"/>
      <c r="D40" s="13"/>
    </row>
    <row r="41" spans="1:4" ht="13" x14ac:dyDescent="0.15">
      <c r="A41" s="10"/>
      <c r="B41" s="13"/>
      <c r="C41" s="13"/>
      <c r="D41" s="13"/>
    </row>
    <row r="42" spans="1:4" ht="13" x14ac:dyDescent="0.15">
      <c r="A42" s="10"/>
      <c r="B42" s="13"/>
      <c r="C42" s="13"/>
      <c r="D42" s="13"/>
    </row>
    <row r="43" spans="1:4" ht="13" x14ac:dyDescent="0.15">
      <c r="A43" s="10"/>
      <c r="B43" s="13"/>
      <c r="C43" s="13"/>
      <c r="D43" s="13"/>
    </row>
    <row r="44" spans="1:4" ht="13" x14ac:dyDescent="0.15">
      <c r="A44" s="10"/>
      <c r="B44" s="13"/>
      <c r="C44" s="13"/>
      <c r="D44" s="13"/>
    </row>
    <row r="45" spans="1:4" ht="13" x14ac:dyDescent="0.15">
      <c r="A45" s="10"/>
      <c r="B45" s="13"/>
      <c r="C45" s="13"/>
      <c r="D45" s="13"/>
    </row>
    <row r="46" spans="1:4" ht="13" x14ac:dyDescent="0.15">
      <c r="A46" s="10"/>
      <c r="B46" s="13"/>
      <c r="C46" s="13"/>
      <c r="D46" s="13"/>
    </row>
    <row r="47" spans="1:4" ht="13" x14ac:dyDescent="0.15">
      <c r="A47" s="10"/>
      <c r="B47" s="13"/>
      <c r="C47" s="13"/>
      <c r="D47" s="13"/>
    </row>
    <row r="48" spans="1:4" ht="13" x14ac:dyDescent="0.15">
      <c r="A48" s="10"/>
      <c r="B48" s="13"/>
      <c r="C48" s="13"/>
      <c r="D48" s="13"/>
    </row>
    <row r="49" spans="1:4" ht="13" x14ac:dyDescent="0.15">
      <c r="A49" s="10"/>
      <c r="B49" s="13"/>
      <c r="C49" s="13"/>
      <c r="D49" s="13"/>
    </row>
    <row r="50" spans="1:4" ht="13" x14ac:dyDescent="0.15">
      <c r="A50" s="10"/>
      <c r="B50" s="13"/>
      <c r="C50" s="13"/>
      <c r="D50" s="13"/>
    </row>
    <row r="51" spans="1:4" ht="13" x14ac:dyDescent="0.15">
      <c r="A51" s="10"/>
      <c r="B51" s="13"/>
      <c r="C51" s="13"/>
      <c r="D51" s="13"/>
    </row>
    <row r="52" spans="1:4" ht="13" x14ac:dyDescent="0.15">
      <c r="A52" s="10"/>
      <c r="B52" s="13"/>
      <c r="C52" s="13"/>
      <c r="D52" s="13"/>
    </row>
    <row r="53" spans="1:4" ht="13" x14ac:dyDescent="0.15">
      <c r="A53" s="10"/>
      <c r="B53" s="13"/>
      <c r="C53" s="13"/>
      <c r="D53" s="13"/>
    </row>
    <row r="54" spans="1:4" ht="13" x14ac:dyDescent="0.15">
      <c r="A54" s="10"/>
      <c r="B54" s="13"/>
      <c r="C54" s="13"/>
      <c r="D54" s="13"/>
    </row>
    <row r="55" spans="1:4" ht="13" x14ac:dyDescent="0.15">
      <c r="A55" s="10"/>
      <c r="B55" s="13"/>
      <c r="C55" s="13"/>
      <c r="D55" s="13"/>
    </row>
    <row r="56" spans="1:4" ht="13" x14ac:dyDescent="0.15">
      <c r="A56" s="10"/>
      <c r="B56" s="13"/>
      <c r="C56" s="13"/>
      <c r="D56" s="13"/>
    </row>
    <row r="57" spans="1:4" ht="13" x14ac:dyDescent="0.15">
      <c r="A57" s="10"/>
      <c r="B57" s="13"/>
      <c r="C57" s="13"/>
      <c r="D57" s="13"/>
    </row>
    <row r="58" spans="1:4" ht="13" x14ac:dyDescent="0.15">
      <c r="A58" s="10"/>
      <c r="B58" s="13"/>
      <c r="C58" s="13"/>
      <c r="D58" s="13"/>
    </row>
    <row r="59" spans="1:4" ht="13" x14ac:dyDescent="0.15">
      <c r="A59" s="10"/>
      <c r="B59" s="13"/>
      <c r="C59" s="13"/>
      <c r="D59" s="13"/>
    </row>
    <row r="60" spans="1:4" ht="13" x14ac:dyDescent="0.15">
      <c r="A60" s="10"/>
      <c r="B60" s="13"/>
      <c r="C60" s="13"/>
      <c r="D60" s="13"/>
    </row>
    <row r="61" spans="1:4" ht="13" x14ac:dyDescent="0.15">
      <c r="A61" s="10"/>
      <c r="B61" s="13"/>
      <c r="C61" s="13"/>
      <c r="D61" s="13"/>
    </row>
    <row r="62" spans="1:4" ht="13" x14ac:dyDescent="0.15">
      <c r="A62" s="10"/>
      <c r="B62" s="13"/>
      <c r="C62" s="13"/>
      <c r="D62" s="13"/>
    </row>
    <row r="63" spans="1:4" ht="13" x14ac:dyDescent="0.15">
      <c r="A63" s="10"/>
      <c r="B63" s="13"/>
      <c r="C63" s="13"/>
      <c r="D63" s="13"/>
    </row>
    <row r="64" spans="1:4" ht="13" x14ac:dyDescent="0.15">
      <c r="A64" s="10"/>
      <c r="B64" s="13"/>
      <c r="C64" s="13"/>
      <c r="D64" s="13"/>
    </row>
    <row r="65" spans="1:4" ht="13" x14ac:dyDescent="0.15">
      <c r="A65" s="10"/>
      <c r="B65" s="13"/>
      <c r="C65" s="13"/>
      <c r="D65" s="13"/>
    </row>
    <row r="66" spans="1:4" ht="13" x14ac:dyDescent="0.15">
      <c r="A66" s="10"/>
      <c r="B66" s="13"/>
      <c r="C66" s="13"/>
      <c r="D66" s="13"/>
    </row>
    <row r="67" spans="1:4" ht="13" x14ac:dyDescent="0.15">
      <c r="A67" s="10"/>
      <c r="B67" s="13"/>
      <c r="C67" s="13"/>
      <c r="D67" s="13"/>
    </row>
    <row r="68" spans="1:4" ht="13" x14ac:dyDescent="0.15">
      <c r="A68" s="10"/>
      <c r="B68" s="13"/>
      <c r="C68" s="13"/>
      <c r="D68" s="13"/>
    </row>
    <row r="69" spans="1:4" ht="13" x14ac:dyDescent="0.15">
      <c r="A69" s="10"/>
      <c r="B69" s="13"/>
      <c r="C69" s="13"/>
      <c r="D69" s="13"/>
    </row>
    <row r="70" spans="1:4" ht="13" x14ac:dyDescent="0.15">
      <c r="A70" s="10"/>
      <c r="B70" s="13"/>
      <c r="C70" s="13"/>
      <c r="D70" s="13"/>
    </row>
    <row r="71" spans="1:4" ht="13" x14ac:dyDescent="0.15">
      <c r="A71" s="10"/>
      <c r="B71" s="13"/>
      <c r="C71" s="13"/>
      <c r="D71" s="13"/>
    </row>
    <row r="72" spans="1:4" ht="13" x14ac:dyDescent="0.15">
      <c r="A72" s="10"/>
      <c r="B72" s="13"/>
      <c r="C72" s="13"/>
      <c r="D72" s="13"/>
    </row>
    <row r="73" spans="1:4" ht="13" x14ac:dyDescent="0.15">
      <c r="A73" s="10"/>
      <c r="B73" s="13"/>
      <c r="C73" s="13"/>
      <c r="D73" s="13"/>
    </row>
    <row r="74" spans="1:4" ht="13" x14ac:dyDescent="0.15">
      <c r="A74" s="10"/>
      <c r="B74" s="13"/>
      <c r="C74" s="13"/>
      <c r="D74" s="13"/>
    </row>
    <row r="75" spans="1:4" ht="13" x14ac:dyDescent="0.15">
      <c r="A75" s="10"/>
      <c r="B75" s="13"/>
      <c r="C75" s="13"/>
      <c r="D75" s="13"/>
    </row>
    <row r="76" spans="1:4" ht="13" x14ac:dyDescent="0.15">
      <c r="A76" s="10"/>
      <c r="B76" s="13"/>
      <c r="C76" s="13"/>
      <c r="D76" s="13"/>
    </row>
    <row r="77" spans="1:4" ht="13" x14ac:dyDescent="0.15">
      <c r="A77" s="10"/>
      <c r="B77" s="13"/>
      <c r="C77" s="13"/>
      <c r="D77" s="13"/>
    </row>
    <row r="78" spans="1:4" ht="13" x14ac:dyDescent="0.15">
      <c r="A78" s="10"/>
      <c r="B78" s="13"/>
      <c r="C78" s="13"/>
      <c r="D78" s="13"/>
    </row>
    <row r="79" spans="1:4" ht="13" x14ac:dyDescent="0.15">
      <c r="A79" s="10"/>
      <c r="B79" s="13"/>
      <c r="C79" s="13"/>
      <c r="D79" s="13"/>
    </row>
    <row r="80" spans="1:4" ht="13" x14ac:dyDescent="0.15">
      <c r="A80" s="10"/>
      <c r="B80" s="13"/>
      <c r="C80" s="13"/>
      <c r="D80" s="13"/>
    </row>
    <row r="81" spans="1:4" ht="13" x14ac:dyDescent="0.15">
      <c r="A81" s="10"/>
      <c r="B81" s="13"/>
      <c r="C81" s="13"/>
      <c r="D81" s="13"/>
    </row>
    <row r="82" spans="1:4" ht="13" x14ac:dyDescent="0.15">
      <c r="A82" s="10"/>
      <c r="B82" s="13"/>
      <c r="C82" s="13"/>
      <c r="D82" s="13"/>
    </row>
    <row r="83" spans="1:4" ht="13" x14ac:dyDescent="0.15">
      <c r="A83" s="10"/>
      <c r="B83" s="13"/>
      <c r="C83" s="13"/>
      <c r="D83" s="13"/>
    </row>
    <row r="84" spans="1:4" ht="13" x14ac:dyDescent="0.15">
      <c r="A84" s="10"/>
      <c r="B84" s="13"/>
      <c r="C84" s="13"/>
      <c r="D84" s="13"/>
    </row>
    <row r="85" spans="1:4" ht="13" x14ac:dyDescent="0.15">
      <c r="A85" s="10"/>
      <c r="B85" s="13"/>
      <c r="C85" s="13"/>
      <c r="D85" s="13"/>
    </row>
    <row r="86" spans="1:4" ht="13" x14ac:dyDescent="0.15">
      <c r="A86" s="10"/>
      <c r="B86" s="13"/>
      <c r="C86" s="13"/>
      <c r="D86" s="13"/>
    </row>
    <row r="87" spans="1:4" ht="13" x14ac:dyDescent="0.15">
      <c r="A87" s="10"/>
      <c r="B87" s="13"/>
      <c r="C87" s="13"/>
      <c r="D87" s="13"/>
    </row>
    <row r="88" spans="1:4" ht="13" x14ac:dyDescent="0.15">
      <c r="A88" s="10"/>
      <c r="B88" s="13"/>
      <c r="C88" s="13"/>
      <c r="D88" s="13"/>
    </row>
    <row r="89" spans="1:4" ht="13" x14ac:dyDescent="0.15">
      <c r="A89" s="10"/>
      <c r="B89" s="13"/>
      <c r="C89" s="13"/>
      <c r="D89" s="13"/>
    </row>
    <row r="90" spans="1:4" ht="13" x14ac:dyDescent="0.15">
      <c r="A90" s="10"/>
      <c r="B90" s="13"/>
      <c r="C90" s="13"/>
      <c r="D90" s="13"/>
    </row>
    <row r="91" spans="1:4" ht="13" x14ac:dyDescent="0.15">
      <c r="A91" s="10"/>
      <c r="B91" s="13"/>
      <c r="C91" s="13"/>
      <c r="D91" s="13"/>
    </row>
    <row r="92" spans="1:4" ht="13" x14ac:dyDescent="0.15">
      <c r="A92" s="10"/>
      <c r="B92" s="13"/>
      <c r="C92" s="13"/>
      <c r="D92" s="13"/>
    </row>
    <row r="93" spans="1:4" ht="13" x14ac:dyDescent="0.15">
      <c r="A93" s="10"/>
      <c r="B93" s="13"/>
      <c r="C93" s="13"/>
      <c r="D93" s="13"/>
    </row>
    <row r="94" spans="1:4" ht="13" x14ac:dyDescent="0.15">
      <c r="A94" s="10"/>
      <c r="B94" s="13"/>
      <c r="C94" s="13"/>
      <c r="D94" s="13"/>
    </row>
    <row r="95" spans="1:4" ht="13" x14ac:dyDescent="0.15">
      <c r="A95" s="10"/>
      <c r="B95" s="13"/>
      <c r="C95" s="13"/>
      <c r="D95" s="13"/>
    </row>
    <row r="96" spans="1:4" ht="13" x14ac:dyDescent="0.15">
      <c r="A96" s="10"/>
      <c r="B96" s="13"/>
      <c r="C96" s="13"/>
      <c r="D96" s="13"/>
    </row>
    <row r="97" spans="1:4" ht="13" x14ac:dyDescent="0.15">
      <c r="A97" s="10"/>
      <c r="B97" s="13"/>
      <c r="C97" s="13"/>
      <c r="D97" s="13"/>
    </row>
    <row r="98" spans="1:4" ht="13" x14ac:dyDescent="0.15">
      <c r="A98" s="10"/>
      <c r="B98" s="13"/>
      <c r="C98" s="13"/>
      <c r="D98" s="13"/>
    </row>
    <row r="99" spans="1:4" ht="13" x14ac:dyDescent="0.15">
      <c r="A99" s="10"/>
      <c r="B99" s="13"/>
      <c r="C99" s="13"/>
      <c r="D99" s="13"/>
    </row>
    <row r="100" spans="1:4" ht="13" x14ac:dyDescent="0.15">
      <c r="A100" s="10"/>
      <c r="B100" s="13"/>
      <c r="C100" s="13"/>
      <c r="D100" s="13"/>
    </row>
    <row r="101" spans="1:4" ht="13" x14ac:dyDescent="0.15">
      <c r="A101" s="10"/>
      <c r="B101" s="13"/>
      <c r="C101" s="13"/>
      <c r="D101" s="13"/>
    </row>
    <row r="102" spans="1:4" ht="13" x14ac:dyDescent="0.15">
      <c r="A102" s="10"/>
      <c r="B102" s="13"/>
      <c r="C102" s="13"/>
      <c r="D102" s="13"/>
    </row>
    <row r="103" spans="1:4" ht="13" x14ac:dyDescent="0.15">
      <c r="A103" s="10"/>
      <c r="B103" s="13"/>
      <c r="C103" s="13"/>
      <c r="D103" s="13"/>
    </row>
    <row r="104" spans="1:4" ht="13" x14ac:dyDescent="0.15">
      <c r="A104" s="10"/>
      <c r="B104" s="13"/>
      <c r="C104" s="13"/>
      <c r="D104" s="13"/>
    </row>
    <row r="105" spans="1:4" ht="13" x14ac:dyDescent="0.15">
      <c r="A105" s="10"/>
      <c r="B105" s="13"/>
      <c r="C105" s="13"/>
      <c r="D105" s="13"/>
    </row>
    <row r="106" spans="1:4" ht="13" x14ac:dyDescent="0.15">
      <c r="A106" s="10"/>
      <c r="B106" s="13"/>
      <c r="C106" s="13"/>
      <c r="D106" s="13"/>
    </row>
    <row r="107" spans="1:4" ht="13" x14ac:dyDescent="0.15">
      <c r="A107" s="10"/>
      <c r="B107" s="13"/>
      <c r="C107" s="13"/>
      <c r="D107" s="13"/>
    </row>
    <row r="108" spans="1:4" ht="13" x14ac:dyDescent="0.15">
      <c r="A108" s="10"/>
      <c r="B108" s="13"/>
      <c r="C108" s="13"/>
      <c r="D108" s="13"/>
    </row>
    <row r="109" spans="1:4" ht="13" x14ac:dyDescent="0.15">
      <c r="A109" s="10"/>
      <c r="B109" s="13"/>
      <c r="C109" s="13"/>
      <c r="D109" s="13"/>
    </row>
    <row r="110" spans="1:4" ht="13" x14ac:dyDescent="0.15">
      <c r="A110" s="10"/>
      <c r="B110" s="13"/>
      <c r="C110" s="13"/>
      <c r="D110" s="13"/>
    </row>
    <row r="111" spans="1:4" ht="13" x14ac:dyDescent="0.15">
      <c r="A111" s="10"/>
      <c r="B111" s="13"/>
      <c r="C111" s="13"/>
      <c r="D111" s="13"/>
    </row>
    <row r="112" spans="1:4" ht="13" x14ac:dyDescent="0.15">
      <c r="A112" s="10"/>
      <c r="B112" s="13"/>
      <c r="C112" s="13"/>
      <c r="D112" s="13"/>
    </row>
    <row r="113" spans="1:4" ht="13" x14ac:dyDescent="0.15">
      <c r="A113" s="10"/>
      <c r="B113" s="13"/>
      <c r="C113" s="13"/>
      <c r="D113" s="13"/>
    </row>
    <row r="114" spans="1:4" ht="13" x14ac:dyDescent="0.15">
      <c r="A114" s="10"/>
      <c r="B114" s="13"/>
      <c r="C114" s="13"/>
      <c r="D114" s="13"/>
    </row>
    <row r="115" spans="1:4" ht="13" x14ac:dyDescent="0.15">
      <c r="A115" s="10"/>
      <c r="B115" s="13"/>
      <c r="C115" s="13"/>
      <c r="D115" s="13"/>
    </row>
    <row r="116" spans="1:4" ht="13" x14ac:dyDescent="0.15">
      <c r="A116" s="10"/>
      <c r="B116" s="13"/>
      <c r="C116" s="13"/>
      <c r="D116" s="13"/>
    </row>
    <row r="117" spans="1:4" ht="13" x14ac:dyDescent="0.15">
      <c r="A117" s="10"/>
      <c r="B117" s="13"/>
      <c r="C117" s="13"/>
      <c r="D117" s="13"/>
    </row>
    <row r="118" spans="1:4" ht="13" x14ac:dyDescent="0.15">
      <c r="A118" s="10"/>
      <c r="B118" s="13"/>
      <c r="C118" s="13"/>
      <c r="D118" s="13"/>
    </row>
    <row r="119" spans="1:4" ht="13" x14ac:dyDescent="0.15">
      <c r="A119" s="10"/>
      <c r="B119" s="13"/>
      <c r="C119" s="13"/>
      <c r="D119" s="13"/>
    </row>
    <row r="120" spans="1:4" ht="13" x14ac:dyDescent="0.15">
      <c r="A120" s="10"/>
      <c r="B120" s="13"/>
      <c r="C120" s="13"/>
      <c r="D120" s="13"/>
    </row>
    <row r="121" spans="1:4" ht="13" x14ac:dyDescent="0.15">
      <c r="A121" s="10"/>
      <c r="B121" s="13"/>
      <c r="C121" s="13"/>
      <c r="D121" s="13"/>
    </row>
    <row r="122" spans="1:4" ht="13" x14ac:dyDescent="0.15">
      <c r="A122" s="10"/>
      <c r="B122" s="13"/>
      <c r="C122" s="13"/>
      <c r="D122" s="13"/>
    </row>
    <row r="123" spans="1:4" ht="13" x14ac:dyDescent="0.15">
      <c r="A123" s="10"/>
      <c r="B123" s="13"/>
      <c r="C123" s="13"/>
      <c r="D123" s="13"/>
    </row>
    <row r="124" spans="1:4" ht="13" x14ac:dyDescent="0.15">
      <c r="A124" s="10"/>
      <c r="B124" s="13"/>
      <c r="C124" s="13"/>
      <c r="D124" s="13"/>
    </row>
    <row r="125" spans="1:4" ht="13" x14ac:dyDescent="0.15">
      <c r="A125" s="10"/>
      <c r="B125" s="13"/>
      <c r="C125" s="13"/>
      <c r="D125" s="13"/>
    </row>
    <row r="126" spans="1:4" ht="13" x14ac:dyDescent="0.15">
      <c r="A126" s="10"/>
      <c r="B126" s="13"/>
      <c r="C126" s="13"/>
      <c r="D126" s="13"/>
    </row>
    <row r="127" spans="1:4" ht="13" x14ac:dyDescent="0.15">
      <c r="A127" s="10"/>
      <c r="B127" s="13"/>
      <c r="C127" s="13"/>
      <c r="D127" s="13"/>
    </row>
    <row r="128" spans="1:4" ht="13" x14ac:dyDescent="0.15">
      <c r="A128" s="10"/>
      <c r="B128" s="13"/>
      <c r="C128" s="13"/>
      <c r="D128" s="13"/>
    </row>
    <row r="129" spans="1:4" ht="13" x14ac:dyDescent="0.15">
      <c r="A129" s="10"/>
      <c r="B129" s="13"/>
      <c r="C129" s="13"/>
      <c r="D129" s="13"/>
    </row>
    <row r="130" spans="1:4" ht="13" x14ac:dyDescent="0.15">
      <c r="A130" s="10"/>
      <c r="B130" s="13"/>
      <c r="C130" s="13"/>
      <c r="D130" s="13"/>
    </row>
    <row r="131" spans="1:4" ht="13" x14ac:dyDescent="0.15">
      <c r="A131" s="10"/>
      <c r="B131" s="13"/>
      <c r="C131" s="13"/>
      <c r="D131" s="13"/>
    </row>
    <row r="132" spans="1:4" ht="13" x14ac:dyDescent="0.15">
      <c r="A132" s="10"/>
      <c r="B132" s="13"/>
      <c r="C132" s="13"/>
      <c r="D132" s="13"/>
    </row>
    <row r="133" spans="1:4" ht="13" x14ac:dyDescent="0.15">
      <c r="A133" s="10"/>
      <c r="B133" s="13"/>
      <c r="C133" s="13"/>
      <c r="D133" s="13"/>
    </row>
    <row r="134" spans="1:4" ht="13" x14ac:dyDescent="0.15">
      <c r="A134" s="10"/>
      <c r="B134" s="13"/>
      <c r="C134" s="13"/>
      <c r="D134" s="13"/>
    </row>
    <row r="135" spans="1:4" ht="13" x14ac:dyDescent="0.15">
      <c r="A135" s="10"/>
      <c r="B135" s="13"/>
      <c r="C135" s="13"/>
      <c r="D135" s="13"/>
    </row>
    <row r="136" spans="1:4" ht="13" x14ac:dyDescent="0.15">
      <c r="A136" s="10"/>
      <c r="B136" s="13"/>
      <c r="C136" s="13"/>
      <c r="D136" s="13"/>
    </row>
    <row r="137" spans="1:4" ht="13" x14ac:dyDescent="0.15">
      <c r="A137" s="10"/>
      <c r="B137" s="13"/>
      <c r="C137" s="13"/>
      <c r="D137" s="13"/>
    </row>
    <row r="138" spans="1:4" ht="13" x14ac:dyDescent="0.15">
      <c r="A138" s="10"/>
      <c r="B138" s="13"/>
      <c r="C138" s="13"/>
      <c r="D138" s="13"/>
    </row>
    <row r="139" spans="1:4" ht="13" x14ac:dyDescent="0.15">
      <c r="A139" s="10"/>
      <c r="B139" s="13"/>
      <c r="C139" s="13"/>
      <c r="D139" s="13"/>
    </row>
    <row r="140" spans="1:4" ht="13" x14ac:dyDescent="0.15">
      <c r="A140" s="10"/>
      <c r="B140" s="13"/>
      <c r="C140" s="13"/>
      <c r="D140" s="13"/>
    </row>
    <row r="141" spans="1:4" ht="13" x14ac:dyDescent="0.15">
      <c r="A141" s="10"/>
      <c r="B141" s="13"/>
      <c r="C141" s="13"/>
      <c r="D141" s="13"/>
    </row>
    <row r="142" spans="1:4" ht="13" x14ac:dyDescent="0.15">
      <c r="A142" s="10"/>
      <c r="B142" s="13"/>
      <c r="C142" s="13"/>
      <c r="D142" s="13"/>
    </row>
    <row r="143" spans="1:4" ht="13" x14ac:dyDescent="0.15">
      <c r="A143" s="10"/>
      <c r="B143" s="13"/>
      <c r="C143" s="13"/>
      <c r="D143" s="13"/>
    </row>
    <row r="144" spans="1:4" ht="13" x14ac:dyDescent="0.15">
      <c r="A144" s="10"/>
      <c r="B144" s="13"/>
      <c r="C144" s="13"/>
      <c r="D144" s="13"/>
    </row>
    <row r="145" spans="1:4" ht="13" x14ac:dyDescent="0.15">
      <c r="A145" s="10"/>
      <c r="B145" s="13"/>
      <c r="C145" s="13"/>
      <c r="D145" s="13"/>
    </row>
    <row r="146" spans="1:4" ht="13" x14ac:dyDescent="0.15">
      <c r="A146" s="10"/>
      <c r="B146" s="13"/>
      <c r="C146" s="13"/>
      <c r="D146" s="13"/>
    </row>
    <row r="147" spans="1:4" ht="13" x14ac:dyDescent="0.15">
      <c r="A147" s="10"/>
      <c r="B147" s="13"/>
      <c r="C147" s="13"/>
      <c r="D147" s="13"/>
    </row>
    <row r="148" spans="1:4" ht="13" x14ac:dyDescent="0.15">
      <c r="A148" s="10"/>
      <c r="B148" s="13"/>
      <c r="C148" s="13"/>
      <c r="D148" s="13"/>
    </row>
    <row r="149" spans="1:4" ht="13" x14ac:dyDescent="0.15">
      <c r="A149" s="10"/>
      <c r="B149" s="13"/>
      <c r="C149" s="13"/>
      <c r="D149" s="13"/>
    </row>
    <row r="150" spans="1:4" ht="13" x14ac:dyDescent="0.15">
      <c r="A150" s="10"/>
      <c r="B150" s="13"/>
      <c r="C150" s="13"/>
      <c r="D150" s="13"/>
    </row>
    <row r="151" spans="1:4" ht="13" x14ac:dyDescent="0.15">
      <c r="A151" s="10"/>
      <c r="B151" s="13"/>
      <c r="C151" s="13"/>
      <c r="D151" s="13"/>
    </row>
    <row r="152" spans="1:4" ht="13" x14ac:dyDescent="0.15">
      <c r="A152" s="10"/>
      <c r="B152" s="13"/>
      <c r="C152" s="13"/>
      <c r="D152" s="13"/>
    </row>
    <row r="153" spans="1:4" ht="13" x14ac:dyDescent="0.15">
      <c r="A153" s="10"/>
      <c r="B153" s="13"/>
      <c r="C153" s="13"/>
      <c r="D153" s="13"/>
    </row>
    <row r="154" spans="1:4" ht="13" x14ac:dyDescent="0.15">
      <c r="A154" s="10"/>
      <c r="B154" s="13"/>
      <c r="C154" s="13"/>
      <c r="D154" s="13"/>
    </row>
    <row r="155" spans="1:4" ht="13" x14ac:dyDescent="0.15">
      <c r="A155" s="10"/>
      <c r="B155" s="13"/>
      <c r="C155" s="13"/>
      <c r="D155" s="13"/>
    </row>
    <row r="156" spans="1:4" ht="13" x14ac:dyDescent="0.15">
      <c r="A156" s="10"/>
      <c r="B156" s="13"/>
      <c r="C156" s="13"/>
      <c r="D156" s="13"/>
    </row>
    <row r="157" spans="1:4" ht="13" x14ac:dyDescent="0.15">
      <c r="A157" s="10"/>
      <c r="B157" s="13"/>
      <c r="C157" s="13"/>
      <c r="D157" s="13"/>
    </row>
    <row r="158" spans="1:4" ht="13" x14ac:dyDescent="0.15">
      <c r="A158" s="10"/>
      <c r="B158" s="13"/>
      <c r="C158" s="13"/>
      <c r="D158" s="13"/>
    </row>
    <row r="159" spans="1:4" ht="13" x14ac:dyDescent="0.15">
      <c r="A159" s="10"/>
      <c r="B159" s="13"/>
      <c r="C159" s="13"/>
      <c r="D159" s="13"/>
    </row>
    <row r="160" spans="1:4" ht="13" x14ac:dyDescent="0.15">
      <c r="A160" s="10"/>
      <c r="B160" s="13"/>
      <c r="C160" s="13"/>
      <c r="D160" s="13"/>
    </row>
    <row r="161" spans="1:4" ht="13" x14ac:dyDescent="0.15">
      <c r="A161" s="10"/>
      <c r="B161" s="13"/>
      <c r="C161" s="13"/>
      <c r="D161" s="13"/>
    </row>
    <row r="162" spans="1:4" ht="13" x14ac:dyDescent="0.15">
      <c r="A162" s="10"/>
      <c r="B162" s="13"/>
      <c r="C162" s="13"/>
      <c r="D162" s="13"/>
    </row>
    <row r="163" spans="1:4" ht="13" x14ac:dyDescent="0.15">
      <c r="A163" s="10"/>
      <c r="B163" s="13"/>
      <c r="C163" s="13"/>
      <c r="D163" s="13"/>
    </row>
    <row r="164" spans="1:4" ht="13" x14ac:dyDescent="0.15">
      <c r="A164" s="10"/>
      <c r="B164" s="13"/>
      <c r="C164" s="13"/>
      <c r="D164" s="13"/>
    </row>
    <row r="165" spans="1:4" ht="13" x14ac:dyDescent="0.15">
      <c r="A165" s="10"/>
      <c r="B165" s="13"/>
      <c r="C165" s="13"/>
      <c r="D165" s="13"/>
    </row>
    <row r="166" spans="1:4" ht="13" x14ac:dyDescent="0.15">
      <c r="A166" s="10"/>
      <c r="B166" s="13"/>
      <c r="C166" s="13"/>
      <c r="D166" s="13"/>
    </row>
    <row r="167" spans="1:4" ht="13" x14ac:dyDescent="0.15">
      <c r="A167" s="10"/>
      <c r="B167" s="13"/>
      <c r="C167" s="13"/>
      <c r="D167" s="13"/>
    </row>
    <row r="168" spans="1:4" ht="13" x14ac:dyDescent="0.15">
      <c r="A168" s="10"/>
      <c r="B168" s="13"/>
      <c r="C168" s="13"/>
      <c r="D168" s="13"/>
    </row>
    <row r="169" spans="1:4" ht="13" x14ac:dyDescent="0.15">
      <c r="A169" s="10"/>
      <c r="B169" s="13"/>
      <c r="C169" s="13"/>
      <c r="D169" s="13"/>
    </row>
    <row r="170" spans="1:4" ht="13" x14ac:dyDescent="0.15">
      <c r="A170" s="10"/>
      <c r="B170" s="13"/>
      <c r="C170" s="13"/>
      <c r="D170" s="13"/>
    </row>
    <row r="171" spans="1:4" ht="13" x14ac:dyDescent="0.15">
      <c r="A171" s="10"/>
      <c r="B171" s="13"/>
      <c r="C171" s="13"/>
      <c r="D171" s="13"/>
    </row>
    <row r="172" spans="1:4" ht="13" x14ac:dyDescent="0.15">
      <c r="A172" s="10"/>
      <c r="B172" s="13"/>
      <c r="C172" s="13"/>
      <c r="D172" s="13"/>
    </row>
    <row r="173" spans="1:4" ht="13" x14ac:dyDescent="0.15">
      <c r="A173" s="10"/>
      <c r="B173" s="13"/>
      <c r="C173" s="13"/>
      <c r="D173" s="13"/>
    </row>
    <row r="174" spans="1:4" ht="13" x14ac:dyDescent="0.15">
      <c r="A174" s="10"/>
      <c r="B174" s="13"/>
      <c r="C174" s="13"/>
      <c r="D174" s="13"/>
    </row>
    <row r="175" spans="1:4" ht="13" x14ac:dyDescent="0.15">
      <c r="A175" s="10"/>
      <c r="B175" s="13"/>
      <c r="C175" s="13"/>
      <c r="D175" s="13"/>
    </row>
    <row r="176" spans="1:4" ht="13" x14ac:dyDescent="0.15">
      <c r="A176" s="10"/>
      <c r="B176" s="13"/>
      <c r="C176" s="13"/>
      <c r="D176" s="13"/>
    </row>
    <row r="177" spans="1:4" ht="13" x14ac:dyDescent="0.15">
      <c r="A177" s="10"/>
      <c r="B177" s="13"/>
      <c r="C177" s="13"/>
      <c r="D177" s="13"/>
    </row>
    <row r="178" spans="1:4" ht="13" x14ac:dyDescent="0.15">
      <c r="A178" s="10"/>
      <c r="B178" s="13"/>
      <c r="C178" s="13"/>
      <c r="D178" s="13"/>
    </row>
    <row r="179" spans="1:4" ht="13" x14ac:dyDescent="0.15">
      <c r="A179" s="10"/>
      <c r="B179" s="13"/>
      <c r="C179" s="13"/>
      <c r="D179" s="13"/>
    </row>
    <row r="180" spans="1:4" ht="13" x14ac:dyDescent="0.15">
      <c r="A180" s="10"/>
      <c r="B180" s="13"/>
      <c r="C180" s="13"/>
      <c r="D180" s="13"/>
    </row>
    <row r="181" spans="1:4" ht="13" x14ac:dyDescent="0.15">
      <c r="A181" s="10"/>
      <c r="B181" s="13"/>
      <c r="C181" s="13"/>
      <c r="D181" s="13"/>
    </row>
    <row r="182" spans="1:4" ht="13" x14ac:dyDescent="0.15">
      <c r="A182" s="10"/>
      <c r="B182" s="13"/>
      <c r="C182" s="13"/>
      <c r="D182" s="13"/>
    </row>
    <row r="183" spans="1:4" ht="13" x14ac:dyDescent="0.15">
      <c r="A183" s="10"/>
      <c r="B183" s="13"/>
      <c r="C183" s="13"/>
      <c r="D183" s="13"/>
    </row>
    <row r="184" spans="1:4" ht="13" x14ac:dyDescent="0.15">
      <c r="A184" s="10"/>
      <c r="B184" s="13"/>
      <c r="C184" s="13"/>
      <c r="D184" s="13"/>
    </row>
    <row r="185" spans="1:4" ht="13" x14ac:dyDescent="0.15">
      <c r="A185" s="10"/>
      <c r="B185" s="13"/>
      <c r="C185" s="13"/>
      <c r="D185" s="13"/>
    </row>
    <row r="186" spans="1:4" ht="13" x14ac:dyDescent="0.15">
      <c r="A186" s="10"/>
      <c r="B186" s="13"/>
      <c r="C186" s="13"/>
      <c r="D186" s="13"/>
    </row>
    <row r="187" spans="1:4" ht="13" x14ac:dyDescent="0.15">
      <c r="A187" s="10"/>
      <c r="B187" s="13"/>
      <c r="C187" s="13"/>
      <c r="D187" s="13"/>
    </row>
    <row r="188" spans="1:4" ht="13" x14ac:dyDescent="0.15">
      <c r="A188" s="10"/>
      <c r="B188" s="13"/>
      <c r="C188" s="13"/>
      <c r="D188" s="13"/>
    </row>
    <row r="189" spans="1:4" ht="13" x14ac:dyDescent="0.15">
      <c r="A189" s="10"/>
      <c r="B189" s="13"/>
      <c r="C189" s="13"/>
      <c r="D189" s="13"/>
    </row>
    <row r="190" spans="1:4" ht="13" x14ac:dyDescent="0.15">
      <c r="A190" s="10"/>
      <c r="B190" s="13"/>
      <c r="C190" s="13"/>
      <c r="D190" s="13"/>
    </row>
    <row r="191" spans="1:4" ht="13" x14ac:dyDescent="0.15">
      <c r="A191" s="10"/>
      <c r="B191" s="13"/>
      <c r="C191" s="13"/>
      <c r="D191" s="13"/>
    </row>
    <row r="192" spans="1:4" ht="13" x14ac:dyDescent="0.15">
      <c r="A192" s="10"/>
      <c r="B192" s="13"/>
      <c r="C192" s="13"/>
      <c r="D192" s="13"/>
    </row>
    <row r="193" spans="1:4" ht="13" x14ac:dyDescent="0.15">
      <c r="A193" s="10"/>
      <c r="B193" s="13"/>
      <c r="C193" s="13"/>
      <c r="D193" s="13"/>
    </row>
    <row r="194" spans="1:4" ht="13" x14ac:dyDescent="0.15">
      <c r="A194" s="10"/>
      <c r="B194" s="13"/>
      <c r="C194" s="13"/>
      <c r="D194" s="13"/>
    </row>
    <row r="195" spans="1:4" ht="13" x14ac:dyDescent="0.15">
      <c r="A195" s="10"/>
      <c r="B195" s="13"/>
      <c r="C195" s="13"/>
      <c r="D195" s="13"/>
    </row>
    <row r="196" spans="1:4" ht="13" x14ac:dyDescent="0.15">
      <c r="A196" s="10"/>
      <c r="B196" s="13"/>
      <c r="C196" s="13"/>
      <c r="D196" s="13"/>
    </row>
    <row r="197" spans="1:4" ht="13" x14ac:dyDescent="0.15">
      <c r="A197" s="10"/>
      <c r="B197" s="13"/>
      <c r="C197" s="13"/>
      <c r="D197" s="13"/>
    </row>
    <row r="198" spans="1:4" ht="13" x14ac:dyDescent="0.15">
      <c r="A198" s="10"/>
      <c r="B198" s="13"/>
      <c r="C198" s="13"/>
      <c r="D198" s="13"/>
    </row>
    <row r="199" spans="1:4" ht="13" x14ac:dyDescent="0.15">
      <c r="A199" s="10"/>
      <c r="B199" s="13"/>
      <c r="C199" s="13"/>
      <c r="D199" s="13"/>
    </row>
    <row r="200" spans="1:4" ht="13" x14ac:dyDescent="0.15">
      <c r="A200" s="10"/>
      <c r="B200" s="13"/>
      <c r="C200" s="13"/>
      <c r="D200" s="13"/>
    </row>
    <row r="201" spans="1:4" ht="13" x14ac:dyDescent="0.15">
      <c r="A201" s="10"/>
      <c r="B201" s="13"/>
      <c r="C201" s="13"/>
      <c r="D201" s="13"/>
    </row>
    <row r="202" spans="1:4" ht="13" x14ac:dyDescent="0.15">
      <c r="A202" s="10"/>
      <c r="B202" s="13"/>
      <c r="C202" s="13"/>
      <c r="D202" s="13"/>
    </row>
    <row r="203" spans="1:4" ht="13" x14ac:dyDescent="0.15">
      <c r="A203" s="10"/>
      <c r="B203" s="13"/>
      <c r="C203" s="13"/>
      <c r="D203" s="13"/>
    </row>
    <row r="204" spans="1:4" ht="13" x14ac:dyDescent="0.15">
      <c r="A204" s="10"/>
      <c r="B204" s="13"/>
      <c r="C204" s="13"/>
      <c r="D204" s="13"/>
    </row>
    <row r="205" spans="1:4" ht="13" x14ac:dyDescent="0.15">
      <c r="A205" s="10"/>
      <c r="B205" s="13"/>
      <c r="C205" s="13"/>
      <c r="D205" s="13"/>
    </row>
    <row r="206" spans="1:4" ht="13" x14ac:dyDescent="0.15">
      <c r="A206" s="10"/>
      <c r="B206" s="13"/>
      <c r="C206" s="13"/>
      <c r="D206" s="13"/>
    </row>
    <row r="207" spans="1:4" ht="13" x14ac:dyDescent="0.15">
      <c r="A207" s="10"/>
      <c r="B207" s="13"/>
      <c r="C207" s="13"/>
      <c r="D207" s="13"/>
    </row>
    <row r="208" spans="1:4" ht="13" x14ac:dyDescent="0.15">
      <c r="A208" s="10"/>
      <c r="B208" s="13"/>
      <c r="C208" s="13"/>
      <c r="D208" s="13"/>
    </row>
    <row r="209" spans="1:4" ht="13" x14ac:dyDescent="0.15">
      <c r="A209" s="10"/>
      <c r="B209" s="13"/>
      <c r="C209" s="13"/>
      <c r="D209" s="13"/>
    </row>
    <row r="210" spans="1:4" ht="13" x14ac:dyDescent="0.15">
      <c r="A210" s="10"/>
      <c r="B210" s="13"/>
      <c r="C210" s="13"/>
      <c r="D210" s="13"/>
    </row>
    <row r="211" spans="1:4" ht="13" x14ac:dyDescent="0.15">
      <c r="A211" s="10"/>
      <c r="B211" s="13"/>
      <c r="C211" s="13"/>
      <c r="D211" s="13"/>
    </row>
    <row r="212" spans="1:4" ht="13" x14ac:dyDescent="0.15">
      <c r="A212" s="10"/>
      <c r="B212" s="13"/>
      <c r="C212" s="13"/>
      <c r="D212" s="13"/>
    </row>
    <row r="213" spans="1:4" ht="13" x14ac:dyDescent="0.15">
      <c r="A213" s="10"/>
      <c r="B213" s="13"/>
      <c r="C213" s="13"/>
      <c r="D213" s="13"/>
    </row>
    <row r="214" spans="1:4" ht="13" x14ac:dyDescent="0.15">
      <c r="A214" s="10"/>
      <c r="B214" s="13"/>
      <c r="C214" s="13"/>
      <c r="D214" s="13"/>
    </row>
    <row r="215" spans="1:4" ht="13" x14ac:dyDescent="0.15">
      <c r="A215" s="10"/>
      <c r="B215" s="13"/>
      <c r="C215" s="13"/>
      <c r="D215" s="13"/>
    </row>
    <row r="216" spans="1:4" ht="13" x14ac:dyDescent="0.15">
      <c r="A216" s="10"/>
      <c r="B216" s="13"/>
      <c r="C216" s="13"/>
      <c r="D216" s="13"/>
    </row>
    <row r="217" spans="1:4" ht="13" x14ac:dyDescent="0.15">
      <c r="A217" s="10"/>
      <c r="B217" s="13"/>
      <c r="C217" s="13"/>
      <c r="D217" s="13"/>
    </row>
    <row r="218" spans="1:4" ht="13" x14ac:dyDescent="0.15">
      <c r="A218" s="10"/>
      <c r="B218" s="13"/>
      <c r="C218" s="13"/>
      <c r="D218" s="13"/>
    </row>
    <row r="219" spans="1:4" ht="13" x14ac:dyDescent="0.15">
      <c r="A219" s="10"/>
      <c r="B219" s="13"/>
      <c r="C219" s="13"/>
      <c r="D219" s="13"/>
    </row>
    <row r="220" spans="1:4" ht="13" x14ac:dyDescent="0.15">
      <c r="A220" s="10"/>
      <c r="B220" s="13"/>
      <c r="C220" s="13"/>
      <c r="D220" s="13"/>
    </row>
    <row r="221" spans="1:4" ht="13" x14ac:dyDescent="0.15">
      <c r="A221" s="10"/>
      <c r="B221" s="13"/>
      <c r="C221" s="13"/>
      <c r="D221" s="13"/>
    </row>
    <row r="222" spans="1:4" ht="13" x14ac:dyDescent="0.15">
      <c r="A222" s="10"/>
      <c r="B222" s="13"/>
      <c r="C222" s="13"/>
      <c r="D222" s="13"/>
    </row>
    <row r="223" spans="1:4" ht="13" x14ac:dyDescent="0.15">
      <c r="A223" s="10"/>
      <c r="B223" s="13"/>
      <c r="C223" s="13"/>
      <c r="D223" s="13"/>
    </row>
    <row r="224" spans="1:4" ht="13" x14ac:dyDescent="0.15">
      <c r="A224" s="10"/>
      <c r="B224" s="13"/>
      <c r="C224" s="13"/>
      <c r="D224" s="13"/>
    </row>
    <row r="225" spans="1:4" ht="13" x14ac:dyDescent="0.15">
      <c r="A225" s="10"/>
      <c r="B225" s="13"/>
      <c r="C225" s="13"/>
      <c r="D225" s="13"/>
    </row>
    <row r="226" spans="1:4" ht="13" x14ac:dyDescent="0.15">
      <c r="A226" s="10"/>
      <c r="B226" s="13"/>
      <c r="C226" s="13"/>
      <c r="D226" s="13"/>
    </row>
    <row r="227" spans="1:4" ht="13" x14ac:dyDescent="0.15">
      <c r="A227" s="10"/>
      <c r="B227" s="13"/>
      <c r="C227" s="13"/>
      <c r="D227" s="13"/>
    </row>
    <row r="228" spans="1:4" ht="13" x14ac:dyDescent="0.15">
      <c r="A228" s="10"/>
      <c r="B228" s="13"/>
      <c r="C228" s="13"/>
      <c r="D228" s="13"/>
    </row>
    <row r="229" spans="1:4" ht="13" x14ac:dyDescent="0.15">
      <c r="A229" s="10"/>
      <c r="B229" s="13"/>
      <c r="C229" s="13"/>
      <c r="D229" s="13"/>
    </row>
    <row r="230" spans="1:4" ht="13" x14ac:dyDescent="0.15">
      <c r="A230" s="10"/>
      <c r="B230" s="13"/>
      <c r="C230" s="13"/>
      <c r="D230" s="13"/>
    </row>
    <row r="231" spans="1:4" ht="13" x14ac:dyDescent="0.15">
      <c r="A231" s="10"/>
      <c r="B231" s="13"/>
      <c r="C231" s="13"/>
      <c r="D231" s="13"/>
    </row>
    <row r="232" spans="1:4" ht="13" x14ac:dyDescent="0.15">
      <c r="A232" s="10"/>
      <c r="B232" s="13"/>
      <c r="C232" s="13"/>
      <c r="D232" s="13"/>
    </row>
    <row r="233" spans="1:4" ht="13" x14ac:dyDescent="0.15">
      <c r="A233" s="10"/>
      <c r="B233" s="13"/>
      <c r="C233" s="13"/>
      <c r="D233" s="13"/>
    </row>
    <row r="234" spans="1:4" ht="13" x14ac:dyDescent="0.15">
      <c r="A234" s="10"/>
      <c r="B234" s="13"/>
      <c r="C234" s="13"/>
      <c r="D234" s="13"/>
    </row>
    <row r="235" spans="1:4" ht="13" x14ac:dyDescent="0.15">
      <c r="A235" s="10"/>
      <c r="B235" s="13"/>
      <c r="C235" s="13"/>
      <c r="D235" s="13"/>
    </row>
    <row r="236" spans="1:4" ht="13" x14ac:dyDescent="0.15">
      <c r="A236" s="10"/>
      <c r="B236" s="13"/>
      <c r="C236" s="13"/>
      <c r="D236" s="13"/>
    </row>
    <row r="237" spans="1:4" ht="13" x14ac:dyDescent="0.15">
      <c r="A237" s="10"/>
      <c r="B237" s="13"/>
      <c r="C237" s="13"/>
      <c r="D237" s="13"/>
    </row>
    <row r="238" spans="1:4" ht="13" x14ac:dyDescent="0.15">
      <c r="A238" s="10"/>
      <c r="B238" s="13"/>
      <c r="C238" s="13"/>
      <c r="D238" s="13"/>
    </row>
    <row r="239" spans="1:4" ht="13" x14ac:dyDescent="0.15">
      <c r="A239" s="10"/>
      <c r="B239" s="13"/>
      <c r="C239" s="13"/>
      <c r="D239" s="13"/>
    </row>
    <row r="240" spans="1:4" ht="13" x14ac:dyDescent="0.15">
      <c r="A240" s="10"/>
      <c r="B240" s="13"/>
      <c r="C240" s="13"/>
      <c r="D240" s="13"/>
    </row>
    <row r="241" spans="1:4" ht="13" x14ac:dyDescent="0.15">
      <c r="A241" s="10"/>
      <c r="B241" s="13"/>
      <c r="C241" s="13"/>
      <c r="D241" s="13"/>
    </row>
    <row r="242" spans="1:4" ht="13" x14ac:dyDescent="0.15">
      <c r="A242" s="10"/>
      <c r="B242" s="13"/>
      <c r="C242" s="13"/>
      <c r="D242" s="13"/>
    </row>
    <row r="243" spans="1:4" ht="13" x14ac:dyDescent="0.15">
      <c r="A243" s="10"/>
      <c r="B243" s="13"/>
      <c r="C243" s="13"/>
      <c r="D243" s="13"/>
    </row>
    <row r="244" spans="1:4" ht="13" x14ac:dyDescent="0.15">
      <c r="A244" s="10"/>
      <c r="B244" s="13"/>
      <c r="C244" s="13"/>
      <c r="D244" s="13"/>
    </row>
    <row r="245" spans="1:4" ht="13" x14ac:dyDescent="0.15">
      <c r="A245" s="10"/>
      <c r="B245" s="13"/>
      <c r="C245" s="13"/>
      <c r="D245" s="13"/>
    </row>
    <row r="246" spans="1:4" ht="13" x14ac:dyDescent="0.15">
      <c r="A246" s="10"/>
      <c r="B246" s="13"/>
      <c r="C246" s="13"/>
      <c r="D246" s="13"/>
    </row>
    <row r="247" spans="1:4" ht="13" x14ac:dyDescent="0.15">
      <c r="A247" s="10"/>
      <c r="B247" s="13"/>
      <c r="C247" s="13"/>
      <c r="D247" s="13"/>
    </row>
    <row r="248" spans="1:4" ht="13" x14ac:dyDescent="0.15">
      <c r="A248" s="10"/>
      <c r="B248" s="13"/>
      <c r="C248" s="13"/>
      <c r="D248" s="13"/>
    </row>
    <row r="249" spans="1:4" ht="13" x14ac:dyDescent="0.15">
      <c r="A249" s="10"/>
      <c r="B249" s="13"/>
      <c r="C249" s="13"/>
      <c r="D249" s="13"/>
    </row>
    <row r="250" spans="1:4" ht="13" x14ac:dyDescent="0.15">
      <c r="A250" s="10"/>
      <c r="B250" s="13"/>
      <c r="C250" s="13"/>
      <c r="D250" s="13"/>
    </row>
    <row r="251" spans="1:4" ht="13" x14ac:dyDescent="0.15">
      <c r="A251" s="10"/>
      <c r="B251" s="13"/>
      <c r="C251" s="13"/>
      <c r="D251" s="13"/>
    </row>
    <row r="252" spans="1:4" ht="13" x14ac:dyDescent="0.15">
      <c r="A252" s="10"/>
      <c r="B252" s="13"/>
      <c r="C252" s="13"/>
      <c r="D252" s="13"/>
    </row>
    <row r="253" spans="1:4" ht="13" x14ac:dyDescent="0.15">
      <c r="A253" s="10"/>
      <c r="B253" s="13"/>
      <c r="C253" s="13"/>
      <c r="D253" s="13"/>
    </row>
    <row r="254" spans="1:4" ht="13" x14ac:dyDescent="0.15">
      <c r="A254" s="10"/>
      <c r="B254" s="13"/>
      <c r="C254" s="13"/>
      <c r="D254" s="13"/>
    </row>
    <row r="255" spans="1:4" ht="13" x14ac:dyDescent="0.15">
      <c r="A255" s="10"/>
      <c r="B255" s="13"/>
      <c r="C255" s="13"/>
      <c r="D255" s="13"/>
    </row>
    <row r="256" spans="1:4" ht="13" x14ac:dyDescent="0.15">
      <c r="A256" s="10"/>
      <c r="B256" s="13"/>
      <c r="C256" s="13"/>
      <c r="D256" s="13"/>
    </row>
    <row r="257" spans="1:4" ht="13" x14ac:dyDescent="0.15">
      <c r="A257" s="10"/>
      <c r="B257" s="13"/>
      <c r="C257" s="13"/>
      <c r="D257" s="13"/>
    </row>
    <row r="258" spans="1:4" ht="13" x14ac:dyDescent="0.15">
      <c r="A258" s="10"/>
      <c r="B258" s="13"/>
      <c r="C258" s="13"/>
      <c r="D258" s="13"/>
    </row>
    <row r="259" spans="1:4" ht="13" x14ac:dyDescent="0.15">
      <c r="A259" s="10"/>
      <c r="B259" s="13"/>
      <c r="C259" s="13"/>
      <c r="D259" s="13"/>
    </row>
    <row r="260" spans="1:4" ht="13" x14ac:dyDescent="0.15">
      <c r="A260" s="10"/>
      <c r="B260" s="13"/>
      <c r="C260" s="13"/>
      <c r="D260" s="13"/>
    </row>
    <row r="261" spans="1:4" ht="13" x14ac:dyDescent="0.15">
      <c r="A261" s="10"/>
      <c r="B261" s="13"/>
      <c r="C261" s="13"/>
      <c r="D261" s="13"/>
    </row>
    <row r="262" spans="1:4" ht="13" x14ac:dyDescent="0.15">
      <c r="A262" s="10"/>
      <c r="B262" s="13"/>
      <c r="C262" s="13"/>
      <c r="D262" s="13"/>
    </row>
    <row r="263" spans="1:4" ht="13" x14ac:dyDescent="0.15">
      <c r="A263" s="10"/>
      <c r="B263" s="13"/>
      <c r="C263" s="13"/>
      <c r="D263" s="13"/>
    </row>
    <row r="264" spans="1:4" ht="13" x14ac:dyDescent="0.15">
      <c r="A264" s="10"/>
      <c r="B264" s="13"/>
      <c r="C264" s="13"/>
      <c r="D264" s="13"/>
    </row>
    <row r="265" spans="1:4" ht="13" x14ac:dyDescent="0.15">
      <c r="A265" s="10"/>
      <c r="B265" s="13"/>
      <c r="C265" s="13"/>
      <c r="D265" s="13"/>
    </row>
    <row r="266" spans="1:4" ht="13" x14ac:dyDescent="0.15">
      <c r="A266" s="10"/>
      <c r="B266" s="13"/>
      <c r="C266" s="13"/>
      <c r="D266" s="13"/>
    </row>
    <row r="267" spans="1:4" ht="13" x14ac:dyDescent="0.15">
      <c r="A267" s="10"/>
      <c r="B267" s="13"/>
      <c r="C267" s="13"/>
      <c r="D267" s="13"/>
    </row>
    <row r="268" spans="1:4" ht="13" x14ac:dyDescent="0.15">
      <c r="A268" s="10"/>
      <c r="B268" s="13"/>
      <c r="C268" s="13"/>
      <c r="D268" s="13"/>
    </row>
    <row r="269" spans="1:4" ht="13" x14ac:dyDescent="0.15">
      <c r="A269" s="10"/>
      <c r="B269" s="13"/>
      <c r="C269" s="13"/>
      <c r="D269" s="13"/>
    </row>
    <row r="270" spans="1:4" ht="13" x14ac:dyDescent="0.15">
      <c r="A270" s="10"/>
      <c r="B270" s="13"/>
      <c r="C270" s="13"/>
      <c r="D270" s="13"/>
    </row>
    <row r="271" spans="1:4" ht="13" x14ac:dyDescent="0.15">
      <c r="A271" s="10"/>
      <c r="B271" s="13"/>
      <c r="C271" s="13"/>
      <c r="D271" s="13"/>
    </row>
    <row r="272" spans="1:4" ht="13" x14ac:dyDescent="0.15">
      <c r="A272" s="10"/>
      <c r="B272" s="13"/>
      <c r="C272" s="13"/>
      <c r="D272" s="13"/>
    </row>
    <row r="273" spans="1:4" ht="13" x14ac:dyDescent="0.15">
      <c r="A273" s="10"/>
      <c r="B273" s="13"/>
      <c r="C273" s="13"/>
      <c r="D273" s="13"/>
    </row>
    <row r="274" spans="1:4" ht="13" x14ac:dyDescent="0.15">
      <c r="A274" s="10"/>
      <c r="B274" s="13"/>
      <c r="C274" s="13"/>
      <c r="D274" s="13"/>
    </row>
    <row r="275" spans="1:4" ht="13" x14ac:dyDescent="0.15">
      <c r="A275" s="10"/>
      <c r="B275" s="13"/>
      <c r="C275" s="13"/>
      <c r="D275" s="13"/>
    </row>
    <row r="276" spans="1:4" ht="13" x14ac:dyDescent="0.15">
      <c r="A276" s="10"/>
      <c r="B276" s="13"/>
      <c r="C276" s="13"/>
      <c r="D276" s="13"/>
    </row>
    <row r="277" spans="1:4" ht="13" x14ac:dyDescent="0.15">
      <c r="A277" s="10"/>
      <c r="B277" s="13"/>
      <c r="C277" s="13"/>
      <c r="D277" s="13"/>
    </row>
    <row r="278" spans="1:4" ht="13" x14ac:dyDescent="0.15">
      <c r="A278" s="10"/>
      <c r="B278" s="13"/>
      <c r="C278" s="13"/>
      <c r="D278" s="13"/>
    </row>
    <row r="279" spans="1:4" ht="13" x14ac:dyDescent="0.15">
      <c r="A279" s="10"/>
      <c r="B279" s="13"/>
      <c r="C279" s="13"/>
      <c r="D279" s="13"/>
    </row>
    <row r="280" spans="1:4" ht="13" x14ac:dyDescent="0.15">
      <c r="A280" s="10"/>
      <c r="B280" s="13"/>
      <c r="C280" s="13"/>
      <c r="D280" s="13"/>
    </row>
    <row r="281" spans="1:4" ht="13" x14ac:dyDescent="0.15">
      <c r="A281" s="10"/>
      <c r="B281" s="13"/>
      <c r="C281" s="13"/>
      <c r="D281" s="13"/>
    </row>
    <row r="282" spans="1:4" ht="13" x14ac:dyDescent="0.15">
      <c r="A282" s="10"/>
      <c r="B282" s="13"/>
      <c r="C282" s="13"/>
      <c r="D282" s="13"/>
    </row>
    <row r="283" spans="1:4" ht="13" x14ac:dyDescent="0.15">
      <c r="A283" s="10"/>
      <c r="B283" s="13"/>
      <c r="C283" s="13"/>
      <c r="D283" s="13"/>
    </row>
    <row r="284" spans="1:4" ht="13" x14ac:dyDescent="0.15">
      <c r="A284" s="10"/>
      <c r="B284" s="13"/>
      <c r="C284" s="13"/>
      <c r="D284" s="13"/>
    </row>
    <row r="285" spans="1:4" ht="13" x14ac:dyDescent="0.15">
      <c r="A285" s="10"/>
      <c r="B285" s="13"/>
      <c r="C285" s="13"/>
      <c r="D285" s="13"/>
    </row>
    <row r="286" spans="1:4" ht="13" x14ac:dyDescent="0.15">
      <c r="A286" s="10"/>
      <c r="B286" s="13"/>
      <c r="C286" s="13"/>
      <c r="D286" s="13"/>
    </row>
    <row r="287" spans="1:4" ht="13" x14ac:dyDescent="0.15">
      <c r="A287" s="10"/>
      <c r="B287" s="13"/>
      <c r="C287" s="13"/>
      <c r="D287" s="13"/>
    </row>
    <row r="288" spans="1:4" ht="13" x14ac:dyDescent="0.15">
      <c r="A288" s="10"/>
      <c r="B288" s="13"/>
      <c r="C288" s="13"/>
      <c r="D288" s="13"/>
    </row>
    <row r="289" spans="1:4" ht="13" x14ac:dyDescent="0.15">
      <c r="A289" s="10"/>
      <c r="B289" s="13"/>
      <c r="C289" s="13"/>
      <c r="D289" s="13"/>
    </row>
    <row r="290" spans="1:4" ht="13" x14ac:dyDescent="0.15">
      <c r="A290" s="10"/>
      <c r="B290" s="13"/>
      <c r="C290" s="13"/>
      <c r="D290" s="13"/>
    </row>
    <row r="291" spans="1:4" ht="13" x14ac:dyDescent="0.15">
      <c r="A291" s="10"/>
      <c r="B291" s="13"/>
      <c r="C291" s="13"/>
      <c r="D291" s="13"/>
    </row>
    <row r="292" spans="1:4" ht="13" x14ac:dyDescent="0.15">
      <c r="A292" s="10"/>
      <c r="B292" s="13"/>
      <c r="C292" s="13"/>
      <c r="D292" s="13"/>
    </row>
    <row r="293" spans="1:4" ht="13" x14ac:dyDescent="0.15">
      <c r="A293" s="10"/>
      <c r="B293" s="13"/>
      <c r="C293" s="13"/>
      <c r="D293" s="13"/>
    </row>
    <row r="294" spans="1:4" ht="13" x14ac:dyDescent="0.15">
      <c r="A294" s="10"/>
      <c r="B294" s="13"/>
      <c r="C294" s="13"/>
      <c r="D294" s="13"/>
    </row>
    <row r="295" spans="1:4" ht="13" x14ac:dyDescent="0.15">
      <c r="A295" s="10"/>
      <c r="B295" s="13"/>
      <c r="C295" s="13"/>
      <c r="D295" s="13"/>
    </row>
    <row r="296" spans="1:4" ht="13" x14ac:dyDescent="0.15">
      <c r="A296" s="10"/>
      <c r="B296" s="13"/>
      <c r="C296" s="13"/>
      <c r="D296" s="13"/>
    </row>
    <row r="297" spans="1:4" ht="13" x14ac:dyDescent="0.15">
      <c r="A297" s="10"/>
      <c r="B297" s="13"/>
      <c r="C297" s="13"/>
      <c r="D297" s="13"/>
    </row>
    <row r="298" spans="1:4" ht="13" x14ac:dyDescent="0.15">
      <c r="A298" s="10"/>
      <c r="B298" s="13"/>
      <c r="C298" s="13"/>
      <c r="D298" s="13"/>
    </row>
    <row r="299" spans="1:4" ht="13" x14ac:dyDescent="0.15">
      <c r="A299" s="10"/>
      <c r="B299" s="13"/>
      <c r="C299" s="13"/>
      <c r="D299" s="13"/>
    </row>
    <row r="300" spans="1:4" ht="13" x14ac:dyDescent="0.15">
      <c r="A300" s="10"/>
      <c r="B300" s="13"/>
      <c r="C300" s="13"/>
      <c r="D300" s="13"/>
    </row>
    <row r="301" spans="1:4" ht="13" x14ac:dyDescent="0.15">
      <c r="A301" s="10"/>
      <c r="B301" s="13"/>
      <c r="C301" s="13"/>
      <c r="D301" s="13"/>
    </row>
    <row r="302" spans="1:4" ht="13" x14ac:dyDescent="0.15">
      <c r="A302" s="10"/>
      <c r="B302" s="13"/>
      <c r="C302" s="13"/>
      <c r="D302" s="13"/>
    </row>
    <row r="303" spans="1:4" ht="13" x14ac:dyDescent="0.15">
      <c r="A303" s="10"/>
      <c r="B303" s="13"/>
      <c r="C303" s="13"/>
      <c r="D303" s="13"/>
    </row>
    <row r="304" spans="1:4" ht="13" x14ac:dyDescent="0.15">
      <c r="A304" s="10"/>
      <c r="B304" s="13"/>
      <c r="C304" s="13"/>
      <c r="D304" s="13"/>
    </row>
    <row r="305" spans="1:4" ht="13" x14ac:dyDescent="0.15">
      <c r="A305" s="10"/>
      <c r="B305" s="13"/>
      <c r="C305" s="13"/>
      <c r="D305" s="13"/>
    </row>
    <row r="306" spans="1:4" ht="13" x14ac:dyDescent="0.15">
      <c r="A306" s="10"/>
      <c r="B306" s="13"/>
      <c r="C306" s="13"/>
      <c r="D306" s="13"/>
    </row>
    <row r="307" spans="1:4" ht="13" x14ac:dyDescent="0.15">
      <c r="A307" s="10"/>
      <c r="B307" s="13"/>
      <c r="C307" s="13"/>
      <c r="D307" s="13"/>
    </row>
    <row r="308" spans="1:4" ht="13" x14ac:dyDescent="0.15">
      <c r="A308" s="10"/>
      <c r="B308" s="13"/>
      <c r="C308" s="13"/>
      <c r="D308" s="13"/>
    </row>
    <row r="309" spans="1:4" ht="13" x14ac:dyDescent="0.15">
      <c r="A309" s="10"/>
      <c r="B309" s="13"/>
      <c r="C309" s="13"/>
      <c r="D309" s="13"/>
    </row>
    <row r="310" spans="1:4" ht="13" x14ac:dyDescent="0.15">
      <c r="A310" s="10"/>
      <c r="B310" s="13"/>
      <c r="C310" s="13"/>
      <c r="D310" s="13"/>
    </row>
    <row r="311" spans="1:4" ht="13" x14ac:dyDescent="0.15">
      <c r="A311" s="10"/>
      <c r="B311" s="13"/>
      <c r="C311" s="13"/>
      <c r="D311" s="13"/>
    </row>
    <row r="312" spans="1:4" ht="13" x14ac:dyDescent="0.15">
      <c r="A312" s="10"/>
      <c r="B312" s="13"/>
      <c r="C312" s="13"/>
      <c r="D312" s="13"/>
    </row>
    <row r="313" spans="1:4" ht="13" x14ac:dyDescent="0.15">
      <c r="A313" s="10"/>
      <c r="B313" s="13"/>
      <c r="C313" s="13"/>
      <c r="D313" s="13"/>
    </row>
    <row r="314" spans="1:4" ht="13" x14ac:dyDescent="0.15">
      <c r="A314" s="10"/>
      <c r="B314" s="13"/>
      <c r="C314" s="13"/>
      <c r="D314" s="13"/>
    </row>
    <row r="315" spans="1:4" ht="13" x14ac:dyDescent="0.15">
      <c r="A315" s="10"/>
      <c r="B315" s="13"/>
      <c r="C315" s="13"/>
      <c r="D315" s="13"/>
    </row>
    <row r="316" spans="1:4" ht="13" x14ac:dyDescent="0.15">
      <c r="A316" s="10"/>
      <c r="B316" s="13"/>
      <c r="C316" s="13"/>
      <c r="D316" s="13"/>
    </row>
    <row r="317" spans="1:4" ht="13" x14ac:dyDescent="0.15">
      <c r="A317" s="10"/>
      <c r="B317" s="13"/>
      <c r="C317" s="13"/>
      <c r="D317" s="13"/>
    </row>
    <row r="318" spans="1:4" ht="13" x14ac:dyDescent="0.15">
      <c r="A318" s="10"/>
      <c r="B318" s="13"/>
      <c r="C318" s="13"/>
      <c r="D318" s="13"/>
    </row>
    <row r="319" spans="1:4" ht="13" x14ac:dyDescent="0.15">
      <c r="A319" s="10"/>
      <c r="B319" s="13"/>
      <c r="C319" s="13"/>
      <c r="D319" s="13"/>
    </row>
    <row r="320" spans="1:4" ht="13" x14ac:dyDescent="0.15">
      <c r="A320" s="10"/>
      <c r="B320" s="13"/>
      <c r="C320" s="13"/>
      <c r="D320" s="13"/>
    </row>
    <row r="321" spans="1:4" ht="13" x14ac:dyDescent="0.15">
      <c r="A321" s="10"/>
      <c r="B321" s="13"/>
      <c r="C321" s="13"/>
      <c r="D321" s="13"/>
    </row>
    <row r="322" spans="1:4" ht="13" x14ac:dyDescent="0.15">
      <c r="A322" s="10"/>
      <c r="B322" s="13"/>
      <c r="C322" s="13"/>
      <c r="D322" s="13"/>
    </row>
    <row r="323" spans="1:4" ht="13" x14ac:dyDescent="0.15">
      <c r="A323" s="10"/>
      <c r="B323" s="13"/>
      <c r="C323" s="13"/>
      <c r="D323" s="13"/>
    </row>
    <row r="324" spans="1:4" ht="13" x14ac:dyDescent="0.15">
      <c r="A324" s="10"/>
      <c r="B324" s="13"/>
      <c r="C324" s="13"/>
      <c r="D324" s="13"/>
    </row>
    <row r="325" spans="1:4" ht="13" x14ac:dyDescent="0.15">
      <c r="A325" s="10"/>
      <c r="B325" s="13"/>
      <c r="C325" s="13"/>
      <c r="D325" s="13"/>
    </row>
    <row r="326" spans="1:4" ht="13" x14ac:dyDescent="0.15">
      <c r="A326" s="10"/>
      <c r="B326" s="13"/>
      <c r="C326" s="13"/>
      <c r="D326" s="13"/>
    </row>
    <row r="327" spans="1:4" ht="13" x14ac:dyDescent="0.15">
      <c r="A327" s="10"/>
      <c r="B327" s="13"/>
      <c r="C327" s="13"/>
      <c r="D327" s="13"/>
    </row>
    <row r="328" spans="1:4" ht="13" x14ac:dyDescent="0.15">
      <c r="A328" s="10"/>
      <c r="B328" s="13"/>
      <c r="C328" s="13"/>
      <c r="D328" s="13"/>
    </row>
    <row r="329" spans="1:4" ht="13" x14ac:dyDescent="0.15">
      <c r="A329" s="10"/>
      <c r="B329" s="13"/>
      <c r="C329" s="13"/>
      <c r="D329" s="13"/>
    </row>
    <row r="330" spans="1:4" ht="13" x14ac:dyDescent="0.15">
      <c r="A330" s="10"/>
      <c r="B330" s="13"/>
      <c r="C330" s="13"/>
      <c r="D330" s="13"/>
    </row>
    <row r="331" spans="1:4" ht="13" x14ac:dyDescent="0.15">
      <c r="A331" s="10"/>
      <c r="B331" s="13"/>
      <c r="C331" s="13"/>
      <c r="D331" s="13"/>
    </row>
    <row r="332" spans="1:4" ht="13" x14ac:dyDescent="0.15">
      <c r="A332" s="10"/>
      <c r="B332" s="13"/>
      <c r="C332" s="13"/>
      <c r="D332" s="13"/>
    </row>
    <row r="333" spans="1:4" ht="13" x14ac:dyDescent="0.15">
      <c r="A333" s="10"/>
      <c r="B333" s="13"/>
      <c r="C333" s="13"/>
      <c r="D333" s="13"/>
    </row>
    <row r="334" spans="1:4" ht="13" x14ac:dyDescent="0.15">
      <c r="A334" s="10"/>
      <c r="B334" s="13"/>
      <c r="C334" s="13"/>
      <c r="D334" s="13"/>
    </row>
    <row r="335" spans="1:4" ht="13" x14ac:dyDescent="0.15">
      <c r="A335" s="10"/>
      <c r="B335" s="13"/>
      <c r="C335" s="13"/>
      <c r="D335" s="13"/>
    </row>
    <row r="336" spans="1:4" ht="13" x14ac:dyDescent="0.15">
      <c r="A336" s="10"/>
      <c r="B336" s="13"/>
      <c r="C336" s="13"/>
      <c r="D336" s="13"/>
    </row>
    <row r="337" spans="1:4" ht="13" x14ac:dyDescent="0.15">
      <c r="A337" s="10"/>
      <c r="B337" s="13"/>
      <c r="C337" s="13"/>
      <c r="D337" s="13"/>
    </row>
    <row r="338" spans="1:4" ht="13" x14ac:dyDescent="0.15">
      <c r="A338" s="10"/>
      <c r="B338" s="13"/>
      <c r="C338" s="13"/>
      <c r="D338" s="13"/>
    </row>
    <row r="339" spans="1:4" ht="13" x14ac:dyDescent="0.15">
      <c r="A339" s="10"/>
      <c r="B339" s="13"/>
      <c r="C339" s="13"/>
      <c r="D339" s="13"/>
    </row>
    <row r="340" spans="1:4" ht="13" x14ac:dyDescent="0.15">
      <c r="A340" s="10"/>
      <c r="B340" s="13"/>
      <c r="C340" s="13"/>
      <c r="D340" s="13"/>
    </row>
    <row r="341" spans="1:4" ht="13" x14ac:dyDescent="0.15">
      <c r="A341" s="10"/>
      <c r="B341" s="13"/>
      <c r="C341" s="13"/>
      <c r="D341" s="13"/>
    </row>
    <row r="342" spans="1:4" ht="13" x14ac:dyDescent="0.15">
      <c r="A342" s="10"/>
      <c r="B342" s="13"/>
      <c r="C342" s="13"/>
      <c r="D342" s="13"/>
    </row>
    <row r="343" spans="1:4" ht="13" x14ac:dyDescent="0.15">
      <c r="A343" s="10"/>
      <c r="B343" s="13"/>
      <c r="C343" s="13"/>
      <c r="D343" s="13"/>
    </row>
    <row r="344" spans="1:4" ht="13" x14ac:dyDescent="0.15">
      <c r="A344" s="10"/>
      <c r="B344" s="13"/>
      <c r="C344" s="13"/>
      <c r="D344" s="13"/>
    </row>
    <row r="345" spans="1:4" ht="13" x14ac:dyDescent="0.15">
      <c r="A345" s="10"/>
      <c r="B345" s="13"/>
      <c r="C345" s="13"/>
      <c r="D345" s="13"/>
    </row>
    <row r="346" spans="1:4" ht="13" x14ac:dyDescent="0.15">
      <c r="A346" s="10"/>
      <c r="B346" s="13"/>
      <c r="C346" s="13"/>
      <c r="D346" s="13"/>
    </row>
    <row r="347" spans="1:4" ht="13" x14ac:dyDescent="0.15">
      <c r="A347" s="10"/>
      <c r="B347" s="13"/>
      <c r="C347" s="13"/>
      <c r="D347" s="13"/>
    </row>
    <row r="348" spans="1:4" ht="13" x14ac:dyDescent="0.15">
      <c r="A348" s="10"/>
      <c r="B348" s="13"/>
      <c r="C348" s="13"/>
      <c r="D348" s="13"/>
    </row>
    <row r="349" spans="1:4" ht="13" x14ac:dyDescent="0.15">
      <c r="A349" s="10"/>
      <c r="B349" s="13"/>
      <c r="C349" s="13"/>
      <c r="D349" s="13"/>
    </row>
    <row r="350" spans="1:4" ht="13" x14ac:dyDescent="0.15">
      <c r="A350" s="10"/>
      <c r="B350" s="13"/>
      <c r="C350" s="13"/>
      <c r="D350" s="13"/>
    </row>
    <row r="351" spans="1:4" ht="13" x14ac:dyDescent="0.15">
      <c r="A351" s="10"/>
      <c r="B351" s="13"/>
      <c r="C351" s="13"/>
      <c r="D351" s="13"/>
    </row>
    <row r="352" spans="1:4" ht="13" x14ac:dyDescent="0.15">
      <c r="A352" s="10"/>
      <c r="B352" s="13"/>
      <c r="C352" s="13"/>
      <c r="D352" s="13"/>
    </row>
    <row r="353" spans="1:4" ht="13" x14ac:dyDescent="0.15">
      <c r="A353" s="10"/>
      <c r="B353" s="13"/>
      <c r="C353" s="13"/>
      <c r="D353" s="13"/>
    </row>
    <row r="354" spans="1:4" ht="13" x14ac:dyDescent="0.15">
      <c r="A354" s="10"/>
      <c r="B354" s="13"/>
      <c r="C354" s="13"/>
      <c r="D354" s="13"/>
    </row>
    <row r="355" spans="1:4" ht="13" x14ac:dyDescent="0.15">
      <c r="A355" s="10"/>
      <c r="B355" s="13"/>
      <c r="C355" s="13"/>
      <c r="D355" s="13"/>
    </row>
    <row r="356" spans="1:4" ht="13" x14ac:dyDescent="0.15">
      <c r="A356" s="10"/>
      <c r="B356" s="13"/>
      <c r="C356" s="13"/>
      <c r="D356" s="13"/>
    </row>
    <row r="357" spans="1:4" ht="13" x14ac:dyDescent="0.15">
      <c r="A357" s="10"/>
      <c r="B357" s="13"/>
      <c r="C357" s="13"/>
      <c r="D357" s="13"/>
    </row>
    <row r="358" spans="1:4" ht="13" x14ac:dyDescent="0.15">
      <c r="A358" s="10"/>
      <c r="B358" s="13"/>
      <c r="C358" s="13"/>
      <c r="D358" s="13"/>
    </row>
    <row r="359" spans="1:4" ht="13" x14ac:dyDescent="0.15">
      <c r="A359" s="10"/>
      <c r="B359" s="13"/>
      <c r="C359" s="13"/>
      <c r="D359" s="13"/>
    </row>
    <row r="360" spans="1:4" ht="13" x14ac:dyDescent="0.15">
      <c r="A360" s="10"/>
      <c r="B360" s="13"/>
      <c r="C360" s="13"/>
      <c r="D360" s="13"/>
    </row>
    <row r="361" spans="1:4" ht="13" x14ac:dyDescent="0.15">
      <c r="A361" s="10"/>
      <c r="B361" s="13"/>
      <c r="C361" s="13"/>
      <c r="D361" s="13"/>
    </row>
    <row r="362" spans="1:4" ht="13" x14ac:dyDescent="0.15">
      <c r="A362" s="10"/>
      <c r="B362" s="13"/>
      <c r="C362" s="13"/>
      <c r="D362" s="13"/>
    </row>
    <row r="363" spans="1:4" ht="13" x14ac:dyDescent="0.15">
      <c r="A363" s="10"/>
      <c r="B363" s="13"/>
      <c r="C363" s="13"/>
      <c r="D363" s="13"/>
    </row>
    <row r="364" spans="1:4" ht="13" x14ac:dyDescent="0.15">
      <c r="A364" s="10"/>
      <c r="B364" s="13"/>
      <c r="C364" s="13"/>
      <c r="D364" s="13"/>
    </row>
    <row r="365" spans="1:4" ht="13" x14ac:dyDescent="0.15">
      <c r="A365" s="10"/>
      <c r="B365" s="13"/>
      <c r="C365" s="13"/>
      <c r="D365" s="13"/>
    </row>
    <row r="366" spans="1:4" ht="13" x14ac:dyDescent="0.15">
      <c r="A366" s="10"/>
      <c r="B366" s="13"/>
      <c r="C366" s="13"/>
      <c r="D366" s="13"/>
    </row>
    <row r="367" spans="1:4" ht="13" x14ac:dyDescent="0.15">
      <c r="A367" s="10"/>
      <c r="B367" s="13"/>
      <c r="C367" s="13"/>
      <c r="D367" s="13"/>
    </row>
    <row r="368" spans="1:4" ht="13" x14ac:dyDescent="0.15">
      <c r="A368" s="10"/>
      <c r="B368" s="13"/>
      <c r="C368" s="13"/>
      <c r="D368" s="13"/>
    </row>
    <row r="369" spans="1:4" ht="13" x14ac:dyDescent="0.15">
      <c r="A369" s="10"/>
      <c r="B369" s="13"/>
      <c r="C369" s="13"/>
      <c r="D369" s="13"/>
    </row>
    <row r="370" spans="1:4" ht="13" x14ac:dyDescent="0.15">
      <c r="A370" s="10"/>
      <c r="B370" s="13"/>
      <c r="C370" s="13"/>
      <c r="D370" s="13"/>
    </row>
    <row r="371" spans="1:4" ht="13" x14ac:dyDescent="0.15">
      <c r="A371" s="10"/>
      <c r="B371" s="13"/>
      <c r="C371" s="13"/>
      <c r="D371" s="13"/>
    </row>
    <row r="372" spans="1:4" ht="13" x14ac:dyDescent="0.15">
      <c r="A372" s="10"/>
      <c r="B372" s="13"/>
      <c r="C372" s="13"/>
      <c r="D372" s="13"/>
    </row>
    <row r="373" spans="1:4" ht="13" x14ac:dyDescent="0.15">
      <c r="A373" s="10"/>
      <c r="B373" s="13"/>
      <c r="C373" s="13"/>
      <c r="D373" s="13"/>
    </row>
    <row r="374" spans="1:4" ht="13" x14ac:dyDescent="0.15">
      <c r="A374" s="10"/>
      <c r="B374" s="13"/>
      <c r="C374" s="13"/>
      <c r="D374" s="13"/>
    </row>
    <row r="375" spans="1:4" ht="13" x14ac:dyDescent="0.15">
      <c r="A375" s="10"/>
      <c r="B375" s="13"/>
      <c r="C375" s="13"/>
      <c r="D375" s="13"/>
    </row>
    <row r="376" spans="1:4" ht="13" x14ac:dyDescent="0.15">
      <c r="A376" s="10"/>
      <c r="B376" s="13"/>
      <c r="C376" s="13"/>
      <c r="D376" s="13"/>
    </row>
    <row r="377" spans="1:4" ht="13" x14ac:dyDescent="0.15">
      <c r="A377" s="10"/>
      <c r="B377" s="13"/>
      <c r="C377" s="13"/>
      <c r="D377" s="13"/>
    </row>
    <row r="378" spans="1:4" ht="13" x14ac:dyDescent="0.15">
      <c r="A378" s="10"/>
      <c r="B378" s="13"/>
      <c r="C378" s="13"/>
      <c r="D378" s="13"/>
    </row>
    <row r="379" spans="1:4" ht="13" x14ac:dyDescent="0.15">
      <c r="A379" s="10"/>
      <c r="B379" s="13"/>
      <c r="C379" s="13"/>
      <c r="D379" s="13"/>
    </row>
    <row r="380" spans="1:4" ht="13" x14ac:dyDescent="0.15">
      <c r="A380" s="10"/>
      <c r="B380" s="13"/>
      <c r="C380" s="13"/>
      <c r="D380" s="13"/>
    </row>
    <row r="381" spans="1:4" ht="13" x14ac:dyDescent="0.15">
      <c r="A381" s="10"/>
      <c r="B381" s="13"/>
      <c r="C381" s="13"/>
      <c r="D381" s="13"/>
    </row>
    <row r="382" spans="1:4" ht="13" x14ac:dyDescent="0.15">
      <c r="A382" s="10"/>
      <c r="B382" s="13"/>
      <c r="C382" s="13"/>
      <c r="D382" s="13"/>
    </row>
    <row r="383" spans="1:4" ht="13" x14ac:dyDescent="0.15">
      <c r="A383" s="10"/>
      <c r="B383" s="13"/>
      <c r="C383" s="13"/>
      <c r="D383" s="13"/>
    </row>
    <row r="384" spans="1:4" ht="13" x14ac:dyDescent="0.15">
      <c r="A384" s="10"/>
      <c r="B384" s="13"/>
      <c r="C384" s="13"/>
      <c r="D384" s="13"/>
    </row>
    <row r="385" spans="1:4" ht="13" x14ac:dyDescent="0.15">
      <c r="A385" s="10"/>
      <c r="B385" s="13"/>
      <c r="C385" s="13"/>
      <c r="D385" s="13"/>
    </row>
    <row r="386" spans="1:4" ht="13" x14ac:dyDescent="0.15">
      <c r="A386" s="10"/>
      <c r="B386" s="13"/>
      <c r="C386" s="13"/>
      <c r="D386" s="13"/>
    </row>
    <row r="387" spans="1:4" ht="13" x14ac:dyDescent="0.15">
      <c r="A387" s="10"/>
      <c r="B387" s="13"/>
      <c r="C387" s="13"/>
      <c r="D387" s="13"/>
    </row>
    <row r="388" spans="1:4" ht="13" x14ac:dyDescent="0.15">
      <c r="A388" s="10"/>
      <c r="B388" s="13"/>
      <c r="C388" s="13"/>
      <c r="D388" s="13"/>
    </row>
    <row r="389" spans="1:4" ht="13" x14ac:dyDescent="0.15">
      <c r="A389" s="10"/>
      <c r="B389" s="13"/>
      <c r="C389" s="13"/>
      <c r="D389" s="13"/>
    </row>
    <row r="390" spans="1:4" ht="13" x14ac:dyDescent="0.15">
      <c r="A390" s="10"/>
      <c r="B390" s="13"/>
      <c r="C390" s="13"/>
      <c r="D390" s="13"/>
    </row>
    <row r="391" spans="1:4" ht="13" x14ac:dyDescent="0.15">
      <c r="A391" s="10"/>
      <c r="B391" s="13"/>
      <c r="C391" s="13"/>
      <c r="D391" s="13"/>
    </row>
    <row r="392" spans="1:4" ht="13" x14ac:dyDescent="0.15">
      <c r="A392" s="10"/>
      <c r="B392" s="13"/>
      <c r="C392" s="13"/>
      <c r="D392" s="13"/>
    </row>
    <row r="393" spans="1:4" ht="13" x14ac:dyDescent="0.15">
      <c r="A393" s="10"/>
      <c r="B393" s="13"/>
      <c r="C393" s="13"/>
      <c r="D393" s="13"/>
    </row>
    <row r="394" spans="1:4" ht="13" x14ac:dyDescent="0.15">
      <c r="A394" s="10"/>
      <c r="B394" s="13"/>
      <c r="C394" s="13"/>
      <c r="D394" s="13"/>
    </row>
    <row r="395" spans="1:4" ht="13" x14ac:dyDescent="0.15">
      <c r="A395" s="10"/>
      <c r="B395" s="13"/>
      <c r="C395" s="13"/>
      <c r="D395" s="13"/>
    </row>
    <row r="396" spans="1:4" ht="13" x14ac:dyDescent="0.15">
      <c r="A396" s="10"/>
      <c r="B396" s="13"/>
      <c r="C396" s="13"/>
      <c r="D396" s="13"/>
    </row>
    <row r="397" spans="1:4" ht="13" x14ac:dyDescent="0.15">
      <c r="A397" s="10"/>
      <c r="B397" s="13"/>
      <c r="C397" s="13"/>
      <c r="D397" s="13"/>
    </row>
    <row r="398" spans="1:4" ht="13" x14ac:dyDescent="0.15">
      <c r="A398" s="10"/>
      <c r="B398" s="13"/>
      <c r="C398" s="13"/>
      <c r="D398" s="13"/>
    </row>
    <row r="399" spans="1:4" ht="13" x14ac:dyDescent="0.15">
      <c r="A399" s="10"/>
      <c r="B399" s="13"/>
      <c r="C399" s="13"/>
      <c r="D399" s="13"/>
    </row>
    <row r="400" spans="1:4" ht="13" x14ac:dyDescent="0.15">
      <c r="A400" s="10"/>
      <c r="B400" s="13"/>
      <c r="C400" s="13"/>
      <c r="D400" s="13"/>
    </row>
    <row r="401" spans="1:4" ht="13" x14ac:dyDescent="0.15">
      <c r="A401" s="10"/>
      <c r="B401" s="13"/>
      <c r="C401" s="13"/>
      <c r="D401" s="13"/>
    </row>
    <row r="402" spans="1:4" ht="13" x14ac:dyDescent="0.15">
      <c r="A402" s="10"/>
      <c r="B402" s="13"/>
      <c r="C402" s="13"/>
      <c r="D402" s="13"/>
    </row>
    <row r="403" spans="1:4" ht="13" x14ac:dyDescent="0.15">
      <c r="A403" s="10"/>
      <c r="B403" s="13"/>
      <c r="C403" s="13"/>
      <c r="D403" s="13"/>
    </row>
    <row r="404" spans="1:4" ht="13" x14ac:dyDescent="0.15">
      <c r="A404" s="10"/>
      <c r="B404" s="13"/>
      <c r="C404" s="13"/>
      <c r="D404" s="13"/>
    </row>
    <row r="405" spans="1:4" ht="13" x14ac:dyDescent="0.15">
      <c r="A405" s="10"/>
      <c r="B405" s="13"/>
      <c r="C405" s="13"/>
      <c r="D405" s="13"/>
    </row>
    <row r="406" spans="1:4" ht="13" x14ac:dyDescent="0.15">
      <c r="A406" s="10"/>
      <c r="B406" s="13"/>
      <c r="C406" s="13"/>
      <c r="D406" s="13"/>
    </row>
    <row r="407" spans="1:4" ht="13" x14ac:dyDescent="0.15">
      <c r="A407" s="10"/>
      <c r="B407" s="13"/>
      <c r="C407" s="13"/>
      <c r="D407" s="13"/>
    </row>
    <row r="408" spans="1:4" ht="13" x14ac:dyDescent="0.15">
      <c r="A408" s="10"/>
      <c r="B408" s="13"/>
      <c r="C408" s="13"/>
      <c r="D408" s="13"/>
    </row>
    <row r="409" spans="1:4" ht="13" x14ac:dyDescent="0.15">
      <c r="A409" s="10"/>
      <c r="B409" s="13"/>
      <c r="C409" s="13"/>
      <c r="D409" s="13"/>
    </row>
    <row r="410" spans="1:4" ht="13" x14ac:dyDescent="0.15">
      <c r="A410" s="10"/>
      <c r="B410" s="13"/>
      <c r="C410" s="13"/>
      <c r="D410" s="13"/>
    </row>
    <row r="411" spans="1:4" ht="13" x14ac:dyDescent="0.15">
      <c r="A411" s="10"/>
      <c r="B411" s="13"/>
      <c r="C411" s="13"/>
      <c r="D411" s="13"/>
    </row>
    <row r="412" spans="1:4" ht="13" x14ac:dyDescent="0.15">
      <c r="A412" s="10"/>
      <c r="B412" s="13"/>
      <c r="C412" s="13"/>
      <c r="D412" s="13"/>
    </row>
    <row r="413" spans="1:4" ht="13" x14ac:dyDescent="0.15">
      <c r="A413" s="10"/>
      <c r="B413" s="13"/>
      <c r="C413" s="13"/>
      <c r="D413" s="13"/>
    </row>
    <row r="414" spans="1:4" ht="13" x14ac:dyDescent="0.15">
      <c r="A414" s="10"/>
      <c r="B414" s="13"/>
      <c r="C414" s="13"/>
      <c r="D414" s="13"/>
    </row>
    <row r="415" spans="1:4" ht="13" x14ac:dyDescent="0.15">
      <c r="A415" s="10"/>
      <c r="B415" s="13"/>
      <c r="C415" s="13"/>
      <c r="D415" s="13"/>
    </row>
    <row r="416" spans="1:4" ht="13" x14ac:dyDescent="0.15">
      <c r="A416" s="10"/>
      <c r="B416" s="13"/>
      <c r="C416" s="13"/>
      <c r="D416" s="13"/>
    </row>
    <row r="417" spans="1:4" ht="13" x14ac:dyDescent="0.15">
      <c r="A417" s="10"/>
      <c r="B417" s="13"/>
      <c r="C417" s="13"/>
      <c r="D417" s="13"/>
    </row>
    <row r="418" spans="1:4" ht="13" x14ac:dyDescent="0.15">
      <c r="A418" s="10"/>
      <c r="B418" s="13"/>
      <c r="C418" s="13"/>
      <c r="D418" s="13"/>
    </row>
    <row r="419" spans="1:4" ht="13" x14ac:dyDescent="0.15">
      <c r="A419" s="10"/>
      <c r="B419" s="13"/>
      <c r="C419" s="13"/>
      <c r="D419" s="13"/>
    </row>
    <row r="420" spans="1:4" ht="13" x14ac:dyDescent="0.15">
      <c r="A420" s="10"/>
      <c r="B420" s="13"/>
      <c r="C420" s="13"/>
      <c r="D420" s="13"/>
    </row>
    <row r="421" spans="1:4" ht="13" x14ac:dyDescent="0.15">
      <c r="A421" s="10"/>
      <c r="B421" s="13"/>
      <c r="C421" s="13"/>
      <c r="D421" s="13"/>
    </row>
    <row r="422" spans="1:4" ht="13" x14ac:dyDescent="0.15">
      <c r="A422" s="10"/>
      <c r="B422" s="13"/>
      <c r="C422" s="13"/>
      <c r="D422" s="13"/>
    </row>
    <row r="423" spans="1:4" ht="13" x14ac:dyDescent="0.15">
      <c r="A423" s="10"/>
      <c r="B423" s="13"/>
      <c r="C423" s="13"/>
      <c r="D423" s="13"/>
    </row>
    <row r="424" spans="1:4" ht="13" x14ac:dyDescent="0.15">
      <c r="A424" s="10"/>
      <c r="B424" s="13"/>
      <c r="C424" s="13"/>
      <c r="D424" s="13"/>
    </row>
    <row r="425" spans="1:4" ht="13" x14ac:dyDescent="0.15">
      <c r="A425" s="10"/>
      <c r="B425" s="13"/>
      <c r="C425" s="13"/>
      <c r="D425" s="13"/>
    </row>
    <row r="426" spans="1:4" ht="13" x14ac:dyDescent="0.15">
      <c r="A426" s="10"/>
      <c r="B426" s="13"/>
      <c r="C426" s="13"/>
      <c r="D426" s="13"/>
    </row>
    <row r="427" spans="1:4" ht="13" x14ac:dyDescent="0.15">
      <c r="A427" s="10"/>
      <c r="B427" s="13"/>
      <c r="C427" s="13"/>
      <c r="D427" s="13"/>
    </row>
    <row r="428" spans="1:4" ht="13" x14ac:dyDescent="0.15">
      <c r="A428" s="10"/>
      <c r="B428" s="13"/>
      <c r="C428" s="13"/>
      <c r="D428" s="13"/>
    </row>
    <row r="429" spans="1:4" ht="13" x14ac:dyDescent="0.15">
      <c r="A429" s="10"/>
      <c r="B429" s="13"/>
      <c r="C429" s="13"/>
      <c r="D429" s="13"/>
    </row>
    <row r="430" spans="1:4" ht="13" x14ac:dyDescent="0.15">
      <c r="A430" s="10"/>
      <c r="B430" s="13"/>
      <c r="C430" s="13"/>
      <c r="D430" s="13"/>
    </row>
    <row r="431" spans="1:4" ht="13" x14ac:dyDescent="0.15">
      <c r="A431" s="10"/>
      <c r="B431" s="13"/>
      <c r="C431" s="13"/>
      <c r="D431" s="13"/>
    </row>
    <row r="432" spans="1:4" ht="13" x14ac:dyDescent="0.15">
      <c r="A432" s="10"/>
      <c r="B432" s="13"/>
      <c r="C432" s="13"/>
      <c r="D432" s="13"/>
    </row>
    <row r="433" spans="1:4" ht="13" x14ac:dyDescent="0.15">
      <c r="A433" s="10"/>
      <c r="B433" s="13"/>
      <c r="C433" s="13"/>
      <c r="D433" s="13"/>
    </row>
    <row r="434" spans="1:4" ht="13" x14ac:dyDescent="0.15">
      <c r="A434" s="10"/>
      <c r="B434" s="13"/>
      <c r="C434" s="13"/>
      <c r="D434" s="13"/>
    </row>
    <row r="435" spans="1:4" ht="13" x14ac:dyDescent="0.15">
      <c r="A435" s="10"/>
      <c r="B435" s="13"/>
      <c r="C435" s="13"/>
      <c r="D435" s="13"/>
    </row>
    <row r="436" spans="1:4" ht="13" x14ac:dyDescent="0.15">
      <c r="A436" s="10"/>
      <c r="B436" s="13"/>
      <c r="C436" s="13"/>
      <c r="D436" s="13"/>
    </row>
    <row r="437" spans="1:4" ht="13" x14ac:dyDescent="0.15">
      <c r="A437" s="10"/>
      <c r="B437" s="13"/>
      <c r="C437" s="13"/>
      <c r="D437" s="13"/>
    </row>
    <row r="438" spans="1:4" ht="13" x14ac:dyDescent="0.15">
      <c r="A438" s="10"/>
      <c r="B438" s="13"/>
      <c r="C438" s="13"/>
      <c r="D438" s="13"/>
    </row>
    <row r="439" spans="1:4" ht="13" x14ac:dyDescent="0.15">
      <c r="A439" s="10"/>
      <c r="B439" s="13"/>
      <c r="C439" s="13"/>
      <c r="D439" s="13"/>
    </row>
    <row r="440" spans="1:4" ht="13" x14ac:dyDescent="0.15">
      <c r="A440" s="10"/>
      <c r="B440" s="13"/>
      <c r="C440" s="13"/>
      <c r="D440" s="13"/>
    </row>
    <row r="441" spans="1:4" ht="13" x14ac:dyDescent="0.15">
      <c r="A441" s="10"/>
      <c r="B441" s="13"/>
      <c r="C441" s="13"/>
      <c r="D441" s="13"/>
    </row>
    <row r="442" spans="1:4" ht="13" x14ac:dyDescent="0.15">
      <c r="A442" s="10"/>
      <c r="B442" s="13"/>
      <c r="C442" s="13"/>
      <c r="D442" s="13"/>
    </row>
    <row r="443" spans="1:4" ht="13" x14ac:dyDescent="0.15">
      <c r="A443" s="10"/>
      <c r="B443" s="13"/>
      <c r="C443" s="13"/>
      <c r="D443" s="13"/>
    </row>
    <row r="444" spans="1:4" ht="13" x14ac:dyDescent="0.15">
      <c r="A444" s="10"/>
      <c r="B444" s="13"/>
      <c r="C444" s="13"/>
      <c r="D444" s="13"/>
    </row>
    <row r="445" spans="1:4" ht="13" x14ac:dyDescent="0.15">
      <c r="A445" s="10"/>
      <c r="B445" s="13"/>
      <c r="C445" s="13"/>
      <c r="D445" s="13"/>
    </row>
    <row r="446" spans="1:4" ht="13" x14ac:dyDescent="0.15">
      <c r="A446" s="10"/>
      <c r="B446" s="13"/>
      <c r="C446" s="13"/>
      <c r="D446" s="13"/>
    </row>
    <row r="447" spans="1:4" ht="13" x14ac:dyDescent="0.15">
      <c r="A447" s="10"/>
      <c r="B447" s="13"/>
      <c r="C447" s="13"/>
      <c r="D447" s="13"/>
    </row>
    <row r="448" spans="1:4" ht="13" x14ac:dyDescent="0.15">
      <c r="A448" s="10"/>
      <c r="B448" s="13"/>
      <c r="C448" s="13"/>
      <c r="D448" s="13"/>
    </row>
    <row r="449" spans="1:4" ht="13" x14ac:dyDescent="0.15">
      <c r="A449" s="10"/>
      <c r="B449" s="13"/>
      <c r="C449" s="13"/>
      <c r="D449" s="13"/>
    </row>
    <row r="450" spans="1:4" ht="13" x14ac:dyDescent="0.15">
      <c r="A450" s="10"/>
      <c r="B450" s="13"/>
      <c r="C450" s="13"/>
      <c r="D450" s="13"/>
    </row>
    <row r="451" spans="1:4" ht="13" x14ac:dyDescent="0.15">
      <c r="A451" s="10"/>
      <c r="B451" s="13"/>
      <c r="C451" s="13"/>
      <c r="D451" s="13"/>
    </row>
    <row r="452" spans="1:4" ht="13" x14ac:dyDescent="0.15">
      <c r="A452" s="10"/>
      <c r="B452" s="13"/>
      <c r="C452" s="13"/>
      <c r="D452" s="13"/>
    </row>
    <row r="453" spans="1:4" ht="13" x14ac:dyDescent="0.15">
      <c r="A453" s="10"/>
      <c r="B453" s="13"/>
      <c r="C453" s="13"/>
      <c r="D453" s="13"/>
    </row>
    <row r="454" spans="1:4" ht="13" x14ac:dyDescent="0.15">
      <c r="A454" s="10"/>
      <c r="B454" s="13"/>
      <c r="C454" s="13"/>
      <c r="D454" s="13"/>
    </row>
    <row r="455" spans="1:4" ht="13" x14ac:dyDescent="0.15">
      <c r="A455" s="10"/>
      <c r="B455" s="13"/>
      <c r="C455" s="13"/>
      <c r="D455" s="13"/>
    </row>
    <row r="456" spans="1:4" ht="13" x14ac:dyDescent="0.15">
      <c r="A456" s="10"/>
      <c r="B456" s="13"/>
      <c r="C456" s="13"/>
      <c r="D456" s="13"/>
    </row>
    <row r="457" spans="1:4" ht="13" x14ac:dyDescent="0.15">
      <c r="A457" s="10"/>
      <c r="B457" s="13"/>
      <c r="C457" s="13"/>
      <c r="D457" s="13"/>
    </row>
    <row r="458" spans="1:4" ht="13" x14ac:dyDescent="0.15">
      <c r="A458" s="10"/>
      <c r="B458" s="13"/>
      <c r="C458" s="13"/>
      <c r="D458" s="13"/>
    </row>
    <row r="459" spans="1:4" ht="13" x14ac:dyDescent="0.15">
      <c r="A459" s="10"/>
      <c r="B459" s="13"/>
      <c r="C459" s="13"/>
      <c r="D459" s="13"/>
    </row>
    <row r="460" spans="1:4" ht="13" x14ac:dyDescent="0.15">
      <c r="A460" s="10"/>
      <c r="B460" s="13"/>
      <c r="C460" s="13"/>
      <c r="D460" s="13"/>
    </row>
    <row r="461" spans="1:4" ht="13" x14ac:dyDescent="0.15">
      <c r="A461" s="10"/>
      <c r="B461" s="13"/>
      <c r="C461" s="13"/>
      <c r="D461" s="13"/>
    </row>
    <row r="462" spans="1:4" ht="13" x14ac:dyDescent="0.15">
      <c r="A462" s="10"/>
      <c r="B462" s="13"/>
      <c r="C462" s="13"/>
      <c r="D462" s="13"/>
    </row>
    <row r="463" spans="1:4" ht="13" x14ac:dyDescent="0.15">
      <c r="A463" s="10"/>
      <c r="B463" s="13"/>
      <c r="C463" s="13"/>
      <c r="D463" s="13"/>
    </row>
    <row r="464" spans="1:4" ht="13" x14ac:dyDescent="0.15">
      <c r="A464" s="10"/>
      <c r="B464" s="13"/>
      <c r="C464" s="13"/>
      <c r="D464" s="13"/>
    </row>
    <row r="465" spans="1:4" ht="13" x14ac:dyDescent="0.15">
      <c r="A465" s="10"/>
      <c r="B465" s="13"/>
      <c r="C465" s="13"/>
      <c r="D465" s="13"/>
    </row>
    <row r="466" spans="1:4" ht="13" x14ac:dyDescent="0.15">
      <c r="A466" s="10"/>
      <c r="B466" s="13"/>
      <c r="C466" s="13"/>
      <c r="D466" s="13"/>
    </row>
    <row r="467" spans="1:4" ht="13" x14ac:dyDescent="0.15">
      <c r="A467" s="10"/>
      <c r="B467" s="13"/>
      <c r="C467" s="13"/>
      <c r="D467" s="13"/>
    </row>
    <row r="468" spans="1:4" ht="13" x14ac:dyDescent="0.15">
      <c r="A468" s="10"/>
      <c r="B468" s="13"/>
      <c r="C468" s="13"/>
      <c r="D468" s="13"/>
    </row>
    <row r="469" spans="1:4" ht="13" x14ac:dyDescent="0.15">
      <c r="A469" s="10"/>
      <c r="B469" s="13"/>
      <c r="C469" s="13"/>
      <c r="D469" s="13"/>
    </row>
    <row r="470" spans="1:4" ht="13" x14ac:dyDescent="0.15">
      <c r="A470" s="10"/>
      <c r="B470" s="13"/>
      <c r="C470" s="13"/>
      <c r="D470" s="13"/>
    </row>
    <row r="471" spans="1:4" ht="13" x14ac:dyDescent="0.15">
      <c r="A471" s="10"/>
      <c r="B471" s="13"/>
      <c r="C471" s="13"/>
      <c r="D471" s="13"/>
    </row>
    <row r="472" spans="1:4" ht="13" x14ac:dyDescent="0.15">
      <c r="A472" s="10"/>
      <c r="B472" s="13"/>
      <c r="C472" s="13"/>
      <c r="D472" s="13"/>
    </row>
    <row r="473" spans="1:4" ht="13" x14ac:dyDescent="0.15">
      <c r="A473" s="10"/>
      <c r="B473" s="13"/>
      <c r="C473" s="13"/>
      <c r="D473" s="13"/>
    </row>
    <row r="474" spans="1:4" ht="13" x14ac:dyDescent="0.15">
      <c r="A474" s="10"/>
      <c r="B474" s="13"/>
      <c r="C474" s="13"/>
      <c r="D474" s="13"/>
    </row>
    <row r="475" spans="1:4" ht="13" x14ac:dyDescent="0.15">
      <c r="A475" s="10"/>
      <c r="B475" s="13"/>
      <c r="C475" s="13"/>
      <c r="D475" s="13"/>
    </row>
    <row r="476" spans="1:4" ht="13" x14ac:dyDescent="0.15">
      <c r="A476" s="10"/>
      <c r="B476" s="13"/>
      <c r="C476" s="13"/>
      <c r="D476" s="13"/>
    </row>
    <row r="477" spans="1:4" ht="13" x14ac:dyDescent="0.15">
      <c r="A477" s="10"/>
      <c r="B477" s="13"/>
      <c r="C477" s="13"/>
      <c r="D477" s="13"/>
    </row>
    <row r="478" spans="1:4" ht="13" x14ac:dyDescent="0.15">
      <c r="A478" s="10"/>
      <c r="B478" s="13"/>
      <c r="C478" s="13"/>
      <c r="D478" s="13"/>
    </row>
    <row r="479" spans="1:4" ht="13" x14ac:dyDescent="0.15">
      <c r="A479" s="10"/>
      <c r="B479" s="13"/>
      <c r="C479" s="13"/>
      <c r="D479" s="13"/>
    </row>
    <row r="480" spans="1:4" ht="13" x14ac:dyDescent="0.15">
      <c r="A480" s="10"/>
      <c r="B480" s="13"/>
      <c r="C480" s="13"/>
      <c r="D480" s="13"/>
    </row>
    <row r="481" spans="1:4" ht="13" x14ac:dyDescent="0.15">
      <c r="A481" s="10"/>
      <c r="B481" s="13"/>
      <c r="C481" s="13"/>
      <c r="D481" s="13"/>
    </row>
    <row r="482" spans="1:4" ht="13" x14ac:dyDescent="0.15">
      <c r="A482" s="10"/>
      <c r="B482" s="13"/>
      <c r="C482" s="13"/>
      <c r="D482" s="13"/>
    </row>
    <row r="483" spans="1:4" ht="13" x14ac:dyDescent="0.15">
      <c r="A483" s="10"/>
      <c r="B483" s="13"/>
      <c r="C483" s="13"/>
      <c r="D483" s="13"/>
    </row>
    <row r="484" spans="1:4" ht="13" x14ac:dyDescent="0.15">
      <c r="A484" s="10"/>
      <c r="B484" s="13"/>
      <c r="C484" s="13"/>
      <c r="D484" s="13"/>
    </row>
    <row r="485" spans="1:4" ht="13" x14ac:dyDescent="0.15">
      <c r="A485" s="10"/>
      <c r="B485" s="13"/>
      <c r="C485" s="13"/>
      <c r="D485" s="13"/>
    </row>
    <row r="486" spans="1:4" ht="13" x14ac:dyDescent="0.15">
      <c r="A486" s="10"/>
      <c r="B486" s="13"/>
      <c r="C486" s="13"/>
      <c r="D486" s="13"/>
    </row>
    <row r="487" spans="1:4" ht="13" x14ac:dyDescent="0.15">
      <c r="A487" s="10"/>
      <c r="B487" s="13"/>
      <c r="C487" s="13"/>
      <c r="D487" s="13"/>
    </row>
    <row r="488" spans="1:4" ht="13" x14ac:dyDescent="0.15">
      <c r="A488" s="10"/>
      <c r="B488" s="13"/>
      <c r="C488" s="13"/>
      <c r="D488" s="13"/>
    </row>
    <row r="489" spans="1:4" ht="13" x14ac:dyDescent="0.15">
      <c r="A489" s="10"/>
      <c r="B489" s="13"/>
      <c r="C489" s="13"/>
      <c r="D489" s="13"/>
    </row>
    <row r="490" spans="1:4" ht="13" x14ac:dyDescent="0.15">
      <c r="A490" s="10"/>
      <c r="B490" s="13"/>
      <c r="C490" s="13"/>
      <c r="D490" s="13"/>
    </row>
    <row r="491" spans="1:4" ht="13" x14ac:dyDescent="0.15">
      <c r="A491" s="10"/>
      <c r="B491" s="13"/>
      <c r="C491" s="13"/>
      <c r="D491" s="13"/>
    </row>
    <row r="492" spans="1:4" ht="13" x14ac:dyDescent="0.15">
      <c r="A492" s="10"/>
      <c r="B492" s="13"/>
      <c r="C492" s="13"/>
      <c r="D492" s="13"/>
    </row>
    <row r="493" spans="1:4" ht="13" x14ac:dyDescent="0.15">
      <c r="A493" s="10"/>
      <c r="B493" s="13"/>
      <c r="C493" s="13"/>
      <c r="D493" s="13"/>
    </row>
    <row r="494" spans="1:4" ht="13" x14ac:dyDescent="0.15">
      <c r="A494" s="10"/>
      <c r="B494" s="13"/>
      <c r="C494" s="13"/>
      <c r="D494" s="13"/>
    </row>
    <row r="495" spans="1:4" ht="13" x14ac:dyDescent="0.15">
      <c r="A495" s="10"/>
      <c r="B495" s="13"/>
      <c r="C495" s="13"/>
      <c r="D495" s="13"/>
    </row>
    <row r="496" spans="1:4" ht="13" x14ac:dyDescent="0.15">
      <c r="A496" s="10"/>
      <c r="B496" s="13"/>
      <c r="C496" s="13"/>
      <c r="D496" s="13"/>
    </row>
    <row r="497" spans="1:4" ht="13" x14ac:dyDescent="0.15">
      <c r="A497" s="10"/>
      <c r="B497" s="13"/>
      <c r="C497" s="13"/>
      <c r="D497" s="13"/>
    </row>
    <row r="498" spans="1:4" ht="13" x14ac:dyDescent="0.15">
      <c r="A498" s="10"/>
      <c r="B498" s="13"/>
      <c r="C498" s="13"/>
      <c r="D498" s="13"/>
    </row>
    <row r="499" spans="1:4" ht="13" x14ac:dyDescent="0.15">
      <c r="A499" s="10"/>
      <c r="B499" s="13"/>
      <c r="C499" s="13"/>
      <c r="D499" s="13"/>
    </row>
    <row r="500" spans="1:4" ht="13" x14ac:dyDescent="0.15">
      <c r="A500" s="10"/>
      <c r="B500" s="13"/>
      <c r="C500" s="13"/>
      <c r="D500" s="13"/>
    </row>
    <row r="501" spans="1:4" ht="13" x14ac:dyDescent="0.15">
      <c r="A501" s="10"/>
      <c r="B501" s="13"/>
      <c r="C501" s="13"/>
      <c r="D501" s="13"/>
    </row>
    <row r="502" spans="1:4" ht="13" x14ac:dyDescent="0.15">
      <c r="A502" s="10"/>
      <c r="B502" s="13"/>
      <c r="C502" s="13"/>
      <c r="D502" s="13"/>
    </row>
    <row r="503" spans="1:4" ht="13" x14ac:dyDescent="0.15">
      <c r="A503" s="10"/>
      <c r="B503" s="13"/>
      <c r="C503" s="13"/>
      <c r="D503" s="13"/>
    </row>
    <row r="504" spans="1:4" ht="13" x14ac:dyDescent="0.15">
      <c r="A504" s="10"/>
      <c r="B504" s="13"/>
      <c r="C504" s="13"/>
      <c r="D504" s="13"/>
    </row>
    <row r="505" spans="1:4" ht="13" x14ac:dyDescent="0.15">
      <c r="A505" s="10"/>
      <c r="B505" s="13"/>
      <c r="C505" s="13"/>
      <c r="D505" s="13"/>
    </row>
    <row r="506" spans="1:4" ht="13" x14ac:dyDescent="0.15">
      <c r="A506" s="10"/>
      <c r="B506" s="13"/>
      <c r="C506" s="13"/>
      <c r="D506" s="13"/>
    </row>
    <row r="507" spans="1:4" ht="13" x14ac:dyDescent="0.15">
      <c r="A507" s="10"/>
      <c r="B507" s="13"/>
      <c r="C507" s="13"/>
      <c r="D507" s="13"/>
    </row>
    <row r="508" spans="1:4" ht="13" x14ac:dyDescent="0.15">
      <c r="A508" s="10"/>
      <c r="B508" s="13"/>
      <c r="C508" s="13"/>
      <c r="D508" s="13"/>
    </row>
    <row r="509" spans="1:4" ht="13" x14ac:dyDescent="0.15">
      <c r="A509" s="10"/>
      <c r="B509" s="13"/>
      <c r="C509" s="13"/>
      <c r="D509" s="13"/>
    </row>
    <row r="510" spans="1:4" ht="13" x14ac:dyDescent="0.15">
      <c r="A510" s="10"/>
      <c r="B510" s="13"/>
      <c r="C510" s="13"/>
      <c r="D510" s="13"/>
    </row>
    <row r="511" spans="1:4" ht="13" x14ac:dyDescent="0.15">
      <c r="A511" s="10"/>
      <c r="B511" s="13"/>
      <c r="C511" s="13"/>
      <c r="D511" s="13"/>
    </row>
    <row r="512" spans="1:4" ht="13" x14ac:dyDescent="0.15">
      <c r="A512" s="10"/>
      <c r="B512" s="13"/>
      <c r="C512" s="13"/>
      <c r="D512" s="13"/>
    </row>
    <row r="513" spans="1:4" ht="13" x14ac:dyDescent="0.15">
      <c r="A513" s="10"/>
      <c r="B513" s="13"/>
      <c r="C513" s="13"/>
      <c r="D513" s="13"/>
    </row>
    <row r="514" spans="1:4" ht="13" x14ac:dyDescent="0.15">
      <c r="A514" s="10"/>
      <c r="B514" s="13"/>
      <c r="C514" s="13"/>
      <c r="D514" s="13"/>
    </row>
    <row r="515" spans="1:4" ht="13" x14ac:dyDescent="0.15">
      <c r="A515" s="10"/>
      <c r="B515" s="13"/>
      <c r="C515" s="13"/>
      <c r="D515" s="13"/>
    </row>
    <row r="516" spans="1:4" ht="13" x14ac:dyDescent="0.15">
      <c r="A516" s="10"/>
      <c r="B516" s="13"/>
      <c r="C516" s="13"/>
      <c r="D516" s="13"/>
    </row>
    <row r="517" spans="1:4" ht="13" x14ac:dyDescent="0.15">
      <c r="A517" s="10"/>
      <c r="B517" s="13"/>
      <c r="C517" s="13"/>
      <c r="D517" s="13"/>
    </row>
    <row r="518" spans="1:4" ht="13" x14ac:dyDescent="0.15">
      <c r="A518" s="10"/>
      <c r="B518" s="13"/>
      <c r="C518" s="13"/>
      <c r="D518" s="13"/>
    </row>
    <row r="519" spans="1:4" ht="13" x14ac:dyDescent="0.15">
      <c r="A519" s="10"/>
      <c r="B519" s="13"/>
      <c r="C519" s="13"/>
      <c r="D519" s="13"/>
    </row>
    <row r="520" spans="1:4" ht="13" x14ac:dyDescent="0.15">
      <c r="A520" s="10"/>
      <c r="B520" s="13"/>
      <c r="C520" s="13"/>
      <c r="D520" s="13"/>
    </row>
    <row r="521" spans="1:4" ht="13" x14ac:dyDescent="0.15">
      <c r="A521" s="10"/>
      <c r="B521" s="13"/>
      <c r="C521" s="13"/>
      <c r="D521" s="13"/>
    </row>
    <row r="522" spans="1:4" ht="13" x14ac:dyDescent="0.15">
      <c r="A522" s="10"/>
      <c r="B522" s="13"/>
      <c r="C522" s="13"/>
      <c r="D522" s="13"/>
    </row>
    <row r="523" spans="1:4" ht="13" x14ac:dyDescent="0.15">
      <c r="A523" s="10"/>
      <c r="B523" s="13"/>
      <c r="C523" s="13"/>
      <c r="D523" s="13"/>
    </row>
    <row r="524" spans="1:4" ht="13" x14ac:dyDescent="0.15">
      <c r="A524" s="10"/>
      <c r="B524" s="13"/>
      <c r="C524" s="13"/>
      <c r="D524" s="13"/>
    </row>
    <row r="525" spans="1:4" ht="13" x14ac:dyDescent="0.15">
      <c r="A525" s="10"/>
      <c r="B525" s="13"/>
      <c r="C525" s="13"/>
      <c r="D525" s="13"/>
    </row>
    <row r="526" spans="1:4" ht="13" x14ac:dyDescent="0.15">
      <c r="A526" s="10"/>
      <c r="B526" s="13"/>
      <c r="C526" s="13"/>
      <c r="D526" s="13"/>
    </row>
    <row r="527" spans="1:4" ht="13" x14ac:dyDescent="0.15">
      <c r="A527" s="10"/>
      <c r="B527" s="13"/>
      <c r="C527" s="13"/>
      <c r="D527" s="13"/>
    </row>
    <row r="528" spans="1:4" ht="13" x14ac:dyDescent="0.15">
      <c r="A528" s="10"/>
      <c r="B528" s="13"/>
      <c r="C528" s="13"/>
      <c r="D528" s="13"/>
    </row>
    <row r="529" spans="1:4" ht="13" x14ac:dyDescent="0.15">
      <c r="A529" s="10"/>
      <c r="B529" s="13"/>
      <c r="C529" s="13"/>
      <c r="D529" s="13"/>
    </row>
    <row r="530" spans="1:4" ht="13" x14ac:dyDescent="0.15">
      <c r="A530" s="10"/>
      <c r="B530" s="13"/>
      <c r="C530" s="13"/>
      <c r="D530" s="13"/>
    </row>
    <row r="531" spans="1:4" ht="13" x14ac:dyDescent="0.15">
      <c r="A531" s="10"/>
      <c r="B531" s="13"/>
      <c r="C531" s="13"/>
      <c r="D531" s="13"/>
    </row>
    <row r="532" spans="1:4" ht="13" x14ac:dyDescent="0.15">
      <c r="A532" s="10"/>
      <c r="B532" s="13"/>
      <c r="C532" s="13"/>
      <c r="D532" s="13"/>
    </row>
    <row r="533" spans="1:4" ht="13" x14ac:dyDescent="0.15">
      <c r="A533" s="10"/>
      <c r="B533" s="13"/>
      <c r="C533" s="13"/>
      <c r="D533" s="13"/>
    </row>
    <row r="534" spans="1:4" ht="13" x14ac:dyDescent="0.15">
      <c r="A534" s="10"/>
      <c r="B534" s="13"/>
      <c r="C534" s="13"/>
      <c r="D534" s="13"/>
    </row>
    <row r="535" spans="1:4" ht="13" x14ac:dyDescent="0.15">
      <c r="A535" s="10"/>
      <c r="B535" s="13"/>
      <c r="C535" s="13"/>
      <c r="D535" s="13"/>
    </row>
    <row r="536" spans="1:4" ht="13" x14ac:dyDescent="0.15">
      <c r="A536" s="10"/>
      <c r="B536" s="13"/>
      <c r="C536" s="13"/>
      <c r="D536" s="13"/>
    </row>
    <row r="537" spans="1:4" ht="13" x14ac:dyDescent="0.15">
      <c r="A537" s="10"/>
      <c r="B537" s="13"/>
      <c r="C537" s="13"/>
      <c r="D537" s="13"/>
    </row>
    <row r="538" spans="1:4" ht="13" x14ac:dyDescent="0.15">
      <c r="A538" s="10"/>
      <c r="B538" s="13"/>
      <c r="C538" s="13"/>
      <c r="D538" s="13"/>
    </row>
    <row r="539" spans="1:4" ht="13" x14ac:dyDescent="0.15">
      <c r="A539" s="10"/>
      <c r="B539" s="13"/>
      <c r="C539" s="13"/>
      <c r="D539" s="13"/>
    </row>
    <row r="540" spans="1:4" ht="13" x14ac:dyDescent="0.15">
      <c r="A540" s="10"/>
      <c r="B540" s="13"/>
      <c r="C540" s="13"/>
      <c r="D540" s="13"/>
    </row>
    <row r="541" spans="1:4" ht="13" x14ac:dyDescent="0.15">
      <c r="A541" s="10"/>
      <c r="B541" s="13"/>
      <c r="C541" s="13"/>
      <c r="D541" s="13"/>
    </row>
    <row r="542" spans="1:4" ht="13" x14ac:dyDescent="0.15">
      <c r="A542" s="10"/>
      <c r="B542" s="13"/>
      <c r="C542" s="13"/>
      <c r="D542" s="13"/>
    </row>
    <row r="543" spans="1:4" ht="13" x14ac:dyDescent="0.15">
      <c r="A543" s="10"/>
      <c r="B543" s="13"/>
      <c r="C543" s="13"/>
      <c r="D543" s="13"/>
    </row>
    <row r="544" spans="1:4" ht="13" x14ac:dyDescent="0.15">
      <c r="A544" s="10"/>
      <c r="B544" s="13"/>
      <c r="C544" s="13"/>
      <c r="D544" s="13"/>
    </row>
    <row r="545" spans="1:4" ht="13" x14ac:dyDescent="0.15">
      <c r="A545" s="10"/>
      <c r="B545" s="13"/>
      <c r="C545" s="13"/>
      <c r="D545" s="13"/>
    </row>
    <row r="546" spans="1:4" ht="13" x14ac:dyDescent="0.15">
      <c r="A546" s="10"/>
      <c r="B546" s="13"/>
      <c r="C546" s="13"/>
      <c r="D546" s="13"/>
    </row>
    <row r="547" spans="1:4" ht="13" x14ac:dyDescent="0.15">
      <c r="A547" s="10"/>
      <c r="B547" s="13"/>
      <c r="C547" s="13"/>
      <c r="D547" s="13"/>
    </row>
    <row r="548" spans="1:4" ht="13" x14ac:dyDescent="0.15">
      <c r="A548" s="10"/>
      <c r="B548" s="13"/>
      <c r="C548" s="13"/>
      <c r="D548" s="13"/>
    </row>
    <row r="549" spans="1:4" ht="13" x14ac:dyDescent="0.15">
      <c r="A549" s="10"/>
      <c r="B549" s="13"/>
      <c r="C549" s="13"/>
      <c r="D549" s="13"/>
    </row>
    <row r="550" spans="1:4" ht="13" x14ac:dyDescent="0.15">
      <c r="A550" s="10"/>
      <c r="B550" s="13"/>
      <c r="C550" s="13"/>
      <c r="D550" s="13"/>
    </row>
    <row r="551" spans="1:4" ht="13" x14ac:dyDescent="0.15">
      <c r="A551" s="10"/>
      <c r="B551" s="13"/>
      <c r="C551" s="13"/>
      <c r="D551" s="13"/>
    </row>
    <row r="552" spans="1:4" ht="13" x14ac:dyDescent="0.15">
      <c r="A552" s="10"/>
      <c r="B552" s="13"/>
      <c r="C552" s="13"/>
      <c r="D552" s="13"/>
    </row>
    <row r="553" spans="1:4" ht="13" x14ac:dyDescent="0.15">
      <c r="A553" s="10"/>
      <c r="B553" s="13"/>
      <c r="C553" s="13"/>
      <c r="D553" s="13"/>
    </row>
    <row r="554" spans="1:4" ht="13" x14ac:dyDescent="0.15">
      <c r="A554" s="10"/>
      <c r="B554" s="13"/>
      <c r="C554" s="13"/>
      <c r="D554" s="13"/>
    </row>
    <row r="555" spans="1:4" ht="13" x14ac:dyDescent="0.15">
      <c r="A555" s="10"/>
      <c r="B555" s="13"/>
      <c r="C555" s="13"/>
      <c r="D555" s="13"/>
    </row>
    <row r="556" spans="1:4" ht="13" x14ac:dyDescent="0.15">
      <c r="A556" s="10"/>
      <c r="B556" s="13"/>
      <c r="C556" s="13"/>
      <c r="D556" s="13"/>
    </row>
    <row r="557" spans="1:4" ht="13" x14ac:dyDescent="0.15">
      <c r="A557" s="10"/>
      <c r="B557" s="13"/>
      <c r="C557" s="13"/>
      <c r="D557" s="13"/>
    </row>
    <row r="558" spans="1:4" ht="13" x14ac:dyDescent="0.15">
      <c r="A558" s="10"/>
      <c r="B558" s="13"/>
      <c r="C558" s="13"/>
      <c r="D558" s="13"/>
    </row>
    <row r="559" spans="1:4" ht="13" x14ac:dyDescent="0.15">
      <c r="A559" s="10"/>
      <c r="B559" s="13"/>
      <c r="C559" s="13"/>
      <c r="D559" s="13"/>
    </row>
    <row r="560" spans="1:4" ht="13" x14ac:dyDescent="0.15">
      <c r="A560" s="10"/>
      <c r="B560" s="13"/>
      <c r="C560" s="13"/>
      <c r="D560" s="13"/>
    </row>
    <row r="561" spans="1:4" ht="13" x14ac:dyDescent="0.15">
      <c r="A561" s="10"/>
      <c r="B561" s="13"/>
      <c r="C561" s="13"/>
      <c r="D561" s="13"/>
    </row>
    <row r="562" spans="1:4" ht="13" x14ac:dyDescent="0.15">
      <c r="A562" s="10"/>
      <c r="B562" s="13"/>
      <c r="C562" s="13"/>
      <c r="D562" s="13"/>
    </row>
    <row r="563" spans="1:4" ht="13" x14ac:dyDescent="0.15">
      <c r="A563" s="10"/>
      <c r="B563" s="13"/>
      <c r="C563" s="13"/>
      <c r="D563" s="13"/>
    </row>
    <row r="564" spans="1:4" ht="13" x14ac:dyDescent="0.15">
      <c r="A564" s="10"/>
      <c r="B564" s="13"/>
      <c r="C564" s="13"/>
      <c r="D564" s="13"/>
    </row>
    <row r="565" spans="1:4" ht="13" x14ac:dyDescent="0.15">
      <c r="A565" s="10"/>
      <c r="B565" s="13"/>
      <c r="C565" s="13"/>
      <c r="D565" s="13"/>
    </row>
    <row r="566" spans="1:4" ht="13" x14ac:dyDescent="0.15">
      <c r="A566" s="10"/>
      <c r="B566" s="13"/>
      <c r="C566" s="13"/>
      <c r="D566" s="13"/>
    </row>
    <row r="567" spans="1:4" ht="13" x14ac:dyDescent="0.15">
      <c r="A567" s="10"/>
      <c r="B567" s="13"/>
      <c r="C567" s="13"/>
      <c r="D567" s="13"/>
    </row>
    <row r="568" spans="1:4" ht="13" x14ac:dyDescent="0.15">
      <c r="A568" s="10"/>
      <c r="B568" s="13"/>
      <c r="C568" s="13"/>
      <c r="D568" s="13"/>
    </row>
    <row r="569" spans="1:4" ht="13" x14ac:dyDescent="0.15">
      <c r="A569" s="10"/>
      <c r="B569" s="13"/>
      <c r="C569" s="13"/>
      <c r="D569" s="13"/>
    </row>
    <row r="570" spans="1:4" ht="13" x14ac:dyDescent="0.15">
      <c r="A570" s="10"/>
      <c r="B570" s="13"/>
      <c r="C570" s="13"/>
      <c r="D570" s="13"/>
    </row>
    <row r="571" spans="1:4" ht="13" x14ac:dyDescent="0.15">
      <c r="A571" s="10"/>
      <c r="B571" s="13"/>
      <c r="C571" s="13"/>
      <c r="D571" s="13"/>
    </row>
    <row r="572" spans="1:4" ht="13" x14ac:dyDescent="0.15">
      <c r="A572" s="10"/>
      <c r="B572" s="13"/>
      <c r="C572" s="13"/>
      <c r="D572" s="13"/>
    </row>
    <row r="573" spans="1:4" ht="13" x14ac:dyDescent="0.15">
      <c r="A573" s="10"/>
      <c r="B573" s="13"/>
      <c r="C573" s="13"/>
      <c r="D573" s="13"/>
    </row>
    <row r="574" spans="1:4" ht="13" x14ac:dyDescent="0.15">
      <c r="A574" s="10"/>
      <c r="B574" s="13"/>
      <c r="C574" s="13"/>
      <c r="D574" s="13"/>
    </row>
    <row r="575" spans="1:4" ht="13" x14ac:dyDescent="0.15">
      <c r="A575" s="10"/>
      <c r="B575" s="13"/>
      <c r="C575" s="13"/>
      <c r="D575" s="13"/>
    </row>
    <row r="576" spans="1:4" ht="13" x14ac:dyDescent="0.15">
      <c r="A576" s="10"/>
      <c r="B576" s="13"/>
      <c r="C576" s="13"/>
      <c r="D576" s="13"/>
    </row>
    <row r="577" spans="1:4" ht="13" x14ac:dyDescent="0.15">
      <c r="A577" s="10"/>
      <c r="B577" s="13"/>
      <c r="C577" s="13"/>
      <c r="D577" s="13"/>
    </row>
    <row r="578" spans="1:4" ht="13" x14ac:dyDescent="0.15">
      <c r="A578" s="10"/>
      <c r="B578" s="13"/>
      <c r="C578" s="13"/>
      <c r="D578" s="13"/>
    </row>
    <row r="579" spans="1:4" ht="13" x14ac:dyDescent="0.15">
      <c r="A579" s="10"/>
      <c r="B579" s="13"/>
      <c r="C579" s="13"/>
      <c r="D579" s="13"/>
    </row>
    <row r="580" spans="1:4" ht="13" x14ac:dyDescent="0.15">
      <c r="A580" s="10"/>
      <c r="B580" s="13"/>
      <c r="C580" s="13"/>
      <c r="D580" s="13"/>
    </row>
    <row r="581" spans="1:4" ht="13" x14ac:dyDescent="0.15">
      <c r="A581" s="10"/>
      <c r="B581" s="13"/>
      <c r="C581" s="13"/>
      <c r="D581" s="13"/>
    </row>
    <row r="582" spans="1:4" ht="13" x14ac:dyDescent="0.15">
      <c r="A582" s="10"/>
      <c r="B582" s="13"/>
      <c r="C582" s="13"/>
      <c r="D582" s="13"/>
    </row>
    <row r="583" spans="1:4" ht="13" x14ac:dyDescent="0.15">
      <c r="A583" s="10"/>
      <c r="B583" s="13"/>
      <c r="C583" s="13"/>
      <c r="D583" s="13"/>
    </row>
    <row r="584" spans="1:4" ht="13" x14ac:dyDescent="0.15">
      <c r="A584" s="10"/>
      <c r="B584" s="13"/>
      <c r="C584" s="13"/>
      <c r="D584" s="13"/>
    </row>
    <row r="585" spans="1:4" ht="13" x14ac:dyDescent="0.15">
      <c r="A585" s="10"/>
      <c r="B585" s="13"/>
      <c r="C585" s="13"/>
      <c r="D585" s="13"/>
    </row>
    <row r="586" spans="1:4" ht="13" x14ac:dyDescent="0.15">
      <c r="A586" s="10"/>
      <c r="B586" s="13"/>
      <c r="C586" s="13"/>
      <c r="D586" s="13"/>
    </row>
    <row r="587" spans="1:4" ht="13" x14ac:dyDescent="0.15">
      <c r="A587" s="10"/>
      <c r="B587" s="13"/>
      <c r="C587" s="13"/>
      <c r="D587" s="13"/>
    </row>
    <row r="588" spans="1:4" ht="13" x14ac:dyDescent="0.15">
      <c r="A588" s="10"/>
      <c r="B588" s="13"/>
      <c r="C588" s="13"/>
      <c r="D588" s="13"/>
    </row>
    <row r="589" spans="1:4" ht="13" x14ac:dyDescent="0.15">
      <c r="A589" s="10"/>
      <c r="B589" s="13"/>
      <c r="C589" s="13"/>
      <c r="D589" s="13"/>
    </row>
    <row r="590" spans="1:4" ht="13" x14ac:dyDescent="0.15">
      <c r="A590" s="10"/>
      <c r="B590" s="13"/>
      <c r="C590" s="13"/>
      <c r="D590" s="13"/>
    </row>
    <row r="591" spans="1:4" ht="13" x14ac:dyDescent="0.15">
      <c r="A591" s="10"/>
      <c r="B591" s="13"/>
      <c r="C591" s="13"/>
      <c r="D591" s="13"/>
    </row>
    <row r="592" spans="1:4" ht="13" x14ac:dyDescent="0.15">
      <c r="A592" s="10"/>
      <c r="B592" s="13"/>
      <c r="C592" s="13"/>
      <c r="D592" s="13"/>
    </row>
    <row r="593" spans="1:4" ht="13" x14ac:dyDescent="0.15">
      <c r="A593" s="10"/>
      <c r="B593" s="13"/>
      <c r="C593" s="13"/>
      <c r="D593" s="13"/>
    </row>
    <row r="594" spans="1:4" ht="13" x14ac:dyDescent="0.15">
      <c r="A594" s="10"/>
      <c r="B594" s="13"/>
      <c r="C594" s="13"/>
      <c r="D594" s="13"/>
    </row>
    <row r="595" spans="1:4" ht="13" x14ac:dyDescent="0.15">
      <c r="A595" s="10"/>
      <c r="B595" s="13"/>
      <c r="C595" s="13"/>
      <c r="D595" s="13"/>
    </row>
    <row r="596" spans="1:4" ht="13" x14ac:dyDescent="0.15">
      <c r="A596" s="10"/>
      <c r="B596" s="13"/>
      <c r="C596" s="13"/>
      <c r="D596" s="13"/>
    </row>
    <row r="597" spans="1:4" ht="13" x14ac:dyDescent="0.15">
      <c r="A597" s="10"/>
      <c r="B597" s="13"/>
      <c r="C597" s="13"/>
      <c r="D597" s="13"/>
    </row>
    <row r="598" spans="1:4" ht="13" x14ac:dyDescent="0.15">
      <c r="A598" s="10"/>
      <c r="B598" s="13"/>
      <c r="C598" s="13"/>
      <c r="D598" s="13"/>
    </row>
    <row r="599" spans="1:4" ht="13" x14ac:dyDescent="0.15">
      <c r="A599" s="10"/>
      <c r="B599" s="13"/>
      <c r="C599" s="13"/>
      <c r="D599" s="13"/>
    </row>
    <row r="600" spans="1:4" ht="13" x14ac:dyDescent="0.15">
      <c r="A600" s="10"/>
      <c r="B600" s="13"/>
      <c r="C600" s="13"/>
      <c r="D600" s="13"/>
    </row>
    <row r="601" spans="1:4" ht="13" x14ac:dyDescent="0.15">
      <c r="A601" s="10"/>
      <c r="B601" s="13"/>
      <c r="C601" s="13"/>
      <c r="D601" s="13"/>
    </row>
    <row r="602" spans="1:4" ht="13" x14ac:dyDescent="0.15">
      <c r="A602" s="10"/>
      <c r="B602" s="13"/>
      <c r="C602" s="13"/>
      <c r="D602" s="13"/>
    </row>
    <row r="603" spans="1:4" ht="13" x14ac:dyDescent="0.15">
      <c r="A603" s="10"/>
      <c r="B603" s="13"/>
      <c r="C603" s="13"/>
      <c r="D603" s="13"/>
    </row>
    <row r="604" spans="1:4" ht="13" x14ac:dyDescent="0.15">
      <c r="A604" s="10"/>
      <c r="B604" s="13"/>
      <c r="C604" s="13"/>
      <c r="D604" s="13"/>
    </row>
    <row r="605" spans="1:4" ht="13" x14ac:dyDescent="0.15">
      <c r="A605" s="10"/>
      <c r="B605" s="13"/>
      <c r="C605" s="13"/>
      <c r="D605" s="13"/>
    </row>
    <row r="606" spans="1:4" ht="13" x14ac:dyDescent="0.15">
      <c r="A606" s="10"/>
      <c r="B606" s="13"/>
      <c r="C606" s="13"/>
      <c r="D606" s="13"/>
    </row>
    <row r="607" spans="1:4" ht="13" x14ac:dyDescent="0.15">
      <c r="A607" s="10"/>
      <c r="B607" s="13"/>
      <c r="C607" s="13"/>
      <c r="D607" s="13"/>
    </row>
    <row r="608" spans="1:4" ht="13" x14ac:dyDescent="0.15">
      <c r="A608" s="10"/>
      <c r="B608" s="13"/>
      <c r="C608" s="13"/>
      <c r="D608" s="13"/>
    </row>
    <row r="609" spans="1:4" ht="13" x14ac:dyDescent="0.15">
      <c r="A609" s="10"/>
      <c r="B609" s="13"/>
      <c r="C609" s="13"/>
      <c r="D609" s="13"/>
    </row>
    <row r="610" spans="1:4" ht="13" x14ac:dyDescent="0.15">
      <c r="A610" s="10"/>
      <c r="B610" s="13"/>
      <c r="C610" s="13"/>
      <c r="D610" s="13"/>
    </row>
    <row r="611" spans="1:4" ht="13" x14ac:dyDescent="0.15">
      <c r="A611" s="10"/>
      <c r="B611" s="13"/>
      <c r="C611" s="13"/>
      <c r="D611" s="13"/>
    </row>
    <row r="612" spans="1:4" ht="13" x14ac:dyDescent="0.15">
      <c r="A612" s="10"/>
      <c r="B612" s="13"/>
      <c r="C612" s="13"/>
      <c r="D612" s="13"/>
    </row>
    <row r="613" spans="1:4" ht="13" x14ac:dyDescent="0.15">
      <c r="A613" s="10"/>
      <c r="B613" s="13"/>
      <c r="C613" s="13"/>
      <c r="D613" s="13"/>
    </row>
    <row r="614" spans="1:4" ht="13" x14ac:dyDescent="0.15">
      <c r="A614" s="10"/>
      <c r="B614" s="13"/>
      <c r="C614" s="13"/>
      <c r="D614" s="13"/>
    </row>
    <row r="615" spans="1:4" ht="13" x14ac:dyDescent="0.15">
      <c r="A615" s="10"/>
      <c r="B615" s="13"/>
      <c r="C615" s="13"/>
      <c r="D615" s="13"/>
    </row>
    <row r="616" spans="1:4" ht="13" x14ac:dyDescent="0.15">
      <c r="A616" s="10"/>
      <c r="B616" s="13"/>
      <c r="C616" s="13"/>
      <c r="D616" s="13"/>
    </row>
    <row r="617" spans="1:4" ht="13" x14ac:dyDescent="0.15">
      <c r="A617" s="10"/>
      <c r="B617" s="13"/>
      <c r="C617" s="13"/>
      <c r="D617" s="13"/>
    </row>
    <row r="618" spans="1:4" ht="13" x14ac:dyDescent="0.15">
      <c r="A618" s="10"/>
      <c r="B618" s="13"/>
      <c r="C618" s="13"/>
      <c r="D618" s="13"/>
    </row>
    <row r="619" spans="1:4" ht="13" x14ac:dyDescent="0.15">
      <c r="A619" s="10"/>
      <c r="B619" s="13"/>
      <c r="C619" s="13"/>
      <c r="D619" s="13"/>
    </row>
    <row r="620" spans="1:4" ht="13" x14ac:dyDescent="0.15">
      <c r="A620" s="10"/>
      <c r="B620" s="13"/>
      <c r="C620" s="13"/>
      <c r="D620" s="13"/>
    </row>
    <row r="621" spans="1:4" ht="13" x14ac:dyDescent="0.15">
      <c r="A621" s="10"/>
      <c r="B621" s="13"/>
      <c r="C621" s="13"/>
      <c r="D621" s="13"/>
    </row>
    <row r="622" spans="1:4" ht="13" x14ac:dyDescent="0.15">
      <c r="A622" s="10"/>
      <c r="B622" s="13"/>
      <c r="C622" s="13"/>
      <c r="D622" s="13"/>
    </row>
    <row r="623" spans="1:4" ht="13" x14ac:dyDescent="0.15">
      <c r="A623" s="10"/>
      <c r="B623" s="13"/>
      <c r="C623" s="13"/>
      <c r="D623" s="13"/>
    </row>
    <row r="624" spans="1:4" ht="13" x14ac:dyDescent="0.15">
      <c r="A624" s="10"/>
      <c r="B624" s="13"/>
      <c r="C624" s="13"/>
      <c r="D624" s="13"/>
    </row>
    <row r="625" spans="1:4" ht="13" x14ac:dyDescent="0.15">
      <c r="A625" s="10"/>
      <c r="B625" s="13"/>
      <c r="C625" s="13"/>
      <c r="D625" s="13"/>
    </row>
    <row r="626" spans="1:4" ht="13" x14ac:dyDescent="0.15">
      <c r="A626" s="10"/>
      <c r="B626" s="13"/>
      <c r="C626" s="13"/>
      <c r="D626" s="13"/>
    </row>
    <row r="627" spans="1:4" ht="13" x14ac:dyDescent="0.15">
      <c r="A627" s="10"/>
      <c r="B627" s="13"/>
      <c r="C627" s="13"/>
      <c r="D627" s="13"/>
    </row>
    <row r="628" spans="1:4" ht="13" x14ac:dyDescent="0.15">
      <c r="A628" s="10"/>
      <c r="B628" s="13"/>
      <c r="C628" s="13"/>
      <c r="D628" s="13"/>
    </row>
    <row r="629" spans="1:4" ht="13" x14ac:dyDescent="0.15">
      <c r="A629" s="10"/>
      <c r="B629" s="13"/>
      <c r="C629" s="13"/>
      <c r="D629" s="13"/>
    </row>
    <row r="630" spans="1:4" ht="13" x14ac:dyDescent="0.15">
      <c r="A630" s="10"/>
      <c r="B630" s="13"/>
      <c r="C630" s="13"/>
      <c r="D630" s="13"/>
    </row>
    <row r="631" spans="1:4" ht="13" x14ac:dyDescent="0.15">
      <c r="A631" s="10"/>
      <c r="B631" s="13"/>
      <c r="C631" s="13"/>
      <c r="D631" s="13"/>
    </row>
    <row r="632" spans="1:4" ht="13" x14ac:dyDescent="0.15">
      <c r="A632" s="10"/>
      <c r="B632" s="13"/>
      <c r="C632" s="13"/>
      <c r="D632" s="13"/>
    </row>
    <row r="633" spans="1:4" ht="13" x14ac:dyDescent="0.15">
      <c r="A633" s="10"/>
      <c r="B633" s="13"/>
      <c r="C633" s="13"/>
      <c r="D633" s="13"/>
    </row>
    <row r="634" spans="1:4" ht="13" x14ac:dyDescent="0.15">
      <c r="A634" s="10"/>
      <c r="B634" s="13"/>
      <c r="C634" s="13"/>
      <c r="D634" s="13"/>
    </row>
    <row r="635" spans="1:4" ht="13" x14ac:dyDescent="0.15">
      <c r="A635" s="10"/>
      <c r="B635" s="13"/>
      <c r="C635" s="13"/>
      <c r="D635" s="13"/>
    </row>
    <row r="636" spans="1:4" ht="13" x14ac:dyDescent="0.15">
      <c r="A636" s="10"/>
      <c r="B636" s="13"/>
      <c r="C636" s="13"/>
      <c r="D636" s="13"/>
    </row>
    <row r="637" spans="1:4" ht="13" x14ac:dyDescent="0.15">
      <c r="A637" s="10"/>
      <c r="B637" s="13"/>
      <c r="C637" s="13"/>
      <c r="D637" s="13"/>
    </row>
    <row r="638" spans="1:4" ht="13" x14ac:dyDescent="0.15">
      <c r="A638" s="10"/>
      <c r="B638" s="13"/>
      <c r="C638" s="13"/>
      <c r="D638" s="13"/>
    </row>
    <row r="639" spans="1:4" ht="13" x14ac:dyDescent="0.15">
      <c r="A639" s="10"/>
      <c r="B639" s="13"/>
      <c r="C639" s="13"/>
      <c r="D639" s="13"/>
    </row>
    <row r="640" spans="1:4" ht="13" x14ac:dyDescent="0.15">
      <c r="A640" s="10"/>
      <c r="B640" s="13"/>
      <c r="C640" s="13"/>
      <c r="D640" s="13"/>
    </row>
    <row r="641" spans="1:4" ht="13" x14ac:dyDescent="0.15">
      <c r="A641" s="10"/>
      <c r="B641" s="13"/>
      <c r="C641" s="13"/>
      <c r="D641" s="13"/>
    </row>
    <row r="642" spans="1:4" ht="13" x14ac:dyDescent="0.15">
      <c r="A642" s="10"/>
      <c r="B642" s="13"/>
      <c r="C642" s="13"/>
      <c r="D642" s="13"/>
    </row>
    <row r="643" spans="1:4" ht="13" x14ac:dyDescent="0.15">
      <c r="A643" s="10"/>
      <c r="B643" s="13"/>
      <c r="C643" s="13"/>
      <c r="D643" s="13"/>
    </row>
    <row r="644" spans="1:4" ht="13" x14ac:dyDescent="0.15">
      <c r="A644" s="10"/>
      <c r="B644" s="13"/>
      <c r="C644" s="13"/>
      <c r="D644" s="13"/>
    </row>
    <row r="645" spans="1:4" ht="13" x14ac:dyDescent="0.15">
      <c r="A645" s="10"/>
      <c r="B645" s="13"/>
      <c r="C645" s="13"/>
      <c r="D645" s="13"/>
    </row>
    <row r="646" spans="1:4" ht="13" x14ac:dyDescent="0.15">
      <c r="A646" s="10"/>
      <c r="B646" s="13"/>
      <c r="C646" s="13"/>
      <c r="D646" s="13"/>
    </row>
    <row r="647" spans="1:4" ht="13" x14ac:dyDescent="0.15">
      <c r="A647" s="10"/>
      <c r="B647" s="13"/>
      <c r="C647" s="13"/>
      <c r="D647" s="13"/>
    </row>
    <row r="648" spans="1:4" ht="13" x14ac:dyDescent="0.15">
      <c r="A648" s="10"/>
      <c r="B648" s="13"/>
      <c r="C648" s="13"/>
      <c r="D648" s="13"/>
    </row>
    <row r="649" spans="1:4" ht="13" x14ac:dyDescent="0.15">
      <c r="A649" s="10"/>
      <c r="B649" s="13"/>
      <c r="C649" s="13"/>
      <c r="D649" s="13"/>
    </row>
    <row r="650" spans="1:4" ht="13" x14ac:dyDescent="0.15">
      <c r="A650" s="10"/>
      <c r="B650" s="13"/>
      <c r="C650" s="13"/>
      <c r="D650" s="13"/>
    </row>
    <row r="651" spans="1:4" ht="13" x14ac:dyDescent="0.15">
      <c r="A651" s="10"/>
      <c r="B651" s="13"/>
      <c r="C651" s="13"/>
      <c r="D651" s="13"/>
    </row>
    <row r="652" spans="1:4" ht="13" x14ac:dyDescent="0.15">
      <c r="A652" s="10"/>
      <c r="B652" s="13"/>
      <c r="C652" s="13"/>
      <c r="D652" s="13"/>
    </row>
    <row r="653" spans="1:4" ht="13" x14ac:dyDescent="0.15">
      <c r="A653" s="10"/>
      <c r="B653" s="13"/>
      <c r="C653" s="13"/>
      <c r="D653" s="13"/>
    </row>
    <row r="654" spans="1:4" ht="13" x14ac:dyDescent="0.15">
      <c r="A654" s="10"/>
      <c r="B654" s="13"/>
      <c r="C654" s="13"/>
      <c r="D654" s="13"/>
    </row>
    <row r="655" spans="1:4" ht="13" x14ac:dyDescent="0.15">
      <c r="A655" s="10"/>
      <c r="B655" s="13"/>
      <c r="C655" s="13"/>
      <c r="D655" s="13"/>
    </row>
    <row r="656" spans="1:4" ht="13" x14ac:dyDescent="0.15">
      <c r="A656" s="10"/>
      <c r="B656" s="13"/>
      <c r="C656" s="13"/>
      <c r="D656" s="13"/>
    </row>
    <row r="657" spans="1:4" ht="13" x14ac:dyDescent="0.15">
      <c r="A657" s="10"/>
      <c r="B657" s="13"/>
      <c r="C657" s="13"/>
      <c r="D657" s="13"/>
    </row>
    <row r="658" spans="1:4" ht="13" x14ac:dyDescent="0.15">
      <c r="A658" s="10"/>
      <c r="B658" s="13"/>
      <c r="C658" s="13"/>
      <c r="D658" s="13"/>
    </row>
    <row r="659" spans="1:4" ht="13" x14ac:dyDescent="0.15">
      <c r="A659" s="10"/>
      <c r="B659" s="13"/>
      <c r="C659" s="13"/>
      <c r="D659" s="13"/>
    </row>
    <row r="660" spans="1:4" ht="13" x14ac:dyDescent="0.15">
      <c r="A660" s="10"/>
      <c r="B660" s="13"/>
      <c r="C660" s="13"/>
      <c r="D660" s="13"/>
    </row>
    <row r="661" spans="1:4" ht="13" x14ac:dyDescent="0.15">
      <c r="A661" s="10"/>
      <c r="B661" s="13"/>
      <c r="C661" s="13"/>
      <c r="D661" s="13"/>
    </row>
    <row r="662" spans="1:4" ht="13" x14ac:dyDescent="0.15">
      <c r="A662" s="10"/>
      <c r="B662" s="13"/>
      <c r="C662" s="13"/>
      <c r="D662" s="13"/>
    </row>
    <row r="663" spans="1:4" ht="13" x14ac:dyDescent="0.15">
      <c r="A663" s="10"/>
      <c r="B663" s="13"/>
      <c r="C663" s="13"/>
      <c r="D663" s="13"/>
    </row>
    <row r="664" spans="1:4" ht="13" x14ac:dyDescent="0.15">
      <c r="A664" s="10"/>
      <c r="B664" s="13"/>
      <c r="C664" s="13"/>
      <c r="D664" s="13"/>
    </row>
    <row r="665" spans="1:4" ht="13" x14ac:dyDescent="0.15">
      <c r="A665" s="10"/>
      <c r="B665" s="13"/>
      <c r="C665" s="13"/>
      <c r="D665" s="13"/>
    </row>
    <row r="666" spans="1:4" ht="13" x14ac:dyDescent="0.15">
      <c r="A666" s="10"/>
      <c r="B666" s="13"/>
      <c r="C666" s="13"/>
      <c r="D666" s="13"/>
    </row>
    <row r="667" spans="1:4" ht="13" x14ac:dyDescent="0.15">
      <c r="A667" s="10"/>
      <c r="B667" s="13"/>
      <c r="C667" s="13"/>
      <c r="D667" s="13"/>
    </row>
    <row r="668" spans="1:4" ht="13" x14ac:dyDescent="0.15">
      <c r="A668" s="10"/>
      <c r="B668" s="13"/>
      <c r="C668" s="13"/>
      <c r="D668" s="13"/>
    </row>
    <row r="669" spans="1:4" ht="13" x14ac:dyDescent="0.15">
      <c r="A669" s="10"/>
      <c r="B669" s="13"/>
      <c r="C669" s="13"/>
      <c r="D669" s="13"/>
    </row>
    <row r="670" spans="1:4" ht="13" x14ac:dyDescent="0.15">
      <c r="A670" s="10"/>
      <c r="B670" s="13"/>
      <c r="C670" s="13"/>
      <c r="D670" s="13"/>
    </row>
    <row r="671" spans="1:4" ht="13" x14ac:dyDescent="0.15">
      <c r="A671" s="10"/>
      <c r="B671" s="13"/>
      <c r="C671" s="13"/>
      <c r="D671" s="13"/>
    </row>
    <row r="672" spans="1:4" ht="13" x14ac:dyDescent="0.15">
      <c r="A672" s="10"/>
      <c r="B672" s="13"/>
      <c r="C672" s="13"/>
      <c r="D672" s="13"/>
    </row>
    <row r="673" spans="1:4" ht="13" x14ac:dyDescent="0.15">
      <c r="A673" s="10"/>
      <c r="B673" s="13"/>
      <c r="C673" s="13"/>
      <c r="D673" s="13"/>
    </row>
    <row r="674" spans="1:4" ht="13" x14ac:dyDescent="0.15">
      <c r="A674" s="10"/>
      <c r="B674" s="13"/>
      <c r="C674" s="13"/>
      <c r="D674" s="13"/>
    </row>
    <row r="675" spans="1:4" ht="13" x14ac:dyDescent="0.15">
      <c r="A675" s="10"/>
      <c r="B675" s="13"/>
      <c r="C675" s="13"/>
      <c r="D675" s="13"/>
    </row>
    <row r="676" spans="1:4" ht="13" x14ac:dyDescent="0.15">
      <c r="A676" s="10"/>
      <c r="B676" s="13"/>
      <c r="C676" s="13"/>
      <c r="D676" s="13"/>
    </row>
    <row r="677" spans="1:4" ht="13" x14ac:dyDescent="0.15">
      <c r="A677" s="10"/>
      <c r="B677" s="13"/>
      <c r="C677" s="13"/>
      <c r="D677" s="13"/>
    </row>
    <row r="678" spans="1:4" ht="13" x14ac:dyDescent="0.15">
      <c r="A678" s="10"/>
      <c r="B678" s="13"/>
      <c r="C678" s="13"/>
      <c r="D678" s="13"/>
    </row>
    <row r="679" spans="1:4" ht="13" x14ac:dyDescent="0.15">
      <c r="A679" s="10"/>
      <c r="B679" s="13"/>
      <c r="C679" s="13"/>
      <c r="D679" s="13"/>
    </row>
    <row r="680" spans="1:4" ht="13" x14ac:dyDescent="0.15">
      <c r="A680" s="10"/>
      <c r="B680" s="13"/>
      <c r="C680" s="13"/>
      <c r="D680" s="13"/>
    </row>
    <row r="681" spans="1:4" ht="13" x14ac:dyDescent="0.15">
      <c r="A681" s="10"/>
      <c r="B681" s="13"/>
      <c r="C681" s="13"/>
      <c r="D681" s="13"/>
    </row>
    <row r="682" spans="1:4" ht="13" x14ac:dyDescent="0.15">
      <c r="A682" s="10"/>
      <c r="B682" s="13"/>
      <c r="C682" s="13"/>
      <c r="D682" s="13"/>
    </row>
    <row r="683" spans="1:4" ht="13" x14ac:dyDescent="0.15">
      <c r="A683" s="10"/>
      <c r="B683" s="13"/>
      <c r="C683" s="13"/>
      <c r="D683" s="13"/>
    </row>
    <row r="684" spans="1:4" ht="13" x14ac:dyDescent="0.15">
      <c r="A684" s="10"/>
      <c r="B684" s="13"/>
      <c r="C684" s="13"/>
      <c r="D684" s="13"/>
    </row>
    <row r="685" spans="1:4" ht="13" x14ac:dyDescent="0.15">
      <c r="A685" s="10"/>
      <c r="B685" s="13"/>
      <c r="C685" s="13"/>
      <c r="D685" s="13"/>
    </row>
    <row r="686" spans="1:4" ht="13" x14ac:dyDescent="0.15">
      <c r="A686" s="10"/>
      <c r="B686" s="13"/>
      <c r="C686" s="13"/>
      <c r="D686" s="13"/>
    </row>
    <row r="687" spans="1:4" ht="13" x14ac:dyDescent="0.15">
      <c r="A687" s="10"/>
      <c r="B687" s="13"/>
      <c r="C687" s="13"/>
      <c r="D687" s="13"/>
    </row>
    <row r="688" spans="1:4" ht="13" x14ac:dyDescent="0.15">
      <c r="A688" s="10"/>
      <c r="B688" s="13"/>
      <c r="C688" s="13"/>
      <c r="D688" s="13"/>
    </row>
    <row r="689" spans="1:4" ht="13" x14ac:dyDescent="0.15">
      <c r="A689" s="10"/>
      <c r="B689" s="13"/>
      <c r="C689" s="13"/>
      <c r="D689" s="13"/>
    </row>
    <row r="690" spans="1:4" ht="13" x14ac:dyDescent="0.15">
      <c r="A690" s="10"/>
      <c r="B690" s="13"/>
      <c r="C690" s="13"/>
      <c r="D690" s="13"/>
    </row>
    <row r="691" spans="1:4" ht="13" x14ac:dyDescent="0.15">
      <c r="A691" s="10"/>
      <c r="B691" s="13"/>
      <c r="C691" s="13"/>
      <c r="D691" s="13"/>
    </row>
    <row r="692" spans="1:4" ht="13" x14ac:dyDescent="0.15">
      <c r="A692" s="10"/>
      <c r="B692" s="13"/>
      <c r="C692" s="13"/>
      <c r="D692" s="13"/>
    </row>
    <row r="693" spans="1:4" ht="13" x14ac:dyDescent="0.15">
      <c r="A693" s="10"/>
      <c r="B693" s="13"/>
      <c r="C693" s="13"/>
      <c r="D693" s="13"/>
    </row>
    <row r="694" spans="1:4" ht="13" x14ac:dyDescent="0.15">
      <c r="A694" s="10"/>
      <c r="B694" s="13"/>
      <c r="C694" s="13"/>
      <c r="D694" s="13"/>
    </row>
    <row r="695" spans="1:4" ht="13" x14ac:dyDescent="0.15">
      <c r="A695" s="10"/>
      <c r="B695" s="13"/>
      <c r="C695" s="13"/>
      <c r="D695" s="13"/>
    </row>
    <row r="696" spans="1:4" ht="13" x14ac:dyDescent="0.15">
      <c r="A696" s="10"/>
      <c r="B696" s="13"/>
      <c r="C696" s="13"/>
      <c r="D696" s="13"/>
    </row>
    <row r="697" spans="1:4" ht="13" x14ac:dyDescent="0.15">
      <c r="A697" s="10"/>
      <c r="B697" s="13"/>
      <c r="C697" s="13"/>
      <c r="D697" s="13"/>
    </row>
    <row r="698" spans="1:4" ht="13" x14ac:dyDescent="0.15">
      <c r="A698" s="10"/>
      <c r="B698" s="13"/>
      <c r="C698" s="13"/>
      <c r="D698" s="13"/>
    </row>
    <row r="699" spans="1:4" ht="13" x14ac:dyDescent="0.15">
      <c r="A699" s="10"/>
      <c r="B699" s="13"/>
      <c r="C699" s="13"/>
      <c r="D699" s="13"/>
    </row>
    <row r="700" spans="1:4" ht="13" x14ac:dyDescent="0.15">
      <c r="A700" s="10"/>
      <c r="B700" s="13"/>
      <c r="C700" s="13"/>
      <c r="D700" s="13"/>
    </row>
    <row r="701" spans="1:4" ht="13" x14ac:dyDescent="0.15">
      <c r="A701" s="10"/>
      <c r="B701" s="13"/>
      <c r="C701" s="13"/>
      <c r="D701" s="13"/>
    </row>
    <row r="702" spans="1:4" ht="13" x14ac:dyDescent="0.15">
      <c r="A702" s="10"/>
      <c r="B702" s="13"/>
      <c r="C702" s="13"/>
      <c r="D702" s="13"/>
    </row>
    <row r="703" spans="1:4" ht="13" x14ac:dyDescent="0.15">
      <c r="A703" s="10"/>
      <c r="B703" s="13"/>
      <c r="C703" s="13"/>
      <c r="D703" s="13"/>
    </row>
    <row r="704" spans="1:4" ht="13" x14ac:dyDescent="0.15">
      <c r="A704" s="10"/>
      <c r="B704" s="13"/>
      <c r="C704" s="13"/>
      <c r="D704" s="13"/>
    </row>
    <row r="705" spans="1:4" ht="13" x14ac:dyDescent="0.15">
      <c r="A705" s="10"/>
      <c r="B705" s="13"/>
      <c r="C705" s="13"/>
      <c r="D705" s="13"/>
    </row>
    <row r="706" spans="1:4" ht="13" x14ac:dyDescent="0.15">
      <c r="A706" s="10"/>
      <c r="B706" s="13"/>
      <c r="C706" s="13"/>
      <c r="D706" s="13"/>
    </row>
    <row r="707" spans="1:4" ht="13" x14ac:dyDescent="0.15">
      <c r="A707" s="10"/>
      <c r="B707" s="13"/>
      <c r="C707" s="13"/>
      <c r="D707" s="13"/>
    </row>
    <row r="708" spans="1:4" ht="13" x14ac:dyDescent="0.15">
      <c r="A708" s="10"/>
      <c r="B708" s="13"/>
      <c r="C708" s="13"/>
      <c r="D708" s="13"/>
    </row>
    <row r="709" spans="1:4" ht="13" x14ac:dyDescent="0.15">
      <c r="A709" s="10"/>
      <c r="B709" s="13"/>
      <c r="C709" s="13"/>
      <c r="D709" s="13"/>
    </row>
    <row r="710" spans="1:4" ht="13" x14ac:dyDescent="0.15">
      <c r="A710" s="10"/>
      <c r="B710" s="13"/>
      <c r="C710" s="13"/>
      <c r="D710" s="13"/>
    </row>
    <row r="711" spans="1:4" ht="13" x14ac:dyDescent="0.15">
      <c r="A711" s="10"/>
      <c r="B711" s="13"/>
      <c r="C711" s="13"/>
      <c r="D711" s="13"/>
    </row>
    <row r="712" spans="1:4" ht="13" x14ac:dyDescent="0.15">
      <c r="A712" s="10"/>
      <c r="B712" s="13"/>
      <c r="C712" s="13"/>
      <c r="D712" s="13"/>
    </row>
    <row r="713" spans="1:4" ht="13" x14ac:dyDescent="0.15">
      <c r="A713" s="10"/>
      <c r="B713" s="13"/>
      <c r="C713" s="13"/>
      <c r="D713" s="13"/>
    </row>
    <row r="714" spans="1:4" ht="13" x14ac:dyDescent="0.15">
      <c r="A714" s="10"/>
      <c r="B714" s="13"/>
      <c r="C714" s="13"/>
      <c r="D714" s="13"/>
    </row>
    <row r="715" spans="1:4" ht="13" x14ac:dyDescent="0.15">
      <c r="A715" s="10"/>
      <c r="B715" s="13"/>
      <c r="C715" s="13"/>
      <c r="D715" s="13"/>
    </row>
    <row r="716" spans="1:4" ht="13" x14ac:dyDescent="0.15">
      <c r="A716" s="10"/>
      <c r="B716" s="13"/>
      <c r="C716" s="13"/>
      <c r="D716" s="13"/>
    </row>
    <row r="717" spans="1:4" ht="13" x14ac:dyDescent="0.15">
      <c r="A717" s="10"/>
      <c r="B717" s="13"/>
      <c r="C717" s="13"/>
      <c r="D717" s="13"/>
    </row>
    <row r="718" spans="1:4" ht="13" x14ac:dyDescent="0.15">
      <c r="A718" s="10"/>
      <c r="B718" s="13"/>
      <c r="C718" s="13"/>
      <c r="D718" s="13"/>
    </row>
    <row r="719" spans="1:4" ht="13" x14ac:dyDescent="0.15">
      <c r="A719" s="10"/>
      <c r="B719" s="13"/>
      <c r="C719" s="13"/>
      <c r="D719" s="13"/>
    </row>
    <row r="720" spans="1:4" ht="13" x14ac:dyDescent="0.15">
      <c r="A720" s="10"/>
      <c r="B720" s="13"/>
      <c r="C720" s="13"/>
      <c r="D720" s="13"/>
    </row>
    <row r="721" spans="1:4" ht="13" x14ac:dyDescent="0.15">
      <c r="A721" s="10"/>
      <c r="B721" s="13"/>
      <c r="C721" s="13"/>
      <c r="D721" s="13"/>
    </row>
    <row r="722" spans="1:4" ht="13" x14ac:dyDescent="0.15">
      <c r="A722" s="10"/>
      <c r="B722" s="13"/>
      <c r="C722" s="13"/>
      <c r="D722" s="13"/>
    </row>
    <row r="723" spans="1:4" ht="13" x14ac:dyDescent="0.15">
      <c r="A723" s="10"/>
      <c r="B723" s="13"/>
      <c r="C723" s="13"/>
      <c r="D723" s="13"/>
    </row>
    <row r="724" spans="1:4" ht="13" x14ac:dyDescent="0.15">
      <c r="A724" s="10"/>
      <c r="B724" s="13"/>
      <c r="C724" s="13"/>
      <c r="D724" s="13"/>
    </row>
    <row r="725" spans="1:4" ht="13" x14ac:dyDescent="0.15">
      <c r="A725" s="10"/>
      <c r="B725" s="13"/>
      <c r="C725" s="13"/>
      <c r="D725" s="13"/>
    </row>
    <row r="726" spans="1:4" ht="13" x14ac:dyDescent="0.15">
      <c r="A726" s="10"/>
      <c r="B726" s="13"/>
      <c r="C726" s="13"/>
      <c r="D726" s="13"/>
    </row>
    <row r="727" spans="1:4" ht="13" x14ac:dyDescent="0.15">
      <c r="A727" s="10"/>
      <c r="B727" s="13"/>
      <c r="C727" s="13"/>
      <c r="D727" s="13"/>
    </row>
    <row r="728" spans="1:4" ht="13" x14ac:dyDescent="0.15">
      <c r="A728" s="10"/>
      <c r="B728" s="13"/>
      <c r="C728" s="13"/>
      <c r="D728" s="13"/>
    </row>
    <row r="729" spans="1:4" ht="13" x14ac:dyDescent="0.15">
      <c r="A729" s="10"/>
      <c r="B729" s="13"/>
      <c r="C729" s="13"/>
      <c r="D729" s="13"/>
    </row>
    <row r="730" spans="1:4" ht="13" x14ac:dyDescent="0.15">
      <c r="A730" s="10"/>
      <c r="B730" s="13"/>
      <c r="C730" s="13"/>
      <c r="D730" s="13"/>
    </row>
    <row r="731" spans="1:4" ht="13" x14ac:dyDescent="0.15">
      <c r="A731" s="10"/>
      <c r="B731" s="13"/>
      <c r="C731" s="13"/>
      <c r="D731" s="13"/>
    </row>
    <row r="732" spans="1:4" ht="13" x14ac:dyDescent="0.15">
      <c r="A732" s="10"/>
      <c r="B732" s="13"/>
      <c r="C732" s="13"/>
      <c r="D732" s="13"/>
    </row>
    <row r="733" spans="1:4" ht="13" x14ac:dyDescent="0.15">
      <c r="A733" s="10"/>
      <c r="B733" s="13"/>
      <c r="C733" s="13"/>
      <c r="D733" s="13"/>
    </row>
    <row r="734" spans="1:4" ht="13" x14ac:dyDescent="0.15">
      <c r="A734" s="10"/>
      <c r="B734" s="13"/>
      <c r="C734" s="13"/>
      <c r="D734" s="13"/>
    </row>
    <row r="735" spans="1:4" ht="13" x14ac:dyDescent="0.15">
      <c r="A735" s="10"/>
      <c r="B735" s="13"/>
      <c r="C735" s="13"/>
      <c r="D735" s="13"/>
    </row>
    <row r="736" spans="1:4" ht="13" x14ac:dyDescent="0.15">
      <c r="A736" s="10"/>
      <c r="B736" s="13"/>
      <c r="C736" s="13"/>
      <c r="D736" s="13"/>
    </row>
    <row r="737" spans="1:4" ht="13" x14ac:dyDescent="0.15">
      <c r="A737" s="10"/>
      <c r="B737" s="13"/>
      <c r="C737" s="13"/>
      <c r="D737" s="13"/>
    </row>
    <row r="738" spans="1:4" ht="13" x14ac:dyDescent="0.15">
      <c r="A738" s="10"/>
      <c r="B738" s="13"/>
      <c r="C738" s="13"/>
      <c r="D738" s="13"/>
    </row>
    <row r="739" spans="1:4" ht="13" x14ac:dyDescent="0.15">
      <c r="A739" s="10"/>
      <c r="B739" s="13"/>
      <c r="C739" s="13"/>
      <c r="D739" s="13"/>
    </row>
    <row r="740" spans="1:4" ht="13" x14ac:dyDescent="0.15">
      <c r="A740" s="10"/>
      <c r="B740" s="13"/>
      <c r="C740" s="13"/>
      <c r="D740" s="13"/>
    </row>
    <row r="741" spans="1:4" ht="13" x14ac:dyDescent="0.15">
      <c r="A741" s="10"/>
      <c r="B741" s="13"/>
      <c r="C741" s="13"/>
      <c r="D741" s="13"/>
    </row>
    <row r="742" spans="1:4" ht="13" x14ac:dyDescent="0.15">
      <c r="A742" s="10"/>
      <c r="B742" s="13"/>
      <c r="C742" s="13"/>
      <c r="D742" s="13"/>
    </row>
    <row r="743" spans="1:4" ht="13" x14ac:dyDescent="0.15">
      <c r="A743" s="10"/>
      <c r="B743" s="13"/>
      <c r="C743" s="13"/>
      <c r="D743" s="13"/>
    </row>
    <row r="744" spans="1:4" ht="13" x14ac:dyDescent="0.15">
      <c r="A744" s="10"/>
      <c r="B744" s="13"/>
      <c r="C744" s="13"/>
      <c r="D744" s="13"/>
    </row>
    <row r="745" spans="1:4" ht="13" x14ac:dyDescent="0.15">
      <c r="A745" s="10"/>
      <c r="B745" s="13"/>
      <c r="C745" s="13"/>
      <c r="D745" s="13"/>
    </row>
    <row r="746" spans="1:4" ht="13" x14ac:dyDescent="0.15">
      <c r="A746" s="10"/>
      <c r="B746" s="13"/>
      <c r="C746" s="13"/>
      <c r="D746" s="13"/>
    </row>
    <row r="747" spans="1:4" ht="13" x14ac:dyDescent="0.15">
      <c r="A747" s="10"/>
      <c r="B747" s="13"/>
      <c r="C747" s="13"/>
      <c r="D747" s="13"/>
    </row>
    <row r="748" spans="1:4" ht="13" x14ac:dyDescent="0.15">
      <c r="A748" s="10"/>
      <c r="B748" s="13"/>
      <c r="C748" s="13"/>
      <c r="D748" s="13"/>
    </row>
    <row r="749" spans="1:4" ht="13" x14ac:dyDescent="0.15">
      <c r="A749" s="10"/>
      <c r="B749" s="13"/>
      <c r="C749" s="13"/>
      <c r="D749" s="13"/>
    </row>
    <row r="750" spans="1:4" ht="13" x14ac:dyDescent="0.15">
      <c r="A750" s="10"/>
      <c r="B750" s="13"/>
      <c r="C750" s="13"/>
      <c r="D750" s="13"/>
    </row>
    <row r="751" spans="1:4" ht="13" x14ac:dyDescent="0.15">
      <c r="A751" s="10"/>
      <c r="B751" s="13"/>
      <c r="C751" s="13"/>
      <c r="D751" s="13"/>
    </row>
    <row r="752" spans="1:4" ht="13" x14ac:dyDescent="0.15">
      <c r="A752" s="10"/>
      <c r="B752" s="13"/>
      <c r="C752" s="13"/>
      <c r="D752" s="13"/>
    </row>
    <row r="753" spans="1:4" ht="13" x14ac:dyDescent="0.15">
      <c r="A753" s="10"/>
      <c r="B753" s="13"/>
      <c r="C753" s="13"/>
      <c r="D753" s="13"/>
    </row>
    <row r="754" spans="1:4" ht="13" x14ac:dyDescent="0.15">
      <c r="A754" s="10"/>
      <c r="B754" s="13"/>
      <c r="C754" s="13"/>
      <c r="D754" s="13"/>
    </row>
    <row r="755" spans="1:4" ht="13" x14ac:dyDescent="0.15">
      <c r="A755" s="10"/>
      <c r="B755" s="13"/>
      <c r="C755" s="13"/>
      <c r="D755" s="13"/>
    </row>
    <row r="756" spans="1:4" ht="13" x14ac:dyDescent="0.15">
      <c r="A756" s="10"/>
      <c r="B756" s="13"/>
      <c r="C756" s="13"/>
      <c r="D756" s="13"/>
    </row>
    <row r="757" spans="1:4" ht="13" x14ac:dyDescent="0.15">
      <c r="A757" s="10"/>
      <c r="B757" s="13"/>
      <c r="C757" s="13"/>
      <c r="D757" s="13"/>
    </row>
    <row r="758" spans="1:4" ht="13" x14ac:dyDescent="0.15">
      <c r="A758" s="10"/>
      <c r="B758" s="13"/>
      <c r="C758" s="13"/>
      <c r="D758" s="13"/>
    </row>
    <row r="759" spans="1:4" ht="13" x14ac:dyDescent="0.15">
      <c r="A759" s="10"/>
      <c r="B759" s="13"/>
      <c r="C759" s="13"/>
      <c r="D759" s="13"/>
    </row>
    <row r="760" spans="1:4" ht="13" x14ac:dyDescent="0.15">
      <c r="A760" s="10"/>
      <c r="B760" s="13"/>
      <c r="C760" s="13"/>
      <c r="D760" s="13"/>
    </row>
    <row r="761" spans="1:4" ht="13" x14ac:dyDescent="0.15">
      <c r="A761" s="10"/>
      <c r="B761" s="13"/>
      <c r="C761" s="13"/>
      <c r="D761" s="13"/>
    </row>
    <row r="762" spans="1:4" ht="13" x14ac:dyDescent="0.15">
      <c r="A762" s="10"/>
      <c r="B762" s="13"/>
      <c r="C762" s="13"/>
      <c r="D762" s="13"/>
    </row>
    <row r="763" spans="1:4" ht="13" x14ac:dyDescent="0.15">
      <c r="A763" s="10"/>
      <c r="B763" s="13"/>
      <c r="C763" s="13"/>
      <c r="D763" s="13"/>
    </row>
    <row r="764" spans="1:4" ht="13" x14ac:dyDescent="0.15">
      <c r="A764" s="10"/>
      <c r="B764" s="13"/>
      <c r="C764" s="13"/>
      <c r="D764" s="13"/>
    </row>
    <row r="765" spans="1:4" ht="13" x14ac:dyDescent="0.15">
      <c r="A765" s="10"/>
      <c r="B765" s="13"/>
      <c r="C765" s="13"/>
      <c r="D765" s="13"/>
    </row>
    <row r="766" spans="1:4" ht="13" x14ac:dyDescent="0.15">
      <c r="A766" s="10"/>
      <c r="B766" s="13"/>
      <c r="C766" s="13"/>
      <c r="D766" s="13"/>
    </row>
    <row r="767" spans="1:4" ht="13" x14ac:dyDescent="0.15">
      <c r="A767" s="10"/>
      <c r="B767" s="13"/>
      <c r="C767" s="13"/>
      <c r="D767" s="13"/>
    </row>
    <row r="768" spans="1:4" ht="13" x14ac:dyDescent="0.15">
      <c r="A768" s="10"/>
      <c r="B768" s="13"/>
      <c r="C768" s="13"/>
      <c r="D768" s="13"/>
    </row>
    <row r="769" spans="1:4" ht="13" x14ac:dyDescent="0.15">
      <c r="A769" s="10"/>
      <c r="B769" s="13"/>
      <c r="C769" s="13"/>
      <c r="D769" s="13"/>
    </row>
    <row r="770" spans="1:4" ht="13" x14ac:dyDescent="0.15">
      <c r="A770" s="10"/>
      <c r="B770" s="13"/>
      <c r="C770" s="13"/>
      <c r="D770" s="13"/>
    </row>
    <row r="771" spans="1:4" ht="13" x14ac:dyDescent="0.15">
      <c r="A771" s="10"/>
      <c r="B771" s="13"/>
      <c r="C771" s="13"/>
      <c r="D771" s="13"/>
    </row>
    <row r="772" spans="1:4" ht="13" x14ac:dyDescent="0.15">
      <c r="A772" s="10"/>
      <c r="B772" s="13"/>
      <c r="C772" s="13"/>
      <c r="D772" s="13"/>
    </row>
    <row r="773" spans="1:4" ht="13" x14ac:dyDescent="0.15">
      <c r="A773" s="10"/>
      <c r="B773" s="13"/>
      <c r="C773" s="13"/>
      <c r="D773" s="13"/>
    </row>
    <row r="774" spans="1:4" ht="13" x14ac:dyDescent="0.15">
      <c r="A774" s="10"/>
      <c r="B774" s="13"/>
      <c r="C774" s="13"/>
      <c r="D774" s="13"/>
    </row>
    <row r="775" spans="1:4" ht="13" x14ac:dyDescent="0.15">
      <c r="A775" s="10"/>
      <c r="B775" s="13"/>
      <c r="C775" s="13"/>
      <c r="D775" s="13"/>
    </row>
    <row r="776" spans="1:4" ht="13" x14ac:dyDescent="0.15">
      <c r="A776" s="10"/>
      <c r="B776" s="13"/>
      <c r="C776" s="13"/>
      <c r="D776" s="13"/>
    </row>
    <row r="777" spans="1:4" ht="13" x14ac:dyDescent="0.15">
      <c r="A777" s="10"/>
      <c r="B777" s="13"/>
      <c r="C777" s="13"/>
      <c r="D777" s="13"/>
    </row>
    <row r="778" spans="1:4" ht="13" x14ac:dyDescent="0.15">
      <c r="A778" s="10"/>
      <c r="B778" s="13"/>
      <c r="C778" s="13"/>
      <c r="D778" s="13"/>
    </row>
    <row r="779" spans="1:4" ht="13" x14ac:dyDescent="0.15">
      <c r="A779" s="10"/>
      <c r="B779" s="13"/>
      <c r="C779" s="13"/>
      <c r="D779" s="13"/>
    </row>
    <row r="780" spans="1:4" ht="13" x14ac:dyDescent="0.15">
      <c r="A780" s="10"/>
      <c r="B780" s="13"/>
      <c r="C780" s="13"/>
      <c r="D780" s="13"/>
    </row>
    <row r="781" spans="1:4" ht="13" x14ac:dyDescent="0.15">
      <c r="A781" s="10"/>
      <c r="B781" s="13"/>
      <c r="C781" s="13"/>
      <c r="D781" s="13"/>
    </row>
    <row r="782" spans="1:4" ht="13" x14ac:dyDescent="0.15">
      <c r="A782" s="10"/>
      <c r="B782" s="13"/>
      <c r="C782" s="13"/>
      <c r="D782" s="13"/>
    </row>
    <row r="783" spans="1:4" ht="13" x14ac:dyDescent="0.15">
      <c r="A783" s="10"/>
      <c r="B783" s="13"/>
      <c r="C783" s="13"/>
      <c r="D783" s="13"/>
    </row>
    <row r="784" spans="1:4" ht="13" x14ac:dyDescent="0.15">
      <c r="A784" s="10"/>
      <c r="B784" s="13"/>
      <c r="C784" s="13"/>
      <c r="D784" s="13"/>
    </row>
    <row r="785" spans="1:4" ht="13" x14ac:dyDescent="0.15">
      <c r="A785" s="10"/>
      <c r="B785" s="13"/>
      <c r="C785" s="13"/>
      <c r="D785" s="13"/>
    </row>
    <row r="786" spans="1:4" ht="13" x14ac:dyDescent="0.15">
      <c r="A786" s="10"/>
      <c r="B786" s="13"/>
      <c r="C786" s="13"/>
      <c r="D786" s="13"/>
    </row>
    <row r="787" spans="1:4" ht="13" x14ac:dyDescent="0.15">
      <c r="A787" s="10"/>
      <c r="B787" s="13"/>
      <c r="C787" s="13"/>
      <c r="D787" s="13"/>
    </row>
    <row r="788" spans="1:4" ht="13" x14ac:dyDescent="0.15">
      <c r="A788" s="10"/>
      <c r="B788" s="13"/>
      <c r="C788" s="13"/>
      <c r="D788" s="13"/>
    </row>
    <row r="789" spans="1:4" ht="13" x14ac:dyDescent="0.15">
      <c r="A789" s="10"/>
      <c r="B789" s="13"/>
      <c r="C789" s="13"/>
      <c r="D789" s="13"/>
    </row>
    <row r="790" spans="1:4" ht="13" x14ac:dyDescent="0.15">
      <c r="A790" s="10"/>
      <c r="B790" s="13"/>
      <c r="C790" s="13"/>
      <c r="D790" s="13"/>
    </row>
    <row r="791" spans="1:4" ht="13" x14ac:dyDescent="0.15">
      <c r="A791" s="10"/>
      <c r="B791" s="13"/>
      <c r="C791" s="13"/>
      <c r="D791" s="13"/>
    </row>
    <row r="792" spans="1:4" ht="13" x14ac:dyDescent="0.15">
      <c r="A792" s="10"/>
      <c r="B792" s="13"/>
      <c r="C792" s="13"/>
      <c r="D792" s="13"/>
    </row>
    <row r="793" spans="1:4" ht="13" x14ac:dyDescent="0.15">
      <c r="A793" s="10"/>
      <c r="B793" s="13"/>
      <c r="C793" s="13"/>
      <c r="D793" s="13"/>
    </row>
    <row r="794" spans="1:4" ht="13" x14ac:dyDescent="0.15">
      <c r="A794" s="10"/>
      <c r="B794" s="13"/>
      <c r="C794" s="13"/>
      <c r="D794" s="13"/>
    </row>
    <row r="795" spans="1:4" ht="13" x14ac:dyDescent="0.15">
      <c r="A795" s="10"/>
      <c r="B795" s="13"/>
      <c r="C795" s="13"/>
      <c r="D795" s="13"/>
    </row>
    <row r="796" spans="1:4" ht="13" x14ac:dyDescent="0.15">
      <c r="A796" s="10"/>
      <c r="B796" s="13"/>
      <c r="C796" s="13"/>
      <c r="D796" s="13"/>
    </row>
    <row r="797" spans="1:4" ht="13" x14ac:dyDescent="0.15">
      <c r="A797" s="10"/>
      <c r="B797" s="13"/>
      <c r="C797" s="13"/>
      <c r="D797" s="13"/>
    </row>
    <row r="798" spans="1:4" ht="13" x14ac:dyDescent="0.15">
      <c r="A798" s="10"/>
      <c r="B798" s="13"/>
      <c r="C798" s="13"/>
      <c r="D798" s="13"/>
    </row>
    <row r="799" spans="1:4" ht="13" x14ac:dyDescent="0.15">
      <c r="A799" s="10"/>
      <c r="B799" s="13"/>
      <c r="C799" s="13"/>
      <c r="D799" s="13"/>
    </row>
    <row r="800" spans="1:4" ht="13" x14ac:dyDescent="0.15">
      <c r="A800" s="10"/>
      <c r="B800" s="13"/>
      <c r="C800" s="13"/>
      <c r="D800" s="13"/>
    </row>
    <row r="801" spans="1:4" ht="13" x14ac:dyDescent="0.15">
      <c r="A801" s="10"/>
      <c r="B801" s="13"/>
      <c r="C801" s="13"/>
      <c r="D801" s="13"/>
    </row>
    <row r="802" spans="1:4" ht="13" x14ac:dyDescent="0.15">
      <c r="A802" s="10"/>
      <c r="B802" s="13"/>
      <c r="C802" s="13"/>
      <c r="D802" s="13"/>
    </row>
    <row r="803" spans="1:4" ht="13" x14ac:dyDescent="0.15">
      <c r="A803" s="10"/>
      <c r="B803" s="13"/>
      <c r="C803" s="13"/>
      <c r="D803" s="13"/>
    </row>
    <row r="804" spans="1:4" ht="13" x14ac:dyDescent="0.15">
      <c r="A804" s="10"/>
      <c r="B804" s="13"/>
      <c r="C804" s="13"/>
      <c r="D804" s="13"/>
    </row>
    <row r="805" spans="1:4" ht="13" x14ac:dyDescent="0.15">
      <c r="A805" s="10"/>
      <c r="B805" s="13"/>
      <c r="C805" s="13"/>
      <c r="D805" s="13"/>
    </row>
    <row r="806" spans="1:4" ht="13" x14ac:dyDescent="0.15">
      <c r="A806" s="10"/>
      <c r="B806" s="13"/>
      <c r="C806" s="13"/>
      <c r="D806" s="13"/>
    </row>
    <row r="807" spans="1:4" ht="13" x14ac:dyDescent="0.15">
      <c r="A807" s="10"/>
      <c r="B807" s="13"/>
      <c r="C807" s="13"/>
      <c r="D807" s="13"/>
    </row>
    <row r="808" spans="1:4" ht="13" x14ac:dyDescent="0.15">
      <c r="A808" s="10"/>
      <c r="B808" s="13"/>
      <c r="C808" s="13"/>
      <c r="D808" s="13"/>
    </row>
    <row r="809" spans="1:4" ht="13" x14ac:dyDescent="0.15">
      <c r="A809" s="10"/>
      <c r="B809" s="13"/>
      <c r="C809" s="13"/>
      <c r="D809" s="13"/>
    </row>
    <row r="810" spans="1:4" ht="13" x14ac:dyDescent="0.15">
      <c r="A810" s="10"/>
      <c r="B810" s="13"/>
      <c r="C810" s="13"/>
      <c r="D810" s="13"/>
    </row>
    <row r="811" spans="1:4" ht="13" x14ac:dyDescent="0.15">
      <c r="A811" s="10"/>
      <c r="B811" s="13"/>
      <c r="C811" s="13"/>
      <c r="D811" s="13"/>
    </row>
    <row r="812" spans="1:4" ht="13" x14ac:dyDescent="0.15">
      <c r="A812" s="10"/>
      <c r="B812" s="13"/>
      <c r="C812" s="13"/>
      <c r="D812" s="13"/>
    </row>
    <row r="813" spans="1:4" ht="13" x14ac:dyDescent="0.15">
      <c r="A813" s="10"/>
      <c r="B813" s="13"/>
      <c r="C813" s="13"/>
      <c r="D813" s="13"/>
    </row>
    <row r="814" spans="1:4" ht="13" x14ac:dyDescent="0.15">
      <c r="A814" s="10"/>
      <c r="B814" s="13"/>
      <c r="C814" s="13"/>
      <c r="D814" s="13"/>
    </row>
    <row r="815" spans="1:4" ht="13" x14ac:dyDescent="0.15">
      <c r="A815" s="10"/>
      <c r="B815" s="13"/>
      <c r="C815" s="13"/>
      <c r="D815" s="13"/>
    </row>
    <row r="816" spans="1:4" ht="13" x14ac:dyDescent="0.15">
      <c r="A816" s="10"/>
      <c r="B816" s="13"/>
      <c r="C816" s="13"/>
      <c r="D816" s="13"/>
    </row>
    <row r="817" spans="1:4" ht="13" x14ac:dyDescent="0.15">
      <c r="A817" s="10"/>
      <c r="B817" s="13"/>
      <c r="C817" s="13"/>
      <c r="D817" s="13"/>
    </row>
    <row r="818" spans="1:4" ht="13" x14ac:dyDescent="0.15">
      <c r="A818" s="10"/>
      <c r="B818" s="13"/>
      <c r="C818" s="13"/>
      <c r="D818" s="13"/>
    </row>
    <row r="819" spans="1:4" ht="13" x14ac:dyDescent="0.15">
      <c r="A819" s="10"/>
      <c r="B819" s="13"/>
      <c r="C819" s="13"/>
      <c r="D819" s="13"/>
    </row>
    <row r="820" spans="1:4" ht="13" x14ac:dyDescent="0.15">
      <c r="A820" s="10"/>
      <c r="B820" s="13"/>
      <c r="C820" s="13"/>
      <c r="D820" s="13"/>
    </row>
    <row r="821" spans="1:4" ht="13" x14ac:dyDescent="0.15">
      <c r="A821" s="10"/>
      <c r="B821" s="13"/>
      <c r="C821" s="13"/>
      <c r="D821" s="13"/>
    </row>
    <row r="822" spans="1:4" ht="13" x14ac:dyDescent="0.15">
      <c r="A822" s="10"/>
      <c r="B822" s="13"/>
      <c r="C822" s="13"/>
      <c r="D822" s="13"/>
    </row>
    <row r="823" spans="1:4" ht="13" x14ac:dyDescent="0.15">
      <c r="A823" s="10"/>
      <c r="B823" s="13"/>
      <c r="C823" s="13"/>
      <c r="D823" s="13"/>
    </row>
    <row r="824" spans="1:4" ht="13" x14ac:dyDescent="0.15">
      <c r="A824" s="10"/>
      <c r="B824" s="13"/>
      <c r="C824" s="13"/>
      <c r="D824" s="13"/>
    </row>
    <row r="825" spans="1:4" ht="13" x14ac:dyDescent="0.15">
      <c r="A825" s="10"/>
      <c r="B825" s="13"/>
      <c r="C825" s="13"/>
      <c r="D825" s="13"/>
    </row>
    <row r="826" spans="1:4" ht="13" x14ac:dyDescent="0.15">
      <c r="A826" s="10"/>
      <c r="B826" s="13"/>
      <c r="C826" s="13"/>
      <c r="D826" s="13"/>
    </row>
    <row r="827" spans="1:4" ht="13" x14ac:dyDescent="0.15">
      <c r="A827" s="10"/>
      <c r="B827" s="13"/>
      <c r="C827" s="13"/>
      <c r="D827" s="13"/>
    </row>
    <row r="828" spans="1:4" ht="13" x14ac:dyDescent="0.15">
      <c r="A828" s="10"/>
      <c r="B828" s="13"/>
      <c r="C828" s="13"/>
      <c r="D828" s="13"/>
    </row>
    <row r="829" spans="1:4" ht="13" x14ac:dyDescent="0.15">
      <c r="A829" s="10"/>
      <c r="B829" s="13"/>
      <c r="C829" s="13"/>
      <c r="D829" s="13"/>
    </row>
    <row r="830" spans="1:4" ht="13" x14ac:dyDescent="0.15">
      <c r="A830" s="10"/>
      <c r="B830" s="13"/>
      <c r="C830" s="13"/>
      <c r="D830" s="13"/>
    </row>
    <row r="831" spans="1:4" ht="13" x14ac:dyDescent="0.15">
      <c r="A831" s="10"/>
      <c r="B831" s="13"/>
      <c r="C831" s="13"/>
      <c r="D831" s="13"/>
    </row>
    <row r="832" spans="1:4" ht="13" x14ac:dyDescent="0.15">
      <c r="A832" s="10"/>
      <c r="B832" s="13"/>
      <c r="C832" s="13"/>
      <c r="D832" s="13"/>
    </row>
    <row r="833" spans="1:4" ht="13" x14ac:dyDescent="0.15">
      <c r="A833" s="10"/>
      <c r="B833" s="13"/>
      <c r="C833" s="13"/>
      <c r="D833" s="13"/>
    </row>
    <row r="834" spans="1:4" ht="13" x14ac:dyDescent="0.15">
      <c r="A834" s="10"/>
      <c r="B834" s="13"/>
      <c r="C834" s="13"/>
      <c r="D834" s="13"/>
    </row>
    <row r="835" spans="1:4" ht="13" x14ac:dyDescent="0.15">
      <c r="A835" s="10"/>
      <c r="B835" s="13"/>
      <c r="C835" s="13"/>
      <c r="D835" s="13"/>
    </row>
    <row r="836" spans="1:4" ht="13" x14ac:dyDescent="0.15">
      <c r="A836" s="10"/>
      <c r="B836" s="13"/>
      <c r="C836" s="13"/>
      <c r="D836" s="13"/>
    </row>
    <row r="837" spans="1:4" ht="13" x14ac:dyDescent="0.15">
      <c r="A837" s="10"/>
      <c r="B837" s="13"/>
      <c r="C837" s="13"/>
      <c r="D837" s="13"/>
    </row>
    <row r="838" spans="1:4" ht="13" x14ac:dyDescent="0.15">
      <c r="A838" s="10"/>
      <c r="B838" s="13"/>
      <c r="C838" s="13"/>
      <c r="D838" s="13"/>
    </row>
    <row r="839" spans="1:4" ht="13" x14ac:dyDescent="0.15">
      <c r="A839" s="10"/>
      <c r="B839" s="13"/>
      <c r="C839" s="13"/>
      <c r="D839" s="13"/>
    </row>
    <row r="840" spans="1:4" ht="13" x14ac:dyDescent="0.15">
      <c r="A840" s="10"/>
      <c r="B840" s="13"/>
      <c r="C840" s="13"/>
      <c r="D840" s="13"/>
    </row>
    <row r="841" spans="1:4" ht="13" x14ac:dyDescent="0.15">
      <c r="A841" s="10"/>
      <c r="B841" s="13"/>
      <c r="C841" s="13"/>
      <c r="D841" s="13"/>
    </row>
    <row r="842" spans="1:4" ht="13" x14ac:dyDescent="0.15">
      <c r="A842" s="10"/>
      <c r="B842" s="13"/>
      <c r="C842" s="13"/>
      <c r="D842" s="13"/>
    </row>
    <row r="843" spans="1:4" ht="13" x14ac:dyDescent="0.15">
      <c r="A843" s="10"/>
      <c r="B843" s="13"/>
      <c r="C843" s="13"/>
      <c r="D843" s="13"/>
    </row>
    <row r="844" spans="1:4" ht="13" x14ac:dyDescent="0.15">
      <c r="A844" s="10"/>
      <c r="B844" s="13"/>
      <c r="C844" s="13"/>
      <c r="D844" s="13"/>
    </row>
    <row r="845" spans="1:4" ht="13" x14ac:dyDescent="0.15">
      <c r="A845" s="10"/>
      <c r="B845" s="13"/>
      <c r="C845" s="13"/>
      <c r="D845" s="13"/>
    </row>
    <row r="846" spans="1:4" ht="13" x14ac:dyDescent="0.15">
      <c r="A846" s="10"/>
      <c r="B846" s="13"/>
      <c r="C846" s="13"/>
      <c r="D846" s="13"/>
    </row>
    <row r="847" spans="1:4" ht="13" x14ac:dyDescent="0.15">
      <c r="A847" s="10"/>
      <c r="B847" s="13"/>
      <c r="C847" s="13"/>
      <c r="D847" s="13"/>
    </row>
    <row r="848" spans="1:4" ht="13" x14ac:dyDescent="0.15">
      <c r="A848" s="10"/>
      <c r="B848" s="13"/>
      <c r="C848" s="13"/>
      <c r="D848" s="13"/>
    </row>
    <row r="849" spans="1:4" ht="13" x14ac:dyDescent="0.15">
      <c r="A849" s="10"/>
      <c r="B849" s="13"/>
      <c r="C849" s="13"/>
      <c r="D849" s="13"/>
    </row>
    <row r="850" spans="1:4" ht="13" x14ac:dyDescent="0.15">
      <c r="A850" s="10"/>
      <c r="B850" s="13"/>
      <c r="C850" s="13"/>
      <c r="D850" s="13"/>
    </row>
    <row r="851" spans="1:4" ht="13" x14ac:dyDescent="0.15">
      <c r="A851" s="10"/>
      <c r="B851" s="13"/>
      <c r="C851" s="13"/>
      <c r="D851" s="13"/>
    </row>
    <row r="852" spans="1:4" ht="13" x14ac:dyDescent="0.15">
      <c r="A852" s="10"/>
      <c r="B852" s="13"/>
      <c r="C852" s="13"/>
      <c r="D852" s="13"/>
    </row>
    <row r="853" spans="1:4" ht="13" x14ac:dyDescent="0.15">
      <c r="A853" s="10"/>
      <c r="B853" s="13"/>
      <c r="C853" s="13"/>
      <c r="D853" s="13"/>
    </row>
    <row r="854" spans="1:4" ht="13" x14ac:dyDescent="0.15">
      <c r="A854" s="10"/>
      <c r="B854" s="13"/>
      <c r="C854" s="13"/>
      <c r="D854" s="13"/>
    </row>
    <row r="855" spans="1:4" ht="13" x14ac:dyDescent="0.15">
      <c r="A855" s="10"/>
      <c r="B855" s="13"/>
      <c r="C855" s="13"/>
      <c r="D855" s="13"/>
    </row>
    <row r="856" spans="1:4" ht="13" x14ac:dyDescent="0.15">
      <c r="A856" s="10"/>
      <c r="B856" s="13"/>
      <c r="C856" s="13"/>
      <c r="D856" s="13"/>
    </row>
    <row r="857" spans="1:4" ht="13" x14ac:dyDescent="0.15">
      <c r="A857" s="10"/>
      <c r="B857" s="13"/>
      <c r="C857" s="13"/>
      <c r="D857" s="13"/>
    </row>
    <row r="858" spans="1:4" ht="13" x14ac:dyDescent="0.15">
      <c r="A858" s="10"/>
      <c r="B858" s="13"/>
      <c r="C858" s="13"/>
      <c r="D858" s="13"/>
    </row>
    <row r="859" spans="1:4" ht="13" x14ac:dyDescent="0.15">
      <c r="A859" s="10"/>
      <c r="B859" s="13"/>
      <c r="C859" s="13"/>
      <c r="D859" s="13"/>
    </row>
    <row r="860" spans="1:4" ht="13" x14ac:dyDescent="0.15">
      <c r="A860" s="10"/>
      <c r="B860" s="13"/>
      <c r="C860" s="13"/>
      <c r="D860" s="13"/>
    </row>
    <row r="861" spans="1:4" ht="13" x14ac:dyDescent="0.15">
      <c r="A861" s="10"/>
      <c r="B861" s="13"/>
      <c r="C861" s="13"/>
      <c r="D861" s="13"/>
    </row>
    <row r="862" spans="1:4" ht="13" x14ac:dyDescent="0.15">
      <c r="A862" s="10"/>
      <c r="B862" s="13"/>
      <c r="C862" s="13"/>
      <c r="D862" s="13"/>
    </row>
    <row r="863" spans="1:4" ht="13" x14ac:dyDescent="0.15">
      <c r="A863" s="10"/>
      <c r="B863" s="13"/>
      <c r="C863" s="13"/>
      <c r="D863" s="13"/>
    </row>
    <row r="864" spans="1:4" ht="13" x14ac:dyDescent="0.15">
      <c r="A864" s="10"/>
      <c r="B864" s="13"/>
      <c r="C864" s="13"/>
      <c r="D864" s="13"/>
    </row>
    <row r="865" spans="1:4" ht="13" x14ac:dyDescent="0.15">
      <c r="A865" s="10"/>
      <c r="B865" s="13"/>
      <c r="C865" s="13"/>
      <c r="D865" s="13"/>
    </row>
    <row r="866" spans="1:4" ht="13" x14ac:dyDescent="0.15">
      <c r="A866" s="10"/>
      <c r="B866" s="13"/>
      <c r="C866" s="13"/>
      <c r="D866" s="13"/>
    </row>
    <row r="867" spans="1:4" ht="13" x14ac:dyDescent="0.15">
      <c r="A867" s="10"/>
      <c r="B867" s="13"/>
      <c r="C867" s="13"/>
      <c r="D867" s="13"/>
    </row>
    <row r="868" spans="1:4" ht="13" x14ac:dyDescent="0.15">
      <c r="A868" s="10"/>
      <c r="B868" s="13"/>
      <c r="C868" s="13"/>
      <c r="D868" s="13"/>
    </row>
    <row r="869" spans="1:4" ht="13" x14ac:dyDescent="0.15">
      <c r="A869" s="10"/>
      <c r="B869" s="13"/>
      <c r="C869" s="13"/>
      <c r="D869" s="13"/>
    </row>
    <row r="870" spans="1:4" ht="13" x14ac:dyDescent="0.15">
      <c r="A870" s="10"/>
      <c r="B870" s="13"/>
      <c r="C870" s="13"/>
      <c r="D870" s="13"/>
    </row>
    <row r="871" spans="1:4" ht="13" x14ac:dyDescent="0.15">
      <c r="A871" s="10"/>
      <c r="B871" s="13"/>
      <c r="C871" s="13"/>
      <c r="D871" s="13"/>
    </row>
    <row r="872" spans="1:4" ht="13" x14ac:dyDescent="0.15">
      <c r="A872" s="10"/>
      <c r="B872" s="13"/>
      <c r="C872" s="13"/>
      <c r="D872" s="13"/>
    </row>
    <row r="873" spans="1:4" ht="13" x14ac:dyDescent="0.15">
      <c r="A873" s="10"/>
      <c r="B873" s="13"/>
      <c r="C873" s="13"/>
      <c r="D873" s="13"/>
    </row>
    <row r="874" spans="1:4" ht="13" x14ac:dyDescent="0.15">
      <c r="A874" s="10"/>
      <c r="B874" s="13"/>
      <c r="C874" s="13"/>
      <c r="D874" s="13"/>
    </row>
    <row r="875" spans="1:4" ht="13" x14ac:dyDescent="0.15">
      <c r="A875" s="10"/>
      <c r="B875" s="13"/>
      <c r="C875" s="13"/>
      <c r="D875" s="13"/>
    </row>
    <row r="876" spans="1:4" ht="13" x14ac:dyDescent="0.15">
      <c r="A876" s="10"/>
      <c r="B876" s="13"/>
      <c r="C876" s="13"/>
      <c r="D876" s="13"/>
    </row>
    <row r="877" spans="1:4" ht="13" x14ac:dyDescent="0.15">
      <c r="A877" s="10"/>
      <c r="B877" s="13"/>
      <c r="C877" s="13"/>
      <c r="D877" s="13"/>
    </row>
    <row r="878" spans="1:4" ht="13" x14ac:dyDescent="0.15">
      <c r="A878" s="10"/>
      <c r="B878" s="13"/>
      <c r="C878" s="13"/>
      <c r="D878" s="13"/>
    </row>
    <row r="879" spans="1:4" ht="13" x14ac:dyDescent="0.15">
      <c r="A879" s="10"/>
      <c r="B879" s="13"/>
      <c r="C879" s="13"/>
      <c r="D879" s="13"/>
    </row>
    <row r="880" spans="1:4" ht="13" x14ac:dyDescent="0.15">
      <c r="A880" s="10"/>
      <c r="B880" s="13"/>
      <c r="C880" s="13"/>
      <c r="D880" s="13"/>
    </row>
    <row r="881" spans="1:4" ht="13" x14ac:dyDescent="0.15">
      <c r="A881" s="10"/>
      <c r="B881" s="13"/>
      <c r="C881" s="13"/>
      <c r="D881" s="13"/>
    </row>
    <row r="882" spans="1:4" ht="13" x14ac:dyDescent="0.15">
      <c r="A882" s="10"/>
      <c r="B882" s="13"/>
      <c r="C882" s="13"/>
      <c r="D882" s="13"/>
    </row>
    <row r="883" spans="1:4" ht="13" x14ac:dyDescent="0.15">
      <c r="A883" s="10"/>
      <c r="B883" s="13"/>
      <c r="C883" s="13"/>
      <c r="D883" s="13"/>
    </row>
    <row r="884" spans="1:4" ht="13" x14ac:dyDescent="0.15">
      <c r="A884" s="10"/>
      <c r="B884" s="13"/>
      <c r="C884" s="13"/>
      <c r="D884" s="13"/>
    </row>
    <row r="885" spans="1:4" ht="13" x14ac:dyDescent="0.15">
      <c r="A885" s="10"/>
      <c r="B885" s="13"/>
      <c r="C885" s="13"/>
      <c r="D885" s="13"/>
    </row>
    <row r="886" spans="1:4" ht="13" x14ac:dyDescent="0.15">
      <c r="A886" s="10"/>
      <c r="B886" s="13"/>
      <c r="C886" s="13"/>
      <c r="D886" s="13"/>
    </row>
    <row r="887" spans="1:4" ht="13" x14ac:dyDescent="0.15">
      <c r="A887" s="10"/>
      <c r="B887" s="13"/>
      <c r="C887" s="13"/>
      <c r="D887" s="13"/>
    </row>
    <row r="888" spans="1:4" ht="13" x14ac:dyDescent="0.15">
      <c r="A888" s="10"/>
      <c r="B888" s="13"/>
      <c r="C888" s="13"/>
      <c r="D888" s="13"/>
    </row>
    <row r="889" spans="1:4" ht="13" x14ac:dyDescent="0.15">
      <c r="A889" s="10"/>
      <c r="B889" s="13"/>
      <c r="C889" s="13"/>
      <c r="D889" s="13"/>
    </row>
    <row r="890" spans="1:4" ht="13" x14ac:dyDescent="0.15">
      <c r="A890" s="10"/>
      <c r="B890" s="13"/>
      <c r="C890" s="13"/>
      <c r="D890" s="13"/>
    </row>
    <row r="891" spans="1:4" ht="13" x14ac:dyDescent="0.15">
      <c r="A891" s="10"/>
      <c r="B891" s="13"/>
      <c r="C891" s="13"/>
      <c r="D891" s="13"/>
    </row>
    <row r="892" spans="1:4" ht="13" x14ac:dyDescent="0.15">
      <c r="A892" s="10"/>
      <c r="B892" s="13"/>
      <c r="C892" s="13"/>
      <c r="D892" s="13"/>
    </row>
    <row r="893" spans="1:4" ht="13" x14ac:dyDescent="0.15">
      <c r="A893" s="10"/>
      <c r="B893" s="13"/>
      <c r="C893" s="13"/>
      <c r="D893" s="13"/>
    </row>
    <row r="894" spans="1:4" ht="13" x14ac:dyDescent="0.15">
      <c r="A894" s="10"/>
      <c r="B894" s="13"/>
      <c r="C894" s="13"/>
      <c r="D894" s="13"/>
    </row>
    <row r="895" spans="1:4" ht="13" x14ac:dyDescent="0.15">
      <c r="A895" s="10"/>
      <c r="B895" s="13"/>
      <c r="C895" s="13"/>
      <c r="D895" s="13"/>
    </row>
    <row r="896" spans="1:4" ht="13" x14ac:dyDescent="0.15">
      <c r="A896" s="10"/>
      <c r="B896" s="13"/>
      <c r="C896" s="13"/>
      <c r="D896" s="13"/>
    </row>
    <row r="897" spans="1:4" ht="13" x14ac:dyDescent="0.15">
      <c r="A897" s="10"/>
      <c r="B897" s="13"/>
      <c r="C897" s="13"/>
      <c r="D897" s="13"/>
    </row>
    <row r="898" spans="1:4" ht="13" x14ac:dyDescent="0.15">
      <c r="A898" s="10"/>
      <c r="B898" s="13"/>
      <c r="C898" s="13"/>
      <c r="D898" s="13"/>
    </row>
    <row r="899" spans="1:4" ht="13" x14ac:dyDescent="0.15">
      <c r="A899" s="10"/>
      <c r="B899" s="13"/>
      <c r="C899" s="13"/>
      <c r="D899" s="13"/>
    </row>
    <row r="900" spans="1:4" ht="13" x14ac:dyDescent="0.15">
      <c r="A900" s="10"/>
      <c r="B900" s="13"/>
      <c r="C900" s="13"/>
      <c r="D900" s="13"/>
    </row>
    <row r="901" spans="1:4" ht="13" x14ac:dyDescent="0.15">
      <c r="A901" s="10"/>
      <c r="B901" s="13"/>
      <c r="C901" s="13"/>
      <c r="D901" s="13"/>
    </row>
    <row r="902" spans="1:4" ht="13" x14ac:dyDescent="0.15">
      <c r="A902" s="10"/>
      <c r="B902" s="13"/>
      <c r="C902" s="13"/>
      <c r="D902" s="13"/>
    </row>
    <row r="903" spans="1:4" ht="13" x14ac:dyDescent="0.15">
      <c r="A903" s="10"/>
      <c r="B903" s="13"/>
      <c r="C903" s="13"/>
      <c r="D903" s="13"/>
    </row>
    <row r="904" spans="1:4" ht="13" x14ac:dyDescent="0.15">
      <c r="A904" s="10"/>
      <c r="B904" s="13"/>
      <c r="C904" s="13"/>
      <c r="D904" s="13"/>
    </row>
    <row r="905" spans="1:4" ht="13" x14ac:dyDescent="0.15">
      <c r="A905" s="10"/>
      <c r="B905" s="13"/>
      <c r="C905" s="13"/>
      <c r="D905" s="13"/>
    </row>
    <row r="906" spans="1:4" ht="13" x14ac:dyDescent="0.15">
      <c r="A906" s="10"/>
      <c r="B906" s="13"/>
      <c r="C906" s="13"/>
      <c r="D906" s="13"/>
    </row>
    <row r="907" spans="1:4" ht="13" x14ac:dyDescent="0.15">
      <c r="A907" s="10"/>
      <c r="B907" s="13"/>
      <c r="C907" s="13"/>
      <c r="D907" s="13"/>
    </row>
    <row r="908" spans="1:4" ht="13" x14ac:dyDescent="0.15">
      <c r="A908" s="10"/>
      <c r="B908" s="13"/>
      <c r="C908" s="13"/>
      <c r="D908" s="13"/>
    </row>
    <row r="909" spans="1:4" ht="13" x14ac:dyDescent="0.15">
      <c r="A909" s="10"/>
      <c r="B909" s="13"/>
      <c r="C909" s="13"/>
      <c r="D909" s="13"/>
    </row>
    <row r="910" spans="1:4" ht="13" x14ac:dyDescent="0.15">
      <c r="A910" s="10"/>
      <c r="B910" s="13"/>
      <c r="C910" s="13"/>
      <c r="D910" s="13"/>
    </row>
    <row r="911" spans="1:4" ht="13" x14ac:dyDescent="0.15">
      <c r="A911" s="10"/>
      <c r="B911" s="13"/>
      <c r="C911" s="13"/>
      <c r="D911" s="13"/>
    </row>
    <row r="912" spans="1:4" ht="13" x14ac:dyDescent="0.15">
      <c r="A912" s="10"/>
      <c r="B912" s="13"/>
      <c r="C912" s="13"/>
      <c r="D912" s="13"/>
    </row>
    <row r="913" spans="1:4" ht="13" x14ac:dyDescent="0.15">
      <c r="A913" s="10"/>
      <c r="B913" s="13"/>
      <c r="C913" s="13"/>
      <c r="D913" s="13"/>
    </row>
    <row r="914" spans="1:4" ht="13" x14ac:dyDescent="0.15">
      <c r="A914" s="10"/>
      <c r="B914" s="13"/>
      <c r="C914" s="13"/>
      <c r="D914" s="13"/>
    </row>
    <row r="915" spans="1:4" ht="13" x14ac:dyDescent="0.15">
      <c r="A915" s="10"/>
      <c r="B915" s="13"/>
      <c r="C915" s="13"/>
      <c r="D915" s="13"/>
    </row>
    <row r="916" spans="1:4" ht="13" x14ac:dyDescent="0.15">
      <c r="A916" s="10"/>
      <c r="B916" s="13"/>
      <c r="C916" s="13"/>
      <c r="D916" s="13"/>
    </row>
    <row r="917" spans="1:4" ht="13" x14ac:dyDescent="0.15">
      <c r="A917" s="10"/>
      <c r="B917" s="13"/>
      <c r="C917" s="13"/>
      <c r="D917" s="13"/>
    </row>
    <row r="918" spans="1:4" ht="13" x14ac:dyDescent="0.15">
      <c r="A918" s="10"/>
      <c r="B918" s="13"/>
      <c r="C918" s="13"/>
      <c r="D918" s="13"/>
    </row>
    <row r="919" spans="1:4" ht="13" x14ac:dyDescent="0.15">
      <c r="A919" s="10"/>
      <c r="B919" s="13"/>
      <c r="C919" s="13"/>
      <c r="D919" s="13"/>
    </row>
    <row r="920" spans="1:4" ht="13" x14ac:dyDescent="0.15">
      <c r="A920" s="10"/>
      <c r="B920" s="13"/>
      <c r="C920" s="13"/>
      <c r="D920" s="13"/>
    </row>
    <row r="921" spans="1:4" ht="13" x14ac:dyDescent="0.15">
      <c r="A921" s="10"/>
      <c r="B921" s="13"/>
      <c r="C921" s="13"/>
      <c r="D921" s="13"/>
    </row>
    <row r="922" spans="1:4" ht="13" x14ac:dyDescent="0.15">
      <c r="A922" s="10"/>
      <c r="B922" s="13"/>
      <c r="C922" s="13"/>
      <c r="D922" s="13"/>
    </row>
    <row r="923" spans="1:4" ht="13" x14ac:dyDescent="0.15">
      <c r="A923" s="10"/>
      <c r="B923" s="13"/>
      <c r="C923" s="13"/>
      <c r="D923" s="13"/>
    </row>
    <row r="924" spans="1:4" ht="13" x14ac:dyDescent="0.15">
      <c r="A924" s="10"/>
      <c r="B924" s="13"/>
      <c r="C924" s="13"/>
      <c r="D924" s="13"/>
    </row>
    <row r="925" spans="1:4" ht="13" x14ac:dyDescent="0.15">
      <c r="A925" s="10"/>
      <c r="B925" s="13"/>
      <c r="C925" s="13"/>
      <c r="D925" s="13"/>
    </row>
    <row r="926" spans="1:4" ht="13" x14ac:dyDescent="0.15">
      <c r="A926" s="10"/>
      <c r="B926" s="13"/>
      <c r="C926" s="13"/>
      <c r="D926" s="13"/>
    </row>
    <row r="927" spans="1:4" ht="13" x14ac:dyDescent="0.15">
      <c r="A927" s="10"/>
      <c r="B927" s="13"/>
      <c r="C927" s="13"/>
      <c r="D927" s="13"/>
    </row>
    <row r="928" spans="1:4" ht="13" x14ac:dyDescent="0.15">
      <c r="A928" s="10"/>
      <c r="B928" s="13"/>
      <c r="C928" s="13"/>
      <c r="D928" s="13"/>
    </row>
    <row r="929" spans="1:4" ht="13" x14ac:dyDescent="0.15">
      <c r="A929" s="10"/>
      <c r="B929" s="13"/>
      <c r="C929" s="13"/>
      <c r="D929" s="13"/>
    </row>
    <row r="930" spans="1:4" ht="13" x14ac:dyDescent="0.15">
      <c r="A930" s="10"/>
      <c r="B930" s="13"/>
      <c r="C930" s="13"/>
      <c r="D930" s="13"/>
    </row>
    <row r="931" spans="1:4" ht="13" x14ac:dyDescent="0.15">
      <c r="A931" s="10"/>
      <c r="B931" s="13"/>
      <c r="C931" s="13"/>
      <c r="D931" s="13"/>
    </row>
    <row r="932" spans="1:4" ht="13" x14ac:dyDescent="0.15">
      <c r="A932" s="10"/>
      <c r="B932" s="13"/>
      <c r="C932" s="13"/>
      <c r="D932" s="13"/>
    </row>
    <row r="933" spans="1:4" ht="13" x14ac:dyDescent="0.15">
      <c r="A933" s="10"/>
      <c r="B933" s="13"/>
      <c r="C933" s="13"/>
      <c r="D933" s="13"/>
    </row>
    <row r="934" spans="1:4" ht="13" x14ac:dyDescent="0.15">
      <c r="A934" s="10"/>
      <c r="B934" s="13"/>
      <c r="C934" s="13"/>
      <c r="D934" s="13"/>
    </row>
    <row r="935" spans="1:4" ht="13" x14ac:dyDescent="0.15">
      <c r="A935" s="10"/>
      <c r="B935" s="13"/>
      <c r="C935" s="13"/>
      <c r="D935" s="13"/>
    </row>
    <row r="936" spans="1:4" ht="13" x14ac:dyDescent="0.15">
      <c r="A936" s="10"/>
      <c r="B936" s="13"/>
      <c r="C936" s="13"/>
      <c r="D936" s="13"/>
    </row>
    <row r="937" spans="1:4" ht="13" x14ac:dyDescent="0.15">
      <c r="A937" s="10"/>
      <c r="B937" s="13"/>
      <c r="C937" s="13"/>
      <c r="D937" s="13"/>
    </row>
    <row r="938" spans="1:4" ht="13" x14ac:dyDescent="0.15">
      <c r="A938" s="10"/>
      <c r="B938" s="13"/>
      <c r="C938" s="13"/>
      <c r="D938" s="13"/>
    </row>
    <row r="939" spans="1:4" ht="13" x14ac:dyDescent="0.15">
      <c r="A939" s="10"/>
      <c r="B939" s="13"/>
      <c r="C939" s="13"/>
      <c r="D939" s="13"/>
    </row>
    <row r="940" spans="1:4" ht="13" x14ac:dyDescent="0.15">
      <c r="A940" s="10"/>
      <c r="B940" s="13"/>
      <c r="C940" s="13"/>
      <c r="D940" s="13"/>
    </row>
    <row r="941" spans="1:4" ht="13" x14ac:dyDescent="0.15">
      <c r="A941" s="10"/>
      <c r="B941" s="13"/>
      <c r="C941" s="13"/>
      <c r="D941" s="13"/>
    </row>
    <row r="942" spans="1:4" ht="13" x14ac:dyDescent="0.15">
      <c r="A942" s="10"/>
      <c r="B942" s="13"/>
      <c r="C942" s="13"/>
      <c r="D942" s="13"/>
    </row>
    <row r="943" spans="1:4" ht="13" x14ac:dyDescent="0.15">
      <c r="A943" s="10"/>
      <c r="B943" s="13"/>
      <c r="C943" s="13"/>
      <c r="D943" s="13"/>
    </row>
    <row r="944" spans="1:4" ht="13" x14ac:dyDescent="0.15">
      <c r="A944" s="10"/>
      <c r="B944" s="13"/>
      <c r="C944" s="13"/>
      <c r="D944" s="13"/>
    </row>
    <row r="945" spans="1:4" ht="13" x14ac:dyDescent="0.15">
      <c r="A945" s="10"/>
      <c r="B945" s="13"/>
      <c r="C945" s="13"/>
      <c r="D945" s="13"/>
    </row>
    <row r="946" spans="1:4" ht="13" x14ac:dyDescent="0.15">
      <c r="A946" s="10"/>
      <c r="B946" s="13"/>
      <c r="C946" s="13"/>
      <c r="D946" s="13"/>
    </row>
    <row r="947" spans="1:4" ht="13" x14ac:dyDescent="0.15">
      <c r="A947" s="10"/>
      <c r="B947" s="13"/>
      <c r="C947" s="13"/>
      <c r="D947" s="13"/>
    </row>
    <row r="948" spans="1:4" ht="13" x14ac:dyDescent="0.15">
      <c r="A948" s="10"/>
      <c r="B948" s="13"/>
      <c r="C948" s="13"/>
      <c r="D948" s="13"/>
    </row>
    <row r="949" spans="1:4" ht="13" x14ac:dyDescent="0.15">
      <c r="A949" s="10"/>
      <c r="B949" s="13"/>
      <c r="C949" s="13"/>
      <c r="D949" s="13"/>
    </row>
    <row r="950" spans="1:4" ht="13" x14ac:dyDescent="0.15">
      <c r="A950" s="10"/>
      <c r="B950" s="13"/>
      <c r="C950" s="13"/>
      <c r="D950" s="13"/>
    </row>
    <row r="951" spans="1:4" ht="13" x14ac:dyDescent="0.15">
      <c r="A951" s="10"/>
      <c r="B951" s="13"/>
      <c r="C951" s="13"/>
      <c r="D951" s="13"/>
    </row>
    <row r="952" spans="1:4" ht="13" x14ac:dyDescent="0.15">
      <c r="A952" s="10"/>
      <c r="B952" s="13"/>
      <c r="C952" s="13"/>
      <c r="D952" s="13"/>
    </row>
    <row r="953" spans="1:4" ht="13" x14ac:dyDescent="0.15">
      <c r="A953" s="10"/>
      <c r="B953" s="13"/>
      <c r="C953" s="13"/>
      <c r="D953" s="13"/>
    </row>
    <row r="954" spans="1:4" ht="13" x14ac:dyDescent="0.15">
      <c r="A954" s="10"/>
      <c r="B954" s="13"/>
      <c r="C954" s="13"/>
      <c r="D954" s="13"/>
    </row>
    <row r="955" spans="1:4" ht="13" x14ac:dyDescent="0.15">
      <c r="A955" s="10"/>
      <c r="B955" s="13"/>
      <c r="C955" s="13"/>
      <c r="D955" s="13"/>
    </row>
    <row r="956" spans="1:4" ht="13" x14ac:dyDescent="0.15">
      <c r="A956" s="10"/>
      <c r="B956" s="13"/>
      <c r="C956" s="13"/>
      <c r="D956" s="13"/>
    </row>
    <row r="957" spans="1:4" ht="13" x14ac:dyDescent="0.15">
      <c r="A957" s="10"/>
      <c r="B957" s="13"/>
      <c r="C957" s="13"/>
      <c r="D957" s="13"/>
    </row>
    <row r="958" spans="1:4" ht="13" x14ac:dyDescent="0.15">
      <c r="A958" s="10"/>
      <c r="B958" s="13"/>
      <c r="C958" s="13"/>
      <c r="D958" s="13"/>
    </row>
    <row r="959" spans="1:4" ht="13" x14ac:dyDescent="0.15">
      <c r="A959" s="10"/>
      <c r="B959" s="13"/>
      <c r="C959" s="13"/>
      <c r="D959" s="13"/>
    </row>
    <row r="960" spans="1:4" ht="13" x14ac:dyDescent="0.15">
      <c r="A960" s="10"/>
      <c r="B960" s="13"/>
      <c r="C960" s="13"/>
      <c r="D960" s="13"/>
    </row>
    <row r="961" spans="1:4" ht="13" x14ac:dyDescent="0.15">
      <c r="A961" s="10"/>
      <c r="B961" s="13"/>
      <c r="C961" s="13"/>
      <c r="D961" s="13"/>
    </row>
    <row r="962" spans="1:4" ht="13" x14ac:dyDescent="0.15">
      <c r="A962" s="10"/>
      <c r="B962" s="13"/>
      <c r="C962" s="13"/>
      <c r="D962" s="13"/>
    </row>
    <row r="963" spans="1:4" ht="13" x14ac:dyDescent="0.15">
      <c r="A963" s="10"/>
      <c r="B963" s="13"/>
      <c r="C963" s="13"/>
      <c r="D963" s="13"/>
    </row>
    <row r="964" spans="1:4" ht="13" x14ac:dyDescent="0.15">
      <c r="A964" s="10"/>
      <c r="B964" s="13"/>
      <c r="C964" s="13"/>
      <c r="D964" s="13"/>
    </row>
    <row r="965" spans="1:4" ht="13" x14ac:dyDescent="0.15">
      <c r="A965" s="10"/>
      <c r="B965" s="13"/>
      <c r="C965" s="13"/>
      <c r="D965" s="13"/>
    </row>
    <row r="966" spans="1:4" ht="13" x14ac:dyDescent="0.15">
      <c r="A966" s="10"/>
      <c r="B966" s="13"/>
      <c r="C966" s="13"/>
      <c r="D966" s="13"/>
    </row>
    <row r="967" spans="1:4" ht="13" x14ac:dyDescent="0.15">
      <c r="A967" s="10"/>
      <c r="B967" s="13"/>
      <c r="C967" s="13"/>
      <c r="D967" s="13"/>
    </row>
    <row r="968" spans="1:4" ht="13" x14ac:dyDescent="0.15">
      <c r="A968" s="10"/>
      <c r="B968" s="13"/>
      <c r="C968" s="13"/>
      <c r="D968" s="13"/>
    </row>
    <row r="969" spans="1:4" ht="13" x14ac:dyDescent="0.15">
      <c r="A969" s="10"/>
      <c r="B969" s="13"/>
      <c r="C969" s="13"/>
      <c r="D969" s="13"/>
    </row>
    <row r="970" spans="1:4" ht="13" x14ac:dyDescent="0.15">
      <c r="A970" s="10"/>
      <c r="B970" s="13"/>
      <c r="C970" s="13"/>
      <c r="D970" s="13"/>
    </row>
    <row r="971" spans="1:4" ht="13" x14ac:dyDescent="0.15">
      <c r="A971" s="10"/>
      <c r="B971" s="13"/>
      <c r="C971" s="13"/>
      <c r="D971" s="13"/>
    </row>
    <row r="972" spans="1:4" ht="13" x14ac:dyDescent="0.15">
      <c r="A972" s="10"/>
      <c r="B972" s="13"/>
      <c r="C972" s="13"/>
      <c r="D972" s="13"/>
    </row>
    <row r="973" spans="1:4" ht="13" x14ac:dyDescent="0.15">
      <c r="A973" s="10"/>
      <c r="B973" s="13"/>
      <c r="C973" s="13"/>
      <c r="D973" s="13"/>
    </row>
    <row r="974" spans="1:4" ht="13" x14ac:dyDescent="0.15">
      <c r="A974" s="10"/>
      <c r="B974" s="13"/>
      <c r="C974" s="13"/>
      <c r="D974" s="13"/>
    </row>
    <row r="975" spans="1:4" ht="13" x14ac:dyDescent="0.15">
      <c r="A975" s="10"/>
      <c r="B975" s="13"/>
      <c r="C975" s="13"/>
      <c r="D975" s="13"/>
    </row>
    <row r="976" spans="1:4" ht="13" x14ac:dyDescent="0.15">
      <c r="A976" s="10"/>
      <c r="B976" s="13"/>
      <c r="C976" s="13"/>
      <c r="D976" s="13"/>
    </row>
    <row r="977" spans="1:4" ht="13" x14ac:dyDescent="0.15">
      <c r="A977" s="10"/>
      <c r="B977" s="13"/>
      <c r="C977" s="13"/>
      <c r="D977" s="13"/>
    </row>
    <row r="978" spans="1:4" ht="13" x14ac:dyDescent="0.15">
      <c r="A978" s="10"/>
      <c r="B978" s="13"/>
      <c r="C978" s="13"/>
      <c r="D978" s="13"/>
    </row>
    <row r="979" spans="1:4" ht="13" x14ac:dyDescent="0.15">
      <c r="A979" s="10"/>
      <c r="B979" s="13"/>
      <c r="C979" s="13"/>
      <c r="D979" s="13"/>
    </row>
    <row r="980" spans="1:4" ht="13" x14ac:dyDescent="0.15">
      <c r="A980" s="10"/>
      <c r="B980" s="13"/>
      <c r="C980" s="13"/>
      <c r="D980" s="13"/>
    </row>
    <row r="981" spans="1:4" ht="13" x14ac:dyDescent="0.15">
      <c r="A981" s="10"/>
      <c r="B981" s="13"/>
      <c r="C981" s="13"/>
      <c r="D981" s="13"/>
    </row>
    <row r="982" spans="1:4" ht="13" x14ac:dyDescent="0.15">
      <c r="A982" s="10"/>
      <c r="B982" s="13"/>
      <c r="C982" s="13"/>
      <c r="D982" s="13"/>
    </row>
    <row r="983" spans="1:4" ht="13" x14ac:dyDescent="0.15">
      <c r="A983" s="10"/>
      <c r="B983" s="13"/>
      <c r="C983" s="13"/>
      <c r="D983" s="13"/>
    </row>
    <row r="984" spans="1:4" ht="13" x14ac:dyDescent="0.15">
      <c r="A984" s="10"/>
      <c r="B984" s="13"/>
      <c r="C984" s="13"/>
      <c r="D984" s="13"/>
    </row>
    <row r="985" spans="1:4" ht="13" x14ac:dyDescent="0.15">
      <c r="A985" s="10"/>
      <c r="B985" s="13"/>
      <c r="C985" s="13"/>
      <c r="D985" s="13"/>
    </row>
    <row r="986" spans="1:4" ht="13" x14ac:dyDescent="0.15">
      <c r="A986" s="10"/>
      <c r="B986" s="13"/>
      <c r="C986" s="13"/>
      <c r="D986" s="13"/>
    </row>
    <row r="987" spans="1:4" ht="13" x14ac:dyDescent="0.15">
      <c r="A987" s="10"/>
      <c r="B987" s="13"/>
      <c r="C987" s="13"/>
      <c r="D987" s="13"/>
    </row>
    <row r="988" spans="1:4" ht="13" x14ac:dyDescent="0.15">
      <c r="A988" s="10"/>
      <c r="B988" s="13"/>
      <c r="C988" s="13"/>
      <c r="D988" s="13"/>
    </row>
    <row r="989" spans="1:4" ht="13" x14ac:dyDescent="0.15">
      <c r="A989" s="10"/>
      <c r="B989" s="13"/>
      <c r="C989" s="13"/>
      <c r="D989" s="13"/>
    </row>
    <row r="990" spans="1:4" ht="13" x14ac:dyDescent="0.15">
      <c r="A990" s="10"/>
      <c r="B990" s="13"/>
      <c r="C990" s="13"/>
      <c r="D990" s="13"/>
    </row>
    <row r="991" spans="1:4" ht="13" x14ac:dyDescent="0.15">
      <c r="A991" s="10"/>
      <c r="B991" s="13"/>
      <c r="C991" s="13"/>
      <c r="D991" s="13"/>
    </row>
    <row r="992" spans="1:4" ht="13" x14ac:dyDescent="0.15">
      <c r="A992" s="10"/>
      <c r="B992" s="13"/>
      <c r="C992" s="13"/>
      <c r="D992" s="13"/>
    </row>
    <row r="993" spans="1:4" ht="13" x14ac:dyDescent="0.15">
      <c r="A993" s="10"/>
      <c r="B993" s="13"/>
      <c r="C993" s="13"/>
      <c r="D993" s="13"/>
    </row>
    <row r="994" spans="1:4" ht="13" x14ac:dyDescent="0.15">
      <c r="A994" s="10"/>
      <c r="B994" s="13"/>
      <c r="C994" s="13"/>
      <c r="D994" s="13"/>
    </row>
    <row r="995" spans="1:4" ht="13" x14ac:dyDescent="0.15">
      <c r="A995" s="10"/>
      <c r="B995" s="13"/>
      <c r="C995" s="13"/>
      <c r="D995" s="13"/>
    </row>
    <row r="996" spans="1:4" ht="13" x14ac:dyDescent="0.15">
      <c r="A996" s="10"/>
      <c r="B996" s="13"/>
      <c r="C996" s="13"/>
      <c r="D996" s="13"/>
    </row>
    <row r="997" spans="1:4" ht="13" x14ac:dyDescent="0.15">
      <c r="A997" s="10"/>
      <c r="B997" s="13"/>
      <c r="C997" s="13"/>
      <c r="D997" s="13"/>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outlinePr summaryBelow="0" summaryRight="0"/>
  </sheetPr>
  <dimension ref="A1:D997"/>
  <sheetViews>
    <sheetView workbookViewId="0"/>
  </sheetViews>
  <sheetFormatPr baseColWidth="10" defaultColWidth="12.6640625" defaultRowHeight="15.75" customHeight="1" x14ac:dyDescent="0.15"/>
  <cols>
    <col min="1" max="1" width="71.5" customWidth="1"/>
    <col min="2" max="4" width="37.6640625" customWidth="1"/>
  </cols>
  <sheetData>
    <row r="1" spans="1:4" ht="15.75" customHeight="1" x14ac:dyDescent="0.15">
      <c r="A1" s="1"/>
      <c r="B1" s="12" t="str">
        <f ca="1">IFERROR(__xludf.DUMMYFUNCTION("IMPORTRANGE(""https://docs.google.com/spreadsheets/d/1Eq2M_a4_TeZImjU1FJcBSaIp6Xib8-RIHm3cQ24mbRI"", ""A46!B1:B22"")
"),"Zachary Edwards")</f>
        <v>Zachary Edwards</v>
      </c>
      <c r="C1" s="12" t="str">
        <f ca="1">IFERROR(__xludf.DUMMYFUNCTION("IMPORTRANGE(""https://docs.google.com/spreadsheets/u/0/d/1e6QLf1_HeiTNz7JOFlwsfbt48UsSPCJuGTSppexqIJc"", ""45!B1:B22"")"),"Tyler Thibodeaux")</f>
        <v>Tyler Thibodeaux</v>
      </c>
      <c r="D1" s="13" t="str">
        <f ca="1">IFERROR(__xludf.DUMMYFUNCTION("IMPORTRANGE(""https://docs.google.com/spreadsheets/u/0/d/1QLAeYl5D81_Myo-agZdCgYFm7rliPzxg4xkt-QHL9OA"", ""A46!B1:B22"")"),"Rin Godfrey")</f>
        <v>Rin Godfrey</v>
      </c>
    </row>
    <row r="2" spans="1:4" ht="15.75" customHeight="1" x14ac:dyDescent="0.15">
      <c r="A2" s="3" t="s">
        <v>2</v>
      </c>
      <c r="B2" s="15" t="str">
        <f ca="1">IFERROR(__xludf.DUMMYFUNCTION("""COMPUTED_VALUE"""),"PHAM Start:27917 Stop:28225
DNAM Start:27917 Stop:28225
FOR")</f>
        <v>PHAM Start:27917 Stop:28225
DNAM Start:27917 Stop:28225
FOR</v>
      </c>
      <c r="C2" s="15" t="str">
        <f ca="1">IFERROR(__xludf.DUMMYFUNCTION("""COMPUTED_VALUE"""),"27917 to 28225 (Forward)")</f>
        <v>27917 to 28225 (Forward)</v>
      </c>
      <c r="D2" s="15" t="str">
        <f ca="1">IFERROR(__xludf.DUMMYFUNCTION("""COMPUTED_VALUE"""),"Start: 27917 
Stop: 28225 FOR")</f>
        <v>Start: 27917 
Stop: 28225 FOR</v>
      </c>
    </row>
    <row r="3" spans="1:4" ht="15.75" customHeight="1" x14ac:dyDescent="0.15">
      <c r="A3" s="5" t="s">
        <v>3</v>
      </c>
      <c r="B3" s="17" t="str">
        <f ca="1">IFERROR(__xludf.DUMMYFUNCTION("""COMPUTED_VALUE"""),"DNAM: Gene 45
PHAM: Gene 46")</f>
        <v>DNAM: Gene 45
PHAM: Gene 46</v>
      </c>
      <c r="C3" s="17" t="str">
        <f ca="1">IFERROR(__xludf.DUMMYFUNCTION("""COMPUTED_VALUE"""),"DNAm= 45 , PHAM = 46")</f>
        <v>DNAm= 45 , PHAM = 46</v>
      </c>
      <c r="D3" s="17" t="str">
        <f ca="1">IFERROR(__xludf.DUMMYFUNCTION("""COMPUTED_VALUE"""),"DNA Master 45
Phamerator 46")</f>
        <v>DNA Master 45
Phamerator 46</v>
      </c>
    </row>
    <row r="4" spans="1:4" ht="15.75" customHeight="1" x14ac:dyDescent="0.15">
      <c r="A4" s="5" t="s">
        <v>4</v>
      </c>
      <c r="B4" s="17" t="str">
        <f ca="1">IFERROR(__xludf.DUMMYFUNCTION("""COMPUTED_VALUE"""),"199266 3/12/2025")</f>
        <v>199266 3/12/2025</v>
      </c>
      <c r="C4" s="17" t="str">
        <f ca="1">IFERROR(__xludf.DUMMYFUNCTION("""COMPUTED_VALUE""")," pham 199266, 3-14-25")</f>
        <v xml:space="preserve"> pham 199266, 3-14-25</v>
      </c>
      <c r="D4" s="17" t="str">
        <f ca="1">IFERROR(__xludf.DUMMYFUNCTION("""COMPUTED_VALUE"""),"199266 3/10/25")</f>
        <v>199266 3/10/25</v>
      </c>
    </row>
    <row r="5" spans="1:4" ht="15.75" customHeight="1" x14ac:dyDescent="0.15">
      <c r="A5" s="5" t="s">
        <v>5</v>
      </c>
      <c r="B5" s="17" t="str">
        <f ca="1">IFERROR(__xludf.DUMMYFUNCTION("""COMPUTED_VALUE"""),"Kovu_48")</f>
        <v>Kovu_48</v>
      </c>
      <c r="C5" s="17" t="str">
        <f ca="1">IFERROR(__xludf.DUMMYFUNCTION("""COMPUTED_VALUE"""),"Kovu_48")</f>
        <v>Kovu_48</v>
      </c>
      <c r="D5" s="17" t="str">
        <f ca="1">IFERROR(__xludf.DUMMYFUNCTION("""COMPUTED_VALUE"""),"Kovu_48")</f>
        <v>Kovu_48</v>
      </c>
    </row>
    <row r="6" spans="1:4" ht="15.75" customHeight="1" x14ac:dyDescent="0.15">
      <c r="A6" s="5" t="s">
        <v>6</v>
      </c>
      <c r="B6" s="17" t="str">
        <f ca="1">IFERROR(__xludf.DUMMYFUNCTION("""COMPUTED_VALUE"""),"Both agree its a gene, but Glimmer says start 27917 and Gene Mark says start 27953")</f>
        <v>Both agree its a gene, but Glimmer says start 27917 and Gene Mark says start 27953</v>
      </c>
      <c r="C6" s="17" t="str">
        <f ca="1">IFERROR(__xludf.DUMMYFUNCTION("""COMPUTED_VALUE"""),"Original Glimmer call @bp 27917. GeneMark calls start at 27953")</f>
        <v>Original Glimmer call @bp 27917. GeneMark calls start at 27953</v>
      </c>
      <c r="D6" s="17" t="str">
        <f ca="1">IFERROR(__xludf.DUMMYFUNCTION("""COMPUTED_VALUE"""),"Glimmer called 27917
GeneMark called 27953")</f>
        <v>Glimmer called 27917
GeneMark called 27953</v>
      </c>
    </row>
    <row r="7" spans="1:4" ht="15.75" customHeight="1" x14ac:dyDescent="0.15">
      <c r="A7" s="5" t="s">
        <v>7</v>
      </c>
      <c r="B7" s="17" t="str">
        <f ca="1">IFERROR(__xludf.DUMMYFUNCTION("""COMPUTED_VALUE"""),"The coding potential is good however the stop codon is not included")</f>
        <v>The coding potential is good however the stop codon is not included</v>
      </c>
      <c r="C7" s="17" t="str">
        <f ca="1">IFERROR(__xludf.DUMMYFUNCTION("""COMPUTED_VALUE"""),"It has good coding potential. It is included in the start. ")</f>
        <v xml:space="preserve">It has good coding potential. It is included in the start. </v>
      </c>
      <c r="D7" s="17" t="str">
        <f ca="1">IFERROR(__xludf.DUMMYFUNCTION("""COMPUTED_VALUE"""),"Yes there is good coding potential and all is included.")</f>
        <v>Yes there is good coding potential and all is included.</v>
      </c>
    </row>
    <row r="8" spans="1:4" ht="15.75" customHeight="1" x14ac:dyDescent="0.15">
      <c r="A8" s="5" t="s">
        <v>8</v>
      </c>
      <c r="B8" s="17" t="str">
        <f ca="1">IFERROR(__xludf.DUMMYFUNCTION("""COMPUTED_VALUE"""),"Yes stop codon right before the start. 
")</f>
        <v xml:space="preserve">Yes stop codon right before the start. 
</v>
      </c>
      <c r="C8" s="17" t="str">
        <f ca="1">IFERROR(__xludf.DUMMYFUNCTION("""COMPUTED_VALUE"""),"It is the longest possible ORF")</f>
        <v>It is the longest possible ORF</v>
      </c>
      <c r="D8" s="17" t="str">
        <f ca="1">IFERROR(__xludf.DUMMYFUNCTION("""COMPUTED_VALUE"""),"Yes this is the longest ")</f>
        <v xml:space="preserve">Yes this is the longest </v>
      </c>
    </row>
    <row r="9" spans="1:4" ht="15.75" customHeight="1" x14ac:dyDescent="0.15">
      <c r="A9" s="5" t="s">
        <v>9</v>
      </c>
      <c r="B9" s="17" t="str">
        <f ca="1">IFERROR(__xludf.DUMMYFUNCTION("""COMPUTED_VALUE"""),"3 NT overlap at Beginning (33 NT gap if using GeneMark)")</f>
        <v>3 NT overlap at Beginning (33 NT gap if using GeneMark)</v>
      </c>
      <c r="C9" s="17" t="str">
        <f ca="1">IFERROR(__xludf.DUMMYFUNCTION("""COMPUTED_VALUE"""),"3 nucleotide overlap, not significant. ")</f>
        <v xml:space="preserve">3 nucleotide overlap, not significant. </v>
      </c>
      <c r="D9" s="17" t="str">
        <f ca="1">IFERROR(__xludf.DUMMYFUNCTION("""COMPUTED_VALUE"""),"There is a slight overlap of about 3 nucleotides")</f>
        <v>There is a slight overlap of about 3 nucleotides</v>
      </c>
    </row>
    <row r="10" spans="1:4" ht="15.75" customHeight="1" x14ac:dyDescent="0.15">
      <c r="A10" s="5" t="s">
        <v>10</v>
      </c>
      <c r="B10" s="17" t="str">
        <f ca="1">IFERROR(__xludf.DUMMYFUNCTION("""COMPUTED_VALUE"""),"Glimmer Start: 2.488 (Best out of all)
Gene Mark Start: 1.815")</f>
        <v>Glimmer Start: 2.488 (Best out of all)
Gene Mark Start: 1.815</v>
      </c>
      <c r="C10" s="17" t="str">
        <f ca="1">IFERROR(__xludf.DUMMYFUNCTION("""COMPUTED_VALUE"""),"Z score= 2.488, It is the best score, so start 1 is the best. No others should be considered ")</f>
        <v xml:space="preserve">Z score= 2.488, It is the best score, so start 1 is the best. No others should be considered </v>
      </c>
      <c r="D10" s="17" t="str">
        <f ca="1">IFERROR(__xludf.DUMMYFUNCTION("""COMPUTED_VALUE"""),"It is the best RBS Z-score 2.488 and F-score -3.514")</f>
        <v>It is the best RBS Z-score 2.488 and F-score -3.514</v>
      </c>
    </row>
    <row r="11" spans="1:4" ht="15.75" customHeight="1" x14ac:dyDescent="0.15">
      <c r="A11" s="5" t="s">
        <v>11</v>
      </c>
      <c r="B11" s="17" t="str">
        <f ca="1">IFERROR(__xludf.DUMMYFUNCTION("""COMPUTED_VALUE"""),"Kovu_48
%ID:89.66
E:0
1:1")</f>
        <v>Kovu_48
%ID:89.66
E:0
1:1</v>
      </c>
      <c r="C11" s="17" t="str">
        <f ca="1">IFERROR(__xludf.DUMMYFUNCTION("""COMPUTED_VALUE"""),"Kovu, gene 48, % Identity= 86%, e= 9e-54, q1:s1")</f>
        <v>Kovu, gene 48, % Identity= 86%, e= 9e-54, q1:s1</v>
      </c>
      <c r="D11" s="17" t="str">
        <f ca="1">IFERROR(__xludf.DUMMYFUNCTION("""COMPUTED_VALUE"""),"Kovu_48 
86% identity
9e-54
Q: 1 T: 1")</f>
        <v>Kovu_48 
86% identity
9e-54
Q: 1 T: 1</v>
      </c>
    </row>
    <row r="12" spans="1:4" ht="15.75" customHeight="1" x14ac:dyDescent="0.15">
      <c r="A12" s="5" t="s">
        <v>12</v>
      </c>
      <c r="B12" s="17" t="str">
        <f ca="1">IFERROR(__xludf.DUMMYFUNCTION("""COMPUTED_VALUE"""),"1 of 1 starts aligned this is the Glimmer Start")</f>
        <v>1 of 1 starts aligned this is the Glimmer Start</v>
      </c>
      <c r="C12" s="17" t="str">
        <f ca="1">IFERROR(__xludf.DUMMYFUNCTION("""COMPUTED_VALUE"""),"It is conserved in all members, and is called a 100 % of the time. ")</f>
        <v xml:space="preserve">It is conserved in all members, and is called a 100 % of the time. </v>
      </c>
      <c r="D12" s="17" t="str">
        <f ca="1">IFERROR(__xludf.DUMMYFUNCTION("""COMPUTED_VALUE"""),"Yes the start is in all of the pham and is called 100% of the time and is also the start of Kovu_48")</f>
        <v>Yes the start is in all of the pham and is called 100% of the time and is also the start of Kovu_48</v>
      </c>
    </row>
    <row r="13" spans="1:4" ht="15.75" customHeight="1" x14ac:dyDescent="0.15">
      <c r="A13" s="5" t="s">
        <v>13</v>
      </c>
      <c r="B13" s="17" t="str">
        <f ca="1">IFERROR(__xludf.DUMMYFUNCTION("""COMPUTED_VALUE"""),"No need to. GeneMark start should not used no alignment and lower Z-Score")</f>
        <v>No need to. GeneMark start should not used no alignment and lower Z-Score</v>
      </c>
      <c r="C13" s="17" t="str">
        <f ca="1">IFERROR(__xludf.DUMMYFUNCTION("""COMPUTED_VALUE"""),"NO ")</f>
        <v xml:space="preserve">NO </v>
      </c>
      <c r="D13" s="17" t="str">
        <f ca="1">IFERROR(__xludf.DUMMYFUNCTION("""COMPUTED_VALUE"""),"No change in start there is no reason to and no starts to change it to.")</f>
        <v>No change in start there is no reason to and no starts to change it to.</v>
      </c>
    </row>
    <row r="14" spans="1:4" ht="15.75" customHeight="1" x14ac:dyDescent="0.15">
      <c r="A14" s="5" t="s">
        <v>14</v>
      </c>
      <c r="B14" s="17" t="str">
        <f ca="1">IFERROR(__xludf.DUMMYFUNCTION("""COMPUTED_VALUE"""),"Kovu_48 e:1e-56")</f>
        <v>Kovu_48 e:1e-56</v>
      </c>
      <c r="C14" s="17" t="str">
        <f ca="1">IFERROR(__xludf.DUMMYFUNCTION("""COMPUTED_VALUE"""),"Kovu_48, e= 4e-45, Wheelbite_47, e= 9e-05 ")</f>
        <v xml:space="preserve">Kovu_48, e= 4e-45, Wheelbite_47, e= 9e-05 </v>
      </c>
      <c r="D14" s="17" t="str">
        <f ca="1">IFERROR(__xludf.DUMMYFUNCTION("""COMPUTED_VALUE"""),"Kovu_48,  4e-45
Wheelbite_47,  9e-05")</f>
        <v>Kovu_48,  4e-45
Wheelbite_47,  9e-05</v>
      </c>
    </row>
    <row r="15" spans="1:4" ht="15.75" customHeight="1" x14ac:dyDescent="0.15">
      <c r="A15" s="5" t="s">
        <v>15</v>
      </c>
      <c r="B15" s="17" t="str">
        <f ca="1">IFERROR(__xludf.DUMMYFUNCTION("""COMPUTED_VALUE"""),"Unknown Function")</f>
        <v>Unknown Function</v>
      </c>
      <c r="C15" s="17" t="str">
        <f ca="1">IFERROR(__xludf.DUMMYFUNCTION("""COMPUTED_VALUE"""),"Kovu_48, function unknown")</f>
        <v>Kovu_48, function unknown</v>
      </c>
      <c r="D15" s="17" t="str">
        <f ca="1">IFERROR(__xludf.DUMMYFUNCTION("""COMPUTED_VALUE""")," function unknown for both")</f>
        <v xml:space="preserve"> function unknown for both</v>
      </c>
    </row>
    <row r="16" spans="1:4" ht="15.75" customHeight="1" x14ac:dyDescent="0.15">
      <c r="A16" s="5" t="s">
        <v>16</v>
      </c>
      <c r="B16" s="17" t="str">
        <f ca="1">IFERROR(__xludf.DUMMYFUNCTION("""COMPUTED_VALUE"""),"In same genetic environment as KOVU")</f>
        <v>In same genetic environment as KOVU</v>
      </c>
      <c r="C16" s="17" t="str">
        <f ca="1">IFERROR(__xludf.DUMMYFUNCTION("""COMPUTED_VALUE"""),"It is in the same genetic enviornment as kovu")</f>
        <v>It is in the same genetic enviornment as kovu</v>
      </c>
      <c r="D16" s="17" t="str">
        <f ca="1">IFERROR(__xludf.DUMMYFUNCTION("""COMPUTED_VALUE"""),"It matches well with Kovu")</f>
        <v>It matches well with Kovu</v>
      </c>
    </row>
    <row r="17" spans="1:4" ht="15.75" customHeight="1" x14ac:dyDescent="0.15">
      <c r="A17" s="5" t="s">
        <v>17</v>
      </c>
      <c r="B17" s="17" t="str">
        <f ca="1">IFERROR(__xludf.DUMMYFUNCTION("""COMPUTED_VALUE"""),"Compared to many different types of DNA Binding Domains. The Probability and E-Values are good however alignments and scores are not nearly as good. Note one of DNA Binding Domains (Winged Helix) would be a Hypothetical Protein in accordance with the bioi"&amp;"nformatics guide accepted list. In addition the only other Family gene is  hypothetical.")</f>
        <v>Compared to many different types of DNA Binding Domains. The Probability and E-Values are good however alignments and scores are not nearly as good. Note one of DNA Binding Domains (Winged Helix) would be a Hypothetical Protein in accordance with the bioinformatics guide accepted list. In addition the only other Family gene is  hypothetical.</v>
      </c>
      <c r="C17" s="17" t="str">
        <f ca="1">IFERROR(__xludf.DUMMYFUNCTION("""COMPUTED_VALUE""")," DUF5669 ; Family of unknown function (DUF5669), 94% identity, %Q= 33%, %T=  9%, No functional domain known. ")</f>
        <v xml:space="preserve"> DUF5669 ; Family of unknown function (DUF5669), 94% identity, %Q= 33%, %T=  9%, No functional domain known. </v>
      </c>
      <c r="D17" s="17" t="str">
        <f ca="1">IFERROR(__xludf.DUMMYFUNCTION("""COMPUTED_VALUE"""),"Sul7s; Archaea, Crenarchaea, Sulfolobus, DNA binding protein; NMR {Sulfolobus islandicus}
Probability: 96.77%
Query: 51%
Target: 88%
The function domain is not a part of the targeted alignment. ")</f>
        <v xml:space="preserve">Sul7s; Archaea, Crenarchaea, Sulfolobus, DNA binding protein; NMR {Sulfolobus islandicus}
Probability: 96.77%
Query: 51%
Target: 88%
The function domain is not a part of the targeted alignment. </v>
      </c>
    </row>
    <row r="18" spans="1:4" ht="15.75" customHeight="1" x14ac:dyDescent="0.15">
      <c r="A18" s="5" t="s">
        <v>18</v>
      </c>
      <c r="B18" s="17" t="str">
        <f ca="1">IFERROR(__xludf.DUMMYFUNCTION("""COMPUTED_VALUE"""),"DUF")</f>
        <v>DUF</v>
      </c>
      <c r="C18" s="17" t="str">
        <f ca="1">IFERROR(__xludf.DUMMYFUNCTION("""COMPUTED_VALUE"""),"None")</f>
        <v>None</v>
      </c>
      <c r="D18" s="17" t="str">
        <f ca="1">IFERROR(__xludf.DUMMYFUNCTION("""COMPUTED_VALUE"""),"none")</f>
        <v>none</v>
      </c>
    </row>
    <row r="19" spans="1:4" ht="15.75" customHeight="1" x14ac:dyDescent="0.15">
      <c r="A19" s="5" t="s">
        <v>19</v>
      </c>
      <c r="B19" s="17" t="str">
        <f ca="1">IFERROR(__xludf.DUMMYFUNCTION("""COMPUTED_VALUE"""),"No")</f>
        <v>No</v>
      </c>
      <c r="C19" s="17" t="str">
        <f ca="1">IFERROR(__xludf.DUMMYFUNCTION("""COMPUTED_VALUE"""),"None")</f>
        <v>None</v>
      </c>
      <c r="D19" s="17" t="str">
        <f ca="1">IFERROR(__xludf.DUMMYFUNCTION("""COMPUTED_VALUE"""),"none")</f>
        <v>none</v>
      </c>
    </row>
    <row r="20" spans="1:4" ht="15.75" customHeight="1" x14ac:dyDescent="0.15">
      <c r="A20" s="5" t="s">
        <v>20</v>
      </c>
      <c r="B20" s="17" t="str">
        <f ca="1">IFERROR(__xludf.DUMMYFUNCTION("""COMPUTED_VALUE"""),"Hypothetical Protein")</f>
        <v>Hypothetical Protein</v>
      </c>
      <c r="C20" s="17" t="str">
        <f ca="1">IFERROR(__xludf.DUMMYFUNCTION("""COMPUTED_VALUE"""),"Hypothetical Protein. This is due to the NCBI blast, the HHPred, no conserved domains or functional domains, and the synteny being related to Kovu_48, of which is also a hypothetical protein. ")</f>
        <v xml:space="preserve">Hypothetical Protein. This is due to the NCBI blast, the HHPred, no conserved domains or functional domains, and the synteny being related to Kovu_48, of which is also a hypothetical protein. </v>
      </c>
      <c r="D20" s="17" t="str">
        <f ca="1">IFERROR(__xludf.DUMMYFUNCTION("""COMPUTED_VALUE"""),"There is not function to call right now. The other HHpred option have unknown function as well as Kovu and Wheelbite also having an unknown function. There is no solid evidence to call this gene.")</f>
        <v>There is not function to call right now. The other HHpred option have unknown function as well as Kovu and Wheelbite also having an unknown function. There is no solid evidence to call this gene.</v>
      </c>
    </row>
    <row r="21" spans="1:4" x14ac:dyDescent="0.2">
      <c r="A21" s="7"/>
      <c r="B21" s="19"/>
      <c r="C21" s="19"/>
      <c r="D21" s="19"/>
    </row>
    <row r="22" spans="1:4" ht="15.75" customHeight="1" x14ac:dyDescent="0.15">
      <c r="A22" s="9" t="s">
        <v>21</v>
      </c>
      <c r="B22" s="19"/>
      <c r="C22" s="19"/>
      <c r="D22" s="19"/>
    </row>
    <row r="23" spans="1:4" ht="15.75" customHeight="1" x14ac:dyDescent="0.15">
      <c r="A23" s="10"/>
      <c r="B23" s="13"/>
      <c r="C23" s="13"/>
      <c r="D23" s="13"/>
    </row>
    <row r="24" spans="1:4" ht="15.75" customHeight="1" x14ac:dyDescent="0.15">
      <c r="A24" s="10"/>
      <c r="B24" s="13"/>
      <c r="C24" s="13"/>
      <c r="D24" s="13"/>
    </row>
    <row r="25" spans="1:4" ht="15.75" customHeight="1" x14ac:dyDescent="0.15">
      <c r="A25" s="10"/>
      <c r="B25" s="13"/>
      <c r="C25" s="13"/>
      <c r="D25" s="13"/>
    </row>
    <row r="26" spans="1:4" ht="15.75" customHeight="1" x14ac:dyDescent="0.15">
      <c r="A26" s="10"/>
      <c r="B26" s="13"/>
      <c r="C26" s="13"/>
      <c r="D26" s="13"/>
    </row>
    <row r="27" spans="1:4" ht="15.75" customHeight="1" x14ac:dyDescent="0.15">
      <c r="A27" s="10"/>
      <c r="B27" s="13"/>
      <c r="C27" s="13"/>
      <c r="D27" s="13"/>
    </row>
    <row r="28" spans="1:4" ht="15.75" customHeight="1" x14ac:dyDescent="0.15">
      <c r="A28" s="10"/>
      <c r="B28" s="13"/>
      <c r="C28" s="13"/>
      <c r="D28" s="13"/>
    </row>
    <row r="29" spans="1:4" ht="15.75" customHeight="1" x14ac:dyDescent="0.15">
      <c r="A29" s="10"/>
      <c r="B29" s="13"/>
      <c r="C29" s="13"/>
      <c r="D29" s="13"/>
    </row>
    <row r="30" spans="1:4" ht="15.75" customHeight="1" x14ac:dyDescent="0.15">
      <c r="A30" s="10"/>
      <c r="B30" s="13"/>
      <c r="C30" s="13"/>
      <c r="D30" s="13"/>
    </row>
    <row r="31" spans="1:4" ht="15.75" customHeight="1" x14ac:dyDescent="0.15">
      <c r="A31" s="10"/>
      <c r="B31" s="13"/>
      <c r="C31" s="13"/>
      <c r="D31" s="13"/>
    </row>
    <row r="32" spans="1:4" ht="15.75" customHeight="1" x14ac:dyDescent="0.15">
      <c r="A32" s="10"/>
      <c r="B32" s="13"/>
      <c r="C32" s="13"/>
      <c r="D32" s="13"/>
    </row>
    <row r="33" spans="1:4" ht="15.75" customHeight="1" x14ac:dyDescent="0.15">
      <c r="A33" s="10"/>
      <c r="B33" s="13"/>
      <c r="C33" s="13"/>
      <c r="D33" s="13"/>
    </row>
    <row r="34" spans="1:4" ht="15.75" customHeight="1" x14ac:dyDescent="0.15">
      <c r="A34" s="10"/>
      <c r="B34" s="13"/>
      <c r="C34" s="13"/>
      <c r="D34" s="13"/>
    </row>
    <row r="35" spans="1:4" ht="15.75" customHeight="1" x14ac:dyDescent="0.15">
      <c r="A35" s="10"/>
      <c r="B35" s="13"/>
      <c r="C35" s="13"/>
      <c r="D35" s="13"/>
    </row>
    <row r="36" spans="1:4" ht="15.75" customHeight="1" x14ac:dyDescent="0.15">
      <c r="A36" s="10"/>
      <c r="B36" s="13"/>
      <c r="C36" s="13"/>
      <c r="D36" s="13"/>
    </row>
    <row r="37" spans="1:4" ht="15.75" customHeight="1" x14ac:dyDescent="0.15">
      <c r="A37" s="10"/>
      <c r="B37" s="13"/>
      <c r="C37" s="13"/>
      <c r="D37" s="13"/>
    </row>
    <row r="38" spans="1:4" ht="15.75" customHeight="1" x14ac:dyDescent="0.15">
      <c r="A38" s="10"/>
      <c r="B38" s="13"/>
      <c r="C38" s="13"/>
      <c r="D38" s="13"/>
    </row>
    <row r="39" spans="1:4" ht="13" x14ac:dyDescent="0.15">
      <c r="A39" s="10"/>
      <c r="B39" s="13"/>
      <c r="C39" s="13"/>
      <c r="D39" s="13"/>
    </row>
    <row r="40" spans="1:4" ht="13" x14ac:dyDescent="0.15">
      <c r="A40" s="10"/>
      <c r="B40" s="13"/>
      <c r="C40" s="13"/>
      <c r="D40" s="13"/>
    </row>
    <row r="41" spans="1:4" ht="13" x14ac:dyDescent="0.15">
      <c r="A41" s="10"/>
      <c r="B41" s="13"/>
      <c r="C41" s="13"/>
      <c r="D41" s="13"/>
    </row>
    <row r="42" spans="1:4" ht="13" x14ac:dyDescent="0.15">
      <c r="A42" s="10"/>
      <c r="B42" s="13"/>
      <c r="C42" s="13"/>
      <c r="D42" s="13"/>
    </row>
    <row r="43" spans="1:4" ht="13" x14ac:dyDescent="0.15">
      <c r="A43" s="10"/>
      <c r="B43" s="13"/>
      <c r="C43" s="13"/>
      <c r="D43" s="13"/>
    </row>
    <row r="44" spans="1:4" ht="13" x14ac:dyDescent="0.15">
      <c r="A44" s="10"/>
      <c r="B44" s="13"/>
      <c r="C44" s="13"/>
      <c r="D44" s="13"/>
    </row>
    <row r="45" spans="1:4" ht="13" x14ac:dyDescent="0.15">
      <c r="A45" s="10"/>
      <c r="B45" s="13"/>
      <c r="C45" s="13"/>
      <c r="D45" s="13"/>
    </row>
    <row r="46" spans="1:4" ht="13" x14ac:dyDescent="0.15">
      <c r="A46" s="10"/>
      <c r="B46" s="13"/>
      <c r="C46" s="13"/>
      <c r="D46" s="13"/>
    </row>
    <row r="47" spans="1:4" ht="13" x14ac:dyDescent="0.15">
      <c r="A47" s="10"/>
      <c r="B47" s="13"/>
      <c r="C47" s="13"/>
      <c r="D47" s="13"/>
    </row>
    <row r="48" spans="1:4" ht="13" x14ac:dyDescent="0.15">
      <c r="A48" s="10"/>
      <c r="B48" s="13"/>
      <c r="C48" s="13"/>
      <c r="D48" s="13"/>
    </row>
    <row r="49" spans="1:4" ht="13" x14ac:dyDescent="0.15">
      <c r="A49" s="10"/>
      <c r="B49" s="13"/>
      <c r="C49" s="13"/>
      <c r="D49" s="13"/>
    </row>
    <row r="50" spans="1:4" ht="13" x14ac:dyDescent="0.15">
      <c r="A50" s="10"/>
      <c r="B50" s="13"/>
      <c r="C50" s="13"/>
      <c r="D50" s="13"/>
    </row>
    <row r="51" spans="1:4" ht="13" x14ac:dyDescent="0.15">
      <c r="A51" s="10"/>
      <c r="B51" s="13"/>
      <c r="C51" s="13"/>
      <c r="D51" s="13"/>
    </row>
    <row r="52" spans="1:4" ht="13" x14ac:dyDescent="0.15">
      <c r="A52" s="10"/>
      <c r="B52" s="13"/>
      <c r="C52" s="13"/>
      <c r="D52" s="13"/>
    </row>
    <row r="53" spans="1:4" ht="13" x14ac:dyDescent="0.15">
      <c r="A53" s="10"/>
      <c r="B53" s="13"/>
      <c r="C53" s="13"/>
      <c r="D53" s="13"/>
    </row>
    <row r="54" spans="1:4" ht="13" x14ac:dyDescent="0.15">
      <c r="A54" s="10"/>
      <c r="B54" s="13"/>
      <c r="C54" s="13"/>
      <c r="D54" s="13"/>
    </row>
    <row r="55" spans="1:4" ht="13" x14ac:dyDescent="0.15">
      <c r="A55" s="10"/>
      <c r="B55" s="13"/>
      <c r="C55" s="13"/>
      <c r="D55" s="13"/>
    </row>
    <row r="56" spans="1:4" ht="13" x14ac:dyDescent="0.15">
      <c r="A56" s="10"/>
      <c r="B56" s="13"/>
      <c r="C56" s="13"/>
      <c r="D56" s="13"/>
    </row>
    <row r="57" spans="1:4" ht="13" x14ac:dyDescent="0.15">
      <c r="A57" s="10"/>
      <c r="B57" s="13"/>
      <c r="C57" s="13"/>
      <c r="D57" s="13"/>
    </row>
    <row r="58" spans="1:4" ht="13" x14ac:dyDescent="0.15">
      <c r="A58" s="10"/>
      <c r="B58" s="13"/>
      <c r="C58" s="13"/>
      <c r="D58" s="13"/>
    </row>
    <row r="59" spans="1:4" ht="13" x14ac:dyDescent="0.15">
      <c r="A59" s="10"/>
      <c r="B59" s="13"/>
      <c r="C59" s="13"/>
      <c r="D59" s="13"/>
    </row>
    <row r="60" spans="1:4" ht="13" x14ac:dyDescent="0.15">
      <c r="A60" s="10"/>
      <c r="B60" s="13"/>
      <c r="C60" s="13"/>
      <c r="D60" s="13"/>
    </row>
    <row r="61" spans="1:4" ht="13" x14ac:dyDescent="0.15">
      <c r="A61" s="10"/>
      <c r="B61" s="13"/>
      <c r="C61" s="13"/>
      <c r="D61" s="13"/>
    </row>
    <row r="62" spans="1:4" ht="13" x14ac:dyDescent="0.15">
      <c r="A62" s="10"/>
      <c r="B62" s="13"/>
      <c r="C62" s="13"/>
      <c r="D62" s="13"/>
    </row>
    <row r="63" spans="1:4" ht="13" x14ac:dyDescent="0.15">
      <c r="A63" s="10"/>
      <c r="B63" s="13"/>
      <c r="C63" s="13"/>
      <c r="D63" s="13"/>
    </row>
    <row r="64" spans="1:4" ht="13" x14ac:dyDescent="0.15">
      <c r="A64" s="10"/>
      <c r="B64" s="13"/>
      <c r="C64" s="13"/>
      <c r="D64" s="13"/>
    </row>
    <row r="65" spans="1:4" ht="13" x14ac:dyDescent="0.15">
      <c r="A65" s="10"/>
      <c r="B65" s="13"/>
      <c r="C65" s="13"/>
      <c r="D65" s="13"/>
    </row>
    <row r="66" spans="1:4" ht="13" x14ac:dyDescent="0.15">
      <c r="A66" s="10"/>
      <c r="B66" s="13"/>
      <c r="C66" s="13"/>
      <c r="D66" s="13"/>
    </row>
    <row r="67" spans="1:4" ht="13" x14ac:dyDescent="0.15">
      <c r="A67" s="10"/>
      <c r="B67" s="13"/>
      <c r="C67" s="13"/>
      <c r="D67" s="13"/>
    </row>
    <row r="68" spans="1:4" ht="13" x14ac:dyDescent="0.15">
      <c r="A68" s="10"/>
      <c r="B68" s="13"/>
      <c r="C68" s="13"/>
      <c r="D68" s="13"/>
    </row>
    <row r="69" spans="1:4" ht="13" x14ac:dyDescent="0.15">
      <c r="A69" s="10"/>
      <c r="B69" s="13"/>
      <c r="C69" s="13"/>
      <c r="D69" s="13"/>
    </row>
    <row r="70" spans="1:4" ht="13" x14ac:dyDescent="0.15">
      <c r="A70" s="10"/>
      <c r="B70" s="13"/>
      <c r="C70" s="13"/>
      <c r="D70" s="13"/>
    </row>
    <row r="71" spans="1:4" ht="13" x14ac:dyDescent="0.15">
      <c r="A71" s="10"/>
      <c r="B71" s="13"/>
      <c r="C71" s="13"/>
      <c r="D71" s="13"/>
    </row>
    <row r="72" spans="1:4" ht="13" x14ac:dyDescent="0.15">
      <c r="A72" s="10"/>
      <c r="B72" s="13"/>
      <c r="C72" s="13"/>
      <c r="D72" s="13"/>
    </row>
    <row r="73" spans="1:4" ht="13" x14ac:dyDescent="0.15">
      <c r="A73" s="10"/>
      <c r="B73" s="13"/>
      <c r="C73" s="13"/>
      <c r="D73" s="13"/>
    </row>
    <row r="74" spans="1:4" ht="13" x14ac:dyDescent="0.15">
      <c r="A74" s="10"/>
      <c r="B74" s="13"/>
      <c r="C74" s="13"/>
      <c r="D74" s="13"/>
    </row>
    <row r="75" spans="1:4" ht="13" x14ac:dyDescent="0.15">
      <c r="A75" s="10"/>
      <c r="B75" s="13"/>
      <c r="C75" s="13"/>
      <c r="D75" s="13"/>
    </row>
    <row r="76" spans="1:4" ht="13" x14ac:dyDescent="0.15">
      <c r="A76" s="10"/>
      <c r="B76" s="13"/>
      <c r="C76" s="13"/>
      <c r="D76" s="13"/>
    </row>
    <row r="77" spans="1:4" ht="13" x14ac:dyDescent="0.15">
      <c r="A77" s="10"/>
      <c r="B77" s="13"/>
      <c r="C77" s="13"/>
      <c r="D77" s="13"/>
    </row>
    <row r="78" spans="1:4" ht="13" x14ac:dyDescent="0.15">
      <c r="A78" s="10"/>
      <c r="B78" s="13"/>
      <c r="C78" s="13"/>
      <c r="D78" s="13"/>
    </row>
    <row r="79" spans="1:4" ht="13" x14ac:dyDescent="0.15">
      <c r="A79" s="10"/>
      <c r="B79" s="13"/>
      <c r="C79" s="13"/>
      <c r="D79" s="13"/>
    </row>
    <row r="80" spans="1:4" ht="13" x14ac:dyDescent="0.15">
      <c r="A80" s="10"/>
      <c r="B80" s="13"/>
      <c r="C80" s="13"/>
      <c r="D80" s="13"/>
    </row>
    <row r="81" spans="1:4" ht="13" x14ac:dyDescent="0.15">
      <c r="A81" s="10"/>
      <c r="B81" s="13"/>
      <c r="C81" s="13"/>
      <c r="D81" s="13"/>
    </row>
    <row r="82" spans="1:4" ht="13" x14ac:dyDescent="0.15">
      <c r="A82" s="10"/>
      <c r="B82" s="13"/>
      <c r="C82" s="13"/>
      <c r="D82" s="13"/>
    </row>
    <row r="83" spans="1:4" ht="13" x14ac:dyDescent="0.15">
      <c r="A83" s="10"/>
      <c r="B83" s="13"/>
      <c r="C83" s="13"/>
      <c r="D83" s="13"/>
    </row>
    <row r="84" spans="1:4" ht="13" x14ac:dyDescent="0.15">
      <c r="A84" s="10"/>
      <c r="B84" s="13"/>
      <c r="C84" s="13"/>
      <c r="D84" s="13"/>
    </row>
    <row r="85" spans="1:4" ht="13" x14ac:dyDescent="0.15">
      <c r="A85" s="10"/>
      <c r="B85" s="13"/>
      <c r="C85" s="13"/>
      <c r="D85" s="13"/>
    </row>
    <row r="86" spans="1:4" ht="13" x14ac:dyDescent="0.15">
      <c r="A86" s="10"/>
      <c r="B86" s="13"/>
      <c r="C86" s="13"/>
      <c r="D86" s="13"/>
    </row>
    <row r="87" spans="1:4" ht="13" x14ac:dyDescent="0.15">
      <c r="A87" s="10"/>
      <c r="B87" s="13"/>
      <c r="C87" s="13"/>
      <c r="D87" s="13"/>
    </row>
    <row r="88" spans="1:4" ht="13" x14ac:dyDescent="0.15">
      <c r="A88" s="10"/>
      <c r="B88" s="13"/>
      <c r="C88" s="13"/>
      <c r="D88" s="13"/>
    </row>
    <row r="89" spans="1:4" ht="13" x14ac:dyDescent="0.15">
      <c r="A89" s="10"/>
      <c r="B89" s="13"/>
      <c r="C89" s="13"/>
      <c r="D89" s="13"/>
    </row>
    <row r="90" spans="1:4" ht="13" x14ac:dyDescent="0.15">
      <c r="A90" s="10"/>
      <c r="B90" s="13"/>
      <c r="C90" s="13"/>
      <c r="D90" s="13"/>
    </row>
    <row r="91" spans="1:4" ht="13" x14ac:dyDescent="0.15">
      <c r="A91" s="10"/>
      <c r="B91" s="13"/>
      <c r="C91" s="13"/>
      <c r="D91" s="13"/>
    </row>
    <row r="92" spans="1:4" ht="13" x14ac:dyDescent="0.15">
      <c r="A92" s="10"/>
      <c r="B92" s="13"/>
      <c r="C92" s="13"/>
      <c r="D92" s="13"/>
    </row>
    <row r="93" spans="1:4" ht="13" x14ac:dyDescent="0.15">
      <c r="A93" s="10"/>
      <c r="B93" s="13"/>
      <c r="C93" s="13"/>
      <c r="D93" s="13"/>
    </row>
    <row r="94" spans="1:4" ht="13" x14ac:dyDescent="0.15">
      <c r="A94" s="10"/>
      <c r="B94" s="13"/>
      <c r="C94" s="13"/>
      <c r="D94" s="13"/>
    </row>
    <row r="95" spans="1:4" ht="13" x14ac:dyDescent="0.15">
      <c r="A95" s="10"/>
      <c r="B95" s="13"/>
      <c r="C95" s="13"/>
      <c r="D95" s="13"/>
    </row>
    <row r="96" spans="1:4" ht="13" x14ac:dyDescent="0.15">
      <c r="A96" s="10"/>
      <c r="B96" s="13"/>
      <c r="C96" s="13"/>
      <c r="D96" s="13"/>
    </row>
    <row r="97" spans="1:4" ht="13" x14ac:dyDescent="0.15">
      <c r="A97" s="10"/>
      <c r="B97" s="13"/>
      <c r="C97" s="13"/>
      <c r="D97" s="13"/>
    </row>
    <row r="98" spans="1:4" ht="13" x14ac:dyDescent="0.15">
      <c r="A98" s="10"/>
      <c r="B98" s="13"/>
      <c r="C98" s="13"/>
      <c r="D98" s="13"/>
    </row>
    <row r="99" spans="1:4" ht="13" x14ac:dyDescent="0.15">
      <c r="A99" s="10"/>
      <c r="B99" s="13"/>
      <c r="C99" s="13"/>
      <c r="D99" s="13"/>
    </row>
    <row r="100" spans="1:4" ht="13" x14ac:dyDescent="0.15">
      <c r="A100" s="10"/>
      <c r="B100" s="13"/>
      <c r="C100" s="13"/>
      <c r="D100" s="13"/>
    </row>
    <row r="101" spans="1:4" ht="13" x14ac:dyDescent="0.15">
      <c r="A101" s="10"/>
      <c r="B101" s="13"/>
      <c r="C101" s="13"/>
      <c r="D101" s="13"/>
    </row>
    <row r="102" spans="1:4" ht="13" x14ac:dyDescent="0.15">
      <c r="A102" s="10"/>
      <c r="B102" s="13"/>
      <c r="C102" s="13"/>
      <c r="D102" s="13"/>
    </row>
    <row r="103" spans="1:4" ht="13" x14ac:dyDescent="0.15">
      <c r="A103" s="10"/>
      <c r="B103" s="13"/>
      <c r="C103" s="13"/>
      <c r="D103" s="13"/>
    </row>
    <row r="104" spans="1:4" ht="13" x14ac:dyDescent="0.15">
      <c r="A104" s="10"/>
      <c r="B104" s="13"/>
      <c r="C104" s="13"/>
      <c r="D104" s="13"/>
    </row>
    <row r="105" spans="1:4" ht="13" x14ac:dyDescent="0.15">
      <c r="A105" s="10"/>
      <c r="B105" s="13"/>
      <c r="C105" s="13"/>
      <c r="D105" s="13"/>
    </row>
    <row r="106" spans="1:4" ht="13" x14ac:dyDescent="0.15">
      <c r="A106" s="10"/>
      <c r="B106" s="13"/>
      <c r="C106" s="13"/>
      <c r="D106" s="13"/>
    </row>
    <row r="107" spans="1:4" ht="13" x14ac:dyDescent="0.15">
      <c r="A107" s="10"/>
      <c r="B107" s="13"/>
      <c r="C107" s="13"/>
      <c r="D107" s="13"/>
    </row>
    <row r="108" spans="1:4" ht="13" x14ac:dyDescent="0.15">
      <c r="A108" s="10"/>
      <c r="B108" s="13"/>
      <c r="C108" s="13"/>
      <c r="D108" s="13"/>
    </row>
    <row r="109" spans="1:4" ht="13" x14ac:dyDescent="0.15">
      <c r="A109" s="10"/>
      <c r="B109" s="13"/>
      <c r="C109" s="13"/>
      <c r="D109" s="13"/>
    </row>
    <row r="110" spans="1:4" ht="13" x14ac:dyDescent="0.15">
      <c r="A110" s="10"/>
      <c r="B110" s="13"/>
      <c r="C110" s="13"/>
      <c r="D110" s="13"/>
    </row>
    <row r="111" spans="1:4" ht="13" x14ac:dyDescent="0.15">
      <c r="A111" s="10"/>
      <c r="B111" s="13"/>
      <c r="C111" s="13"/>
      <c r="D111" s="13"/>
    </row>
    <row r="112" spans="1:4" ht="13" x14ac:dyDescent="0.15">
      <c r="A112" s="10"/>
      <c r="B112" s="13"/>
      <c r="C112" s="13"/>
      <c r="D112" s="13"/>
    </row>
    <row r="113" spans="1:4" ht="13" x14ac:dyDescent="0.15">
      <c r="A113" s="10"/>
      <c r="B113" s="13"/>
      <c r="C113" s="13"/>
      <c r="D113" s="13"/>
    </row>
    <row r="114" spans="1:4" ht="13" x14ac:dyDescent="0.15">
      <c r="A114" s="10"/>
      <c r="B114" s="13"/>
      <c r="C114" s="13"/>
      <c r="D114" s="13"/>
    </row>
    <row r="115" spans="1:4" ht="13" x14ac:dyDescent="0.15">
      <c r="A115" s="10"/>
      <c r="B115" s="13"/>
      <c r="C115" s="13"/>
      <c r="D115" s="13"/>
    </row>
    <row r="116" spans="1:4" ht="13" x14ac:dyDescent="0.15">
      <c r="A116" s="10"/>
      <c r="B116" s="13"/>
      <c r="C116" s="13"/>
      <c r="D116" s="13"/>
    </row>
    <row r="117" spans="1:4" ht="13" x14ac:dyDescent="0.15">
      <c r="A117" s="10"/>
      <c r="B117" s="13"/>
      <c r="C117" s="13"/>
      <c r="D117" s="13"/>
    </row>
    <row r="118" spans="1:4" ht="13" x14ac:dyDescent="0.15">
      <c r="A118" s="10"/>
      <c r="B118" s="13"/>
      <c r="C118" s="13"/>
      <c r="D118" s="13"/>
    </row>
    <row r="119" spans="1:4" ht="13" x14ac:dyDescent="0.15">
      <c r="A119" s="10"/>
      <c r="B119" s="13"/>
      <c r="C119" s="13"/>
      <c r="D119" s="13"/>
    </row>
    <row r="120" spans="1:4" ht="13" x14ac:dyDescent="0.15">
      <c r="A120" s="10"/>
      <c r="B120" s="13"/>
      <c r="C120" s="13"/>
      <c r="D120" s="13"/>
    </row>
    <row r="121" spans="1:4" ht="13" x14ac:dyDescent="0.15">
      <c r="A121" s="10"/>
      <c r="B121" s="13"/>
      <c r="C121" s="13"/>
      <c r="D121" s="13"/>
    </row>
    <row r="122" spans="1:4" ht="13" x14ac:dyDescent="0.15">
      <c r="A122" s="10"/>
      <c r="B122" s="13"/>
      <c r="C122" s="13"/>
      <c r="D122" s="13"/>
    </row>
    <row r="123" spans="1:4" ht="13" x14ac:dyDescent="0.15">
      <c r="A123" s="10"/>
      <c r="B123" s="13"/>
      <c r="C123" s="13"/>
      <c r="D123" s="13"/>
    </row>
    <row r="124" spans="1:4" ht="13" x14ac:dyDescent="0.15">
      <c r="A124" s="10"/>
      <c r="B124" s="13"/>
      <c r="C124" s="13"/>
      <c r="D124" s="13"/>
    </row>
    <row r="125" spans="1:4" ht="13" x14ac:dyDescent="0.15">
      <c r="A125" s="10"/>
      <c r="B125" s="13"/>
      <c r="C125" s="13"/>
      <c r="D125" s="13"/>
    </row>
    <row r="126" spans="1:4" ht="13" x14ac:dyDescent="0.15">
      <c r="A126" s="10"/>
      <c r="B126" s="13"/>
      <c r="C126" s="13"/>
      <c r="D126" s="13"/>
    </row>
    <row r="127" spans="1:4" ht="13" x14ac:dyDescent="0.15">
      <c r="A127" s="10"/>
      <c r="B127" s="13"/>
      <c r="C127" s="13"/>
      <c r="D127" s="13"/>
    </row>
    <row r="128" spans="1:4" ht="13" x14ac:dyDescent="0.15">
      <c r="A128" s="10"/>
      <c r="B128" s="13"/>
      <c r="C128" s="13"/>
      <c r="D128" s="13"/>
    </row>
    <row r="129" spans="1:4" ht="13" x14ac:dyDescent="0.15">
      <c r="A129" s="10"/>
      <c r="B129" s="13"/>
      <c r="C129" s="13"/>
      <c r="D129" s="13"/>
    </row>
    <row r="130" spans="1:4" ht="13" x14ac:dyDescent="0.15">
      <c r="A130" s="10"/>
      <c r="B130" s="13"/>
      <c r="C130" s="13"/>
      <c r="D130" s="13"/>
    </row>
    <row r="131" spans="1:4" ht="13" x14ac:dyDescent="0.15">
      <c r="A131" s="10"/>
      <c r="B131" s="13"/>
      <c r="C131" s="13"/>
      <c r="D131" s="13"/>
    </row>
    <row r="132" spans="1:4" ht="13" x14ac:dyDescent="0.15">
      <c r="A132" s="10"/>
      <c r="B132" s="13"/>
      <c r="C132" s="13"/>
      <c r="D132" s="13"/>
    </row>
    <row r="133" spans="1:4" ht="13" x14ac:dyDescent="0.15">
      <c r="A133" s="10"/>
      <c r="B133" s="13"/>
      <c r="C133" s="13"/>
      <c r="D133" s="13"/>
    </row>
    <row r="134" spans="1:4" ht="13" x14ac:dyDescent="0.15">
      <c r="A134" s="10"/>
      <c r="B134" s="13"/>
      <c r="C134" s="13"/>
      <c r="D134" s="13"/>
    </row>
    <row r="135" spans="1:4" ht="13" x14ac:dyDescent="0.15">
      <c r="A135" s="10"/>
      <c r="B135" s="13"/>
      <c r="C135" s="13"/>
      <c r="D135" s="13"/>
    </row>
    <row r="136" spans="1:4" ht="13" x14ac:dyDescent="0.15">
      <c r="A136" s="10"/>
      <c r="B136" s="13"/>
      <c r="C136" s="13"/>
      <c r="D136" s="13"/>
    </row>
    <row r="137" spans="1:4" ht="13" x14ac:dyDescent="0.15">
      <c r="A137" s="10"/>
      <c r="B137" s="13"/>
      <c r="C137" s="13"/>
      <c r="D137" s="13"/>
    </row>
    <row r="138" spans="1:4" ht="13" x14ac:dyDescent="0.15">
      <c r="A138" s="10"/>
      <c r="B138" s="13"/>
      <c r="C138" s="13"/>
      <c r="D138" s="13"/>
    </row>
    <row r="139" spans="1:4" ht="13" x14ac:dyDescent="0.15">
      <c r="A139" s="10"/>
      <c r="B139" s="13"/>
      <c r="C139" s="13"/>
      <c r="D139" s="13"/>
    </row>
    <row r="140" spans="1:4" ht="13" x14ac:dyDescent="0.15">
      <c r="A140" s="10"/>
      <c r="B140" s="13"/>
      <c r="C140" s="13"/>
      <c r="D140" s="13"/>
    </row>
    <row r="141" spans="1:4" ht="13" x14ac:dyDescent="0.15">
      <c r="A141" s="10"/>
      <c r="B141" s="13"/>
      <c r="C141" s="13"/>
      <c r="D141" s="13"/>
    </row>
    <row r="142" spans="1:4" ht="13" x14ac:dyDescent="0.15">
      <c r="A142" s="10"/>
      <c r="B142" s="13"/>
      <c r="C142" s="13"/>
      <c r="D142" s="13"/>
    </row>
    <row r="143" spans="1:4" ht="13" x14ac:dyDescent="0.15">
      <c r="A143" s="10"/>
      <c r="B143" s="13"/>
      <c r="C143" s="13"/>
      <c r="D143" s="13"/>
    </row>
    <row r="144" spans="1:4" ht="13" x14ac:dyDescent="0.15">
      <c r="A144" s="10"/>
      <c r="B144" s="13"/>
      <c r="C144" s="13"/>
      <c r="D144" s="13"/>
    </row>
    <row r="145" spans="1:4" ht="13" x14ac:dyDescent="0.15">
      <c r="A145" s="10"/>
      <c r="B145" s="13"/>
      <c r="C145" s="13"/>
      <c r="D145" s="13"/>
    </row>
    <row r="146" spans="1:4" ht="13" x14ac:dyDescent="0.15">
      <c r="A146" s="10"/>
      <c r="B146" s="13"/>
      <c r="C146" s="13"/>
      <c r="D146" s="13"/>
    </row>
    <row r="147" spans="1:4" ht="13" x14ac:dyDescent="0.15">
      <c r="A147" s="10"/>
      <c r="B147" s="13"/>
      <c r="C147" s="13"/>
      <c r="D147" s="13"/>
    </row>
    <row r="148" spans="1:4" ht="13" x14ac:dyDescent="0.15">
      <c r="A148" s="10"/>
      <c r="B148" s="13"/>
      <c r="C148" s="13"/>
      <c r="D148" s="13"/>
    </row>
    <row r="149" spans="1:4" ht="13" x14ac:dyDescent="0.15">
      <c r="A149" s="10"/>
      <c r="B149" s="13"/>
      <c r="C149" s="13"/>
      <c r="D149" s="13"/>
    </row>
    <row r="150" spans="1:4" ht="13" x14ac:dyDescent="0.15">
      <c r="A150" s="10"/>
      <c r="B150" s="13"/>
      <c r="C150" s="13"/>
      <c r="D150" s="13"/>
    </row>
    <row r="151" spans="1:4" ht="13" x14ac:dyDescent="0.15">
      <c r="A151" s="10"/>
      <c r="B151" s="13"/>
      <c r="C151" s="13"/>
      <c r="D151" s="13"/>
    </row>
    <row r="152" spans="1:4" ht="13" x14ac:dyDescent="0.15">
      <c r="A152" s="10"/>
      <c r="B152" s="13"/>
      <c r="C152" s="13"/>
      <c r="D152" s="13"/>
    </row>
    <row r="153" spans="1:4" ht="13" x14ac:dyDescent="0.15">
      <c r="A153" s="10"/>
      <c r="B153" s="13"/>
      <c r="C153" s="13"/>
      <c r="D153" s="13"/>
    </row>
    <row r="154" spans="1:4" ht="13" x14ac:dyDescent="0.15">
      <c r="A154" s="10"/>
      <c r="B154" s="13"/>
      <c r="C154" s="13"/>
      <c r="D154" s="13"/>
    </row>
    <row r="155" spans="1:4" ht="13" x14ac:dyDescent="0.15">
      <c r="A155" s="10"/>
      <c r="B155" s="13"/>
      <c r="C155" s="13"/>
      <c r="D155" s="13"/>
    </row>
    <row r="156" spans="1:4" ht="13" x14ac:dyDescent="0.15">
      <c r="A156" s="10"/>
      <c r="B156" s="13"/>
      <c r="C156" s="13"/>
      <c r="D156" s="13"/>
    </row>
    <row r="157" spans="1:4" ht="13" x14ac:dyDescent="0.15">
      <c r="A157" s="10"/>
      <c r="B157" s="13"/>
      <c r="C157" s="13"/>
      <c r="D157" s="13"/>
    </row>
    <row r="158" spans="1:4" ht="13" x14ac:dyDescent="0.15">
      <c r="A158" s="10"/>
      <c r="B158" s="13"/>
      <c r="C158" s="13"/>
      <c r="D158" s="13"/>
    </row>
    <row r="159" spans="1:4" ht="13" x14ac:dyDescent="0.15">
      <c r="A159" s="10"/>
      <c r="B159" s="13"/>
      <c r="C159" s="13"/>
      <c r="D159" s="13"/>
    </row>
    <row r="160" spans="1:4" ht="13" x14ac:dyDescent="0.15">
      <c r="A160" s="10"/>
      <c r="B160" s="13"/>
      <c r="C160" s="13"/>
      <c r="D160" s="13"/>
    </row>
    <row r="161" spans="1:4" ht="13" x14ac:dyDescent="0.15">
      <c r="A161" s="10"/>
      <c r="B161" s="13"/>
      <c r="C161" s="13"/>
      <c r="D161" s="13"/>
    </row>
    <row r="162" spans="1:4" ht="13" x14ac:dyDescent="0.15">
      <c r="A162" s="10"/>
      <c r="B162" s="13"/>
      <c r="C162" s="13"/>
      <c r="D162" s="13"/>
    </row>
    <row r="163" spans="1:4" ht="13" x14ac:dyDescent="0.15">
      <c r="A163" s="10"/>
      <c r="B163" s="13"/>
      <c r="C163" s="13"/>
      <c r="D163" s="13"/>
    </row>
    <row r="164" spans="1:4" ht="13" x14ac:dyDescent="0.15">
      <c r="A164" s="10"/>
      <c r="B164" s="13"/>
      <c r="C164" s="13"/>
      <c r="D164" s="13"/>
    </row>
    <row r="165" spans="1:4" ht="13" x14ac:dyDescent="0.15">
      <c r="A165" s="10"/>
      <c r="B165" s="13"/>
      <c r="C165" s="13"/>
      <c r="D165" s="13"/>
    </row>
    <row r="166" spans="1:4" ht="13" x14ac:dyDescent="0.15">
      <c r="A166" s="10"/>
      <c r="B166" s="13"/>
      <c r="C166" s="13"/>
      <c r="D166" s="13"/>
    </row>
    <row r="167" spans="1:4" ht="13" x14ac:dyDescent="0.15">
      <c r="A167" s="10"/>
      <c r="B167" s="13"/>
      <c r="C167" s="13"/>
      <c r="D167" s="13"/>
    </row>
    <row r="168" spans="1:4" ht="13" x14ac:dyDescent="0.15">
      <c r="A168" s="10"/>
      <c r="B168" s="13"/>
      <c r="C168" s="13"/>
      <c r="D168" s="13"/>
    </row>
    <row r="169" spans="1:4" ht="13" x14ac:dyDescent="0.15">
      <c r="A169" s="10"/>
      <c r="B169" s="13"/>
      <c r="C169" s="13"/>
      <c r="D169" s="13"/>
    </row>
    <row r="170" spans="1:4" ht="13" x14ac:dyDescent="0.15">
      <c r="A170" s="10"/>
      <c r="B170" s="13"/>
      <c r="C170" s="13"/>
      <c r="D170" s="13"/>
    </row>
    <row r="171" spans="1:4" ht="13" x14ac:dyDescent="0.15">
      <c r="A171" s="10"/>
      <c r="B171" s="13"/>
      <c r="C171" s="13"/>
      <c r="D171" s="13"/>
    </row>
    <row r="172" spans="1:4" ht="13" x14ac:dyDescent="0.15">
      <c r="A172" s="10"/>
      <c r="B172" s="13"/>
      <c r="C172" s="13"/>
      <c r="D172" s="13"/>
    </row>
    <row r="173" spans="1:4" ht="13" x14ac:dyDescent="0.15">
      <c r="A173" s="10"/>
      <c r="B173" s="13"/>
      <c r="C173" s="13"/>
      <c r="D173" s="13"/>
    </row>
    <row r="174" spans="1:4" ht="13" x14ac:dyDescent="0.15">
      <c r="A174" s="10"/>
      <c r="B174" s="13"/>
      <c r="C174" s="13"/>
      <c r="D174" s="13"/>
    </row>
    <row r="175" spans="1:4" ht="13" x14ac:dyDescent="0.15">
      <c r="A175" s="10"/>
      <c r="B175" s="13"/>
      <c r="C175" s="13"/>
      <c r="D175" s="13"/>
    </row>
    <row r="176" spans="1:4" ht="13" x14ac:dyDescent="0.15">
      <c r="A176" s="10"/>
      <c r="B176" s="13"/>
      <c r="C176" s="13"/>
      <c r="D176" s="13"/>
    </row>
    <row r="177" spans="1:4" ht="13" x14ac:dyDescent="0.15">
      <c r="A177" s="10"/>
      <c r="B177" s="13"/>
      <c r="C177" s="13"/>
      <c r="D177" s="13"/>
    </row>
    <row r="178" spans="1:4" ht="13" x14ac:dyDescent="0.15">
      <c r="A178" s="10"/>
      <c r="B178" s="13"/>
      <c r="C178" s="13"/>
      <c r="D178" s="13"/>
    </row>
    <row r="179" spans="1:4" ht="13" x14ac:dyDescent="0.15">
      <c r="A179" s="10"/>
      <c r="B179" s="13"/>
      <c r="C179" s="13"/>
      <c r="D179" s="13"/>
    </row>
    <row r="180" spans="1:4" ht="13" x14ac:dyDescent="0.15">
      <c r="A180" s="10"/>
      <c r="B180" s="13"/>
      <c r="C180" s="13"/>
      <c r="D180" s="13"/>
    </row>
    <row r="181" spans="1:4" ht="13" x14ac:dyDescent="0.15">
      <c r="A181" s="10"/>
      <c r="B181" s="13"/>
      <c r="C181" s="13"/>
      <c r="D181" s="13"/>
    </row>
    <row r="182" spans="1:4" ht="13" x14ac:dyDescent="0.15">
      <c r="A182" s="10"/>
      <c r="B182" s="13"/>
      <c r="C182" s="13"/>
      <c r="D182" s="13"/>
    </row>
    <row r="183" spans="1:4" ht="13" x14ac:dyDescent="0.15">
      <c r="A183" s="10"/>
      <c r="B183" s="13"/>
      <c r="C183" s="13"/>
      <c r="D183" s="13"/>
    </row>
    <row r="184" spans="1:4" ht="13" x14ac:dyDescent="0.15">
      <c r="A184" s="10"/>
      <c r="B184" s="13"/>
      <c r="C184" s="13"/>
      <c r="D184" s="13"/>
    </row>
    <row r="185" spans="1:4" ht="13" x14ac:dyDescent="0.15">
      <c r="A185" s="10"/>
      <c r="B185" s="13"/>
      <c r="C185" s="13"/>
      <c r="D185" s="13"/>
    </row>
    <row r="186" spans="1:4" ht="13" x14ac:dyDescent="0.15">
      <c r="A186" s="10"/>
      <c r="B186" s="13"/>
      <c r="C186" s="13"/>
      <c r="D186" s="13"/>
    </row>
    <row r="187" spans="1:4" ht="13" x14ac:dyDescent="0.15">
      <c r="A187" s="10"/>
      <c r="B187" s="13"/>
      <c r="C187" s="13"/>
      <c r="D187" s="13"/>
    </row>
    <row r="188" spans="1:4" ht="13" x14ac:dyDescent="0.15">
      <c r="A188" s="10"/>
      <c r="B188" s="13"/>
      <c r="C188" s="13"/>
      <c r="D188" s="13"/>
    </row>
    <row r="189" spans="1:4" ht="13" x14ac:dyDescent="0.15">
      <c r="A189" s="10"/>
      <c r="B189" s="13"/>
      <c r="C189" s="13"/>
      <c r="D189" s="13"/>
    </row>
    <row r="190" spans="1:4" ht="13" x14ac:dyDescent="0.15">
      <c r="A190" s="10"/>
      <c r="B190" s="13"/>
      <c r="C190" s="13"/>
      <c r="D190" s="13"/>
    </row>
    <row r="191" spans="1:4" ht="13" x14ac:dyDescent="0.15">
      <c r="A191" s="10"/>
      <c r="B191" s="13"/>
      <c r="C191" s="13"/>
      <c r="D191" s="13"/>
    </row>
    <row r="192" spans="1:4" ht="13" x14ac:dyDescent="0.15">
      <c r="A192" s="10"/>
      <c r="B192" s="13"/>
      <c r="C192" s="13"/>
      <c r="D192" s="13"/>
    </row>
    <row r="193" spans="1:4" ht="13" x14ac:dyDescent="0.15">
      <c r="A193" s="10"/>
      <c r="B193" s="13"/>
      <c r="C193" s="13"/>
      <c r="D193" s="13"/>
    </row>
    <row r="194" spans="1:4" ht="13" x14ac:dyDescent="0.15">
      <c r="A194" s="10"/>
      <c r="B194" s="13"/>
      <c r="C194" s="13"/>
      <c r="D194" s="13"/>
    </row>
    <row r="195" spans="1:4" ht="13" x14ac:dyDescent="0.15">
      <c r="A195" s="10"/>
      <c r="B195" s="13"/>
      <c r="C195" s="13"/>
      <c r="D195" s="13"/>
    </row>
    <row r="196" spans="1:4" ht="13" x14ac:dyDescent="0.15">
      <c r="A196" s="10"/>
      <c r="B196" s="13"/>
      <c r="C196" s="13"/>
      <c r="D196" s="13"/>
    </row>
    <row r="197" spans="1:4" ht="13" x14ac:dyDescent="0.15">
      <c r="A197" s="10"/>
      <c r="B197" s="13"/>
      <c r="C197" s="13"/>
      <c r="D197" s="13"/>
    </row>
    <row r="198" spans="1:4" ht="13" x14ac:dyDescent="0.15">
      <c r="A198" s="10"/>
      <c r="B198" s="13"/>
      <c r="C198" s="13"/>
      <c r="D198" s="13"/>
    </row>
    <row r="199" spans="1:4" ht="13" x14ac:dyDescent="0.15">
      <c r="A199" s="10"/>
      <c r="B199" s="13"/>
      <c r="C199" s="13"/>
      <c r="D199" s="13"/>
    </row>
    <row r="200" spans="1:4" ht="13" x14ac:dyDescent="0.15">
      <c r="A200" s="10"/>
      <c r="B200" s="13"/>
      <c r="C200" s="13"/>
      <c r="D200" s="13"/>
    </row>
    <row r="201" spans="1:4" ht="13" x14ac:dyDescent="0.15">
      <c r="A201" s="10"/>
      <c r="B201" s="13"/>
      <c r="C201" s="13"/>
      <c r="D201" s="13"/>
    </row>
    <row r="202" spans="1:4" ht="13" x14ac:dyDescent="0.15">
      <c r="A202" s="10"/>
      <c r="B202" s="13"/>
      <c r="C202" s="13"/>
      <c r="D202" s="13"/>
    </row>
    <row r="203" spans="1:4" ht="13" x14ac:dyDescent="0.15">
      <c r="A203" s="10"/>
      <c r="B203" s="13"/>
      <c r="C203" s="13"/>
      <c r="D203" s="13"/>
    </row>
    <row r="204" spans="1:4" ht="13" x14ac:dyDescent="0.15">
      <c r="A204" s="10"/>
      <c r="B204" s="13"/>
      <c r="C204" s="13"/>
      <c r="D204" s="13"/>
    </row>
    <row r="205" spans="1:4" ht="13" x14ac:dyDescent="0.15">
      <c r="A205" s="10"/>
      <c r="B205" s="13"/>
      <c r="C205" s="13"/>
      <c r="D205" s="13"/>
    </row>
    <row r="206" spans="1:4" ht="13" x14ac:dyDescent="0.15">
      <c r="A206" s="10"/>
      <c r="B206" s="13"/>
      <c r="C206" s="13"/>
      <c r="D206" s="13"/>
    </row>
    <row r="207" spans="1:4" ht="13" x14ac:dyDescent="0.15">
      <c r="A207" s="10"/>
      <c r="B207" s="13"/>
      <c r="C207" s="13"/>
      <c r="D207" s="13"/>
    </row>
    <row r="208" spans="1:4" ht="13" x14ac:dyDescent="0.15">
      <c r="A208" s="10"/>
      <c r="B208" s="13"/>
      <c r="C208" s="13"/>
      <c r="D208" s="13"/>
    </row>
    <row r="209" spans="1:4" ht="13" x14ac:dyDescent="0.15">
      <c r="A209" s="10"/>
      <c r="B209" s="13"/>
      <c r="C209" s="13"/>
      <c r="D209" s="13"/>
    </row>
    <row r="210" spans="1:4" ht="13" x14ac:dyDescent="0.15">
      <c r="A210" s="10"/>
      <c r="B210" s="13"/>
      <c r="C210" s="13"/>
      <c r="D210" s="13"/>
    </row>
    <row r="211" spans="1:4" ht="13" x14ac:dyDescent="0.15">
      <c r="A211" s="10"/>
      <c r="B211" s="13"/>
      <c r="C211" s="13"/>
      <c r="D211" s="13"/>
    </row>
    <row r="212" spans="1:4" ht="13" x14ac:dyDescent="0.15">
      <c r="A212" s="10"/>
      <c r="B212" s="13"/>
      <c r="C212" s="13"/>
      <c r="D212" s="13"/>
    </row>
    <row r="213" spans="1:4" ht="13" x14ac:dyDescent="0.15">
      <c r="A213" s="10"/>
      <c r="B213" s="13"/>
      <c r="C213" s="13"/>
      <c r="D213" s="13"/>
    </row>
    <row r="214" spans="1:4" ht="13" x14ac:dyDescent="0.15">
      <c r="A214" s="10"/>
      <c r="B214" s="13"/>
      <c r="C214" s="13"/>
      <c r="D214" s="13"/>
    </row>
    <row r="215" spans="1:4" ht="13" x14ac:dyDescent="0.15">
      <c r="A215" s="10"/>
      <c r="B215" s="13"/>
      <c r="C215" s="13"/>
      <c r="D215" s="13"/>
    </row>
    <row r="216" spans="1:4" ht="13" x14ac:dyDescent="0.15">
      <c r="A216" s="10"/>
      <c r="B216" s="13"/>
      <c r="C216" s="13"/>
      <c r="D216" s="13"/>
    </row>
    <row r="217" spans="1:4" ht="13" x14ac:dyDescent="0.15">
      <c r="A217" s="10"/>
      <c r="B217" s="13"/>
      <c r="C217" s="13"/>
      <c r="D217" s="13"/>
    </row>
    <row r="218" spans="1:4" ht="13" x14ac:dyDescent="0.15">
      <c r="A218" s="10"/>
      <c r="B218" s="13"/>
      <c r="C218" s="13"/>
      <c r="D218" s="13"/>
    </row>
    <row r="219" spans="1:4" ht="13" x14ac:dyDescent="0.15">
      <c r="A219" s="10"/>
      <c r="B219" s="13"/>
      <c r="C219" s="13"/>
      <c r="D219" s="13"/>
    </row>
    <row r="220" spans="1:4" ht="13" x14ac:dyDescent="0.15">
      <c r="A220" s="10"/>
      <c r="B220" s="13"/>
      <c r="C220" s="13"/>
      <c r="D220" s="13"/>
    </row>
    <row r="221" spans="1:4" ht="13" x14ac:dyDescent="0.15">
      <c r="A221" s="10"/>
      <c r="B221" s="13"/>
      <c r="C221" s="13"/>
      <c r="D221" s="13"/>
    </row>
    <row r="222" spans="1:4" ht="13" x14ac:dyDescent="0.15">
      <c r="A222" s="10"/>
      <c r="B222" s="13"/>
      <c r="C222" s="13"/>
      <c r="D222" s="13"/>
    </row>
    <row r="223" spans="1:4" ht="13" x14ac:dyDescent="0.15">
      <c r="A223" s="10"/>
      <c r="B223" s="13"/>
      <c r="C223" s="13"/>
      <c r="D223" s="13"/>
    </row>
    <row r="224" spans="1:4" ht="13" x14ac:dyDescent="0.15">
      <c r="A224" s="10"/>
      <c r="B224" s="13"/>
      <c r="C224" s="13"/>
      <c r="D224" s="13"/>
    </row>
    <row r="225" spans="1:4" ht="13" x14ac:dyDescent="0.15">
      <c r="A225" s="10"/>
      <c r="B225" s="13"/>
      <c r="C225" s="13"/>
      <c r="D225" s="13"/>
    </row>
    <row r="226" spans="1:4" ht="13" x14ac:dyDescent="0.15">
      <c r="A226" s="10"/>
      <c r="B226" s="13"/>
      <c r="C226" s="13"/>
      <c r="D226" s="13"/>
    </row>
    <row r="227" spans="1:4" ht="13" x14ac:dyDescent="0.15">
      <c r="A227" s="10"/>
      <c r="B227" s="13"/>
      <c r="C227" s="13"/>
      <c r="D227" s="13"/>
    </row>
    <row r="228" spans="1:4" ht="13" x14ac:dyDescent="0.15">
      <c r="A228" s="10"/>
      <c r="B228" s="13"/>
      <c r="C228" s="13"/>
      <c r="D228" s="13"/>
    </row>
    <row r="229" spans="1:4" ht="13" x14ac:dyDescent="0.15">
      <c r="A229" s="10"/>
      <c r="B229" s="13"/>
      <c r="C229" s="13"/>
      <c r="D229" s="13"/>
    </row>
    <row r="230" spans="1:4" ht="13" x14ac:dyDescent="0.15">
      <c r="A230" s="10"/>
      <c r="B230" s="13"/>
      <c r="C230" s="13"/>
      <c r="D230" s="13"/>
    </row>
    <row r="231" spans="1:4" ht="13" x14ac:dyDescent="0.15">
      <c r="A231" s="10"/>
      <c r="B231" s="13"/>
      <c r="C231" s="13"/>
      <c r="D231" s="13"/>
    </row>
    <row r="232" spans="1:4" ht="13" x14ac:dyDescent="0.15">
      <c r="A232" s="10"/>
      <c r="B232" s="13"/>
      <c r="C232" s="13"/>
      <c r="D232" s="13"/>
    </row>
    <row r="233" spans="1:4" ht="13" x14ac:dyDescent="0.15">
      <c r="A233" s="10"/>
      <c r="B233" s="13"/>
      <c r="C233" s="13"/>
      <c r="D233" s="13"/>
    </row>
    <row r="234" spans="1:4" ht="13" x14ac:dyDescent="0.15">
      <c r="A234" s="10"/>
      <c r="B234" s="13"/>
      <c r="C234" s="13"/>
      <c r="D234" s="13"/>
    </row>
    <row r="235" spans="1:4" ht="13" x14ac:dyDescent="0.15">
      <c r="A235" s="10"/>
      <c r="B235" s="13"/>
      <c r="C235" s="13"/>
      <c r="D235" s="13"/>
    </row>
    <row r="236" spans="1:4" ht="13" x14ac:dyDescent="0.15">
      <c r="A236" s="10"/>
      <c r="B236" s="13"/>
      <c r="C236" s="13"/>
      <c r="D236" s="13"/>
    </row>
    <row r="237" spans="1:4" ht="13" x14ac:dyDescent="0.15">
      <c r="A237" s="10"/>
      <c r="B237" s="13"/>
      <c r="C237" s="13"/>
      <c r="D237" s="13"/>
    </row>
    <row r="238" spans="1:4" ht="13" x14ac:dyDescent="0.15">
      <c r="A238" s="10"/>
      <c r="B238" s="13"/>
      <c r="C238" s="13"/>
      <c r="D238" s="13"/>
    </row>
    <row r="239" spans="1:4" ht="13" x14ac:dyDescent="0.15">
      <c r="A239" s="10"/>
      <c r="B239" s="13"/>
      <c r="C239" s="13"/>
      <c r="D239" s="13"/>
    </row>
    <row r="240" spans="1:4" ht="13" x14ac:dyDescent="0.15">
      <c r="A240" s="10"/>
      <c r="B240" s="13"/>
      <c r="C240" s="13"/>
      <c r="D240" s="13"/>
    </row>
    <row r="241" spans="1:4" ht="13" x14ac:dyDescent="0.15">
      <c r="A241" s="10"/>
      <c r="B241" s="13"/>
      <c r="C241" s="13"/>
      <c r="D241" s="13"/>
    </row>
    <row r="242" spans="1:4" ht="13" x14ac:dyDescent="0.15">
      <c r="A242" s="10"/>
      <c r="B242" s="13"/>
      <c r="C242" s="13"/>
      <c r="D242" s="13"/>
    </row>
    <row r="243" spans="1:4" ht="13" x14ac:dyDescent="0.15">
      <c r="A243" s="10"/>
      <c r="B243" s="13"/>
      <c r="C243" s="13"/>
      <c r="D243" s="13"/>
    </row>
    <row r="244" spans="1:4" ht="13" x14ac:dyDescent="0.15">
      <c r="A244" s="10"/>
      <c r="B244" s="13"/>
      <c r="C244" s="13"/>
      <c r="D244" s="13"/>
    </row>
    <row r="245" spans="1:4" ht="13" x14ac:dyDescent="0.15">
      <c r="A245" s="10"/>
      <c r="B245" s="13"/>
      <c r="C245" s="13"/>
      <c r="D245" s="13"/>
    </row>
    <row r="246" spans="1:4" ht="13" x14ac:dyDescent="0.15">
      <c r="A246" s="10"/>
      <c r="B246" s="13"/>
      <c r="C246" s="13"/>
      <c r="D246" s="13"/>
    </row>
    <row r="247" spans="1:4" ht="13" x14ac:dyDescent="0.15">
      <c r="A247" s="10"/>
      <c r="B247" s="13"/>
      <c r="C247" s="13"/>
      <c r="D247" s="13"/>
    </row>
    <row r="248" spans="1:4" ht="13" x14ac:dyDescent="0.15">
      <c r="A248" s="10"/>
      <c r="B248" s="13"/>
      <c r="C248" s="13"/>
      <c r="D248" s="13"/>
    </row>
    <row r="249" spans="1:4" ht="13" x14ac:dyDescent="0.15">
      <c r="A249" s="10"/>
      <c r="B249" s="13"/>
      <c r="C249" s="13"/>
      <c r="D249" s="13"/>
    </row>
    <row r="250" spans="1:4" ht="13" x14ac:dyDescent="0.15">
      <c r="A250" s="10"/>
      <c r="B250" s="13"/>
      <c r="C250" s="13"/>
      <c r="D250" s="13"/>
    </row>
    <row r="251" spans="1:4" ht="13" x14ac:dyDescent="0.15">
      <c r="A251" s="10"/>
      <c r="B251" s="13"/>
      <c r="C251" s="13"/>
      <c r="D251" s="13"/>
    </row>
    <row r="252" spans="1:4" ht="13" x14ac:dyDescent="0.15">
      <c r="A252" s="10"/>
      <c r="B252" s="13"/>
      <c r="C252" s="13"/>
      <c r="D252" s="13"/>
    </row>
    <row r="253" spans="1:4" ht="13" x14ac:dyDescent="0.15">
      <c r="A253" s="10"/>
      <c r="B253" s="13"/>
      <c r="C253" s="13"/>
      <c r="D253" s="13"/>
    </row>
    <row r="254" spans="1:4" ht="13" x14ac:dyDescent="0.15">
      <c r="A254" s="10"/>
      <c r="B254" s="13"/>
      <c r="C254" s="13"/>
      <c r="D254" s="13"/>
    </row>
    <row r="255" spans="1:4" ht="13" x14ac:dyDescent="0.15">
      <c r="A255" s="10"/>
      <c r="B255" s="13"/>
      <c r="C255" s="13"/>
      <c r="D255" s="13"/>
    </row>
    <row r="256" spans="1:4" ht="13" x14ac:dyDescent="0.15">
      <c r="A256" s="10"/>
      <c r="B256" s="13"/>
      <c r="C256" s="13"/>
      <c r="D256" s="13"/>
    </row>
    <row r="257" spans="1:4" ht="13" x14ac:dyDescent="0.15">
      <c r="A257" s="10"/>
      <c r="B257" s="13"/>
      <c r="C257" s="13"/>
      <c r="D257" s="13"/>
    </row>
    <row r="258" spans="1:4" ht="13" x14ac:dyDescent="0.15">
      <c r="A258" s="10"/>
      <c r="B258" s="13"/>
      <c r="C258" s="13"/>
      <c r="D258" s="13"/>
    </row>
    <row r="259" spans="1:4" ht="13" x14ac:dyDescent="0.15">
      <c r="A259" s="10"/>
      <c r="B259" s="13"/>
      <c r="C259" s="13"/>
      <c r="D259" s="13"/>
    </row>
    <row r="260" spans="1:4" ht="13" x14ac:dyDescent="0.15">
      <c r="A260" s="10"/>
      <c r="B260" s="13"/>
      <c r="C260" s="13"/>
      <c r="D260" s="13"/>
    </row>
    <row r="261" spans="1:4" ht="13" x14ac:dyDescent="0.15">
      <c r="A261" s="10"/>
      <c r="B261" s="13"/>
      <c r="C261" s="13"/>
      <c r="D261" s="13"/>
    </row>
    <row r="262" spans="1:4" ht="13" x14ac:dyDescent="0.15">
      <c r="A262" s="10"/>
      <c r="B262" s="13"/>
      <c r="C262" s="13"/>
      <c r="D262" s="13"/>
    </row>
    <row r="263" spans="1:4" ht="13" x14ac:dyDescent="0.15">
      <c r="A263" s="10"/>
      <c r="B263" s="13"/>
      <c r="C263" s="13"/>
      <c r="D263" s="13"/>
    </row>
    <row r="264" spans="1:4" ht="13" x14ac:dyDescent="0.15">
      <c r="A264" s="10"/>
      <c r="B264" s="13"/>
      <c r="C264" s="13"/>
      <c r="D264" s="13"/>
    </row>
    <row r="265" spans="1:4" ht="13" x14ac:dyDescent="0.15">
      <c r="A265" s="10"/>
      <c r="B265" s="13"/>
      <c r="C265" s="13"/>
      <c r="D265" s="13"/>
    </row>
    <row r="266" spans="1:4" ht="13" x14ac:dyDescent="0.15">
      <c r="A266" s="10"/>
      <c r="B266" s="13"/>
      <c r="C266" s="13"/>
      <c r="D266" s="13"/>
    </row>
    <row r="267" spans="1:4" ht="13" x14ac:dyDescent="0.15">
      <c r="A267" s="10"/>
      <c r="B267" s="13"/>
      <c r="C267" s="13"/>
      <c r="D267" s="13"/>
    </row>
    <row r="268" spans="1:4" ht="13" x14ac:dyDescent="0.15">
      <c r="A268" s="10"/>
      <c r="B268" s="13"/>
      <c r="C268" s="13"/>
      <c r="D268" s="13"/>
    </row>
    <row r="269" spans="1:4" ht="13" x14ac:dyDescent="0.15">
      <c r="A269" s="10"/>
      <c r="B269" s="13"/>
      <c r="C269" s="13"/>
      <c r="D269" s="13"/>
    </row>
    <row r="270" spans="1:4" ht="13" x14ac:dyDescent="0.15">
      <c r="A270" s="10"/>
      <c r="B270" s="13"/>
      <c r="C270" s="13"/>
      <c r="D270" s="13"/>
    </row>
    <row r="271" spans="1:4" ht="13" x14ac:dyDescent="0.15">
      <c r="A271" s="10"/>
      <c r="B271" s="13"/>
      <c r="C271" s="13"/>
      <c r="D271" s="13"/>
    </row>
    <row r="272" spans="1:4" ht="13" x14ac:dyDescent="0.15">
      <c r="A272" s="10"/>
      <c r="B272" s="13"/>
      <c r="C272" s="13"/>
      <c r="D272" s="13"/>
    </row>
    <row r="273" spans="1:4" ht="13" x14ac:dyDescent="0.15">
      <c r="A273" s="10"/>
      <c r="B273" s="13"/>
      <c r="C273" s="13"/>
      <c r="D273" s="13"/>
    </row>
    <row r="274" spans="1:4" ht="13" x14ac:dyDescent="0.15">
      <c r="A274" s="10"/>
      <c r="B274" s="13"/>
      <c r="C274" s="13"/>
      <c r="D274" s="13"/>
    </row>
    <row r="275" spans="1:4" ht="13" x14ac:dyDescent="0.15">
      <c r="A275" s="10"/>
      <c r="B275" s="13"/>
      <c r="C275" s="13"/>
      <c r="D275" s="13"/>
    </row>
    <row r="276" spans="1:4" ht="13" x14ac:dyDescent="0.15">
      <c r="A276" s="10"/>
      <c r="B276" s="13"/>
      <c r="C276" s="13"/>
      <c r="D276" s="13"/>
    </row>
    <row r="277" spans="1:4" ht="13" x14ac:dyDescent="0.15">
      <c r="A277" s="10"/>
      <c r="B277" s="13"/>
      <c r="C277" s="13"/>
      <c r="D277" s="13"/>
    </row>
    <row r="278" spans="1:4" ht="13" x14ac:dyDescent="0.15">
      <c r="A278" s="10"/>
      <c r="B278" s="13"/>
      <c r="C278" s="13"/>
      <c r="D278" s="13"/>
    </row>
    <row r="279" spans="1:4" ht="13" x14ac:dyDescent="0.15">
      <c r="A279" s="10"/>
      <c r="B279" s="13"/>
      <c r="C279" s="13"/>
      <c r="D279" s="13"/>
    </row>
    <row r="280" spans="1:4" ht="13" x14ac:dyDescent="0.15">
      <c r="A280" s="10"/>
      <c r="B280" s="13"/>
      <c r="C280" s="13"/>
      <c r="D280" s="13"/>
    </row>
    <row r="281" spans="1:4" ht="13" x14ac:dyDescent="0.15">
      <c r="A281" s="10"/>
      <c r="B281" s="13"/>
      <c r="C281" s="13"/>
      <c r="D281" s="13"/>
    </row>
    <row r="282" spans="1:4" ht="13" x14ac:dyDescent="0.15">
      <c r="A282" s="10"/>
      <c r="B282" s="13"/>
      <c r="C282" s="13"/>
      <c r="D282" s="13"/>
    </row>
    <row r="283" spans="1:4" ht="13" x14ac:dyDescent="0.15">
      <c r="A283" s="10"/>
      <c r="B283" s="13"/>
      <c r="C283" s="13"/>
      <c r="D283" s="13"/>
    </row>
    <row r="284" spans="1:4" ht="13" x14ac:dyDescent="0.15">
      <c r="A284" s="10"/>
      <c r="B284" s="13"/>
      <c r="C284" s="13"/>
      <c r="D284" s="13"/>
    </row>
    <row r="285" spans="1:4" ht="13" x14ac:dyDescent="0.15">
      <c r="A285" s="10"/>
      <c r="B285" s="13"/>
      <c r="C285" s="13"/>
      <c r="D285" s="13"/>
    </row>
    <row r="286" spans="1:4" ht="13" x14ac:dyDescent="0.15">
      <c r="A286" s="10"/>
      <c r="B286" s="13"/>
      <c r="C286" s="13"/>
      <c r="D286" s="13"/>
    </row>
    <row r="287" spans="1:4" ht="13" x14ac:dyDescent="0.15">
      <c r="A287" s="10"/>
      <c r="B287" s="13"/>
      <c r="C287" s="13"/>
      <c r="D287" s="13"/>
    </row>
    <row r="288" spans="1:4" ht="13" x14ac:dyDescent="0.15">
      <c r="A288" s="10"/>
      <c r="B288" s="13"/>
      <c r="C288" s="13"/>
      <c r="D288" s="13"/>
    </row>
    <row r="289" spans="1:4" ht="13" x14ac:dyDescent="0.15">
      <c r="A289" s="10"/>
      <c r="B289" s="13"/>
      <c r="C289" s="13"/>
      <c r="D289" s="13"/>
    </row>
    <row r="290" spans="1:4" ht="13" x14ac:dyDescent="0.15">
      <c r="A290" s="10"/>
      <c r="B290" s="13"/>
      <c r="C290" s="13"/>
      <c r="D290" s="13"/>
    </row>
    <row r="291" spans="1:4" ht="13" x14ac:dyDescent="0.15">
      <c r="A291" s="10"/>
      <c r="B291" s="13"/>
      <c r="C291" s="13"/>
      <c r="D291" s="13"/>
    </row>
    <row r="292" spans="1:4" ht="13" x14ac:dyDescent="0.15">
      <c r="A292" s="10"/>
      <c r="B292" s="13"/>
      <c r="C292" s="13"/>
      <c r="D292" s="13"/>
    </row>
    <row r="293" spans="1:4" ht="13" x14ac:dyDescent="0.15">
      <c r="A293" s="10"/>
      <c r="B293" s="13"/>
      <c r="C293" s="13"/>
      <c r="D293" s="13"/>
    </row>
    <row r="294" spans="1:4" ht="13" x14ac:dyDescent="0.15">
      <c r="A294" s="10"/>
      <c r="B294" s="13"/>
      <c r="C294" s="13"/>
      <c r="D294" s="13"/>
    </row>
    <row r="295" spans="1:4" ht="13" x14ac:dyDescent="0.15">
      <c r="A295" s="10"/>
      <c r="B295" s="13"/>
      <c r="C295" s="13"/>
      <c r="D295" s="13"/>
    </row>
    <row r="296" spans="1:4" ht="13" x14ac:dyDescent="0.15">
      <c r="A296" s="10"/>
      <c r="B296" s="13"/>
      <c r="C296" s="13"/>
      <c r="D296" s="13"/>
    </row>
    <row r="297" spans="1:4" ht="13" x14ac:dyDescent="0.15">
      <c r="A297" s="10"/>
      <c r="B297" s="13"/>
      <c r="C297" s="13"/>
      <c r="D297" s="13"/>
    </row>
    <row r="298" spans="1:4" ht="13" x14ac:dyDescent="0.15">
      <c r="A298" s="10"/>
      <c r="B298" s="13"/>
      <c r="C298" s="13"/>
      <c r="D298" s="13"/>
    </row>
    <row r="299" spans="1:4" ht="13" x14ac:dyDescent="0.15">
      <c r="A299" s="10"/>
      <c r="B299" s="13"/>
      <c r="C299" s="13"/>
      <c r="D299" s="13"/>
    </row>
    <row r="300" spans="1:4" ht="13" x14ac:dyDescent="0.15">
      <c r="A300" s="10"/>
      <c r="B300" s="13"/>
      <c r="C300" s="13"/>
      <c r="D300" s="13"/>
    </row>
    <row r="301" spans="1:4" ht="13" x14ac:dyDescent="0.15">
      <c r="A301" s="10"/>
      <c r="B301" s="13"/>
      <c r="C301" s="13"/>
      <c r="D301" s="13"/>
    </row>
    <row r="302" spans="1:4" ht="13" x14ac:dyDescent="0.15">
      <c r="A302" s="10"/>
      <c r="B302" s="13"/>
      <c r="C302" s="13"/>
      <c r="D302" s="13"/>
    </row>
    <row r="303" spans="1:4" ht="13" x14ac:dyDescent="0.15">
      <c r="A303" s="10"/>
      <c r="B303" s="13"/>
      <c r="C303" s="13"/>
      <c r="D303" s="13"/>
    </row>
    <row r="304" spans="1:4" ht="13" x14ac:dyDescent="0.15">
      <c r="A304" s="10"/>
      <c r="B304" s="13"/>
      <c r="C304" s="13"/>
      <c r="D304" s="13"/>
    </row>
    <row r="305" spans="1:4" ht="13" x14ac:dyDescent="0.15">
      <c r="A305" s="10"/>
      <c r="B305" s="13"/>
      <c r="C305" s="13"/>
      <c r="D305" s="13"/>
    </row>
    <row r="306" spans="1:4" ht="13" x14ac:dyDescent="0.15">
      <c r="A306" s="10"/>
      <c r="B306" s="13"/>
      <c r="C306" s="13"/>
      <c r="D306" s="13"/>
    </row>
    <row r="307" spans="1:4" ht="13" x14ac:dyDescent="0.15">
      <c r="A307" s="10"/>
      <c r="B307" s="13"/>
      <c r="C307" s="13"/>
      <c r="D307" s="13"/>
    </row>
    <row r="308" spans="1:4" ht="13" x14ac:dyDescent="0.15">
      <c r="A308" s="10"/>
      <c r="B308" s="13"/>
      <c r="C308" s="13"/>
      <c r="D308" s="13"/>
    </row>
    <row r="309" spans="1:4" ht="13" x14ac:dyDescent="0.15">
      <c r="A309" s="10"/>
      <c r="B309" s="13"/>
      <c r="C309" s="13"/>
      <c r="D309" s="13"/>
    </row>
    <row r="310" spans="1:4" ht="13" x14ac:dyDescent="0.15">
      <c r="A310" s="10"/>
      <c r="B310" s="13"/>
      <c r="C310" s="13"/>
      <c r="D310" s="13"/>
    </row>
    <row r="311" spans="1:4" ht="13" x14ac:dyDescent="0.15">
      <c r="A311" s="10"/>
      <c r="B311" s="13"/>
      <c r="C311" s="13"/>
      <c r="D311" s="13"/>
    </row>
    <row r="312" spans="1:4" ht="13" x14ac:dyDescent="0.15">
      <c r="A312" s="10"/>
      <c r="B312" s="13"/>
      <c r="C312" s="13"/>
      <c r="D312" s="13"/>
    </row>
    <row r="313" spans="1:4" ht="13" x14ac:dyDescent="0.15">
      <c r="A313" s="10"/>
      <c r="B313" s="13"/>
      <c r="C313" s="13"/>
      <c r="D313" s="13"/>
    </row>
    <row r="314" spans="1:4" ht="13" x14ac:dyDescent="0.15">
      <c r="A314" s="10"/>
      <c r="B314" s="13"/>
      <c r="C314" s="13"/>
      <c r="D314" s="13"/>
    </row>
    <row r="315" spans="1:4" ht="13" x14ac:dyDescent="0.15">
      <c r="A315" s="10"/>
      <c r="B315" s="13"/>
      <c r="C315" s="13"/>
      <c r="D315" s="13"/>
    </row>
    <row r="316" spans="1:4" ht="13" x14ac:dyDescent="0.15">
      <c r="A316" s="10"/>
      <c r="B316" s="13"/>
      <c r="C316" s="13"/>
      <c r="D316" s="13"/>
    </row>
    <row r="317" spans="1:4" ht="13" x14ac:dyDescent="0.15">
      <c r="A317" s="10"/>
      <c r="B317" s="13"/>
      <c r="C317" s="13"/>
      <c r="D317" s="13"/>
    </row>
    <row r="318" spans="1:4" ht="13" x14ac:dyDescent="0.15">
      <c r="A318" s="10"/>
      <c r="B318" s="13"/>
      <c r="C318" s="13"/>
      <c r="D318" s="13"/>
    </row>
    <row r="319" spans="1:4" ht="13" x14ac:dyDescent="0.15">
      <c r="A319" s="10"/>
      <c r="B319" s="13"/>
      <c r="C319" s="13"/>
      <c r="D319" s="13"/>
    </row>
    <row r="320" spans="1:4" ht="13" x14ac:dyDescent="0.15">
      <c r="A320" s="10"/>
      <c r="B320" s="13"/>
      <c r="C320" s="13"/>
      <c r="D320" s="13"/>
    </row>
    <row r="321" spans="1:4" ht="13" x14ac:dyDescent="0.15">
      <c r="A321" s="10"/>
      <c r="B321" s="13"/>
      <c r="C321" s="13"/>
      <c r="D321" s="13"/>
    </row>
    <row r="322" spans="1:4" ht="13" x14ac:dyDescent="0.15">
      <c r="A322" s="10"/>
      <c r="B322" s="13"/>
      <c r="C322" s="13"/>
      <c r="D322" s="13"/>
    </row>
    <row r="323" spans="1:4" ht="13" x14ac:dyDescent="0.15">
      <c r="A323" s="10"/>
      <c r="B323" s="13"/>
      <c r="C323" s="13"/>
      <c r="D323" s="13"/>
    </row>
    <row r="324" spans="1:4" ht="13" x14ac:dyDescent="0.15">
      <c r="A324" s="10"/>
      <c r="B324" s="13"/>
      <c r="C324" s="13"/>
      <c r="D324" s="13"/>
    </row>
    <row r="325" spans="1:4" ht="13" x14ac:dyDescent="0.15">
      <c r="A325" s="10"/>
      <c r="B325" s="13"/>
      <c r="C325" s="13"/>
      <c r="D325" s="13"/>
    </row>
    <row r="326" spans="1:4" ht="13" x14ac:dyDescent="0.15">
      <c r="A326" s="10"/>
      <c r="B326" s="13"/>
      <c r="C326" s="13"/>
      <c r="D326" s="13"/>
    </row>
    <row r="327" spans="1:4" ht="13" x14ac:dyDescent="0.15">
      <c r="A327" s="10"/>
      <c r="B327" s="13"/>
      <c r="C327" s="13"/>
      <c r="D327" s="13"/>
    </row>
    <row r="328" spans="1:4" ht="13" x14ac:dyDescent="0.15">
      <c r="A328" s="10"/>
      <c r="B328" s="13"/>
      <c r="C328" s="13"/>
      <c r="D328" s="13"/>
    </row>
    <row r="329" spans="1:4" ht="13" x14ac:dyDescent="0.15">
      <c r="A329" s="10"/>
      <c r="B329" s="13"/>
      <c r="C329" s="13"/>
      <c r="D329" s="13"/>
    </row>
    <row r="330" spans="1:4" ht="13" x14ac:dyDescent="0.15">
      <c r="A330" s="10"/>
      <c r="B330" s="13"/>
      <c r="C330" s="13"/>
      <c r="D330" s="13"/>
    </row>
    <row r="331" spans="1:4" ht="13" x14ac:dyDescent="0.15">
      <c r="A331" s="10"/>
      <c r="B331" s="13"/>
      <c r="C331" s="13"/>
      <c r="D331" s="13"/>
    </row>
    <row r="332" spans="1:4" ht="13" x14ac:dyDescent="0.15">
      <c r="A332" s="10"/>
      <c r="B332" s="13"/>
      <c r="C332" s="13"/>
      <c r="D332" s="13"/>
    </row>
    <row r="333" spans="1:4" ht="13" x14ac:dyDescent="0.15">
      <c r="A333" s="10"/>
      <c r="B333" s="13"/>
      <c r="C333" s="13"/>
      <c r="D333" s="13"/>
    </row>
    <row r="334" spans="1:4" ht="13" x14ac:dyDescent="0.15">
      <c r="A334" s="10"/>
      <c r="B334" s="13"/>
      <c r="C334" s="13"/>
      <c r="D334" s="13"/>
    </row>
    <row r="335" spans="1:4" ht="13" x14ac:dyDescent="0.15">
      <c r="A335" s="10"/>
      <c r="B335" s="13"/>
      <c r="C335" s="13"/>
      <c r="D335" s="13"/>
    </row>
    <row r="336" spans="1:4" ht="13" x14ac:dyDescent="0.15">
      <c r="A336" s="10"/>
      <c r="B336" s="13"/>
      <c r="C336" s="13"/>
      <c r="D336" s="13"/>
    </row>
    <row r="337" spans="1:4" ht="13" x14ac:dyDescent="0.15">
      <c r="A337" s="10"/>
      <c r="B337" s="13"/>
      <c r="C337" s="13"/>
      <c r="D337" s="13"/>
    </row>
    <row r="338" spans="1:4" ht="13" x14ac:dyDescent="0.15">
      <c r="A338" s="10"/>
      <c r="B338" s="13"/>
      <c r="C338" s="13"/>
      <c r="D338" s="13"/>
    </row>
    <row r="339" spans="1:4" ht="13" x14ac:dyDescent="0.15">
      <c r="A339" s="10"/>
      <c r="B339" s="13"/>
      <c r="C339" s="13"/>
      <c r="D339" s="13"/>
    </row>
    <row r="340" spans="1:4" ht="13" x14ac:dyDescent="0.15">
      <c r="A340" s="10"/>
      <c r="B340" s="13"/>
      <c r="C340" s="13"/>
      <c r="D340" s="13"/>
    </row>
    <row r="341" spans="1:4" ht="13" x14ac:dyDescent="0.15">
      <c r="A341" s="10"/>
      <c r="B341" s="13"/>
      <c r="C341" s="13"/>
      <c r="D341" s="13"/>
    </row>
    <row r="342" spans="1:4" ht="13" x14ac:dyDescent="0.15">
      <c r="A342" s="10"/>
      <c r="B342" s="13"/>
      <c r="C342" s="13"/>
      <c r="D342" s="13"/>
    </row>
    <row r="343" spans="1:4" ht="13" x14ac:dyDescent="0.15">
      <c r="A343" s="10"/>
      <c r="B343" s="13"/>
      <c r="C343" s="13"/>
      <c r="D343" s="13"/>
    </row>
    <row r="344" spans="1:4" ht="13" x14ac:dyDescent="0.15">
      <c r="A344" s="10"/>
      <c r="B344" s="13"/>
      <c r="C344" s="13"/>
      <c r="D344" s="13"/>
    </row>
    <row r="345" spans="1:4" ht="13" x14ac:dyDescent="0.15">
      <c r="A345" s="10"/>
      <c r="B345" s="13"/>
      <c r="C345" s="13"/>
      <c r="D345" s="13"/>
    </row>
    <row r="346" spans="1:4" ht="13" x14ac:dyDescent="0.15">
      <c r="A346" s="10"/>
      <c r="B346" s="13"/>
      <c r="C346" s="13"/>
      <c r="D346" s="13"/>
    </row>
    <row r="347" spans="1:4" ht="13" x14ac:dyDescent="0.15">
      <c r="A347" s="10"/>
      <c r="B347" s="13"/>
      <c r="C347" s="13"/>
      <c r="D347" s="13"/>
    </row>
    <row r="348" spans="1:4" ht="13" x14ac:dyDescent="0.15">
      <c r="A348" s="10"/>
      <c r="B348" s="13"/>
      <c r="C348" s="13"/>
      <c r="D348" s="13"/>
    </row>
    <row r="349" spans="1:4" ht="13" x14ac:dyDescent="0.15">
      <c r="A349" s="10"/>
      <c r="B349" s="13"/>
      <c r="C349" s="13"/>
      <c r="D349" s="13"/>
    </row>
    <row r="350" spans="1:4" ht="13" x14ac:dyDescent="0.15">
      <c r="A350" s="10"/>
      <c r="B350" s="13"/>
      <c r="C350" s="13"/>
      <c r="D350" s="13"/>
    </row>
    <row r="351" spans="1:4" ht="13" x14ac:dyDescent="0.15">
      <c r="A351" s="10"/>
      <c r="B351" s="13"/>
      <c r="C351" s="13"/>
      <c r="D351" s="13"/>
    </row>
    <row r="352" spans="1:4" ht="13" x14ac:dyDescent="0.15">
      <c r="A352" s="10"/>
      <c r="B352" s="13"/>
      <c r="C352" s="13"/>
      <c r="D352" s="13"/>
    </row>
    <row r="353" spans="1:4" ht="13" x14ac:dyDescent="0.15">
      <c r="A353" s="10"/>
      <c r="B353" s="13"/>
      <c r="C353" s="13"/>
      <c r="D353" s="13"/>
    </row>
    <row r="354" spans="1:4" ht="13" x14ac:dyDescent="0.15">
      <c r="A354" s="10"/>
      <c r="B354" s="13"/>
      <c r="C354" s="13"/>
      <c r="D354" s="13"/>
    </row>
    <row r="355" spans="1:4" ht="13" x14ac:dyDescent="0.15">
      <c r="A355" s="10"/>
      <c r="B355" s="13"/>
      <c r="C355" s="13"/>
      <c r="D355" s="13"/>
    </row>
    <row r="356" spans="1:4" ht="13" x14ac:dyDescent="0.15">
      <c r="A356" s="10"/>
      <c r="B356" s="13"/>
      <c r="C356" s="13"/>
      <c r="D356" s="13"/>
    </row>
    <row r="357" spans="1:4" ht="13" x14ac:dyDescent="0.15">
      <c r="A357" s="10"/>
      <c r="B357" s="13"/>
      <c r="C357" s="13"/>
      <c r="D357" s="13"/>
    </row>
    <row r="358" spans="1:4" ht="13" x14ac:dyDescent="0.15">
      <c r="A358" s="10"/>
      <c r="B358" s="13"/>
      <c r="C358" s="13"/>
      <c r="D358" s="13"/>
    </row>
    <row r="359" spans="1:4" ht="13" x14ac:dyDescent="0.15">
      <c r="A359" s="10"/>
      <c r="B359" s="13"/>
      <c r="C359" s="13"/>
      <c r="D359" s="13"/>
    </row>
    <row r="360" spans="1:4" ht="13" x14ac:dyDescent="0.15">
      <c r="A360" s="10"/>
      <c r="B360" s="13"/>
      <c r="C360" s="13"/>
      <c r="D360" s="13"/>
    </row>
    <row r="361" spans="1:4" ht="13" x14ac:dyDescent="0.15">
      <c r="A361" s="10"/>
      <c r="B361" s="13"/>
      <c r="C361" s="13"/>
      <c r="D361" s="13"/>
    </row>
    <row r="362" spans="1:4" ht="13" x14ac:dyDescent="0.15">
      <c r="A362" s="10"/>
      <c r="B362" s="13"/>
      <c r="C362" s="13"/>
      <c r="D362" s="13"/>
    </row>
    <row r="363" spans="1:4" ht="13" x14ac:dyDescent="0.15">
      <c r="A363" s="10"/>
      <c r="B363" s="13"/>
      <c r="C363" s="13"/>
      <c r="D363" s="13"/>
    </row>
    <row r="364" spans="1:4" ht="13" x14ac:dyDescent="0.15">
      <c r="A364" s="10"/>
      <c r="B364" s="13"/>
      <c r="C364" s="13"/>
      <c r="D364" s="13"/>
    </row>
    <row r="365" spans="1:4" ht="13" x14ac:dyDescent="0.15">
      <c r="A365" s="10"/>
      <c r="B365" s="13"/>
      <c r="C365" s="13"/>
      <c r="D365" s="13"/>
    </row>
    <row r="366" spans="1:4" ht="13" x14ac:dyDescent="0.15">
      <c r="A366" s="10"/>
      <c r="B366" s="13"/>
      <c r="C366" s="13"/>
      <c r="D366" s="13"/>
    </row>
    <row r="367" spans="1:4" ht="13" x14ac:dyDescent="0.15">
      <c r="A367" s="10"/>
      <c r="B367" s="13"/>
      <c r="C367" s="13"/>
      <c r="D367" s="13"/>
    </row>
    <row r="368" spans="1:4" ht="13" x14ac:dyDescent="0.15">
      <c r="A368" s="10"/>
      <c r="B368" s="13"/>
      <c r="C368" s="13"/>
      <c r="D368" s="13"/>
    </row>
    <row r="369" spans="1:4" ht="13" x14ac:dyDescent="0.15">
      <c r="A369" s="10"/>
      <c r="B369" s="13"/>
      <c r="C369" s="13"/>
      <c r="D369" s="13"/>
    </row>
    <row r="370" spans="1:4" ht="13" x14ac:dyDescent="0.15">
      <c r="A370" s="10"/>
      <c r="B370" s="13"/>
      <c r="C370" s="13"/>
      <c r="D370" s="13"/>
    </row>
    <row r="371" spans="1:4" ht="13" x14ac:dyDescent="0.15">
      <c r="A371" s="10"/>
      <c r="B371" s="13"/>
      <c r="C371" s="13"/>
      <c r="D371" s="13"/>
    </row>
    <row r="372" spans="1:4" ht="13" x14ac:dyDescent="0.15">
      <c r="A372" s="10"/>
      <c r="B372" s="13"/>
      <c r="C372" s="13"/>
      <c r="D372" s="13"/>
    </row>
    <row r="373" spans="1:4" ht="13" x14ac:dyDescent="0.15">
      <c r="A373" s="10"/>
      <c r="B373" s="13"/>
      <c r="C373" s="13"/>
      <c r="D373" s="13"/>
    </row>
    <row r="374" spans="1:4" ht="13" x14ac:dyDescent="0.15">
      <c r="A374" s="10"/>
      <c r="B374" s="13"/>
      <c r="C374" s="13"/>
      <c r="D374" s="13"/>
    </row>
    <row r="375" spans="1:4" ht="13" x14ac:dyDescent="0.15">
      <c r="A375" s="10"/>
      <c r="B375" s="13"/>
      <c r="C375" s="13"/>
      <c r="D375" s="13"/>
    </row>
    <row r="376" spans="1:4" ht="13" x14ac:dyDescent="0.15">
      <c r="A376" s="10"/>
      <c r="B376" s="13"/>
      <c r="C376" s="13"/>
      <c r="D376" s="13"/>
    </row>
    <row r="377" spans="1:4" ht="13" x14ac:dyDescent="0.15">
      <c r="A377" s="10"/>
      <c r="B377" s="13"/>
      <c r="C377" s="13"/>
      <c r="D377" s="13"/>
    </row>
    <row r="378" spans="1:4" ht="13" x14ac:dyDescent="0.15">
      <c r="A378" s="10"/>
      <c r="B378" s="13"/>
      <c r="C378" s="13"/>
      <c r="D378" s="13"/>
    </row>
    <row r="379" spans="1:4" ht="13" x14ac:dyDescent="0.15">
      <c r="A379" s="10"/>
      <c r="B379" s="13"/>
      <c r="C379" s="13"/>
      <c r="D379" s="13"/>
    </row>
    <row r="380" spans="1:4" ht="13" x14ac:dyDescent="0.15">
      <c r="A380" s="10"/>
      <c r="B380" s="13"/>
      <c r="C380" s="13"/>
      <c r="D380" s="13"/>
    </row>
    <row r="381" spans="1:4" ht="13" x14ac:dyDescent="0.15">
      <c r="A381" s="10"/>
      <c r="B381" s="13"/>
      <c r="C381" s="13"/>
      <c r="D381" s="13"/>
    </row>
    <row r="382" spans="1:4" ht="13" x14ac:dyDescent="0.15">
      <c r="A382" s="10"/>
      <c r="B382" s="13"/>
      <c r="C382" s="13"/>
      <c r="D382" s="13"/>
    </row>
    <row r="383" spans="1:4" ht="13" x14ac:dyDescent="0.15">
      <c r="A383" s="10"/>
      <c r="B383" s="13"/>
      <c r="C383" s="13"/>
      <c r="D383" s="13"/>
    </row>
    <row r="384" spans="1:4" ht="13" x14ac:dyDescent="0.15">
      <c r="A384" s="10"/>
      <c r="B384" s="13"/>
      <c r="C384" s="13"/>
      <c r="D384" s="13"/>
    </row>
    <row r="385" spans="1:4" ht="13" x14ac:dyDescent="0.15">
      <c r="A385" s="10"/>
      <c r="B385" s="13"/>
      <c r="C385" s="13"/>
      <c r="D385" s="13"/>
    </row>
    <row r="386" spans="1:4" ht="13" x14ac:dyDescent="0.15">
      <c r="A386" s="10"/>
      <c r="B386" s="13"/>
      <c r="C386" s="13"/>
      <c r="D386" s="13"/>
    </row>
    <row r="387" spans="1:4" ht="13" x14ac:dyDescent="0.15">
      <c r="A387" s="10"/>
      <c r="B387" s="13"/>
      <c r="C387" s="13"/>
      <c r="D387" s="13"/>
    </row>
    <row r="388" spans="1:4" ht="13" x14ac:dyDescent="0.15">
      <c r="A388" s="10"/>
      <c r="B388" s="13"/>
      <c r="C388" s="13"/>
      <c r="D388" s="13"/>
    </row>
    <row r="389" spans="1:4" ht="13" x14ac:dyDescent="0.15">
      <c r="A389" s="10"/>
      <c r="B389" s="13"/>
      <c r="C389" s="13"/>
      <c r="D389" s="13"/>
    </row>
    <row r="390" spans="1:4" ht="13" x14ac:dyDescent="0.15">
      <c r="A390" s="10"/>
      <c r="B390" s="13"/>
      <c r="C390" s="13"/>
      <c r="D390" s="13"/>
    </row>
    <row r="391" spans="1:4" ht="13" x14ac:dyDescent="0.15">
      <c r="A391" s="10"/>
      <c r="B391" s="13"/>
      <c r="C391" s="13"/>
      <c r="D391" s="13"/>
    </row>
    <row r="392" spans="1:4" ht="13" x14ac:dyDescent="0.15">
      <c r="A392" s="10"/>
      <c r="B392" s="13"/>
      <c r="C392" s="13"/>
      <c r="D392" s="13"/>
    </row>
    <row r="393" spans="1:4" ht="13" x14ac:dyDescent="0.15">
      <c r="A393" s="10"/>
      <c r="B393" s="13"/>
      <c r="C393" s="13"/>
      <c r="D393" s="13"/>
    </row>
    <row r="394" spans="1:4" ht="13" x14ac:dyDescent="0.15">
      <c r="A394" s="10"/>
      <c r="B394" s="13"/>
      <c r="C394" s="13"/>
      <c r="D394" s="13"/>
    </row>
    <row r="395" spans="1:4" ht="13" x14ac:dyDescent="0.15">
      <c r="A395" s="10"/>
      <c r="B395" s="13"/>
      <c r="C395" s="13"/>
      <c r="D395" s="13"/>
    </row>
    <row r="396" spans="1:4" ht="13" x14ac:dyDescent="0.15">
      <c r="A396" s="10"/>
      <c r="B396" s="13"/>
      <c r="C396" s="13"/>
      <c r="D396" s="13"/>
    </row>
    <row r="397" spans="1:4" ht="13" x14ac:dyDescent="0.15">
      <c r="A397" s="10"/>
      <c r="B397" s="13"/>
      <c r="C397" s="13"/>
      <c r="D397" s="13"/>
    </row>
    <row r="398" spans="1:4" ht="13" x14ac:dyDescent="0.15">
      <c r="A398" s="10"/>
      <c r="B398" s="13"/>
      <c r="C398" s="13"/>
      <c r="D398" s="13"/>
    </row>
    <row r="399" spans="1:4" ht="13" x14ac:dyDescent="0.15">
      <c r="A399" s="10"/>
      <c r="B399" s="13"/>
      <c r="C399" s="13"/>
      <c r="D399" s="13"/>
    </row>
    <row r="400" spans="1:4" ht="13" x14ac:dyDescent="0.15">
      <c r="A400" s="10"/>
      <c r="B400" s="13"/>
      <c r="C400" s="13"/>
      <c r="D400" s="13"/>
    </row>
    <row r="401" spans="1:4" ht="13" x14ac:dyDescent="0.15">
      <c r="A401" s="10"/>
      <c r="B401" s="13"/>
      <c r="C401" s="13"/>
      <c r="D401" s="13"/>
    </row>
    <row r="402" spans="1:4" ht="13" x14ac:dyDescent="0.15">
      <c r="A402" s="10"/>
      <c r="B402" s="13"/>
      <c r="C402" s="13"/>
      <c r="D402" s="13"/>
    </row>
    <row r="403" spans="1:4" ht="13" x14ac:dyDescent="0.15">
      <c r="A403" s="10"/>
      <c r="B403" s="13"/>
      <c r="C403" s="13"/>
      <c r="D403" s="13"/>
    </row>
    <row r="404" spans="1:4" ht="13" x14ac:dyDescent="0.15">
      <c r="A404" s="10"/>
      <c r="B404" s="13"/>
      <c r="C404" s="13"/>
      <c r="D404" s="13"/>
    </row>
    <row r="405" spans="1:4" ht="13" x14ac:dyDescent="0.15">
      <c r="A405" s="10"/>
      <c r="B405" s="13"/>
      <c r="C405" s="13"/>
      <c r="D405" s="13"/>
    </row>
    <row r="406" spans="1:4" ht="13" x14ac:dyDescent="0.15">
      <c r="A406" s="10"/>
      <c r="B406" s="13"/>
      <c r="C406" s="13"/>
      <c r="D406" s="13"/>
    </row>
    <row r="407" spans="1:4" ht="13" x14ac:dyDescent="0.15">
      <c r="A407" s="10"/>
      <c r="B407" s="13"/>
      <c r="C407" s="13"/>
      <c r="D407" s="13"/>
    </row>
    <row r="408" spans="1:4" ht="13" x14ac:dyDescent="0.15">
      <c r="A408" s="10"/>
      <c r="B408" s="13"/>
      <c r="C408" s="13"/>
      <c r="D408" s="13"/>
    </row>
    <row r="409" spans="1:4" ht="13" x14ac:dyDescent="0.15">
      <c r="A409" s="10"/>
      <c r="B409" s="13"/>
      <c r="C409" s="13"/>
      <c r="D409" s="13"/>
    </row>
    <row r="410" spans="1:4" ht="13" x14ac:dyDescent="0.15">
      <c r="A410" s="10"/>
      <c r="B410" s="13"/>
      <c r="C410" s="13"/>
      <c r="D410" s="13"/>
    </row>
    <row r="411" spans="1:4" ht="13" x14ac:dyDescent="0.15">
      <c r="A411" s="10"/>
      <c r="B411" s="13"/>
      <c r="C411" s="13"/>
      <c r="D411" s="13"/>
    </row>
    <row r="412" spans="1:4" ht="13" x14ac:dyDescent="0.15">
      <c r="A412" s="10"/>
      <c r="B412" s="13"/>
      <c r="C412" s="13"/>
      <c r="D412" s="13"/>
    </row>
    <row r="413" spans="1:4" ht="13" x14ac:dyDescent="0.15">
      <c r="A413" s="10"/>
      <c r="B413" s="13"/>
      <c r="C413" s="13"/>
      <c r="D413" s="13"/>
    </row>
    <row r="414" spans="1:4" ht="13" x14ac:dyDescent="0.15">
      <c r="A414" s="10"/>
      <c r="B414" s="13"/>
      <c r="C414" s="13"/>
      <c r="D414" s="13"/>
    </row>
    <row r="415" spans="1:4" ht="13" x14ac:dyDescent="0.15">
      <c r="A415" s="10"/>
      <c r="B415" s="13"/>
      <c r="C415" s="13"/>
      <c r="D415" s="13"/>
    </row>
    <row r="416" spans="1:4" ht="13" x14ac:dyDescent="0.15">
      <c r="A416" s="10"/>
      <c r="B416" s="13"/>
      <c r="C416" s="13"/>
      <c r="D416" s="13"/>
    </row>
    <row r="417" spans="1:4" ht="13" x14ac:dyDescent="0.15">
      <c r="A417" s="10"/>
      <c r="B417" s="13"/>
      <c r="C417" s="13"/>
      <c r="D417" s="13"/>
    </row>
    <row r="418" spans="1:4" ht="13" x14ac:dyDescent="0.15">
      <c r="A418" s="10"/>
      <c r="B418" s="13"/>
      <c r="C418" s="13"/>
      <c r="D418" s="13"/>
    </row>
    <row r="419" spans="1:4" ht="13" x14ac:dyDescent="0.15">
      <c r="A419" s="10"/>
      <c r="B419" s="13"/>
      <c r="C419" s="13"/>
      <c r="D419" s="13"/>
    </row>
    <row r="420" spans="1:4" ht="13" x14ac:dyDescent="0.15">
      <c r="A420" s="10"/>
      <c r="B420" s="13"/>
      <c r="C420" s="13"/>
      <c r="D420" s="13"/>
    </row>
    <row r="421" spans="1:4" ht="13" x14ac:dyDescent="0.15">
      <c r="A421" s="10"/>
      <c r="B421" s="13"/>
      <c r="C421" s="13"/>
      <c r="D421" s="13"/>
    </row>
    <row r="422" spans="1:4" ht="13" x14ac:dyDescent="0.15">
      <c r="A422" s="10"/>
      <c r="B422" s="13"/>
      <c r="C422" s="13"/>
      <c r="D422" s="13"/>
    </row>
    <row r="423" spans="1:4" ht="13" x14ac:dyDescent="0.15">
      <c r="A423" s="10"/>
      <c r="B423" s="13"/>
      <c r="C423" s="13"/>
      <c r="D423" s="13"/>
    </row>
    <row r="424" spans="1:4" ht="13" x14ac:dyDescent="0.15">
      <c r="A424" s="10"/>
      <c r="B424" s="13"/>
      <c r="C424" s="13"/>
      <c r="D424" s="13"/>
    </row>
    <row r="425" spans="1:4" ht="13" x14ac:dyDescent="0.15">
      <c r="A425" s="10"/>
      <c r="B425" s="13"/>
      <c r="C425" s="13"/>
      <c r="D425" s="13"/>
    </row>
    <row r="426" spans="1:4" ht="13" x14ac:dyDescent="0.15">
      <c r="A426" s="10"/>
      <c r="B426" s="13"/>
      <c r="C426" s="13"/>
      <c r="D426" s="13"/>
    </row>
    <row r="427" spans="1:4" ht="13" x14ac:dyDescent="0.15">
      <c r="A427" s="10"/>
      <c r="B427" s="13"/>
      <c r="C427" s="13"/>
      <c r="D427" s="13"/>
    </row>
    <row r="428" spans="1:4" ht="13" x14ac:dyDescent="0.15">
      <c r="A428" s="10"/>
      <c r="B428" s="13"/>
      <c r="C428" s="13"/>
      <c r="D428" s="13"/>
    </row>
    <row r="429" spans="1:4" ht="13" x14ac:dyDescent="0.15">
      <c r="A429" s="10"/>
      <c r="B429" s="13"/>
      <c r="C429" s="13"/>
      <c r="D429" s="13"/>
    </row>
    <row r="430" spans="1:4" ht="13" x14ac:dyDescent="0.15">
      <c r="A430" s="10"/>
      <c r="B430" s="13"/>
      <c r="C430" s="13"/>
      <c r="D430" s="13"/>
    </row>
    <row r="431" spans="1:4" ht="13" x14ac:dyDescent="0.15">
      <c r="A431" s="10"/>
      <c r="B431" s="13"/>
      <c r="C431" s="13"/>
      <c r="D431" s="13"/>
    </row>
    <row r="432" spans="1:4" ht="13" x14ac:dyDescent="0.15">
      <c r="A432" s="10"/>
      <c r="B432" s="13"/>
      <c r="C432" s="13"/>
      <c r="D432" s="13"/>
    </row>
    <row r="433" spans="1:4" ht="13" x14ac:dyDescent="0.15">
      <c r="A433" s="10"/>
      <c r="B433" s="13"/>
      <c r="C433" s="13"/>
      <c r="D433" s="13"/>
    </row>
    <row r="434" spans="1:4" ht="13" x14ac:dyDescent="0.15">
      <c r="A434" s="10"/>
      <c r="B434" s="13"/>
      <c r="C434" s="13"/>
      <c r="D434" s="13"/>
    </row>
    <row r="435" spans="1:4" ht="13" x14ac:dyDescent="0.15">
      <c r="A435" s="10"/>
      <c r="B435" s="13"/>
      <c r="C435" s="13"/>
      <c r="D435" s="13"/>
    </row>
    <row r="436" spans="1:4" ht="13" x14ac:dyDescent="0.15">
      <c r="A436" s="10"/>
      <c r="B436" s="13"/>
      <c r="C436" s="13"/>
      <c r="D436" s="13"/>
    </row>
    <row r="437" spans="1:4" ht="13" x14ac:dyDescent="0.15">
      <c r="A437" s="10"/>
      <c r="B437" s="13"/>
      <c r="C437" s="13"/>
      <c r="D437" s="13"/>
    </row>
    <row r="438" spans="1:4" ht="13" x14ac:dyDescent="0.15">
      <c r="A438" s="10"/>
      <c r="B438" s="13"/>
      <c r="C438" s="13"/>
      <c r="D438" s="13"/>
    </row>
    <row r="439" spans="1:4" ht="13" x14ac:dyDescent="0.15">
      <c r="A439" s="10"/>
      <c r="B439" s="13"/>
      <c r="C439" s="13"/>
      <c r="D439" s="13"/>
    </row>
    <row r="440" spans="1:4" ht="13" x14ac:dyDescent="0.15">
      <c r="A440" s="10"/>
      <c r="B440" s="13"/>
      <c r="C440" s="13"/>
      <c r="D440" s="13"/>
    </row>
    <row r="441" spans="1:4" ht="13" x14ac:dyDescent="0.15">
      <c r="A441" s="10"/>
      <c r="B441" s="13"/>
      <c r="C441" s="13"/>
      <c r="D441" s="13"/>
    </row>
    <row r="442" spans="1:4" ht="13" x14ac:dyDescent="0.15">
      <c r="A442" s="10"/>
      <c r="B442" s="13"/>
      <c r="C442" s="13"/>
      <c r="D442" s="13"/>
    </row>
    <row r="443" spans="1:4" ht="13" x14ac:dyDescent="0.15">
      <c r="A443" s="10"/>
      <c r="B443" s="13"/>
      <c r="C443" s="13"/>
      <c r="D443" s="13"/>
    </row>
    <row r="444" spans="1:4" ht="13" x14ac:dyDescent="0.15">
      <c r="A444" s="10"/>
      <c r="B444" s="13"/>
      <c r="C444" s="13"/>
      <c r="D444" s="13"/>
    </row>
    <row r="445" spans="1:4" ht="13" x14ac:dyDescent="0.15">
      <c r="A445" s="10"/>
      <c r="B445" s="13"/>
      <c r="C445" s="13"/>
      <c r="D445" s="13"/>
    </row>
    <row r="446" spans="1:4" ht="13" x14ac:dyDescent="0.15">
      <c r="A446" s="10"/>
      <c r="B446" s="13"/>
      <c r="C446" s="13"/>
      <c r="D446" s="13"/>
    </row>
    <row r="447" spans="1:4" ht="13" x14ac:dyDescent="0.15">
      <c r="A447" s="10"/>
      <c r="B447" s="13"/>
      <c r="C447" s="13"/>
      <c r="D447" s="13"/>
    </row>
    <row r="448" spans="1:4" ht="13" x14ac:dyDescent="0.15">
      <c r="A448" s="10"/>
      <c r="B448" s="13"/>
      <c r="C448" s="13"/>
      <c r="D448" s="13"/>
    </row>
    <row r="449" spans="1:4" ht="13" x14ac:dyDescent="0.15">
      <c r="A449" s="10"/>
      <c r="B449" s="13"/>
      <c r="C449" s="13"/>
      <c r="D449" s="13"/>
    </row>
    <row r="450" spans="1:4" ht="13" x14ac:dyDescent="0.15">
      <c r="A450" s="10"/>
      <c r="B450" s="13"/>
      <c r="C450" s="13"/>
      <c r="D450" s="13"/>
    </row>
    <row r="451" spans="1:4" ht="13" x14ac:dyDescent="0.15">
      <c r="A451" s="10"/>
      <c r="B451" s="13"/>
      <c r="C451" s="13"/>
      <c r="D451" s="13"/>
    </row>
    <row r="452" spans="1:4" ht="13" x14ac:dyDescent="0.15">
      <c r="A452" s="10"/>
      <c r="B452" s="13"/>
      <c r="C452" s="13"/>
      <c r="D452" s="13"/>
    </row>
    <row r="453" spans="1:4" ht="13" x14ac:dyDescent="0.15">
      <c r="A453" s="10"/>
      <c r="B453" s="13"/>
      <c r="C453" s="13"/>
      <c r="D453" s="13"/>
    </row>
    <row r="454" spans="1:4" ht="13" x14ac:dyDescent="0.15">
      <c r="A454" s="10"/>
      <c r="B454" s="13"/>
      <c r="C454" s="13"/>
      <c r="D454" s="13"/>
    </row>
    <row r="455" spans="1:4" ht="13" x14ac:dyDescent="0.15">
      <c r="A455" s="10"/>
      <c r="B455" s="13"/>
      <c r="C455" s="13"/>
      <c r="D455" s="13"/>
    </row>
    <row r="456" spans="1:4" ht="13" x14ac:dyDescent="0.15">
      <c r="A456" s="10"/>
      <c r="B456" s="13"/>
      <c r="C456" s="13"/>
      <c r="D456" s="13"/>
    </row>
    <row r="457" spans="1:4" ht="13" x14ac:dyDescent="0.15">
      <c r="A457" s="10"/>
      <c r="B457" s="13"/>
      <c r="C457" s="13"/>
      <c r="D457" s="13"/>
    </row>
    <row r="458" spans="1:4" ht="13" x14ac:dyDescent="0.15">
      <c r="A458" s="10"/>
      <c r="B458" s="13"/>
      <c r="C458" s="13"/>
      <c r="D458" s="13"/>
    </row>
    <row r="459" spans="1:4" ht="13" x14ac:dyDescent="0.15">
      <c r="A459" s="10"/>
      <c r="B459" s="13"/>
      <c r="C459" s="13"/>
      <c r="D459" s="13"/>
    </row>
    <row r="460" spans="1:4" ht="13" x14ac:dyDescent="0.15">
      <c r="A460" s="10"/>
      <c r="B460" s="13"/>
      <c r="C460" s="13"/>
      <c r="D460" s="13"/>
    </row>
    <row r="461" spans="1:4" ht="13" x14ac:dyDescent="0.15">
      <c r="A461" s="10"/>
      <c r="B461" s="13"/>
      <c r="C461" s="13"/>
      <c r="D461" s="13"/>
    </row>
    <row r="462" spans="1:4" ht="13" x14ac:dyDescent="0.15">
      <c r="A462" s="10"/>
      <c r="B462" s="13"/>
      <c r="C462" s="13"/>
      <c r="D462" s="13"/>
    </row>
    <row r="463" spans="1:4" ht="13" x14ac:dyDescent="0.15">
      <c r="A463" s="10"/>
      <c r="B463" s="13"/>
      <c r="C463" s="13"/>
      <c r="D463" s="13"/>
    </row>
    <row r="464" spans="1:4" ht="13" x14ac:dyDescent="0.15">
      <c r="A464" s="10"/>
      <c r="B464" s="13"/>
      <c r="C464" s="13"/>
      <c r="D464" s="13"/>
    </row>
    <row r="465" spans="1:4" ht="13" x14ac:dyDescent="0.15">
      <c r="A465" s="10"/>
      <c r="B465" s="13"/>
      <c r="C465" s="13"/>
      <c r="D465" s="13"/>
    </row>
    <row r="466" spans="1:4" ht="13" x14ac:dyDescent="0.15">
      <c r="A466" s="10"/>
      <c r="B466" s="13"/>
      <c r="C466" s="13"/>
      <c r="D466" s="13"/>
    </row>
    <row r="467" spans="1:4" ht="13" x14ac:dyDescent="0.15">
      <c r="A467" s="10"/>
      <c r="B467" s="13"/>
      <c r="C467" s="13"/>
      <c r="D467" s="13"/>
    </row>
    <row r="468" spans="1:4" ht="13" x14ac:dyDescent="0.15">
      <c r="A468" s="10"/>
      <c r="B468" s="13"/>
      <c r="C468" s="13"/>
      <c r="D468" s="13"/>
    </row>
    <row r="469" spans="1:4" ht="13" x14ac:dyDescent="0.15">
      <c r="A469" s="10"/>
      <c r="B469" s="13"/>
      <c r="C469" s="13"/>
      <c r="D469" s="13"/>
    </row>
    <row r="470" spans="1:4" ht="13" x14ac:dyDescent="0.15">
      <c r="A470" s="10"/>
      <c r="B470" s="13"/>
      <c r="C470" s="13"/>
      <c r="D470" s="13"/>
    </row>
    <row r="471" spans="1:4" ht="13" x14ac:dyDescent="0.15">
      <c r="A471" s="10"/>
      <c r="B471" s="13"/>
      <c r="C471" s="13"/>
      <c r="D471" s="13"/>
    </row>
    <row r="472" spans="1:4" ht="13" x14ac:dyDescent="0.15">
      <c r="A472" s="10"/>
      <c r="B472" s="13"/>
      <c r="C472" s="13"/>
      <c r="D472" s="13"/>
    </row>
    <row r="473" spans="1:4" ht="13" x14ac:dyDescent="0.15">
      <c r="A473" s="10"/>
      <c r="B473" s="13"/>
      <c r="C473" s="13"/>
      <c r="D473" s="13"/>
    </row>
    <row r="474" spans="1:4" ht="13" x14ac:dyDescent="0.15">
      <c r="A474" s="10"/>
      <c r="B474" s="13"/>
      <c r="C474" s="13"/>
      <c r="D474" s="13"/>
    </row>
    <row r="475" spans="1:4" ht="13" x14ac:dyDescent="0.15">
      <c r="A475" s="10"/>
      <c r="B475" s="13"/>
      <c r="C475" s="13"/>
      <c r="D475" s="13"/>
    </row>
    <row r="476" spans="1:4" ht="13" x14ac:dyDescent="0.15">
      <c r="A476" s="10"/>
      <c r="B476" s="13"/>
      <c r="C476" s="13"/>
      <c r="D476" s="13"/>
    </row>
    <row r="477" spans="1:4" ht="13" x14ac:dyDescent="0.15">
      <c r="A477" s="10"/>
      <c r="B477" s="13"/>
      <c r="C477" s="13"/>
      <c r="D477" s="13"/>
    </row>
    <row r="478" spans="1:4" ht="13" x14ac:dyDescent="0.15">
      <c r="A478" s="10"/>
      <c r="B478" s="13"/>
      <c r="C478" s="13"/>
      <c r="D478" s="13"/>
    </row>
    <row r="479" spans="1:4" ht="13" x14ac:dyDescent="0.15">
      <c r="A479" s="10"/>
      <c r="B479" s="13"/>
      <c r="C479" s="13"/>
      <c r="D479" s="13"/>
    </row>
    <row r="480" spans="1:4" ht="13" x14ac:dyDescent="0.15">
      <c r="A480" s="10"/>
      <c r="B480" s="13"/>
      <c r="C480" s="13"/>
      <c r="D480" s="13"/>
    </row>
    <row r="481" spans="1:4" ht="13" x14ac:dyDescent="0.15">
      <c r="A481" s="10"/>
      <c r="B481" s="13"/>
      <c r="C481" s="13"/>
      <c r="D481" s="13"/>
    </row>
    <row r="482" spans="1:4" ht="13" x14ac:dyDescent="0.15">
      <c r="A482" s="10"/>
      <c r="B482" s="13"/>
      <c r="C482" s="13"/>
      <c r="D482" s="13"/>
    </row>
    <row r="483" spans="1:4" ht="13" x14ac:dyDescent="0.15">
      <c r="A483" s="10"/>
      <c r="B483" s="13"/>
      <c r="C483" s="13"/>
      <c r="D483" s="13"/>
    </row>
    <row r="484" spans="1:4" ht="13" x14ac:dyDescent="0.15">
      <c r="A484" s="10"/>
      <c r="B484" s="13"/>
      <c r="C484" s="13"/>
      <c r="D484" s="13"/>
    </row>
    <row r="485" spans="1:4" ht="13" x14ac:dyDescent="0.15">
      <c r="A485" s="10"/>
      <c r="B485" s="13"/>
      <c r="C485" s="13"/>
      <c r="D485" s="13"/>
    </row>
    <row r="486" spans="1:4" ht="13" x14ac:dyDescent="0.15">
      <c r="A486" s="10"/>
      <c r="B486" s="13"/>
      <c r="C486" s="13"/>
      <c r="D486" s="13"/>
    </row>
    <row r="487" spans="1:4" ht="13" x14ac:dyDescent="0.15">
      <c r="A487" s="10"/>
      <c r="B487" s="13"/>
      <c r="C487" s="13"/>
      <c r="D487" s="13"/>
    </row>
    <row r="488" spans="1:4" ht="13" x14ac:dyDescent="0.15">
      <c r="A488" s="10"/>
      <c r="B488" s="13"/>
      <c r="C488" s="13"/>
      <c r="D488" s="13"/>
    </row>
    <row r="489" spans="1:4" ht="13" x14ac:dyDescent="0.15">
      <c r="A489" s="10"/>
      <c r="B489" s="13"/>
      <c r="C489" s="13"/>
      <c r="D489" s="13"/>
    </row>
    <row r="490" spans="1:4" ht="13" x14ac:dyDescent="0.15">
      <c r="A490" s="10"/>
      <c r="B490" s="13"/>
      <c r="C490" s="13"/>
      <c r="D490" s="13"/>
    </row>
    <row r="491" spans="1:4" ht="13" x14ac:dyDescent="0.15">
      <c r="A491" s="10"/>
      <c r="B491" s="13"/>
      <c r="C491" s="13"/>
      <c r="D491" s="13"/>
    </row>
    <row r="492" spans="1:4" ht="13" x14ac:dyDescent="0.15">
      <c r="A492" s="10"/>
      <c r="B492" s="13"/>
      <c r="C492" s="13"/>
      <c r="D492" s="13"/>
    </row>
    <row r="493" spans="1:4" ht="13" x14ac:dyDescent="0.15">
      <c r="A493" s="10"/>
      <c r="B493" s="13"/>
      <c r="C493" s="13"/>
      <c r="D493" s="13"/>
    </row>
    <row r="494" spans="1:4" ht="13" x14ac:dyDescent="0.15">
      <c r="A494" s="10"/>
      <c r="B494" s="13"/>
      <c r="C494" s="13"/>
      <c r="D494" s="13"/>
    </row>
    <row r="495" spans="1:4" ht="13" x14ac:dyDescent="0.15">
      <c r="A495" s="10"/>
      <c r="B495" s="13"/>
      <c r="C495" s="13"/>
      <c r="D495" s="13"/>
    </row>
    <row r="496" spans="1:4" ht="13" x14ac:dyDescent="0.15">
      <c r="A496" s="10"/>
      <c r="B496" s="13"/>
      <c r="C496" s="13"/>
      <c r="D496" s="13"/>
    </row>
    <row r="497" spans="1:4" ht="13" x14ac:dyDescent="0.15">
      <c r="A497" s="10"/>
      <c r="B497" s="13"/>
      <c r="C497" s="13"/>
      <c r="D497" s="13"/>
    </row>
    <row r="498" spans="1:4" ht="13" x14ac:dyDescent="0.15">
      <c r="A498" s="10"/>
      <c r="B498" s="13"/>
      <c r="C498" s="13"/>
      <c r="D498" s="13"/>
    </row>
    <row r="499" spans="1:4" ht="13" x14ac:dyDescent="0.15">
      <c r="A499" s="10"/>
      <c r="B499" s="13"/>
      <c r="C499" s="13"/>
      <c r="D499" s="13"/>
    </row>
    <row r="500" spans="1:4" ht="13" x14ac:dyDescent="0.15">
      <c r="A500" s="10"/>
      <c r="B500" s="13"/>
      <c r="C500" s="13"/>
      <c r="D500" s="13"/>
    </row>
    <row r="501" spans="1:4" ht="13" x14ac:dyDescent="0.15">
      <c r="A501" s="10"/>
      <c r="B501" s="13"/>
      <c r="C501" s="13"/>
      <c r="D501" s="13"/>
    </row>
    <row r="502" spans="1:4" ht="13" x14ac:dyDescent="0.15">
      <c r="A502" s="10"/>
      <c r="B502" s="13"/>
      <c r="C502" s="13"/>
      <c r="D502" s="13"/>
    </row>
    <row r="503" spans="1:4" ht="13" x14ac:dyDescent="0.15">
      <c r="A503" s="10"/>
      <c r="B503" s="13"/>
      <c r="C503" s="13"/>
      <c r="D503" s="13"/>
    </row>
    <row r="504" spans="1:4" ht="13" x14ac:dyDescent="0.15">
      <c r="A504" s="10"/>
      <c r="B504" s="13"/>
      <c r="C504" s="13"/>
      <c r="D504" s="13"/>
    </row>
    <row r="505" spans="1:4" ht="13" x14ac:dyDescent="0.15">
      <c r="A505" s="10"/>
      <c r="B505" s="13"/>
      <c r="C505" s="13"/>
      <c r="D505" s="13"/>
    </row>
    <row r="506" spans="1:4" ht="13" x14ac:dyDescent="0.15">
      <c r="A506" s="10"/>
      <c r="B506" s="13"/>
      <c r="C506" s="13"/>
      <c r="D506" s="13"/>
    </row>
    <row r="507" spans="1:4" ht="13" x14ac:dyDescent="0.15">
      <c r="A507" s="10"/>
      <c r="B507" s="13"/>
      <c r="C507" s="13"/>
      <c r="D507" s="13"/>
    </row>
    <row r="508" spans="1:4" ht="13" x14ac:dyDescent="0.15">
      <c r="A508" s="10"/>
      <c r="B508" s="13"/>
      <c r="C508" s="13"/>
      <c r="D508" s="13"/>
    </row>
    <row r="509" spans="1:4" ht="13" x14ac:dyDescent="0.15">
      <c r="A509" s="10"/>
      <c r="B509" s="13"/>
      <c r="C509" s="13"/>
      <c r="D509" s="13"/>
    </row>
    <row r="510" spans="1:4" ht="13" x14ac:dyDescent="0.15">
      <c r="A510" s="10"/>
      <c r="B510" s="13"/>
      <c r="C510" s="13"/>
      <c r="D510" s="13"/>
    </row>
    <row r="511" spans="1:4" ht="13" x14ac:dyDescent="0.15">
      <c r="A511" s="10"/>
      <c r="B511" s="13"/>
      <c r="C511" s="13"/>
      <c r="D511" s="13"/>
    </row>
    <row r="512" spans="1:4" ht="13" x14ac:dyDescent="0.15">
      <c r="A512" s="10"/>
      <c r="B512" s="13"/>
      <c r="C512" s="13"/>
      <c r="D512" s="13"/>
    </row>
    <row r="513" spans="1:4" ht="13" x14ac:dyDescent="0.15">
      <c r="A513" s="10"/>
      <c r="B513" s="13"/>
      <c r="C513" s="13"/>
      <c r="D513" s="13"/>
    </row>
    <row r="514" spans="1:4" ht="13" x14ac:dyDescent="0.15">
      <c r="A514" s="10"/>
      <c r="B514" s="13"/>
      <c r="C514" s="13"/>
      <c r="D514" s="13"/>
    </row>
    <row r="515" spans="1:4" ht="13" x14ac:dyDescent="0.15">
      <c r="A515" s="10"/>
      <c r="B515" s="13"/>
      <c r="C515" s="13"/>
      <c r="D515" s="13"/>
    </row>
    <row r="516" spans="1:4" ht="13" x14ac:dyDescent="0.15">
      <c r="A516" s="10"/>
      <c r="B516" s="13"/>
      <c r="C516" s="13"/>
      <c r="D516" s="13"/>
    </row>
    <row r="517" spans="1:4" ht="13" x14ac:dyDescent="0.15">
      <c r="A517" s="10"/>
      <c r="B517" s="13"/>
      <c r="C517" s="13"/>
      <c r="D517" s="13"/>
    </row>
    <row r="518" spans="1:4" ht="13" x14ac:dyDescent="0.15">
      <c r="A518" s="10"/>
      <c r="B518" s="13"/>
      <c r="C518" s="13"/>
      <c r="D518" s="13"/>
    </row>
    <row r="519" spans="1:4" ht="13" x14ac:dyDescent="0.15">
      <c r="A519" s="10"/>
      <c r="B519" s="13"/>
      <c r="C519" s="13"/>
      <c r="D519" s="13"/>
    </row>
    <row r="520" spans="1:4" ht="13" x14ac:dyDescent="0.15">
      <c r="A520" s="10"/>
      <c r="B520" s="13"/>
      <c r="C520" s="13"/>
      <c r="D520" s="13"/>
    </row>
    <row r="521" spans="1:4" ht="13" x14ac:dyDescent="0.15">
      <c r="A521" s="10"/>
      <c r="B521" s="13"/>
      <c r="C521" s="13"/>
      <c r="D521" s="13"/>
    </row>
    <row r="522" spans="1:4" ht="13" x14ac:dyDescent="0.15">
      <c r="A522" s="10"/>
      <c r="B522" s="13"/>
      <c r="C522" s="13"/>
      <c r="D522" s="13"/>
    </row>
    <row r="523" spans="1:4" ht="13" x14ac:dyDescent="0.15">
      <c r="A523" s="10"/>
      <c r="B523" s="13"/>
      <c r="C523" s="13"/>
      <c r="D523" s="13"/>
    </row>
    <row r="524" spans="1:4" ht="13" x14ac:dyDescent="0.15">
      <c r="A524" s="10"/>
      <c r="B524" s="13"/>
      <c r="C524" s="13"/>
      <c r="D524" s="13"/>
    </row>
    <row r="525" spans="1:4" ht="13" x14ac:dyDescent="0.15">
      <c r="A525" s="10"/>
      <c r="B525" s="13"/>
      <c r="C525" s="13"/>
      <c r="D525" s="13"/>
    </row>
    <row r="526" spans="1:4" ht="13" x14ac:dyDescent="0.15">
      <c r="A526" s="10"/>
      <c r="B526" s="13"/>
      <c r="C526" s="13"/>
      <c r="D526" s="13"/>
    </row>
    <row r="527" spans="1:4" ht="13" x14ac:dyDescent="0.15">
      <c r="A527" s="10"/>
      <c r="B527" s="13"/>
      <c r="C527" s="13"/>
      <c r="D527" s="13"/>
    </row>
    <row r="528" spans="1:4" ht="13" x14ac:dyDescent="0.15">
      <c r="A528" s="10"/>
      <c r="B528" s="13"/>
      <c r="C528" s="13"/>
      <c r="D528" s="13"/>
    </row>
    <row r="529" spans="1:4" ht="13" x14ac:dyDescent="0.15">
      <c r="A529" s="10"/>
      <c r="B529" s="13"/>
      <c r="C529" s="13"/>
      <c r="D529" s="13"/>
    </row>
    <row r="530" spans="1:4" ht="13" x14ac:dyDescent="0.15">
      <c r="A530" s="10"/>
      <c r="B530" s="13"/>
      <c r="C530" s="13"/>
      <c r="D530" s="13"/>
    </row>
    <row r="531" spans="1:4" ht="13" x14ac:dyDescent="0.15">
      <c r="A531" s="10"/>
      <c r="B531" s="13"/>
      <c r="C531" s="13"/>
      <c r="D531" s="13"/>
    </row>
    <row r="532" spans="1:4" ht="13" x14ac:dyDescent="0.15">
      <c r="A532" s="10"/>
      <c r="B532" s="13"/>
      <c r="C532" s="13"/>
      <c r="D532" s="13"/>
    </row>
    <row r="533" spans="1:4" ht="13" x14ac:dyDescent="0.15">
      <c r="A533" s="10"/>
      <c r="B533" s="13"/>
      <c r="C533" s="13"/>
      <c r="D533" s="13"/>
    </row>
    <row r="534" spans="1:4" ht="13" x14ac:dyDescent="0.15">
      <c r="A534" s="10"/>
      <c r="B534" s="13"/>
      <c r="C534" s="13"/>
      <c r="D534" s="13"/>
    </row>
    <row r="535" spans="1:4" ht="13" x14ac:dyDescent="0.15">
      <c r="A535" s="10"/>
      <c r="B535" s="13"/>
      <c r="C535" s="13"/>
      <c r="D535" s="13"/>
    </row>
    <row r="536" spans="1:4" ht="13" x14ac:dyDescent="0.15">
      <c r="A536" s="10"/>
      <c r="B536" s="13"/>
      <c r="C536" s="13"/>
      <c r="D536" s="13"/>
    </row>
    <row r="537" spans="1:4" ht="13" x14ac:dyDescent="0.15">
      <c r="A537" s="10"/>
      <c r="B537" s="13"/>
      <c r="C537" s="13"/>
      <c r="D537" s="13"/>
    </row>
    <row r="538" spans="1:4" ht="13" x14ac:dyDescent="0.15">
      <c r="A538" s="10"/>
      <c r="B538" s="13"/>
      <c r="C538" s="13"/>
      <c r="D538" s="13"/>
    </row>
    <row r="539" spans="1:4" ht="13" x14ac:dyDescent="0.15">
      <c r="A539" s="10"/>
      <c r="B539" s="13"/>
      <c r="C539" s="13"/>
      <c r="D539" s="13"/>
    </row>
    <row r="540" spans="1:4" ht="13" x14ac:dyDescent="0.15">
      <c r="A540" s="10"/>
      <c r="B540" s="13"/>
      <c r="C540" s="13"/>
      <c r="D540" s="13"/>
    </row>
    <row r="541" spans="1:4" ht="13" x14ac:dyDescent="0.15">
      <c r="A541" s="10"/>
      <c r="B541" s="13"/>
      <c r="C541" s="13"/>
      <c r="D541" s="13"/>
    </row>
    <row r="542" spans="1:4" ht="13" x14ac:dyDescent="0.15">
      <c r="A542" s="10"/>
      <c r="B542" s="13"/>
      <c r="C542" s="13"/>
      <c r="D542" s="13"/>
    </row>
    <row r="543" spans="1:4" ht="13" x14ac:dyDescent="0.15">
      <c r="A543" s="10"/>
      <c r="B543" s="13"/>
      <c r="C543" s="13"/>
      <c r="D543" s="13"/>
    </row>
    <row r="544" spans="1:4" ht="13" x14ac:dyDescent="0.15">
      <c r="A544" s="10"/>
      <c r="B544" s="13"/>
      <c r="C544" s="13"/>
      <c r="D544" s="13"/>
    </row>
    <row r="545" spans="1:4" ht="13" x14ac:dyDescent="0.15">
      <c r="A545" s="10"/>
      <c r="B545" s="13"/>
      <c r="C545" s="13"/>
      <c r="D545" s="13"/>
    </row>
    <row r="546" spans="1:4" ht="13" x14ac:dyDescent="0.15">
      <c r="A546" s="10"/>
      <c r="B546" s="13"/>
      <c r="C546" s="13"/>
      <c r="D546" s="13"/>
    </row>
    <row r="547" spans="1:4" ht="13" x14ac:dyDescent="0.15">
      <c r="A547" s="10"/>
      <c r="B547" s="13"/>
      <c r="C547" s="13"/>
      <c r="D547" s="13"/>
    </row>
    <row r="548" spans="1:4" ht="13" x14ac:dyDescent="0.15">
      <c r="A548" s="10"/>
      <c r="B548" s="13"/>
      <c r="C548" s="13"/>
      <c r="D548" s="13"/>
    </row>
    <row r="549" spans="1:4" ht="13" x14ac:dyDescent="0.15">
      <c r="A549" s="10"/>
      <c r="B549" s="13"/>
      <c r="C549" s="13"/>
      <c r="D549" s="13"/>
    </row>
    <row r="550" spans="1:4" ht="13" x14ac:dyDescent="0.15">
      <c r="A550" s="10"/>
      <c r="B550" s="13"/>
      <c r="C550" s="13"/>
      <c r="D550" s="13"/>
    </row>
    <row r="551" spans="1:4" ht="13" x14ac:dyDescent="0.15">
      <c r="A551" s="10"/>
      <c r="B551" s="13"/>
      <c r="C551" s="13"/>
      <c r="D551" s="13"/>
    </row>
    <row r="552" spans="1:4" ht="13" x14ac:dyDescent="0.15">
      <c r="A552" s="10"/>
      <c r="B552" s="13"/>
      <c r="C552" s="13"/>
      <c r="D552" s="13"/>
    </row>
    <row r="553" spans="1:4" ht="13" x14ac:dyDescent="0.15">
      <c r="A553" s="10"/>
      <c r="B553" s="13"/>
      <c r="C553" s="13"/>
      <c r="D553" s="13"/>
    </row>
    <row r="554" spans="1:4" ht="13" x14ac:dyDescent="0.15">
      <c r="A554" s="10"/>
      <c r="B554" s="13"/>
      <c r="C554" s="13"/>
      <c r="D554" s="13"/>
    </row>
    <row r="555" spans="1:4" ht="13" x14ac:dyDescent="0.15">
      <c r="A555" s="10"/>
      <c r="B555" s="13"/>
      <c r="C555" s="13"/>
      <c r="D555" s="13"/>
    </row>
    <row r="556" spans="1:4" ht="13" x14ac:dyDescent="0.15">
      <c r="A556" s="10"/>
      <c r="B556" s="13"/>
      <c r="C556" s="13"/>
      <c r="D556" s="13"/>
    </row>
    <row r="557" spans="1:4" ht="13" x14ac:dyDescent="0.15">
      <c r="A557" s="10"/>
      <c r="B557" s="13"/>
      <c r="C557" s="13"/>
      <c r="D557" s="13"/>
    </row>
    <row r="558" spans="1:4" ht="13" x14ac:dyDescent="0.15">
      <c r="A558" s="10"/>
      <c r="B558" s="13"/>
      <c r="C558" s="13"/>
      <c r="D558" s="13"/>
    </row>
    <row r="559" spans="1:4" ht="13" x14ac:dyDescent="0.15">
      <c r="A559" s="10"/>
      <c r="B559" s="13"/>
      <c r="C559" s="13"/>
      <c r="D559" s="13"/>
    </row>
    <row r="560" spans="1:4" ht="13" x14ac:dyDescent="0.15">
      <c r="A560" s="10"/>
      <c r="B560" s="13"/>
      <c r="C560" s="13"/>
      <c r="D560" s="13"/>
    </row>
    <row r="561" spans="1:4" ht="13" x14ac:dyDescent="0.15">
      <c r="A561" s="10"/>
      <c r="B561" s="13"/>
      <c r="C561" s="13"/>
      <c r="D561" s="13"/>
    </row>
    <row r="562" spans="1:4" ht="13" x14ac:dyDescent="0.15">
      <c r="A562" s="10"/>
      <c r="B562" s="13"/>
      <c r="C562" s="13"/>
      <c r="D562" s="13"/>
    </row>
    <row r="563" spans="1:4" ht="13" x14ac:dyDescent="0.15">
      <c r="A563" s="10"/>
      <c r="B563" s="13"/>
      <c r="C563" s="13"/>
      <c r="D563" s="13"/>
    </row>
    <row r="564" spans="1:4" ht="13" x14ac:dyDescent="0.15">
      <c r="A564" s="10"/>
      <c r="B564" s="13"/>
      <c r="C564" s="13"/>
      <c r="D564" s="13"/>
    </row>
    <row r="565" spans="1:4" ht="13" x14ac:dyDescent="0.15">
      <c r="A565" s="10"/>
      <c r="B565" s="13"/>
      <c r="C565" s="13"/>
      <c r="D565" s="13"/>
    </row>
    <row r="566" spans="1:4" ht="13" x14ac:dyDescent="0.15">
      <c r="A566" s="10"/>
      <c r="B566" s="13"/>
      <c r="C566" s="13"/>
      <c r="D566" s="13"/>
    </row>
    <row r="567" spans="1:4" ht="13" x14ac:dyDescent="0.15">
      <c r="A567" s="10"/>
      <c r="B567" s="13"/>
      <c r="C567" s="13"/>
      <c r="D567" s="13"/>
    </row>
    <row r="568" spans="1:4" ht="13" x14ac:dyDescent="0.15">
      <c r="A568" s="10"/>
      <c r="B568" s="13"/>
      <c r="C568" s="13"/>
      <c r="D568" s="13"/>
    </row>
    <row r="569" spans="1:4" ht="13" x14ac:dyDescent="0.15">
      <c r="A569" s="10"/>
      <c r="B569" s="13"/>
      <c r="C569" s="13"/>
      <c r="D569" s="13"/>
    </row>
    <row r="570" spans="1:4" ht="13" x14ac:dyDescent="0.15">
      <c r="A570" s="10"/>
      <c r="B570" s="13"/>
      <c r="C570" s="13"/>
      <c r="D570" s="13"/>
    </row>
    <row r="571" spans="1:4" ht="13" x14ac:dyDescent="0.15">
      <c r="A571" s="10"/>
      <c r="B571" s="13"/>
      <c r="C571" s="13"/>
      <c r="D571" s="13"/>
    </row>
    <row r="572" spans="1:4" ht="13" x14ac:dyDescent="0.15">
      <c r="A572" s="10"/>
      <c r="B572" s="13"/>
      <c r="C572" s="13"/>
      <c r="D572" s="13"/>
    </row>
    <row r="573" spans="1:4" ht="13" x14ac:dyDescent="0.15">
      <c r="A573" s="10"/>
      <c r="B573" s="13"/>
      <c r="C573" s="13"/>
      <c r="D573" s="13"/>
    </row>
    <row r="574" spans="1:4" ht="13" x14ac:dyDescent="0.15">
      <c r="A574" s="10"/>
      <c r="B574" s="13"/>
      <c r="C574" s="13"/>
      <c r="D574" s="13"/>
    </row>
    <row r="575" spans="1:4" ht="13" x14ac:dyDescent="0.15">
      <c r="A575" s="10"/>
      <c r="B575" s="13"/>
      <c r="C575" s="13"/>
      <c r="D575" s="13"/>
    </row>
    <row r="576" spans="1:4" ht="13" x14ac:dyDescent="0.15">
      <c r="A576" s="10"/>
      <c r="B576" s="13"/>
      <c r="C576" s="13"/>
      <c r="D576" s="13"/>
    </row>
    <row r="577" spans="1:4" ht="13" x14ac:dyDescent="0.15">
      <c r="A577" s="10"/>
      <c r="B577" s="13"/>
      <c r="C577" s="13"/>
      <c r="D577" s="13"/>
    </row>
    <row r="578" spans="1:4" ht="13" x14ac:dyDescent="0.15">
      <c r="A578" s="10"/>
      <c r="B578" s="13"/>
      <c r="C578" s="13"/>
      <c r="D578" s="13"/>
    </row>
    <row r="579" spans="1:4" ht="13" x14ac:dyDescent="0.15">
      <c r="A579" s="10"/>
      <c r="B579" s="13"/>
      <c r="C579" s="13"/>
      <c r="D579" s="13"/>
    </row>
    <row r="580" spans="1:4" ht="13" x14ac:dyDescent="0.15">
      <c r="A580" s="10"/>
      <c r="B580" s="13"/>
      <c r="C580" s="13"/>
      <c r="D580" s="13"/>
    </row>
    <row r="581" spans="1:4" ht="13" x14ac:dyDescent="0.15">
      <c r="A581" s="10"/>
      <c r="B581" s="13"/>
      <c r="C581" s="13"/>
      <c r="D581" s="13"/>
    </row>
    <row r="582" spans="1:4" ht="13" x14ac:dyDescent="0.15">
      <c r="A582" s="10"/>
      <c r="B582" s="13"/>
      <c r="C582" s="13"/>
      <c r="D582" s="13"/>
    </row>
    <row r="583" spans="1:4" ht="13" x14ac:dyDescent="0.15">
      <c r="A583" s="10"/>
      <c r="B583" s="13"/>
      <c r="C583" s="13"/>
      <c r="D583" s="13"/>
    </row>
    <row r="584" spans="1:4" ht="13" x14ac:dyDescent="0.15">
      <c r="A584" s="10"/>
      <c r="B584" s="13"/>
      <c r="C584" s="13"/>
      <c r="D584" s="13"/>
    </row>
    <row r="585" spans="1:4" ht="13" x14ac:dyDescent="0.15">
      <c r="A585" s="10"/>
      <c r="B585" s="13"/>
      <c r="C585" s="13"/>
      <c r="D585" s="13"/>
    </row>
    <row r="586" spans="1:4" ht="13" x14ac:dyDescent="0.15">
      <c r="A586" s="10"/>
      <c r="B586" s="13"/>
      <c r="C586" s="13"/>
      <c r="D586" s="13"/>
    </row>
    <row r="587" spans="1:4" ht="13" x14ac:dyDescent="0.15">
      <c r="A587" s="10"/>
      <c r="B587" s="13"/>
      <c r="C587" s="13"/>
      <c r="D587" s="13"/>
    </row>
    <row r="588" spans="1:4" ht="13" x14ac:dyDescent="0.15">
      <c r="A588" s="10"/>
      <c r="B588" s="13"/>
      <c r="C588" s="13"/>
      <c r="D588" s="13"/>
    </row>
    <row r="589" spans="1:4" ht="13" x14ac:dyDescent="0.15">
      <c r="A589" s="10"/>
      <c r="B589" s="13"/>
      <c r="C589" s="13"/>
      <c r="D589" s="13"/>
    </row>
    <row r="590" spans="1:4" ht="13" x14ac:dyDescent="0.15">
      <c r="A590" s="10"/>
      <c r="B590" s="13"/>
      <c r="C590" s="13"/>
      <c r="D590" s="13"/>
    </row>
    <row r="591" spans="1:4" ht="13" x14ac:dyDescent="0.15">
      <c r="A591" s="10"/>
      <c r="B591" s="13"/>
      <c r="C591" s="13"/>
      <c r="D591" s="13"/>
    </row>
    <row r="592" spans="1:4" ht="13" x14ac:dyDescent="0.15">
      <c r="A592" s="10"/>
      <c r="B592" s="13"/>
      <c r="C592" s="13"/>
      <c r="D592" s="13"/>
    </row>
    <row r="593" spans="1:4" ht="13" x14ac:dyDescent="0.15">
      <c r="A593" s="10"/>
      <c r="B593" s="13"/>
      <c r="C593" s="13"/>
      <c r="D593" s="13"/>
    </row>
    <row r="594" spans="1:4" ht="13" x14ac:dyDescent="0.15">
      <c r="A594" s="10"/>
      <c r="B594" s="13"/>
      <c r="C594" s="13"/>
      <c r="D594" s="13"/>
    </row>
    <row r="595" spans="1:4" ht="13" x14ac:dyDescent="0.15">
      <c r="A595" s="10"/>
      <c r="B595" s="13"/>
      <c r="C595" s="13"/>
      <c r="D595" s="13"/>
    </row>
    <row r="596" spans="1:4" ht="13" x14ac:dyDescent="0.15">
      <c r="A596" s="10"/>
      <c r="B596" s="13"/>
      <c r="C596" s="13"/>
      <c r="D596" s="13"/>
    </row>
    <row r="597" spans="1:4" ht="13" x14ac:dyDescent="0.15">
      <c r="A597" s="10"/>
      <c r="B597" s="13"/>
      <c r="C597" s="13"/>
      <c r="D597" s="13"/>
    </row>
    <row r="598" spans="1:4" ht="13" x14ac:dyDescent="0.15">
      <c r="A598" s="10"/>
      <c r="B598" s="13"/>
      <c r="C598" s="13"/>
      <c r="D598" s="13"/>
    </row>
    <row r="599" spans="1:4" ht="13" x14ac:dyDescent="0.15">
      <c r="A599" s="10"/>
      <c r="B599" s="13"/>
      <c r="C599" s="13"/>
      <c r="D599" s="13"/>
    </row>
    <row r="600" spans="1:4" ht="13" x14ac:dyDescent="0.15">
      <c r="A600" s="10"/>
      <c r="B600" s="13"/>
      <c r="C600" s="13"/>
      <c r="D600" s="13"/>
    </row>
    <row r="601" spans="1:4" ht="13" x14ac:dyDescent="0.15">
      <c r="A601" s="10"/>
      <c r="B601" s="13"/>
      <c r="C601" s="13"/>
      <c r="D601" s="13"/>
    </row>
    <row r="602" spans="1:4" ht="13" x14ac:dyDescent="0.15">
      <c r="A602" s="10"/>
      <c r="B602" s="13"/>
      <c r="C602" s="13"/>
      <c r="D602" s="13"/>
    </row>
    <row r="603" spans="1:4" ht="13" x14ac:dyDescent="0.15">
      <c r="A603" s="10"/>
      <c r="B603" s="13"/>
      <c r="C603" s="13"/>
      <c r="D603" s="13"/>
    </row>
    <row r="604" spans="1:4" ht="13" x14ac:dyDescent="0.15">
      <c r="A604" s="10"/>
      <c r="B604" s="13"/>
      <c r="C604" s="13"/>
      <c r="D604" s="13"/>
    </row>
    <row r="605" spans="1:4" ht="13" x14ac:dyDescent="0.15">
      <c r="A605" s="10"/>
      <c r="B605" s="13"/>
      <c r="C605" s="13"/>
      <c r="D605" s="13"/>
    </row>
    <row r="606" spans="1:4" ht="13" x14ac:dyDescent="0.15">
      <c r="A606" s="10"/>
      <c r="B606" s="13"/>
      <c r="C606" s="13"/>
      <c r="D606" s="13"/>
    </row>
    <row r="607" spans="1:4" ht="13" x14ac:dyDescent="0.15">
      <c r="A607" s="10"/>
      <c r="B607" s="13"/>
      <c r="C607" s="13"/>
      <c r="D607" s="13"/>
    </row>
    <row r="608" spans="1:4" ht="13" x14ac:dyDescent="0.15">
      <c r="A608" s="10"/>
      <c r="B608" s="13"/>
      <c r="C608" s="13"/>
      <c r="D608" s="13"/>
    </row>
    <row r="609" spans="1:4" ht="13" x14ac:dyDescent="0.15">
      <c r="A609" s="10"/>
      <c r="B609" s="13"/>
      <c r="C609" s="13"/>
      <c r="D609" s="13"/>
    </row>
    <row r="610" spans="1:4" ht="13" x14ac:dyDescent="0.15">
      <c r="A610" s="10"/>
      <c r="B610" s="13"/>
      <c r="C610" s="13"/>
      <c r="D610" s="13"/>
    </row>
    <row r="611" spans="1:4" ht="13" x14ac:dyDescent="0.15">
      <c r="A611" s="10"/>
      <c r="B611" s="13"/>
      <c r="C611" s="13"/>
      <c r="D611" s="13"/>
    </row>
    <row r="612" spans="1:4" ht="13" x14ac:dyDescent="0.15">
      <c r="A612" s="10"/>
      <c r="B612" s="13"/>
      <c r="C612" s="13"/>
      <c r="D612" s="13"/>
    </row>
    <row r="613" spans="1:4" ht="13" x14ac:dyDescent="0.15">
      <c r="A613" s="10"/>
      <c r="B613" s="13"/>
      <c r="C613" s="13"/>
      <c r="D613" s="13"/>
    </row>
    <row r="614" spans="1:4" ht="13" x14ac:dyDescent="0.15">
      <c r="A614" s="10"/>
      <c r="B614" s="13"/>
      <c r="C614" s="13"/>
      <c r="D614" s="13"/>
    </row>
    <row r="615" spans="1:4" ht="13" x14ac:dyDescent="0.15">
      <c r="A615" s="10"/>
      <c r="B615" s="13"/>
      <c r="C615" s="13"/>
      <c r="D615" s="13"/>
    </row>
    <row r="616" spans="1:4" ht="13" x14ac:dyDescent="0.15">
      <c r="A616" s="10"/>
      <c r="B616" s="13"/>
      <c r="C616" s="13"/>
      <c r="D616" s="13"/>
    </row>
    <row r="617" spans="1:4" ht="13" x14ac:dyDescent="0.15">
      <c r="A617" s="10"/>
      <c r="B617" s="13"/>
      <c r="C617" s="13"/>
      <c r="D617" s="13"/>
    </row>
    <row r="618" spans="1:4" ht="13" x14ac:dyDescent="0.15">
      <c r="A618" s="10"/>
      <c r="B618" s="13"/>
      <c r="C618" s="13"/>
      <c r="D618" s="13"/>
    </row>
    <row r="619" spans="1:4" ht="13" x14ac:dyDescent="0.15">
      <c r="A619" s="10"/>
      <c r="B619" s="13"/>
      <c r="C619" s="13"/>
      <c r="D619" s="13"/>
    </row>
    <row r="620" spans="1:4" ht="13" x14ac:dyDescent="0.15">
      <c r="A620" s="10"/>
      <c r="B620" s="13"/>
      <c r="C620" s="13"/>
      <c r="D620" s="13"/>
    </row>
    <row r="621" spans="1:4" ht="13" x14ac:dyDescent="0.15">
      <c r="A621" s="10"/>
      <c r="B621" s="13"/>
      <c r="C621" s="13"/>
      <c r="D621" s="13"/>
    </row>
    <row r="622" spans="1:4" ht="13" x14ac:dyDescent="0.15">
      <c r="A622" s="10"/>
      <c r="B622" s="13"/>
      <c r="C622" s="13"/>
      <c r="D622" s="13"/>
    </row>
    <row r="623" spans="1:4" ht="13" x14ac:dyDescent="0.15">
      <c r="A623" s="10"/>
      <c r="B623" s="13"/>
      <c r="C623" s="13"/>
      <c r="D623" s="13"/>
    </row>
    <row r="624" spans="1:4" ht="13" x14ac:dyDescent="0.15">
      <c r="A624" s="10"/>
      <c r="B624" s="13"/>
      <c r="C624" s="13"/>
      <c r="D624" s="13"/>
    </row>
    <row r="625" spans="1:4" ht="13" x14ac:dyDescent="0.15">
      <c r="A625" s="10"/>
      <c r="B625" s="13"/>
      <c r="C625" s="13"/>
      <c r="D625" s="13"/>
    </row>
    <row r="626" spans="1:4" ht="13" x14ac:dyDescent="0.15">
      <c r="A626" s="10"/>
      <c r="B626" s="13"/>
      <c r="C626" s="13"/>
      <c r="D626" s="13"/>
    </row>
    <row r="627" spans="1:4" ht="13" x14ac:dyDescent="0.15">
      <c r="A627" s="10"/>
      <c r="B627" s="13"/>
      <c r="C627" s="13"/>
      <c r="D627" s="13"/>
    </row>
    <row r="628" spans="1:4" ht="13" x14ac:dyDescent="0.15">
      <c r="A628" s="10"/>
      <c r="B628" s="13"/>
      <c r="C628" s="13"/>
      <c r="D628" s="13"/>
    </row>
    <row r="629" spans="1:4" ht="13" x14ac:dyDescent="0.15">
      <c r="A629" s="10"/>
      <c r="B629" s="13"/>
      <c r="C629" s="13"/>
      <c r="D629" s="13"/>
    </row>
    <row r="630" spans="1:4" ht="13" x14ac:dyDescent="0.15">
      <c r="A630" s="10"/>
      <c r="B630" s="13"/>
      <c r="C630" s="13"/>
      <c r="D630" s="13"/>
    </row>
    <row r="631" spans="1:4" ht="13" x14ac:dyDescent="0.15">
      <c r="A631" s="10"/>
      <c r="B631" s="13"/>
      <c r="C631" s="13"/>
      <c r="D631" s="13"/>
    </row>
    <row r="632" spans="1:4" ht="13" x14ac:dyDescent="0.15">
      <c r="A632" s="10"/>
      <c r="B632" s="13"/>
      <c r="C632" s="13"/>
      <c r="D632" s="13"/>
    </row>
    <row r="633" spans="1:4" ht="13" x14ac:dyDescent="0.15">
      <c r="A633" s="10"/>
      <c r="B633" s="13"/>
      <c r="C633" s="13"/>
      <c r="D633" s="13"/>
    </row>
    <row r="634" spans="1:4" ht="13" x14ac:dyDescent="0.15">
      <c r="A634" s="10"/>
      <c r="B634" s="13"/>
      <c r="C634" s="13"/>
      <c r="D634" s="13"/>
    </row>
    <row r="635" spans="1:4" ht="13" x14ac:dyDescent="0.15">
      <c r="A635" s="10"/>
      <c r="B635" s="13"/>
      <c r="C635" s="13"/>
      <c r="D635" s="13"/>
    </row>
    <row r="636" spans="1:4" ht="13" x14ac:dyDescent="0.15">
      <c r="A636" s="10"/>
      <c r="B636" s="13"/>
      <c r="C636" s="13"/>
      <c r="D636" s="13"/>
    </row>
    <row r="637" spans="1:4" ht="13" x14ac:dyDescent="0.15">
      <c r="A637" s="10"/>
      <c r="B637" s="13"/>
      <c r="C637" s="13"/>
      <c r="D637" s="13"/>
    </row>
    <row r="638" spans="1:4" ht="13" x14ac:dyDescent="0.15">
      <c r="A638" s="10"/>
      <c r="B638" s="13"/>
      <c r="C638" s="13"/>
      <c r="D638" s="13"/>
    </row>
    <row r="639" spans="1:4" ht="13" x14ac:dyDescent="0.15">
      <c r="A639" s="10"/>
      <c r="B639" s="13"/>
      <c r="C639" s="13"/>
      <c r="D639" s="13"/>
    </row>
    <row r="640" spans="1:4" ht="13" x14ac:dyDescent="0.15">
      <c r="A640" s="10"/>
      <c r="B640" s="13"/>
      <c r="C640" s="13"/>
      <c r="D640" s="13"/>
    </row>
    <row r="641" spans="1:4" ht="13" x14ac:dyDescent="0.15">
      <c r="A641" s="10"/>
      <c r="B641" s="13"/>
      <c r="C641" s="13"/>
      <c r="D641" s="13"/>
    </row>
    <row r="642" spans="1:4" ht="13" x14ac:dyDescent="0.15">
      <c r="A642" s="10"/>
      <c r="B642" s="13"/>
      <c r="C642" s="13"/>
      <c r="D642" s="13"/>
    </row>
    <row r="643" spans="1:4" ht="13" x14ac:dyDescent="0.15">
      <c r="A643" s="10"/>
      <c r="B643" s="13"/>
      <c r="C643" s="13"/>
      <c r="D643" s="13"/>
    </row>
    <row r="644" spans="1:4" ht="13" x14ac:dyDescent="0.15">
      <c r="A644" s="10"/>
      <c r="B644" s="13"/>
      <c r="C644" s="13"/>
      <c r="D644" s="13"/>
    </row>
    <row r="645" spans="1:4" ht="13" x14ac:dyDescent="0.15">
      <c r="A645" s="10"/>
      <c r="B645" s="13"/>
      <c r="C645" s="13"/>
      <c r="D645" s="13"/>
    </row>
    <row r="646" spans="1:4" ht="13" x14ac:dyDescent="0.15">
      <c r="A646" s="10"/>
      <c r="B646" s="13"/>
      <c r="C646" s="13"/>
      <c r="D646" s="13"/>
    </row>
    <row r="647" spans="1:4" ht="13" x14ac:dyDescent="0.15">
      <c r="A647" s="10"/>
      <c r="B647" s="13"/>
      <c r="C647" s="13"/>
      <c r="D647" s="13"/>
    </row>
    <row r="648" spans="1:4" ht="13" x14ac:dyDescent="0.15">
      <c r="A648" s="10"/>
      <c r="B648" s="13"/>
      <c r="C648" s="13"/>
      <c r="D648" s="13"/>
    </row>
    <row r="649" spans="1:4" ht="13" x14ac:dyDescent="0.15">
      <c r="A649" s="10"/>
      <c r="B649" s="13"/>
      <c r="C649" s="13"/>
      <c r="D649" s="13"/>
    </row>
    <row r="650" spans="1:4" ht="13" x14ac:dyDescent="0.15">
      <c r="A650" s="10"/>
      <c r="B650" s="13"/>
      <c r="C650" s="13"/>
      <c r="D650" s="13"/>
    </row>
    <row r="651" spans="1:4" ht="13" x14ac:dyDescent="0.15">
      <c r="A651" s="10"/>
      <c r="B651" s="13"/>
      <c r="C651" s="13"/>
      <c r="D651" s="13"/>
    </row>
    <row r="652" spans="1:4" ht="13" x14ac:dyDescent="0.15">
      <c r="A652" s="10"/>
      <c r="B652" s="13"/>
      <c r="C652" s="13"/>
      <c r="D652" s="13"/>
    </row>
    <row r="653" spans="1:4" ht="13" x14ac:dyDescent="0.15">
      <c r="A653" s="10"/>
      <c r="B653" s="13"/>
      <c r="C653" s="13"/>
      <c r="D653" s="13"/>
    </row>
    <row r="654" spans="1:4" ht="13" x14ac:dyDescent="0.15">
      <c r="A654" s="10"/>
      <c r="B654" s="13"/>
      <c r="C654" s="13"/>
      <c r="D654" s="13"/>
    </row>
    <row r="655" spans="1:4" ht="13" x14ac:dyDescent="0.15">
      <c r="A655" s="10"/>
      <c r="B655" s="13"/>
      <c r="C655" s="13"/>
      <c r="D655" s="13"/>
    </row>
    <row r="656" spans="1:4" ht="13" x14ac:dyDescent="0.15">
      <c r="A656" s="10"/>
      <c r="B656" s="13"/>
      <c r="C656" s="13"/>
      <c r="D656" s="13"/>
    </row>
    <row r="657" spans="1:4" ht="13" x14ac:dyDescent="0.15">
      <c r="A657" s="10"/>
      <c r="B657" s="13"/>
      <c r="C657" s="13"/>
      <c r="D657" s="13"/>
    </row>
    <row r="658" spans="1:4" ht="13" x14ac:dyDescent="0.15">
      <c r="A658" s="10"/>
      <c r="B658" s="13"/>
      <c r="C658" s="13"/>
      <c r="D658" s="13"/>
    </row>
    <row r="659" spans="1:4" ht="13" x14ac:dyDescent="0.15">
      <c r="A659" s="10"/>
      <c r="B659" s="13"/>
      <c r="C659" s="13"/>
      <c r="D659" s="13"/>
    </row>
    <row r="660" spans="1:4" ht="13" x14ac:dyDescent="0.15">
      <c r="A660" s="10"/>
      <c r="B660" s="13"/>
      <c r="C660" s="13"/>
      <c r="D660" s="13"/>
    </row>
    <row r="661" spans="1:4" ht="13" x14ac:dyDescent="0.15">
      <c r="A661" s="10"/>
      <c r="B661" s="13"/>
      <c r="C661" s="13"/>
      <c r="D661" s="13"/>
    </row>
    <row r="662" spans="1:4" ht="13" x14ac:dyDescent="0.15">
      <c r="A662" s="10"/>
      <c r="B662" s="13"/>
      <c r="C662" s="13"/>
      <c r="D662" s="13"/>
    </row>
    <row r="663" spans="1:4" ht="13" x14ac:dyDescent="0.15">
      <c r="A663" s="10"/>
      <c r="B663" s="13"/>
      <c r="C663" s="13"/>
      <c r="D663" s="13"/>
    </row>
    <row r="664" spans="1:4" ht="13" x14ac:dyDescent="0.15">
      <c r="A664" s="10"/>
      <c r="B664" s="13"/>
      <c r="C664" s="13"/>
      <c r="D664" s="13"/>
    </row>
    <row r="665" spans="1:4" ht="13" x14ac:dyDescent="0.15">
      <c r="A665" s="10"/>
      <c r="B665" s="13"/>
      <c r="C665" s="13"/>
      <c r="D665" s="13"/>
    </row>
    <row r="666" spans="1:4" ht="13" x14ac:dyDescent="0.15">
      <c r="A666" s="10"/>
      <c r="B666" s="13"/>
      <c r="C666" s="13"/>
      <c r="D666" s="13"/>
    </row>
    <row r="667" spans="1:4" ht="13" x14ac:dyDescent="0.15">
      <c r="A667" s="10"/>
      <c r="B667" s="13"/>
      <c r="C667" s="13"/>
      <c r="D667" s="13"/>
    </row>
    <row r="668" spans="1:4" ht="13" x14ac:dyDescent="0.15">
      <c r="A668" s="10"/>
      <c r="B668" s="13"/>
      <c r="C668" s="13"/>
      <c r="D668" s="13"/>
    </row>
    <row r="669" spans="1:4" ht="13" x14ac:dyDescent="0.15">
      <c r="A669" s="10"/>
      <c r="B669" s="13"/>
      <c r="C669" s="13"/>
      <c r="D669" s="13"/>
    </row>
    <row r="670" spans="1:4" ht="13" x14ac:dyDescent="0.15">
      <c r="A670" s="10"/>
      <c r="B670" s="13"/>
      <c r="C670" s="13"/>
      <c r="D670" s="13"/>
    </row>
    <row r="671" spans="1:4" ht="13" x14ac:dyDescent="0.15">
      <c r="A671" s="10"/>
      <c r="B671" s="13"/>
      <c r="C671" s="13"/>
      <c r="D671" s="13"/>
    </row>
    <row r="672" spans="1:4" ht="13" x14ac:dyDescent="0.15">
      <c r="A672" s="10"/>
      <c r="B672" s="13"/>
      <c r="C672" s="13"/>
      <c r="D672" s="13"/>
    </row>
    <row r="673" spans="1:4" ht="13" x14ac:dyDescent="0.15">
      <c r="A673" s="10"/>
      <c r="B673" s="13"/>
      <c r="C673" s="13"/>
      <c r="D673" s="13"/>
    </row>
    <row r="674" spans="1:4" ht="13" x14ac:dyDescent="0.15">
      <c r="A674" s="10"/>
      <c r="B674" s="13"/>
      <c r="C674" s="13"/>
      <c r="D674" s="13"/>
    </row>
    <row r="675" spans="1:4" ht="13" x14ac:dyDescent="0.15">
      <c r="A675" s="10"/>
      <c r="B675" s="13"/>
      <c r="C675" s="13"/>
      <c r="D675" s="13"/>
    </row>
    <row r="676" spans="1:4" ht="13" x14ac:dyDescent="0.15">
      <c r="A676" s="10"/>
      <c r="B676" s="13"/>
      <c r="C676" s="13"/>
      <c r="D676" s="13"/>
    </row>
    <row r="677" spans="1:4" ht="13" x14ac:dyDescent="0.15">
      <c r="A677" s="10"/>
      <c r="B677" s="13"/>
      <c r="C677" s="13"/>
      <c r="D677" s="13"/>
    </row>
    <row r="678" spans="1:4" ht="13" x14ac:dyDescent="0.15">
      <c r="A678" s="10"/>
      <c r="B678" s="13"/>
      <c r="C678" s="13"/>
      <c r="D678" s="13"/>
    </row>
    <row r="679" spans="1:4" ht="13" x14ac:dyDescent="0.15">
      <c r="A679" s="10"/>
      <c r="B679" s="13"/>
      <c r="C679" s="13"/>
      <c r="D679" s="13"/>
    </row>
    <row r="680" spans="1:4" ht="13" x14ac:dyDescent="0.15">
      <c r="A680" s="10"/>
      <c r="B680" s="13"/>
      <c r="C680" s="13"/>
      <c r="D680" s="13"/>
    </row>
    <row r="681" spans="1:4" ht="13" x14ac:dyDescent="0.15">
      <c r="A681" s="10"/>
      <c r="B681" s="13"/>
      <c r="C681" s="13"/>
      <c r="D681" s="13"/>
    </row>
    <row r="682" spans="1:4" ht="13" x14ac:dyDescent="0.15">
      <c r="A682" s="10"/>
      <c r="B682" s="13"/>
      <c r="C682" s="13"/>
      <c r="D682" s="13"/>
    </row>
    <row r="683" spans="1:4" ht="13" x14ac:dyDescent="0.15">
      <c r="A683" s="10"/>
      <c r="B683" s="13"/>
      <c r="C683" s="13"/>
      <c r="D683" s="13"/>
    </row>
    <row r="684" spans="1:4" ht="13" x14ac:dyDescent="0.15">
      <c r="A684" s="10"/>
      <c r="B684" s="13"/>
      <c r="C684" s="13"/>
      <c r="D684" s="13"/>
    </row>
    <row r="685" spans="1:4" ht="13" x14ac:dyDescent="0.15">
      <c r="A685" s="10"/>
      <c r="B685" s="13"/>
      <c r="C685" s="13"/>
      <c r="D685" s="13"/>
    </row>
    <row r="686" spans="1:4" ht="13" x14ac:dyDescent="0.15">
      <c r="A686" s="10"/>
      <c r="B686" s="13"/>
      <c r="C686" s="13"/>
      <c r="D686" s="13"/>
    </row>
    <row r="687" spans="1:4" ht="13" x14ac:dyDescent="0.15">
      <c r="A687" s="10"/>
      <c r="B687" s="13"/>
      <c r="C687" s="13"/>
      <c r="D687" s="13"/>
    </row>
    <row r="688" spans="1:4" ht="13" x14ac:dyDescent="0.15">
      <c r="A688" s="10"/>
      <c r="B688" s="13"/>
      <c r="C688" s="13"/>
      <c r="D688" s="13"/>
    </row>
    <row r="689" spans="1:4" ht="13" x14ac:dyDescent="0.15">
      <c r="A689" s="10"/>
      <c r="B689" s="13"/>
      <c r="C689" s="13"/>
      <c r="D689" s="13"/>
    </row>
    <row r="690" spans="1:4" ht="13" x14ac:dyDescent="0.15">
      <c r="A690" s="10"/>
      <c r="B690" s="13"/>
      <c r="C690" s="13"/>
      <c r="D690" s="13"/>
    </row>
    <row r="691" spans="1:4" ht="13" x14ac:dyDescent="0.15">
      <c r="A691" s="10"/>
      <c r="B691" s="13"/>
      <c r="C691" s="13"/>
      <c r="D691" s="13"/>
    </row>
    <row r="692" spans="1:4" ht="13" x14ac:dyDescent="0.15">
      <c r="A692" s="10"/>
      <c r="B692" s="13"/>
      <c r="C692" s="13"/>
      <c r="D692" s="13"/>
    </row>
    <row r="693" spans="1:4" ht="13" x14ac:dyDescent="0.15">
      <c r="A693" s="10"/>
      <c r="B693" s="13"/>
      <c r="C693" s="13"/>
      <c r="D693" s="13"/>
    </row>
    <row r="694" spans="1:4" ht="13" x14ac:dyDescent="0.15">
      <c r="A694" s="10"/>
      <c r="B694" s="13"/>
      <c r="C694" s="13"/>
      <c r="D694" s="13"/>
    </row>
    <row r="695" spans="1:4" ht="13" x14ac:dyDescent="0.15">
      <c r="A695" s="10"/>
      <c r="B695" s="13"/>
      <c r="C695" s="13"/>
      <c r="D695" s="13"/>
    </row>
    <row r="696" spans="1:4" ht="13" x14ac:dyDescent="0.15">
      <c r="A696" s="10"/>
      <c r="B696" s="13"/>
      <c r="C696" s="13"/>
      <c r="D696" s="13"/>
    </row>
    <row r="697" spans="1:4" ht="13" x14ac:dyDescent="0.15">
      <c r="A697" s="10"/>
      <c r="B697" s="13"/>
      <c r="C697" s="13"/>
      <c r="D697" s="13"/>
    </row>
    <row r="698" spans="1:4" ht="13" x14ac:dyDescent="0.15">
      <c r="A698" s="10"/>
      <c r="B698" s="13"/>
      <c r="C698" s="13"/>
      <c r="D698" s="13"/>
    </row>
    <row r="699" spans="1:4" ht="13" x14ac:dyDescent="0.15">
      <c r="A699" s="10"/>
      <c r="B699" s="13"/>
      <c r="C699" s="13"/>
      <c r="D699" s="13"/>
    </row>
    <row r="700" spans="1:4" ht="13" x14ac:dyDescent="0.15">
      <c r="A700" s="10"/>
      <c r="B700" s="13"/>
      <c r="C700" s="13"/>
      <c r="D700" s="13"/>
    </row>
    <row r="701" spans="1:4" ht="13" x14ac:dyDescent="0.15">
      <c r="A701" s="10"/>
      <c r="B701" s="13"/>
      <c r="C701" s="13"/>
      <c r="D701" s="13"/>
    </row>
    <row r="702" spans="1:4" ht="13" x14ac:dyDescent="0.15">
      <c r="A702" s="10"/>
      <c r="B702" s="13"/>
      <c r="C702" s="13"/>
      <c r="D702" s="13"/>
    </row>
    <row r="703" spans="1:4" ht="13" x14ac:dyDescent="0.15">
      <c r="A703" s="10"/>
      <c r="B703" s="13"/>
      <c r="C703" s="13"/>
      <c r="D703" s="13"/>
    </row>
    <row r="704" spans="1:4" ht="13" x14ac:dyDescent="0.15">
      <c r="A704" s="10"/>
      <c r="B704" s="13"/>
      <c r="C704" s="13"/>
      <c r="D704" s="13"/>
    </row>
    <row r="705" spans="1:4" ht="13" x14ac:dyDescent="0.15">
      <c r="A705" s="10"/>
      <c r="B705" s="13"/>
      <c r="C705" s="13"/>
      <c r="D705" s="13"/>
    </row>
    <row r="706" spans="1:4" ht="13" x14ac:dyDescent="0.15">
      <c r="A706" s="10"/>
      <c r="B706" s="13"/>
      <c r="C706" s="13"/>
      <c r="D706" s="13"/>
    </row>
    <row r="707" spans="1:4" ht="13" x14ac:dyDescent="0.15">
      <c r="A707" s="10"/>
      <c r="B707" s="13"/>
      <c r="C707" s="13"/>
      <c r="D707" s="13"/>
    </row>
    <row r="708" spans="1:4" ht="13" x14ac:dyDescent="0.15">
      <c r="A708" s="10"/>
      <c r="B708" s="13"/>
      <c r="C708" s="13"/>
      <c r="D708" s="13"/>
    </row>
    <row r="709" spans="1:4" ht="13" x14ac:dyDescent="0.15">
      <c r="A709" s="10"/>
      <c r="B709" s="13"/>
      <c r="C709" s="13"/>
      <c r="D709" s="13"/>
    </row>
    <row r="710" spans="1:4" ht="13" x14ac:dyDescent="0.15">
      <c r="A710" s="10"/>
      <c r="B710" s="13"/>
      <c r="C710" s="13"/>
      <c r="D710" s="13"/>
    </row>
    <row r="711" spans="1:4" ht="13" x14ac:dyDescent="0.15">
      <c r="A711" s="10"/>
      <c r="B711" s="13"/>
      <c r="C711" s="13"/>
      <c r="D711" s="13"/>
    </row>
    <row r="712" spans="1:4" ht="13" x14ac:dyDescent="0.15">
      <c r="A712" s="10"/>
      <c r="B712" s="13"/>
      <c r="C712" s="13"/>
      <c r="D712" s="13"/>
    </row>
    <row r="713" spans="1:4" ht="13" x14ac:dyDescent="0.15">
      <c r="A713" s="10"/>
      <c r="B713" s="13"/>
      <c r="C713" s="13"/>
      <c r="D713" s="13"/>
    </row>
    <row r="714" spans="1:4" ht="13" x14ac:dyDescent="0.15">
      <c r="A714" s="10"/>
      <c r="B714" s="13"/>
      <c r="C714" s="13"/>
      <c r="D714" s="13"/>
    </row>
    <row r="715" spans="1:4" ht="13" x14ac:dyDescent="0.15">
      <c r="A715" s="10"/>
      <c r="B715" s="13"/>
      <c r="C715" s="13"/>
      <c r="D715" s="13"/>
    </row>
    <row r="716" spans="1:4" ht="13" x14ac:dyDescent="0.15">
      <c r="A716" s="10"/>
      <c r="B716" s="13"/>
      <c r="C716" s="13"/>
      <c r="D716" s="13"/>
    </row>
    <row r="717" spans="1:4" ht="13" x14ac:dyDescent="0.15">
      <c r="A717" s="10"/>
      <c r="B717" s="13"/>
      <c r="C717" s="13"/>
      <c r="D717" s="13"/>
    </row>
    <row r="718" spans="1:4" ht="13" x14ac:dyDescent="0.15">
      <c r="A718" s="10"/>
      <c r="B718" s="13"/>
      <c r="C718" s="13"/>
      <c r="D718" s="13"/>
    </row>
    <row r="719" spans="1:4" ht="13" x14ac:dyDescent="0.15">
      <c r="A719" s="10"/>
      <c r="B719" s="13"/>
      <c r="C719" s="13"/>
      <c r="D719" s="13"/>
    </row>
    <row r="720" spans="1:4" ht="13" x14ac:dyDescent="0.15">
      <c r="A720" s="10"/>
      <c r="B720" s="13"/>
      <c r="C720" s="13"/>
      <c r="D720" s="13"/>
    </row>
    <row r="721" spans="1:4" ht="13" x14ac:dyDescent="0.15">
      <c r="A721" s="10"/>
      <c r="B721" s="13"/>
      <c r="C721" s="13"/>
      <c r="D721" s="13"/>
    </row>
    <row r="722" spans="1:4" ht="13" x14ac:dyDescent="0.15">
      <c r="A722" s="10"/>
      <c r="B722" s="13"/>
      <c r="C722" s="13"/>
      <c r="D722" s="13"/>
    </row>
    <row r="723" spans="1:4" ht="13" x14ac:dyDescent="0.15">
      <c r="A723" s="10"/>
      <c r="B723" s="13"/>
      <c r="C723" s="13"/>
      <c r="D723" s="13"/>
    </row>
    <row r="724" spans="1:4" ht="13" x14ac:dyDescent="0.15">
      <c r="A724" s="10"/>
      <c r="B724" s="13"/>
      <c r="C724" s="13"/>
      <c r="D724" s="13"/>
    </row>
    <row r="725" spans="1:4" ht="13" x14ac:dyDescent="0.15">
      <c r="A725" s="10"/>
      <c r="B725" s="13"/>
      <c r="C725" s="13"/>
      <c r="D725" s="13"/>
    </row>
    <row r="726" spans="1:4" ht="13" x14ac:dyDescent="0.15">
      <c r="A726" s="10"/>
      <c r="B726" s="13"/>
      <c r="C726" s="13"/>
      <c r="D726" s="13"/>
    </row>
    <row r="727" spans="1:4" ht="13" x14ac:dyDescent="0.15">
      <c r="A727" s="10"/>
      <c r="B727" s="13"/>
      <c r="C727" s="13"/>
      <c r="D727" s="13"/>
    </row>
    <row r="728" spans="1:4" ht="13" x14ac:dyDescent="0.15">
      <c r="A728" s="10"/>
      <c r="B728" s="13"/>
      <c r="C728" s="13"/>
      <c r="D728" s="13"/>
    </row>
    <row r="729" spans="1:4" ht="13" x14ac:dyDescent="0.15">
      <c r="A729" s="10"/>
      <c r="B729" s="13"/>
      <c r="C729" s="13"/>
      <c r="D729" s="13"/>
    </row>
    <row r="730" spans="1:4" ht="13" x14ac:dyDescent="0.15">
      <c r="A730" s="10"/>
      <c r="B730" s="13"/>
      <c r="C730" s="13"/>
      <c r="D730" s="13"/>
    </row>
    <row r="731" spans="1:4" ht="13" x14ac:dyDescent="0.15">
      <c r="A731" s="10"/>
      <c r="B731" s="13"/>
      <c r="C731" s="13"/>
      <c r="D731" s="13"/>
    </row>
    <row r="732" spans="1:4" ht="13" x14ac:dyDescent="0.15">
      <c r="A732" s="10"/>
      <c r="B732" s="13"/>
      <c r="C732" s="13"/>
      <c r="D732" s="13"/>
    </row>
    <row r="733" spans="1:4" ht="13" x14ac:dyDescent="0.15">
      <c r="A733" s="10"/>
      <c r="B733" s="13"/>
      <c r="C733" s="13"/>
      <c r="D733" s="13"/>
    </row>
    <row r="734" spans="1:4" ht="13" x14ac:dyDescent="0.15">
      <c r="A734" s="10"/>
      <c r="B734" s="13"/>
      <c r="C734" s="13"/>
      <c r="D734" s="13"/>
    </row>
    <row r="735" spans="1:4" ht="13" x14ac:dyDescent="0.15">
      <c r="A735" s="10"/>
      <c r="B735" s="13"/>
      <c r="C735" s="13"/>
      <c r="D735" s="13"/>
    </row>
    <row r="736" spans="1:4" ht="13" x14ac:dyDescent="0.15">
      <c r="A736" s="10"/>
      <c r="B736" s="13"/>
      <c r="C736" s="13"/>
      <c r="D736" s="13"/>
    </row>
    <row r="737" spans="1:4" ht="13" x14ac:dyDescent="0.15">
      <c r="A737" s="10"/>
      <c r="B737" s="13"/>
      <c r="C737" s="13"/>
      <c r="D737" s="13"/>
    </row>
    <row r="738" spans="1:4" ht="13" x14ac:dyDescent="0.15">
      <c r="A738" s="10"/>
      <c r="B738" s="13"/>
      <c r="C738" s="13"/>
      <c r="D738" s="13"/>
    </row>
    <row r="739" spans="1:4" ht="13" x14ac:dyDescent="0.15">
      <c r="A739" s="10"/>
      <c r="B739" s="13"/>
      <c r="C739" s="13"/>
      <c r="D739" s="13"/>
    </row>
    <row r="740" spans="1:4" ht="13" x14ac:dyDescent="0.15">
      <c r="A740" s="10"/>
      <c r="B740" s="13"/>
      <c r="C740" s="13"/>
      <c r="D740" s="13"/>
    </row>
    <row r="741" spans="1:4" ht="13" x14ac:dyDescent="0.15">
      <c r="A741" s="10"/>
      <c r="B741" s="13"/>
      <c r="C741" s="13"/>
      <c r="D741" s="13"/>
    </row>
    <row r="742" spans="1:4" ht="13" x14ac:dyDescent="0.15">
      <c r="A742" s="10"/>
      <c r="B742" s="13"/>
      <c r="C742" s="13"/>
      <c r="D742" s="13"/>
    </row>
    <row r="743" spans="1:4" ht="13" x14ac:dyDescent="0.15">
      <c r="A743" s="10"/>
      <c r="B743" s="13"/>
      <c r="C743" s="13"/>
      <c r="D743" s="13"/>
    </row>
    <row r="744" spans="1:4" ht="13" x14ac:dyDescent="0.15">
      <c r="A744" s="10"/>
      <c r="B744" s="13"/>
      <c r="C744" s="13"/>
      <c r="D744" s="13"/>
    </row>
    <row r="745" spans="1:4" ht="13" x14ac:dyDescent="0.15">
      <c r="A745" s="10"/>
      <c r="B745" s="13"/>
      <c r="C745" s="13"/>
      <c r="D745" s="13"/>
    </row>
    <row r="746" spans="1:4" ht="13" x14ac:dyDescent="0.15">
      <c r="A746" s="10"/>
      <c r="B746" s="13"/>
      <c r="C746" s="13"/>
      <c r="D746" s="13"/>
    </row>
    <row r="747" spans="1:4" ht="13" x14ac:dyDescent="0.15">
      <c r="A747" s="10"/>
      <c r="B747" s="13"/>
      <c r="C747" s="13"/>
      <c r="D747" s="13"/>
    </row>
    <row r="748" spans="1:4" ht="13" x14ac:dyDescent="0.15">
      <c r="A748" s="10"/>
      <c r="B748" s="13"/>
      <c r="C748" s="13"/>
      <c r="D748" s="13"/>
    </row>
    <row r="749" spans="1:4" ht="13" x14ac:dyDescent="0.15">
      <c r="A749" s="10"/>
      <c r="B749" s="13"/>
      <c r="C749" s="13"/>
      <c r="D749" s="13"/>
    </row>
    <row r="750" spans="1:4" ht="13" x14ac:dyDescent="0.15">
      <c r="A750" s="10"/>
      <c r="B750" s="13"/>
      <c r="C750" s="13"/>
      <c r="D750" s="13"/>
    </row>
    <row r="751" spans="1:4" ht="13" x14ac:dyDescent="0.15">
      <c r="A751" s="10"/>
      <c r="B751" s="13"/>
      <c r="C751" s="13"/>
      <c r="D751" s="13"/>
    </row>
    <row r="752" spans="1:4" ht="13" x14ac:dyDescent="0.15">
      <c r="A752" s="10"/>
      <c r="B752" s="13"/>
      <c r="C752" s="13"/>
      <c r="D752" s="13"/>
    </row>
    <row r="753" spans="1:4" ht="13" x14ac:dyDescent="0.15">
      <c r="A753" s="10"/>
      <c r="B753" s="13"/>
      <c r="C753" s="13"/>
      <c r="D753" s="13"/>
    </row>
    <row r="754" spans="1:4" ht="13" x14ac:dyDescent="0.15">
      <c r="A754" s="10"/>
      <c r="B754" s="13"/>
      <c r="C754" s="13"/>
      <c r="D754" s="13"/>
    </row>
    <row r="755" spans="1:4" ht="13" x14ac:dyDescent="0.15">
      <c r="A755" s="10"/>
      <c r="B755" s="13"/>
      <c r="C755" s="13"/>
      <c r="D755" s="13"/>
    </row>
    <row r="756" spans="1:4" ht="13" x14ac:dyDescent="0.15">
      <c r="A756" s="10"/>
      <c r="B756" s="13"/>
      <c r="C756" s="13"/>
      <c r="D756" s="13"/>
    </row>
    <row r="757" spans="1:4" ht="13" x14ac:dyDescent="0.15">
      <c r="A757" s="10"/>
      <c r="B757" s="13"/>
      <c r="C757" s="13"/>
      <c r="D757" s="13"/>
    </row>
    <row r="758" spans="1:4" ht="13" x14ac:dyDescent="0.15">
      <c r="A758" s="10"/>
      <c r="B758" s="13"/>
      <c r="C758" s="13"/>
      <c r="D758" s="13"/>
    </row>
    <row r="759" spans="1:4" ht="13" x14ac:dyDescent="0.15">
      <c r="A759" s="10"/>
      <c r="B759" s="13"/>
      <c r="C759" s="13"/>
      <c r="D759" s="13"/>
    </row>
    <row r="760" spans="1:4" ht="13" x14ac:dyDescent="0.15">
      <c r="A760" s="10"/>
      <c r="B760" s="13"/>
      <c r="C760" s="13"/>
      <c r="D760" s="13"/>
    </row>
    <row r="761" spans="1:4" ht="13" x14ac:dyDescent="0.15">
      <c r="A761" s="10"/>
      <c r="B761" s="13"/>
      <c r="C761" s="13"/>
      <c r="D761" s="13"/>
    </row>
    <row r="762" spans="1:4" ht="13" x14ac:dyDescent="0.15">
      <c r="A762" s="10"/>
      <c r="B762" s="13"/>
      <c r="C762" s="13"/>
      <c r="D762" s="13"/>
    </row>
    <row r="763" spans="1:4" ht="13" x14ac:dyDescent="0.15">
      <c r="A763" s="10"/>
      <c r="B763" s="13"/>
      <c r="C763" s="13"/>
      <c r="D763" s="13"/>
    </row>
    <row r="764" spans="1:4" ht="13" x14ac:dyDescent="0.15">
      <c r="A764" s="10"/>
      <c r="B764" s="13"/>
      <c r="C764" s="13"/>
      <c r="D764" s="13"/>
    </row>
    <row r="765" spans="1:4" ht="13" x14ac:dyDescent="0.15">
      <c r="A765" s="10"/>
      <c r="B765" s="13"/>
      <c r="C765" s="13"/>
      <c r="D765" s="13"/>
    </row>
    <row r="766" spans="1:4" ht="13" x14ac:dyDescent="0.15">
      <c r="A766" s="10"/>
      <c r="B766" s="13"/>
      <c r="C766" s="13"/>
      <c r="D766" s="13"/>
    </row>
    <row r="767" spans="1:4" ht="13" x14ac:dyDescent="0.15">
      <c r="A767" s="10"/>
      <c r="B767" s="13"/>
      <c r="C767" s="13"/>
      <c r="D767" s="13"/>
    </row>
    <row r="768" spans="1:4" ht="13" x14ac:dyDescent="0.15">
      <c r="A768" s="10"/>
      <c r="B768" s="13"/>
      <c r="C768" s="13"/>
      <c r="D768" s="13"/>
    </row>
    <row r="769" spans="1:4" ht="13" x14ac:dyDescent="0.15">
      <c r="A769" s="10"/>
      <c r="B769" s="13"/>
      <c r="C769" s="13"/>
      <c r="D769" s="13"/>
    </row>
    <row r="770" spans="1:4" ht="13" x14ac:dyDescent="0.15">
      <c r="A770" s="10"/>
      <c r="B770" s="13"/>
      <c r="C770" s="13"/>
      <c r="D770" s="13"/>
    </row>
    <row r="771" spans="1:4" ht="13" x14ac:dyDescent="0.15">
      <c r="A771" s="10"/>
      <c r="B771" s="13"/>
      <c r="C771" s="13"/>
      <c r="D771" s="13"/>
    </row>
    <row r="772" spans="1:4" ht="13" x14ac:dyDescent="0.15">
      <c r="A772" s="10"/>
      <c r="B772" s="13"/>
      <c r="C772" s="13"/>
      <c r="D772" s="13"/>
    </row>
    <row r="773" spans="1:4" ht="13" x14ac:dyDescent="0.15">
      <c r="A773" s="10"/>
      <c r="B773" s="13"/>
      <c r="C773" s="13"/>
      <c r="D773" s="13"/>
    </row>
    <row r="774" spans="1:4" ht="13" x14ac:dyDescent="0.15">
      <c r="A774" s="10"/>
      <c r="B774" s="13"/>
      <c r="C774" s="13"/>
      <c r="D774" s="13"/>
    </row>
    <row r="775" spans="1:4" ht="13" x14ac:dyDescent="0.15">
      <c r="A775" s="10"/>
      <c r="B775" s="13"/>
      <c r="C775" s="13"/>
      <c r="D775" s="13"/>
    </row>
    <row r="776" spans="1:4" ht="13" x14ac:dyDescent="0.15">
      <c r="A776" s="10"/>
      <c r="B776" s="13"/>
      <c r="C776" s="13"/>
      <c r="D776" s="13"/>
    </row>
    <row r="777" spans="1:4" ht="13" x14ac:dyDescent="0.15">
      <c r="A777" s="10"/>
      <c r="B777" s="13"/>
      <c r="C777" s="13"/>
      <c r="D777" s="13"/>
    </row>
    <row r="778" spans="1:4" ht="13" x14ac:dyDescent="0.15">
      <c r="A778" s="10"/>
      <c r="B778" s="13"/>
      <c r="C778" s="13"/>
      <c r="D778" s="13"/>
    </row>
    <row r="779" spans="1:4" ht="13" x14ac:dyDescent="0.15">
      <c r="A779" s="10"/>
      <c r="B779" s="13"/>
      <c r="C779" s="13"/>
      <c r="D779" s="13"/>
    </row>
    <row r="780" spans="1:4" ht="13" x14ac:dyDescent="0.15">
      <c r="A780" s="10"/>
      <c r="B780" s="13"/>
      <c r="C780" s="13"/>
      <c r="D780" s="13"/>
    </row>
    <row r="781" spans="1:4" ht="13" x14ac:dyDescent="0.15">
      <c r="A781" s="10"/>
      <c r="B781" s="13"/>
      <c r="C781" s="13"/>
      <c r="D781" s="13"/>
    </row>
    <row r="782" spans="1:4" ht="13" x14ac:dyDescent="0.15">
      <c r="A782" s="10"/>
      <c r="B782" s="13"/>
      <c r="C782" s="13"/>
      <c r="D782" s="13"/>
    </row>
    <row r="783" spans="1:4" ht="13" x14ac:dyDescent="0.15">
      <c r="A783" s="10"/>
      <c r="B783" s="13"/>
      <c r="C783" s="13"/>
      <c r="D783" s="13"/>
    </row>
    <row r="784" spans="1:4" ht="13" x14ac:dyDescent="0.15">
      <c r="A784" s="10"/>
      <c r="B784" s="13"/>
      <c r="C784" s="13"/>
      <c r="D784" s="13"/>
    </row>
    <row r="785" spans="1:4" ht="13" x14ac:dyDescent="0.15">
      <c r="A785" s="10"/>
      <c r="B785" s="13"/>
      <c r="C785" s="13"/>
      <c r="D785" s="13"/>
    </row>
    <row r="786" spans="1:4" ht="13" x14ac:dyDescent="0.15">
      <c r="A786" s="10"/>
      <c r="B786" s="13"/>
      <c r="C786" s="13"/>
      <c r="D786" s="13"/>
    </row>
    <row r="787" spans="1:4" ht="13" x14ac:dyDescent="0.15">
      <c r="A787" s="10"/>
      <c r="B787" s="13"/>
      <c r="C787" s="13"/>
      <c r="D787" s="13"/>
    </row>
    <row r="788" spans="1:4" ht="13" x14ac:dyDescent="0.15">
      <c r="A788" s="10"/>
      <c r="B788" s="13"/>
      <c r="C788" s="13"/>
      <c r="D788" s="13"/>
    </row>
    <row r="789" spans="1:4" ht="13" x14ac:dyDescent="0.15">
      <c r="A789" s="10"/>
      <c r="B789" s="13"/>
      <c r="C789" s="13"/>
      <c r="D789" s="13"/>
    </row>
    <row r="790" spans="1:4" ht="13" x14ac:dyDescent="0.15">
      <c r="A790" s="10"/>
      <c r="B790" s="13"/>
      <c r="C790" s="13"/>
      <c r="D790" s="13"/>
    </row>
    <row r="791" spans="1:4" ht="13" x14ac:dyDescent="0.15">
      <c r="A791" s="10"/>
      <c r="B791" s="13"/>
      <c r="C791" s="13"/>
      <c r="D791" s="13"/>
    </row>
    <row r="792" spans="1:4" ht="13" x14ac:dyDescent="0.15">
      <c r="A792" s="10"/>
      <c r="B792" s="13"/>
      <c r="C792" s="13"/>
      <c r="D792" s="13"/>
    </row>
    <row r="793" spans="1:4" ht="13" x14ac:dyDescent="0.15">
      <c r="A793" s="10"/>
      <c r="B793" s="13"/>
      <c r="C793" s="13"/>
      <c r="D793" s="13"/>
    </row>
    <row r="794" spans="1:4" ht="13" x14ac:dyDescent="0.15">
      <c r="A794" s="10"/>
      <c r="B794" s="13"/>
      <c r="C794" s="13"/>
      <c r="D794" s="13"/>
    </row>
    <row r="795" spans="1:4" ht="13" x14ac:dyDescent="0.15">
      <c r="A795" s="10"/>
      <c r="B795" s="13"/>
      <c r="C795" s="13"/>
      <c r="D795" s="13"/>
    </row>
    <row r="796" spans="1:4" ht="13" x14ac:dyDescent="0.15">
      <c r="A796" s="10"/>
      <c r="B796" s="13"/>
      <c r="C796" s="13"/>
      <c r="D796" s="13"/>
    </row>
    <row r="797" spans="1:4" ht="13" x14ac:dyDescent="0.15">
      <c r="A797" s="10"/>
      <c r="B797" s="13"/>
      <c r="C797" s="13"/>
      <c r="D797" s="13"/>
    </row>
    <row r="798" spans="1:4" ht="13" x14ac:dyDescent="0.15">
      <c r="A798" s="10"/>
      <c r="B798" s="13"/>
      <c r="C798" s="13"/>
      <c r="D798" s="13"/>
    </row>
    <row r="799" spans="1:4" ht="13" x14ac:dyDescent="0.15">
      <c r="A799" s="10"/>
      <c r="B799" s="13"/>
      <c r="C799" s="13"/>
      <c r="D799" s="13"/>
    </row>
    <row r="800" spans="1:4" ht="13" x14ac:dyDescent="0.15">
      <c r="A800" s="10"/>
      <c r="B800" s="13"/>
      <c r="C800" s="13"/>
      <c r="D800" s="13"/>
    </row>
    <row r="801" spans="1:4" ht="13" x14ac:dyDescent="0.15">
      <c r="A801" s="10"/>
      <c r="B801" s="13"/>
      <c r="C801" s="13"/>
      <c r="D801" s="13"/>
    </row>
    <row r="802" spans="1:4" ht="13" x14ac:dyDescent="0.15">
      <c r="A802" s="10"/>
      <c r="B802" s="13"/>
      <c r="C802" s="13"/>
      <c r="D802" s="13"/>
    </row>
    <row r="803" spans="1:4" ht="13" x14ac:dyDescent="0.15">
      <c r="A803" s="10"/>
      <c r="B803" s="13"/>
      <c r="C803" s="13"/>
      <c r="D803" s="13"/>
    </row>
    <row r="804" spans="1:4" ht="13" x14ac:dyDescent="0.15">
      <c r="A804" s="10"/>
      <c r="B804" s="13"/>
      <c r="C804" s="13"/>
      <c r="D804" s="13"/>
    </row>
    <row r="805" spans="1:4" ht="13" x14ac:dyDescent="0.15">
      <c r="A805" s="10"/>
      <c r="B805" s="13"/>
      <c r="C805" s="13"/>
      <c r="D805" s="13"/>
    </row>
    <row r="806" spans="1:4" ht="13" x14ac:dyDescent="0.15">
      <c r="A806" s="10"/>
      <c r="B806" s="13"/>
      <c r="C806" s="13"/>
      <c r="D806" s="13"/>
    </row>
    <row r="807" spans="1:4" ht="13" x14ac:dyDescent="0.15">
      <c r="A807" s="10"/>
      <c r="B807" s="13"/>
      <c r="C807" s="13"/>
      <c r="D807" s="13"/>
    </row>
    <row r="808" spans="1:4" ht="13" x14ac:dyDescent="0.15">
      <c r="A808" s="10"/>
      <c r="B808" s="13"/>
      <c r="C808" s="13"/>
      <c r="D808" s="13"/>
    </row>
    <row r="809" spans="1:4" ht="13" x14ac:dyDescent="0.15">
      <c r="A809" s="10"/>
      <c r="B809" s="13"/>
      <c r="C809" s="13"/>
      <c r="D809" s="13"/>
    </row>
    <row r="810" spans="1:4" ht="13" x14ac:dyDescent="0.15">
      <c r="A810" s="10"/>
      <c r="B810" s="13"/>
      <c r="C810" s="13"/>
      <c r="D810" s="13"/>
    </row>
    <row r="811" spans="1:4" ht="13" x14ac:dyDescent="0.15">
      <c r="A811" s="10"/>
      <c r="B811" s="13"/>
      <c r="C811" s="13"/>
      <c r="D811" s="13"/>
    </row>
    <row r="812" spans="1:4" ht="13" x14ac:dyDescent="0.15">
      <c r="A812" s="10"/>
      <c r="B812" s="13"/>
      <c r="C812" s="13"/>
      <c r="D812" s="13"/>
    </row>
    <row r="813" spans="1:4" ht="13" x14ac:dyDescent="0.15">
      <c r="A813" s="10"/>
      <c r="B813" s="13"/>
      <c r="C813" s="13"/>
      <c r="D813" s="13"/>
    </row>
    <row r="814" spans="1:4" ht="13" x14ac:dyDescent="0.15">
      <c r="A814" s="10"/>
      <c r="B814" s="13"/>
      <c r="C814" s="13"/>
      <c r="D814" s="13"/>
    </row>
    <row r="815" spans="1:4" ht="13" x14ac:dyDescent="0.15">
      <c r="A815" s="10"/>
      <c r="B815" s="13"/>
      <c r="C815" s="13"/>
      <c r="D815" s="13"/>
    </row>
    <row r="816" spans="1:4" ht="13" x14ac:dyDescent="0.15">
      <c r="A816" s="10"/>
      <c r="B816" s="13"/>
      <c r="C816" s="13"/>
      <c r="D816" s="13"/>
    </row>
    <row r="817" spans="1:4" ht="13" x14ac:dyDescent="0.15">
      <c r="A817" s="10"/>
      <c r="B817" s="13"/>
      <c r="C817" s="13"/>
      <c r="D817" s="13"/>
    </row>
    <row r="818" spans="1:4" ht="13" x14ac:dyDescent="0.15">
      <c r="A818" s="10"/>
      <c r="B818" s="13"/>
      <c r="C818" s="13"/>
      <c r="D818" s="13"/>
    </row>
    <row r="819" spans="1:4" ht="13" x14ac:dyDescent="0.15">
      <c r="A819" s="10"/>
      <c r="B819" s="13"/>
      <c r="C819" s="13"/>
      <c r="D819" s="13"/>
    </row>
    <row r="820" spans="1:4" ht="13" x14ac:dyDescent="0.15">
      <c r="A820" s="10"/>
      <c r="B820" s="13"/>
      <c r="C820" s="13"/>
      <c r="D820" s="13"/>
    </row>
    <row r="821" spans="1:4" ht="13" x14ac:dyDescent="0.15">
      <c r="A821" s="10"/>
      <c r="B821" s="13"/>
      <c r="C821" s="13"/>
      <c r="D821" s="13"/>
    </row>
    <row r="822" spans="1:4" ht="13" x14ac:dyDescent="0.15">
      <c r="A822" s="10"/>
      <c r="B822" s="13"/>
      <c r="C822" s="13"/>
      <c r="D822" s="13"/>
    </row>
    <row r="823" spans="1:4" ht="13" x14ac:dyDescent="0.15">
      <c r="A823" s="10"/>
      <c r="B823" s="13"/>
      <c r="C823" s="13"/>
      <c r="D823" s="13"/>
    </row>
    <row r="824" spans="1:4" ht="13" x14ac:dyDescent="0.15">
      <c r="A824" s="10"/>
      <c r="B824" s="13"/>
      <c r="C824" s="13"/>
      <c r="D824" s="13"/>
    </row>
    <row r="825" spans="1:4" ht="13" x14ac:dyDescent="0.15">
      <c r="A825" s="10"/>
      <c r="B825" s="13"/>
      <c r="C825" s="13"/>
      <c r="D825" s="13"/>
    </row>
    <row r="826" spans="1:4" ht="13" x14ac:dyDescent="0.15">
      <c r="A826" s="10"/>
      <c r="B826" s="13"/>
      <c r="C826" s="13"/>
      <c r="D826" s="13"/>
    </row>
    <row r="827" spans="1:4" ht="13" x14ac:dyDescent="0.15">
      <c r="A827" s="10"/>
      <c r="B827" s="13"/>
      <c r="C827" s="13"/>
      <c r="D827" s="13"/>
    </row>
    <row r="828" spans="1:4" ht="13" x14ac:dyDescent="0.15">
      <c r="A828" s="10"/>
      <c r="B828" s="13"/>
      <c r="C828" s="13"/>
      <c r="D828" s="13"/>
    </row>
    <row r="829" spans="1:4" ht="13" x14ac:dyDescent="0.15">
      <c r="A829" s="10"/>
      <c r="B829" s="13"/>
      <c r="C829" s="13"/>
      <c r="D829" s="13"/>
    </row>
    <row r="830" spans="1:4" ht="13" x14ac:dyDescent="0.15">
      <c r="A830" s="10"/>
      <c r="B830" s="13"/>
      <c r="C830" s="13"/>
      <c r="D830" s="13"/>
    </row>
    <row r="831" spans="1:4" ht="13" x14ac:dyDescent="0.15">
      <c r="A831" s="10"/>
      <c r="B831" s="13"/>
      <c r="C831" s="13"/>
      <c r="D831" s="13"/>
    </row>
    <row r="832" spans="1:4" ht="13" x14ac:dyDescent="0.15">
      <c r="A832" s="10"/>
      <c r="B832" s="13"/>
      <c r="C832" s="13"/>
      <c r="D832" s="13"/>
    </row>
    <row r="833" spans="1:4" ht="13" x14ac:dyDescent="0.15">
      <c r="A833" s="10"/>
      <c r="B833" s="13"/>
      <c r="C833" s="13"/>
      <c r="D833" s="13"/>
    </row>
    <row r="834" spans="1:4" ht="13" x14ac:dyDescent="0.15">
      <c r="A834" s="10"/>
      <c r="B834" s="13"/>
      <c r="C834" s="13"/>
      <c r="D834" s="13"/>
    </row>
    <row r="835" spans="1:4" ht="13" x14ac:dyDescent="0.15">
      <c r="A835" s="10"/>
      <c r="B835" s="13"/>
      <c r="C835" s="13"/>
      <c r="D835" s="13"/>
    </row>
    <row r="836" spans="1:4" ht="13" x14ac:dyDescent="0.15">
      <c r="A836" s="10"/>
      <c r="B836" s="13"/>
      <c r="C836" s="13"/>
      <c r="D836" s="13"/>
    </row>
    <row r="837" spans="1:4" ht="13" x14ac:dyDescent="0.15">
      <c r="A837" s="10"/>
      <c r="B837" s="13"/>
      <c r="C837" s="13"/>
      <c r="D837" s="13"/>
    </row>
    <row r="838" spans="1:4" ht="13" x14ac:dyDescent="0.15">
      <c r="A838" s="10"/>
      <c r="B838" s="13"/>
      <c r="C838" s="13"/>
      <c r="D838" s="13"/>
    </row>
    <row r="839" spans="1:4" ht="13" x14ac:dyDescent="0.15">
      <c r="A839" s="10"/>
      <c r="B839" s="13"/>
      <c r="C839" s="13"/>
      <c r="D839" s="13"/>
    </row>
    <row r="840" spans="1:4" ht="13" x14ac:dyDescent="0.15">
      <c r="A840" s="10"/>
      <c r="B840" s="13"/>
      <c r="C840" s="13"/>
      <c r="D840" s="13"/>
    </row>
    <row r="841" spans="1:4" ht="13" x14ac:dyDescent="0.15">
      <c r="A841" s="10"/>
      <c r="B841" s="13"/>
      <c r="C841" s="13"/>
      <c r="D841" s="13"/>
    </row>
    <row r="842" spans="1:4" ht="13" x14ac:dyDescent="0.15">
      <c r="A842" s="10"/>
      <c r="B842" s="13"/>
      <c r="C842" s="13"/>
      <c r="D842" s="13"/>
    </row>
    <row r="843" spans="1:4" ht="13" x14ac:dyDescent="0.15">
      <c r="A843" s="10"/>
      <c r="B843" s="13"/>
      <c r="C843" s="13"/>
      <c r="D843" s="13"/>
    </row>
    <row r="844" spans="1:4" ht="13" x14ac:dyDescent="0.15">
      <c r="A844" s="10"/>
      <c r="B844" s="13"/>
      <c r="C844" s="13"/>
      <c r="D844" s="13"/>
    </row>
    <row r="845" spans="1:4" ht="13" x14ac:dyDescent="0.15">
      <c r="A845" s="10"/>
      <c r="B845" s="13"/>
      <c r="C845" s="13"/>
      <c r="D845" s="13"/>
    </row>
    <row r="846" spans="1:4" ht="13" x14ac:dyDescent="0.15">
      <c r="A846" s="10"/>
      <c r="B846" s="13"/>
      <c r="C846" s="13"/>
      <c r="D846" s="13"/>
    </row>
    <row r="847" spans="1:4" ht="13" x14ac:dyDescent="0.15">
      <c r="A847" s="10"/>
      <c r="B847" s="13"/>
      <c r="C847" s="13"/>
      <c r="D847" s="13"/>
    </row>
    <row r="848" spans="1:4" ht="13" x14ac:dyDescent="0.15">
      <c r="A848" s="10"/>
      <c r="B848" s="13"/>
      <c r="C848" s="13"/>
      <c r="D848" s="13"/>
    </row>
    <row r="849" spans="1:4" ht="13" x14ac:dyDescent="0.15">
      <c r="A849" s="10"/>
      <c r="B849" s="13"/>
      <c r="C849" s="13"/>
      <c r="D849" s="13"/>
    </row>
    <row r="850" spans="1:4" ht="13" x14ac:dyDescent="0.15">
      <c r="A850" s="10"/>
      <c r="B850" s="13"/>
      <c r="C850" s="13"/>
      <c r="D850" s="13"/>
    </row>
    <row r="851" spans="1:4" ht="13" x14ac:dyDescent="0.15">
      <c r="A851" s="10"/>
      <c r="B851" s="13"/>
      <c r="C851" s="13"/>
      <c r="D851" s="13"/>
    </row>
    <row r="852" spans="1:4" ht="13" x14ac:dyDescent="0.15">
      <c r="A852" s="10"/>
      <c r="B852" s="13"/>
      <c r="C852" s="13"/>
      <c r="D852" s="13"/>
    </row>
    <row r="853" spans="1:4" ht="13" x14ac:dyDescent="0.15">
      <c r="A853" s="10"/>
      <c r="B853" s="13"/>
      <c r="C853" s="13"/>
      <c r="D853" s="13"/>
    </row>
    <row r="854" spans="1:4" ht="13" x14ac:dyDescent="0.15">
      <c r="A854" s="10"/>
      <c r="B854" s="13"/>
      <c r="C854" s="13"/>
      <c r="D854" s="13"/>
    </row>
    <row r="855" spans="1:4" ht="13" x14ac:dyDescent="0.15">
      <c r="A855" s="10"/>
      <c r="B855" s="13"/>
      <c r="C855" s="13"/>
      <c r="D855" s="13"/>
    </row>
    <row r="856" spans="1:4" ht="13" x14ac:dyDescent="0.15">
      <c r="A856" s="10"/>
      <c r="B856" s="13"/>
      <c r="C856" s="13"/>
      <c r="D856" s="13"/>
    </row>
    <row r="857" spans="1:4" ht="13" x14ac:dyDescent="0.15">
      <c r="A857" s="10"/>
      <c r="B857" s="13"/>
      <c r="C857" s="13"/>
      <c r="D857" s="13"/>
    </row>
    <row r="858" spans="1:4" ht="13" x14ac:dyDescent="0.15">
      <c r="A858" s="10"/>
      <c r="B858" s="13"/>
      <c r="C858" s="13"/>
      <c r="D858" s="13"/>
    </row>
    <row r="859" spans="1:4" ht="13" x14ac:dyDescent="0.15">
      <c r="A859" s="10"/>
      <c r="B859" s="13"/>
      <c r="C859" s="13"/>
      <c r="D859" s="13"/>
    </row>
    <row r="860" spans="1:4" ht="13" x14ac:dyDescent="0.15">
      <c r="A860" s="10"/>
      <c r="B860" s="13"/>
      <c r="C860" s="13"/>
      <c r="D860" s="13"/>
    </row>
    <row r="861" spans="1:4" ht="13" x14ac:dyDescent="0.15">
      <c r="A861" s="10"/>
      <c r="B861" s="13"/>
      <c r="C861" s="13"/>
      <c r="D861" s="13"/>
    </row>
    <row r="862" spans="1:4" ht="13" x14ac:dyDescent="0.15">
      <c r="A862" s="10"/>
      <c r="B862" s="13"/>
      <c r="C862" s="13"/>
      <c r="D862" s="13"/>
    </row>
    <row r="863" spans="1:4" ht="13" x14ac:dyDescent="0.15">
      <c r="A863" s="10"/>
      <c r="B863" s="13"/>
      <c r="C863" s="13"/>
      <c r="D863" s="13"/>
    </row>
    <row r="864" spans="1:4" ht="13" x14ac:dyDescent="0.15">
      <c r="A864" s="10"/>
      <c r="B864" s="13"/>
      <c r="C864" s="13"/>
      <c r="D864" s="13"/>
    </row>
    <row r="865" spans="1:4" ht="13" x14ac:dyDescent="0.15">
      <c r="A865" s="10"/>
      <c r="B865" s="13"/>
      <c r="C865" s="13"/>
      <c r="D865" s="13"/>
    </row>
    <row r="866" spans="1:4" ht="13" x14ac:dyDescent="0.15">
      <c r="A866" s="10"/>
      <c r="B866" s="13"/>
      <c r="C866" s="13"/>
      <c r="D866" s="13"/>
    </row>
    <row r="867" spans="1:4" ht="13" x14ac:dyDescent="0.15">
      <c r="A867" s="10"/>
      <c r="B867" s="13"/>
      <c r="C867" s="13"/>
      <c r="D867" s="13"/>
    </row>
    <row r="868" spans="1:4" ht="13" x14ac:dyDescent="0.15">
      <c r="A868" s="10"/>
      <c r="B868" s="13"/>
      <c r="C868" s="13"/>
      <c r="D868" s="13"/>
    </row>
    <row r="869" spans="1:4" ht="13" x14ac:dyDescent="0.15">
      <c r="A869" s="10"/>
      <c r="B869" s="13"/>
      <c r="C869" s="13"/>
      <c r="D869" s="13"/>
    </row>
    <row r="870" spans="1:4" ht="13" x14ac:dyDescent="0.15">
      <c r="A870" s="10"/>
      <c r="B870" s="13"/>
      <c r="C870" s="13"/>
      <c r="D870" s="13"/>
    </row>
    <row r="871" spans="1:4" ht="13" x14ac:dyDescent="0.15">
      <c r="A871" s="10"/>
      <c r="B871" s="13"/>
      <c r="C871" s="13"/>
      <c r="D871" s="13"/>
    </row>
    <row r="872" spans="1:4" ht="13" x14ac:dyDescent="0.15">
      <c r="A872" s="10"/>
      <c r="B872" s="13"/>
      <c r="C872" s="13"/>
      <c r="D872" s="13"/>
    </row>
    <row r="873" spans="1:4" ht="13" x14ac:dyDescent="0.15">
      <c r="A873" s="10"/>
      <c r="B873" s="13"/>
      <c r="C873" s="13"/>
      <c r="D873" s="13"/>
    </row>
    <row r="874" spans="1:4" ht="13" x14ac:dyDescent="0.15">
      <c r="A874" s="10"/>
      <c r="B874" s="13"/>
      <c r="C874" s="13"/>
      <c r="D874" s="13"/>
    </row>
    <row r="875" spans="1:4" ht="13" x14ac:dyDescent="0.15">
      <c r="A875" s="10"/>
      <c r="B875" s="13"/>
      <c r="C875" s="13"/>
      <c r="D875" s="13"/>
    </row>
    <row r="876" spans="1:4" ht="13" x14ac:dyDescent="0.15">
      <c r="A876" s="10"/>
      <c r="B876" s="13"/>
      <c r="C876" s="13"/>
      <c r="D876" s="13"/>
    </row>
    <row r="877" spans="1:4" ht="13" x14ac:dyDescent="0.15">
      <c r="A877" s="10"/>
      <c r="B877" s="13"/>
      <c r="C877" s="13"/>
      <c r="D877" s="13"/>
    </row>
    <row r="878" spans="1:4" ht="13" x14ac:dyDescent="0.15">
      <c r="A878" s="10"/>
      <c r="B878" s="13"/>
      <c r="C878" s="13"/>
      <c r="D878" s="13"/>
    </row>
    <row r="879" spans="1:4" ht="13" x14ac:dyDescent="0.15">
      <c r="A879" s="10"/>
      <c r="B879" s="13"/>
      <c r="C879" s="13"/>
      <c r="D879" s="13"/>
    </row>
    <row r="880" spans="1:4" ht="13" x14ac:dyDescent="0.15">
      <c r="A880" s="10"/>
      <c r="B880" s="13"/>
      <c r="C880" s="13"/>
      <c r="D880" s="13"/>
    </row>
    <row r="881" spans="1:4" ht="13" x14ac:dyDescent="0.15">
      <c r="A881" s="10"/>
      <c r="B881" s="13"/>
      <c r="C881" s="13"/>
      <c r="D881" s="13"/>
    </row>
    <row r="882" spans="1:4" ht="13" x14ac:dyDescent="0.15">
      <c r="A882" s="10"/>
      <c r="B882" s="13"/>
      <c r="C882" s="13"/>
      <c r="D882" s="13"/>
    </row>
    <row r="883" spans="1:4" ht="13" x14ac:dyDescent="0.15">
      <c r="A883" s="10"/>
      <c r="B883" s="13"/>
      <c r="C883" s="13"/>
      <c r="D883" s="13"/>
    </row>
    <row r="884" spans="1:4" ht="13" x14ac:dyDescent="0.15">
      <c r="A884" s="10"/>
      <c r="B884" s="13"/>
      <c r="C884" s="13"/>
      <c r="D884" s="13"/>
    </row>
    <row r="885" spans="1:4" ht="13" x14ac:dyDescent="0.15">
      <c r="A885" s="10"/>
      <c r="B885" s="13"/>
      <c r="C885" s="13"/>
      <c r="D885" s="13"/>
    </row>
    <row r="886" spans="1:4" ht="13" x14ac:dyDescent="0.15">
      <c r="A886" s="10"/>
      <c r="B886" s="13"/>
      <c r="C886" s="13"/>
      <c r="D886" s="13"/>
    </row>
    <row r="887" spans="1:4" ht="13" x14ac:dyDescent="0.15">
      <c r="A887" s="10"/>
      <c r="B887" s="13"/>
      <c r="C887" s="13"/>
      <c r="D887" s="13"/>
    </row>
    <row r="888" spans="1:4" ht="13" x14ac:dyDescent="0.15">
      <c r="A888" s="10"/>
      <c r="B888" s="13"/>
      <c r="C888" s="13"/>
      <c r="D888" s="13"/>
    </row>
    <row r="889" spans="1:4" ht="13" x14ac:dyDescent="0.15">
      <c r="A889" s="10"/>
      <c r="B889" s="13"/>
      <c r="C889" s="13"/>
      <c r="D889" s="13"/>
    </row>
    <row r="890" spans="1:4" ht="13" x14ac:dyDescent="0.15">
      <c r="A890" s="10"/>
      <c r="B890" s="13"/>
      <c r="C890" s="13"/>
      <c r="D890" s="13"/>
    </row>
    <row r="891" spans="1:4" ht="13" x14ac:dyDescent="0.15">
      <c r="A891" s="10"/>
      <c r="B891" s="13"/>
      <c r="C891" s="13"/>
      <c r="D891" s="13"/>
    </row>
    <row r="892" spans="1:4" ht="13" x14ac:dyDescent="0.15">
      <c r="A892" s="10"/>
      <c r="B892" s="13"/>
      <c r="C892" s="13"/>
      <c r="D892" s="13"/>
    </row>
    <row r="893" spans="1:4" ht="13" x14ac:dyDescent="0.15">
      <c r="A893" s="10"/>
      <c r="B893" s="13"/>
      <c r="C893" s="13"/>
      <c r="D893" s="13"/>
    </row>
    <row r="894" spans="1:4" ht="13" x14ac:dyDescent="0.15">
      <c r="A894" s="10"/>
      <c r="B894" s="13"/>
      <c r="C894" s="13"/>
      <c r="D894" s="13"/>
    </row>
    <row r="895" spans="1:4" ht="13" x14ac:dyDescent="0.15">
      <c r="A895" s="10"/>
      <c r="B895" s="13"/>
      <c r="C895" s="13"/>
      <c r="D895" s="13"/>
    </row>
    <row r="896" spans="1:4" ht="13" x14ac:dyDescent="0.15">
      <c r="A896" s="10"/>
      <c r="B896" s="13"/>
      <c r="C896" s="13"/>
      <c r="D896" s="13"/>
    </row>
    <row r="897" spans="1:4" ht="13" x14ac:dyDescent="0.15">
      <c r="A897" s="10"/>
      <c r="B897" s="13"/>
      <c r="C897" s="13"/>
      <c r="D897" s="13"/>
    </row>
    <row r="898" spans="1:4" ht="13" x14ac:dyDescent="0.15">
      <c r="A898" s="10"/>
      <c r="B898" s="13"/>
      <c r="C898" s="13"/>
      <c r="D898" s="13"/>
    </row>
    <row r="899" spans="1:4" ht="13" x14ac:dyDescent="0.15">
      <c r="A899" s="10"/>
      <c r="B899" s="13"/>
      <c r="C899" s="13"/>
      <c r="D899" s="13"/>
    </row>
    <row r="900" spans="1:4" ht="13" x14ac:dyDescent="0.15">
      <c r="A900" s="10"/>
      <c r="B900" s="13"/>
      <c r="C900" s="13"/>
      <c r="D900" s="13"/>
    </row>
    <row r="901" spans="1:4" ht="13" x14ac:dyDescent="0.15">
      <c r="A901" s="10"/>
      <c r="B901" s="13"/>
      <c r="C901" s="13"/>
      <c r="D901" s="13"/>
    </row>
    <row r="902" spans="1:4" ht="13" x14ac:dyDescent="0.15">
      <c r="A902" s="10"/>
      <c r="B902" s="13"/>
      <c r="C902" s="13"/>
      <c r="D902" s="13"/>
    </row>
    <row r="903" spans="1:4" ht="13" x14ac:dyDescent="0.15">
      <c r="A903" s="10"/>
      <c r="B903" s="13"/>
      <c r="C903" s="13"/>
      <c r="D903" s="13"/>
    </row>
    <row r="904" spans="1:4" ht="13" x14ac:dyDescent="0.15">
      <c r="A904" s="10"/>
      <c r="B904" s="13"/>
      <c r="C904" s="13"/>
      <c r="D904" s="13"/>
    </row>
    <row r="905" spans="1:4" ht="13" x14ac:dyDescent="0.15">
      <c r="A905" s="10"/>
      <c r="B905" s="13"/>
      <c r="C905" s="13"/>
      <c r="D905" s="13"/>
    </row>
    <row r="906" spans="1:4" ht="13" x14ac:dyDescent="0.15">
      <c r="A906" s="10"/>
      <c r="B906" s="13"/>
      <c r="C906" s="13"/>
      <c r="D906" s="13"/>
    </row>
    <row r="907" spans="1:4" ht="13" x14ac:dyDescent="0.15">
      <c r="A907" s="10"/>
      <c r="B907" s="13"/>
      <c r="C907" s="13"/>
      <c r="D907" s="13"/>
    </row>
    <row r="908" spans="1:4" ht="13" x14ac:dyDescent="0.15">
      <c r="A908" s="10"/>
      <c r="B908" s="13"/>
      <c r="C908" s="13"/>
      <c r="D908" s="13"/>
    </row>
    <row r="909" spans="1:4" ht="13" x14ac:dyDescent="0.15">
      <c r="A909" s="10"/>
      <c r="B909" s="13"/>
      <c r="C909" s="13"/>
      <c r="D909" s="13"/>
    </row>
    <row r="910" spans="1:4" ht="13" x14ac:dyDescent="0.15">
      <c r="A910" s="10"/>
      <c r="B910" s="13"/>
      <c r="C910" s="13"/>
      <c r="D910" s="13"/>
    </row>
    <row r="911" spans="1:4" ht="13" x14ac:dyDescent="0.15">
      <c r="A911" s="10"/>
      <c r="B911" s="13"/>
      <c r="C911" s="13"/>
      <c r="D911" s="13"/>
    </row>
    <row r="912" spans="1:4" ht="13" x14ac:dyDescent="0.15">
      <c r="A912" s="10"/>
      <c r="B912" s="13"/>
      <c r="C912" s="13"/>
      <c r="D912" s="13"/>
    </row>
    <row r="913" spans="1:4" ht="13" x14ac:dyDescent="0.15">
      <c r="A913" s="10"/>
      <c r="B913" s="13"/>
      <c r="C913" s="13"/>
      <c r="D913" s="13"/>
    </row>
    <row r="914" spans="1:4" ht="13" x14ac:dyDescent="0.15">
      <c r="A914" s="10"/>
      <c r="B914" s="13"/>
      <c r="C914" s="13"/>
      <c r="D914" s="13"/>
    </row>
    <row r="915" spans="1:4" ht="13" x14ac:dyDescent="0.15">
      <c r="A915" s="10"/>
      <c r="B915" s="13"/>
      <c r="C915" s="13"/>
      <c r="D915" s="13"/>
    </row>
    <row r="916" spans="1:4" ht="13" x14ac:dyDescent="0.15">
      <c r="A916" s="10"/>
      <c r="B916" s="13"/>
      <c r="C916" s="13"/>
      <c r="D916" s="13"/>
    </row>
    <row r="917" spans="1:4" ht="13" x14ac:dyDescent="0.15">
      <c r="A917" s="10"/>
      <c r="B917" s="13"/>
      <c r="C917" s="13"/>
      <c r="D917" s="13"/>
    </row>
    <row r="918" spans="1:4" ht="13" x14ac:dyDescent="0.15">
      <c r="A918" s="10"/>
      <c r="B918" s="13"/>
      <c r="C918" s="13"/>
      <c r="D918" s="13"/>
    </row>
    <row r="919" spans="1:4" ht="13" x14ac:dyDescent="0.15">
      <c r="A919" s="10"/>
      <c r="B919" s="13"/>
      <c r="C919" s="13"/>
      <c r="D919" s="13"/>
    </row>
    <row r="920" spans="1:4" ht="13" x14ac:dyDescent="0.15">
      <c r="A920" s="10"/>
      <c r="B920" s="13"/>
      <c r="C920" s="13"/>
      <c r="D920" s="13"/>
    </row>
    <row r="921" spans="1:4" ht="13" x14ac:dyDescent="0.15">
      <c r="A921" s="10"/>
      <c r="B921" s="13"/>
      <c r="C921" s="13"/>
      <c r="D921" s="13"/>
    </row>
    <row r="922" spans="1:4" ht="13" x14ac:dyDescent="0.15">
      <c r="A922" s="10"/>
      <c r="B922" s="13"/>
      <c r="C922" s="13"/>
      <c r="D922" s="13"/>
    </row>
    <row r="923" spans="1:4" ht="13" x14ac:dyDescent="0.15">
      <c r="A923" s="10"/>
      <c r="B923" s="13"/>
      <c r="C923" s="13"/>
      <c r="D923" s="13"/>
    </row>
    <row r="924" spans="1:4" ht="13" x14ac:dyDescent="0.15">
      <c r="A924" s="10"/>
      <c r="B924" s="13"/>
      <c r="C924" s="13"/>
      <c r="D924" s="13"/>
    </row>
    <row r="925" spans="1:4" ht="13" x14ac:dyDescent="0.15">
      <c r="A925" s="10"/>
      <c r="B925" s="13"/>
      <c r="C925" s="13"/>
      <c r="D925" s="13"/>
    </row>
    <row r="926" spans="1:4" ht="13" x14ac:dyDescent="0.15">
      <c r="A926" s="10"/>
      <c r="B926" s="13"/>
      <c r="C926" s="13"/>
      <c r="D926" s="13"/>
    </row>
    <row r="927" spans="1:4" ht="13" x14ac:dyDescent="0.15">
      <c r="A927" s="10"/>
      <c r="B927" s="13"/>
      <c r="C927" s="13"/>
      <c r="D927" s="13"/>
    </row>
    <row r="928" spans="1:4" ht="13" x14ac:dyDescent="0.15">
      <c r="A928" s="10"/>
      <c r="B928" s="13"/>
      <c r="C928" s="13"/>
      <c r="D928" s="13"/>
    </row>
    <row r="929" spans="1:4" ht="13" x14ac:dyDescent="0.15">
      <c r="A929" s="10"/>
      <c r="B929" s="13"/>
      <c r="C929" s="13"/>
      <c r="D929" s="13"/>
    </row>
    <row r="930" spans="1:4" ht="13" x14ac:dyDescent="0.15">
      <c r="A930" s="10"/>
      <c r="B930" s="13"/>
      <c r="C930" s="13"/>
      <c r="D930" s="13"/>
    </row>
    <row r="931" spans="1:4" ht="13" x14ac:dyDescent="0.15">
      <c r="A931" s="10"/>
      <c r="B931" s="13"/>
      <c r="C931" s="13"/>
      <c r="D931" s="13"/>
    </row>
    <row r="932" spans="1:4" ht="13" x14ac:dyDescent="0.15">
      <c r="A932" s="10"/>
      <c r="B932" s="13"/>
      <c r="C932" s="13"/>
      <c r="D932" s="13"/>
    </row>
    <row r="933" spans="1:4" ht="13" x14ac:dyDescent="0.15">
      <c r="A933" s="10"/>
      <c r="B933" s="13"/>
      <c r="C933" s="13"/>
      <c r="D933" s="13"/>
    </row>
    <row r="934" spans="1:4" ht="13" x14ac:dyDescent="0.15">
      <c r="A934" s="10"/>
      <c r="B934" s="13"/>
      <c r="C934" s="13"/>
      <c r="D934" s="13"/>
    </row>
    <row r="935" spans="1:4" ht="13" x14ac:dyDescent="0.15">
      <c r="A935" s="10"/>
      <c r="B935" s="13"/>
      <c r="C935" s="13"/>
      <c r="D935" s="13"/>
    </row>
    <row r="936" spans="1:4" ht="13" x14ac:dyDescent="0.15">
      <c r="A936" s="10"/>
      <c r="B936" s="13"/>
      <c r="C936" s="13"/>
      <c r="D936" s="13"/>
    </row>
    <row r="937" spans="1:4" ht="13" x14ac:dyDescent="0.15">
      <c r="A937" s="10"/>
      <c r="B937" s="13"/>
      <c r="C937" s="13"/>
      <c r="D937" s="13"/>
    </row>
    <row r="938" spans="1:4" ht="13" x14ac:dyDescent="0.15">
      <c r="A938" s="10"/>
      <c r="B938" s="13"/>
      <c r="C938" s="13"/>
      <c r="D938" s="13"/>
    </row>
    <row r="939" spans="1:4" ht="13" x14ac:dyDescent="0.15">
      <c r="A939" s="10"/>
      <c r="B939" s="13"/>
      <c r="C939" s="13"/>
      <c r="D939" s="13"/>
    </row>
    <row r="940" spans="1:4" ht="13" x14ac:dyDescent="0.15">
      <c r="A940" s="10"/>
      <c r="B940" s="13"/>
      <c r="C940" s="13"/>
      <c r="D940" s="13"/>
    </row>
    <row r="941" spans="1:4" ht="13" x14ac:dyDescent="0.15">
      <c r="A941" s="10"/>
      <c r="B941" s="13"/>
      <c r="C941" s="13"/>
      <c r="D941" s="13"/>
    </row>
    <row r="942" spans="1:4" ht="13" x14ac:dyDescent="0.15">
      <c r="A942" s="10"/>
      <c r="B942" s="13"/>
      <c r="C942" s="13"/>
      <c r="D942" s="13"/>
    </row>
    <row r="943" spans="1:4" ht="13" x14ac:dyDescent="0.15">
      <c r="A943" s="10"/>
      <c r="B943" s="13"/>
      <c r="C943" s="13"/>
      <c r="D943" s="13"/>
    </row>
    <row r="944" spans="1:4" ht="13" x14ac:dyDescent="0.15">
      <c r="A944" s="10"/>
      <c r="B944" s="13"/>
      <c r="C944" s="13"/>
      <c r="D944" s="13"/>
    </row>
    <row r="945" spans="1:4" ht="13" x14ac:dyDescent="0.15">
      <c r="A945" s="10"/>
      <c r="B945" s="13"/>
      <c r="C945" s="13"/>
      <c r="D945" s="13"/>
    </row>
    <row r="946" spans="1:4" ht="13" x14ac:dyDescent="0.15">
      <c r="A946" s="10"/>
      <c r="B946" s="13"/>
      <c r="C946" s="13"/>
      <c r="D946" s="13"/>
    </row>
    <row r="947" spans="1:4" ht="13" x14ac:dyDescent="0.15">
      <c r="A947" s="10"/>
      <c r="B947" s="13"/>
      <c r="C947" s="13"/>
      <c r="D947" s="13"/>
    </row>
    <row r="948" spans="1:4" ht="13" x14ac:dyDescent="0.15">
      <c r="A948" s="10"/>
      <c r="B948" s="13"/>
      <c r="C948" s="13"/>
      <c r="D948" s="13"/>
    </row>
    <row r="949" spans="1:4" ht="13" x14ac:dyDescent="0.15">
      <c r="A949" s="10"/>
      <c r="B949" s="13"/>
      <c r="C949" s="13"/>
      <c r="D949" s="13"/>
    </row>
    <row r="950" spans="1:4" ht="13" x14ac:dyDescent="0.15">
      <c r="A950" s="10"/>
      <c r="B950" s="13"/>
      <c r="C950" s="13"/>
      <c r="D950" s="13"/>
    </row>
    <row r="951" spans="1:4" ht="13" x14ac:dyDescent="0.15">
      <c r="A951" s="10"/>
      <c r="B951" s="13"/>
      <c r="C951" s="13"/>
      <c r="D951" s="13"/>
    </row>
    <row r="952" spans="1:4" ht="13" x14ac:dyDescent="0.15">
      <c r="A952" s="10"/>
      <c r="B952" s="13"/>
      <c r="C952" s="13"/>
      <c r="D952" s="13"/>
    </row>
    <row r="953" spans="1:4" ht="13" x14ac:dyDescent="0.15">
      <c r="A953" s="10"/>
      <c r="B953" s="13"/>
      <c r="C953" s="13"/>
      <c r="D953" s="13"/>
    </row>
    <row r="954" spans="1:4" ht="13" x14ac:dyDescent="0.15">
      <c r="A954" s="10"/>
      <c r="B954" s="13"/>
      <c r="C954" s="13"/>
      <c r="D954" s="13"/>
    </row>
    <row r="955" spans="1:4" ht="13" x14ac:dyDescent="0.15">
      <c r="A955" s="10"/>
      <c r="B955" s="13"/>
      <c r="C955" s="13"/>
      <c r="D955" s="13"/>
    </row>
    <row r="956" spans="1:4" ht="13" x14ac:dyDescent="0.15">
      <c r="A956" s="10"/>
      <c r="B956" s="13"/>
      <c r="C956" s="13"/>
      <c r="D956" s="13"/>
    </row>
    <row r="957" spans="1:4" ht="13" x14ac:dyDescent="0.15">
      <c r="A957" s="10"/>
      <c r="B957" s="13"/>
      <c r="C957" s="13"/>
      <c r="D957" s="13"/>
    </row>
    <row r="958" spans="1:4" ht="13" x14ac:dyDescent="0.15">
      <c r="A958" s="10"/>
      <c r="B958" s="13"/>
      <c r="C958" s="13"/>
      <c r="D958" s="13"/>
    </row>
    <row r="959" spans="1:4" ht="13" x14ac:dyDescent="0.15">
      <c r="A959" s="10"/>
      <c r="B959" s="13"/>
      <c r="C959" s="13"/>
      <c r="D959" s="13"/>
    </row>
    <row r="960" spans="1:4" ht="13" x14ac:dyDescent="0.15">
      <c r="A960" s="10"/>
      <c r="B960" s="13"/>
      <c r="C960" s="13"/>
      <c r="D960" s="13"/>
    </row>
    <row r="961" spans="1:4" ht="13" x14ac:dyDescent="0.15">
      <c r="A961" s="10"/>
      <c r="B961" s="13"/>
      <c r="C961" s="13"/>
      <c r="D961" s="13"/>
    </row>
    <row r="962" spans="1:4" ht="13" x14ac:dyDescent="0.15">
      <c r="A962" s="10"/>
      <c r="B962" s="13"/>
      <c r="C962" s="13"/>
      <c r="D962" s="13"/>
    </row>
    <row r="963" spans="1:4" ht="13" x14ac:dyDescent="0.15">
      <c r="A963" s="10"/>
      <c r="B963" s="13"/>
      <c r="C963" s="13"/>
      <c r="D963" s="13"/>
    </row>
    <row r="964" spans="1:4" ht="13" x14ac:dyDescent="0.15">
      <c r="A964" s="10"/>
      <c r="B964" s="13"/>
      <c r="C964" s="13"/>
      <c r="D964" s="13"/>
    </row>
    <row r="965" spans="1:4" ht="13" x14ac:dyDescent="0.15">
      <c r="A965" s="10"/>
      <c r="B965" s="13"/>
      <c r="C965" s="13"/>
      <c r="D965" s="13"/>
    </row>
    <row r="966" spans="1:4" ht="13" x14ac:dyDescent="0.15">
      <c r="A966" s="10"/>
      <c r="B966" s="13"/>
      <c r="C966" s="13"/>
      <c r="D966" s="13"/>
    </row>
    <row r="967" spans="1:4" ht="13" x14ac:dyDescent="0.15">
      <c r="A967" s="10"/>
      <c r="B967" s="13"/>
      <c r="C967" s="13"/>
      <c r="D967" s="13"/>
    </row>
    <row r="968" spans="1:4" ht="13" x14ac:dyDescent="0.15">
      <c r="A968" s="10"/>
      <c r="B968" s="13"/>
      <c r="C968" s="13"/>
      <c r="D968" s="13"/>
    </row>
    <row r="969" spans="1:4" ht="13" x14ac:dyDescent="0.15">
      <c r="A969" s="10"/>
      <c r="B969" s="13"/>
      <c r="C969" s="13"/>
      <c r="D969" s="13"/>
    </row>
    <row r="970" spans="1:4" ht="13" x14ac:dyDescent="0.15">
      <c r="A970" s="10"/>
      <c r="B970" s="13"/>
      <c r="C970" s="13"/>
      <c r="D970" s="13"/>
    </row>
    <row r="971" spans="1:4" ht="13" x14ac:dyDescent="0.15">
      <c r="A971" s="10"/>
      <c r="B971" s="13"/>
      <c r="C971" s="13"/>
      <c r="D971" s="13"/>
    </row>
    <row r="972" spans="1:4" ht="13" x14ac:dyDescent="0.15">
      <c r="A972" s="10"/>
      <c r="B972" s="13"/>
      <c r="C972" s="13"/>
      <c r="D972" s="13"/>
    </row>
    <row r="973" spans="1:4" ht="13" x14ac:dyDescent="0.15">
      <c r="A973" s="10"/>
      <c r="B973" s="13"/>
      <c r="C973" s="13"/>
      <c r="D973" s="13"/>
    </row>
    <row r="974" spans="1:4" ht="13" x14ac:dyDescent="0.15">
      <c r="A974" s="10"/>
      <c r="B974" s="13"/>
      <c r="C974" s="13"/>
      <c r="D974" s="13"/>
    </row>
    <row r="975" spans="1:4" ht="13" x14ac:dyDescent="0.15">
      <c r="A975" s="10"/>
      <c r="B975" s="13"/>
      <c r="C975" s="13"/>
      <c r="D975" s="13"/>
    </row>
    <row r="976" spans="1:4" ht="13" x14ac:dyDescent="0.15">
      <c r="A976" s="10"/>
      <c r="B976" s="13"/>
      <c r="C976" s="13"/>
      <c r="D976" s="13"/>
    </row>
    <row r="977" spans="1:4" ht="13" x14ac:dyDescent="0.15">
      <c r="A977" s="10"/>
      <c r="B977" s="13"/>
      <c r="C977" s="13"/>
      <c r="D977" s="13"/>
    </row>
    <row r="978" spans="1:4" ht="13" x14ac:dyDescent="0.15">
      <c r="A978" s="10"/>
      <c r="B978" s="13"/>
      <c r="C978" s="13"/>
      <c r="D978" s="13"/>
    </row>
    <row r="979" spans="1:4" ht="13" x14ac:dyDescent="0.15">
      <c r="A979" s="10"/>
      <c r="B979" s="13"/>
      <c r="C979" s="13"/>
      <c r="D979" s="13"/>
    </row>
    <row r="980" spans="1:4" ht="13" x14ac:dyDescent="0.15">
      <c r="A980" s="10"/>
      <c r="B980" s="13"/>
      <c r="C980" s="13"/>
      <c r="D980" s="13"/>
    </row>
    <row r="981" spans="1:4" ht="13" x14ac:dyDescent="0.15">
      <c r="A981" s="10"/>
      <c r="B981" s="13"/>
      <c r="C981" s="13"/>
      <c r="D981" s="13"/>
    </row>
    <row r="982" spans="1:4" ht="13" x14ac:dyDescent="0.15">
      <c r="A982" s="10"/>
      <c r="B982" s="13"/>
      <c r="C982" s="13"/>
      <c r="D982" s="13"/>
    </row>
    <row r="983" spans="1:4" ht="13" x14ac:dyDescent="0.15">
      <c r="A983" s="10"/>
      <c r="B983" s="13"/>
      <c r="C983" s="13"/>
      <c r="D983" s="13"/>
    </row>
    <row r="984" spans="1:4" ht="13" x14ac:dyDescent="0.15">
      <c r="A984" s="10"/>
      <c r="B984" s="13"/>
      <c r="C984" s="13"/>
      <c r="D984" s="13"/>
    </row>
    <row r="985" spans="1:4" ht="13" x14ac:dyDescent="0.15">
      <c r="A985" s="10"/>
      <c r="B985" s="13"/>
      <c r="C985" s="13"/>
      <c r="D985" s="13"/>
    </row>
    <row r="986" spans="1:4" ht="13" x14ac:dyDescent="0.15">
      <c r="A986" s="10"/>
      <c r="B986" s="13"/>
      <c r="C986" s="13"/>
      <c r="D986" s="13"/>
    </row>
    <row r="987" spans="1:4" ht="13" x14ac:dyDescent="0.15">
      <c r="A987" s="10"/>
      <c r="B987" s="13"/>
      <c r="C987" s="13"/>
      <c r="D987" s="13"/>
    </row>
    <row r="988" spans="1:4" ht="13" x14ac:dyDescent="0.15">
      <c r="A988" s="10"/>
      <c r="B988" s="13"/>
      <c r="C988" s="13"/>
      <c r="D988" s="13"/>
    </row>
    <row r="989" spans="1:4" ht="13" x14ac:dyDescent="0.15">
      <c r="A989" s="10"/>
      <c r="B989" s="13"/>
      <c r="C989" s="13"/>
      <c r="D989" s="13"/>
    </row>
    <row r="990" spans="1:4" ht="13" x14ac:dyDescent="0.15">
      <c r="A990" s="10"/>
      <c r="B990" s="13"/>
      <c r="C990" s="13"/>
      <c r="D990" s="13"/>
    </row>
    <row r="991" spans="1:4" ht="13" x14ac:dyDescent="0.15">
      <c r="A991" s="10"/>
      <c r="B991" s="13"/>
      <c r="C991" s="13"/>
      <c r="D991" s="13"/>
    </row>
    <row r="992" spans="1:4" ht="13" x14ac:dyDescent="0.15">
      <c r="A992" s="10"/>
      <c r="B992" s="13"/>
      <c r="C992" s="13"/>
      <c r="D992" s="13"/>
    </row>
    <row r="993" spans="1:4" ht="13" x14ac:dyDescent="0.15">
      <c r="A993" s="10"/>
      <c r="B993" s="13"/>
      <c r="C993" s="13"/>
      <c r="D993" s="13"/>
    </row>
    <row r="994" spans="1:4" ht="13" x14ac:dyDescent="0.15">
      <c r="A994" s="10"/>
      <c r="B994" s="13"/>
      <c r="C994" s="13"/>
      <c r="D994" s="13"/>
    </row>
    <row r="995" spans="1:4" ht="13" x14ac:dyDescent="0.15">
      <c r="A995" s="10"/>
      <c r="B995" s="13"/>
      <c r="C995" s="13"/>
      <c r="D995" s="13"/>
    </row>
    <row r="996" spans="1:4" ht="13" x14ac:dyDescent="0.15">
      <c r="A996" s="10"/>
      <c r="B996" s="13"/>
      <c r="C996" s="13"/>
      <c r="D996" s="13"/>
    </row>
    <row r="997" spans="1:4" ht="13" x14ac:dyDescent="0.15">
      <c r="A997" s="10"/>
      <c r="B997" s="13"/>
      <c r="C997" s="13"/>
      <c r="D997" s="13"/>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outlinePr summaryBelow="0" summaryRight="0"/>
  </sheetPr>
  <dimension ref="A1:D997"/>
  <sheetViews>
    <sheetView workbookViewId="0"/>
  </sheetViews>
  <sheetFormatPr baseColWidth="10" defaultColWidth="12.6640625" defaultRowHeight="15.75" customHeight="1" x14ac:dyDescent="0.15"/>
  <cols>
    <col min="1" max="1" width="71.5" customWidth="1"/>
    <col min="2" max="4" width="37.6640625" customWidth="1"/>
  </cols>
  <sheetData>
    <row r="1" spans="1:4" ht="15.75" customHeight="1" x14ac:dyDescent="0.15">
      <c r="A1" s="1"/>
      <c r="B1" s="12" t="str">
        <f ca="1">IFERROR(__xludf.DUMMYFUNCTION("IMPORTRANGE(""https://docs.google.com/spreadsheets/d/13SmE7eku7nG0PwUe_FIOCUfCnXVjPMNZ0Q_x8FW6s5I"",""A47!B1:B22"")"),"Josiah Bolton")</f>
        <v>Josiah Bolton</v>
      </c>
      <c r="C1" s="10" t="str">
        <f ca="1">IFERROR(__xludf.DUMMYFUNCTION("IMPORTRANGE(""https://docs.google.com/spreadsheets/u/0/d/19yPRVnLV0A_2o92-w6L11RYWj24Qqnerv8i8p-ngiq4"", ""A47!B1:B22"")"),"Jackson Root")</f>
        <v>Jackson Root</v>
      </c>
      <c r="D1" s="2" t="s">
        <v>1</v>
      </c>
    </row>
    <row r="2" spans="1:4" ht="15.75" customHeight="1" x14ac:dyDescent="0.15">
      <c r="A2" s="3" t="s">
        <v>2</v>
      </c>
      <c r="B2" s="15" t="str">
        <f ca="1">IFERROR(__xludf.DUMMYFUNCTION("""COMPUTED_VALUE"""),"28302-28511 FOR")</f>
        <v>28302-28511 FOR</v>
      </c>
      <c r="C2" s="15" t="str">
        <f ca="1">IFERROR(__xludf.DUMMYFUNCTION("""COMPUTED_VALUE"""),"Stop: 28511   FOR")</f>
        <v>Stop: 28511   FOR</v>
      </c>
      <c r="D2" s="4"/>
    </row>
    <row r="3" spans="1:4" ht="15.75" customHeight="1" x14ac:dyDescent="0.15">
      <c r="A3" s="5" t="s">
        <v>3</v>
      </c>
      <c r="B3" s="17" t="str">
        <f ca="1">IFERROR(__xludf.DUMMYFUNCTION("""COMPUTED_VALUE"""),"46 in DNA Master
47 on Phamerator Map")</f>
        <v>46 in DNA Master
47 on Phamerator Map</v>
      </c>
      <c r="C3" s="17" t="str">
        <f ca="1">IFERROR(__xludf.DUMMYFUNCTION("""COMPUTED_VALUE"""),"Pham: 47     DNA: 46")</f>
        <v>Pham: 47     DNA: 46</v>
      </c>
      <c r="D3" s="6"/>
    </row>
    <row r="4" spans="1:4" ht="15.75" customHeight="1" x14ac:dyDescent="0.15">
      <c r="A4" s="5" t="s">
        <v>4</v>
      </c>
      <c r="B4" s="17" t="str">
        <f ca="1">IFERROR(__xludf.DUMMYFUNCTION("""COMPUTED_VALUE"""),"199536 3/11/2025")</f>
        <v>199536 3/11/2025</v>
      </c>
      <c r="C4" s="17" t="str">
        <f ca="1">IFERROR(__xludf.DUMMYFUNCTION("""COMPUTED_VALUE""")," pham 199536  03/12/25")</f>
        <v xml:space="preserve"> pham 199536  03/12/25</v>
      </c>
      <c r="D4" s="6"/>
    </row>
    <row r="5" spans="1:4" ht="15.75" customHeight="1" x14ac:dyDescent="0.15">
      <c r="A5" s="5" t="s">
        <v>5</v>
      </c>
      <c r="B5" s="17" t="str">
        <f ca="1">IFERROR(__xludf.DUMMYFUNCTION("""COMPUTED_VALUE"""),"Kovu 49")</f>
        <v>Kovu 49</v>
      </c>
      <c r="C5" s="17"/>
      <c r="D5" s="6"/>
    </row>
    <row r="6" spans="1:4" ht="15.75" customHeight="1" x14ac:dyDescent="0.15">
      <c r="A6" s="5" t="s">
        <v>6</v>
      </c>
      <c r="B6" s="17" t="str">
        <f ca="1">IFERROR(__xludf.DUMMYFUNCTION("""COMPUTED_VALUE"""),"Both call at 28302.")</f>
        <v>Both call at 28302.</v>
      </c>
      <c r="C6" s="17" t="str">
        <f ca="1">IFERROR(__xludf.DUMMYFUNCTION("""COMPUTED_VALUE"""),"Both call 28302")</f>
        <v>Both call 28302</v>
      </c>
      <c r="D6" s="6"/>
    </row>
    <row r="7" spans="1:4" ht="15.75" customHeight="1" x14ac:dyDescent="0.15">
      <c r="A7" s="5" t="s">
        <v>7</v>
      </c>
      <c r="B7" s="17" t="str">
        <f ca="1">IFERROR(__xludf.DUMMYFUNCTION("""COMPUTED_VALUE"""),"Gene has coding potential and not all is included.")</f>
        <v>Gene has coding potential and not all is included.</v>
      </c>
      <c r="C7" s="17" t="str">
        <f ca="1">IFERROR(__xludf.DUMMYFUNCTION("""COMPUTED_VALUE"""),"Good coding potential, all codig potential captured in start")</f>
        <v>Good coding potential, all codig potential captured in start</v>
      </c>
      <c r="D7" s="6"/>
    </row>
    <row r="8" spans="1:4" ht="15.75" customHeight="1" x14ac:dyDescent="0.15">
      <c r="A8" s="5" t="s">
        <v>8</v>
      </c>
      <c r="B8" s="17" t="str">
        <f ca="1">IFERROR(__xludf.DUMMYFUNCTION("""COMPUTED_VALUE"""),"Not the longest possible ORF. There are more possible ORF lengths.")</f>
        <v>Not the longest possible ORF. There are more possible ORF lengths.</v>
      </c>
      <c r="C8" s="17" t="str">
        <f ca="1">IFERROR(__xludf.DUMMYFUNCTION("""COMPUTED_VALUE"""),"No, there are about four or more other starts before the called start")</f>
        <v>No, there are about four or more other starts before the called start</v>
      </c>
      <c r="D8" s="6"/>
    </row>
    <row r="9" spans="1:4" ht="15.75" customHeight="1" x14ac:dyDescent="0.15">
      <c r="A9" s="5" t="s">
        <v>9</v>
      </c>
      <c r="B9" s="17" t="str">
        <f ca="1">IFERROR(__xludf.DUMMYFUNCTION("""COMPUTED_VALUE"""),"77 nucleotide gap.")</f>
        <v>77 nucleotide gap.</v>
      </c>
      <c r="C9" s="17" t="str">
        <f ca="1">IFERROR(__xludf.DUMMYFUNCTION("""COMPUTED_VALUE"""),"Gap with Gene 45: 77 Bp;    Gap with Gene 47: 186 Bp")</f>
        <v>Gap with Gene 45: 77 Bp;    Gap with Gene 47: 186 Bp</v>
      </c>
      <c r="D9" s="6"/>
    </row>
    <row r="10" spans="1:4" ht="15.75" customHeight="1" x14ac:dyDescent="0.15">
      <c r="A10" s="5" t="s">
        <v>10</v>
      </c>
      <c r="B10" s="17" t="str">
        <f ca="1">IFERROR(__xludf.DUMMYFUNCTION("""COMPUTED_VALUE"""),"Z score is 2.555 witha final score of -3.368.")</f>
        <v>Z score is 2.555 witha final score of -3.368.</v>
      </c>
      <c r="C10" s="17" t="str">
        <f ca="1">IFERROR(__xludf.DUMMYFUNCTION("""COMPUTED_VALUE"""),"Current start has he second best Z-val: 2.555; start 2 has a 3.034 and start 3 has a 2.482")</f>
        <v>Current start has he second best Z-val: 2.555; start 2 has a 3.034 and start 3 has a 2.482</v>
      </c>
      <c r="D10" s="6"/>
    </row>
    <row r="11" spans="1:4" ht="15.75" customHeight="1" x14ac:dyDescent="0.15">
      <c r="A11" s="5" t="s">
        <v>11</v>
      </c>
      <c r="B11" s="17" t="str">
        <f ca="1">IFERROR(__xludf.DUMMYFUNCTION("""COMPUTED_VALUE"""),"Kovu 49, % identity is 68.57% with e value 4.0e-23. q 1-69: s 27 -96.")</f>
        <v>Kovu 49, % identity is 68.57% with e value 4.0e-23. q 1-69: s 27 -96.</v>
      </c>
      <c r="C11" s="17"/>
      <c r="D11" s="6"/>
    </row>
    <row r="12" spans="1:4" ht="15.75" customHeight="1" x14ac:dyDescent="0.15">
      <c r="A12" s="5" t="s">
        <v>12</v>
      </c>
      <c r="B12" s="17" t="str">
        <f ca="1">IFERROR(__xludf.DUMMYFUNCTION("""COMPUTED_VALUE"""),"Conserved in both members but only called at 50.0% of time when present.")</f>
        <v>Conserved in both members but only called at 50.0% of time when present.</v>
      </c>
      <c r="C12" s="17" t="str">
        <f ca="1">IFERROR(__xludf.DUMMYFUNCTION("""COMPUTED_VALUE"""),"Start is conserved, Kovu calls start 2 (manulally called 50% of the time), whereas ApoKipo calls start #6 (in genemark I believe, needs to be looked further into)")</f>
        <v>Start is conserved, Kovu calls start 2 (manulally called 50% of the time), whereas ApoKipo calls start #6 (in genemark I believe, needs to be looked further into)</v>
      </c>
      <c r="D12" s="6"/>
    </row>
    <row r="13" spans="1:4" ht="15.75" customHeight="1" x14ac:dyDescent="0.15">
      <c r="A13" s="5" t="s">
        <v>13</v>
      </c>
      <c r="B13" s="17" t="str">
        <f ca="1">IFERROR(__xludf.DUMMYFUNCTION("""COMPUTED_VALUE"""),"No start change because Z score is good. If start did change to better position at 28203, there would be a 22 base pair overlap.")</f>
        <v>No start change because Z score is good. If start did change to better position at 28203, there would be a 22 base pair overlap.</v>
      </c>
      <c r="C13" s="17" t="str">
        <f ca="1">IFERROR(__xludf.DUMMYFUNCTION("""COMPUTED_VALUE"""),"No start change because Glimmer calls Start 28302, which would cover all coding potential, but genemrk doesnt have the start recorded and instead calls a start that doesnt cover the entire coding potential, but as we favor glimmer over Genemark, there sho"&amp;"uldnt be a start change, though it needs to be looked into further. ")</f>
        <v xml:space="preserve">No start change because Glimmer calls Start 28302, which would cover all coding potential, but genemrk doesnt have the start recorded and instead calls a start that doesnt cover the entire coding potential, but as we favor glimmer over Genemark, there shouldnt be a start change, though it needs to be looked into further. </v>
      </c>
      <c r="D13" s="6"/>
    </row>
    <row r="14" spans="1:4" ht="15.75" customHeight="1" x14ac:dyDescent="0.15">
      <c r="A14" s="5" t="s">
        <v>14</v>
      </c>
      <c r="B14" s="17" t="str">
        <f ca="1">IFERROR(__xludf.DUMMYFUNCTION("""COMPUTED_VALUE"""),"Kovu 49 2e-19 and Shrooms 45 e value is 0.056.")</f>
        <v>Kovu 49 2e-19 and Shrooms 45 e value is 0.056.</v>
      </c>
      <c r="C14" s="17" t="str">
        <f ca="1">IFERROR(__xludf.DUMMYFUNCTION("""COMPUTED_VALUE"""),"Kovu_49; E-val: 2e-19")</f>
        <v>Kovu_49; E-val: 2e-19</v>
      </c>
      <c r="D14" s="6"/>
    </row>
    <row r="15" spans="1:4" ht="15.75" customHeight="1" x14ac:dyDescent="0.15">
      <c r="A15" s="5" t="s">
        <v>15</v>
      </c>
      <c r="B15" s="17" t="str">
        <f ca="1">IFERROR(__xludf.DUMMYFUNCTION("""COMPUTED_VALUE"""),"Kovu 49 is unknown function.")</f>
        <v>Kovu 49 is unknown function.</v>
      </c>
      <c r="C15" s="17" t="str">
        <f ca="1">IFERROR(__xludf.DUMMYFUNCTION("""COMPUTED_VALUE"""),"function unknown")</f>
        <v>function unknown</v>
      </c>
      <c r="D15" s="6"/>
    </row>
    <row r="16" spans="1:4" ht="15.75" customHeight="1" x14ac:dyDescent="0.15">
      <c r="A16" s="5" t="s">
        <v>16</v>
      </c>
      <c r="B16" s="17" t="str">
        <f ca="1">IFERROR(__xludf.DUMMYFUNCTION("""COMPUTED_VALUE"""),"Hard to say because the gene provides an unknown function to along with Kovu. Would say yes because Kovu is mtaching in the pham with Apokipo.")</f>
        <v>Hard to say because the gene provides an unknown function to along with Kovu. Would say yes because Kovu is mtaching in the pham with Apokipo.</v>
      </c>
      <c r="C16" s="17" t="str">
        <f ca="1">IFERROR(__xludf.DUMMYFUNCTION("""COMPUTED_VALUE"""),"Yes, found in a similar genetic environment as Kovu_49")</f>
        <v>Yes, found in a similar genetic environment as Kovu_49</v>
      </c>
      <c r="D16" s="6"/>
    </row>
    <row r="17" spans="1:4" ht="15.75" customHeight="1" x14ac:dyDescent="0.15">
      <c r="A17" s="5" t="s">
        <v>17</v>
      </c>
      <c r="B17" s="17" t="str">
        <f ca="1">IFERROR(__xludf.DUMMYFUNCTION("""COMPUTED_VALUE"""),"GRB10-interacting GYF protein 2; translational regulation, cap-binding protein, 4EHP-binding protein, GRB10-interacting GYF protein 2, translation; 2.3A {Homo sapiens} Probability is 40.87%, % alignment of query is 27.14% and the % alignment of target is "&amp;"25.33%.
The functional domain part is mostly in the target part of alignment.")</f>
        <v>GRB10-interacting GYF protein 2; translational regulation, cap-binding protein, 4EHP-binding protein, GRB10-interacting GYF protein 2, translation; 2.3A {Homo sapiens} Probability is 40.87%, % alignment of query is 27.14% and the % alignment of target is 25.33%.
The functional domain part is mostly in the target part of alignment.</v>
      </c>
      <c r="C17" s="17" t="str">
        <f ca="1">IFERROR(__xludf.DUMMYFUNCTION("""COMPUTED_VALUE"""),"Best hit was a TAC protien, %Q: 52.17%; %T: 34.95%, Functional domain is within the target alignment ")</f>
        <v xml:space="preserve">Best hit was a TAC protien, %Q: 52.17%; %T: 34.95%, Functional domain is within the target alignment </v>
      </c>
      <c r="D17" s="6"/>
    </row>
    <row r="18" spans="1:4" ht="15.75" customHeight="1" x14ac:dyDescent="0.15">
      <c r="A18" s="5" t="s">
        <v>18</v>
      </c>
      <c r="B18" s="17" t="str">
        <f ca="1">IFERROR(__xludf.DUMMYFUNCTION("""COMPUTED_VALUE"""),"Unknown.")</f>
        <v>Unknown.</v>
      </c>
      <c r="C18" s="17" t="str">
        <f ca="1">IFERROR(__xludf.DUMMYFUNCTION("""COMPUTED_VALUE"""),"No conserved domains")</f>
        <v>No conserved domains</v>
      </c>
      <c r="D18" s="6"/>
    </row>
    <row r="19" spans="1:4" ht="15.75" customHeight="1" x14ac:dyDescent="0.15">
      <c r="A19" s="5" t="s">
        <v>19</v>
      </c>
      <c r="B19" s="17" t="str">
        <f ca="1">IFERROR(__xludf.DUMMYFUNCTION("""COMPUTED_VALUE"""),"None.")</f>
        <v>None.</v>
      </c>
      <c r="C19" s="17" t="str">
        <f ca="1">IFERROR(__xludf.DUMMYFUNCTION("""COMPUTED_VALUE"""),"Not a membrane protien, most likely inside the cell")</f>
        <v>Not a membrane protien, most likely inside the cell</v>
      </c>
      <c r="D19" s="6"/>
    </row>
    <row r="20" spans="1:4" ht="15.75" customHeight="1" x14ac:dyDescent="0.15">
      <c r="A20" s="5" t="s">
        <v>20</v>
      </c>
      <c r="B20" s="17" t="str">
        <f ca="1">IFERROR(__xludf.DUMMYFUNCTION("""COMPUTED_VALUE"""),"Hypothetical Protein based on evidence from HHPred, PhagesDb, and DNA Master.")</f>
        <v>Hypothetical Protein based on evidence from HHPred, PhagesDb, and DNA Master.</v>
      </c>
      <c r="C20" s="17" t="str">
        <f ca="1">IFERROR(__xludf.DUMMYFUNCTION("""COMPUTED_VALUE"""),"Hypothetical Protein, because the best hit was a TAC protien, and within the approved function calls the tail assembly chaperone has been changes to Hypotheticla protien, but cant be called unless there is evidence and this is evidence as well as Kovu bei"&amp;"ng very similar to this sequence and also being called a hypothetical protien. ")</f>
        <v xml:space="preserve">Hypothetical Protein, because the best hit was a TAC protien, and within the approved function calls the tail assembly chaperone has been changes to Hypotheticla protien, but cant be called unless there is evidence and this is evidence as well as Kovu being very similar to this sequence and also being called a hypothetical protien. </v>
      </c>
      <c r="D20" s="6"/>
    </row>
    <row r="21" spans="1:4" x14ac:dyDescent="0.2">
      <c r="A21" s="7"/>
      <c r="B21" s="19"/>
      <c r="C21" s="19"/>
      <c r="D21" s="8"/>
    </row>
    <row r="22" spans="1:4" ht="15.75" customHeight="1" x14ac:dyDescent="0.15">
      <c r="A22" s="9" t="s">
        <v>21</v>
      </c>
      <c r="B22" s="19"/>
      <c r="C22" s="19"/>
      <c r="D22" s="8"/>
    </row>
    <row r="23" spans="1:4" ht="15.75" customHeight="1" x14ac:dyDescent="0.15">
      <c r="A23" s="10"/>
      <c r="B23" s="13"/>
      <c r="C23" s="13"/>
    </row>
    <row r="24" spans="1:4" ht="15.75" customHeight="1" x14ac:dyDescent="0.15">
      <c r="A24" s="10"/>
      <c r="B24" s="13"/>
      <c r="C24" s="13"/>
    </row>
    <row r="25" spans="1:4" ht="15.75" customHeight="1" x14ac:dyDescent="0.15">
      <c r="A25" s="10"/>
      <c r="B25" s="13"/>
      <c r="C25" s="13"/>
    </row>
    <row r="26" spans="1:4" ht="15.75" customHeight="1" x14ac:dyDescent="0.15">
      <c r="A26" s="10"/>
      <c r="B26" s="13"/>
      <c r="C26" s="13"/>
    </row>
    <row r="27" spans="1:4" ht="15.75" customHeight="1" x14ac:dyDescent="0.15">
      <c r="A27" s="10"/>
      <c r="B27" s="13"/>
      <c r="C27" s="13"/>
    </row>
    <row r="28" spans="1:4" ht="15.75" customHeight="1" x14ac:dyDescent="0.15">
      <c r="A28" s="10"/>
      <c r="B28" s="13"/>
      <c r="C28" s="13"/>
    </row>
    <row r="29" spans="1:4" ht="15.75" customHeight="1" x14ac:dyDescent="0.15">
      <c r="A29" s="10"/>
      <c r="B29" s="13"/>
      <c r="C29" s="13"/>
    </row>
    <row r="30" spans="1:4" ht="15.75" customHeight="1" x14ac:dyDescent="0.15">
      <c r="A30" s="10"/>
      <c r="B30" s="13"/>
      <c r="C30" s="13"/>
    </row>
    <row r="31" spans="1:4" ht="15.75" customHeight="1" x14ac:dyDescent="0.15">
      <c r="A31" s="10"/>
      <c r="B31" s="13"/>
      <c r="C31" s="13"/>
    </row>
    <row r="32" spans="1:4" ht="15.75" customHeight="1" x14ac:dyDescent="0.15">
      <c r="A32" s="10"/>
      <c r="B32" s="13"/>
      <c r="C32" s="13"/>
    </row>
    <row r="33" spans="1:3" ht="15.75" customHeight="1" x14ac:dyDescent="0.15">
      <c r="A33" s="10"/>
      <c r="B33" s="13"/>
      <c r="C33" s="13"/>
    </row>
    <row r="34" spans="1:3" ht="15.75" customHeight="1" x14ac:dyDescent="0.15">
      <c r="A34" s="10"/>
      <c r="B34" s="13"/>
      <c r="C34" s="13"/>
    </row>
    <row r="35" spans="1:3" ht="15.75" customHeight="1" x14ac:dyDescent="0.15">
      <c r="A35" s="10"/>
      <c r="B35" s="13"/>
      <c r="C35" s="13"/>
    </row>
    <row r="36" spans="1:3" ht="15.75" customHeight="1" x14ac:dyDescent="0.15">
      <c r="A36" s="10"/>
      <c r="B36" s="13"/>
      <c r="C36" s="13"/>
    </row>
    <row r="37" spans="1:3" ht="15.75" customHeight="1" x14ac:dyDescent="0.15">
      <c r="A37" s="10"/>
      <c r="B37" s="13"/>
      <c r="C37" s="13"/>
    </row>
    <row r="38" spans="1:3" ht="15.75" customHeight="1" x14ac:dyDescent="0.15">
      <c r="A38" s="10"/>
      <c r="B38" s="13"/>
      <c r="C38" s="13"/>
    </row>
    <row r="39" spans="1:3" ht="13" x14ac:dyDescent="0.15">
      <c r="A39" s="10"/>
      <c r="B39" s="13"/>
      <c r="C39" s="13"/>
    </row>
    <row r="40" spans="1:3" ht="13" x14ac:dyDescent="0.15">
      <c r="A40" s="10"/>
      <c r="B40" s="13"/>
      <c r="C40" s="13"/>
    </row>
    <row r="41" spans="1:3" ht="13" x14ac:dyDescent="0.15">
      <c r="A41" s="10"/>
      <c r="B41" s="13"/>
      <c r="C41" s="13"/>
    </row>
    <row r="42" spans="1:3" ht="13" x14ac:dyDescent="0.15">
      <c r="A42" s="10"/>
      <c r="B42" s="13"/>
      <c r="C42" s="13"/>
    </row>
    <row r="43" spans="1:3" ht="13" x14ac:dyDescent="0.15">
      <c r="A43" s="10"/>
      <c r="B43" s="13"/>
      <c r="C43" s="13"/>
    </row>
    <row r="44" spans="1:3" ht="13" x14ac:dyDescent="0.15">
      <c r="A44" s="10"/>
      <c r="B44" s="13"/>
      <c r="C44" s="13"/>
    </row>
    <row r="45" spans="1:3" ht="13" x14ac:dyDescent="0.15">
      <c r="A45" s="10"/>
      <c r="B45" s="13"/>
      <c r="C45" s="13"/>
    </row>
    <row r="46" spans="1:3" ht="13" x14ac:dyDescent="0.15">
      <c r="A46" s="10"/>
      <c r="B46" s="13"/>
      <c r="C46" s="13"/>
    </row>
    <row r="47" spans="1:3" ht="13" x14ac:dyDescent="0.15">
      <c r="A47" s="10"/>
      <c r="B47" s="13"/>
      <c r="C47" s="13"/>
    </row>
    <row r="48" spans="1:3" ht="13" x14ac:dyDescent="0.15">
      <c r="A48" s="10"/>
      <c r="B48" s="13"/>
      <c r="C48" s="13"/>
    </row>
    <row r="49" spans="1:3" ht="13" x14ac:dyDescent="0.15">
      <c r="A49" s="10"/>
      <c r="B49" s="13"/>
      <c r="C49" s="13"/>
    </row>
    <row r="50" spans="1:3" ht="13" x14ac:dyDescent="0.15">
      <c r="A50" s="10"/>
      <c r="B50" s="13"/>
      <c r="C50" s="13"/>
    </row>
    <row r="51" spans="1:3" ht="13" x14ac:dyDescent="0.15">
      <c r="A51" s="10"/>
      <c r="B51" s="13"/>
      <c r="C51" s="13"/>
    </row>
    <row r="52" spans="1:3" ht="13" x14ac:dyDescent="0.15">
      <c r="A52" s="10"/>
      <c r="B52" s="13"/>
      <c r="C52" s="13"/>
    </row>
    <row r="53" spans="1:3" ht="13" x14ac:dyDescent="0.15">
      <c r="A53" s="10"/>
      <c r="B53" s="13"/>
      <c r="C53" s="13"/>
    </row>
    <row r="54" spans="1:3" ht="13" x14ac:dyDescent="0.15">
      <c r="A54" s="10"/>
      <c r="B54" s="13"/>
      <c r="C54" s="13"/>
    </row>
    <row r="55" spans="1:3" ht="13" x14ac:dyDescent="0.15">
      <c r="A55" s="10"/>
      <c r="B55" s="13"/>
      <c r="C55" s="13"/>
    </row>
    <row r="56" spans="1:3" ht="13" x14ac:dyDescent="0.15">
      <c r="A56" s="10"/>
      <c r="B56" s="13"/>
      <c r="C56" s="13"/>
    </row>
    <row r="57" spans="1:3" ht="13" x14ac:dyDescent="0.15">
      <c r="A57" s="10"/>
      <c r="B57" s="13"/>
      <c r="C57" s="13"/>
    </row>
    <row r="58" spans="1:3" ht="13" x14ac:dyDescent="0.15">
      <c r="A58" s="10"/>
      <c r="B58" s="13"/>
      <c r="C58" s="13"/>
    </row>
    <row r="59" spans="1:3" ht="13" x14ac:dyDescent="0.15">
      <c r="A59" s="10"/>
      <c r="B59" s="13"/>
      <c r="C59" s="13"/>
    </row>
    <row r="60" spans="1:3" ht="13" x14ac:dyDescent="0.15">
      <c r="A60" s="10"/>
      <c r="B60" s="13"/>
      <c r="C60" s="13"/>
    </row>
    <row r="61" spans="1:3" ht="13" x14ac:dyDescent="0.15">
      <c r="A61" s="10"/>
      <c r="B61" s="13"/>
      <c r="C61" s="13"/>
    </row>
    <row r="62" spans="1:3" ht="13" x14ac:dyDescent="0.15">
      <c r="A62" s="10"/>
      <c r="B62" s="13"/>
      <c r="C62" s="13"/>
    </row>
    <row r="63" spans="1:3" ht="13" x14ac:dyDescent="0.15">
      <c r="A63" s="10"/>
      <c r="B63" s="13"/>
      <c r="C63" s="13"/>
    </row>
    <row r="64" spans="1:3" ht="13" x14ac:dyDescent="0.15">
      <c r="A64" s="10"/>
      <c r="B64" s="13"/>
      <c r="C64" s="13"/>
    </row>
    <row r="65" spans="1:3" ht="13" x14ac:dyDescent="0.15">
      <c r="A65" s="10"/>
      <c r="B65" s="13"/>
      <c r="C65" s="13"/>
    </row>
    <row r="66" spans="1:3" ht="13" x14ac:dyDescent="0.15">
      <c r="A66" s="10"/>
      <c r="B66" s="13"/>
      <c r="C66" s="13"/>
    </row>
    <row r="67" spans="1:3" ht="13" x14ac:dyDescent="0.15">
      <c r="A67" s="10"/>
      <c r="B67" s="13"/>
      <c r="C67" s="13"/>
    </row>
    <row r="68" spans="1:3" ht="13" x14ac:dyDescent="0.15">
      <c r="A68" s="10"/>
      <c r="B68" s="13"/>
      <c r="C68" s="13"/>
    </row>
    <row r="69" spans="1:3" ht="13" x14ac:dyDescent="0.15">
      <c r="A69" s="10"/>
      <c r="B69" s="13"/>
      <c r="C69" s="13"/>
    </row>
    <row r="70" spans="1:3" ht="13" x14ac:dyDescent="0.15">
      <c r="A70" s="10"/>
      <c r="B70" s="13"/>
      <c r="C70" s="13"/>
    </row>
    <row r="71" spans="1:3" ht="13" x14ac:dyDescent="0.15">
      <c r="A71" s="10"/>
      <c r="B71" s="13"/>
      <c r="C71" s="13"/>
    </row>
    <row r="72" spans="1:3" ht="13" x14ac:dyDescent="0.15">
      <c r="A72" s="10"/>
      <c r="B72" s="13"/>
      <c r="C72" s="13"/>
    </row>
    <row r="73" spans="1:3" ht="13" x14ac:dyDescent="0.15">
      <c r="A73" s="10"/>
      <c r="B73" s="13"/>
      <c r="C73" s="13"/>
    </row>
    <row r="74" spans="1:3" ht="13" x14ac:dyDescent="0.15">
      <c r="A74" s="10"/>
      <c r="B74" s="13"/>
      <c r="C74" s="13"/>
    </row>
    <row r="75" spans="1:3" ht="13" x14ac:dyDescent="0.15">
      <c r="A75" s="10"/>
      <c r="B75" s="13"/>
      <c r="C75" s="13"/>
    </row>
    <row r="76" spans="1:3" ht="13" x14ac:dyDescent="0.15">
      <c r="A76" s="10"/>
      <c r="B76" s="13"/>
      <c r="C76" s="13"/>
    </row>
    <row r="77" spans="1:3" ht="13" x14ac:dyDescent="0.15">
      <c r="A77" s="10"/>
      <c r="B77" s="13"/>
      <c r="C77" s="13"/>
    </row>
    <row r="78" spans="1:3" ht="13" x14ac:dyDescent="0.15">
      <c r="A78" s="10"/>
      <c r="B78" s="13"/>
      <c r="C78" s="13"/>
    </row>
    <row r="79" spans="1:3" ht="13" x14ac:dyDescent="0.15">
      <c r="A79" s="10"/>
      <c r="B79" s="13"/>
      <c r="C79" s="13"/>
    </row>
    <row r="80" spans="1:3" ht="13" x14ac:dyDescent="0.15">
      <c r="A80" s="10"/>
      <c r="B80" s="13"/>
      <c r="C80" s="13"/>
    </row>
    <row r="81" spans="1:3" ht="13" x14ac:dyDescent="0.15">
      <c r="A81" s="10"/>
      <c r="B81" s="13"/>
      <c r="C81" s="13"/>
    </row>
    <row r="82" spans="1:3" ht="13" x14ac:dyDescent="0.15">
      <c r="A82" s="10"/>
      <c r="B82" s="13"/>
      <c r="C82" s="13"/>
    </row>
    <row r="83" spans="1:3" ht="13" x14ac:dyDescent="0.15">
      <c r="A83" s="10"/>
      <c r="B83" s="13"/>
      <c r="C83" s="13"/>
    </row>
    <row r="84" spans="1:3" ht="13" x14ac:dyDescent="0.15">
      <c r="A84" s="10"/>
      <c r="B84" s="13"/>
      <c r="C84" s="13"/>
    </row>
    <row r="85" spans="1:3" ht="13" x14ac:dyDescent="0.15">
      <c r="A85" s="10"/>
      <c r="B85" s="13"/>
      <c r="C85" s="13"/>
    </row>
    <row r="86" spans="1:3" ht="13" x14ac:dyDescent="0.15">
      <c r="A86" s="10"/>
      <c r="B86" s="13"/>
      <c r="C86" s="13"/>
    </row>
    <row r="87" spans="1:3" ht="13" x14ac:dyDescent="0.15">
      <c r="A87" s="10"/>
      <c r="B87" s="13"/>
      <c r="C87" s="13"/>
    </row>
    <row r="88" spans="1:3" ht="13" x14ac:dyDescent="0.15">
      <c r="A88" s="10"/>
      <c r="B88" s="13"/>
      <c r="C88" s="13"/>
    </row>
    <row r="89" spans="1:3" ht="13" x14ac:dyDescent="0.15">
      <c r="A89" s="10"/>
      <c r="B89" s="13"/>
      <c r="C89" s="13"/>
    </row>
    <row r="90" spans="1:3" ht="13" x14ac:dyDescent="0.15">
      <c r="A90" s="10"/>
      <c r="B90" s="13"/>
      <c r="C90" s="13"/>
    </row>
    <row r="91" spans="1:3" ht="13" x14ac:dyDescent="0.15">
      <c r="A91" s="10"/>
      <c r="B91" s="13"/>
      <c r="C91" s="13"/>
    </row>
    <row r="92" spans="1:3" ht="13" x14ac:dyDescent="0.15">
      <c r="A92" s="10"/>
      <c r="B92" s="13"/>
      <c r="C92" s="13"/>
    </row>
    <row r="93" spans="1:3" ht="13" x14ac:dyDescent="0.15">
      <c r="A93" s="10"/>
      <c r="B93" s="13"/>
      <c r="C93" s="13"/>
    </row>
    <row r="94" spans="1:3" ht="13" x14ac:dyDescent="0.15">
      <c r="A94" s="10"/>
      <c r="B94" s="13"/>
      <c r="C94" s="13"/>
    </row>
    <row r="95" spans="1:3" ht="13" x14ac:dyDescent="0.15">
      <c r="A95" s="10"/>
      <c r="B95" s="13"/>
      <c r="C95" s="13"/>
    </row>
    <row r="96" spans="1:3" ht="13" x14ac:dyDescent="0.15">
      <c r="A96" s="10"/>
      <c r="B96" s="13"/>
      <c r="C96" s="13"/>
    </row>
    <row r="97" spans="1:3" ht="13" x14ac:dyDescent="0.15">
      <c r="A97" s="10"/>
      <c r="B97" s="13"/>
      <c r="C97" s="13"/>
    </row>
    <row r="98" spans="1:3" ht="13" x14ac:dyDescent="0.15">
      <c r="A98" s="10"/>
      <c r="B98" s="13"/>
      <c r="C98" s="13"/>
    </row>
    <row r="99" spans="1:3" ht="13" x14ac:dyDescent="0.15">
      <c r="A99" s="10"/>
      <c r="B99" s="13"/>
      <c r="C99" s="13"/>
    </row>
    <row r="100" spans="1:3" ht="13" x14ac:dyDescent="0.15">
      <c r="A100" s="10"/>
      <c r="B100" s="13"/>
      <c r="C100" s="13"/>
    </row>
    <row r="101" spans="1:3" ht="13" x14ac:dyDescent="0.15">
      <c r="A101" s="10"/>
      <c r="B101" s="13"/>
      <c r="C101" s="13"/>
    </row>
    <row r="102" spans="1:3" ht="13" x14ac:dyDescent="0.15">
      <c r="A102" s="10"/>
      <c r="B102" s="13"/>
      <c r="C102" s="13"/>
    </row>
    <row r="103" spans="1:3" ht="13" x14ac:dyDescent="0.15">
      <c r="A103" s="10"/>
      <c r="B103" s="13"/>
      <c r="C103" s="13"/>
    </row>
    <row r="104" spans="1:3" ht="13" x14ac:dyDescent="0.15">
      <c r="A104" s="10"/>
      <c r="B104" s="13"/>
      <c r="C104" s="13"/>
    </row>
    <row r="105" spans="1:3" ht="13" x14ac:dyDescent="0.15">
      <c r="A105" s="10"/>
      <c r="B105" s="13"/>
      <c r="C105" s="13"/>
    </row>
    <row r="106" spans="1:3" ht="13" x14ac:dyDescent="0.15">
      <c r="A106" s="10"/>
      <c r="B106" s="13"/>
      <c r="C106" s="13"/>
    </row>
    <row r="107" spans="1:3" ht="13" x14ac:dyDescent="0.15">
      <c r="A107" s="10"/>
      <c r="B107" s="13"/>
      <c r="C107" s="13"/>
    </row>
    <row r="108" spans="1:3" ht="13" x14ac:dyDescent="0.15">
      <c r="A108" s="10"/>
      <c r="B108" s="13"/>
      <c r="C108" s="13"/>
    </row>
    <row r="109" spans="1:3" ht="13" x14ac:dyDescent="0.15">
      <c r="A109" s="10"/>
      <c r="B109" s="13"/>
      <c r="C109" s="13"/>
    </row>
    <row r="110" spans="1:3" ht="13" x14ac:dyDescent="0.15">
      <c r="A110" s="10"/>
      <c r="B110" s="13"/>
      <c r="C110" s="13"/>
    </row>
    <row r="111" spans="1:3" ht="13" x14ac:dyDescent="0.15">
      <c r="A111" s="10"/>
      <c r="B111" s="13"/>
      <c r="C111" s="13"/>
    </row>
    <row r="112" spans="1:3" ht="13" x14ac:dyDescent="0.15">
      <c r="A112" s="10"/>
      <c r="B112" s="13"/>
      <c r="C112" s="13"/>
    </row>
    <row r="113" spans="1:3" ht="13" x14ac:dyDescent="0.15">
      <c r="A113" s="10"/>
      <c r="B113" s="13"/>
      <c r="C113" s="13"/>
    </row>
    <row r="114" spans="1:3" ht="13" x14ac:dyDescent="0.15">
      <c r="A114" s="10"/>
      <c r="B114" s="13"/>
      <c r="C114" s="13"/>
    </row>
    <row r="115" spans="1:3" ht="13" x14ac:dyDescent="0.15">
      <c r="A115" s="10"/>
      <c r="B115" s="13"/>
      <c r="C115" s="13"/>
    </row>
    <row r="116" spans="1:3" ht="13" x14ac:dyDescent="0.15">
      <c r="A116" s="10"/>
      <c r="B116" s="13"/>
      <c r="C116" s="13"/>
    </row>
    <row r="117" spans="1:3" ht="13" x14ac:dyDescent="0.15">
      <c r="A117" s="10"/>
      <c r="B117" s="13"/>
      <c r="C117" s="13"/>
    </row>
    <row r="118" spans="1:3" ht="13" x14ac:dyDescent="0.15">
      <c r="A118" s="10"/>
      <c r="B118" s="13"/>
      <c r="C118" s="13"/>
    </row>
    <row r="119" spans="1:3" ht="13" x14ac:dyDescent="0.15">
      <c r="A119" s="10"/>
      <c r="B119" s="13"/>
      <c r="C119" s="13"/>
    </row>
    <row r="120" spans="1:3" ht="13" x14ac:dyDescent="0.15">
      <c r="A120" s="10"/>
      <c r="B120" s="13"/>
      <c r="C120" s="13"/>
    </row>
    <row r="121" spans="1:3" ht="13" x14ac:dyDescent="0.15">
      <c r="A121" s="10"/>
      <c r="B121" s="13"/>
      <c r="C121" s="13"/>
    </row>
    <row r="122" spans="1:3" ht="13" x14ac:dyDescent="0.15">
      <c r="A122" s="10"/>
      <c r="B122" s="13"/>
      <c r="C122" s="13"/>
    </row>
    <row r="123" spans="1:3" ht="13" x14ac:dyDescent="0.15">
      <c r="A123" s="10"/>
      <c r="B123" s="13"/>
      <c r="C123" s="13"/>
    </row>
    <row r="124" spans="1:3" ht="13" x14ac:dyDescent="0.15">
      <c r="A124" s="10"/>
      <c r="B124" s="13"/>
      <c r="C124" s="13"/>
    </row>
    <row r="125" spans="1:3" ht="13" x14ac:dyDescent="0.15">
      <c r="A125" s="10"/>
      <c r="B125" s="13"/>
      <c r="C125" s="13"/>
    </row>
    <row r="126" spans="1:3" ht="13" x14ac:dyDescent="0.15">
      <c r="A126" s="10"/>
      <c r="B126" s="13"/>
      <c r="C126" s="13"/>
    </row>
    <row r="127" spans="1:3" ht="13" x14ac:dyDescent="0.15">
      <c r="A127" s="10"/>
      <c r="B127" s="13"/>
      <c r="C127" s="13"/>
    </row>
    <row r="128" spans="1:3" ht="13" x14ac:dyDescent="0.15">
      <c r="A128" s="10"/>
      <c r="B128" s="13"/>
      <c r="C128" s="13"/>
    </row>
    <row r="129" spans="1:3" ht="13" x14ac:dyDescent="0.15">
      <c r="A129" s="10"/>
      <c r="B129" s="13"/>
      <c r="C129" s="13"/>
    </row>
    <row r="130" spans="1:3" ht="13" x14ac:dyDescent="0.15">
      <c r="A130" s="10"/>
      <c r="B130" s="13"/>
      <c r="C130" s="13"/>
    </row>
    <row r="131" spans="1:3" ht="13" x14ac:dyDescent="0.15">
      <c r="A131" s="10"/>
      <c r="B131" s="13"/>
      <c r="C131" s="13"/>
    </row>
    <row r="132" spans="1:3" ht="13" x14ac:dyDescent="0.15">
      <c r="A132" s="10"/>
      <c r="B132" s="13"/>
      <c r="C132" s="13"/>
    </row>
    <row r="133" spans="1:3" ht="13" x14ac:dyDescent="0.15">
      <c r="A133" s="10"/>
      <c r="B133" s="13"/>
      <c r="C133" s="13"/>
    </row>
    <row r="134" spans="1:3" ht="13" x14ac:dyDescent="0.15">
      <c r="A134" s="10"/>
      <c r="B134" s="13"/>
      <c r="C134" s="13"/>
    </row>
    <row r="135" spans="1:3" ht="13" x14ac:dyDescent="0.15">
      <c r="A135" s="10"/>
      <c r="B135" s="13"/>
      <c r="C135" s="13"/>
    </row>
    <row r="136" spans="1:3" ht="13" x14ac:dyDescent="0.15">
      <c r="A136" s="10"/>
      <c r="B136" s="13"/>
      <c r="C136" s="13"/>
    </row>
    <row r="137" spans="1:3" ht="13" x14ac:dyDescent="0.15">
      <c r="A137" s="10"/>
      <c r="B137" s="13"/>
      <c r="C137" s="13"/>
    </row>
    <row r="138" spans="1:3" ht="13" x14ac:dyDescent="0.15">
      <c r="A138" s="10"/>
      <c r="B138" s="13"/>
      <c r="C138" s="13"/>
    </row>
    <row r="139" spans="1:3" ht="13" x14ac:dyDescent="0.15">
      <c r="A139" s="10"/>
      <c r="B139" s="13"/>
      <c r="C139" s="13"/>
    </row>
    <row r="140" spans="1:3" ht="13" x14ac:dyDescent="0.15">
      <c r="A140" s="10"/>
      <c r="B140" s="13"/>
      <c r="C140" s="13"/>
    </row>
    <row r="141" spans="1:3" ht="13" x14ac:dyDescent="0.15">
      <c r="A141" s="10"/>
      <c r="B141" s="13"/>
      <c r="C141" s="13"/>
    </row>
    <row r="142" spans="1:3" ht="13" x14ac:dyDescent="0.15">
      <c r="A142" s="10"/>
      <c r="B142" s="13"/>
      <c r="C142" s="13"/>
    </row>
    <row r="143" spans="1:3" ht="13" x14ac:dyDescent="0.15">
      <c r="A143" s="10"/>
      <c r="B143" s="13"/>
      <c r="C143" s="13"/>
    </row>
    <row r="144" spans="1:3" ht="13" x14ac:dyDescent="0.15">
      <c r="A144" s="10"/>
      <c r="B144" s="13"/>
      <c r="C144" s="13"/>
    </row>
    <row r="145" spans="1:3" ht="13" x14ac:dyDescent="0.15">
      <c r="A145" s="10"/>
      <c r="B145" s="13"/>
      <c r="C145" s="13"/>
    </row>
    <row r="146" spans="1:3" ht="13" x14ac:dyDescent="0.15">
      <c r="A146" s="10"/>
      <c r="B146" s="13"/>
      <c r="C146" s="13"/>
    </row>
    <row r="147" spans="1:3" ht="13" x14ac:dyDescent="0.15">
      <c r="A147" s="10"/>
      <c r="B147" s="13"/>
      <c r="C147" s="13"/>
    </row>
    <row r="148" spans="1:3" ht="13" x14ac:dyDescent="0.15">
      <c r="A148" s="10"/>
      <c r="B148" s="13"/>
      <c r="C148" s="13"/>
    </row>
    <row r="149" spans="1:3" ht="13" x14ac:dyDescent="0.15">
      <c r="A149" s="10"/>
      <c r="B149" s="13"/>
      <c r="C149" s="13"/>
    </row>
    <row r="150" spans="1:3" ht="13" x14ac:dyDescent="0.15">
      <c r="A150" s="10"/>
      <c r="B150" s="13"/>
      <c r="C150" s="13"/>
    </row>
    <row r="151" spans="1:3" ht="13" x14ac:dyDescent="0.15">
      <c r="A151" s="10"/>
      <c r="B151" s="13"/>
      <c r="C151" s="13"/>
    </row>
    <row r="152" spans="1:3" ht="13" x14ac:dyDescent="0.15">
      <c r="A152" s="10"/>
      <c r="B152" s="13"/>
      <c r="C152" s="13"/>
    </row>
    <row r="153" spans="1:3" ht="13" x14ac:dyDescent="0.15">
      <c r="A153" s="10"/>
      <c r="B153" s="13"/>
      <c r="C153" s="13"/>
    </row>
    <row r="154" spans="1:3" ht="13" x14ac:dyDescent="0.15">
      <c r="A154" s="10"/>
      <c r="B154" s="13"/>
      <c r="C154" s="13"/>
    </row>
    <row r="155" spans="1:3" ht="13" x14ac:dyDescent="0.15">
      <c r="A155" s="10"/>
      <c r="B155" s="13"/>
      <c r="C155" s="13"/>
    </row>
    <row r="156" spans="1:3" ht="13" x14ac:dyDescent="0.15">
      <c r="A156" s="10"/>
      <c r="B156" s="13"/>
      <c r="C156" s="13"/>
    </row>
    <row r="157" spans="1:3" ht="13" x14ac:dyDescent="0.15">
      <c r="A157" s="10"/>
      <c r="B157" s="13"/>
      <c r="C157" s="13"/>
    </row>
    <row r="158" spans="1:3" ht="13" x14ac:dyDescent="0.15">
      <c r="A158" s="10"/>
      <c r="B158" s="13"/>
      <c r="C158" s="13"/>
    </row>
    <row r="159" spans="1:3" ht="13" x14ac:dyDescent="0.15">
      <c r="A159" s="10"/>
      <c r="B159" s="13"/>
      <c r="C159" s="13"/>
    </row>
    <row r="160" spans="1:3" ht="13" x14ac:dyDescent="0.15">
      <c r="A160" s="10"/>
      <c r="B160" s="13"/>
      <c r="C160" s="13"/>
    </row>
    <row r="161" spans="1:3" ht="13" x14ac:dyDescent="0.15">
      <c r="A161" s="10"/>
      <c r="B161" s="13"/>
      <c r="C161" s="13"/>
    </row>
    <row r="162" spans="1:3" ht="13" x14ac:dyDescent="0.15">
      <c r="A162" s="10"/>
      <c r="B162" s="13"/>
      <c r="C162" s="13"/>
    </row>
    <row r="163" spans="1:3" ht="13" x14ac:dyDescent="0.15">
      <c r="A163" s="10"/>
      <c r="B163" s="13"/>
      <c r="C163" s="13"/>
    </row>
    <row r="164" spans="1:3" ht="13" x14ac:dyDescent="0.15">
      <c r="A164" s="10"/>
      <c r="B164" s="13"/>
      <c r="C164" s="13"/>
    </row>
    <row r="165" spans="1:3" ht="13" x14ac:dyDescent="0.15">
      <c r="A165" s="10"/>
      <c r="B165" s="13"/>
      <c r="C165" s="13"/>
    </row>
    <row r="166" spans="1:3" ht="13" x14ac:dyDescent="0.15">
      <c r="A166" s="10"/>
      <c r="B166" s="13"/>
      <c r="C166" s="13"/>
    </row>
    <row r="167" spans="1:3" ht="13" x14ac:dyDescent="0.15">
      <c r="A167" s="10"/>
      <c r="B167" s="13"/>
      <c r="C167" s="13"/>
    </row>
    <row r="168" spans="1:3" ht="13" x14ac:dyDescent="0.15">
      <c r="A168" s="10"/>
      <c r="B168" s="13"/>
      <c r="C168" s="13"/>
    </row>
    <row r="169" spans="1:3" ht="13" x14ac:dyDescent="0.15">
      <c r="A169" s="10"/>
      <c r="B169" s="13"/>
      <c r="C169" s="13"/>
    </row>
    <row r="170" spans="1:3" ht="13" x14ac:dyDescent="0.15">
      <c r="A170" s="10"/>
      <c r="B170" s="13"/>
      <c r="C170" s="13"/>
    </row>
    <row r="171" spans="1:3" ht="13" x14ac:dyDescent="0.15">
      <c r="A171" s="10"/>
      <c r="B171" s="13"/>
      <c r="C171" s="13"/>
    </row>
    <row r="172" spans="1:3" ht="13" x14ac:dyDescent="0.15">
      <c r="A172" s="10"/>
      <c r="B172" s="13"/>
      <c r="C172" s="13"/>
    </row>
    <row r="173" spans="1:3" ht="13" x14ac:dyDescent="0.15">
      <c r="A173" s="10"/>
      <c r="B173" s="13"/>
      <c r="C173" s="13"/>
    </row>
    <row r="174" spans="1:3" ht="13" x14ac:dyDescent="0.15">
      <c r="A174" s="10"/>
      <c r="B174" s="13"/>
      <c r="C174" s="13"/>
    </row>
    <row r="175" spans="1:3" ht="13" x14ac:dyDescent="0.15">
      <c r="A175" s="10"/>
      <c r="B175" s="13"/>
      <c r="C175" s="13"/>
    </row>
    <row r="176" spans="1:3" ht="13" x14ac:dyDescent="0.15">
      <c r="A176" s="10"/>
      <c r="B176" s="13"/>
      <c r="C176" s="13"/>
    </row>
    <row r="177" spans="1:3" ht="13" x14ac:dyDescent="0.15">
      <c r="A177" s="10"/>
      <c r="B177" s="13"/>
      <c r="C177" s="13"/>
    </row>
    <row r="178" spans="1:3" ht="13" x14ac:dyDescent="0.15">
      <c r="A178" s="10"/>
      <c r="B178" s="13"/>
      <c r="C178" s="13"/>
    </row>
    <row r="179" spans="1:3" ht="13" x14ac:dyDescent="0.15">
      <c r="A179" s="10"/>
      <c r="B179" s="13"/>
      <c r="C179" s="13"/>
    </row>
    <row r="180" spans="1:3" ht="13" x14ac:dyDescent="0.15">
      <c r="A180" s="10"/>
      <c r="B180" s="13"/>
      <c r="C180" s="13"/>
    </row>
    <row r="181" spans="1:3" ht="13" x14ac:dyDescent="0.15">
      <c r="A181" s="10"/>
      <c r="B181" s="13"/>
      <c r="C181" s="13"/>
    </row>
    <row r="182" spans="1:3" ht="13" x14ac:dyDescent="0.15">
      <c r="A182" s="10"/>
      <c r="B182" s="13"/>
      <c r="C182" s="13"/>
    </row>
    <row r="183" spans="1:3" ht="13" x14ac:dyDescent="0.15">
      <c r="A183" s="10"/>
      <c r="B183" s="13"/>
      <c r="C183" s="13"/>
    </row>
    <row r="184" spans="1:3" ht="13" x14ac:dyDescent="0.15">
      <c r="A184" s="10"/>
      <c r="B184" s="13"/>
      <c r="C184" s="13"/>
    </row>
    <row r="185" spans="1:3" ht="13" x14ac:dyDescent="0.15">
      <c r="A185" s="10"/>
      <c r="B185" s="13"/>
      <c r="C185" s="13"/>
    </row>
    <row r="186" spans="1:3" ht="13" x14ac:dyDescent="0.15">
      <c r="A186" s="10"/>
      <c r="B186" s="13"/>
      <c r="C186" s="13"/>
    </row>
    <row r="187" spans="1:3" ht="13" x14ac:dyDescent="0.15">
      <c r="A187" s="10"/>
      <c r="B187" s="13"/>
      <c r="C187" s="13"/>
    </row>
    <row r="188" spans="1:3" ht="13" x14ac:dyDescent="0.15">
      <c r="A188" s="10"/>
      <c r="B188" s="13"/>
      <c r="C188" s="13"/>
    </row>
    <row r="189" spans="1:3" ht="13" x14ac:dyDescent="0.15">
      <c r="A189" s="10"/>
      <c r="B189" s="13"/>
      <c r="C189" s="13"/>
    </row>
    <row r="190" spans="1:3" ht="13" x14ac:dyDescent="0.15">
      <c r="A190" s="10"/>
      <c r="B190" s="13"/>
      <c r="C190" s="13"/>
    </row>
    <row r="191" spans="1:3" ht="13" x14ac:dyDescent="0.15">
      <c r="A191" s="10"/>
      <c r="B191" s="13"/>
      <c r="C191" s="13"/>
    </row>
    <row r="192" spans="1:3" ht="13" x14ac:dyDescent="0.15">
      <c r="A192" s="10"/>
      <c r="B192" s="13"/>
      <c r="C192" s="13"/>
    </row>
    <row r="193" spans="1:3" ht="13" x14ac:dyDescent="0.15">
      <c r="A193" s="10"/>
      <c r="B193" s="13"/>
      <c r="C193" s="13"/>
    </row>
    <row r="194" spans="1:3" ht="13" x14ac:dyDescent="0.15">
      <c r="A194" s="10"/>
      <c r="B194" s="13"/>
      <c r="C194" s="13"/>
    </row>
    <row r="195" spans="1:3" ht="13" x14ac:dyDescent="0.15">
      <c r="A195" s="10"/>
      <c r="B195" s="13"/>
      <c r="C195" s="13"/>
    </row>
    <row r="196" spans="1:3" ht="13" x14ac:dyDescent="0.15">
      <c r="A196" s="10"/>
      <c r="B196" s="13"/>
      <c r="C196" s="13"/>
    </row>
    <row r="197" spans="1:3" ht="13" x14ac:dyDescent="0.15">
      <c r="A197" s="10"/>
      <c r="B197" s="13"/>
      <c r="C197" s="13"/>
    </row>
    <row r="198" spans="1:3" ht="13" x14ac:dyDescent="0.15">
      <c r="A198" s="10"/>
      <c r="B198" s="13"/>
      <c r="C198" s="13"/>
    </row>
    <row r="199" spans="1:3" ht="13" x14ac:dyDescent="0.15">
      <c r="A199" s="10"/>
      <c r="B199" s="13"/>
      <c r="C199" s="13"/>
    </row>
    <row r="200" spans="1:3" ht="13" x14ac:dyDescent="0.15">
      <c r="A200" s="10"/>
      <c r="B200" s="13"/>
      <c r="C200" s="13"/>
    </row>
    <row r="201" spans="1:3" ht="13" x14ac:dyDescent="0.15">
      <c r="A201" s="10"/>
      <c r="B201" s="13"/>
      <c r="C201" s="13"/>
    </row>
    <row r="202" spans="1:3" ht="13" x14ac:dyDescent="0.15">
      <c r="A202" s="10"/>
      <c r="B202" s="13"/>
      <c r="C202" s="13"/>
    </row>
    <row r="203" spans="1:3" ht="13" x14ac:dyDescent="0.15">
      <c r="A203" s="10"/>
      <c r="B203" s="13"/>
      <c r="C203" s="13"/>
    </row>
    <row r="204" spans="1:3" ht="13" x14ac:dyDescent="0.15">
      <c r="A204" s="10"/>
      <c r="B204" s="13"/>
      <c r="C204" s="13"/>
    </row>
    <row r="205" spans="1:3" ht="13" x14ac:dyDescent="0.15">
      <c r="A205" s="10"/>
      <c r="B205" s="13"/>
      <c r="C205" s="13"/>
    </row>
    <row r="206" spans="1:3" ht="13" x14ac:dyDescent="0.15">
      <c r="A206" s="10"/>
      <c r="B206" s="13"/>
      <c r="C206" s="13"/>
    </row>
    <row r="207" spans="1:3" ht="13" x14ac:dyDescent="0.15">
      <c r="A207" s="10"/>
      <c r="B207" s="13"/>
      <c r="C207" s="13"/>
    </row>
    <row r="208" spans="1:3" ht="13" x14ac:dyDescent="0.15">
      <c r="A208" s="10"/>
      <c r="B208" s="13"/>
      <c r="C208" s="13"/>
    </row>
    <row r="209" spans="1:3" ht="13" x14ac:dyDescent="0.15">
      <c r="A209" s="10"/>
      <c r="B209" s="13"/>
      <c r="C209" s="13"/>
    </row>
    <row r="210" spans="1:3" ht="13" x14ac:dyDescent="0.15">
      <c r="A210" s="10"/>
      <c r="B210" s="13"/>
      <c r="C210" s="13"/>
    </row>
    <row r="211" spans="1:3" ht="13" x14ac:dyDescent="0.15">
      <c r="A211" s="10"/>
      <c r="B211" s="13"/>
      <c r="C211" s="13"/>
    </row>
    <row r="212" spans="1:3" ht="13" x14ac:dyDescent="0.15">
      <c r="A212" s="10"/>
      <c r="B212" s="13"/>
      <c r="C212" s="13"/>
    </row>
    <row r="213" spans="1:3" ht="13" x14ac:dyDescent="0.15">
      <c r="A213" s="10"/>
      <c r="B213" s="13"/>
      <c r="C213" s="13"/>
    </row>
    <row r="214" spans="1:3" ht="13" x14ac:dyDescent="0.15">
      <c r="A214" s="10"/>
      <c r="B214" s="13"/>
      <c r="C214" s="13"/>
    </row>
    <row r="215" spans="1:3" ht="13" x14ac:dyDescent="0.15">
      <c r="A215" s="10"/>
      <c r="B215" s="13"/>
      <c r="C215" s="13"/>
    </row>
    <row r="216" spans="1:3" ht="13" x14ac:dyDescent="0.15">
      <c r="A216" s="10"/>
      <c r="B216" s="13"/>
      <c r="C216" s="13"/>
    </row>
    <row r="217" spans="1:3" ht="13" x14ac:dyDescent="0.15">
      <c r="A217" s="10"/>
      <c r="B217" s="13"/>
      <c r="C217" s="13"/>
    </row>
    <row r="218" spans="1:3" ht="13" x14ac:dyDescent="0.15">
      <c r="A218" s="10"/>
      <c r="B218" s="13"/>
      <c r="C218" s="13"/>
    </row>
    <row r="219" spans="1:3" ht="13" x14ac:dyDescent="0.15">
      <c r="A219" s="10"/>
      <c r="B219" s="13"/>
      <c r="C219" s="13"/>
    </row>
    <row r="220" spans="1:3" ht="13" x14ac:dyDescent="0.15">
      <c r="A220" s="10"/>
      <c r="B220" s="13"/>
      <c r="C220" s="13"/>
    </row>
    <row r="221" spans="1:3" ht="13" x14ac:dyDescent="0.15">
      <c r="A221" s="10"/>
      <c r="B221" s="13"/>
      <c r="C221" s="13"/>
    </row>
    <row r="222" spans="1:3" ht="13" x14ac:dyDescent="0.15">
      <c r="A222" s="10"/>
      <c r="B222" s="13"/>
      <c r="C222" s="13"/>
    </row>
    <row r="223" spans="1:3" ht="13" x14ac:dyDescent="0.15">
      <c r="A223" s="10"/>
      <c r="B223" s="13"/>
      <c r="C223" s="13"/>
    </row>
    <row r="224" spans="1:3" ht="13" x14ac:dyDescent="0.15">
      <c r="A224" s="10"/>
      <c r="B224" s="13"/>
      <c r="C224" s="13"/>
    </row>
    <row r="225" spans="1:3" ht="13" x14ac:dyDescent="0.15">
      <c r="A225" s="10"/>
      <c r="B225" s="13"/>
      <c r="C225" s="13"/>
    </row>
    <row r="226" spans="1:3" ht="13" x14ac:dyDescent="0.15">
      <c r="A226" s="10"/>
      <c r="B226" s="13"/>
      <c r="C226" s="13"/>
    </row>
    <row r="227" spans="1:3" ht="13" x14ac:dyDescent="0.15">
      <c r="A227" s="10"/>
      <c r="B227" s="13"/>
      <c r="C227" s="13"/>
    </row>
    <row r="228" spans="1:3" ht="13" x14ac:dyDescent="0.15">
      <c r="A228" s="10"/>
      <c r="B228" s="13"/>
      <c r="C228" s="13"/>
    </row>
    <row r="229" spans="1:3" ht="13" x14ac:dyDescent="0.15">
      <c r="A229" s="10"/>
      <c r="B229" s="13"/>
      <c r="C229" s="13"/>
    </row>
    <row r="230" spans="1:3" ht="13" x14ac:dyDescent="0.15">
      <c r="A230" s="10"/>
      <c r="B230" s="13"/>
      <c r="C230" s="13"/>
    </row>
    <row r="231" spans="1:3" ht="13" x14ac:dyDescent="0.15">
      <c r="A231" s="10"/>
      <c r="B231" s="13"/>
      <c r="C231" s="13"/>
    </row>
    <row r="232" spans="1:3" ht="13" x14ac:dyDescent="0.15">
      <c r="A232" s="10"/>
      <c r="B232" s="13"/>
      <c r="C232" s="13"/>
    </row>
    <row r="233" spans="1:3" ht="13" x14ac:dyDescent="0.15">
      <c r="A233" s="10"/>
      <c r="B233" s="13"/>
      <c r="C233" s="13"/>
    </row>
    <row r="234" spans="1:3" ht="13" x14ac:dyDescent="0.15">
      <c r="A234" s="10"/>
      <c r="B234" s="13"/>
      <c r="C234" s="13"/>
    </row>
    <row r="235" spans="1:3" ht="13" x14ac:dyDescent="0.15">
      <c r="A235" s="10"/>
      <c r="B235" s="13"/>
      <c r="C235" s="13"/>
    </row>
    <row r="236" spans="1:3" ht="13" x14ac:dyDescent="0.15">
      <c r="A236" s="10"/>
      <c r="B236" s="13"/>
      <c r="C236" s="13"/>
    </row>
    <row r="237" spans="1:3" ht="13" x14ac:dyDescent="0.15">
      <c r="A237" s="10"/>
      <c r="B237" s="13"/>
      <c r="C237" s="13"/>
    </row>
    <row r="238" spans="1:3" ht="13" x14ac:dyDescent="0.15">
      <c r="A238" s="10"/>
      <c r="B238" s="13"/>
      <c r="C238" s="13"/>
    </row>
    <row r="239" spans="1:3" ht="13" x14ac:dyDescent="0.15">
      <c r="A239" s="10"/>
      <c r="B239" s="13"/>
      <c r="C239" s="13"/>
    </row>
    <row r="240" spans="1:3" ht="13" x14ac:dyDescent="0.15">
      <c r="A240" s="10"/>
      <c r="B240" s="13"/>
      <c r="C240" s="13"/>
    </row>
    <row r="241" spans="1:3" ht="13" x14ac:dyDescent="0.15">
      <c r="A241" s="10"/>
      <c r="B241" s="13"/>
      <c r="C241" s="13"/>
    </row>
    <row r="242" spans="1:3" ht="13" x14ac:dyDescent="0.15">
      <c r="A242" s="10"/>
      <c r="B242" s="13"/>
      <c r="C242" s="13"/>
    </row>
    <row r="243" spans="1:3" ht="13" x14ac:dyDescent="0.15">
      <c r="A243" s="10"/>
      <c r="B243" s="13"/>
      <c r="C243" s="13"/>
    </row>
    <row r="244" spans="1:3" ht="13" x14ac:dyDescent="0.15">
      <c r="A244" s="10"/>
      <c r="B244" s="13"/>
      <c r="C244" s="13"/>
    </row>
    <row r="245" spans="1:3" ht="13" x14ac:dyDescent="0.15">
      <c r="A245" s="10"/>
      <c r="B245" s="13"/>
      <c r="C245" s="13"/>
    </row>
    <row r="246" spans="1:3" ht="13" x14ac:dyDescent="0.15">
      <c r="A246" s="10"/>
      <c r="B246" s="13"/>
      <c r="C246" s="13"/>
    </row>
    <row r="247" spans="1:3" ht="13" x14ac:dyDescent="0.15">
      <c r="A247" s="10"/>
      <c r="B247" s="13"/>
      <c r="C247" s="13"/>
    </row>
    <row r="248" spans="1:3" ht="13" x14ac:dyDescent="0.15">
      <c r="A248" s="10"/>
      <c r="B248" s="13"/>
      <c r="C248" s="13"/>
    </row>
    <row r="249" spans="1:3" ht="13" x14ac:dyDescent="0.15">
      <c r="A249" s="10"/>
      <c r="B249" s="13"/>
      <c r="C249" s="13"/>
    </row>
    <row r="250" spans="1:3" ht="13" x14ac:dyDescent="0.15">
      <c r="A250" s="10"/>
      <c r="B250" s="13"/>
      <c r="C250" s="13"/>
    </row>
    <row r="251" spans="1:3" ht="13" x14ac:dyDescent="0.15">
      <c r="A251" s="10"/>
      <c r="B251" s="13"/>
      <c r="C251" s="13"/>
    </row>
    <row r="252" spans="1:3" ht="13" x14ac:dyDescent="0.15">
      <c r="A252" s="10"/>
      <c r="B252" s="13"/>
      <c r="C252" s="13"/>
    </row>
    <row r="253" spans="1:3" ht="13" x14ac:dyDescent="0.15">
      <c r="A253" s="10"/>
      <c r="B253" s="13"/>
      <c r="C253" s="13"/>
    </row>
    <row r="254" spans="1:3" ht="13" x14ac:dyDescent="0.15">
      <c r="A254" s="10"/>
      <c r="B254" s="13"/>
      <c r="C254" s="13"/>
    </row>
    <row r="255" spans="1:3" ht="13" x14ac:dyDescent="0.15">
      <c r="A255" s="10"/>
      <c r="B255" s="13"/>
      <c r="C255" s="13"/>
    </row>
    <row r="256" spans="1:3" ht="13" x14ac:dyDescent="0.15">
      <c r="A256" s="10"/>
      <c r="B256" s="13"/>
      <c r="C256" s="13"/>
    </row>
    <row r="257" spans="1:3" ht="13" x14ac:dyDescent="0.15">
      <c r="A257" s="10"/>
      <c r="B257" s="13"/>
      <c r="C257" s="13"/>
    </row>
    <row r="258" spans="1:3" ht="13" x14ac:dyDescent="0.15">
      <c r="A258" s="10"/>
      <c r="B258" s="13"/>
      <c r="C258" s="13"/>
    </row>
    <row r="259" spans="1:3" ht="13" x14ac:dyDescent="0.15">
      <c r="A259" s="10"/>
      <c r="B259" s="13"/>
      <c r="C259" s="13"/>
    </row>
    <row r="260" spans="1:3" ht="13" x14ac:dyDescent="0.15">
      <c r="A260" s="10"/>
      <c r="B260" s="13"/>
      <c r="C260" s="13"/>
    </row>
    <row r="261" spans="1:3" ht="13" x14ac:dyDescent="0.15">
      <c r="A261" s="10"/>
      <c r="B261" s="13"/>
      <c r="C261" s="13"/>
    </row>
    <row r="262" spans="1:3" ht="13" x14ac:dyDescent="0.15">
      <c r="A262" s="10"/>
      <c r="B262" s="13"/>
      <c r="C262" s="13"/>
    </row>
    <row r="263" spans="1:3" ht="13" x14ac:dyDescent="0.15">
      <c r="A263" s="10"/>
      <c r="B263" s="13"/>
      <c r="C263" s="13"/>
    </row>
    <row r="264" spans="1:3" ht="13" x14ac:dyDescent="0.15">
      <c r="A264" s="10"/>
      <c r="B264" s="13"/>
      <c r="C264" s="13"/>
    </row>
    <row r="265" spans="1:3" ht="13" x14ac:dyDescent="0.15">
      <c r="A265" s="10"/>
      <c r="B265" s="13"/>
      <c r="C265" s="13"/>
    </row>
    <row r="266" spans="1:3" ht="13" x14ac:dyDescent="0.15">
      <c r="A266" s="10"/>
      <c r="B266" s="13"/>
      <c r="C266" s="13"/>
    </row>
    <row r="267" spans="1:3" ht="13" x14ac:dyDescent="0.15">
      <c r="A267" s="10"/>
      <c r="B267" s="13"/>
      <c r="C267" s="13"/>
    </row>
    <row r="268" spans="1:3" ht="13" x14ac:dyDescent="0.15">
      <c r="A268" s="10"/>
      <c r="B268" s="13"/>
      <c r="C268" s="13"/>
    </row>
    <row r="269" spans="1:3" ht="13" x14ac:dyDescent="0.15">
      <c r="A269" s="10"/>
      <c r="B269" s="13"/>
      <c r="C269" s="13"/>
    </row>
    <row r="270" spans="1:3" ht="13" x14ac:dyDescent="0.15">
      <c r="A270" s="10"/>
      <c r="B270" s="13"/>
      <c r="C270" s="13"/>
    </row>
    <row r="271" spans="1:3" ht="13" x14ac:dyDescent="0.15">
      <c r="A271" s="10"/>
      <c r="B271" s="13"/>
      <c r="C271" s="13"/>
    </row>
    <row r="272" spans="1:3" ht="13" x14ac:dyDescent="0.15">
      <c r="A272" s="10"/>
      <c r="B272" s="13"/>
      <c r="C272" s="13"/>
    </row>
    <row r="273" spans="1:3" ht="13" x14ac:dyDescent="0.15">
      <c r="A273" s="10"/>
      <c r="B273" s="13"/>
      <c r="C273" s="13"/>
    </row>
    <row r="274" spans="1:3" ht="13" x14ac:dyDescent="0.15">
      <c r="A274" s="10"/>
      <c r="B274" s="13"/>
      <c r="C274" s="13"/>
    </row>
    <row r="275" spans="1:3" ht="13" x14ac:dyDescent="0.15">
      <c r="A275" s="10"/>
      <c r="B275" s="13"/>
      <c r="C275" s="13"/>
    </row>
    <row r="276" spans="1:3" ht="13" x14ac:dyDescent="0.15">
      <c r="A276" s="10"/>
      <c r="B276" s="13"/>
      <c r="C276" s="13"/>
    </row>
    <row r="277" spans="1:3" ht="13" x14ac:dyDescent="0.15">
      <c r="A277" s="10"/>
      <c r="B277" s="13"/>
      <c r="C277" s="13"/>
    </row>
    <row r="278" spans="1:3" ht="13" x14ac:dyDescent="0.15">
      <c r="A278" s="10"/>
      <c r="B278" s="13"/>
      <c r="C278" s="13"/>
    </row>
    <row r="279" spans="1:3" ht="13" x14ac:dyDescent="0.15">
      <c r="A279" s="10"/>
      <c r="B279" s="13"/>
      <c r="C279" s="13"/>
    </row>
    <row r="280" spans="1:3" ht="13" x14ac:dyDescent="0.15">
      <c r="A280" s="10"/>
      <c r="B280" s="13"/>
      <c r="C280" s="13"/>
    </row>
    <row r="281" spans="1:3" ht="13" x14ac:dyDescent="0.15">
      <c r="A281" s="10"/>
      <c r="B281" s="13"/>
      <c r="C281" s="13"/>
    </row>
    <row r="282" spans="1:3" ht="13" x14ac:dyDescent="0.15">
      <c r="A282" s="10"/>
      <c r="B282" s="13"/>
      <c r="C282" s="13"/>
    </row>
    <row r="283" spans="1:3" ht="13" x14ac:dyDescent="0.15">
      <c r="A283" s="10"/>
      <c r="B283" s="13"/>
      <c r="C283" s="13"/>
    </row>
    <row r="284" spans="1:3" ht="13" x14ac:dyDescent="0.15">
      <c r="A284" s="10"/>
      <c r="B284" s="13"/>
      <c r="C284" s="13"/>
    </row>
    <row r="285" spans="1:3" ht="13" x14ac:dyDescent="0.15">
      <c r="A285" s="10"/>
      <c r="B285" s="13"/>
      <c r="C285" s="13"/>
    </row>
    <row r="286" spans="1:3" ht="13" x14ac:dyDescent="0.15">
      <c r="A286" s="10"/>
      <c r="B286" s="13"/>
      <c r="C286" s="13"/>
    </row>
    <row r="287" spans="1:3" ht="13" x14ac:dyDescent="0.15">
      <c r="A287" s="10"/>
      <c r="B287" s="13"/>
      <c r="C287" s="13"/>
    </row>
    <row r="288" spans="1:3" ht="13" x14ac:dyDescent="0.15">
      <c r="A288" s="10"/>
      <c r="B288" s="13"/>
      <c r="C288" s="13"/>
    </row>
    <row r="289" spans="1:3" ht="13" x14ac:dyDescent="0.15">
      <c r="A289" s="10"/>
      <c r="B289" s="13"/>
      <c r="C289" s="13"/>
    </row>
    <row r="290" spans="1:3" ht="13" x14ac:dyDescent="0.15">
      <c r="A290" s="10"/>
      <c r="B290" s="13"/>
      <c r="C290" s="13"/>
    </row>
    <row r="291" spans="1:3" ht="13" x14ac:dyDescent="0.15">
      <c r="A291" s="10"/>
      <c r="B291" s="13"/>
      <c r="C291" s="13"/>
    </row>
    <row r="292" spans="1:3" ht="13" x14ac:dyDescent="0.15">
      <c r="A292" s="10"/>
      <c r="B292" s="13"/>
      <c r="C292" s="13"/>
    </row>
    <row r="293" spans="1:3" ht="13" x14ac:dyDescent="0.15">
      <c r="A293" s="10"/>
      <c r="B293" s="13"/>
      <c r="C293" s="13"/>
    </row>
    <row r="294" spans="1:3" ht="13" x14ac:dyDescent="0.15">
      <c r="A294" s="10"/>
      <c r="B294" s="13"/>
      <c r="C294" s="13"/>
    </row>
    <row r="295" spans="1:3" ht="13" x14ac:dyDescent="0.15">
      <c r="A295" s="10"/>
      <c r="B295" s="13"/>
      <c r="C295" s="13"/>
    </row>
    <row r="296" spans="1:3" ht="13" x14ac:dyDescent="0.15">
      <c r="A296" s="10"/>
      <c r="B296" s="13"/>
      <c r="C296" s="13"/>
    </row>
    <row r="297" spans="1:3" ht="13" x14ac:dyDescent="0.15">
      <c r="A297" s="10"/>
      <c r="B297" s="13"/>
      <c r="C297" s="13"/>
    </row>
    <row r="298" spans="1:3" ht="13" x14ac:dyDescent="0.15">
      <c r="A298" s="10"/>
      <c r="B298" s="13"/>
      <c r="C298" s="13"/>
    </row>
    <row r="299" spans="1:3" ht="13" x14ac:dyDescent="0.15">
      <c r="A299" s="10"/>
      <c r="B299" s="13"/>
      <c r="C299" s="13"/>
    </row>
    <row r="300" spans="1:3" ht="13" x14ac:dyDescent="0.15">
      <c r="A300" s="10"/>
      <c r="B300" s="13"/>
      <c r="C300" s="13"/>
    </row>
    <row r="301" spans="1:3" ht="13" x14ac:dyDescent="0.15">
      <c r="A301" s="10"/>
      <c r="B301" s="13"/>
      <c r="C301" s="13"/>
    </row>
    <row r="302" spans="1:3" ht="13" x14ac:dyDescent="0.15">
      <c r="A302" s="10"/>
      <c r="B302" s="13"/>
      <c r="C302" s="13"/>
    </row>
    <row r="303" spans="1:3" ht="13" x14ac:dyDescent="0.15">
      <c r="A303" s="10"/>
      <c r="B303" s="13"/>
      <c r="C303" s="13"/>
    </row>
    <row r="304" spans="1:3" ht="13" x14ac:dyDescent="0.15">
      <c r="A304" s="10"/>
      <c r="B304" s="13"/>
      <c r="C304" s="13"/>
    </row>
    <row r="305" spans="1:3" ht="13" x14ac:dyDescent="0.15">
      <c r="A305" s="10"/>
      <c r="B305" s="13"/>
      <c r="C305" s="13"/>
    </row>
    <row r="306" spans="1:3" ht="13" x14ac:dyDescent="0.15">
      <c r="A306" s="10"/>
      <c r="B306" s="13"/>
      <c r="C306" s="13"/>
    </row>
    <row r="307" spans="1:3" ht="13" x14ac:dyDescent="0.15">
      <c r="A307" s="10"/>
      <c r="B307" s="13"/>
      <c r="C307" s="13"/>
    </row>
    <row r="308" spans="1:3" ht="13" x14ac:dyDescent="0.15">
      <c r="A308" s="10"/>
      <c r="B308" s="13"/>
      <c r="C308" s="13"/>
    </row>
    <row r="309" spans="1:3" ht="13" x14ac:dyDescent="0.15">
      <c r="A309" s="10"/>
      <c r="B309" s="13"/>
      <c r="C309" s="13"/>
    </row>
    <row r="310" spans="1:3" ht="13" x14ac:dyDescent="0.15">
      <c r="A310" s="10"/>
      <c r="B310" s="13"/>
      <c r="C310" s="13"/>
    </row>
    <row r="311" spans="1:3" ht="13" x14ac:dyDescent="0.15">
      <c r="A311" s="10"/>
      <c r="B311" s="13"/>
      <c r="C311" s="13"/>
    </row>
    <row r="312" spans="1:3" ht="13" x14ac:dyDescent="0.15">
      <c r="A312" s="10"/>
      <c r="B312" s="13"/>
      <c r="C312" s="13"/>
    </row>
    <row r="313" spans="1:3" ht="13" x14ac:dyDescent="0.15">
      <c r="A313" s="10"/>
      <c r="B313" s="13"/>
      <c r="C313" s="13"/>
    </row>
    <row r="314" spans="1:3" ht="13" x14ac:dyDescent="0.15">
      <c r="A314" s="10"/>
      <c r="B314" s="13"/>
      <c r="C314" s="13"/>
    </row>
    <row r="315" spans="1:3" ht="13" x14ac:dyDescent="0.15">
      <c r="A315" s="10"/>
      <c r="B315" s="13"/>
      <c r="C315" s="13"/>
    </row>
    <row r="316" spans="1:3" ht="13" x14ac:dyDescent="0.15">
      <c r="A316" s="10"/>
      <c r="B316" s="13"/>
      <c r="C316" s="13"/>
    </row>
    <row r="317" spans="1:3" ht="13" x14ac:dyDescent="0.15">
      <c r="A317" s="10"/>
      <c r="B317" s="13"/>
      <c r="C317" s="13"/>
    </row>
    <row r="318" spans="1:3" ht="13" x14ac:dyDescent="0.15">
      <c r="A318" s="10"/>
      <c r="B318" s="13"/>
      <c r="C318" s="13"/>
    </row>
    <row r="319" spans="1:3" ht="13" x14ac:dyDescent="0.15">
      <c r="A319" s="10"/>
      <c r="B319" s="13"/>
      <c r="C319" s="13"/>
    </row>
    <row r="320" spans="1:3" ht="13" x14ac:dyDescent="0.15">
      <c r="A320" s="10"/>
      <c r="B320" s="13"/>
      <c r="C320" s="13"/>
    </row>
    <row r="321" spans="1:3" ht="13" x14ac:dyDescent="0.15">
      <c r="A321" s="10"/>
      <c r="B321" s="13"/>
      <c r="C321" s="13"/>
    </row>
    <row r="322" spans="1:3" ht="13" x14ac:dyDescent="0.15">
      <c r="A322" s="10"/>
      <c r="B322" s="13"/>
      <c r="C322" s="13"/>
    </row>
    <row r="323" spans="1:3" ht="13" x14ac:dyDescent="0.15">
      <c r="A323" s="10"/>
      <c r="B323" s="13"/>
      <c r="C323" s="13"/>
    </row>
    <row r="324" spans="1:3" ht="13" x14ac:dyDescent="0.15">
      <c r="A324" s="10"/>
      <c r="B324" s="13"/>
      <c r="C324" s="13"/>
    </row>
    <row r="325" spans="1:3" ht="13" x14ac:dyDescent="0.15">
      <c r="A325" s="10"/>
      <c r="B325" s="13"/>
      <c r="C325" s="13"/>
    </row>
    <row r="326" spans="1:3" ht="13" x14ac:dyDescent="0.15">
      <c r="A326" s="10"/>
      <c r="B326" s="13"/>
      <c r="C326" s="13"/>
    </row>
    <row r="327" spans="1:3" ht="13" x14ac:dyDescent="0.15">
      <c r="A327" s="10"/>
      <c r="B327" s="13"/>
      <c r="C327" s="13"/>
    </row>
    <row r="328" spans="1:3" ht="13" x14ac:dyDescent="0.15">
      <c r="A328" s="10"/>
      <c r="B328" s="13"/>
      <c r="C328" s="13"/>
    </row>
    <row r="329" spans="1:3" ht="13" x14ac:dyDescent="0.15">
      <c r="A329" s="10"/>
      <c r="B329" s="13"/>
      <c r="C329" s="13"/>
    </row>
    <row r="330" spans="1:3" ht="13" x14ac:dyDescent="0.15">
      <c r="A330" s="10"/>
      <c r="B330" s="13"/>
      <c r="C330" s="13"/>
    </row>
    <row r="331" spans="1:3" ht="13" x14ac:dyDescent="0.15">
      <c r="A331" s="10"/>
      <c r="B331" s="13"/>
      <c r="C331" s="13"/>
    </row>
    <row r="332" spans="1:3" ht="13" x14ac:dyDescent="0.15">
      <c r="A332" s="10"/>
      <c r="B332" s="13"/>
      <c r="C332" s="13"/>
    </row>
    <row r="333" spans="1:3" ht="13" x14ac:dyDescent="0.15">
      <c r="A333" s="10"/>
      <c r="B333" s="13"/>
      <c r="C333" s="13"/>
    </row>
    <row r="334" spans="1:3" ht="13" x14ac:dyDescent="0.15">
      <c r="A334" s="10"/>
      <c r="B334" s="13"/>
      <c r="C334" s="13"/>
    </row>
    <row r="335" spans="1:3" ht="13" x14ac:dyDescent="0.15">
      <c r="A335" s="10"/>
      <c r="B335" s="13"/>
      <c r="C335" s="13"/>
    </row>
    <row r="336" spans="1:3" ht="13" x14ac:dyDescent="0.15">
      <c r="A336" s="10"/>
      <c r="B336" s="13"/>
      <c r="C336" s="13"/>
    </row>
    <row r="337" spans="1:3" ht="13" x14ac:dyDescent="0.15">
      <c r="A337" s="10"/>
      <c r="B337" s="13"/>
      <c r="C337" s="13"/>
    </row>
    <row r="338" spans="1:3" ht="13" x14ac:dyDescent="0.15">
      <c r="A338" s="10"/>
      <c r="B338" s="13"/>
      <c r="C338" s="13"/>
    </row>
    <row r="339" spans="1:3" ht="13" x14ac:dyDescent="0.15">
      <c r="A339" s="10"/>
      <c r="B339" s="13"/>
      <c r="C339" s="13"/>
    </row>
    <row r="340" spans="1:3" ht="13" x14ac:dyDescent="0.15">
      <c r="A340" s="10"/>
      <c r="B340" s="13"/>
      <c r="C340" s="13"/>
    </row>
    <row r="341" spans="1:3" ht="13" x14ac:dyDescent="0.15">
      <c r="A341" s="10"/>
      <c r="B341" s="13"/>
      <c r="C341" s="13"/>
    </row>
    <row r="342" spans="1:3" ht="13" x14ac:dyDescent="0.15">
      <c r="A342" s="10"/>
      <c r="B342" s="13"/>
      <c r="C342" s="13"/>
    </row>
    <row r="343" spans="1:3" ht="13" x14ac:dyDescent="0.15">
      <c r="A343" s="10"/>
      <c r="B343" s="13"/>
      <c r="C343" s="13"/>
    </row>
    <row r="344" spans="1:3" ht="13" x14ac:dyDescent="0.15">
      <c r="A344" s="10"/>
      <c r="B344" s="13"/>
      <c r="C344" s="13"/>
    </row>
    <row r="345" spans="1:3" ht="13" x14ac:dyDescent="0.15">
      <c r="A345" s="10"/>
      <c r="B345" s="13"/>
      <c r="C345" s="13"/>
    </row>
    <row r="346" spans="1:3" ht="13" x14ac:dyDescent="0.15">
      <c r="A346" s="10"/>
      <c r="B346" s="13"/>
      <c r="C346" s="13"/>
    </row>
    <row r="347" spans="1:3" ht="13" x14ac:dyDescent="0.15">
      <c r="A347" s="10"/>
      <c r="B347" s="13"/>
      <c r="C347" s="13"/>
    </row>
    <row r="348" spans="1:3" ht="13" x14ac:dyDescent="0.15">
      <c r="A348" s="10"/>
      <c r="B348" s="13"/>
      <c r="C348" s="13"/>
    </row>
    <row r="349" spans="1:3" ht="13" x14ac:dyDescent="0.15">
      <c r="A349" s="10"/>
      <c r="B349" s="13"/>
      <c r="C349" s="13"/>
    </row>
    <row r="350" spans="1:3" ht="13" x14ac:dyDescent="0.15">
      <c r="A350" s="10"/>
      <c r="B350" s="13"/>
      <c r="C350" s="13"/>
    </row>
    <row r="351" spans="1:3" ht="13" x14ac:dyDescent="0.15">
      <c r="A351" s="10"/>
      <c r="B351" s="13"/>
      <c r="C351" s="13"/>
    </row>
    <row r="352" spans="1:3" ht="13" x14ac:dyDescent="0.15">
      <c r="A352" s="10"/>
      <c r="B352" s="13"/>
      <c r="C352" s="13"/>
    </row>
    <row r="353" spans="1:3" ht="13" x14ac:dyDescent="0.15">
      <c r="A353" s="10"/>
      <c r="B353" s="13"/>
      <c r="C353" s="13"/>
    </row>
    <row r="354" spans="1:3" ht="13" x14ac:dyDescent="0.15">
      <c r="A354" s="10"/>
      <c r="B354" s="13"/>
      <c r="C354" s="13"/>
    </row>
    <row r="355" spans="1:3" ht="13" x14ac:dyDescent="0.15">
      <c r="A355" s="10"/>
      <c r="B355" s="13"/>
      <c r="C355" s="13"/>
    </row>
    <row r="356" spans="1:3" ht="13" x14ac:dyDescent="0.15">
      <c r="A356" s="10"/>
      <c r="B356" s="13"/>
      <c r="C356" s="13"/>
    </row>
    <row r="357" spans="1:3" ht="13" x14ac:dyDescent="0.15">
      <c r="A357" s="10"/>
      <c r="B357" s="13"/>
      <c r="C357" s="13"/>
    </row>
    <row r="358" spans="1:3" ht="13" x14ac:dyDescent="0.15">
      <c r="A358" s="10"/>
      <c r="B358" s="13"/>
      <c r="C358" s="13"/>
    </row>
    <row r="359" spans="1:3" ht="13" x14ac:dyDescent="0.15">
      <c r="A359" s="10"/>
      <c r="B359" s="13"/>
      <c r="C359" s="13"/>
    </row>
    <row r="360" spans="1:3" ht="13" x14ac:dyDescent="0.15">
      <c r="A360" s="10"/>
      <c r="B360" s="13"/>
      <c r="C360" s="13"/>
    </row>
    <row r="361" spans="1:3" ht="13" x14ac:dyDescent="0.15">
      <c r="A361" s="10"/>
      <c r="B361" s="13"/>
      <c r="C361" s="13"/>
    </row>
    <row r="362" spans="1:3" ht="13" x14ac:dyDescent="0.15">
      <c r="A362" s="10"/>
      <c r="B362" s="13"/>
      <c r="C362" s="13"/>
    </row>
    <row r="363" spans="1:3" ht="13" x14ac:dyDescent="0.15">
      <c r="A363" s="10"/>
      <c r="B363" s="13"/>
      <c r="C363" s="13"/>
    </row>
    <row r="364" spans="1:3" ht="13" x14ac:dyDescent="0.15">
      <c r="A364" s="10"/>
      <c r="B364" s="13"/>
      <c r="C364" s="13"/>
    </row>
    <row r="365" spans="1:3" ht="13" x14ac:dyDescent="0.15">
      <c r="A365" s="10"/>
      <c r="B365" s="13"/>
      <c r="C365" s="13"/>
    </row>
    <row r="366" spans="1:3" ht="13" x14ac:dyDescent="0.15">
      <c r="A366" s="10"/>
      <c r="B366" s="13"/>
      <c r="C366" s="13"/>
    </row>
    <row r="367" spans="1:3" ht="13" x14ac:dyDescent="0.15">
      <c r="A367" s="10"/>
      <c r="B367" s="13"/>
      <c r="C367" s="13"/>
    </row>
    <row r="368" spans="1:3" ht="13" x14ac:dyDescent="0.15">
      <c r="A368" s="10"/>
      <c r="B368" s="13"/>
      <c r="C368" s="13"/>
    </row>
    <row r="369" spans="1:3" ht="13" x14ac:dyDescent="0.15">
      <c r="A369" s="10"/>
      <c r="B369" s="13"/>
      <c r="C369" s="13"/>
    </row>
    <row r="370" spans="1:3" ht="13" x14ac:dyDescent="0.15">
      <c r="A370" s="10"/>
      <c r="B370" s="13"/>
      <c r="C370" s="13"/>
    </row>
    <row r="371" spans="1:3" ht="13" x14ac:dyDescent="0.15">
      <c r="A371" s="10"/>
      <c r="B371" s="13"/>
      <c r="C371" s="13"/>
    </row>
    <row r="372" spans="1:3" ht="13" x14ac:dyDescent="0.15">
      <c r="A372" s="10"/>
      <c r="B372" s="13"/>
      <c r="C372" s="13"/>
    </row>
    <row r="373" spans="1:3" ht="13" x14ac:dyDescent="0.15">
      <c r="A373" s="10"/>
      <c r="B373" s="13"/>
      <c r="C373" s="13"/>
    </row>
    <row r="374" spans="1:3" ht="13" x14ac:dyDescent="0.15">
      <c r="A374" s="10"/>
      <c r="B374" s="13"/>
      <c r="C374" s="13"/>
    </row>
    <row r="375" spans="1:3" ht="13" x14ac:dyDescent="0.15">
      <c r="A375" s="10"/>
      <c r="B375" s="13"/>
      <c r="C375" s="13"/>
    </row>
    <row r="376" spans="1:3" ht="13" x14ac:dyDescent="0.15">
      <c r="A376" s="10"/>
      <c r="B376" s="13"/>
      <c r="C376" s="13"/>
    </row>
    <row r="377" spans="1:3" ht="13" x14ac:dyDescent="0.15">
      <c r="A377" s="10"/>
      <c r="B377" s="13"/>
      <c r="C377" s="13"/>
    </row>
    <row r="378" spans="1:3" ht="13" x14ac:dyDescent="0.15">
      <c r="A378" s="10"/>
      <c r="B378" s="13"/>
      <c r="C378" s="13"/>
    </row>
    <row r="379" spans="1:3" ht="13" x14ac:dyDescent="0.15">
      <c r="A379" s="10"/>
      <c r="B379" s="13"/>
      <c r="C379" s="13"/>
    </row>
    <row r="380" spans="1:3" ht="13" x14ac:dyDescent="0.15">
      <c r="A380" s="10"/>
      <c r="B380" s="13"/>
      <c r="C380" s="13"/>
    </row>
    <row r="381" spans="1:3" ht="13" x14ac:dyDescent="0.15">
      <c r="A381" s="10"/>
      <c r="B381" s="13"/>
      <c r="C381" s="13"/>
    </row>
    <row r="382" spans="1:3" ht="13" x14ac:dyDescent="0.15">
      <c r="A382" s="10"/>
      <c r="B382" s="13"/>
      <c r="C382" s="13"/>
    </row>
    <row r="383" spans="1:3" ht="13" x14ac:dyDescent="0.15">
      <c r="A383" s="10"/>
      <c r="B383" s="13"/>
      <c r="C383" s="13"/>
    </row>
    <row r="384" spans="1:3" ht="13" x14ac:dyDescent="0.15">
      <c r="A384" s="10"/>
      <c r="B384" s="13"/>
      <c r="C384" s="13"/>
    </row>
    <row r="385" spans="1:3" ht="13" x14ac:dyDescent="0.15">
      <c r="A385" s="10"/>
      <c r="B385" s="13"/>
      <c r="C385" s="13"/>
    </row>
    <row r="386" spans="1:3" ht="13" x14ac:dyDescent="0.15">
      <c r="A386" s="10"/>
      <c r="B386" s="13"/>
      <c r="C386" s="13"/>
    </row>
    <row r="387" spans="1:3" ht="13" x14ac:dyDescent="0.15">
      <c r="A387" s="10"/>
      <c r="B387" s="13"/>
      <c r="C387" s="13"/>
    </row>
    <row r="388" spans="1:3" ht="13" x14ac:dyDescent="0.15">
      <c r="A388" s="10"/>
      <c r="B388" s="13"/>
      <c r="C388" s="13"/>
    </row>
    <row r="389" spans="1:3" ht="13" x14ac:dyDescent="0.15">
      <c r="A389" s="10"/>
      <c r="B389" s="13"/>
      <c r="C389" s="13"/>
    </row>
    <row r="390" spans="1:3" ht="13" x14ac:dyDescent="0.15">
      <c r="A390" s="10"/>
      <c r="B390" s="13"/>
      <c r="C390" s="13"/>
    </row>
    <row r="391" spans="1:3" ht="13" x14ac:dyDescent="0.15">
      <c r="A391" s="10"/>
      <c r="B391" s="13"/>
      <c r="C391" s="13"/>
    </row>
    <row r="392" spans="1:3" ht="13" x14ac:dyDescent="0.15">
      <c r="A392" s="10"/>
      <c r="B392" s="13"/>
      <c r="C392" s="13"/>
    </row>
    <row r="393" spans="1:3" ht="13" x14ac:dyDescent="0.15">
      <c r="A393" s="10"/>
      <c r="B393" s="13"/>
      <c r="C393" s="13"/>
    </row>
    <row r="394" spans="1:3" ht="13" x14ac:dyDescent="0.15">
      <c r="A394" s="10"/>
      <c r="B394" s="13"/>
      <c r="C394" s="13"/>
    </row>
    <row r="395" spans="1:3" ht="13" x14ac:dyDescent="0.15">
      <c r="A395" s="10"/>
      <c r="B395" s="13"/>
      <c r="C395" s="13"/>
    </row>
    <row r="396" spans="1:3" ht="13" x14ac:dyDescent="0.15">
      <c r="A396" s="10"/>
      <c r="B396" s="13"/>
      <c r="C396" s="13"/>
    </row>
    <row r="397" spans="1:3" ht="13" x14ac:dyDescent="0.15">
      <c r="A397" s="10"/>
      <c r="B397" s="13"/>
      <c r="C397" s="13"/>
    </row>
    <row r="398" spans="1:3" ht="13" x14ac:dyDescent="0.15">
      <c r="A398" s="10"/>
      <c r="B398" s="13"/>
      <c r="C398" s="13"/>
    </row>
    <row r="399" spans="1:3" ht="13" x14ac:dyDescent="0.15">
      <c r="A399" s="10"/>
      <c r="B399" s="13"/>
      <c r="C399" s="13"/>
    </row>
    <row r="400" spans="1:3" ht="13" x14ac:dyDescent="0.15">
      <c r="A400" s="10"/>
      <c r="B400" s="13"/>
      <c r="C400" s="13"/>
    </row>
    <row r="401" spans="1:3" ht="13" x14ac:dyDescent="0.15">
      <c r="A401" s="10"/>
      <c r="B401" s="13"/>
      <c r="C401" s="13"/>
    </row>
    <row r="402" spans="1:3" ht="13" x14ac:dyDescent="0.15">
      <c r="A402" s="10"/>
      <c r="B402" s="13"/>
      <c r="C402" s="13"/>
    </row>
    <row r="403" spans="1:3" ht="13" x14ac:dyDescent="0.15">
      <c r="A403" s="10"/>
      <c r="B403" s="13"/>
      <c r="C403" s="13"/>
    </row>
    <row r="404" spans="1:3" ht="13" x14ac:dyDescent="0.15">
      <c r="A404" s="10"/>
      <c r="B404" s="13"/>
      <c r="C404" s="13"/>
    </row>
    <row r="405" spans="1:3" ht="13" x14ac:dyDescent="0.15">
      <c r="A405" s="10"/>
      <c r="B405" s="13"/>
      <c r="C405" s="13"/>
    </row>
    <row r="406" spans="1:3" ht="13" x14ac:dyDescent="0.15">
      <c r="A406" s="10"/>
      <c r="B406" s="13"/>
      <c r="C406" s="13"/>
    </row>
    <row r="407" spans="1:3" ht="13" x14ac:dyDescent="0.15">
      <c r="A407" s="10"/>
      <c r="B407" s="13"/>
      <c r="C407" s="13"/>
    </row>
    <row r="408" spans="1:3" ht="13" x14ac:dyDescent="0.15">
      <c r="A408" s="10"/>
      <c r="B408" s="13"/>
      <c r="C408" s="13"/>
    </row>
    <row r="409" spans="1:3" ht="13" x14ac:dyDescent="0.15">
      <c r="A409" s="10"/>
      <c r="B409" s="13"/>
      <c r="C409" s="13"/>
    </row>
    <row r="410" spans="1:3" ht="13" x14ac:dyDescent="0.15">
      <c r="A410" s="10"/>
      <c r="B410" s="13"/>
      <c r="C410" s="13"/>
    </row>
    <row r="411" spans="1:3" ht="13" x14ac:dyDescent="0.15">
      <c r="A411" s="10"/>
      <c r="B411" s="13"/>
      <c r="C411" s="13"/>
    </row>
    <row r="412" spans="1:3" ht="13" x14ac:dyDescent="0.15">
      <c r="A412" s="10"/>
      <c r="B412" s="13"/>
      <c r="C412" s="13"/>
    </row>
    <row r="413" spans="1:3" ht="13" x14ac:dyDescent="0.15">
      <c r="A413" s="10"/>
      <c r="B413" s="13"/>
      <c r="C413" s="13"/>
    </row>
    <row r="414" spans="1:3" ht="13" x14ac:dyDescent="0.15">
      <c r="A414" s="10"/>
      <c r="B414" s="13"/>
      <c r="C414" s="13"/>
    </row>
    <row r="415" spans="1:3" ht="13" x14ac:dyDescent="0.15">
      <c r="A415" s="10"/>
      <c r="B415" s="13"/>
      <c r="C415" s="13"/>
    </row>
    <row r="416" spans="1:3" ht="13" x14ac:dyDescent="0.15">
      <c r="A416" s="10"/>
      <c r="B416" s="13"/>
      <c r="C416" s="13"/>
    </row>
    <row r="417" spans="1:3" ht="13" x14ac:dyDescent="0.15">
      <c r="A417" s="10"/>
      <c r="B417" s="13"/>
      <c r="C417" s="13"/>
    </row>
    <row r="418" spans="1:3" ht="13" x14ac:dyDescent="0.15">
      <c r="A418" s="10"/>
      <c r="B418" s="13"/>
      <c r="C418" s="13"/>
    </row>
    <row r="419" spans="1:3" ht="13" x14ac:dyDescent="0.15">
      <c r="A419" s="10"/>
      <c r="B419" s="13"/>
      <c r="C419" s="13"/>
    </row>
    <row r="420" spans="1:3" ht="13" x14ac:dyDescent="0.15">
      <c r="A420" s="10"/>
      <c r="B420" s="13"/>
      <c r="C420" s="13"/>
    </row>
    <row r="421" spans="1:3" ht="13" x14ac:dyDescent="0.15">
      <c r="A421" s="10"/>
      <c r="B421" s="13"/>
      <c r="C421" s="13"/>
    </row>
    <row r="422" spans="1:3" ht="13" x14ac:dyDescent="0.15">
      <c r="A422" s="10"/>
      <c r="B422" s="13"/>
      <c r="C422" s="13"/>
    </row>
    <row r="423" spans="1:3" ht="13" x14ac:dyDescent="0.15">
      <c r="A423" s="10"/>
      <c r="B423" s="13"/>
      <c r="C423" s="13"/>
    </row>
    <row r="424" spans="1:3" ht="13" x14ac:dyDescent="0.15">
      <c r="A424" s="10"/>
      <c r="B424" s="13"/>
      <c r="C424" s="13"/>
    </row>
    <row r="425" spans="1:3" ht="13" x14ac:dyDescent="0.15">
      <c r="A425" s="10"/>
      <c r="B425" s="13"/>
      <c r="C425" s="13"/>
    </row>
    <row r="426" spans="1:3" ht="13" x14ac:dyDescent="0.15">
      <c r="A426" s="10"/>
      <c r="B426" s="13"/>
      <c r="C426" s="13"/>
    </row>
    <row r="427" spans="1:3" ht="13" x14ac:dyDescent="0.15">
      <c r="A427" s="10"/>
      <c r="B427" s="13"/>
      <c r="C427" s="13"/>
    </row>
    <row r="428" spans="1:3" ht="13" x14ac:dyDescent="0.15">
      <c r="A428" s="10"/>
      <c r="B428" s="13"/>
      <c r="C428" s="13"/>
    </row>
    <row r="429" spans="1:3" ht="13" x14ac:dyDescent="0.15">
      <c r="A429" s="10"/>
      <c r="B429" s="13"/>
      <c r="C429" s="13"/>
    </row>
    <row r="430" spans="1:3" ht="13" x14ac:dyDescent="0.15">
      <c r="A430" s="10"/>
      <c r="B430" s="13"/>
      <c r="C430" s="13"/>
    </row>
    <row r="431" spans="1:3" ht="13" x14ac:dyDescent="0.15">
      <c r="A431" s="10"/>
      <c r="B431" s="13"/>
      <c r="C431" s="13"/>
    </row>
    <row r="432" spans="1:3" ht="13" x14ac:dyDescent="0.15">
      <c r="A432" s="10"/>
      <c r="B432" s="13"/>
      <c r="C432" s="13"/>
    </row>
    <row r="433" spans="1:3" ht="13" x14ac:dyDescent="0.15">
      <c r="A433" s="10"/>
      <c r="B433" s="13"/>
      <c r="C433" s="13"/>
    </row>
    <row r="434" spans="1:3" ht="13" x14ac:dyDescent="0.15">
      <c r="A434" s="10"/>
      <c r="B434" s="13"/>
      <c r="C434" s="13"/>
    </row>
    <row r="435" spans="1:3" ht="13" x14ac:dyDescent="0.15">
      <c r="A435" s="10"/>
      <c r="B435" s="13"/>
      <c r="C435" s="13"/>
    </row>
    <row r="436" spans="1:3" ht="13" x14ac:dyDescent="0.15">
      <c r="A436" s="10"/>
      <c r="B436" s="13"/>
      <c r="C436" s="13"/>
    </row>
    <row r="437" spans="1:3" ht="13" x14ac:dyDescent="0.15">
      <c r="A437" s="10"/>
      <c r="B437" s="13"/>
      <c r="C437" s="13"/>
    </row>
    <row r="438" spans="1:3" ht="13" x14ac:dyDescent="0.15">
      <c r="A438" s="10"/>
      <c r="B438" s="13"/>
      <c r="C438" s="13"/>
    </row>
    <row r="439" spans="1:3" ht="13" x14ac:dyDescent="0.15">
      <c r="A439" s="10"/>
      <c r="B439" s="13"/>
      <c r="C439" s="13"/>
    </row>
    <row r="440" spans="1:3" ht="13" x14ac:dyDescent="0.15">
      <c r="A440" s="10"/>
      <c r="B440" s="13"/>
      <c r="C440" s="13"/>
    </row>
    <row r="441" spans="1:3" ht="13" x14ac:dyDescent="0.15">
      <c r="A441" s="10"/>
      <c r="B441" s="13"/>
      <c r="C441" s="13"/>
    </row>
    <row r="442" spans="1:3" ht="13" x14ac:dyDescent="0.15">
      <c r="A442" s="10"/>
      <c r="B442" s="13"/>
      <c r="C442" s="13"/>
    </row>
    <row r="443" spans="1:3" ht="13" x14ac:dyDescent="0.15">
      <c r="A443" s="10"/>
      <c r="B443" s="13"/>
      <c r="C443" s="13"/>
    </row>
    <row r="444" spans="1:3" ht="13" x14ac:dyDescent="0.15">
      <c r="A444" s="10"/>
      <c r="B444" s="13"/>
      <c r="C444" s="13"/>
    </row>
    <row r="445" spans="1:3" ht="13" x14ac:dyDescent="0.15">
      <c r="A445" s="10"/>
      <c r="B445" s="13"/>
      <c r="C445" s="13"/>
    </row>
    <row r="446" spans="1:3" ht="13" x14ac:dyDescent="0.15">
      <c r="A446" s="10"/>
      <c r="B446" s="13"/>
      <c r="C446" s="13"/>
    </row>
    <row r="447" spans="1:3" ht="13" x14ac:dyDescent="0.15">
      <c r="A447" s="10"/>
      <c r="B447" s="13"/>
      <c r="C447" s="13"/>
    </row>
    <row r="448" spans="1:3" ht="13" x14ac:dyDescent="0.15">
      <c r="A448" s="10"/>
      <c r="B448" s="13"/>
      <c r="C448" s="13"/>
    </row>
    <row r="449" spans="1:3" ht="13" x14ac:dyDescent="0.15">
      <c r="A449" s="10"/>
      <c r="B449" s="13"/>
      <c r="C449" s="13"/>
    </row>
    <row r="450" spans="1:3" ht="13" x14ac:dyDescent="0.15">
      <c r="A450" s="10"/>
      <c r="B450" s="13"/>
      <c r="C450" s="13"/>
    </row>
    <row r="451" spans="1:3" ht="13" x14ac:dyDescent="0.15">
      <c r="A451" s="10"/>
      <c r="B451" s="13"/>
      <c r="C451" s="13"/>
    </row>
    <row r="452" spans="1:3" ht="13" x14ac:dyDescent="0.15">
      <c r="A452" s="10"/>
      <c r="B452" s="13"/>
      <c r="C452" s="13"/>
    </row>
    <row r="453" spans="1:3" ht="13" x14ac:dyDescent="0.15">
      <c r="A453" s="10"/>
      <c r="B453" s="13"/>
      <c r="C453" s="13"/>
    </row>
    <row r="454" spans="1:3" ht="13" x14ac:dyDescent="0.15">
      <c r="A454" s="10"/>
      <c r="B454" s="13"/>
      <c r="C454" s="13"/>
    </row>
    <row r="455" spans="1:3" ht="13" x14ac:dyDescent="0.15">
      <c r="A455" s="10"/>
      <c r="B455" s="13"/>
      <c r="C455" s="13"/>
    </row>
    <row r="456" spans="1:3" ht="13" x14ac:dyDescent="0.15">
      <c r="A456" s="10"/>
      <c r="B456" s="13"/>
      <c r="C456" s="13"/>
    </row>
    <row r="457" spans="1:3" ht="13" x14ac:dyDescent="0.15">
      <c r="A457" s="10"/>
      <c r="B457" s="13"/>
      <c r="C457" s="13"/>
    </row>
    <row r="458" spans="1:3" ht="13" x14ac:dyDescent="0.15">
      <c r="A458" s="10"/>
      <c r="B458" s="13"/>
      <c r="C458" s="13"/>
    </row>
    <row r="459" spans="1:3" ht="13" x14ac:dyDescent="0.15">
      <c r="A459" s="10"/>
      <c r="B459" s="13"/>
      <c r="C459" s="13"/>
    </row>
    <row r="460" spans="1:3" ht="13" x14ac:dyDescent="0.15">
      <c r="A460" s="10"/>
      <c r="B460" s="13"/>
      <c r="C460" s="13"/>
    </row>
    <row r="461" spans="1:3" ht="13" x14ac:dyDescent="0.15">
      <c r="A461" s="10"/>
      <c r="B461" s="13"/>
      <c r="C461" s="13"/>
    </row>
    <row r="462" spans="1:3" ht="13" x14ac:dyDescent="0.15">
      <c r="A462" s="10"/>
      <c r="B462" s="13"/>
      <c r="C462" s="13"/>
    </row>
    <row r="463" spans="1:3" ht="13" x14ac:dyDescent="0.15">
      <c r="A463" s="10"/>
      <c r="B463" s="13"/>
      <c r="C463" s="13"/>
    </row>
    <row r="464" spans="1:3" ht="13" x14ac:dyDescent="0.15">
      <c r="A464" s="10"/>
      <c r="B464" s="13"/>
      <c r="C464" s="13"/>
    </row>
    <row r="465" spans="1:3" ht="13" x14ac:dyDescent="0.15">
      <c r="A465" s="10"/>
      <c r="B465" s="13"/>
      <c r="C465" s="13"/>
    </row>
    <row r="466" spans="1:3" ht="13" x14ac:dyDescent="0.15">
      <c r="A466" s="10"/>
      <c r="B466" s="13"/>
      <c r="C466" s="13"/>
    </row>
    <row r="467" spans="1:3" ht="13" x14ac:dyDescent="0.15">
      <c r="A467" s="10"/>
      <c r="B467" s="13"/>
      <c r="C467" s="13"/>
    </row>
    <row r="468" spans="1:3" ht="13" x14ac:dyDescent="0.15">
      <c r="A468" s="10"/>
      <c r="B468" s="13"/>
      <c r="C468" s="13"/>
    </row>
    <row r="469" spans="1:3" ht="13" x14ac:dyDescent="0.15">
      <c r="A469" s="10"/>
      <c r="B469" s="13"/>
      <c r="C469" s="13"/>
    </row>
    <row r="470" spans="1:3" ht="13" x14ac:dyDescent="0.15">
      <c r="A470" s="10"/>
      <c r="B470" s="13"/>
      <c r="C470" s="13"/>
    </row>
    <row r="471" spans="1:3" ht="13" x14ac:dyDescent="0.15">
      <c r="A471" s="10"/>
      <c r="B471" s="13"/>
      <c r="C471" s="13"/>
    </row>
    <row r="472" spans="1:3" ht="13" x14ac:dyDescent="0.15">
      <c r="A472" s="10"/>
      <c r="B472" s="13"/>
      <c r="C472" s="13"/>
    </row>
    <row r="473" spans="1:3" ht="13" x14ac:dyDescent="0.15">
      <c r="A473" s="10"/>
      <c r="B473" s="13"/>
      <c r="C473" s="13"/>
    </row>
    <row r="474" spans="1:3" ht="13" x14ac:dyDescent="0.15">
      <c r="A474" s="10"/>
      <c r="B474" s="13"/>
      <c r="C474" s="13"/>
    </row>
    <row r="475" spans="1:3" ht="13" x14ac:dyDescent="0.15">
      <c r="A475" s="10"/>
      <c r="B475" s="13"/>
      <c r="C475" s="13"/>
    </row>
    <row r="476" spans="1:3" ht="13" x14ac:dyDescent="0.15">
      <c r="A476" s="10"/>
      <c r="B476" s="13"/>
      <c r="C476" s="13"/>
    </row>
    <row r="477" spans="1:3" ht="13" x14ac:dyDescent="0.15">
      <c r="A477" s="10"/>
      <c r="B477" s="13"/>
      <c r="C477" s="13"/>
    </row>
    <row r="478" spans="1:3" ht="13" x14ac:dyDescent="0.15">
      <c r="A478" s="10"/>
      <c r="B478" s="13"/>
      <c r="C478" s="13"/>
    </row>
    <row r="479" spans="1:3" ht="13" x14ac:dyDescent="0.15">
      <c r="A479" s="10"/>
      <c r="B479" s="13"/>
      <c r="C479" s="13"/>
    </row>
    <row r="480" spans="1:3" ht="13" x14ac:dyDescent="0.15">
      <c r="A480" s="10"/>
      <c r="B480" s="13"/>
      <c r="C480" s="13"/>
    </row>
    <row r="481" spans="1:3" ht="13" x14ac:dyDescent="0.15">
      <c r="A481" s="10"/>
      <c r="B481" s="13"/>
      <c r="C481" s="13"/>
    </row>
    <row r="482" spans="1:3" ht="13" x14ac:dyDescent="0.15">
      <c r="A482" s="10"/>
      <c r="B482" s="13"/>
      <c r="C482" s="13"/>
    </row>
    <row r="483" spans="1:3" ht="13" x14ac:dyDescent="0.15">
      <c r="A483" s="10"/>
      <c r="B483" s="13"/>
      <c r="C483" s="13"/>
    </row>
    <row r="484" spans="1:3" ht="13" x14ac:dyDescent="0.15">
      <c r="A484" s="10"/>
      <c r="B484" s="13"/>
      <c r="C484" s="13"/>
    </row>
    <row r="485" spans="1:3" ht="13" x14ac:dyDescent="0.15">
      <c r="A485" s="10"/>
      <c r="B485" s="13"/>
      <c r="C485" s="13"/>
    </row>
    <row r="486" spans="1:3" ht="13" x14ac:dyDescent="0.15">
      <c r="A486" s="10"/>
      <c r="B486" s="13"/>
      <c r="C486" s="13"/>
    </row>
    <row r="487" spans="1:3" ht="13" x14ac:dyDescent="0.15">
      <c r="A487" s="10"/>
      <c r="B487" s="13"/>
      <c r="C487" s="13"/>
    </row>
    <row r="488" spans="1:3" ht="13" x14ac:dyDescent="0.15">
      <c r="A488" s="10"/>
      <c r="B488" s="13"/>
      <c r="C488" s="13"/>
    </row>
    <row r="489" spans="1:3" ht="13" x14ac:dyDescent="0.15">
      <c r="A489" s="10"/>
      <c r="B489" s="13"/>
      <c r="C489" s="13"/>
    </row>
    <row r="490" spans="1:3" ht="13" x14ac:dyDescent="0.15">
      <c r="A490" s="10"/>
      <c r="B490" s="13"/>
      <c r="C490" s="13"/>
    </row>
    <row r="491" spans="1:3" ht="13" x14ac:dyDescent="0.15">
      <c r="A491" s="10"/>
      <c r="B491" s="13"/>
      <c r="C491" s="13"/>
    </row>
    <row r="492" spans="1:3" ht="13" x14ac:dyDescent="0.15">
      <c r="A492" s="10"/>
      <c r="B492" s="13"/>
      <c r="C492" s="13"/>
    </row>
    <row r="493" spans="1:3" ht="13" x14ac:dyDescent="0.15">
      <c r="A493" s="10"/>
      <c r="B493" s="13"/>
      <c r="C493" s="13"/>
    </row>
    <row r="494" spans="1:3" ht="13" x14ac:dyDescent="0.15">
      <c r="A494" s="10"/>
      <c r="B494" s="13"/>
      <c r="C494" s="13"/>
    </row>
    <row r="495" spans="1:3" ht="13" x14ac:dyDescent="0.15">
      <c r="A495" s="10"/>
      <c r="B495" s="13"/>
      <c r="C495" s="13"/>
    </row>
    <row r="496" spans="1:3" ht="13" x14ac:dyDescent="0.15">
      <c r="A496" s="10"/>
      <c r="B496" s="13"/>
      <c r="C496" s="13"/>
    </row>
    <row r="497" spans="1:3" ht="13" x14ac:dyDescent="0.15">
      <c r="A497" s="10"/>
      <c r="B497" s="13"/>
      <c r="C497" s="13"/>
    </row>
    <row r="498" spans="1:3" ht="13" x14ac:dyDescent="0.15">
      <c r="A498" s="10"/>
      <c r="B498" s="13"/>
      <c r="C498" s="13"/>
    </row>
    <row r="499" spans="1:3" ht="13" x14ac:dyDescent="0.15">
      <c r="A499" s="10"/>
      <c r="B499" s="13"/>
      <c r="C499" s="13"/>
    </row>
    <row r="500" spans="1:3" ht="13" x14ac:dyDescent="0.15">
      <c r="A500" s="10"/>
      <c r="B500" s="13"/>
      <c r="C500" s="13"/>
    </row>
    <row r="501" spans="1:3" ht="13" x14ac:dyDescent="0.15">
      <c r="A501" s="10"/>
      <c r="B501" s="13"/>
      <c r="C501" s="13"/>
    </row>
    <row r="502" spans="1:3" ht="13" x14ac:dyDescent="0.15">
      <c r="A502" s="10"/>
      <c r="B502" s="13"/>
      <c r="C502" s="13"/>
    </row>
    <row r="503" spans="1:3" ht="13" x14ac:dyDescent="0.15">
      <c r="A503" s="10"/>
      <c r="B503" s="13"/>
      <c r="C503" s="13"/>
    </row>
    <row r="504" spans="1:3" ht="13" x14ac:dyDescent="0.15">
      <c r="A504" s="10"/>
      <c r="B504" s="13"/>
      <c r="C504" s="13"/>
    </row>
    <row r="505" spans="1:3" ht="13" x14ac:dyDescent="0.15">
      <c r="A505" s="10"/>
      <c r="B505" s="13"/>
      <c r="C505" s="13"/>
    </row>
    <row r="506" spans="1:3" ht="13" x14ac:dyDescent="0.15">
      <c r="A506" s="10"/>
      <c r="B506" s="13"/>
      <c r="C506" s="13"/>
    </row>
    <row r="507" spans="1:3" ht="13" x14ac:dyDescent="0.15">
      <c r="A507" s="10"/>
      <c r="B507" s="13"/>
      <c r="C507" s="13"/>
    </row>
    <row r="508" spans="1:3" ht="13" x14ac:dyDescent="0.15">
      <c r="A508" s="10"/>
      <c r="B508" s="13"/>
      <c r="C508" s="13"/>
    </row>
    <row r="509" spans="1:3" ht="13" x14ac:dyDescent="0.15">
      <c r="A509" s="10"/>
      <c r="B509" s="13"/>
      <c r="C509" s="13"/>
    </row>
    <row r="510" spans="1:3" ht="13" x14ac:dyDescent="0.15">
      <c r="A510" s="10"/>
      <c r="B510" s="13"/>
      <c r="C510" s="13"/>
    </row>
    <row r="511" spans="1:3" ht="13" x14ac:dyDescent="0.15">
      <c r="A511" s="10"/>
      <c r="B511" s="13"/>
      <c r="C511" s="13"/>
    </row>
    <row r="512" spans="1:3" ht="13" x14ac:dyDescent="0.15">
      <c r="A512" s="10"/>
      <c r="B512" s="13"/>
      <c r="C512" s="13"/>
    </row>
    <row r="513" spans="1:3" ht="13" x14ac:dyDescent="0.15">
      <c r="A513" s="10"/>
      <c r="B513" s="13"/>
      <c r="C513" s="13"/>
    </row>
    <row r="514" spans="1:3" ht="13" x14ac:dyDescent="0.15">
      <c r="A514" s="10"/>
      <c r="B514" s="13"/>
      <c r="C514" s="13"/>
    </row>
    <row r="515" spans="1:3" ht="13" x14ac:dyDescent="0.15">
      <c r="A515" s="10"/>
      <c r="B515" s="13"/>
      <c r="C515" s="13"/>
    </row>
    <row r="516" spans="1:3" ht="13" x14ac:dyDescent="0.15">
      <c r="A516" s="10"/>
      <c r="B516" s="13"/>
      <c r="C516" s="13"/>
    </row>
    <row r="517" spans="1:3" ht="13" x14ac:dyDescent="0.15">
      <c r="A517" s="10"/>
      <c r="B517" s="13"/>
      <c r="C517" s="13"/>
    </row>
    <row r="518" spans="1:3" ht="13" x14ac:dyDescent="0.15">
      <c r="A518" s="10"/>
      <c r="B518" s="13"/>
      <c r="C518" s="13"/>
    </row>
    <row r="519" spans="1:3" ht="13" x14ac:dyDescent="0.15">
      <c r="A519" s="10"/>
      <c r="B519" s="13"/>
      <c r="C519" s="13"/>
    </row>
    <row r="520" spans="1:3" ht="13" x14ac:dyDescent="0.15">
      <c r="A520" s="10"/>
      <c r="B520" s="13"/>
      <c r="C520" s="13"/>
    </row>
    <row r="521" spans="1:3" ht="13" x14ac:dyDescent="0.15">
      <c r="A521" s="10"/>
      <c r="B521" s="13"/>
      <c r="C521" s="13"/>
    </row>
    <row r="522" spans="1:3" ht="13" x14ac:dyDescent="0.15">
      <c r="A522" s="10"/>
      <c r="B522" s="13"/>
      <c r="C522" s="13"/>
    </row>
    <row r="523" spans="1:3" ht="13" x14ac:dyDescent="0.15">
      <c r="A523" s="10"/>
      <c r="B523" s="13"/>
      <c r="C523" s="13"/>
    </row>
    <row r="524" spans="1:3" ht="13" x14ac:dyDescent="0.15">
      <c r="A524" s="10"/>
      <c r="B524" s="13"/>
      <c r="C524" s="13"/>
    </row>
    <row r="525" spans="1:3" ht="13" x14ac:dyDescent="0.15">
      <c r="A525" s="10"/>
      <c r="B525" s="13"/>
      <c r="C525" s="13"/>
    </row>
    <row r="526" spans="1:3" ht="13" x14ac:dyDescent="0.15">
      <c r="A526" s="10"/>
      <c r="B526" s="13"/>
      <c r="C526" s="13"/>
    </row>
    <row r="527" spans="1:3" ht="13" x14ac:dyDescent="0.15">
      <c r="A527" s="10"/>
      <c r="B527" s="13"/>
      <c r="C527" s="13"/>
    </row>
    <row r="528" spans="1:3" ht="13" x14ac:dyDescent="0.15">
      <c r="A528" s="10"/>
      <c r="B528" s="13"/>
      <c r="C528" s="13"/>
    </row>
    <row r="529" spans="1:3" ht="13" x14ac:dyDescent="0.15">
      <c r="A529" s="10"/>
      <c r="B529" s="13"/>
      <c r="C529" s="13"/>
    </row>
    <row r="530" spans="1:3" ht="13" x14ac:dyDescent="0.15">
      <c r="A530" s="10"/>
      <c r="B530" s="13"/>
      <c r="C530" s="13"/>
    </row>
    <row r="531" spans="1:3" ht="13" x14ac:dyDescent="0.15">
      <c r="A531" s="10"/>
      <c r="B531" s="13"/>
      <c r="C531" s="13"/>
    </row>
    <row r="532" spans="1:3" ht="13" x14ac:dyDescent="0.15">
      <c r="A532" s="10"/>
      <c r="B532" s="13"/>
      <c r="C532" s="13"/>
    </row>
    <row r="533" spans="1:3" ht="13" x14ac:dyDescent="0.15">
      <c r="A533" s="10"/>
      <c r="B533" s="13"/>
      <c r="C533" s="13"/>
    </row>
    <row r="534" spans="1:3" ht="13" x14ac:dyDescent="0.15">
      <c r="A534" s="10"/>
      <c r="B534" s="13"/>
      <c r="C534" s="13"/>
    </row>
    <row r="535" spans="1:3" ht="13" x14ac:dyDescent="0.15">
      <c r="A535" s="10"/>
      <c r="B535" s="13"/>
      <c r="C535" s="13"/>
    </row>
    <row r="536" spans="1:3" ht="13" x14ac:dyDescent="0.15">
      <c r="A536" s="10"/>
      <c r="B536" s="13"/>
      <c r="C536" s="13"/>
    </row>
    <row r="537" spans="1:3" ht="13" x14ac:dyDescent="0.15">
      <c r="A537" s="10"/>
      <c r="B537" s="13"/>
      <c r="C537" s="13"/>
    </row>
    <row r="538" spans="1:3" ht="13" x14ac:dyDescent="0.15">
      <c r="A538" s="10"/>
      <c r="B538" s="13"/>
      <c r="C538" s="13"/>
    </row>
    <row r="539" spans="1:3" ht="13" x14ac:dyDescent="0.15">
      <c r="A539" s="10"/>
      <c r="B539" s="13"/>
      <c r="C539" s="13"/>
    </row>
    <row r="540" spans="1:3" ht="13" x14ac:dyDescent="0.15">
      <c r="A540" s="10"/>
      <c r="B540" s="13"/>
      <c r="C540" s="13"/>
    </row>
    <row r="541" spans="1:3" ht="13" x14ac:dyDescent="0.15">
      <c r="A541" s="10"/>
      <c r="B541" s="13"/>
      <c r="C541" s="13"/>
    </row>
    <row r="542" spans="1:3" ht="13" x14ac:dyDescent="0.15">
      <c r="A542" s="10"/>
      <c r="B542" s="13"/>
      <c r="C542" s="13"/>
    </row>
    <row r="543" spans="1:3" ht="13" x14ac:dyDescent="0.15">
      <c r="A543" s="10"/>
      <c r="B543" s="13"/>
      <c r="C543" s="13"/>
    </row>
    <row r="544" spans="1:3" ht="13" x14ac:dyDescent="0.15">
      <c r="A544" s="10"/>
      <c r="B544" s="13"/>
      <c r="C544" s="13"/>
    </row>
    <row r="545" spans="1:3" ht="13" x14ac:dyDescent="0.15">
      <c r="A545" s="10"/>
      <c r="B545" s="13"/>
      <c r="C545" s="13"/>
    </row>
    <row r="546" spans="1:3" ht="13" x14ac:dyDescent="0.15">
      <c r="A546" s="10"/>
      <c r="B546" s="13"/>
      <c r="C546" s="13"/>
    </row>
    <row r="547" spans="1:3" ht="13" x14ac:dyDescent="0.15">
      <c r="A547" s="10"/>
      <c r="B547" s="13"/>
      <c r="C547" s="13"/>
    </row>
    <row r="548" spans="1:3" ht="13" x14ac:dyDescent="0.15">
      <c r="A548" s="10"/>
      <c r="B548" s="13"/>
      <c r="C548" s="13"/>
    </row>
    <row r="549" spans="1:3" ht="13" x14ac:dyDescent="0.15">
      <c r="A549" s="10"/>
      <c r="B549" s="13"/>
      <c r="C549" s="13"/>
    </row>
    <row r="550" spans="1:3" ht="13" x14ac:dyDescent="0.15">
      <c r="A550" s="10"/>
      <c r="B550" s="13"/>
      <c r="C550" s="13"/>
    </row>
    <row r="551" spans="1:3" ht="13" x14ac:dyDescent="0.15">
      <c r="A551" s="10"/>
      <c r="B551" s="13"/>
      <c r="C551" s="13"/>
    </row>
    <row r="552" spans="1:3" ht="13" x14ac:dyDescent="0.15">
      <c r="A552" s="10"/>
      <c r="B552" s="13"/>
      <c r="C552" s="13"/>
    </row>
    <row r="553" spans="1:3" ht="13" x14ac:dyDescent="0.15">
      <c r="A553" s="10"/>
      <c r="B553" s="13"/>
      <c r="C553" s="13"/>
    </row>
    <row r="554" spans="1:3" ht="13" x14ac:dyDescent="0.15">
      <c r="A554" s="10"/>
      <c r="B554" s="13"/>
      <c r="C554" s="13"/>
    </row>
    <row r="555" spans="1:3" ht="13" x14ac:dyDescent="0.15">
      <c r="A555" s="10"/>
      <c r="B555" s="13"/>
      <c r="C555" s="13"/>
    </row>
    <row r="556" spans="1:3" ht="13" x14ac:dyDescent="0.15">
      <c r="A556" s="10"/>
      <c r="B556" s="13"/>
      <c r="C556" s="13"/>
    </row>
    <row r="557" spans="1:3" ht="13" x14ac:dyDescent="0.15">
      <c r="A557" s="10"/>
      <c r="B557" s="13"/>
      <c r="C557" s="13"/>
    </row>
    <row r="558" spans="1:3" ht="13" x14ac:dyDescent="0.15">
      <c r="A558" s="10"/>
      <c r="B558" s="13"/>
      <c r="C558" s="13"/>
    </row>
    <row r="559" spans="1:3" ht="13" x14ac:dyDescent="0.15">
      <c r="A559" s="10"/>
      <c r="B559" s="13"/>
      <c r="C559" s="13"/>
    </row>
    <row r="560" spans="1:3" ht="13" x14ac:dyDescent="0.15">
      <c r="A560" s="10"/>
      <c r="B560" s="13"/>
      <c r="C560" s="13"/>
    </row>
    <row r="561" spans="1:3" ht="13" x14ac:dyDescent="0.15">
      <c r="A561" s="10"/>
      <c r="B561" s="13"/>
      <c r="C561" s="13"/>
    </row>
    <row r="562" spans="1:3" ht="13" x14ac:dyDescent="0.15">
      <c r="A562" s="10"/>
      <c r="B562" s="13"/>
      <c r="C562" s="13"/>
    </row>
    <row r="563" spans="1:3" ht="13" x14ac:dyDescent="0.15">
      <c r="A563" s="10"/>
      <c r="B563" s="13"/>
      <c r="C563" s="13"/>
    </row>
    <row r="564" spans="1:3" ht="13" x14ac:dyDescent="0.15">
      <c r="A564" s="10"/>
      <c r="B564" s="13"/>
      <c r="C564" s="13"/>
    </row>
    <row r="565" spans="1:3" ht="13" x14ac:dyDescent="0.15">
      <c r="A565" s="10"/>
      <c r="B565" s="13"/>
      <c r="C565" s="13"/>
    </row>
    <row r="566" spans="1:3" ht="13" x14ac:dyDescent="0.15">
      <c r="A566" s="10"/>
      <c r="B566" s="13"/>
      <c r="C566" s="13"/>
    </row>
    <row r="567" spans="1:3" ht="13" x14ac:dyDescent="0.15">
      <c r="A567" s="10"/>
      <c r="B567" s="13"/>
      <c r="C567" s="13"/>
    </row>
    <row r="568" spans="1:3" ht="13" x14ac:dyDescent="0.15">
      <c r="A568" s="10"/>
      <c r="B568" s="13"/>
      <c r="C568" s="13"/>
    </row>
    <row r="569" spans="1:3" ht="13" x14ac:dyDescent="0.15">
      <c r="A569" s="10"/>
      <c r="B569" s="13"/>
      <c r="C569" s="13"/>
    </row>
    <row r="570" spans="1:3" ht="13" x14ac:dyDescent="0.15">
      <c r="A570" s="10"/>
      <c r="B570" s="13"/>
      <c r="C570" s="13"/>
    </row>
    <row r="571" spans="1:3" ht="13" x14ac:dyDescent="0.15">
      <c r="A571" s="10"/>
      <c r="B571" s="13"/>
      <c r="C571" s="13"/>
    </row>
    <row r="572" spans="1:3" ht="13" x14ac:dyDescent="0.15">
      <c r="A572" s="10"/>
      <c r="B572" s="13"/>
      <c r="C572" s="13"/>
    </row>
    <row r="573" spans="1:3" ht="13" x14ac:dyDescent="0.15">
      <c r="A573" s="10"/>
      <c r="B573" s="13"/>
      <c r="C573" s="13"/>
    </row>
    <row r="574" spans="1:3" ht="13" x14ac:dyDescent="0.15">
      <c r="A574" s="10"/>
      <c r="B574" s="13"/>
      <c r="C574" s="13"/>
    </row>
    <row r="575" spans="1:3" ht="13" x14ac:dyDescent="0.15">
      <c r="A575" s="10"/>
      <c r="B575" s="13"/>
      <c r="C575" s="13"/>
    </row>
    <row r="576" spans="1:3" ht="13" x14ac:dyDescent="0.15">
      <c r="A576" s="10"/>
      <c r="B576" s="13"/>
      <c r="C576" s="13"/>
    </row>
    <row r="577" spans="1:3" ht="13" x14ac:dyDescent="0.15">
      <c r="A577" s="10"/>
      <c r="B577" s="13"/>
      <c r="C577" s="13"/>
    </row>
    <row r="578" spans="1:3" ht="13" x14ac:dyDescent="0.15">
      <c r="A578" s="10"/>
      <c r="B578" s="13"/>
      <c r="C578" s="13"/>
    </row>
    <row r="579" spans="1:3" ht="13" x14ac:dyDescent="0.15">
      <c r="A579" s="10"/>
      <c r="B579" s="13"/>
      <c r="C579" s="13"/>
    </row>
    <row r="580" spans="1:3" ht="13" x14ac:dyDescent="0.15">
      <c r="A580" s="10"/>
      <c r="B580" s="13"/>
      <c r="C580" s="13"/>
    </row>
    <row r="581" spans="1:3" ht="13" x14ac:dyDescent="0.15">
      <c r="A581" s="10"/>
      <c r="B581" s="13"/>
      <c r="C581" s="13"/>
    </row>
    <row r="582" spans="1:3" ht="13" x14ac:dyDescent="0.15">
      <c r="A582" s="10"/>
      <c r="B582" s="13"/>
      <c r="C582" s="13"/>
    </row>
    <row r="583" spans="1:3" ht="13" x14ac:dyDescent="0.15">
      <c r="A583" s="10"/>
      <c r="B583" s="13"/>
      <c r="C583" s="13"/>
    </row>
    <row r="584" spans="1:3" ht="13" x14ac:dyDescent="0.15">
      <c r="A584" s="10"/>
      <c r="B584" s="13"/>
      <c r="C584" s="13"/>
    </row>
    <row r="585" spans="1:3" ht="13" x14ac:dyDescent="0.15">
      <c r="A585" s="10"/>
      <c r="B585" s="13"/>
      <c r="C585" s="13"/>
    </row>
    <row r="586" spans="1:3" ht="13" x14ac:dyDescent="0.15">
      <c r="A586" s="10"/>
      <c r="B586" s="13"/>
      <c r="C586" s="13"/>
    </row>
    <row r="587" spans="1:3" ht="13" x14ac:dyDescent="0.15">
      <c r="A587" s="10"/>
      <c r="B587" s="13"/>
      <c r="C587" s="13"/>
    </row>
    <row r="588" spans="1:3" ht="13" x14ac:dyDescent="0.15">
      <c r="A588" s="10"/>
      <c r="B588" s="13"/>
      <c r="C588" s="13"/>
    </row>
    <row r="589" spans="1:3" ht="13" x14ac:dyDescent="0.15">
      <c r="A589" s="10"/>
      <c r="B589" s="13"/>
      <c r="C589" s="13"/>
    </row>
    <row r="590" spans="1:3" ht="13" x14ac:dyDescent="0.15">
      <c r="A590" s="10"/>
      <c r="B590" s="13"/>
      <c r="C590" s="13"/>
    </row>
    <row r="591" spans="1:3" ht="13" x14ac:dyDescent="0.15">
      <c r="A591" s="10"/>
      <c r="B591" s="13"/>
      <c r="C591" s="13"/>
    </row>
    <row r="592" spans="1:3" ht="13" x14ac:dyDescent="0.15">
      <c r="A592" s="10"/>
      <c r="B592" s="13"/>
      <c r="C592" s="13"/>
    </row>
    <row r="593" spans="1:3" ht="13" x14ac:dyDescent="0.15">
      <c r="A593" s="10"/>
      <c r="B593" s="13"/>
      <c r="C593" s="13"/>
    </row>
    <row r="594" spans="1:3" ht="13" x14ac:dyDescent="0.15">
      <c r="A594" s="10"/>
      <c r="B594" s="13"/>
      <c r="C594" s="13"/>
    </row>
    <row r="595" spans="1:3" ht="13" x14ac:dyDescent="0.15">
      <c r="A595" s="10"/>
      <c r="B595" s="13"/>
      <c r="C595" s="13"/>
    </row>
    <row r="596" spans="1:3" ht="13" x14ac:dyDescent="0.15">
      <c r="A596" s="10"/>
      <c r="B596" s="13"/>
      <c r="C596" s="13"/>
    </row>
    <row r="597" spans="1:3" ht="13" x14ac:dyDescent="0.15">
      <c r="A597" s="10"/>
      <c r="B597" s="13"/>
      <c r="C597" s="13"/>
    </row>
    <row r="598" spans="1:3" ht="13" x14ac:dyDescent="0.15">
      <c r="A598" s="10"/>
      <c r="B598" s="13"/>
      <c r="C598" s="13"/>
    </row>
    <row r="599" spans="1:3" ht="13" x14ac:dyDescent="0.15">
      <c r="A599" s="10"/>
      <c r="B599" s="13"/>
      <c r="C599" s="13"/>
    </row>
    <row r="600" spans="1:3" ht="13" x14ac:dyDescent="0.15">
      <c r="A600" s="10"/>
      <c r="B600" s="13"/>
      <c r="C600" s="13"/>
    </row>
    <row r="601" spans="1:3" ht="13" x14ac:dyDescent="0.15">
      <c r="A601" s="10"/>
      <c r="B601" s="13"/>
      <c r="C601" s="13"/>
    </row>
    <row r="602" spans="1:3" ht="13" x14ac:dyDescent="0.15">
      <c r="A602" s="10"/>
      <c r="B602" s="13"/>
      <c r="C602" s="13"/>
    </row>
    <row r="603" spans="1:3" ht="13" x14ac:dyDescent="0.15">
      <c r="A603" s="10"/>
      <c r="B603" s="13"/>
      <c r="C603" s="13"/>
    </row>
    <row r="604" spans="1:3" ht="13" x14ac:dyDescent="0.15">
      <c r="A604" s="10"/>
      <c r="B604" s="13"/>
      <c r="C604" s="13"/>
    </row>
    <row r="605" spans="1:3" ht="13" x14ac:dyDescent="0.15">
      <c r="A605" s="10"/>
      <c r="B605" s="13"/>
      <c r="C605" s="13"/>
    </row>
    <row r="606" spans="1:3" ht="13" x14ac:dyDescent="0.15">
      <c r="A606" s="10"/>
      <c r="B606" s="13"/>
      <c r="C606" s="13"/>
    </row>
    <row r="607" spans="1:3" ht="13" x14ac:dyDescent="0.15">
      <c r="A607" s="10"/>
      <c r="B607" s="13"/>
      <c r="C607" s="13"/>
    </row>
    <row r="608" spans="1:3" ht="13" x14ac:dyDescent="0.15">
      <c r="A608" s="10"/>
      <c r="B608" s="13"/>
      <c r="C608" s="13"/>
    </row>
    <row r="609" spans="1:3" ht="13" x14ac:dyDescent="0.15">
      <c r="A609" s="10"/>
      <c r="B609" s="13"/>
      <c r="C609" s="13"/>
    </row>
    <row r="610" spans="1:3" ht="13" x14ac:dyDescent="0.15">
      <c r="A610" s="10"/>
      <c r="B610" s="13"/>
      <c r="C610" s="13"/>
    </row>
    <row r="611" spans="1:3" ht="13" x14ac:dyDescent="0.15">
      <c r="A611" s="10"/>
      <c r="B611" s="13"/>
      <c r="C611" s="13"/>
    </row>
    <row r="612" spans="1:3" ht="13" x14ac:dyDescent="0.15">
      <c r="A612" s="10"/>
      <c r="B612" s="13"/>
      <c r="C612" s="13"/>
    </row>
    <row r="613" spans="1:3" ht="13" x14ac:dyDescent="0.15">
      <c r="A613" s="10"/>
      <c r="B613" s="13"/>
      <c r="C613" s="13"/>
    </row>
    <row r="614" spans="1:3" ht="13" x14ac:dyDescent="0.15">
      <c r="A614" s="10"/>
      <c r="B614" s="13"/>
      <c r="C614" s="13"/>
    </row>
    <row r="615" spans="1:3" ht="13" x14ac:dyDescent="0.15">
      <c r="A615" s="10"/>
      <c r="B615" s="13"/>
      <c r="C615" s="13"/>
    </row>
    <row r="616" spans="1:3" ht="13" x14ac:dyDescent="0.15">
      <c r="A616" s="10"/>
      <c r="B616" s="13"/>
      <c r="C616" s="13"/>
    </row>
    <row r="617" spans="1:3" ht="13" x14ac:dyDescent="0.15">
      <c r="A617" s="10"/>
      <c r="B617" s="13"/>
      <c r="C617" s="13"/>
    </row>
    <row r="618" spans="1:3" ht="13" x14ac:dyDescent="0.15">
      <c r="A618" s="10"/>
      <c r="B618" s="13"/>
      <c r="C618" s="13"/>
    </row>
    <row r="619" spans="1:3" ht="13" x14ac:dyDescent="0.15">
      <c r="A619" s="10"/>
      <c r="B619" s="13"/>
      <c r="C619" s="13"/>
    </row>
    <row r="620" spans="1:3" ht="13" x14ac:dyDescent="0.15">
      <c r="A620" s="10"/>
      <c r="B620" s="13"/>
      <c r="C620" s="13"/>
    </row>
    <row r="621" spans="1:3" ht="13" x14ac:dyDescent="0.15">
      <c r="A621" s="10"/>
      <c r="B621" s="13"/>
      <c r="C621" s="13"/>
    </row>
    <row r="622" spans="1:3" ht="13" x14ac:dyDescent="0.15">
      <c r="A622" s="10"/>
      <c r="B622" s="13"/>
      <c r="C622" s="13"/>
    </row>
    <row r="623" spans="1:3" ht="13" x14ac:dyDescent="0.15">
      <c r="A623" s="10"/>
      <c r="B623" s="13"/>
      <c r="C623" s="13"/>
    </row>
    <row r="624" spans="1:3" ht="13" x14ac:dyDescent="0.15">
      <c r="A624" s="10"/>
      <c r="B624" s="13"/>
      <c r="C624" s="13"/>
    </row>
    <row r="625" spans="1:3" ht="13" x14ac:dyDescent="0.15">
      <c r="A625" s="10"/>
      <c r="B625" s="13"/>
      <c r="C625" s="13"/>
    </row>
    <row r="626" spans="1:3" ht="13" x14ac:dyDescent="0.15">
      <c r="A626" s="10"/>
      <c r="B626" s="13"/>
      <c r="C626" s="13"/>
    </row>
    <row r="627" spans="1:3" ht="13" x14ac:dyDescent="0.15">
      <c r="A627" s="10"/>
      <c r="B627" s="13"/>
      <c r="C627" s="13"/>
    </row>
    <row r="628" spans="1:3" ht="13" x14ac:dyDescent="0.15">
      <c r="A628" s="10"/>
      <c r="B628" s="13"/>
      <c r="C628" s="13"/>
    </row>
    <row r="629" spans="1:3" ht="13" x14ac:dyDescent="0.15">
      <c r="A629" s="10"/>
      <c r="B629" s="13"/>
      <c r="C629" s="13"/>
    </row>
    <row r="630" spans="1:3" ht="13" x14ac:dyDescent="0.15">
      <c r="A630" s="10"/>
      <c r="B630" s="13"/>
      <c r="C630" s="13"/>
    </row>
    <row r="631" spans="1:3" ht="13" x14ac:dyDescent="0.15">
      <c r="A631" s="10"/>
      <c r="B631" s="13"/>
      <c r="C631" s="13"/>
    </row>
    <row r="632" spans="1:3" ht="13" x14ac:dyDescent="0.15">
      <c r="A632" s="10"/>
      <c r="B632" s="13"/>
      <c r="C632" s="13"/>
    </row>
    <row r="633" spans="1:3" ht="13" x14ac:dyDescent="0.15">
      <c r="A633" s="10"/>
      <c r="B633" s="13"/>
      <c r="C633" s="13"/>
    </row>
    <row r="634" spans="1:3" ht="13" x14ac:dyDescent="0.15">
      <c r="A634" s="10"/>
      <c r="B634" s="13"/>
      <c r="C634" s="13"/>
    </row>
    <row r="635" spans="1:3" ht="13" x14ac:dyDescent="0.15">
      <c r="A635" s="10"/>
      <c r="B635" s="13"/>
      <c r="C635" s="13"/>
    </row>
    <row r="636" spans="1:3" ht="13" x14ac:dyDescent="0.15">
      <c r="A636" s="10"/>
      <c r="B636" s="13"/>
      <c r="C636" s="13"/>
    </row>
    <row r="637" spans="1:3" ht="13" x14ac:dyDescent="0.15">
      <c r="A637" s="10"/>
      <c r="B637" s="13"/>
      <c r="C637" s="13"/>
    </row>
    <row r="638" spans="1:3" ht="13" x14ac:dyDescent="0.15">
      <c r="A638" s="10"/>
      <c r="B638" s="13"/>
      <c r="C638" s="13"/>
    </row>
    <row r="639" spans="1:3" ht="13" x14ac:dyDescent="0.15">
      <c r="A639" s="10"/>
      <c r="B639" s="13"/>
      <c r="C639" s="13"/>
    </row>
    <row r="640" spans="1:3" ht="13" x14ac:dyDescent="0.15">
      <c r="A640" s="10"/>
      <c r="B640" s="13"/>
      <c r="C640" s="13"/>
    </row>
    <row r="641" spans="1:3" ht="13" x14ac:dyDescent="0.15">
      <c r="A641" s="10"/>
      <c r="B641" s="13"/>
      <c r="C641" s="13"/>
    </row>
    <row r="642" spans="1:3" ht="13" x14ac:dyDescent="0.15">
      <c r="A642" s="10"/>
      <c r="B642" s="13"/>
      <c r="C642" s="13"/>
    </row>
    <row r="643" spans="1:3" ht="13" x14ac:dyDescent="0.15">
      <c r="A643" s="10"/>
      <c r="B643" s="13"/>
      <c r="C643" s="13"/>
    </row>
    <row r="644" spans="1:3" ht="13" x14ac:dyDescent="0.15">
      <c r="A644" s="10"/>
      <c r="B644" s="13"/>
      <c r="C644" s="13"/>
    </row>
    <row r="645" spans="1:3" ht="13" x14ac:dyDescent="0.15">
      <c r="A645" s="10"/>
      <c r="B645" s="13"/>
      <c r="C645" s="13"/>
    </row>
    <row r="646" spans="1:3" ht="13" x14ac:dyDescent="0.15">
      <c r="A646" s="10"/>
      <c r="B646" s="13"/>
      <c r="C646" s="13"/>
    </row>
    <row r="647" spans="1:3" ht="13" x14ac:dyDescent="0.15">
      <c r="A647" s="10"/>
      <c r="B647" s="13"/>
      <c r="C647" s="13"/>
    </row>
    <row r="648" spans="1:3" ht="13" x14ac:dyDescent="0.15">
      <c r="A648" s="10"/>
      <c r="B648" s="13"/>
      <c r="C648" s="13"/>
    </row>
    <row r="649" spans="1:3" ht="13" x14ac:dyDescent="0.15">
      <c r="A649" s="10"/>
      <c r="B649" s="13"/>
      <c r="C649" s="13"/>
    </row>
    <row r="650" spans="1:3" ht="13" x14ac:dyDescent="0.15">
      <c r="A650" s="10"/>
      <c r="B650" s="13"/>
      <c r="C650" s="13"/>
    </row>
    <row r="651" spans="1:3" ht="13" x14ac:dyDescent="0.15">
      <c r="A651" s="10"/>
      <c r="B651" s="13"/>
      <c r="C651" s="13"/>
    </row>
    <row r="652" spans="1:3" ht="13" x14ac:dyDescent="0.15">
      <c r="A652" s="10"/>
      <c r="B652" s="13"/>
      <c r="C652" s="13"/>
    </row>
    <row r="653" spans="1:3" ht="13" x14ac:dyDescent="0.15">
      <c r="A653" s="10"/>
      <c r="B653" s="13"/>
      <c r="C653" s="13"/>
    </row>
    <row r="654" spans="1:3" ht="13" x14ac:dyDescent="0.15">
      <c r="A654" s="10"/>
      <c r="B654" s="13"/>
      <c r="C654" s="13"/>
    </row>
    <row r="655" spans="1:3" ht="13" x14ac:dyDescent="0.15">
      <c r="A655" s="10"/>
      <c r="B655" s="13"/>
      <c r="C655" s="13"/>
    </row>
    <row r="656" spans="1:3" ht="13" x14ac:dyDescent="0.15">
      <c r="A656" s="10"/>
      <c r="B656" s="13"/>
      <c r="C656" s="13"/>
    </row>
    <row r="657" spans="1:3" ht="13" x14ac:dyDescent="0.15">
      <c r="A657" s="10"/>
      <c r="B657" s="13"/>
      <c r="C657" s="13"/>
    </row>
    <row r="658" spans="1:3" ht="13" x14ac:dyDescent="0.15">
      <c r="A658" s="10"/>
      <c r="B658" s="13"/>
      <c r="C658" s="13"/>
    </row>
    <row r="659" spans="1:3" ht="13" x14ac:dyDescent="0.15">
      <c r="A659" s="10"/>
      <c r="B659" s="13"/>
      <c r="C659" s="13"/>
    </row>
    <row r="660" spans="1:3" ht="13" x14ac:dyDescent="0.15">
      <c r="A660" s="10"/>
      <c r="B660" s="13"/>
      <c r="C660" s="13"/>
    </row>
    <row r="661" spans="1:3" ht="13" x14ac:dyDescent="0.15">
      <c r="A661" s="10"/>
      <c r="B661" s="13"/>
      <c r="C661" s="13"/>
    </row>
    <row r="662" spans="1:3" ht="13" x14ac:dyDescent="0.15">
      <c r="A662" s="10"/>
      <c r="B662" s="13"/>
      <c r="C662" s="13"/>
    </row>
    <row r="663" spans="1:3" ht="13" x14ac:dyDescent="0.15">
      <c r="A663" s="10"/>
      <c r="B663" s="13"/>
      <c r="C663" s="13"/>
    </row>
    <row r="664" spans="1:3" ht="13" x14ac:dyDescent="0.15">
      <c r="A664" s="10"/>
      <c r="B664" s="13"/>
      <c r="C664" s="13"/>
    </row>
    <row r="665" spans="1:3" ht="13" x14ac:dyDescent="0.15">
      <c r="A665" s="10"/>
      <c r="B665" s="13"/>
      <c r="C665" s="13"/>
    </row>
    <row r="666" spans="1:3" ht="13" x14ac:dyDescent="0.15">
      <c r="A666" s="10"/>
      <c r="B666" s="13"/>
      <c r="C666" s="13"/>
    </row>
    <row r="667" spans="1:3" ht="13" x14ac:dyDescent="0.15">
      <c r="A667" s="10"/>
      <c r="B667" s="13"/>
      <c r="C667" s="13"/>
    </row>
    <row r="668" spans="1:3" ht="13" x14ac:dyDescent="0.15">
      <c r="A668" s="10"/>
      <c r="B668" s="13"/>
      <c r="C668" s="13"/>
    </row>
    <row r="669" spans="1:3" ht="13" x14ac:dyDescent="0.15">
      <c r="A669" s="10"/>
      <c r="B669" s="13"/>
      <c r="C669" s="13"/>
    </row>
    <row r="670" spans="1:3" ht="13" x14ac:dyDescent="0.15">
      <c r="A670" s="10"/>
      <c r="B670" s="13"/>
      <c r="C670" s="13"/>
    </row>
    <row r="671" spans="1:3" ht="13" x14ac:dyDescent="0.15">
      <c r="A671" s="10"/>
      <c r="B671" s="13"/>
      <c r="C671" s="13"/>
    </row>
    <row r="672" spans="1:3" ht="13" x14ac:dyDescent="0.15">
      <c r="A672" s="10"/>
      <c r="B672" s="13"/>
      <c r="C672" s="13"/>
    </row>
    <row r="673" spans="1:3" ht="13" x14ac:dyDescent="0.15">
      <c r="A673" s="10"/>
      <c r="B673" s="13"/>
      <c r="C673" s="13"/>
    </row>
    <row r="674" spans="1:3" ht="13" x14ac:dyDescent="0.15">
      <c r="A674" s="10"/>
      <c r="B674" s="13"/>
      <c r="C674" s="13"/>
    </row>
    <row r="675" spans="1:3" ht="13" x14ac:dyDescent="0.15">
      <c r="A675" s="10"/>
      <c r="B675" s="13"/>
      <c r="C675" s="13"/>
    </row>
    <row r="676" spans="1:3" ht="13" x14ac:dyDescent="0.15">
      <c r="A676" s="10"/>
      <c r="B676" s="13"/>
      <c r="C676" s="13"/>
    </row>
    <row r="677" spans="1:3" ht="13" x14ac:dyDescent="0.15">
      <c r="A677" s="10"/>
      <c r="B677" s="13"/>
      <c r="C677" s="13"/>
    </row>
    <row r="678" spans="1:3" ht="13" x14ac:dyDescent="0.15">
      <c r="A678" s="10"/>
      <c r="B678" s="13"/>
      <c r="C678" s="13"/>
    </row>
    <row r="679" spans="1:3" ht="13" x14ac:dyDescent="0.15">
      <c r="A679" s="10"/>
      <c r="B679" s="13"/>
      <c r="C679" s="13"/>
    </row>
    <row r="680" spans="1:3" ht="13" x14ac:dyDescent="0.15">
      <c r="A680" s="10"/>
      <c r="B680" s="13"/>
      <c r="C680" s="13"/>
    </row>
    <row r="681" spans="1:3" ht="13" x14ac:dyDescent="0.15">
      <c r="A681" s="10"/>
      <c r="B681" s="13"/>
      <c r="C681" s="13"/>
    </row>
    <row r="682" spans="1:3" ht="13" x14ac:dyDescent="0.15">
      <c r="A682" s="10"/>
      <c r="B682" s="13"/>
      <c r="C682" s="13"/>
    </row>
    <row r="683" spans="1:3" ht="13" x14ac:dyDescent="0.15">
      <c r="A683" s="10"/>
      <c r="B683" s="13"/>
      <c r="C683" s="13"/>
    </row>
    <row r="684" spans="1:3" ht="13" x14ac:dyDescent="0.15">
      <c r="A684" s="10"/>
      <c r="B684" s="13"/>
      <c r="C684" s="13"/>
    </row>
    <row r="685" spans="1:3" ht="13" x14ac:dyDescent="0.15">
      <c r="A685" s="10"/>
      <c r="B685" s="13"/>
      <c r="C685" s="13"/>
    </row>
    <row r="686" spans="1:3" ht="13" x14ac:dyDescent="0.15">
      <c r="A686" s="10"/>
      <c r="B686" s="13"/>
      <c r="C686" s="13"/>
    </row>
    <row r="687" spans="1:3" ht="13" x14ac:dyDescent="0.15">
      <c r="A687" s="10"/>
      <c r="B687" s="13"/>
      <c r="C687" s="13"/>
    </row>
    <row r="688" spans="1:3" ht="13" x14ac:dyDescent="0.15">
      <c r="A688" s="10"/>
      <c r="B688" s="13"/>
      <c r="C688" s="13"/>
    </row>
    <row r="689" spans="1:3" ht="13" x14ac:dyDescent="0.15">
      <c r="A689" s="10"/>
      <c r="B689" s="13"/>
      <c r="C689" s="13"/>
    </row>
    <row r="690" spans="1:3" ht="13" x14ac:dyDescent="0.15">
      <c r="A690" s="10"/>
      <c r="B690" s="13"/>
      <c r="C690" s="13"/>
    </row>
    <row r="691" spans="1:3" ht="13" x14ac:dyDescent="0.15">
      <c r="A691" s="10"/>
      <c r="B691" s="13"/>
      <c r="C691" s="13"/>
    </row>
    <row r="692" spans="1:3" ht="13" x14ac:dyDescent="0.15">
      <c r="A692" s="10"/>
      <c r="B692" s="13"/>
      <c r="C692" s="13"/>
    </row>
    <row r="693" spans="1:3" ht="13" x14ac:dyDescent="0.15">
      <c r="A693" s="10"/>
      <c r="B693" s="13"/>
      <c r="C693" s="13"/>
    </row>
    <row r="694" spans="1:3" ht="13" x14ac:dyDescent="0.15">
      <c r="A694" s="10"/>
      <c r="B694" s="13"/>
      <c r="C694" s="13"/>
    </row>
    <row r="695" spans="1:3" ht="13" x14ac:dyDescent="0.15">
      <c r="A695" s="10"/>
      <c r="B695" s="13"/>
      <c r="C695" s="13"/>
    </row>
    <row r="696" spans="1:3" ht="13" x14ac:dyDescent="0.15">
      <c r="A696" s="10"/>
      <c r="B696" s="13"/>
      <c r="C696" s="13"/>
    </row>
    <row r="697" spans="1:3" ht="13" x14ac:dyDescent="0.15">
      <c r="A697" s="10"/>
      <c r="B697" s="13"/>
      <c r="C697" s="13"/>
    </row>
    <row r="698" spans="1:3" ht="13" x14ac:dyDescent="0.15">
      <c r="A698" s="10"/>
      <c r="B698" s="13"/>
      <c r="C698" s="13"/>
    </row>
    <row r="699" spans="1:3" ht="13" x14ac:dyDescent="0.15">
      <c r="A699" s="10"/>
      <c r="B699" s="13"/>
      <c r="C699" s="13"/>
    </row>
    <row r="700" spans="1:3" ht="13" x14ac:dyDescent="0.15">
      <c r="A700" s="10"/>
      <c r="B700" s="13"/>
      <c r="C700" s="13"/>
    </row>
    <row r="701" spans="1:3" ht="13" x14ac:dyDescent="0.15">
      <c r="A701" s="10"/>
      <c r="B701" s="13"/>
      <c r="C701" s="13"/>
    </row>
    <row r="702" spans="1:3" ht="13" x14ac:dyDescent="0.15">
      <c r="A702" s="10"/>
      <c r="B702" s="13"/>
      <c r="C702" s="13"/>
    </row>
    <row r="703" spans="1:3" ht="13" x14ac:dyDescent="0.15">
      <c r="A703" s="10"/>
      <c r="B703" s="13"/>
      <c r="C703" s="13"/>
    </row>
    <row r="704" spans="1:3" ht="13" x14ac:dyDescent="0.15">
      <c r="A704" s="10"/>
      <c r="B704" s="13"/>
      <c r="C704" s="13"/>
    </row>
    <row r="705" spans="1:3" ht="13" x14ac:dyDescent="0.15">
      <c r="A705" s="10"/>
      <c r="B705" s="13"/>
      <c r="C705" s="13"/>
    </row>
    <row r="706" spans="1:3" ht="13" x14ac:dyDescent="0.15">
      <c r="A706" s="10"/>
      <c r="B706" s="13"/>
      <c r="C706" s="13"/>
    </row>
    <row r="707" spans="1:3" ht="13" x14ac:dyDescent="0.15">
      <c r="A707" s="10"/>
      <c r="B707" s="13"/>
      <c r="C707" s="13"/>
    </row>
    <row r="708" spans="1:3" ht="13" x14ac:dyDescent="0.15">
      <c r="A708" s="10"/>
      <c r="B708" s="13"/>
      <c r="C708" s="13"/>
    </row>
    <row r="709" spans="1:3" ht="13" x14ac:dyDescent="0.15">
      <c r="A709" s="10"/>
      <c r="B709" s="13"/>
      <c r="C709" s="13"/>
    </row>
    <row r="710" spans="1:3" ht="13" x14ac:dyDescent="0.15">
      <c r="A710" s="10"/>
      <c r="B710" s="13"/>
      <c r="C710" s="13"/>
    </row>
    <row r="711" spans="1:3" ht="13" x14ac:dyDescent="0.15">
      <c r="A711" s="10"/>
      <c r="B711" s="13"/>
      <c r="C711" s="13"/>
    </row>
    <row r="712" spans="1:3" ht="13" x14ac:dyDescent="0.15">
      <c r="A712" s="10"/>
      <c r="B712" s="13"/>
      <c r="C712" s="13"/>
    </row>
    <row r="713" spans="1:3" ht="13" x14ac:dyDescent="0.15">
      <c r="A713" s="10"/>
      <c r="B713" s="13"/>
      <c r="C713" s="13"/>
    </row>
    <row r="714" spans="1:3" ht="13" x14ac:dyDescent="0.15">
      <c r="A714" s="10"/>
      <c r="B714" s="13"/>
      <c r="C714" s="13"/>
    </row>
    <row r="715" spans="1:3" ht="13" x14ac:dyDescent="0.15">
      <c r="A715" s="10"/>
      <c r="B715" s="13"/>
      <c r="C715" s="13"/>
    </row>
    <row r="716" spans="1:3" ht="13" x14ac:dyDescent="0.15">
      <c r="A716" s="10"/>
      <c r="B716" s="13"/>
      <c r="C716" s="13"/>
    </row>
    <row r="717" spans="1:3" ht="13" x14ac:dyDescent="0.15">
      <c r="A717" s="10"/>
      <c r="B717" s="13"/>
      <c r="C717" s="13"/>
    </row>
    <row r="718" spans="1:3" ht="13" x14ac:dyDescent="0.15">
      <c r="A718" s="10"/>
      <c r="B718" s="13"/>
      <c r="C718" s="13"/>
    </row>
    <row r="719" spans="1:3" ht="13" x14ac:dyDescent="0.15">
      <c r="A719" s="10"/>
      <c r="B719" s="13"/>
      <c r="C719" s="13"/>
    </row>
    <row r="720" spans="1:3" ht="13" x14ac:dyDescent="0.15">
      <c r="A720" s="10"/>
      <c r="B720" s="13"/>
      <c r="C720" s="13"/>
    </row>
    <row r="721" spans="1:3" ht="13" x14ac:dyDescent="0.15">
      <c r="A721" s="10"/>
      <c r="B721" s="13"/>
      <c r="C721" s="13"/>
    </row>
    <row r="722" spans="1:3" ht="13" x14ac:dyDescent="0.15">
      <c r="A722" s="10"/>
      <c r="B722" s="13"/>
      <c r="C722" s="13"/>
    </row>
    <row r="723" spans="1:3" ht="13" x14ac:dyDescent="0.15">
      <c r="A723" s="10"/>
      <c r="B723" s="13"/>
      <c r="C723" s="13"/>
    </row>
    <row r="724" spans="1:3" ht="13" x14ac:dyDescent="0.15">
      <c r="A724" s="10"/>
      <c r="B724" s="13"/>
      <c r="C724" s="13"/>
    </row>
    <row r="725" spans="1:3" ht="13" x14ac:dyDescent="0.15">
      <c r="A725" s="10"/>
      <c r="B725" s="13"/>
      <c r="C725" s="13"/>
    </row>
    <row r="726" spans="1:3" ht="13" x14ac:dyDescent="0.15">
      <c r="A726" s="10"/>
      <c r="B726" s="13"/>
      <c r="C726" s="13"/>
    </row>
    <row r="727" spans="1:3" ht="13" x14ac:dyDescent="0.15">
      <c r="A727" s="10"/>
      <c r="B727" s="13"/>
      <c r="C727" s="13"/>
    </row>
    <row r="728" spans="1:3" ht="13" x14ac:dyDescent="0.15">
      <c r="A728" s="10"/>
      <c r="B728" s="13"/>
      <c r="C728" s="13"/>
    </row>
    <row r="729" spans="1:3" ht="13" x14ac:dyDescent="0.15">
      <c r="A729" s="10"/>
      <c r="B729" s="13"/>
      <c r="C729" s="13"/>
    </row>
    <row r="730" spans="1:3" ht="13" x14ac:dyDescent="0.15">
      <c r="A730" s="10"/>
      <c r="B730" s="13"/>
      <c r="C730" s="13"/>
    </row>
    <row r="731" spans="1:3" ht="13" x14ac:dyDescent="0.15">
      <c r="A731" s="10"/>
      <c r="B731" s="13"/>
      <c r="C731" s="13"/>
    </row>
    <row r="732" spans="1:3" ht="13" x14ac:dyDescent="0.15">
      <c r="A732" s="10"/>
      <c r="B732" s="13"/>
      <c r="C732" s="13"/>
    </row>
    <row r="733" spans="1:3" ht="13" x14ac:dyDescent="0.15">
      <c r="A733" s="10"/>
      <c r="B733" s="13"/>
      <c r="C733" s="13"/>
    </row>
    <row r="734" spans="1:3" ht="13" x14ac:dyDescent="0.15">
      <c r="A734" s="10"/>
      <c r="B734" s="13"/>
      <c r="C734" s="13"/>
    </row>
    <row r="735" spans="1:3" ht="13" x14ac:dyDescent="0.15">
      <c r="A735" s="10"/>
      <c r="B735" s="13"/>
      <c r="C735" s="13"/>
    </row>
    <row r="736" spans="1:3" ht="13" x14ac:dyDescent="0.15">
      <c r="A736" s="10"/>
      <c r="B736" s="13"/>
      <c r="C736" s="13"/>
    </row>
    <row r="737" spans="1:3" ht="13" x14ac:dyDescent="0.15">
      <c r="A737" s="10"/>
      <c r="B737" s="13"/>
      <c r="C737" s="13"/>
    </row>
    <row r="738" spans="1:3" ht="13" x14ac:dyDescent="0.15">
      <c r="A738" s="10"/>
      <c r="B738" s="13"/>
      <c r="C738" s="13"/>
    </row>
    <row r="739" spans="1:3" ht="13" x14ac:dyDescent="0.15">
      <c r="A739" s="10"/>
      <c r="B739" s="13"/>
      <c r="C739" s="13"/>
    </row>
    <row r="740" spans="1:3" ht="13" x14ac:dyDescent="0.15">
      <c r="A740" s="10"/>
      <c r="B740" s="13"/>
      <c r="C740" s="13"/>
    </row>
    <row r="741" spans="1:3" ht="13" x14ac:dyDescent="0.15">
      <c r="A741" s="10"/>
      <c r="B741" s="13"/>
      <c r="C741" s="13"/>
    </row>
    <row r="742" spans="1:3" ht="13" x14ac:dyDescent="0.15">
      <c r="A742" s="10"/>
      <c r="B742" s="13"/>
      <c r="C742" s="13"/>
    </row>
    <row r="743" spans="1:3" ht="13" x14ac:dyDescent="0.15">
      <c r="A743" s="10"/>
      <c r="B743" s="13"/>
      <c r="C743" s="13"/>
    </row>
    <row r="744" spans="1:3" ht="13" x14ac:dyDescent="0.15">
      <c r="A744" s="10"/>
      <c r="B744" s="13"/>
      <c r="C744" s="13"/>
    </row>
    <row r="745" spans="1:3" ht="13" x14ac:dyDescent="0.15">
      <c r="A745" s="10"/>
      <c r="B745" s="13"/>
      <c r="C745" s="13"/>
    </row>
    <row r="746" spans="1:3" ht="13" x14ac:dyDescent="0.15">
      <c r="A746" s="10"/>
      <c r="B746" s="13"/>
      <c r="C746" s="13"/>
    </row>
    <row r="747" spans="1:3" ht="13" x14ac:dyDescent="0.15">
      <c r="A747" s="10"/>
      <c r="B747" s="13"/>
      <c r="C747" s="13"/>
    </row>
    <row r="748" spans="1:3" ht="13" x14ac:dyDescent="0.15">
      <c r="A748" s="10"/>
      <c r="B748" s="13"/>
      <c r="C748" s="13"/>
    </row>
    <row r="749" spans="1:3" ht="13" x14ac:dyDescent="0.15">
      <c r="A749" s="10"/>
      <c r="B749" s="13"/>
      <c r="C749" s="13"/>
    </row>
    <row r="750" spans="1:3" ht="13" x14ac:dyDescent="0.15">
      <c r="A750" s="10"/>
      <c r="B750" s="13"/>
      <c r="C750" s="13"/>
    </row>
    <row r="751" spans="1:3" ht="13" x14ac:dyDescent="0.15">
      <c r="A751" s="10"/>
      <c r="B751" s="13"/>
      <c r="C751" s="13"/>
    </row>
    <row r="752" spans="1:3" ht="13" x14ac:dyDescent="0.15">
      <c r="A752" s="10"/>
      <c r="B752" s="13"/>
      <c r="C752" s="13"/>
    </row>
    <row r="753" spans="1:3" ht="13" x14ac:dyDescent="0.15">
      <c r="A753" s="10"/>
      <c r="B753" s="13"/>
      <c r="C753" s="13"/>
    </row>
    <row r="754" spans="1:3" ht="13" x14ac:dyDescent="0.15">
      <c r="A754" s="10"/>
      <c r="B754" s="13"/>
      <c r="C754" s="13"/>
    </row>
    <row r="755" spans="1:3" ht="13" x14ac:dyDescent="0.15">
      <c r="A755" s="10"/>
      <c r="B755" s="13"/>
      <c r="C755" s="13"/>
    </row>
    <row r="756" spans="1:3" ht="13" x14ac:dyDescent="0.15">
      <c r="A756" s="10"/>
      <c r="B756" s="13"/>
      <c r="C756" s="13"/>
    </row>
    <row r="757" spans="1:3" ht="13" x14ac:dyDescent="0.15">
      <c r="A757" s="10"/>
      <c r="B757" s="13"/>
      <c r="C757" s="13"/>
    </row>
    <row r="758" spans="1:3" ht="13" x14ac:dyDescent="0.15">
      <c r="A758" s="10"/>
      <c r="B758" s="13"/>
      <c r="C758" s="13"/>
    </row>
    <row r="759" spans="1:3" ht="13" x14ac:dyDescent="0.15">
      <c r="A759" s="10"/>
      <c r="B759" s="13"/>
      <c r="C759" s="13"/>
    </row>
    <row r="760" spans="1:3" ht="13" x14ac:dyDescent="0.15">
      <c r="A760" s="10"/>
      <c r="B760" s="13"/>
      <c r="C760" s="13"/>
    </row>
    <row r="761" spans="1:3" ht="13" x14ac:dyDescent="0.15">
      <c r="A761" s="10"/>
      <c r="B761" s="13"/>
      <c r="C761" s="13"/>
    </row>
    <row r="762" spans="1:3" ht="13" x14ac:dyDescent="0.15">
      <c r="A762" s="10"/>
      <c r="B762" s="13"/>
      <c r="C762" s="13"/>
    </row>
    <row r="763" spans="1:3" ht="13" x14ac:dyDescent="0.15">
      <c r="A763" s="10"/>
      <c r="B763" s="13"/>
      <c r="C763" s="13"/>
    </row>
    <row r="764" spans="1:3" ht="13" x14ac:dyDescent="0.15">
      <c r="A764" s="10"/>
      <c r="B764" s="13"/>
      <c r="C764" s="13"/>
    </row>
    <row r="765" spans="1:3" ht="13" x14ac:dyDescent="0.15">
      <c r="A765" s="10"/>
      <c r="B765" s="13"/>
      <c r="C765" s="13"/>
    </row>
    <row r="766" spans="1:3" ht="13" x14ac:dyDescent="0.15">
      <c r="A766" s="10"/>
      <c r="B766" s="13"/>
      <c r="C766" s="13"/>
    </row>
    <row r="767" spans="1:3" ht="13" x14ac:dyDescent="0.15">
      <c r="A767" s="10"/>
      <c r="B767" s="13"/>
      <c r="C767" s="13"/>
    </row>
    <row r="768" spans="1:3" ht="13" x14ac:dyDescent="0.15">
      <c r="A768" s="10"/>
      <c r="B768" s="13"/>
      <c r="C768" s="13"/>
    </row>
    <row r="769" spans="1:3" ht="13" x14ac:dyDescent="0.15">
      <c r="A769" s="10"/>
      <c r="B769" s="13"/>
      <c r="C769" s="13"/>
    </row>
    <row r="770" spans="1:3" ht="13" x14ac:dyDescent="0.15">
      <c r="A770" s="10"/>
      <c r="B770" s="13"/>
      <c r="C770" s="13"/>
    </row>
    <row r="771" spans="1:3" ht="13" x14ac:dyDescent="0.15">
      <c r="A771" s="10"/>
      <c r="B771" s="13"/>
      <c r="C771" s="13"/>
    </row>
    <row r="772" spans="1:3" ht="13" x14ac:dyDescent="0.15">
      <c r="A772" s="10"/>
      <c r="B772" s="13"/>
      <c r="C772" s="13"/>
    </row>
    <row r="773" spans="1:3" ht="13" x14ac:dyDescent="0.15">
      <c r="A773" s="10"/>
      <c r="B773" s="13"/>
      <c r="C773" s="13"/>
    </row>
    <row r="774" spans="1:3" ht="13" x14ac:dyDescent="0.15">
      <c r="A774" s="10"/>
      <c r="B774" s="13"/>
      <c r="C774" s="13"/>
    </row>
    <row r="775" spans="1:3" ht="13" x14ac:dyDescent="0.15">
      <c r="A775" s="10"/>
      <c r="B775" s="13"/>
      <c r="C775" s="13"/>
    </row>
    <row r="776" spans="1:3" ht="13" x14ac:dyDescent="0.15">
      <c r="A776" s="10"/>
      <c r="B776" s="13"/>
      <c r="C776" s="13"/>
    </row>
    <row r="777" spans="1:3" ht="13" x14ac:dyDescent="0.15">
      <c r="A777" s="10"/>
      <c r="B777" s="13"/>
      <c r="C777" s="13"/>
    </row>
    <row r="778" spans="1:3" ht="13" x14ac:dyDescent="0.15">
      <c r="A778" s="10"/>
      <c r="B778" s="13"/>
      <c r="C778" s="13"/>
    </row>
    <row r="779" spans="1:3" ht="13" x14ac:dyDescent="0.15">
      <c r="A779" s="10"/>
      <c r="B779" s="13"/>
      <c r="C779" s="13"/>
    </row>
    <row r="780" spans="1:3" ht="13" x14ac:dyDescent="0.15">
      <c r="A780" s="10"/>
      <c r="B780" s="13"/>
      <c r="C780" s="13"/>
    </row>
    <row r="781" spans="1:3" ht="13" x14ac:dyDescent="0.15">
      <c r="A781" s="10"/>
      <c r="B781" s="13"/>
      <c r="C781" s="13"/>
    </row>
    <row r="782" spans="1:3" ht="13" x14ac:dyDescent="0.15">
      <c r="A782" s="10"/>
      <c r="B782" s="13"/>
      <c r="C782" s="13"/>
    </row>
    <row r="783" spans="1:3" ht="13" x14ac:dyDescent="0.15">
      <c r="A783" s="10"/>
      <c r="B783" s="13"/>
      <c r="C783" s="13"/>
    </row>
    <row r="784" spans="1:3" ht="13" x14ac:dyDescent="0.15">
      <c r="A784" s="10"/>
      <c r="B784" s="13"/>
      <c r="C784" s="13"/>
    </row>
    <row r="785" spans="1:3" ht="13" x14ac:dyDescent="0.15">
      <c r="A785" s="10"/>
      <c r="B785" s="13"/>
      <c r="C785" s="13"/>
    </row>
    <row r="786" spans="1:3" ht="13" x14ac:dyDescent="0.15">
      <c r="A786" s="10"/>
      <c r="B786" s="13"/>
      <c r="C786" s="13"/>
    </row>
    <row r="787" spans="1:3" ht="13" x14ac:dyDescent="0.15">
      <c r="A787" s="10"/>
      <c r="B787" s="13"/>
      <c r="C787" s="13"/>
    </row>
    <row r="788" spans="1:3" ht="13" x14ac:dyDescent="0.15">
      <c r="A788" s="10"/>
      <c r="B788" s="13"/>
      <c r="C788" s="13"/>
    </row>
    <row r="789" spans="1:3" ht="13" x14ac:dyDescent="0.15">
      <c r="A789" s="10"/>
      <c r="B789" s="13"/>
      <c r="C789" s="13"/>
    </row>
    <row r="790" spans="1:3" ht="13" x14ac:dyDescent="0.15">
      <c r="A790" s="10"/>
      <c r="B790" s="13"/>
      <c r="C790" s="13"/>
    </row>
    <row r="791" spans="1:3" ht="13" x14ac:dyDescent="0.15">
      <c r="A791" s="10"/>
      <c r="B791" s="13"/>
      <c r="C791" s="13"/>
    </row>
    <row r="792" spans="1:3" ht="13" x14ac:dyDescent="0.15">
      <c r="A792" s="10"/>
      <c r="B792" s="13"/>
      <c r="C792" s="13"/>
    </row>
    <row r="793" spans="1:3" ht="13" x14ac:dyDescent="0.15">
      <c r="A793" s="10"/>
      <c r="B793" s="13"/>
      <c r="C793" s="13"/>
    </row>
    <row r="794" spans="1:3" ht="13" x14ac:dyDescent="0.15">
      <c r="A794" s="10"/>
      <c r="B794" s="13"/>
      <c r="C794" s="13"/>
    </row>
    <row r="795" spans="1:3" ht="13" x14ac:dyDescent="0.15">
      <c r="A795" s="10"/>
      <c r="B795" s="13"/>
      <c r="C795" s="13"/>
    </row>
    <row r="796" spans="1:3" ht="13" x14ac:dyDescent="0.15">
      <c r="A796" s="10"/>
      <c r="B796" s="13"/>
      <c r="C796" s="13"/>
    </row>
    <row r="797" spans="1:3" ht="13" x14ac:dyDescent="0.15">
      <c r="A797" s="10"/>
      <c r="B797" s="13"/>
      <c r="C797" s="13"/>
    </row>
    <row r="798" spans="1:3" ht="13" x14ac:dyDescent="0.15">
      <c r="A798" s="10"/>
      <c r="B798" s="13"/>
      <c r="C798" s="13"/>
    </row>
    <row r="799" spans="1:3" ht="13" x14ac:dyDescent="0.15">
      <c r="A799" s="10"/>
      <c r="B799" s="13"/>
      <c r="C799" s="13"/>
    </row>
    <row r="800" spans="1:3" ht="13" x14ac:dyDescent="0.15">
      <c r="A800" s="10"/>
      <c r="B800" s="13"/>
      <c r="C800" s="13"/>
    </row>
    <row r="801" spans="1:3" ht="13" x14ac:dyDescent="0.15">
      <c r="A801" s="10"/>
      <c r="B801" s="13"/>
      <c r="C801" s="13"/>
    </row>
    <row r="802" spans="1:3" ht="13" x14ac:dyDescent="0.15">
      <c r="A802" s="10"/>
      <c r="B802" s="13"/>
      <c r="C802" s="13"/>
    </row>
    <row r="803" spans="1:3" ht="13" x14ac:dyDescent="0.15">
      <c r="A803" s="10"/>
      <c r="B803" s="13"/>
      <c r="C803" s="13"/>
    </row>
    <row r="804" spans="1:3" ht="13" x14ac:dyDescent="0.15">
      <c r="A804" s="10"/>
      <c r="B804" s="13"/>
      <c r="C804" s="13"/>
    </row>
    <row r="805" spans="1:3" ht="13" x14ac:dyDescent="0.15">
      <c r="A805" s="10"/>
      <c r="B805" s="13"/>
      <c r="C805" s="13"/>
    </row>
    <row r="806" spans="1:3" ht="13" x14ac:dyDescent="0.15">
      <c r="A806" s="10"/>
      <c r="B806" s="13"/>
      <c r="C806" s="13"/>
    </row>
    <row r="807" spans="1:3" ht="13" x14ac:dyDescent="0.15">
      <c r="A807" s="10"/>
      <c r="B807" s="13"/>
      <c r="C807" s="13"/>
    </row>
    <row r="808" spans="1:3" ht="13" x14ac:dyDescent="0.15">
      <c r="A808" s="10"/>
      <c r="B808" s="13"/>
      <c r="C808" s="13"/>
    </row>
    <row r="809" spans="1:3" ht="13" x14ac:dyDescent="0.15">
      <c r="A809" s="10"/>
      <c r="B809" s="13"/>
      <c r="C809" s="13"/>
    </row>
    <row r="810" spans="1:3" ht="13" x14ac:dyDescent="0.15">
      <c r="A810" s="10"/>
      <c r="B810" s="13"/>
      <c r="C810" s="13"/>
    </row>
    <row r="811" spans="1:3" ht="13" x14ac:dyDescent="0.15">
      <c r="A811" s="10"/>
      <c r="B811" s="13"/>
      <c r="C811" s="13"/>
    </row>
    <row r="812" spans="1:3" ht="13" x14ac:dyDescent="0.15">
      <c r="A812" s="10"/>
      <c r="B812" s="13"/>
      <c r="C812" s="13"/>
    </row>
    <row r="813" spans="1:3" ht="13" x14ac:dyDescent="0.15">
      <c r="A813" s="10"/>
      <c r="B813" s="13"/>
      <c r="C813" s="13"/>
    </row>
    <row r="814" spans="1:3" ht="13" x14ac:dyDescent="0.15">
      <c r="A814" s="10"/>
      <c r="B814" s="13"/>
      <c r="C814" s="13"/>
    </row>
    <row r="815" spans="1:3" ht="13" x14ac:dyDescent="0.15">
      <c r="A815" s="10"/>
      <c r="B815" s="13"/>
      <c r="C815" s="13"/>
    </row>
    <row r="816" spans="1:3" ht="13" x14ac:dyDescent="0.15">
      <c r="A816" s="10"/>
      <c r="B816" s="13"/>
      <c r="C816" s="13"/>
    </row>
    <row r="817" spans="1:3" ht="13" x14ac:dyDescent="0.15">
      <c r="A817" s="10"/>
      <c r="B817" s="13"/>
      <c r="C817" s="13"/>
    </row>
    <row r="818" spans="1:3" ht="13" x14ac:dyDescent="0.15">
      <c r="A818" s="10"/>
      <c r="B818" s="13"/>
      <c r="C818" s="13"/>
    </row>
    <row r="819" spans="1:3" ht="13" x14ac:dyDescent="0.15">
      <c r="A819" s="10"/>
      <c r="B819" s="13"/>
      <c r="C819" s="13"/>
    </row>
    <row r="820" spans="1:3" ht="13" x14ac:dyDescent="0.15">
      <c r="A820" s="10"/>
      <c r="B820" s="13"/>
      <c r="C820" s="13"/>
    </row>
    <row r="821" spans="1:3" ht="13" x14ac:dyDescent="0.15">
      <c r="A821" s="10"/>
      <c r="B821" s="13"/>
      <c r="C821" s="13"/>
    </row>
    <row r="822" spans="1:3" ht="13" x14ac:dyDescent="0.15">
      <c r="A822" s="10"/>
      <c r="B822" s="13"/>
      <c r="C822" s="13"/>
    </row>
    <row r="823" spans="1:3" ht="13" x14ac:dyDescent="0.15">
      <c r="A823" s="10"/>
      <c r="B823" s="13"/>
      <c r="C823" s="13"/>
    </row>
    <row r="824" spans="1:3" ht="13" x14ac:dyDescent="0.15">
      <c r="A824" s="10"/>
      <c r="B824" s="13"/>
      <c r="C824" s="13"/>
    </row>
    <row r="825" spans="1:3" ht="13" x14ac:dyDescent="0.15">
      <c r="A825" s="10"/>
      <c r="B825" s="13"/>
      <c r="C825" s="13"/>
    </row>
    <row r="826" spans="1:3" ht="13" x14ac:dyDescent="0.15">
      <c r="A826" s="10"/>
      <c r="B826" s="13"/>
      <c r="C826" s="13"/>
    </row>
    <row r="827" spans="1:3" ht="13" x14ac:dyDescent="0.15">
      <c r="A827" s="10"/>
      <c r="B827" s="13"/>
      <c r="C827" s="13"/>
    </row>
    <row r="828" spans="1:3" ht="13" x14ac:dyDescent="0.15">
      <c r="A828" s="10"/>
      <c r="B828" s="13"/>
      <c r="C828" s="13"/>
    </row>
    <row r="829" spans="1:3" ht="13" x14ac:dyDescent="0.15">
      <c r="A829" s="10"/>
      <c r="B829" s="13"/>
      <c r="C829" s="13"/>
    </row>
    <row r="830" spans="1:3" ht="13" x14ac:dyDescent="0.15">
      <c r="A830" s="10"/>
      <c r="B830" s="13"/>
      <c r="C830" s="13"/>
    </row>
    <row r="831" spans="1:3" ht="13" x14ac:dyDescent="0.15">
      <c r="A831" s="10"/>
      <c r="B831" s="13"/>
      <c r="C831" s="13"/>
    </row>
    <row r="832" spans="1:3" ht="13" x14ac:dyDescent="0.15">
      <c r="A832" s="10"/>
      <c r="B832" s="13"/>
      <c r="C832" s="13"/>
    </row>
    <row r="833" spans="1:3" ht="13" x14ac:dyDescent="0.15">
      <c r="A833" s="10"/>
      <c r="B833" s="13"/>
      <c r="C833" s="13"/>
    </row>
    <row r="834" spans="1:3" ht="13" x14ac:dyDescent="0.15">
      <c r="A834" s="10"/>
      <c r="B834" s="13"/>
      <c r="C834" s="13"/>
    </row>
    <row r="835" spans="1:3" ht="13" x14ac:dyDescent="0.15">
      <c r="A835" s="10"/>
      <c r="B835" s="13"/>
      <c r="C835" s="13"/>
    </row>
    <row r="836" spans="1:3" ht="13" x14ac:dyDescent="0.15">
      <c r="A836" s="10"/>
      <c r="B836" s="13"/>
      <c r="C836" s="13"/>
    </row>
    <row r="837" spans="1:3" ht="13" x14ac:dyDescent="0.15">
      <c r="A837" s="10"/>
      <c r="B837" s="13"/>
      <c r="C837" s="13"/>
    </row>
    <row r="838" spans="1:3" ht="13" x14ac:dyDescent="0.15">
      <c r="A838" s="10"/>
      <c r="B838" s="13"/>
      <c r="C838" s="13"/>
    </row>
    <row r="839" spans="1:3" ht="13" x14ac:dyDescent="0.15">
      <c r="A839" s="10"/>
      <c r="B839" s="13"/>
      <c r="C839" s="13"/>
    </row>
    <row r="840" spans="1:3" ht="13" x14ac:dyDescent="0.15">
      <c r="A840" s="10"/>
      <c r="B840" s="13"/>
      <c r="C840" s="13"/>
    </row>
    <row r="841" spans="1:3" ht="13" x14ac:dyDescent="0.15">
      <c r="A841" s="10"/>
      <c r="B841" s="13"/>
      <c r="C841" s="13"/>
    </row>
    <row r="842" spans="1:3" ht="13" x14ac:dyDescent="0.15">
      <c r="A842" s="10"/>
      <c r="B842" s="13"/>
      <c r="C842" s="13"/>
    </row>
    <row r="843" spans="1:3" ht="13" x14ac:dyDescent="0.15">
      <c r="A843" s="10"/>
      <c r="B843" s="13"/>
      <c r="C843" s="13"/>
    </row>
    <row r="844" spans="1:3" ht="13" x14ac:dyDescent="0.15">
      <c r="A844" s="10"/>
      <c r="B844" s="13"/>
      <c r="C844" s="13"/>
    </row>
    <row r="845" spans="1:3" ht="13" x14ac:dyDescent="0.15">
      <c r="A845" s="10"/>
      <c r="B845" s="13"/>
      <c r="C845" s="13"/>
    </row>
    <row r="846" spans="1:3" ht="13" x14ac:dyDescent="0.15">
      <c r="A846" s="10"/>
      <c r="B846" s="13"/>
      <c r="C846" s="13"/>
    </row>
    <row r="847" spans="1:3" ht="13" x14ac:dyDescent="0.15">
      <c r="A847" s="10"/>
      <c r="B847" s="13"/>
      <c r="C847" s="13"/>
    </row>
    <row r="848" spans="1:3" ht="13" x14ac:dyDescent="0.15">
      <c r="A848" s="10"/>
      <c r="B848" s="13"/>
      <c r="C848" s="13"/>
    </row>
    <row r="849" spans="1:3" ht="13" x14ac:dyDescent="0.15">
      <c r="A849" s="10"/>
      <c r="B849" s="13"/>
      <c r="C849" s="13"/>
    </row>
    <row r="850" spans="1:3" ht="13" x14ac:dyDescent="0.15">
      <c r="A850" s="10"/>
      <c r="B850" s="13"/>
      <c r="C850" s="13"/>
    </row>
    <row r="851" spans="1:3" ht="13" x14ac:dyDescent="0.15">
      <c r="A851" s="10"/>
      <c r="B851" s="13"/>
      <c r="C851" s="13"/>
    </row>
    <row r="852" spans="1:3" ht="13" x14ac:dyDescent="0.15">
      <c r="A852" s="10"/>
      <c r="B852" s="13"/>
      <c r="C852" s="13"/>
    </row>
    <row r="853" spans="1:3" ht="13" x14ac:dyDescent="0.15">
      <c r="A853" s="10"/>
      <c r="B853" s="13"/>
      <c r="C853" s="13"/>
    </row>
    <row r="854" spans="1:3" ht="13" x14ac:dyDescent="0.15">
      <c r="A854" s="10"/>
      <c r="B854" s="13"/>
      <c r="C854" s="13"/>
    </row>
    <row r="855" spans="1:3" ht="13" x14ac:dyDescent="0.15">
      <c r="A855" s="10"/>
      <c r="B855" s="13"/>
      <c r="C855" s="13"/>
    </row>
    <row r="856" spans="1:3" ht="13" x14ac:dyDescent="0.15">
      <c r="A856" s="10"/>
      <c r="B856" s="13"/>
      <c r="C856" s="13"/>
    </row>
    <row r="857" spans="1:3" ht="13" x14ac:dyDescent="0.15">
      <c r="A857" s="10"/>
      <c r="B857" s="13"/>
      <c r="C857" s="13"/>
    </row>
    <row r="858" spans="1:3" ht="13" x14ac:dyDescent="0.15">
      <c r="A858" s="10"/>
      <c r="B858" s="13"/>
      <c r="C858" s="13"/>
    </row>
    <row r="859" spans="1:3" ht="13" x14ac:dyDescent="0.15">
      <c r="A859" s="10"/>
      <c r="B859" s="13"/>
      <c r="C859" s="13"/>
    </row>
    <row r="860" spans="1:3" ht="13" x14ac:dyDescent="0.15">
      <c r="A860" s="10"/>
      <c r="B860" s="13"/>
      <c r="C860" s="13"/>
    </row>
    <row r="861" spans="1:3" ht="13" x14ac:dyDescent="0.15">
      <c r="A861" s="10"/>
      <c r="B861" s="13"/>
      <c r="C861" s="13"/>
    </row>
    <row r="862" spans="1:3" ht="13" x14ac:dyDescent="0.15">
      <c r="A862" s="10"/>
      <c r="B862" s="13"/>
      <c r="C862" s="13"/>
    </row>
    <row r="863" spans="1:3" ht="13" x14ac:dyDescent="0.15">
      <c r="A863" s="10"/>
      <c r="B863" s="13"/>
      <c r="C863" s="13"/>
    </row>
    <row r="864" spans="1:3" ht="13" x14ac:dyDescent="0.15">
      <c r="A864" s="10"/>
      <c r="B864" s="13"/>
      <c r="C864" s="13"/>
    </row>
    <row r="865" spans="1:3" ht="13" x14ac:dyDescent="0.15">
      <c r="A865" s="10"/>
      <c r="B865" s="13"/>
      <c r="C865" s="13"/>
    </row>
    <row r="866" spans="1:3" ht="13" x14ac:dyDescent="0.15">
      <c r="A866" s="10"/>
      <c r="B866" s="13"/>
      <c r="C866" s="13"/>
    </row>
    <row r="867" spans="1:3" ht="13" x14ac:dyDescent="0.15">
      <c r="A867" s="10"/>
      <c r="B867" s="13"/>
      <c r="C867" s="13"/>
    </row>
    <row r="868" spans="1:3" ht="13" x14ac:dyDescent="0.15">
      <c r="A868" s="10"/>
      <c r="B868" s="13"/>
      <c r="C868" s="13"/>
    </row>
    <row r="869" spans="1:3" ht="13" x14ac:dyDescent="0.15">
      <c r="A869" s="10"/>
      <c r="B869" s="13"/>
      <c r="C869" s="13"/>
    </row>
    <row r="870" spans="1:3" ht="13" x14ac:dyDescent="0.15">
      <c r="A870" s="10"/>
      <c r="B870" s="13"/>
      <c r="C870" s="13"/>
    </row>
    <row r="871" spans="1:3" ht="13" x14ac:dyDescent="0.15">
      <c r="A871" s="10"/>
      <c r="B871" s="13"/>
      <c r="C871" s="13"/>
    </row>
    <row r="872" spans="1:3" ht="13" x14ac:dyDescent="0.15">
      <c r="A872" s="10"/>
      <c r="B872" s="13"/>
      <c r="C872" s="13"/>
    </row>
    <row r="873" spans="1:3" ht="13" x14ac:dyDescent="0.15">
      <c r="A873" s="10"/>
      <c r="B873" s="13"/>
      <c r="C873" s="13"/>
    </row>
    <row r="874" spans="1:3" ht="13" x14ac:dyDescent="0.15">
      <c r="A874" s="10"/>
      <c r="B874" s="13"/>
      <c r="C874" s="13"/>
    </row>
    <row r="875" spans="1:3" ht="13" x14ac:dyDescent="0.15">
      <c r="A875" s="10"/>
      <c r="B875" s="13"/>
      <c r="C875" s="13"/>
    </row>
    <row r="876" spans="1:3" ht="13" x14ac:dyDescent="0.15">
      <c r="A876" s="10"/>
      <c r="B876" s="13"/>
      <c r="C876" s="13"/>
    </row>
    <row r="877" spans="1:3" ht="13" x14ac:dyDescent="0.15">
      <c r="A877" s="10"/>
      <c r="B877" s="13"/>
      <c r="C877" s="13"/>
    </row>
    <row r="878" spans="1:3" ht="13" x14ac:dyDescent="0.15">
      <c r="A878" s="10"/>
      <c r="B878" s="13"/>
      <c r="C878" s="13"/>
    </row>
    <row r="879" spans="1:3" ht="13" x14ac:dyDescent="0.15">
      <c r="A879" s="10"/>
      <c r="B879" s="13"/>
      <c r="C879" s="13"/>
    </row>
    <row r="880" spans="1:3" ht="13" x14ac:dyDescent="0.15">
      <c r="A880" s="10"/>
      <c r="B880" s="13"/>
      <c r="C880" s="13"/>
    </row>
    <row r="881" spans="1:3" ht="13" x14ac:dyDescent="0.15">
      <c r="A881" s="10"/>
      <c r="B881" s="13"/>
      <c r="C881" s="13"/>
    </row>
    <row r="882" spans="1:3" ht="13" x14ac:dyDescent="0.15">
      <c r="A882" s="10"/>
      <c r="B882" s="13"/>
      <c r="C882" s="13"/>
    </row>
    <row r="883" spans="1:3" ht="13" x14ac:dyDescent="0.15">
      <c r="A883" s="10"/>
      <c r="B883" s="13"/>
      <c r="C883" s="13"/>
    </row>
    <row r="884" spans="1:3" ht="13" x14ac:dyDescent="0.15">
      <c r="A884" s="10"/>
      <c r="B884" s="13"/>
      <c r="C884" s="13"/>
    </row>
    <row r="885" spans="1:3" ht="13" x14ac:dyDescent="0.15">
      <c r="A885" s="10"/>
      <c r="B885" s="13"/>
      <c r="C885" s="13"/>
    </row>
    <row r="886" spans="1:3" ht="13" x14ac:dyDescent="0.15">
      <c r="A886" s="10"/>
      <c r="B886" s="13"/>
      <c r="C886" s="13"/>
    </row>
    <row r="887" spans="1:3" ht="13" x14ac:dyDescent="0.15">
      <c r="A887" s="10"/>
      <c r="B887" s="13"/>
      <c r="C887" s="13"/>
    </row>
    <row r="888" spans="1:3" ht="13" x14ac:dyDescent="0.15">
      <c r="A888" s="10"/>
      <c r="B888" s="13"/>
      <c r="C888" s="13"/>
    </row>
    <row r="889" spans="1:3" ht="13" x14ac:dyDescent="0.15">
      <c r="A889" s="10"/>
      <c r="B889" s="13"/>
      <c r="C889" s="13"/>
    </row>
    <row r="890" spans="1:3" ht="13" x14ac:dyDescent="0.15">
      <c r="A890" s="10"/>
      <c r="B890" s="13"/>
      <c r="C890" s="13"/>
    </row>
    <row r="891" spans="1:3" ht="13" x14ac:dyDescent="0.15">
      <c r="A891" s="10"/>
      <c r="B891" s="13"/>
      <c r="C891" s="13"/>
    </row>
    <row r="892" spans="1:3" ht="13" x14ac:dyDescent="0.15">
      <c r="A892" s="10"/>
      <c r="B892" s="13"/>
      <c r="C892" s="13"/>
    </row>
    <row r="893" spans="1:3" ht="13" x14ac:dyDescent="0.15">
      <c r="A893" s="10"/>
      <c r="B893" s="13"/>
      <c r="C893" s="13"/>
    </row>
    <row r="894" spans="1:3" ht="13" x14ac:dyDescent="0.15">
      <c r="A894" s="10"/>
      <c r="B894" s="13"/>
      <c r="C894" s="13"/>
    </row>
    <row r="895" spans="1:3" ht="13" x14ac:dyDescent="0.15">
      <c r="A895" s="10"/>
      <c r="B895" s="13"/>
      <c r="C895" s="13"/>
    </row>
    <row r="896" spans="1:3" ht="13" x14ac:dyDescent="0.15">
      <c r="A896" s="10"/>
      <c r="B896" s="13"/>
      <c r="C896" s="13"/>
    </row>
    <row r="897" spans="1:3" ht="13" x14ac:dyDescent="0.15">
      <c r="A897" s="10"/>
      <c r="B897" s="13"/>
      <c r="C897" s="13"/>
    </row>
    <row r="898" spans="1:3" ht="13" x14ac:dyDescent="0.15">
      <c r="A898" s="10"/>
      <c r="B898" s="13"/>
      <c r="C898" s="13"/>
    </row>
    <row r="899" spans="1:3" ht="13" x14ac:dyDescent="0.15">
      <c r="A899" s="10"/>
      <c r="B899" s="13"/>
      <c r="C899" s="13"/>
    </row>
    <row r="900" spans="1:3" ht="13" x14ac:dyDescent="0.15">
      <c r="A900" s="10"/>
      <c r="B900" s="13"/>
      <c r="C900" s="13"/>
    </row>
    <row r="901" spans="1:3" ht="13" x14ac:dyDescent="0.15">
      <c r="A901" s="10"/>
      <c r="B901" s="13"/>
      <c r="C901" s="13"/>
    </row>
    <row r="902" spans="1:3" ht="13" x14ac:dyDescent="0.15">
      <c r="A902" s="10"/>
      <c r="B902" s="13"/>
      <c r="C902" s="13"/>
    </row>
    <row r="903" spans="1:3" ht="13" x14ac:dyDescent="0.15">
      <c r="A903" s="10"/>
      <c r="B903" s="13"/>
      <c r="C903" s="13"/>
    </row>
    <row r="904" spans="1:3" ht="13" x14ac:dyDescent="0.15">
      <c r="A904" s="10"/>
      <c r="B904" s="13"/>
      <c r="C904" s="13"/>
    </row>
    <row r="905" spans="1:3" ht="13" x14ac:dyDescent="0.15">
      <c r="A905" s="10"/>
      <c r="B905" s="13"/>
      <c r="C905" s="13"/>
    </row>
    <row r="906" spans="1:3" ht="13" x14ac:dyDescent="0.15">
      <c r="A906" s="10"/>
      <c r="B906" s="13"/>
      <c r="C906" s="13"/>
    </row>
    <row r="907" spans="1:3" ht="13" x14ac:dyDescent="0.15">
      <c r="A907" s="10"/>
      <c r="B907" s="13"/>
      <c r="C907" s="13"/>
    </row>
    <row r="908" spans="1:3" ht="13" x14ac:dyDescent="0.15">
      <c r="A908" s="10"/>
      <c r="B908" s="13"/>
      <c r="C908" s="13"/>
    </row>
    <row r="909" spans="1:3" ht="13" x14ac:dyDescent="0.15">
      <c r="A909" s="10"/>
      <c r="B909" s="13"/>
      <c r="C909" s="13"/>
    </row>
    <row r="910" spans="1:3" ht="13" x14ac:dyDescent="0.15">
      <c r="A910" s="10"/>
      <c r="B910" s="13"/>
      <c r="C910" s="13"/>
    </row>
    <row r="911" spans="1:3" ht="13" x14ac:dyDescent="0.15">
      <c r="A911" s="10"/>
      <c r="B911" s="13"/>
      <c r="C911" s="13"/>
    </row>
    <row r="912" spans="1:3" ht="13" x14ac:dyDescent="0.15">
      <c r="A912" s="10"/>
      <c r="B912" s="13"/>
      <c r="C912" s="13"/>
    </row>
    <row r="913" spans="1:3" ht="13" x14ac:dyDescent="0.15">
      <c r="A913" s="10"/>
      <c r="B913" s="13"/>
      <c r="C913" s="13"/>
    </row>
    <row r="914" spans="1:3" ht="13" x14ac:dyDescent="0.15">
      <c r="A914" s="10"/>
      <c r="B914" s="13"/>
      <c r="C914" s="13"/>
    </row>
    <row r="915" spans="1:3" ht="13" x14ac:dyDescent="0.15">
      <c r="A915" s="10"/>
      <c r="B915" s="13"/>
      <c r="C915" s="13"/>
    </row>
    <row r="916" spans="1:3" ht="13" x14ac:dyDescent="0.15">
      <c r="A916" s="10"/>
      <c r="B916" s="13"/>
      <c r="C916" s="13"/>
    </row>
    <row r="917" spans="1:3" ht="13" x14ac:dyDescent="0.15">
      <c r="A917" s="10"/>
      <c r="B917" s="13"/>
      <c r="C917" s="13"/>
    </row>
    <row r="918" spans="1:3" ht="13" x14ac:dyDescent="0.15">
      <c r="A918" s="10"/>
      <c r="B918" s="13"/>
      <c r="C918" s="13"/>
    </row>
    <row r="919" spans="1:3" ht="13" x14ac:dyDescent="0.15">
      <c r="A919" s="10"/>
      <c r="B919" s="13"/>
      <c r="C919" s="13"/>
    </row>
    <row r="920" spans="1:3" ht="13" x14ac:dyDescent="0.15">
      <c r="A920" s="10"/>
      <c r="B920" s="13"/>
      <c r="C920" s="13"/>
    </row>
    <row r="921" spans="1:3" ht="13" x14ac:dyDescent="0.15">
      <c r="A921" s="10"/>
      <c r="B921" s="13"/>
      <c r="C921" s="13"/>
    </row>
    <row r="922" spans="1:3" ht="13" x14ac:dyDescent="0.15">
      <c r="A922" s="10"/>
      <c r="B922" s="13"/>
      <c r="C922" s="13"/>
    </row>
    <row r="923" spans="1:3" ht="13" x14ac:dyDescent="0.15">
      <c r="A923" s="10"/>
      <c r="B923" s="13"/>
      <c r="C923" s="13"/>
    </row>
    <row r="924" spans="1:3" ht="13" x14ac:dyDescent="0.15">
      <c r="A924" s="10"/>
      <c r="B924" s="13"/>
      <c r="C924" s="13"/>
    </row>
    <row r="925" spans="1:3" ht="13" x14ac:dyDescent="0.15">
      <c r="A925" s="10"/>
      <c r="B925" s="13"/>
      <c r="C925" s="13"/>
    </row>
    <row r="926" spans="1:3" ht="13" x14ac:dyDescent="0.15">
      <c r="A926" s="10"/>
      <c r="B926" s="13"/>
      <c r="C926" s="13"/>
    </row>
    <row r="927" spans="1:3" ht="13" x14ac:dyDescent="0.15">
      <c r="A927" s="10"/>
      <c r="B927" s="13"/>
      <c r="C927" s="13"/>
    </row>
    <row r="928" spans="1:3" ht="13" x14ac:dyDescent="0.15">
      <c r="A928" s="10"/>
      <c r="B928" s="13"/>
      <c r="C928" s="13"/>
    </row>
    <row r="929" spans="1:3" ht="13" x14ac:dyDescent="0.15">
      <c r="A929" s="10"/>
      <c r="B929" s="13"/>
      <c r="C929" s="13"/>
    </row>
    <row r="930" spans="1:3" ht="13" x14ac:dyDescent="0.15">
      <c r="A930" s="10"/>
      <c r="B930" s="13"/>
      <c r="C930" s="13"/>
    </row>
    <row r="931" spans="1:3" ht="13" x14ac:dyDescent="0.15">
      <c r="A931" s="10"/>
      <c r="B931" s="13"/>
      <c r="C931" s="13"/>
    </row>
    <row r="932" spans="1:3" ht="13" x14ac:dyDescent="0.15">
      <c r="A932" s="10"/>
      <c r="B932" s="13"/>
      <c r="C932" s="13"/>
    </row>
    <row r="933" spans="1:3" ht="13" x14ac:dyDescent="0.15">
      <c r="A933" s="10"/>
      <c r="B933" s="13"/>
      <c r="C933" s="13"/>
    </row>
    <row r="934" spans="1:3" ht="13" x14ac:dyDescent="0.15">
      <c r="A934" s="10"/>
      <c r="B934" s="13"/>
      <c r="C934" s="13"/>
    </row>
    <row r="935" spans="1:3" ht="13" x14ac:dyDescent="0.15">
      <c r="A935" s="10"/>
      <c r="B935" s="13"/>
      <c r="C935" s="13"/>
    </row>
    <row r="936" spans="1:3" ht="13" x14ac:dyDescent="0.15">
      <c r="A936" s="10"/>
      <c r="B936" s="13"/>
      <c r="C936" s="13"/>
    </row>
    <row r="937" spans="1:3" ht="13" x14ac:dyDescent="0.15">
      <c r="A937" s="10"/>
      <c r="B937" s="13"/>
      <c r="C937" s="13"/>
    </row>
    <row r="938" spans="1:3" ht="13" x14ac:dyDescent="0.15">
      <c r="A938" s="10"/>
      <c r="B938" s="13"/>
      <c r="C938" s="13"/>
    </row>
    <row r="939" spans="1:3" ht="13" x14ac:dyDescent="0.15">
      <c r="A939" s="10"/>
      <c r="B939" s="13"/>
      <c r="C939" s="13"/>
    </row>
    <row r="940" spans="1:3" ht="13" x14ac:dyDescent="0.15">
      <c r="A940" s="10"/>
      <c r="B940" s="13"/>
      <c r="C940" s="13"/>
    </row>
    <row r="941" spans="1:3" ht="13" x14ac:dyDescent="0.15">
      <c r="A941" s="10"/>
      <c r="B941" s="13"/>
      <c r="C941" s="13"/>
    </row>
    <row r="942" spans="1:3" ht="13" x14ac:dyDescent="0.15">
      <c r="A942" s="10"/>
      <c r="B942" s="13"/>
      <c r="C942" s="13"/>
    </row>
    <row r="943" spans="1:3" ht="13" x14ac:dyDescent="0.15">
      <c r="A943" s="10"/>
      <c r="B943" s="13"/>
      <c r="C943" s="13"/>
    </row>
    <row r="944" spans="1:3" ht="13" x14ac:dyDescent="0.15">
      <c r="A944" s="10"/>
      <c r="B944" s="13"/>
      <c r="C944" s="13"/>
    </row>
    <row r="945" spans="1:3" ht="13" x14ac:dyDescent="0.15">
      <c r="A945" s="10"/>
      <c r="B945" s="13"/>
      <c r="C945" s="13"/>
    </row>
    <row r="946" spans="1:3" ht="13" x14ac:dyDescent="0.15">
      <c r="A946" s="10"/>
      <c r="B946" s="13"/>
      <c r="C946" s="13"/>
    </row>
    <row r="947" spans="1:3" ht="13" x14ac:dyDescent="0.15">
      <c r="A947" s="10"/>
      <c r="B947" s="13"/>
      <c r="C947" s="13"/>
    </row>
    <row r="948" spans="1:3" ht="13" x14ac:dyDescent="0.15">
      <c r="A948" s="10"/>
      <c r="B948" s="13"/>
      <c r="C948" s="13"/>
    </row>
    <row r="949" spans="1:3" ht="13" x14ac:dyDescent="0.15">
      <c r="A949" s="10"/>
      <c r="B949" s="13"/>
      <c r="C949" s="13"/>
    </row>
    <row r="950" spans="1:3" ht="13" x14ac:dyDescent="0.15">
      <c r="A950" s="10"/>
      <c r="B950" s="13"/>
      <c r="C950" s="13"/>
    </row>
    <row r="951" spans="1:3" ht="13" x14ac:dyDescent="0.15">
      <c r="A951" s="10"/>
      <c r="B951" s="13"/>
      <c r="C951" s="13"/>
    </row>
    <row r="952" spans="1:3" ht="13" x14ac:dyDescent="0.15">
      <c r="A952" s="10"/>
      <c r="B952" s="13"/>
      <c r="C952" s="13"/>
    </row>
    <row r="953" spans="1:3" ht="13" x14ac:dyDescent="0.15">
      <c r="A953" s="10"/>
      <c r="B953" s="13"/>
      <c r="C953" s="13"/>
    </row>
    <row r="954" spans="1:3" ht="13" x14ac:dyDescent="0.15">
      <c r="A954" s="10"/>
      <c r="B954" s="13"/>
      <c r="C954" s="13"/>
    </row>
    <row r="955" spans="1:3" ht="13" x14ac:dyDescent="0.15">
      <c r="A955" s="10"/>
      <c r="B955" s="13"/>
      <c r="C955" s="13"/>
    </row>
    <row r="956" spans="1:3" ht="13" x14ac:dyDescent="0.15">
      <c r="A956" s="10"/>
      <c r="B956" s="13"/>
      <c r="C956" s="13"/>
    </row>
    <row r="957" spans="1:3" ht="13" x14ac:dyDescent="0.15">
      <c r="A957" s="10"/>
      <c r="B957" s="13"/>
      <c r="C957" s="13"/>
    </row>
    <row r="958" spans="1:3" ht="13" x14ac:dyDescent="0.15">
      <c r="A958" s="10"/>
      <c r="B958" s="13"/>
      <c r="C958" s="13"/>
    </row>
    <row r="959" spans="1:3" ht="13" x14ac:dyDescent="0.15">
      <c r="A959" s="10"/>
      <c r="B959" s="13"/>
      <c r="C959" s="13"/>
    </row>
    <row r="960" spans="1:3" ht="13" x14ac:dyDescent="0.15">
      <c r="A960" s="10"/>
      <c r="B960" s="13"/>
      <c r="C960" s="13"/>
    </row>
    <row r="961" spans="1:3" ht="13" x14ac:dyDescent="0.15">
      <c r="A961" s="10"/>
      <c r="B961" s="13"/>
      <c r="C961" s="13"/>
    </row>
    <row r="962" spans="1:3" ht="13" x14ac:dyDescent="0.15">
      <c r="A962" s="10"/>
      <c r="B962" s="13"/>
      <c r="C962" s="13"/>
    </row>
    <row r="963" spans="1:3" ht="13" x14ac:dyDescent="0.15">
      <c r="A963" s="10"/>
      <c r="B963" s="13"/>
      <c r="C963" s="13"/>
    </row>
    <row r="964" spans="1:3" ht="13" x14ac:dyDescent="0.15">
      <c r="A964" s="10"/>
      <c r="B964" s="13"/>
      <c r="C964" s="13"/>
    </row>
    <row r="965" spans="1:3" ht="13" x14ac:dyDescent="0.15">
      <c r="A965" s="10"/>
      <c r="B965" s="13"/>
      <c r="C965" s="13"/>
    </row>
    <row r="966" spans="1:3" ht="13" x14ac:dyDescent="0.15">
      <c r="A966" s="10"/>
      <c r="B966" s="13"/>
      <c r="C966" s="13"/>
    </row>
    <row r="967" spans="1:3" ht="13" x14ac:dyDescent="0.15">
      <c r="A967" s="10"/>
      <c r="B967" s="13"/>
      <c r="C967" s="13"/>
    </row>
    <row r="968" spans="1:3" ht="13" x14ac:dyDescent="0.15">
      <c r="A968" s="10"/>
      <c r="B968" s="13"/>
      <c r="C968" s="13"/>
    </row>
    <row r="969" spans="1:3" ht="13" x14ac:dyDescent="0.15">
      <c r="A969" s="10"/>
      <c r="B969" s="13"/>
      <c r="C969" s="13"/>
    </row>
    <row r="970" spans="1:3" ht="13" x14ac:dyDescent="0.15">
      <c r="A970" s="10"/>
      <c r="B970" s="13"/>
      <c r="C970" s="13"/>
    </row>
    <row r="971" spans="1:3" ht="13" x14ac:dyDescent="0.15">
      <c r="A971" s="10"/>
      <c r="B971" s="13"/>
      <c r="C971" s="13"/>
    </row>
    <row r="972" spans="1:3" ht="13" x14ac:dyDescent="0.15">
      <c r="A972" s="10"/>
      <c r="B972" s="13"/>
      <c r="C972" s="13"/>
    </row>
    <row r="973" spans="1:3" ht="13" x14ac:dyDescent="0.15">
      <c r="A973" s="10"/>
      <c r="B973" s="13"/>
      <c r="C973" s="13"/>
    </row>
    <row r="974" spans="1:3" ht="13" x14ac:dyDescent="0.15">
      <c r="A974" s="10"/>
      <c r="B974" s="13"/>
      <c r="C974" s="13"/>
    </row>
    <row r="975" spans="1:3" ht="13" x14ac:dyDescent="0.15">
      <c r="A975" s="10"/>
      <c r="B975" s="13"/>
      <c r="C975" s="13"/>
    </row>
    <row r="976" spans="1:3" ht="13" x14ac:dyDescent="0.15">
      <c r="A976" s="10"/>
      <c r="B976" s="13"/>
      <c r="C976" s="13"/>
    </row>
    <row r="977" spans="1:3" ht="13" x14ac:dyDescent="0.15">
      <c r="A977" s="10"/>
      <c r="B977" s="13"/>
      <c r="C977" s="13"/>
    </row>
    <row r="978" spans="1:3" ht="13" x14ac:dyDescent="0.15">
      <c r="A978" s="10"/>
      <c r="B978" s="13"/>
      <c r="C978" s="13"/>
    </row>
    <row r="979" spans="1:3" ht="13" x14ac:dyDescent="0.15">
      <c r="A979" s="10"/>
      <c r="B979" s="13"/>
      <c r="C979" s="13"/>
    </row>
    <row r="980" spans="1:3" ht="13" x14ac:dyDescent="0.15">
      <c r="A980" s="10"/>
      <c r="B980" s="13"/>
      <c r="C980" s="13"/>
    </row>
    <row r="981" spans="1:3" ht="13" x14ac:dyDescent="0.15">
      <c r="A981" s="10"/>
      <c r="B981" s="13"/>
      <c r="C981" s="13"/>
    </row>
    <row r="982" spans="1:3" ht="13" x14ac:dyDescent="0.15">
      <c r="A982" s="10"/>
      <c r="B982" s="13"/>
      <c r="C982" s="13"/>
    </row>
    <row r="983" spans="1:3" ht="13" x14ac:dyDescent="0.15">
      <c r="A983" s="10"/>
      <c r="B983" s="13"/>
      <c r="C983" s="13"/>
    </row>
    <row r="984" spans="1:3" ht="13" x14ac:dyDescent="0.15">
      <c r="A984" s="10"/>
      <c r="B984" s="13"/>
      <c r="C984" s="13"/>
    </row>
    <row r="985" spans="1:3" ht="13" x14ac:dyDescent="0.15">
      <c r="A985" s="10"/>
      <c r="B985" s="13"/>
      <c r="C985" s="13"/>
    </row>
    <row r="986" spans="1:3" ht="13" x14ac:dyDescent="0.15">
      <c r="A986" s="10"/>
      <c r="B986" s="13"/>
      <c r="C986" s="13"/>
    </row>
    <row r="987" spans="1:3" ht="13" x14ac:dyDescent="0.15">
      <c r="A987" s="10"/>
      <c r="B987" s="13"/>
      <c r="C987" s="13"/>
    </row>
    <row r="988" spans="1:3" ht="13" x14ac:dyDescent="0.15">
      <c r="A988" s="10"/>
      <c r="B988" s="13"/>
      <c r="C988" s="13"/>
    </row>
    <row r="989" spans="1:3" ht="13" x14ac:dyDescent="0.15">
      <c r="A989" s="10"/>
      <c r="B989" s="13"/>
      <c r="C989" s="13"/>
    </row>
    <row r="990" spans="1:3" ht="13" x14ac:dyDescent="0.15">
      <c r="A990" s="10"/>
      <c r="B990" s="13"/>
      <c r="C990" s="13"/>
    </row>
    <row r="991" spans="1:3" ht="13" x14ac:dyDescent="0.15">
      <c r="A991" s="10"/>
      <c r="B991" s="13"/>
      <c r="C991" s="13"/>
    </row>
    <row r="992" spans="1:3" ht="13" x14ac:dyDescent="0.15">
      <c r="A992" s="10"/>
      <c r="B992" s="13"/>
      <c r="C992" s="13"/>
    </row>
    <row r="993" spans="1:3" ht="13" x14ac:dyDescent="0.15">
      <c r="A993" s="10"/>
      <c r="B993" s="13"/>
      <c r="C993" s="13"/>
    </row>
    <row r="994" spans="1:3" ht="13" x14ac:dyDescent="0.15">
      <c r="A994" s="10"/>
      <c r="B994" s="13"/>
      <c r="C994" s="13"/>
    </row>
    <row r="995" spans="1:3" ht="13" x14ac:dyDescent="0.15">
      <c r="A995" s="10"/>
      <c r="B995" s="13"/>
      <c r="C995" s="13"/>
    </row>
    <row r="996" spans="1:3" ht="13" x14ac:dyDescent="0.15">
      <c r="A996" s="10"/>
      <c r="B996" s="13"/>
      <c r="C996" s="13"/>
    </row>
    <row r="997" spans="1:3" ht="13" x14ac:dyDescent="0.15">
      <c r="A997" s="10"/>
      <c r="B997" s="13"/>
      <c r="C997" s="13"/>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outlinePr summaryBelow="0" summaryRight="0"/>
  </sheetPr>
  <dimension ref="A1:D997"/>
  <sheetViews>
    <sheetView workbookViewId="0"/>
  </sheetViews>
  <sheetFormatPr baseColWidth="10" defaultColWidth="12.6640625" defaultRowHeight="15.75" customHeight="1" x14ac:dyDescent="0.15"/>
  <cols>
    <col min="1" max="1" width="71.5" customWidth="1"/>
    <col min="2" max="4" width="37.6640625" customWidth="1"/>
  </cols>
  <sheetData>
    <row r="1" spans="1:4" ht="15.75" customHeight="1" x14ac:dyDescent="0.15">
      <c r="A1" s="1"/>
      <c r="B1" s="10" t="str">
        <f ca="1">IFERROR(__xludf.DUMMYFUNCTION("IMPORTRANGE(""https://docs.google.com/spreadsheets/u/0/d/1v3alDV9sI-Ng7OoZouCf4a0CI5tv_Xg2T3WprxxRGRs"", ""A48!B1:B22"")"),"Tyler")</f>
        <v>Tyler</v>
      </c>
      <c r="C1" s="10" t="str">
        <f ca="1">IFERROR(__xludf.DUMMYFUNCTION("IMPORTRANGE(""https://docs.google.com/spreadsheets/u/0/d/1DTeUShR903oScgwuFGuA8V8JqIoXmME8W-T3lNP0oHM"", ""A48!B1:B22"")"),"McKinzie Novak")</f>
        <v>McKinzie Novak</v>
      </c>
      <c r="D1" s="2" t="s">
        <v>22</v>
      </c>
    </row>
    <row r="2" spans="1:4" ht="15.75" customHeight="1" x14ac:dyDescent="0.15">
      <c r="A2" s="3" t="s">
        <v>2</v>
      </c>
      <c r="B2" s="15" t="str">
        <f ca="1">IFERROR(__xludf.DUMMYFUNCTION("""COMPUTED_VALUE"""),"28697 to 29095 (Forward)")</f>
        <v>28697 to 29095 (Forward)</v>
      </c>
      <c r="C2" s="15" t="str">
        <f ca="1">IFERROR(__xludf.DUMMYFUNCTION("""COMPUTED_VALUE"""),"START: 28697
STOP: 29095
Forward")</f>
        <v>START: 28697
STOP: 29095
Forward</v>
      </c>
      <c r="D2" s="29" t="s">
        <v>42</v>
      </c>
    </row>
    <row r="3" spans="1:4" ht="15.75" customHeight="1" x14ac:dyDescent="0.15">
      <c r="A3" s="5" t="s">
        <v>3</v>
      </c>
      <c r="B3" s="17" t="str">
        <f ca="1">IFERROR(__xludf.DUMMYFUNCTION("""COMPUTED_VALUE"""),"DNA Master_47
Phamerator_48
")</f>
        <v xml:space="preserve">DNA Master_47
Phamerator_48
</v>
      </c>
      <c r="C3" s="17" t="str">
        <f ca="1">IFERROR(__xludf.DUMMYFUNCTION("""COMPUTED_VALUE"""),"DNAM: 47
PHAM: 48
Phagesdb: 48")</f>
        <v>DNAM: 47
PHAM: 48
Phagesdb: 48</v>
      </c>
      <c r="D3" s="24" t="s">
        <v>43</v>
      </c>
    </row>
    <row r="4" spans="1:4" ht="15.75" customHeight="1" x14ac:dyDescent="0.15">
      <c r="A4" s="5" t="s">
        <v>4</v>
      </c>
      <c r="B4" s="17" t="str">
        <f ca="1">IFERROR(__xludf.DUMMYFUNCTION("""COMPUTED_VALUE"""),"209786 3/10/25")</f>
        <v>209786 3/10/25</v>
      </c>
      <c r="C4" s="17" t="str">
        <f ca="1">IFERROR(__xludf.DUMMYFUNCTION("""COMPUTED_VALUE"""),"#209786 - orpham  3/24/25")</f>
        <v>#209786 - orpham  3/24/25</v>
      </c>
      <c r="D4" s="24" t="s">
        <v>44</v>
      </c>
    </row>
    <row r="5" spans="1:4" ht="15.75" customHeight="1" x14ac:dyDescent="0.15">
      <c r="A5" s="5" t="s">
        <v>5</v>
      </c>
      <c r="B5" s="17" t="str">
        <f ca="1">IFERROR(__xludf.DUMMYFUNCTION("""COMPUTED_VALUE"""),"orpham, no data")</f>
        <v>orpham, no data</v>
      </c>
      <c r="C5" s="17" t="str">
        <f ca="1">IFERROR(__xludf.DUMMYFUNCTION("""COMPUTED_VALUE"""),"none in phagesdb - orpham")</f>
        <v>none in phagesdb - orpham</v>
      </c>
      <c r="D5" s="24" t="s">
        <v>45</v>
      </c>
    </row>
    <row r="6" spans="1:4" ht="15.75" customHeight="1" x14ac:dyDescent="0.15">
      <c r="A6" s="5" t="s">
        <v>6</v>
      </c>
      <c r="B6" s="17" t="str">
        <f ca="1">IFERROR(__xludf.DUMMYFUNCTION("""COMPUTED_VALUE"""),"both call @bp 28697 strength 17.70")</f>
        <v>both call @bp 28697 strength 17.70</v>
      </c>
      <c r="C6" s="17" t="str">
        <f ca="1">IFERROR(__xludf.DUMMYFUNCTION("""COMPUTED_VALUE"""),"Both glimmer and genemark call a start at 28697")</f>
        <v>Both glimmer and genemark call a start at 28697</v>
      </c>
      <c r="D6" s="24" t="s">
        <v>46</v>
      </c>
    </row>
    <row r="7" spans="1:4" ht="15.75" customHeight="1" x14ac:dyDescent="0.15">
      <c r="A7" s="5" t="s">
        <v>7</v>
      </c>
      <c r="B7" s="17" t="str">
        <f ca="1">IFERROR(__xludf.DUMMYFUNCTION("""COMPUTED_VALUE"""),"yes, all coding potential included in current start. A dip in coding potential towards the end of the gene")</f>
        <v>yes, all coding potential included in current start. A dip in coding potential towards the end of the gene</v>
      </c>
      <c r="C7" s="17" t="str">
        <f ca="1">IFERROR(__xludf.DUMMYFUNCTION("""COMPUTED_VALUE"""),"Yes the gene has decent coding potential until the end, and the start catches all of it")</f>
        <v>Yes the gene has decent coding potential until the end, and the start catches all of it</v>
      </c>
      <c r="D7" s="25" t="s">
        <v>47</v>
      </c>
    </row>
    <row r="8" spans="1:4" ht="15.75" customHeight="1" x14ac:dyDescent="0.15">
      <c r="A8" s="5" t="s">
        <v>8</v>
      </c>
      <c r="B8" s="17" t="str">
        <f ca="1">IFERROR(__xludf.DUMMYFUNCTION("""COMPUTED_VALUE"""),"yes")</f>
        <v>yes</v>
      </c>
      <c r="C8" s="17" t="str">
        <f ca="1">IFERROR(__xludf.DUMMYFUNCTION("""COMPUTED_VALUE"""),"Yes, this start is the longest possible ORF")</f>
        <v>Yes, this start is the longest possible ORF</v>
      </c>
      <c r="D8" s="24" t="s">
        <v>48</v>
      </c>
    </row>
    <row r="9" spans="1:4" ht="15.75" customHeight="1" x14ac:dyDescent="0.15">
      <c r="A9" s="5" t="s">
        <v>9</v>
      </c>
      <c r="B9" s="17" t="str">
        <f ca="1">IFERROR(__xludf.DUMMYFUNCTION("""COMPUTED_VALUE"""),"1 nt overlap")</f>
        <v>1 nt overlap</v>
      </c>
      <c r="C9" s="17" t="str">
        <f ca="1">IFERROR(__xludf.DUMMYFUNCTION("""COMPUTED_VALUE"""),"There is a 209 basepair gap with this start")</f>
        <v>There is a 209 basepair gap with this start</v>
      </c>
      <c r="D9" s="24" t="s">
        <v>49</v>
      </c>
    </row>
    <row r="10" spans="1:4" ht="15.75" customHeight="1" x14ac:dyDescent="0.15">
      <c r="A10" s="5" t="s">
        <v>10</v>
      </c>
      <c r="B10" s="17" t="str">
        <f ca="1">IFERROR(__xludf.DUMMYFUNCTION("""COMPUTED_VALUE"""),"current start has best Z score (2.807)")</f>
        <v>current start has best Z score (2.807)</v>
      </c>
      <c r="C10" s="17" t="str">
        <f ca="1">IFERROR(__xludf.DUMMYFUNCTION("""COMPUTED_VALUE"""),"Start: 28697 z-score:3.09 rbs:-2.7")</f>
        <v>Start: 28697 z-score:3.09 rbs:-2.7</v>
      </c>
      <c r="D10" s="24" t="s">
        <v>50</v>
      </c>
    </row>
    <row r="11" spans="1:4" ht="15.75" customHeight="1" x14ac:dyDescent="0.15">
      <c r="A11" s="5" t="s">
        <v>11</v>
      </c>
      <c r="B11" s="17" t="str">
        <f ca="1">IFERROR(__xludf.DUMMYFUNCTION("""COMPUTED_VALUE"""),"Micrococcus terreus; 40.00% identity; 1.2E-3; Q2:T36
")</f>
        <v xml:space="preserve">Micrococcus terreus; 40.00% identity; 1.2E-3; Q2:T36
</v>
      </c>
      <c r="C11" s="17" t="str">
        <f ca="1">IFERROR(__xludf.DUMMYFUNCTION("""COMPUTED_VALUE"""),"Kovu #50 %ID:43.9 e-val: 5e-07
Q:54 S:35
Protein in Micrococcus terreus %ID:40 e-val: 1.2e-3
Q:2 S:36")</f>
        <v>Kovu #50 %ID:43.9 e-val: 5e-07
Q:54 S:35
Protein in Micrococcus terreus %ID:40 e-val: 1.2e-3
Q:2 S:36</v>
      </c>
      <c r="D11" s="24" t="s">
        <v>51</v>
      </c>
    </row>
    <row r="12" spans="1:4" ht="15.75" customHeight="1" x14ac:dyDescent="0.15">
      <c r="A12" s="5" t="s">
        <v>12</v>
      </c>
      <c r="B12" s="17" t="str">
        <f ca="1">IFERROR(__xludf.DUMMYFUNCTION("""COMPUTED_VALUE"""),"orpham")</f>
        <v>orpham</v>
      </c>
      <c r="C12" s="17" t="str">
        <f ca="1">IFERROR(__xludf.DUMMYFUNCTION("""COMPUTED_VALUE"""),"Orpham")</f>
        <v>Orpham</v>
      </c>
      <c r="D12" s="24" t="s">
        <v>45</v>
      </c>
    </row>
    <row r="13" spans="1:4" ht="15.75" customHeight="1" x14ac:dyDescent="0.15">
      <c r="A13" s="5" t="s">
        <v>13</v>
      </c>
      <c r="B13" s="17" t="str">
        <f ca="1">IFERROR(__xludf.DUMMYFUNCTION("""COMPUTED_VALUE"""),"No, there is no reason to change the start, previous starts have bad Z score.")</f>
        <v>No, there is no reason to change the start, previous starts have bad Z score.</v>
      </c>
      <c r="C13" s="17" t="str">
        <f ca="1">IFERROR(__xludf.DUMMYFUNCTION("""COMPUTED_VALUE"""),"No its the earliest start, no point ")</f>
        <v xml:space="preserve">No its the earliest start, no point </v>
      </c>
      <c r="D13" s="24" t="s">
        <v>34</v>
      </c>
    </row>
    <row r="14" spans="1:4" ht="15.75" customHeight="1" x14ac:dyDescent="0.15">
      <c r="A14" s="5" t="s">
        <v>14</v>
      </c>
      <c r="B14" s="17" t="str">
        <f ca="1">IFERROR(__xludf.DUMMYFUNCTION("""COMPUTED_VALUE"""),"Kovu_50; 5e-08
TaylorSipht_53; 2e-04
")</f>
        <v xml:space="preserve">Kovu_50; 5e-08
TaylorSipht_53; 2e-04
</v>
      </c>
      <c r="C14" s="17" t="str">
        <f ca="1">IFERROR(__xludf.DUMMYFUNCTION("""COMPUTED_VALUE"""),"Kovu #50 e-val:5e-07
Protein in Micrococcus Terreus e-val: 1.2e-3")</f>
        <v>Kovu #50 e-val:5e-07
Protein in Micrococcus Terreus e-val: 1.2e-3</v>
      </c>
      <c r="D14" s="24" t="s">
        <v>52</v>
      </c>
    </row>
    <row r="15" spans="1:4" ht="15.75" customHeight="1" x14ac:dyDescent="0.15">
      <c r="A15" s="5" t="s">
        <v>15</v>
      </c>
      <c r="B15" s="17" t="str">
        <f ca="1">IFERROR(__xludf.DUMMYFUNCTION("""COMPUTED_VALUE"""),"function unknown ")</f>
        <v xml:space="preserve">function unknown </v>
      </c>
      <c r="C15" s="17" t="str">
        <f ca="1">IFERROR(__xludf.DUMMYFUNCTION("""COMPUTED_VALUE"""),"Kovu #50 hypothetical protein
Micrococcus Terreus hypothetical protein")</f>
        <v>Kovu #50 hypothetical protein
Micrococcus Terreus hypothetical protein</v>
      </c>
      <c r="D15" s="24" t="s">
        <v>53</v>
      </c>
    </row>
    <row r="16" spans="1:4" ht="15.75" customHeight="1" x14ac:dyDescent="0.15">
      <c r="A16" s="5" t="s">
        <v>16</v>
      </c>
      <c r="B16" s="17" t="str">
        <f ca="1">IFERROR(__xludf.DUMMYFUNCTION("""COMPUTED_VALUE"""),"orpham")</f>
        <v>orpham</v>
      </c>
      <c r="C16" s="17" t="str">
        <f ca="1">IFERROR(__xludf.DUMMYFUNCTION("""COMPUTED_VALUE"""),"This synteny seems apparent here considering there are alot of hypothetical proteins in this area; The genetic environment doesn't align too well with kovu but it doesn't seem super odd")</f>
        <v>This synteny seems apparent here considering there are alot of hypothetical proteins in this area; The genetic environment doesn't align too well with kovu but it doesn't seem super odd</v>
      </c>
      <c r="D16" s="24" t="s">
        <v>54</v>
      </c>
    </row>
    <row r="17" spans="1:4" ht="15.75" customHeight="1" x14ac:dyDescent="0.15">
      <c r="A17" s="5" t="s">
        <v>17</v>
      </c>
      <c r="B17" s="17" t="str">
        <f ca="1">IFERROR(__xludf.DUMMYFUNCTION("""COMPUTED_VALUE"""),"Peptidase_S78_2 ; Putative phage serine protease XkdF
Probability:76%,
% alignment Q: 24.2%
% alignment T: 26.0%
yes
")</f>
        <v xml:space="preserve">Peptidase_S78_2 ; Putative phage serine protease XkdF
Probability:76%,
% alignment Q: 24.2%
% alignment T: 26.0%
yes
</v>
      </c>
      <c r="C17" s="17" t="str">
        <f ca="1">IFERROR(__xludf.DUMMYFUNCTION("""COMPUTED_VALUE"""),"DESC: K(+)/H(+) antiporter subunit KhtT; Regulatory protein of K+/H+ antiporter, TRANSPORT PROTEIN
Prob:75.5 %ALQ:37.87 %ALT:70.4
Can't find the domain -- says disordered binding-- part of the ""N-Domain"" so maybe the whole thing? -- No most likely not i"&amp;"n the domain")</f>
        <v>DESC: K(+)/H(+) antiporter subunit KhtT; Regulatory protein of K+/H+ antiporter, TRANSPORT PROTEIN
Prob:75.5 %ALQ:37.87 %ALT:70.4
Can't find the domain -- says disordered binding-- part of the "N-Domain" so maybe the whole thing? -- No most likely not in the domain</v>
      </c>
      <c r="D17" s="24" t="s">
        <v>55</v>
      </c>
    </row>
    <row r="18" spans="1:4" ht="15.75" customHeight="1" x14ac:dyDescent="0.15">
      <c r="A18" s="5" t="s">
        <v>18</v>
      </c>
      <c r="B18" s="17" t="str">
        <f ca="1">IFERROR(__xludf.DUMMYFUNCTION("""COMPUTED_VALUE"""),"no")</f>
        <v>no</v>
      </c>
      <c r="C18" s="17" t="str">
        <f ca="1">IFERROR(__xludf.DUMMYFUNCTION("""COMPUTED_VALUE"""),"None")</f>
        <v>None</v>
      </c>
      <c r="D18" s="24" t="s">
        <v>56</v>
      </c>
    </row>
    <row r="19" spans="1:4" ht="15.75" customHeight="1" x14ac:dyDescent="0.15">
      <c r="A19" s="5" t="s">
        <v>19</v>
      </c>
      <c r="B19" s="17" t="str">
        <f ca="1">IFERROR(__xludf.DUMMYFUNCTION("""COMPUTED_VALUE"""),"no")</f>
        <v>no</v>
      </c>
      <c r="C19" s="17" t="str">
        <f ca="1">IFERROR(__xludf.DUMMYFUNCTION("""COMPUTED_VALUE"""),"None")</f>
        <v>None</v>
      </c>
      <c r="D19" s="24" t="s">
        <v>56</v>
      </c>
    </row>
    <row r="20" spans="1:4" ht="15.75" customHeight="1" x14ac:dyDescent="0.15">
      <c r="A20" s="5" t="s">
        <v>20</v>
      </c>
      <c r="B20" s="17" t="str">
        <f ca="1">IFERROR(__xludf.DUMMYFUNCTION("""COMPUTED_VALUE"""),"hypothetical protein although the HHpred result has a high probability, it barely aligns with the target and query. The blast matches also have unknown functions. 
")</f>
        <v xml:space="preserve">hypothetical protein although the HHpred result has a high probability, it barely aligns with the target and query. The blast matches also have unknown functions. 
</v>
      </c>
      <c r="C20" s="17" t="str">
        <f ca="1">IFERROR(__xludf.DUMMYFUNCTION("""COMPUTED_VALUE"""),"Hypothetical Protein")</f>
        <v>Hypothetical Protein</v>
      </c>
      <c r="D20" s="30" t="s">
        <v>57</v>
      </c>
    </row>
    <row r="21" spans="1:4" x14ac:dyDescent="0.2">
      <c r="A21" s="7"/>
      <c r="B21" s="19"/>
      <c r="C21" s="19"/>
      <c r="D21" s="8"/>
    </row>
    <row r="22" spans="1:4" ht="15.75" customHeight="1" x14ac:dyDescent="0.15">
      <c r="A22" s="9" t="s">
        <v>21</v>
      </c>
      <c r="B22" s="19"/>
      <c r="C22" s="19"/>
      <c r="D22" s="8"/>
    </row>
    <row r="23" spans="1:4" ht="15.75" customHeight="1" x14ac:dyDescent="0.15">
      <c r="A23" s="10"/>
      <c r="B23" s="13"/>
      <c r="C23" s="13"/>
    </row>
    <row r="24" spans="1:4" ht="15.75" customHeight="1" x14ac:dyDescent="0.15">
      <c r="A24" s="10"/>
      <c r="B24" s="13"/>
      <c r="C24" s="13"/>
    </row>
    <row r="25" spans="1:4" ht="15.75" customHeight="1" x14ac:dyDescent="0.15">
      <c r="A25" s="10"/>
      <c r="B25" s="13"/>
      <c r="C25" s="13"/>
    </row>
    <row r="26" spans="1:4" ht="15.75" customHeight="1" x14ac:dyDescent="0.15">
      <c r="A26" s="10"/>
      <c r="B26" s="13"/>
      <c r="C26" s="13"/>
    </row>
    <row r="27" spans="1:4" ht="15.75" customHeight="1" x14ac:dyDescent="0.15">
      <c r="A27" s="10"/>
      <c r="B27" s="13"/>
      <c r="C27" s="13"/>
    </row>
    <row r="28" spans="1:4" ht="15.75" customHeight="1" x14ac:dyDescent="0.15">
      <c r="A28" s="10"/>
      <c r="B28" s="13"/>
      <c r="C28" s="13"/>
    </row>
    <row r="29" spans="1:4" ht="15.75" customHeight="1" x14ac:dyDescent="0.15">
      <c r="A29" s="10"/>
      <c r="B29" s="13"/>
      <c r="C29" s="13"/>
    </row>
    <row r="30" spans="1:4" ht="15.75" customHeight="1" x14ac:dyDescent="0.15">
      <c r="A30" s="10"/>
      <c r="B30" s="13"/>
      <c r="C30" s="13"/>
    </row>
    <row r="31" spans="1:4" ht="15.75" customHeight="1" x14ac:dyDescent="0.15">
      <c r="A31" s="10"/>
      <c r="B31" s="13"/>
      <c r="C31" s="13"/>
    </row>
    <row r="32" spans="1:4" ht="15.75" customHeight="1" x14ac:dyDescent="0.15">
      <c r="A32" s="10"/>
      <c r="B32" s="13"/>
      <c r="C32" s="13"/>
    </row>
    <row r="33" spans="1:3" ht="15.75" customHeight="1" x14ac:dyDescent="0.15">
      <c r="A33" s="10"/>
      <c r="B33" s="13"/>
      <c r="C33" s="13"/>
    </row>
    <row r="34" spans="1:3" ht="15.75" customHeight="1" x14ac:dyDescent="0.15">
      <c r="A34" s="10"/>
      <c r="B34" s="13"/>
      <c r="C34" s="13"/>
    </row>
    <row r="35" spans="1:3" ht="15.75" customHeight="1" x14ac:dyDescent="0.15">
      <c r="A35" s="10"/>
      <c r="B35" s="13"/>
      <c r="C35" s="13"/>
    </row>
    <row r="36" spans="1:3" ht="15.75" customHeight="1" x14ac:dyDescent="0.15">
      <c r="A36" s="10"/>
      <c r="B36" s="13"/>
      <c r="C36" s="13"/>
    </row>
    <row r="37" spans="1:3" ht="15.75" customHeight="1" x14ac:dyDescent="0.15">
      <c r="A37" s="10"/>
      <c r="B37" s="13"/>
      <c r="C37" s="13"/>
    </row>
    <row r="38" spans="1:3" ht="15.75" customHeight="1" x14ac:dyDescent="0.15">
      <c r="A38" s="10"/>
      <c r="B38" s="13"/>
      <c r="C38" s="13"/>
    </row>
    <row r="39" spans="1:3" ht="13" x14ac:dyDescent="0.15">
      <c r="A39" s="10"/>
      <c r="B39" s="13"/>
      <c r="C39" s="13"/>
    </row>
    <row r="40" spans="1:3" ht="13" x14ac:dyDescent="0.15">
      <c r="A40" s="10"/>
      <c r="B40" s="13"/>
      <c r="C40" s="13"/>
    </row>
    <row r="41" spans="1:3" ht="13" x14ac:dyDescent="0.15">
      <c r="A41" s="10"/>
      <c r="B41" s="13"/>
      <c r="C41" s="13"/>
    </row>
    <row r="42" spans="1:3" ht="13" x14ac:dyDescent="0.15">
      <c r="A42" s="10"/>
      <c r="B42" s="13"/>
      <c r="C42" s="13"/>
    </row>
    <row r="43" spans="1:3" ht="13" x14ac:dyDescent="0.15">
      <c r="A43" s="10"/>
      <c r="B43" s="13"/>
      <c r="C43" s="13"/>
    </row>
    <row r="44" spans="1:3" ht="13" x14ac:dyDescent="0.15">
      <c r="A44" s="10"/>
      <c r="B44" s="13"/>
      <c r="C44" s="13"/>
    </row>
    <row r="45" spans="1:3" ht="13" x14ac:dyDescent="0.15">
      <c r="A45" s="10"/>
      <c r="B45" s="13"/>
      <c r="C45" s="13"/>
    </row>
    <row r="46" spans="1:3" ht="13" x14ac:dyDescent="0.15">
      <c r="A46" s="10"/>
      <c r="B46" s="13"/>
      <c r="C46" s="13"/>
    </row>
    <row r="47" spans="1:3" ht="13" x14ac:dyDescent="0.15">
      <c r="A47" s="10"/>
      <c r="B47" s="13"/>
      <c r="C47" s="13"/>
    </row>
    <row r="48" spans="1:3" ht="13" x14ac:dyDescent="0.15">
      <c r="A48" s="10"/>
      <c r="B48" s="13"/>
      <c r="C48" s="13"/>
    </row>
    <row r="49" spans="1:3" ht="13" x14ac:dyDescent="0.15">
      <c r="A49" s="10"/>
      <c r="B49" s="13"/>
      <c r="C49" s="13"/>
    </row>
    <row r="50" spans="1:3" ht="13" x14ac:dyDescent="0.15">
      <c r="A50" s="10"/>
      <c r="B50" s="13"/>
      <c r="C50" s="13"/>
    </row>
    <row r="51" spans="1:3" ht="13" x14ac:dyDescent="0.15">
      <c r="A51" s="10"/>
      <c r="B51" s="13"/>
      <c r="C51" s="13"/>
    </row>
    <row r="52" spans="1:3" ht="13" x14ac:dyDescent="0.15">
      <c r="A52" s="10"/>
      <c r="B52" s="13"/>
      <c r="C52" s="13"/>
    </row>
    <row r="53" spans="1:3" ht="13" x14ac:dyDescent="0.15">
      <c r="A53" s="10"/>
      <c r="B53" s="13"/>
      <c r="C53" s="13"/>
    </row>
    <row r="54" spans="1:3" ht="13" x14ac:dyDescent="0.15">
      <c r="A54" s="10"/>
      <c r="B54" s="13"/>
      <c r="C54" s="13"/>
    </row>
    <row r="55" spans="1:3" ht="13" x14ac:dyDescent="0.15">
      <c r="A55" s="10"/>
      <c r="B55" s="13"/>
      <c r="C55" s="13"/>
    </row>
    <row r="56" spans="1:3" ht="13" x14ac:dyDescent="0.15">
      <c r="A56" s="10"/>
      <c r="B56" s="13"/>
      <c r="C56" s="13"/>
    </row>
    <row r="57" spans="1:3" ht="13" x14ac:dyDescent="0.15">
      <c r="A57" s="10"/>
      <c r="B57" s="13"/>
      <c r="C57" s="13"/>
    </row>
    <row r="58" spans="1:3" ht="13" x14ac:dyDescent="0.15">
      <c r="A58" s="10"/>
      <c r="B58" s="13"/>
      <c r="C58" s="13"/>
    </row>
    <row r="59" spans="1:3" ht="13" x14ac:dyDescent="0.15">
      <c r="A59" s="10"/>
      <c r="B59" s="13"/>
      <c r="C59" s="13"/>
    </row>
    <row r="60" spans="1:3" ht="13" x14ac:dyDescent="0.15">
      <c r="A60" s="10"/>
      <c r="B60" s="13"/>
      <c r="C60" s="13"/>
    </row>
    <row r="61" spans="1:3" ht="13" x14ac:dyDescent="0.15">
      <c r="A61" s="10"/>
      <c r="B61" s="13"/>
      <c r="C61" s="13"/>
    </row>
    <row r="62" spans="1:3" ht="13" x14ac:dyDescent="0.15">
      <c r="A62" s="10"/>
      <c r="B62" s="13"/>
      <c r="C62" s="13"/>
    </row>
    <row r="63" spans="1:3" ht="13" x14ac:dyDescent="0.15">
      <c r="A63" s="10"/>
      <c r="B63" s="13"/>
      <c r="C63" s="13"/>
    </row>
    <row r="64" spans="1:3" ht="13" x14ac:dyDescent="0.15">
      <c r="A64" s="10"/>
      <c r="B64" s="13"/>
      <c r="C64" s="13"/>
    </row>
    <row r="65" spans="1:3" ht="13" x14ac:dyDescent="0.15">
      <c r="A65" s="10"/>
      <c r="B65" s="13"/>
      <c r="C65" s="13"/>
    </row>
    <row r="66" spans="1:3" ht="13" x14ac:dyDescent="0.15">
      <c r="A66" s="10"/>
      <c r="B66" s="13"/>
      <c r="C66" s="13"/>
    </row>
    <row r="67" spans="1:3" ht="13" x14ac:dyDescent="0.15">
      <c r="A67" s="10"/>
      <c r="B67" s="13"/>
      <c r="C67" s="13"/>
    </row>
    <row r="68" spans="1:3" ht="13" x14ac:dyDescent="0.15">
      <c r="A68" s="10"/>
      <c r="B68" s="13"/>
      <c r="C68" s="13"/>
    </row>
    <row r="69" spans="1:3" ht="13" x14ac:dyDescent="0.15">
      <c r="A69" s="10"/>
      <c r="B69" s="13"/>
      <c r="C69" s="13"/>
    </row>
    <row r="70" spans="1:3" ht="13" x14ac:dyDescent="0.15">
      <c r="A70" s="10"/>
      <c r="B70" s="13"/>
      <c r="C70" s="13"/>
    </row>
    <row r="71" spans="1:3" ht="13" x14ac:dyDescent="0.15">
      <c r="A71" s="10"/>
      <c r="B71" s="13"/>
      <c r="C71" s="13"/>
    </row>
    <row r="72" spans="1:3" ht="13" x14ac:dyDescent="0.15">
      <c r="A72" s="10"/>
      <c r="B72" s="13"/>
      <c r="C72" s="13"/>
    </row>
    <row r="73" spans="1:3" ht="13" x14ac:dyDescent="0.15">
      <c r="A73" s="10"/>
      <c r="B73" s="13"/>
      <c r="C73" s="13"/>
    </row>
    <row r="74" spans="1:3" ht="13" x14ac:dyDescent="0.15">
      <c r="A74" s="10"/>
      <c r="B74" s="13"/>
      <c r="C74" s="13"/>
    </row>
    <row r="75" spans="1:3" ht="13" x14ac:dyDescent="0.15">
      <c r="A75" s="10"/>
      <c r="B75" s="13"/>
      <c r="C75" s="13"/>
    </row>
    <row r="76" spans="1:3" ht="13" x14ac:dyDescent="0.15">
      <c r="A76" s="10"/>
      <c r="B76" s="13"/>
      <c r="C76" s="13"/>
    </row>
    <row r="77" spans="1:3" ht="13" x14ac:dyDescent="0.15">
      <c r="A77" s="10"/>
      <c r="B77" s="13"/>
      <c r="C77" s="13"/>
    </row>
    <row r="78" spans="1:3" ht="13" x14ac:dyDescent="0.15">
      <c r="A78" s="10"/>
      <c r="B78" s="13"/>
      <c r="C78" s="13"/>
    </row>
    <row r="79" spans="1:3" ht="13" x14ac:dyDescent="0.15">
      <c r="A79" s="10"/>
      <c r="B79" s="13"/>
      <c r="C79" s="13"/>
    </row>
    <row r="80" spans="1:3" ht="13" x14ac:dyDescent="0.15">
      <c r="A80" s="10"/>
      <c r="B80" s="13"/>
      <c r="C80" s="13"/>
    </row>
    <row r="81" spans="1:3" ht="13" x14ac:dyDescent="0.15">
      <c r="A81" s="10"/>
      <c r="B81" s="13"/>
      <c r="C81" s="13"/>
    </row>
    <row r="82" spans="1:3" ht="13" x14ac:dyDescent="0.15">
      <c r="A82" s="10"/>
      <c r="B82" s="13"/>
      <c r="C82" s="13"/>
    </row>
    <row r="83" spans="1:3" ht="13" x14ac:dyDescent="0.15">
      <c r="A83" s="10"/>
      <c r="B83" s="13"/>
      <c r="C83" s="13"/>
    </row>
    <row r="84" spans="1:3" ht="13" x14ac:dyDescent="0.15">
      <c r="A84" s="10"/>
      <c r="B84" s="13"/>
      <c r="C84" s="13"/>
    </row>
    <row r="85" spans="1:3" ht="13" x14ac:dyDescent="0.15">
      <c r="A85" s="10"/>
      <c r="B85" s="13"/>
      <c r="C85" s="13"/>
    </row>
    <row r="86" spans="1:3" ht="13" x14ac:dyDescent="0.15">
      <c r="A86" s="10"/>
      <c r="B86" s="13"/>
      <c r="C86" s="13"/>
    </row>
    <row r="87" spans="1:3" ht="13" x14ac:dyDescent="0.15">
      <c r="A87" s="10"/>
      <c r="B87" s="13"/>
      <c r="C87" s="13"/>
    </row>
    <row r="88" spans="1:3" ht="13" x14ac:dyDescent="0.15">
      <c r="A88" s="10"/>
      <c r="B88" s="13"/>
      <c r="C88" s="13"/>
    </row>
    <row r="89" spans="1:3" ht="13" x14ac:dyDescent="0.15">
      <c r="A89" s="10"/>
      <c r="B89" s="13"/>
      <c r="C89" s="13"/>
    </row>
    <row r="90" spans="1:3" ht="13" x14ac:dyDescent="0.15">
      <c r="A90" s="10"/>
      <c r="B90" s="13"/>
      <c r="C90" s="13"/>
    </row>
    <row r="91" spans="1:3" ht="13" x14ac:dyDescent="0.15">
      <c r="A91" s="10"/>
      <c r="B91" s="13"/>
      <c r="C91" s="13"/>
    </row>
    <row r="92" spans="1:3" ht="13" x14ac:dyDescent="0.15">
      <c r="A92" s="10"/>
      <c r="B92" s="13"/>
      <c r="C92" s="13"/>
    </row>
    <row r="93" spans="1:3" ht="13" x14ac:dyDescent="0.15">
      <c r="A93" s="10"/>
      <c r="B93" s="13"/>
      <c r="C93" s="13"/>
    </row>
    <row r="94" spans="1:3" ht="13" x14ac:dyDescent="0.15">
      <c r="A94" s="10"/>
      <c r="B94" s="13"/>
      <c r="C94" s="13"/>
    </row>
    <row r="95" spans="1:3" ht="13" x14ac:dyDescent="0.15">
      <c r="A95" s="10"/>
      <c r="B95" s="13"/>
      <c r="C95" s="13"/>
    </row>
    <row r="96" spans="1:3" ht="13" x14ac:dyDescent="0.15">
      <c r="A96" s="10"/>
      <c r="B96" s="13"/>
      <c r="C96" s="13"/>
    </row>
    <row r="97" spans="1:3" ht="13" x14ac:dyDescent="0.15">
      <c r="A97" s="10"/>
      <c r="B97" s="13"/>
      <c r="C97" s="13"/>
    </row>
    <row r="98" spans="1:3" ht="13" x14ac:dyDescent="0.15">
      <c r="A98" s="10"/>
      <c r="B98" s="13"/>
      <c r="C98" s="13"/>
    </row>
    <row r="99" spans="1:3" ht="13" x14ac:dyDescent="0.15">
      <c r="A99" s="10"/>
      <c r="B99" s="13"/>
      <c r="C99" s="13"/>
    </row>
    <row r="100" spans="1:3" ht="13" x14ac:dyDescent="0.15">
      <c r="A100" s="10"/>
      <c r="B100" s="13"/>
      <c r="C100" s="13"/>
    </row>
    <row r="101" spans="1:3" ht="13" x14ac:dyDescent="0.15">
      <c r="A101" s="10"/>
      <c r="B101" s="13"/>
      <c r="C101" s="13"/>
    </row>
    <row r="102" spans="1:3" ht="13" x14ac:dyDescent="0.15">
      <c r="A102" s="10"/>
      <c r="B102" s="13"/>
      <c r="C102" s="13"/>
    </row>
    <row r="103" spans="1:3" ht="13" x14ac:dyDescent="0.15">
      <c r="A103" s="10"/>
      <c r="B103" s="13"/>
      <c r="C103" s="13"/>
    </row>
    <row r="104" spans="1:3" ht="13" x14ac:dyDescent="0.15">
      <c r="A104" s="10"/>
      <c r="B104" s="13"/>
      <c r="C104" s="13"/>
    </row>
    <row r="105" spans="1:3" ht="13" x14ac:dyDescent="0.15">
      <c r="A105" s="10"/>
      <c r="B105" s="13"/>
      <c r="C105" s="13"/>
    </row>
    <row r="106" spans="1:3" ht="13" x14ac:dyDescent="0.15">
      <c r="A106" s="10"/>
      <c r="B106" s="13"/>
      <c r="C106" s="13"/>
    </row>
    <row r="107" spans="1:3" ht="13" x14ac:dyDescent="0.15">
      <c r="A107" s="10"/>
      <c r="B107" s="13"/>
      <c r="C107" s="13"/>
    </row>
    <row r="108" spans="1:3" ht="13" x14ac:dyDescent="0.15">
      <c r="A108" s="10"/>
      <c r="B108" s="13"/>
      <c r="C108" s="13"/>
    </row>
    <row r="109" spans="1:3" ht="13" x14ac:dyDescent="0.15">
      <c r="A109" s="10"/>
      <c r="B109" s="13"/>
      <c r="C109" s="13"/>
    </row>
    <row r="110" spans="1:3" ht="13" x14ac:dyDescent="0.15">
      <c r="A110" s="10"/>
      <c r="B110" s="13"/>
      <c r="C110" s="13"/>
    </row>
    <row r="111" spans="1:3" ht="13" x14ac:dyDescent="0.15">
      <c r="A111" s="10"/>
      <c r="B111" s="13"/>
      <c r="C111" s="13"/>
    </row>
    <row r="112" spans="1:3" ht="13" x14ac:dyDescent="0.15">
      <c r="A112" s="10"/>
      <c r="B112" s="13"/>
      <c r="C112" s="13"/>
    </row>
    <row r="113" spans="1:3" ht="13" x14ac:dyDescent="0.15">
      <c r="A113" s="10"/>
      <c r="B113" s="13"/>
      <c r="C113" s="13"/>
    </row>
    <row r="114" spans="1:3" ht="13" x14ac:dyDescent="0.15">
      <c r="A114" s="10"/>
      <c r="B114" s="13"/>
      <c r="C114" s="13"/>
    </row>
    <row r="115" spans="1:3" ht="13" x14ac:dyDescent="0.15">
      <c r="A115" s="10"/>
      <c r="B115" s="13"/>
      <c r="C115" s="13"/>
    </row>
    <row r="116" spans="1:3" ht="13" x14ac:dyDescent="0.15">
      <c r="A116" s="10"/>
      <c r="B116" s="13"/>
      <c r="C116" s="13"/>
    </row>
    <row r="117" spans="1:3" ht="13" x14ac:dyDescent="0.15">
      <c r="A117" s="10"/>
      <c r="B117" s="13"/>
      <c r="C117" s="13"/>
    </row>
    <row r="118" spans="1:3" ht="13" x14ac:dyDescent="0.15">
      <c r="A118" s="10"/>
      <c r="B118" s="13"/>
      <c r="C118" s="13"/>
    </row>
    <row r="119" spans="1:3" ht="13" x14ac:dyDescent="0.15">
      <c r="A119" s="10"/>
      <c r="B119" s="13"/>
      <c r="C119" s="13"/>
    </row>
    <row r="120" spans="1:3" ht="13" x14ac:dyDescent="0.15">
      <c r="A120" s="10"/>
      <c r="B120" s="13"/>
      <c r="C120" s="13"/>
    </row>
    <row r="121" spans="1:3" ht="13" x14ac:dyDescent="0.15">
      <c r="A121" s="10"/>
      <c r="B121" s="13"/>
      <c r="C121" s="13"/>
    </row>
    <row r="122" spans="1:3" ht="13" x14ac:dyDescent="0.15">
      <c r="A122" s="10"/>
      <c r="B122" s="13"/>
      <c r="C122" s="13"/>
    </row>
    <row r="123" spans="1:3" ht="13" x14ac:dyDescent="0.15">
      <c r="A123" s="10"/>
      <c r="B123" s="13"/>
      <c r="C123" s="13"/>
    </row>
    <row r="124" spans="1:3" ht="13" x14ac:dyDescent="0.15">
      <c r="A124" s="10"/>
      <c r="B124" s="13"/>
      <c r="C124" s="13"/>
    </row>
    <row r="125" spans="1:3" ht="13" x14ac:dyDescent="0.15">
      <c r="A125" s="10"/>
      <c r="B125" s="13"/>
      <c r="C125" s="13"/>
    </row>
    <row r="126" spans="1:3" ht="13" x14ac:dyDescent="0.15">
      <c r="A126" s="10"/>
      <c r="B126" s="13"/>
      <c r="C126" s="13"/>
    </row>
    <row r="127" spans="1:3" ht="13" x14ac:dyDescent="0.15">
      <c r="A127" s="10"/>
      <c r="B127" s="13"/>
      <c r="C127" s="13"/>
    </row>
    <row r="128" spans="1:3" ht="13" x14ac:dyDescent="0.15">
      <c r="A128" s="10"/>
      <c r="B128" s="13"/>
      <c r="C128" s="13"/>
    </row>
    <row r="129" spans="1:3" ht="13" x14ac:dyDescent="0.15">
      <c r="A129" s="10"/>
      <c r="B129" s="13"/>
      <c r="C129" s="13"/>
    </row>
    <row r="130" spans="1:3" ht="13" x14ac:dyDescent="0.15">
      <c r="A130" s="10"/>
      <c r="B130" s="13"/>
      <c r="C130" s="13"/>
    </row>
    <row r="131" spans="1:3" ht="13" x14ac:dyDescent="0.15">
      <c r="A131" s="10"/>
      <c r="B131" s="13"/>
      <c r="C131" s="13"/>
    </row>
    <row r="132" spans="1:3" ht="13" x14ac:dyDescent="0.15">
      <c r="A132" s="10"/>
      <c r="B132" s="13"/>
      <c r="C132" s="13"/>
    </row>
    <row r="133" spans="1:3" ht="13" x14ac:dyDescent="0.15">
      <c r="A133" s="10"/>
      <c r="B133" s="13"/>
      <c r="C133" s="13"/>
    </row>
    <row r="134" spans="1:3" ht="13" x14ac:dyDescent="0.15">
      <c r="A134" s="10"/>
      <c r="B134" s="13"/>
      <c r="C134" s="13"/>
    </row>
    <row r="135" spans="1:3" ht="13" x14ac:dyDescent="0.15">
      <c r="A135" s="10"/>
      <c r="B135" s="13"/>
      <c r="C135" s="13"/>
    </row>
    <row r="136" spans="1:3" ht="13" x14ac:dyDescent="0.15">
      <c r="A136" s="10"/>
      <c r="B136" s="13"/>
      <c r="C136" s="13"/>
    </row>
    <row r="137" spans="1:3" ht="13" x14ac:dyDescent="0.15">
      <c r="A137" s="10"/>
      <c r="B137" s="13"/>
      <c r="C137" s="13"/>
    </row>
    <row r="138" spans="1:3" ht="13" x14ac:dyDescent="0.15">
      <c r="A138" s="10"/>
      <c r="B138" s="13"/>
      <c r="C138" s="13"/>
    </row>
    <row r="139" spans="1:3" ht="13" x14ac:dyDescent="0.15">
      <c r="A139" s="10"/>
      <c r="B139" s="13"/>
      <c r="C139" s="13"/>
    </row>
    <row r="140" spans="1:3" ht="13" x14ac:dyDescent="0.15">
      <c r="A140" s="10"/>
      <c r="B140" s="13"/>
      <c r="C140" s="13"/>
    </row>
    <row r="141" spans="1:3" ht="13" x14ac:dyDescent="0.15">
      <c r="A141" s="10"/>
      <c r="B141" s="13"/>
      <c r="C141" s="13"/>
    </row>
    <row r="142" spans="1:3" ht="13" x14ac:dyDescent="0.15">
      <c r="A142" s="10"/>
      <c r="B142" s="13"/>
      <c r="C142" s="13"/>
    </row>
    <row r="143" spans="1:3" ht="13" x14ac:dyDescent="0.15">
      <c r="A143" s="10"/>
      <c r="B143" s="13"/>
      <c r="C143" s="13"/>
    </row>
    <row r="144" spans="1:3" ht="13" x14ac:dyDescent="0.15">
      <c r="A144" s="10"/>
      <c r="B144" s="13"/>
      <c r="C144" s="13"/>
    </row>
    <row r="145" spans="1:3" ht="13" x14ac:dyDescent="0.15">
      <c r="A145" s="10"/>
      <c r="B145" s="13"/>
      <c r="C145" s="13"/>
    </row>
    <row r="146" spans="1:3" ht="13" x14ac:dyDescent="0.15">
      <c r="A146" s="10"/>
      <c r="B146" s="13"/>
      <c r="C146" s="13"/>
    </row>
    <row r="147" spans="1:3" ht="13" x14ac:dyDescent="0.15">
      <c r="A147" s="10"/>
      <c r="B147" s="13"/>
      <c r="C147" s="13"/>
    </row>
    <row r="148" spans="1:3" ht="13" x14ac:dyDescent="0.15">
      <c r="A148" s="10"/>
      <c r="B148" s="13"/>
      <c r="C148" s="13"/>
    </row>
    <row r="149" spans="1:3" ht="13" x14ac:dyDescent="0.15">
      <c r="A149" s="10"/>
      <c r="B149" s="13"/>
      <c r="C149" s="13"/>
    </row>
    <row r="150" spans="1:3" ht="13" x14ac:dyDescent="0.15">
      <c r="A150" s="10"/>
      <c r="B150" s="13"/>
      <c r="C150" s="13"/>
    </row>
    <row r="151" spans="1:3" ht="13" x14ac:dyDescent="0.15">
      <c r="A151" s="10"/>
      <c r="B151" s="13"/>
      <c r="C151" s="13"/>
    </row>
    <row r="152" spans="1:3" ht="13" x14ac:dyDescent="0.15">
      <c r="A152" s="10"/>
      <c r="B152" s="13"/>
      <c r="C152" s="13"/>
    </row>
    <row r="153" spans="1:3" ht="13" x14ac:dyDescent="0.15">
      <c r="A153" s="10"/>
      <c r="B153" s="13"/>
      <c r="C153" s="13"/>
    </row>
    <row r="154" spans="1:3" ht="13" x14ac:dyDescent="0.15">
      <c r="A154" s="10"/>
      <c r="B154" s="13"/>
      <c r="C154" s="13"/>
    </row>
    <row r="155" spans="1:3" ht="13" x14ac:dyDescent="0.15">
      <c r="A155" s="10"/>
      <c r="B155" s="13"/>
      <c r="C155" s="13"/>
    </row>
    <row r="156" spans="1:3" ht="13" x14ac:dyDescent="0.15">
      <c r="A156" s="10"/>
      <c r="B156" s="13"/>
      <c r="C156" s="13"/>
    </row>
    <row r="157" spans="1:3" ht="13" x14ac:dyDescent="0.15">
      <c r="A157" s="10"/>
      <c r="B157" s="13"/>
      <c r="C157" s="13"/>
    </row>
    <row r="158" spans="1:3" ht="13" x14ac:dyDescent="0.15">
      <c r="A158" s="10"/>
      <c r="B158" s="13"/>
      <c r="C158" s="13"/>
    </row>
    <row r="159" spans="1:3" ht="13" x14ac:dyDescent="0.15">
      <c r="A159" s="10"/>
      <c r="B159" s="13"/>
      <c r="C159" s="13"/>
    </row>
    <row r="160" spans="1:3" ht="13" x14ac:dyDescent="0.15">
      <c r="A160" s="10"/>
      <c r="B160" s="13"/>
      <c r="C160" s="13"/>
    </row>
    <row r="161" spans="1:3" ht="13" x14ac:dyDescent="0.15">
      <c r="A161" s="10"/>
      <c r="B161" s="13"/>
      <c r="C161" s="13"/>
    </row>
    <row r="162" spans="1:3" ht="13" x14ac:dyDescent="0.15">
      <c r="A162" s="10"/>
      <c r="B162" s="13"/>
      <c r="C162" s="13"/>
    </row>
    <row r="163" spans="1:3" ht="13" x14ac:dyDescent="0.15">
      <c r="A163" s="10"/>
      <c r="B163" s="13"/>
      <c r="C163" s="13"/>
    </row>
    <row r="164" spans="1:3" ht="13" x14ac:dyDescent="0.15">
      <c r="A164" s="10"/>
      <c r="B164" s="13"/>
      <c r="C164" s="13"/>
    </row>
    <row r="165" spans="1:3" ht="13" x14ac:dyDescent="0.15">
      <c r="A165" s="10"/>
      <c r="B165" s="13"/>
      <c r="C165" s="13"/>
    </row>
    <row r="166" spans="1:3" ht="13" x14ac:dyDescent="0.15">
      <c r="A166" s="10"/>
      <c r="B166" s="13"/>
      <c r="C166" s="13"/>
    </row>
    <row r="167" spans="1:3" ht="13" x14ac:dyDescent="0.15">
      <c r="A167" s="10"/>
      <c r="B167" s="13"/>
      <c r="C167" s="13"/>
    </row>
    <row r="168" spans="1:3" ht="13" x14ac:dyDescent="0.15">
      <c r="A168" s="10"/>
      <c r="B168" s="13"/>
      <c r="C168" s="13"/>
    </row>
    <row r="169" spans="1:3" ht="13" x14ac:dyDescent="0.15">
      <c r="A169" s="10"/>
      <c r="B169" s="13"/>
      <c r="C169" s="13"/>
    </row>
    <row r="170" spans="1:3" ht="13" x14ac:dyDescent="0.15">
      <c r="A170" s="10"/>
      <c r="B170" s="13"/>
      <c r="C170" s="13"/>
    </row>
    <row r="171" spans="1:3" ht="13" x14ac:dyDescent="0.15">
      <c r="A171" s="10"/>
      <c r="B171" s="13"/>
      <c r="C171" s="13"/>
    </row>
    <row r="172" spans="1:3" ht="13" x14ac:dyDescent="0.15">
      <c r="A172" s="10"/>
      <c r="B172" s="13"/>
      <c r="C172" s="13"/>
    </row>
    <row r="173" spans="1:3" ht="13" x14ac:dyDescent="0.15">
      <c r="A173" s="10"/>
      <c r="B173" s="13"/>
      <c r="C173" s="13"/>
    </row>
    <row r="174" spans="1:3" ht="13" x14ac:dyDescent="0.15">
      <c r="A174" s="10"/>
      <c r="B174" s="13"/>
      <c r="C174" s="13"/>
    </row>
    <row r="175" spans="1:3" ht="13" x14ac:dyDescent="0.15">
      <c r="A175" s="10"/>
      <c r="B175" s="13"/>
      <c r="C175" s="13"/>
    </row>
    <row r="176" spans="1:3" ht="13" x14ac:dyDescent="0.15">
      <c r="A176" s="10"/>
      <c r="B176" s="13"/>
      <c r="C176" s="13"/>
    </row>
    <row r="177" spans="1:3" ht="13" x14ac:dyDescent="0.15">
      <c r="A177" s="10"/>
      <c r="B177" s="13"/>
      <c r="C177" s="13"/>
    </row>
    <row r="178" spans="1:3" ht="13" x14ac:dyDescent="0.15">
      <c r="A178" s="10"/>
      <c r="B178" s="13"/>
      <c r="C178" s="13"/>
    </row>
    <row r="179" spans="1:3" ht="13" x14ac:dyDescent="0.15">
      <c r="A179" s="10"/>
      <c r="B179" s="13"/>
      <c r="C179" s="13"/>
    </row>
    <row r="180" spans="1:3" ht="13" x14ac:dyDescent="0.15">
      <c r="A180" s="10"/>
      <c r="B180" s="13"/>
      <c r="C180" s="13"/>
    </row>
    <row r="181" spans="1:3" ht="13" x14ac:dyDescent="0.15">
      <c r="A181" s="10"/>
      <c r="B181" s="13"/>
      <c r="C181" s="13"/>
    </row>
    <row r="182" spans="1:3" ht="13" x14ac:dyDescent="0.15">
      <c r="A182" s="10"/>
      <c r="B182" s="13"/>
      <c r="C182" s="13"/>
    </row>
    <row r="183" spans="1:3" ht="13" x14ac:dyDescent="0.15">
      <c r="A183" s="10"/>
      <c r="B183" s="13"/>
      <c r="C183" s="13"/>
    </row>
    <row r="184" spans="1:3" ht="13" x14ac:dyDescent="0.15">
      <c r="A184" s="10"/>
      <c r="B184" s="13"/>
      <c r="C184" s="13"/>
    </row>
    <row r="185" spans="1:3" ht="13" x14ac:dyDescent="0.15">
      <c r="A185" s="10"/>
      <c r="B185" s="13"/>
      <c r="C185" s="13"/>
    </row>
    <row r="186" spans="1:3" ht="13" x14ac:dyDescent="0.15">
      <c r="A186" s="10"/>
      <c r="B186" s="13"/>
      <c r="C186" s="13"/>
    </row>
    <row r="187" spans="1:3" ht="13" x14ac:dyDescent="0.15">
      <c r="A187" s="10"/>
      <c r="B187" s="13"/>
      <c r="C187" s="13"/>
    </row>
    <row r="188" spans="1:3" ht="13" x14ac:dyDescent="0.15">
      <c r="A188" s="10"/>
      <c r="B188" s="13"/>
      <c r="C188" s="13"/>
    </row>
    <row r="189" spans="1:3" ht="13" x14ac:dyDescent="0.15">
      <c r="A189" s="10"/>
      <c r="B189" s="13"/>
      <c r="C189" s="13"/>
    </row>
    <row r="190" spans="1:3" ht="13" x14ac:dyDescent="0.15">
      <c r="A190" s="10"/>
      <c r="B190" s="13"/>
      <c r="C190" s="13"/>
    </row>
    <row r="191" spans="1:3" ht="13" x14ac:dyDescent="0.15">
      <c r="A191" s="10"/>
      <c r="B191" s="13"/>
      <c r="C191" s="13"/>
    </row>
    <row r="192" spans="1:3" ht="13" x14ac:dyDescent="0.15">
      <c r="A192" s="10"/>
      <c r="B192" s="13"/>
      <c r="C192" s="13"/>
    </row>
    <row r="193" spans="1:3" ht="13" x14ac:dyDescent="0.15">
      <c r="A193" s="10"/>
      <c r="B193" s="13"/>
      <c r="C193" s="13"/>
    </row>
    <row r="194" spans="1:3" ht="13" x14ac:dyDescent="0.15">
      <c r="A194" s="10"/>
      <c r="B194" s="13"/>
      <c r="C194" s="13"/>
    </row>
    <row r="195" spans="1:3" ht="13" x14ac:dyDescent="0.15">
      <c r="A195" s="10"/>
      <c r="B195" s="13"/>
      <c r="C195" s="13"/>
    </row>
    <row r="196" spans="1:3" ht="13" x14ac:dyDescent="0.15">
      <c r="A196" s="10"/>
      <c r="B196" s="13"/>
      <c r="C196" s="13"/>
    </row>
    <row r="197" spans="1:3" ht="13" x14ac:dyDescent="0.15">
      <c r="A197" s="10"/>
      <c r="B197" s="13"/>
      <c r="C197" s="13"/>
    </row>
    <row r="198" spans="1:3" ht="13" x14ac:dyDescent="0.15">
      <c r="A198" s="10"/>
      <c r="B198" s="13"/>
      <c r="C198" s="13"/>
    </row>
    <row r="199" spans="1:3" ht="13" x14ac:dyDescent="0.15">
      <c r="A199" s="10"/>
      <c r="B199" s="13"/>
      <c r="C199" s="13"/>
    </row>
    <row r="200" spans="1:3" ht="13" x14ac:dyDescent="0.15">
      <c r="A200" s="10"/>
      <c r="B200" s="13"/>
      <c r="C200" s="13"/>
    </row>
    <row r="201" spans="1:3" ht="13" x14ac:dyDescent="0.15">
      <c r="A201" s="10"/>
      <c r="B201" s="13"/>
      <c r="C201" s="13"/>
    </row>
    <row r="202" spans="1:3" ht="13" x14ac:dyDescent="0.15">
      <c r="A202" s="10"/>
      <c r="B202" s="13"/>
      <c r="C202" s="13"/>
    </row>
    <row r="203" spans="1:3" ht="13" x14ac:dyDescent="0.15">
      <c r="A203" s="10"/>
      <c r="B203" s="13"/>
      <c r="C203" s="13"/>
    </row>
    <row r="204" spans="1:3" ht="13" x14ac:dyDescent="0.15">
      <c r="A204" s="10"/>
      <c r="B204" s="13"/>
      <c r="C204" s="13"/>
    </row>
    <row r="205" spans="1:3" ht="13" x14ac:dyDescent="0.15">
      <c r="A205" s="10"/>
      <c r="B205" s="13"/>
      <c r="C205" s="13"/>
    </row>
    <row r="206" spans="1:3" ht="13" x14ac:dyDescent="0.15">
      <c r="A206" s="10"/>
      <c r="B206" s="13"/>
      <c r="C206" s="13"/>
    </row>
    <row r="207" spans="1:3" ht="13" x14ac:dyDescent="0.15">
      <c r="A207" s="10"/>
      <c r="B207" s="13"/>
      <c r="C207" s="13"/>
    </row>
    <row r="208" spans="1:3" ht="13" x14ac:dyDescent="0.15">
      <c r="A208" s="10"/>
      <c r="B208" s="13"/>
      <c r="C208" s="13"/>
    </row>
    <row r="209" spans="1:3" ht="13" x14ac:dyDescent="0.15">
      <c r="A209" s="10"/>
      <c r="B209" s="13"/>
      <c r="C209" s="13"/>
    </row>
    <row r="210" spans="1:3" ht="13" x14ac:dyDescent="0.15">
      <c r="A210" s="10"/>
      <c r="B210" s="13"/>
      <c r="C210" s="13"/>
    </row>
    <row r="211" spans="1:3" ht="13" x14ac:dyDescent="0.15">
      <c r="A211" s="10"/>
      <c r="B211" s="13"/>
      <c r="C211" s="13"/>
    </row>
    <row r="212" spans="1:3" ht="13" x14ac:dyDescent="0.15">
      <c r="A212" s="10"/>
      <c r="B212" s="13"/>
      <c r="C212" s="13"/>
    </row>
    <row r="213" spans="1:3" ht="13" x14ac:dyDescent="0.15">
      <c r="A213" s="10"/>
      <c r="B213" s="13"/>
      <c r="C213" s="13"/>
    </row>
    <row r="214" spans="1:3" ht="13" x14ac:dyDescent="0.15">
      <c r="A214" s="10"/>
      <c r="B214" s="13"/>
      <c r="C214" s="13"/>
    </row>
    <row r="215" spans="1:3" ht="13" x14ac:dyDescent="0.15">
      <c r="A215" s="10"/>
      <c r="B215" s="13"/>
      <c r="C215" s="13"/>
    </row>
    <row r="216" spans="1:3" ht="13" x14ac:dyDescent="0.15">
      <c r="A216" s="10"/>
      <c r="B216" s="13"/>
      <c r="C216" s="13"/>
    </row>
    <row r="217" spans="1:3" ht="13" x14ac:dyDescent="0.15">
      <c r="A217" s="10"/>
      <c r="B217" s="13"/>
      <c r="C217" s="13"/>
    </row>
    <row r="218" spans="1:3" ht="13" x14ac:dyDescent="0.15">
      <c r="A218" s="10"/>
      <c r="B218" s="13"/>
      <c r="C218" s="13"/>
    </row>
    <row r="219" spans="1:3" ht="13" x14ac:dyDescent="0.15">
      <c r="A219" s="10"/>
      <c r="B219" s="13"/>
      <c r="C219" s="13"/>
    </row>
    <row r="220" spans="1:3" ht="13" x14ac:dyDescent="0.15">
      <c r="A220" s="10"/>
      <c r="B220" s="13"/>
      <c r="C220" s="13"/>
    </row>
    <row r="221" spans="1:3" ht="13" x14ac:dyDescent="0.15">
      <c r="A221" s="10"/>
      <c r="B221" s="13"/>
      <c r="C221" s="13"/>
    </row>
    <row r="222" spans="1:3" ht="13" x14ac:dyDescent="0.15">
      <c r="A222" s="10"/>
      <c r="B222" s="13"/>
      <c r="C222" s="13"/>
    </row>
    <row r="223" spans="1:3" ht="13" x14ac:dyDescent="0.15">
      <c r="A223" s="10"/>
      <c r="B223" s="13"/>
      <c r="C223" s="13"/>
    </row>
    <row r="224" spans="1:3" ht="13" x14ac:dyDescent="0.15">
      <c r="A224" s="10"/>
      <c r="B224" s="13"/>
      <c r="C224" s="13"/>
    </row>
    <row r="225" spans="1:3" ht="13" x14ac:dyDescent="0.15">
      <c r="A225" s="10"/>
      <c r="B225" s="13"/>
      <c r="C225" s="13"/>
    </row>
    <row r="226" spans="1:3" ht="13" x14ac:dyDescent="0.15">
      <c r="A226" s="10"/>
      <c r="B226" s="13"/>
      <c r="C226" s="13"/>
    </row>
    <row r="227" spans="1:3" ht="13" x14ac:dyDescent="0.15">
      <c r="A227" s="10"/>
      <c r="B227" s="13"/>
      <c r="C227" s="13"/>
    </row>
    <row r="228" spans="1:3" ht="13" x14ac:dyDescent="0.15">
      <c r="A228" s="10"/>
      <c r="B228" s="13"/>
      <c r="C228" s="13"/>
    </row>
    <row r="229" spans="1:3" ht="13" x14ac:dyDescent="0.15">
      <c r="A229" s="10"/>
      <c r="B229" s="13"/>
      <c r="C229" s="13"/>
    </row>
    <row r="230" spans="1:3" ht="13" x14ac:dyDescent="0.15">
      <c r="A230" s="10"/>
      <c r="B230" s="13"/>
      <c r="C230" s="13"/>
    </row>
    <row r="231" spans="1:3" ht="13" x14ac:dyDescent="0.15">
      <c r="A231" s="10"/>
      <c r="B231" s="13"/>
      <c r="C231" s="13"/>
    </row>
    <row r="232" spans="1:3" ht="13" x14ac:dyDescent="0.15">
      <c r="A232" s="10"/>
      <c r="B232" s="13"/>
      <c r="C232" s="13"/>
    </row>
    <row r="233" spans="1:3" ht="13" x14ac:dyDescent="0.15">
      <c r="A233" s="10"/>
      <c r="B233" s="13"/>
      <c r="C233" s="13"/>
    </row>
    <row r="234" spans="1:3" ht="13" x14ac:dyDescent="0.15">
      <c r="A234" s="10"/>
      <c r="B234" s="13"/>
      <c r="C234" s="13"/>
    </row>
    <row r="235" spans="1:3" ht="13" x14ac:dyDescent="0.15">
      <c r="A235" s="10"/>
      <c r="B235" s="13"/>
      <c r="C235" s="13"/>
    </row>
    <row r="236" spans="1:3" ht="13" x14ac:dyDescent="0.15">
      <c r="A236" s="10"/>
      <c r="B236" s="13"/>
      <c r="C236" s="13"/>
    </row>
    <row r="237" spans="1:3" ht="13" x14ac:dyDescent="0.15">
      <c r="A237" s="10"/>
      <c r="B237" s="13"/>
      <c r="C237" s="13"/>
    </row>
    <row r="238" spans="1:3" ht="13" x14ac:dyDescent="0.15">
      <c r="A238" s="10"/>
      <c r="B238" s="13"/>
      <c r="C238" s="13"/>
    </row>
    <row r="239" spans="1:3" ht="13" x14ac:dyDescent="0.15">
      <c r="A239" s="10"/>
      <c r="B239" s="13"/>
      <c r="C239" s="13"/>
    </row>
    <row r="240" spans="1:3" ht="13" x14ac:dyDescent="0.15">
      <c r="A240" s="10"/>
      <c r="B240" s="13"/>
      <c r="C240" s="13"/>
    </row>
    <row r="241" spans="1:3" ht="13" x14ac:dyDescent="0.15">
      <c r="A241" s="10"/>
      <c r="B241" s="13"/>
      <c r="C241" s="13"/>
    </row>
    <row r="242" spans="1:3" ht="13" x14ac:dyDescent="0.15">
      <c r="A242" s="10"/>
      <c r="B242" s="13"/>
      <c r="C242" s="13"/>
    </row>
    <row r="243" spans="1:3" ht="13" x14ac:dyDescent="0.15">
      <c r="A243" s="10"/>
      <c r="B243" s="13"/>
      <c r="C243" s="13"/>
    </row>
    <row r="244" spans="1:3" ht="13" x14ac:dyDescent="0.15">
      <c r="A244" s="10"/>
      <c r="B244" s="13"/>
      <c r="C244" s="13"/>
    </row>
    <row r="245" spans="1:3" ht="13" x14ac:dyDescent="0.15">
      <c r="A245" s="10"/>
      <c r="B245" s="13"/>
      <c r="C245" s="13"/>
    </row>
    <row r="246" spans="1:3" ht="13" x14ac:dyDescent="0.15">
      <c r="A246" s="10"/>
      <c r="B246" s="13"/>
      <c r="C246" s="13"/>
    </row>
    <row r="247" spans="1:3" ht="13" x14ac:dyDescent="0.15">
      <c r="A247" s="10"/>
      <c r="B247" s="13"/>
      <c r="C247" s="13"/>
    </row>
    <row r="248" spans="1:3" ht="13" x14ac:dyDescent="0.15">
      <c r="A248" s="10"/>
      <c r="B248" s="13"/>
      <c r="C248" s="13"/>
    </row>
    <row r="249" spans="1:3" ht="13" x14ac:dyDescent="0.15">
      <c r="A249" s="10"/>
      <c r="B249" s="13"/>
      <c r="C249" s="13"/>
    </row>
    <row r="250" spans="1:3" ht="13" x14ac:dyDescent="0.15">
      <c r="A250" s="10"/>
      <c r="B250" s="13"/>
      <c r="C250" s="13"/>
    </row>
    <row r="251" spans="1:3" ht="13" x14ac:dyDescent="0.15">
      <c r="A251" s="10"/>
      <c r="B251" s="13"/>
      <c r="C251" s="13"/>
    </row>
    <row r="252" spans="1:3" ht="13" x14ac:dyDescent="0.15">
      <c r="A252" s="10"/>
      <c r="B252" s="13"/>
      <c r="C252" s="13"/>
    </row>
    <row r="253" spans="1:3" ht="13" x14ac:dyDescent="0.15">
      <c r="A253" s="10"/>
      <c r="B253" s="13"/>
      <c r="C253" s="13"/>
    </row>
    <row r="254" spans="1:3" ht="13" x14ac:dyDescent="0.15">
      <c r="A254" s="10"/>
      <c r="B254" s="13"/>
      <c r="C254" s="13"/>
    </row>
    <row r="255" spans="1:3" ht="13" x14ac:dyDescent="0.15">
      <c r="A255" s="10"/>
      <c r="B255" s="13"/>
      <c r="C255" s="13"/>
    </row>
    <row r="256" spans="1:3" ht="13" x14ac:dyDescent="0.15">
      <c r="A256" s="10"/>
      <c r="B256" s="13"/>
      <c r="C256" s="13"/>
    </row>
    <row r="257" spans="1:3" ht="13" x14ac:dyDescent="0.15">
      <c r="A257" s="10"/>
      <c r="B257" s="13"/>
      <c r="C257" s="13"/>
    </row>
    <row r="258" spans="1:3" ht="13" x14ac:dyDescent="0.15">
      <c r="A258" s="10"/>
      <c r="B258" s="13"/>
      <c r="C258" s="13"/>
    </row>
    <row r="259" spans="1:3" ht="13" x14ac:dyDescent="0.15">
      <c r="A259" s="10"/>
      <c r="B259" s="13"/>
      <c r="C259" s="13"/>
    </row>
    <row r="260" spans="1:3" ht="13" x14ac:dyDescent="0.15">
      <c r="A260" s="10"/>
      <c r="B260" s="13"/>
      <c r="C260" s="13"/>
    </row>
    <row r="261" spans="1:3" ht="13" x14ac:dyDescent="0.15">
      <c r="A261" s="10"/>
      <c r="B261" s="13"/>
      <c r="C261" s="13"/>
    </row>
    <row r="262" spans="1:3" ht="13" x14ac:dyDescent="0.15">
      <c r="A262" s="10"/>
      <c r="B262" s="13"/>
      <c r="C262" s="13"/>
    </row>
    <row r="263" spans="1:3" ht="13" x14ac:dyDescent="0.15">
      <c r="A263" s="10"/>
      <c r="B263" s="13"/>
      <c r="C263" s="13"/>
    </row>
    <row r="264" spans="1:3" ht="13" x14ac:dyDescent="0.15">
      <c r="A264" s="10"/>
      <c r="B264" s="13"/>
      <c r="C264" s="13"/>
    </row>
    <row r="265" spans="1:3" ht="13" x14ac:dyDescent="0.15">
      <c r="A265" s="10"/>
      <c r="B265" s="13"/>
      <c r="C265" s="13"/>
    </row>
    <row r="266" spans="1:3" ht="13" x14ac:dyDescent="0.15">
      <c r="A266" s="10"/>
      <c r="B266" s="13"/>
      <c r="C266" s="13"/>
    </row>
    <row r="267" spans="1:3" ht="13" x14ac:dyDescent="0.15">
      <c r="A267" s="10"/>
      <c r="B267" s="13"/>
      <c r="C267" s="13"/>
    </row>
    <row r="268" spans="1:3" ht="13" x14ac:dyDescent="0.15">
      <c r="A268" s="10"/>
      <c r="B268" s="13"/>
      <c r="C268" s="13"/>
    </row>
    <row r="269" spans="1:3" ht="13" x14ac:dyDescent="0.15">
      <c r="A269" s="10"/>
      <c r="B269" s="13"/>
      <c r="C269" s="13"/>
    </row>
    <row r="270" spans="1:3" ht="13" x14ac:dyDescent="0.15">
      <c r="A270" s="10"/>
      <c r="B270" s="13"/>
      <c r="C270" s="13"/>
    </row>
    <row r="271" spans="1:3" ht="13" x14ac:dyDescent="0.15">
      <c r="A271" s="10"/>
      <c r="B271" s="13"/>
      <c r="C271" s="13"/>
    </row>
    <row r="272" spans="1:3" ht="13" x14ac:dyDescent="0.15">
      <c r="A272" s="10"/>
      <c r="B272" s="13"/>
      <c r="C272" s="13"/>
    </row>
    <row r="273" spans="1:3" ht="13" x14ac:dyDescent="0.15">
      <c r="A273" s="10"/>
      <c r="B273" s="13"/>
      <c r="C273" s="13"/>
    </row>
    <row r="274" spans="1:3" ht="13" x14ac:dyDescent="0.15">
      <c r="A274" s="10"/>
      <c r="B274" s="13"/>
      <c r="C274" s="13"/>
    </row>
    <row r="275" spans="1:3" ht="13" x14ac:dyDescent="0.15">
      <c r="A275" s="10"/>
      <c r="B275" s="13"/>
      <c r="C275" s="13"/>
    </row>
    <row r="276" spans="1:3" ht="13" x14ac:dyDescent="0.15">
      <c r="A276" s="10"/>
      <c r="B276" s="13"/>
      <c r="C276" s="13"/>
    </row>
    <row r="277" spans="1:3" ht="13" x14ac:dyDescent="0.15">
      <c r="A277" s="10"/>
      <c r="B277" s="13"/>
      <c r="C277" s="13"/>
    </row>
    <row r="278" spans="1:3" ht="13" x14ac:dyDescent="0.15">
      <c r="A278" s="10"/>
      <c r="B278" s="13"/>
      <c r="C278" s="13"/>
    </row>
    <row r="279" spans="1:3" ht="13" x14ac:dyDescent="0.15">
      <c r="A279" s="10"/>
      <c r="B279" s="13"/>
      <c r="C279" s="13"/>
    </row>
    <row r="280" spans="1:3" ht="13" x14ac:dyDescent="0.15">
      <c r="A280" s="10"/>
      <c r="B280" s="13"/>
      <c r="C280" s="13"/>
    </row>
    <row r="281" spans="1:3" ht="13" x14ac:dyDescent="0.15">
      <c r="A281" s="10"/>
      <c r="B281" s="13"/>
      <c r="C281" s="13"/>
    </row>
    <row r="282" spans="1:3" ht="13" x14ac:dyDescent="0.15">
      <c r="A282" s="10"/>
      <c r="B282" s="13"/>
      <c r="C282" s="13"/>
    </row>
    <row r="283" spans="1:3" ht="13" x14ac:dyDescent="0.15">
      <c r="A283" s="10"/>
      <c r="B283" s="13"/>
      <c r="C283" s="13"/>
    </row>
    <row r="284" spans="1:3" ht="13" x14ac:dyDescent="0.15">
      <c r="A284" s="10"/>
      <c r="B284" s="13"/>
      <c r="C284" s="13"/>
    </row>
    <row r="285" spans="1:3" ht="13" x14ac:dyDescent="0.15">
      <c r="A285" s="10"/>
      <c r="B285" s="13"/>
      <c r="C285" s="13"/>
    </row>
    <row r="286" spans="1:3" ht="13" x14ac:dyDescent="0.15">
      <c r="A286" s="10"/>
      <c r="B286" s="13"/>
      <c r="C286" s="13"/>
    </row>
    <row r="287" spans="1:3" ht="13" x14ac:dyDescent="0.15">
      <c r="A287" s="10"/>
      <c r="B287" s="13"/>
      <c r="C287" s="13"/>
    </row>
    <row r="288" spans="1:3" ht="13" x14ac:dyDescent="0.15">
      <c r="A288" s="10"/>
      <c r="B288" s="13"/>
      <c r="C288" s="13"/>
    </row>
    <row r="289" spans="1:3" ht="13" x14ac:dyDescent="0.15">
      <c r="A289" s="10"/>
      <c r="B289" s="13"/>
      <c r="C289" s="13"/>
    </row>
    <row r="290" spans="1:3" ht="13" x14ac:dyDescent="0.15">
      <c r="A290" s="10"/>
      <c r="B290" s="13"/>
      <c r="C290" s="13"/>
    </row>
    <row r="291" spans="1:3" ht="13" x14ac:dyDescent="0.15">
      <c r="A291" s="10"/>
      <c r="B291" s="13"/>
      <c r="C291" s="13"/>
    </row>
    <row r="292" spans="1:3" ht="13" x14ac:dyDescent="0.15">
      <c r="A292" s="10"/>
      <c r="B292" s="13"/>
      <c r="C292" s="13"/>
    </row>
    <row r="293" spans="1:3" ht="13" x14ac:dyDescent="0.15">
      <c r="A293" s="10"/>
      <c r="B293" s="13"/>
      <c r="C293" s="13"/>
    </row>
    <row r="294" spans="1:3" ht="13" x14ac:dyDescent="0.15">
      <c r="A294" s="10"/>
      <c r="B294" s="13"/>
      <c r="C294" s="13"/>
    </row>
    <row r="295" spans="1:3" ht="13" x14ac:dyDescent="0.15">
      <c r="A295" s="10"/>
      <c r="B295" s="13"/>
      <c r="C295" s="13"/>
    </row>
    <row r="296" spans="1:3" ht="13" x14ac:dyDescent="0.15">
      <c r="A296" s="10"/>
      <c r="B296" s="13"/>
      <c r="C296" s="13"/>
    </row>
    <row r="297" spans="1:3" ht="13" x14ac:dyDescent="0.15">
      <c r="A297" s="10"/>
      <c r="B297" s="13"/>
      <c r="C297" s="13"/>
    </row>
    <row r="298" spans="1:3" ht="13" x14ac:dyDescent="0.15">
      <c r="A298" s="10"/>
      <c r="B298" s="13"/>
      <c r="C298" s="13"/>
    </row>
    <row r="299" spans="1:3" ht="13" x14ac:dyDescent="0.15">
      <c r="A299" s="10"/>
      <c r="B299" s="13"/>
      <c r="C299" s="13"/>
    </row>
    <row r="300" spans="1:3" ht="13" x14ac:dyDescent="0.15">
      <c r="A300" s="10"/>
      <c r="B300" s="13"/>
      <c r="C300" s="13"/>
    </row>
    <row r="301" spans="1:3" ht="13" x14ac:dyDescent="0.15">
      <c r="A301" s="10"/>
      <c r="B301" s="13"/>
      <c r="C301" s="13"/>
    </row>
    <row r="302" spans="1:3" ht="13" x14ac:dyDescent="0.15">
      <c r="A302" s="10"/>
      <c r="B302" s="13"/>
      <c r="C302" s="13"/>
    </row>
    <row r="303" spans="1:3" ht="13" x14ac:dyDescent="0.15">
      <c r="A303" s="10"/>
      <c r="B303" s="13"/>
      <c r="C303" s="13"/>
    </row>
    <row r="304" spans="1:3" ht="13" x14ac:dyDescent="0.15">
      <c r="A304" s="10"/>
      <c r="B304" s="13"/>
      <c r="C304" s="13"/>
    </row>
    <row r="305" spans="1:3" ht="13" x14ac:dyDescent="0.15">
      <c r="A305" s="10"/>
      <c r="B305" s="13"/>
      <c r="C305" s="13"/>
    </row>
    <row r="306" spans="1:3" ht="13" x14ac:dyDescent="0.15">
      <c r="A306" s="10"/>
      <c r="B306" s="13"/>
      <c r="C306" s="13"/>
    </row>
    <row r="307" spans="1:3" ht="13" x14ac:dyDescent="0.15">
      <c r="A307" s="10"/>
      <c r="B307" s="13"/>
      <c r="C307" s="13"/>
    </row>
    <row r="308" spans="1:3" ht="13" x14ac:dyDescent="0.15">
      <c r="A308" s="10"/>
      <c r="B308" s="13"/>
      <c r="C308" s="13"/>
    </row>
    <row r="309" spans="1:3" ht="13" x14ac:dyDescent="0.15">
      <c r="A309" s="10"/>
      <c r="B309" s="13"/>
      <c r="C309" s="13"/>
    </row>
    <row r="310" spans="1:3" ht="13" x14ac:dyDescent="0.15">
      <c r="A310" s="10"/>
      <c r="B310" s="13"/>
      <c r="C310" s="13"/>
    </row>
    <row r="311" spans="1:3" ht="13" x14ac:dyDescent="0.15">
      <c r="A311" s="10"/>
      <c r="B311" s="13"/>
      <c r="C311" s="13"/>
    </row>
    <row r="312" spans="1:3" ht="13" x14ac:dyDescent="0.15">
      <c r="A312" s="10"/>
      <c r="B312" s="13"/>
      <c r="C312" s="13"/>
    </row>
    <row r="313" spans="1:3" ht="13" x14ac:dyDescent="0.15">
      <c r="A313" s="10"/>
      <c r="B313" s="13"/>
      <c r="C313" s="13"/>
    </row>
    <row r="314" spans="1:3" ht="13" x14ac:dyDescent="0.15">
      <c r="A314" s="10"/>
      <c r="B314" s="13"/>
      <c r="C314" s="13"/>
    </row>
    <row r="315" spans="1:3" ht="13" x14ac:dyDescent="0.15">
      <c r="A315" s="10"/>
      <c r="B315" s="13"/>
      <c r="C315" s="13"/>
    </row>
    <row r="316" spans="1:3" ht="13" x14ac:dyDescent="0.15">
      <c r="A316" s="10"/>
      <c r="B316" s="13"/>
      <c r="C316" s="13"/>
    </row>
    <row r="317" spans="1:3" ht="13" x14ac:dyDescent="0.15">
      <c r="A317" s="10"/>
      <c r="B317" s="13"/>
      <c r="C317" s="13"/>
    </row>
    <row r="318" spans="1:3" ht="13" x14ac:dyDescent="0.15">
      <c r="A318" s="10"/>
      <c r="B318" s="13"/>
      <c r="C318" s="13"/>
    </row>
    <row r="319" spans="1:3" ht="13" x14ac:dyDescent="0.15">
      <c r="A319" s="10"/>
      <c r="B319" s="13"/>
      <c r="C319" s="13"/>
    </row>
    <row r="320" spans="1:3" ht="13" x14ac:dyDescent="0.15">
      <c r="A320" s="10"/>
      <c r="B320" s="13"/>
      <c r="C320" s="13"/>
    </row>
    <row r="321" spans="1:3" ht="13" x14ac:dyDescent="0.15">
      <c r="A321" s="10"/>
      <c r="B321" s="13"/>
      <c r="C321" s="13"/>
    </row>
    <row r="322" spans="1:3" ht="13" x14ac:dyDescent="0.15">
      <c r="A322" s="10"/>
      <c r="B322" s="13"/>
      <c r="C322" s="13"/>
    </row>
    <row r="323" spans="1:3" ht="13" x14ac:dyDescent="0.15">
      <c r="A323" s="10"/>
      <c r="B323" s="13"/>
      <c r="C323" s="13"/>
    </row>
    <row r="324" spans="1:3" ht="13" x14ac:dyDescent="0.15">
      <c r="A324" s="10"/>
      <c r="B324" s="13"/>
      <c r="C324" s="13"/>
    </row>
    <row r="325" spans="1:3" ht="13" x14ac:dyDescent="0.15">
      <c r="A325" s="10"/>
      <c r="B325" s="13"/>
      <c r="C325" s="13"/>
    </row>
    <row r="326" spans="1:3" ht="13" x14ac:dyDescent="0.15">
      <c r="A326" s="10"/>
      <c r="B326" s="13"/>
      <c r="C326" s="13"/>
    </row>
    <row r="327" spans="1:3" ht="13" x14ac:dyDescent="0.15">
      <c r="A327" s="10"/>
      <c r="B327" s="13"/>
      <c r="C327" s="13"/>
    </row>
    <row r="328" spans="1:3" ht="13" x14ac:dyDescent="0.15">
      <c r="A328" s="10"/>
      <c r="B328" s="13"/>
      <c r="C328" s="13"/>
    </row>
    <row r="329" spans="1:3" ht="13" x14ac:dyDescent="0.15">
      <c r="A329" s="10"/>
      <c r="B329" s="13"/>
      <c r="C329" s="13"/>
    </row>
    <row r="330" spans="1:3" ht="13" x14ac:dyDescent="0.15">
      <c r="A330" s="10"/>
      <c r="B330" s="13"/>
      <c r="C330" s="13"/>
    </row>
    <row r="331" spans="1:3" ht="13" x14ac:dyDescent="0.15">
      <c r="A331" s="10"/>
      <c r="B331" s="13"/>
      <c r="C331" s="13"/>
    </row>
    <row r="332" spans="1:3" ht="13" x14ac:dyDescent="0.15">
      <c r="A332" s="10"/>
      <c r="B332" s="13"/>
      <c r="C332" s="13"/>
    </row>
    <row r="333" spans="1:3" ht="13" x14ac:dyDescent="0.15">
      <c r="A333" s="10"/>
      <c r="B333" s="13"/>
      <c r="C333" s="13"/>
    </row>
    <row r="334" spans="1:3" ht="13" x14ac:dyDescent="0.15">
      <c r="A334" s="10"/>
      <c r="B334" s="13"/>
      <c r="C334" s="13"/>
    </row>
    <row r="335" spans="1:3" ht="13" x14ac:dyDescent="0.15">
      <c r="A335" s="10"/>
      <c r="B335" s="13"/>
      <c r="C335" s="13"/>
    </row>
    <row r="336" spans="1:3" ht="13" x14ac:dyDescent="0.15">
      <c r="A336" s="10"/>
      <c r="B336" s="13"/>
      <c r="C336" s="13"/>
    </row>
    <row r="337" spans="1:3" ht="13" x14ac:dyDescent="0.15">
      <c r="A337" s="10"/>
      <c r="B337" s="13"/>
      <c r="C337" s="13"/>
    </row>
    <row r="338" spans="1:3" ht="13" x14ac:dyDescent="0.15">
      <c r="A338" s="10"/>
      <c r="B338" s="13"/>
      <c r="C338" s="13"/>
    </row>
    <row r="339" spans="1:3" ht="13" x14ac:dyDescent="0.15">
      <c r="A339" s="10"/>
      <c r="B339" s="13"/>
      <c r="C339" s="13"/>
    </row>
    <row r="340" spans="1:3" ht="13" x14ac:dyDescent="0.15">
      <c r="A340" s="10"/>
      <c r="B340" s="13"/>
      <c r="C340" s="13"/>
    </row>
    <row r="341" spans="1:3" ht="13" x14ac:dyDescent="0.15">
      <c r="A341" s="10"/>
      <c r="B341" s="13"/>
      <c r="C341" s="13"/>
    </row>
    <row r="342" spans="1:3" ht="13" x14ac:dyDescent="0.15">
      <c r="A342" s="10"/>
      <c r="B342" s="13"/>
      <c r="C342" s="13"/>
    </row>
    <row r="343" spans="1:3" ht="13" x14ac:dyDescent="0.15">
      <c r="A343" s="10"/>
      <c r="B343" s="13"/>
      <c r="C343" s="13"/>
    </row>
    <row r="344" spans="1:3" ht="13" x14ac:dyDescent="0.15">
      <c r="A344" s="10"/>
      <c r="B344" s="13"/>
      <c r="C344" s="13"/>
    </row>
    <row r="345" spans="1:3" ht="13" x14ac:dyDescent="0.15">
      <c r="A345" s="10"/>
      <c r="B345" s="13"/>
      <c r="C345" s="13"/>
    </row>
    <row r="346" spans="1:3" ht="13" x14ac:dyDescent="0.15">
      <c r="A346" s="10"/>
      <c r="B346" s="13"/>
      <c r="C346" s="13"/>
    </row>
    <row r="347" spans="1:3" ht="13" x14ac:dyDescent="0.15">
      <c r="A347" s="10"/>
      <c r="B347" s="13"/>
      <c r="C347" s="13"/>
    </row>
    <row r="348" spans="1:3" ht="13" x14ac:dyDescent="0.15">
      <c r="A348" s="10"/>
      <c r="B348" s="13"/>
      <c r="C348" s="13"/>
    </row>
    <row r="349" spans="1:3" ht="13" x14ac:dyDescent="0.15">
      <c r="A349" s="10"/>
      <c r="B349" s="13"/>
      <c r="C349" s="13"/>
    </row>
    <row r="350" spans="1:3" ht="13" x14ac:dyDescent="0.15">
      <c r="A350" s="10"/>
      <c r="B350" s="13"/>
      <c r="C350" s="13"/>
    </row>
    <row r="351" spans="1:3" ht="13" x14ac:dyDescent="0.15">
      <c r="A351" s="10"/>
      <c r="B351" s="13"/>
      <c r="C351" s="13"/>
    </row>
    <row r="352" spans="1:3" ht="13" x14ac:dyDescent="0.15">
      <c r="A352" s="10"/>
      <c r="B352" s="13"/>
      <c r="C352" s="13"/>
    </row>
    <row r="353" spans="1:3" ht="13" x14ac:dyDescent="0.15">
      <c r="A353" s="10"/>
      <c r="B353" s="13"/>
      <c r="C353" s="13"/>
    </row>
    <row r="354" spans="1:3" ht="13" x14ac:dyDescent="0.15">
      <c r="A354" s="10"/>
      <c r="B354" s="13"/>
      <c r="C354" s="13"/>
    </row>
    <row r="355" spans="1:3" ht="13" x14ac:dyDescent="0.15">
      <c r="A355" s="10"/>
      <c r="B355" s="13"/>
      <c r="C355" s="13"/>
    </row>
    <row r="356" spans="1:3" ht="13" x14ac:dyDescent="0.15">
      <c r="A356" s="10"/>
      <c r="B356" s="13"/>
      <c r="C356" s="13"/>
    </row>
    <row r="357" spans="1:3" ht="13" x14ac:dyDescent="0.15">
      <c r="A357" s="10"/>
      <c r="B357" s="13"/>
      <c r="C357" s="13"/>
    </row>
    <row r="358" spans="1:3" ht="13" x14ac:dyDescent="0.15">
      <c r="A358" s="10"/>
      <c r="B358" s="13"/>
      <c r="C358" s="13"/>
    </row>
    <row r="359" spans="1:3" ht="13" x14ac:dyDescent="0.15">
      <c r="A359" s="10"/>
      <c r="B359" s="13"/>
      <c r="C359" s="13"/>
    </row>
    <row r="360" spans="1:3" ht="13" x14ac:dyDescent="0.15">
      <c r="A360" s="10"/>
      <c r="B360" s="13"/>
      <c r="C360" s="13"/>
    </row>
    <row r="361" spans="1:3" ht="13" x14ac:dyDescent="0.15">
      <c r="A361" s="10"/>
      <c r="B361" s="13"/>
      <c r="C361" s="13"/>
    </row>
    <row r="362" spans="1:3" ht="13" x14ac:dyDescent="0.15">
      <c r="A362" s="10"/>
      <c r="B362" s="13"/>
      <c r="C362" s="13"/>
    </row>
    <row r="363" spans="1:3" ht="13" x14ac:dyDescent="0.15">
      <c r="A363" s="10"/>
      <c r="B363" s="13"/>
      <c r="C363" s="13"/>
    </row>
    <row r="364" spans="1:3" ht="13" x14ac:dyDescent="0.15">
      <c r="A364" s="10"/>
      <c r="B364" s="13"/>
      <c r="C364" s="13"/>
    </row>
    <row r="365" spans="1:3" ht="13" x14ac:dyDescent="0.15">
      <c r="A365" s="10"/>
      <c r="B365" s="13"/>
      <c r="C365" s="13"/>
    </row>
    <row r="366" spans="1:3" ht="13" x14ac:dyDescent="0.15">
      <c r="A366" s="10"/>
      <c r="B366" s="13"/>
      <c r="C366" s="13"/>
    </row>
    <row r="367" spans="1:3" ht="13" x14ac:dyDescent="0.15">
      <c r="A367" s="10"/>
      <c r="B367" s="13"/>
      <c r="C367" s="13"/>
    </row>
    <row r="368" spans="1:3" ht="13" x14ac:dyDescent="0.15">
      <c r="A368" s="10"/>
      <c r="B368" s="13"/>
      <c r="C368" s="13"/>
    </row>
    <row r="369" spans="1:3" ht="13" x14ac:dyDescent="0.15">
      <c r="A369" s="10"/>
      <c r="B369" s="13"/>
      <c r="C369" s="13"/>
    </row>
    <row r="370" spans="1:3" ht="13" x14ac:dyDescent="0.15">
      <c r="A370" s="10"/>
      <c r="B370" s="13"/>
      <c r="C370" s="13"/>
    </row>
    <row r="371" spans="1:3" ht="13" x14ac:dyDescent="0.15">
      <c r="A371" s="10"/>
      <c r="B371" s="13"/>
      <c r="C371" s="13"/>
    </row>
    <row r="372" spans="1:3" ht="13" x14ac:dyDescent="0.15">
      <c r="A372" s="10"/>
      <c r="B372" s="13"/>
      <c r="C372" s="13"/>
    </row>
    <row r="373" spans="1:3" ht="13" x14ac:dyDescent="0.15">
      <c r="A373" s="10"/>
      <c r="B373" s="13"/>
      <c r="C373" s="13"/>
    </row>
    <row r="374" spans="1:3" ht="13" x14ac:dyDescent="0.15">
      <c r="A374" s="10"/>
      <c r="B374" s="13"/>
      <c r="C374" s="13"/>
    </row>
    <row r="375" spans="1:3" ht="13" x14ac:dyDescent="0.15">
      <c r="A375" s="10"/>
      <c r="B375" s="13"/>
      <c r="C375" s="13"/>
    </row>
    <row r="376" spans="1:3" ht="13" x14ac:dyDescent="0.15">
      <c r="A376" s="10"/>
      <c r="B376" s="13"/>
      <c r="C376" s="13"/>
    </row>
    <row r="377" spans="1:3" ht="13" x14ac:dyDescent="0.15">
      <c r="A377" s="10"/>
      <c r="B377" s="13"/>
      <c r="C377" s="13"/>
    </row>
    <row r="378" spans="1:3" ht="13" x14ac:dyDescent="0.15">
      <c r="A378" s="10"/>
      <c r="B378" s="13"/>
      <c r="C378" s="13"/>
    </row>
    <row r="379" spans="1:3" ht="13" x14ac:dyDescent="0.15">
      <c r="A379" s="10"/>
      <c r="B379" s="13"/>
      <c r="C379" s="13"/>
    </row>
    <row r="380" spans="1:3" ht="13" x14ac:dyDescent="0.15">
      <c r="A380" s="10"/>
      <c r="B380" s="13"/>
      <c r="C380" s="13"/>
    </row>
    <row r="381" spans="1:3" ht="13" x14ac:dyDescent="0.15">
      <c r="A381" s="10"/>
      <c r="B381" s="13"/>
      <c r="C381" s="13"/>
    </row>
    <row r="382" spans="1:3" ht="13" x14ac:dyDescent="0.15">
      <c r="A382" s="10"/>
      <c r="B382" s="13"/>
      <c r="C382" s="13"/>
    </row>
    <row r="383" spans="1:3" ht="13" x14ac:dyDescent="0.15">
      <c r="A383" s="10"/>
      <c r="B383" s="13"/>
      <c r="C383" s="13"/>
    </row>
    <row r="384" spans="1:3" ht="13" x14ac:dyDescent="0.15">
      <c r="A384" s="10"/>
      <c r="B384" s="13"/>
      <c r="C384" s="13"/>
    </row>
    <row r="385" spans="1:3" ht="13" x14ac:dyDescent="0.15">
      <c r="A385" s="10"/>
      <c r="B385" s="13"/>
      <c r="C385" s="13"/>
    </row>
    <row r="386" spans="1:3" ht="13" x14ac:dyDescent="0.15">
      <c r="A386" s="10"/>
      <c r="B386" s="13"/>
      <c r="C386" s="13"/>
    </row>
    <row r="387" spans="1:3" ht="13" x14ac:dyDescent="0.15">
      <c r="A387" s="10"/>
      <c r="B387" s="13"/>
      <c r="C387" s="13"/>
    </row>
    <row r="388" spans="1:3" ht="13" x14ac:dyDescent="0.15">
      <c r="A388" s="10"/>
      <c r="B388" s="13"/>
      <c r="C388" s="13"/>
    </row>
    <row r="389" spans="1:3" ht="13" x14ac:dyDescent="0.15">
      <c r="A389" s="10"/>
      <c r="B389" s="13"/>
      <c r="C389" s="13"/>
    </row>
    <row r="390" spans="1:3" ht="13" x14ac:dyDescent="0.15">
      <c r="A390" s="10"/>
      <c r="B390" s="13"/>
      <c r="C390" s="13"/>
    </row>
    <row r="391" spans="1:3" ht="13" x14ac:dyDescent="0.15">
      <c r="A391" s="10"/>
      <c r="B391" s="13"/>
      <c r="C391" s="13"/>
    </row>
    <row r="392" spans="1:3" ht="13" x14ac:dyDescent="0.15">
      <c r="A392" s="10"/>
      <c r="B392" s="13"/>
      <c r="C392" s="13"/>
    </row>
    <row r="393" spans="1:3" ht="13" x14ac:dyDescent="0.15">
      <c r="A393" s="10"/>
      <c r="B393" s="13"/>
      <c r="C393" s="13"/>
    </row>
    <row r="394" spans="1:3" ht="13" x14ac:dyDescent="0.15">
      <c r="A394" s="10"/>
      <c r="B394" s="13"/>
      <c r="C394" s="13"/>
    </row>
    <row r="395" spans="1:3" ht="13" x14ac:dyDescent="0.15">
      <c r="A395" s="10"/>
      <c r="B395" s="13"/>
      <c r="C395" s="13"/>
    </row>
    <row r="396" spans="1:3" ht="13" x14ac:dyDescent="0.15">
      <c r="A396" s="10"/>
      <c r="B396" s="13"/>
      <c r="C396" s="13"/>
    </row>
    <row r="397" spans="1:3" ht="13" x14ac:dyDescent="0.15">
      <c r="A397" s="10"/>
      <c r="B397" s="13"/>
      <c r="C397" s="13"/>
    </row>
    <row r="398" spans="1:3" ht="13" x14ac:dyDescent="0.15">
      <c r="A398" s="10"/>
      <c r="B398" s="13"/>
      <c r="C398" s="13"/>
    </row>
    <row r="399" spans="1:3" ht="13" x14ac:dyDescent="0.15">
      <c r="A399" s="10"/>
      <c r="B399" s="13"/>
      <c r="C399" s="13"/>
    </row>
    <row r="400" spans="1:3" ht="13" x14ac:dyDescent="0.15">
      <c r="A400" s="10"/>
      <c r="B400" s="13"/>
      <c r="C400" s="13"/>
    </row>
    <row r="401" spans="1:3" ht="13" x14ac:dyDescent="0.15">
      <c r="A401" s="10"/>
      <c r="B401" s="13"/>
      <c r="C401" s="13"/>
    </row>
    <row r="402" spans="1:3" ht="13" x14ac:dyDescent="0.15">
      <c r="A402" s="10"/>
      <c r="B402" s="13"/>
      <c r="C402" s="13"/>
    </row>
    <row r="403" spans="1:3" ht="13" x14ac:dyDescent="0.15">
      <c r="A403" s="10"/>
      <c r="B403" s="13"/>
      <c r="C403" s="13"/>
    </row>
    <row r="404" spans="1:3" ht="13" x14ac:dyDescent="0.15">
      <c r="A404" s="10"/>
      <c r="B404" s="13"/>
      <c r="C404" s="13"/>
    </row>
    <row r="405" spans="1:3" ht="13" x14ac:dyDescent="0.15">
      <c r="A405" s="10"/>
      <c r="B405" s="13"/>
      <c r="C405" s="13"/>
    </row>
    <row r="406" spans="1:3" ht="13" x14ac:dyDescent="0.15">
      <c r="A406" s="10"/>
      <c r="B406" s="13"/>
      <c r="C406" s="13"/>
    </row>
    <row r="407" spans="1:3" ht="13" x14ac:dyDescent="0.15">
      <c r="A407" s="10"/>
      <c r="B407" s="13"/>
      <c r="C407" s="13"/>
    </row>
    <row r="408" spans="1:3" ht="13" x14ac:dyDescent="0.15">
      <c r="A408" s="10"/>
      <c r="B408" s="13"/>
      <c r="C408" s="13"/>
    </row>
    <row r="409" spans="1:3" ht="13" x14ac:dyDescent="0.15">
      <c r="A409" s="10"/>
      <c r="B409" s="13"/>
      <c r="C409" s="13"/>
    </row>
    <row r="410" spans="1:3" ht="13" x14ac:dyDescent="0.15">
      <c r="A410" s="10"/>
      <c r="B410" s="13"/>
      <c r="C410" s="13"/>
    </row>
    <row r="411" spans="1:3" ht="13" x14ac:dyDescent="0.15">
      <c r="A411" s="10"/>
      <c r="B411" s="13"/>
      <c r="C411" s="13"/>
    </row>
    <row r="412" spans="1:3" ht="13" x14ac:dyDescent="0.15">
      <c r="A412" s="10"/>
      <c r="B412" s="13"/>
      <c r="C412" s="13"/>
    </row>
    <row r="413" spans="1:3" ht="13" x14ac:dyDescent="0.15">
      <c r="A413" s="10"/>
      <c r="B413" s="13"/>
      <c r="C413" s="13"/>
    </row>
    <row r="414" spans="1:3" ht="13" x14ac:dyDescent="0.15">
      <c r="A414" s="10"/>
      <c r="B414" s="13"/>
      <c r="C414" s="13"/>
    </row>
    <row r="415" spans="1:3" ht="13" x14ac:dyDescent="0.15">
      <c r="A415" s="10"/>
      <c r="B415" s="13"/>
      <c r="C415" s="13"/>
    </row>
    <row r="416" spans="1:3" ht="13" x14ac:dyDescent="0.15">
      <c r="A416" s="10"/>
      <c r="B416" s="13"/>
      <c r="C416" s="13"/>
    </row>
    <row r="417" spans="1:3" ht="13" x14ac:dyDescent="0.15">
      <c r="A417" s="10"/>
      <c r="B417" s="13"/>
      <c r="C417" s="13"/>
    </row>
    <row r="418" spans="1:3" ht="13" x14ac:dyDescent="0.15">
      <c r="A418" s="10"/>
      <c r="B418" s="13"/>
      <c r="C418" s="13"/>
    </row>
    <row r="419" spans="1:3" ht="13" x14ac:dyDescent="0.15">
      <c r="A419" s="10"/>
      <c r="B419" s="13"/>
      <c r="C419" s="13"/>
    </row>
    <row r="420" spans="1:3" ht="13" x14ac:dyDescent="0.15">
      <c r="A420" s="10"/>
      <c r="B420" s="13"/>
      <c r="C420" s="13"/>
    </row>
    <row r="421" spans="1:3" ht="13" x14ac:dyDescent="0.15">
      <c r="A421" s="10"/>
      <c r="B421" s="13"/>
      <c r="C421" s="13"/>
    </row>
    <row r="422" spans="1:3" ht="13" x14ac:dyDescent="0.15">
      <c r="A422" s="10"/>
      <c r="B422" s="13"/>
      <c r="C422" s="13"/>
    </row>
    <row r="423" spans="1:3" ht="13" x14ac:dyDescent="0.15">
      <c r="A423" s="10"/>
      <c r="B423" s="13"/>
      <c r="C423" s="13"/>
    </row>
    <row r="424" spans="1:3" ht="13" x14ac:dyDescent="0.15">
      <c r="A424" s="10"/>
      <c r="B424" s="13"/>
      <c r="C424" s="13"/>
    </row>
    <row r="425" spans="1:3" ht="13" x14ac:dyDescent="0.15">
      <c r="A425" s="10"/>
      <c r="B425" s="13"/>
      <c r="C425" s="13"/>
    </row>
    <row r="426" spans="1:3" ht="13" x14ac:dyDescent="0.15">
      <c r="A426" s="10"/>
      <c r="B426" s="13"/>
      <c r="C426" s="13"/>
    </row>
    <row r="427" spans="1:3" ht="13" x14ac:dyDescent="0.15">
      <c r="A427" s="10"/>
      <c r="B427" s="13"/>
      <c r="C427" s="13"/>
    </row>
    <row r="428" spans="1:3" ht="13" x14ac:dyDescent="0.15">
      <c r="A428" s="10"/>
      <c r="B428" s="13"/>
      <c r="C428" s="13"/>
    </row>
    <row r="429" spans="1:3" ht="13" x14ac:dyDescent="0.15">
      <c r="A429" s="10"/>
      <c r="B429" s="13"/>
      <c r="C429" s="13"/>
    </row>
    <row r="430" spans="1:3" ht="13" x14ac:dyDescent="0.15">
      <c r="A430" s="10"/>
      <c r="B430" s="13"/>
      <c r="C430" s="13"/>
    </row>
    <row r="431" spans="1:3" ht="13" x14ac:dyDescent="0.15">
      <c r="A431" s="10"/>
      <c r="B431" s="13"/>
      <c r="C431" s="13"/>
    </row>
    <row r="432" spans="1:3" ht="13" x14ac:dyDescent="0.15">
      <c r="A432" s="10"/>
      <c r="B432" s="13"/>
      <c r="C432" s="13"/>
    </row>
    <row r="433" spans="1:3" ht="13" x14ac:dyDescent="0.15">
      <c r="A433" s="10"/>
      <c r="B433" s="13"/>
      <c r="C433" s="13"/>
    </row>
    <row r="434" spans="1:3" ht="13" x14ac:dyDescent="0.15">
      <c r="A434" s="10"/>
      <c r="B434" s="13"/>
      <c r="C434" s="13"/>
    </row>
    <row r="435" spans="1:3" ht="13" x14ac:dyDescent="0.15">
      <c r="A435" s="10"/>
      <c r="B435" s="13"/>
      <c r="C435" s="13"/>
    </row>
    <row r="436" spans="1:3" ht="13" x14ac:dyDescent="0.15">
      <c r="A436" s="10"/>
      <c r="B436" s="13"/>
      <c r="C436" s="13"/>
    </row>
    <row r="437" spans="1:3" ht="13" x14ac:dyDescent="0.15">
      <c r="A437" s="10"/>
      <c r="B437" s="13"/>
      <c r="C437" s="13"/>
    </row>
    <row r="438" spans="1:3" ht="13" x14ac:dyDescent="0.15">
      <c r="A438" s="10"/>
      <c r="B438" s="13"/>
      <c r="C438" s="13"/>
    </row>
    <row r="439" spans="1:3" ht="13" x14ac:dyDescent="0.15">
      <c r="A439" s="10"/>
      <c r="B439" s="13"/>
      <c r="C439" s="13"/>
    </row>
    <row r="440" spans="1:3" ht="13" x14ac:dyDescent="0.15">
      <c r="A440" s="10"/>
      <c r="B440" s="13"/>
      <c r="C440" s="13"/>
    </row>
    <row r="441" spans="1:3" ht="13" x14ac:dyDescent="0.15">
      <c r="A441" s="10"/>
      <c r="B441" s="13"/>
      <c r="C441" s="13"/>
    </row>
    <row r="442" spans="1:3" ht="13" x14ac:dyDescent="0.15">
      <c r="A442" s="10"/>
      <c r="B442" s="13"/>
      <c r="C442" s="13"/>
    </row>
    <row r="443" spans="1:3" ht="13" x14ac:dyDescent="0.15">
      <c r="A443" s="10"/>
      <c r="B443" s="13"/>
      <c r="C443" s="13"/>
    </row>
    <row r="444" spans="1:3" ht="13" x14ac:dyDescent="0.15">
      <c r="A444" s="10"/>
      <c r="B444" s="13"/>
      <c r="C444" s="13"/>
    </row>
    <row r="445" spans="1:3" ht="13" x14ac:dyDescent="0.15">
      <c r="A445" s="10"/>
      <c r="B445" s="13"/>
      <c r="C445" s="13"/>
    </row>
    <row r="446" spans="1:3" ht="13" x14ac:dyDescent="0.15">
      <c r="A446" s="10"/>
      <c r="B446" s="13"/>
      <c r="C446" s="13"/>
    </row>
    <row r="447" spans="1:3" ht="13" x14ac:dyDescent="0.15">
      <c r="A447" s="10"/>
      <c r="B447" s="13"/>
      <c r="C447" s="13"/>
    </row>
    <row r="448" spans="1:3" ht="13" x14ac:dyDescent="0.15">
      <c r="A448" s="10"/>
      <c r="B448" s="13"/>
      <c r="C448" s="13"/>
    </row>
    <row r="449" spans="1:3" ht="13" x14ac:dyDescent="0.15">
      <c r="A449" s="10"/>
      <c r="B449" s="13"/>
      <c r="C449" s="13"/>
    </row>
    <row r="450" spans="1:3" ht="13" x14ac:dyDescent="0.15">
      <c r="A450" s="10"/>
      <c r="B450" s="13"/>
      <c r="C450" s="13"/>
    </row>
    <row r="451" spans="1:3" ht="13" x14ac:dyDescent="0.15">
      <c r="A451" s="10"/>
      <c r="B451" s="13"/>
      <c r="C451" s="13"/>
    </row>
    <row r="452" spans="1:3" ht="13" x14ac:dyDescent="0.15">
      <c r="A452" s="10"/>
      <c r="B452" s="13"/>
      <c r="C452" s="13"/>
    </row>
    <row r="453" spans="1:3" ht="13" x14ac:dyDescent="0.15">
      <c r="A453" s="10"/>
      <c r="B453" s="13"/>
      <c r="C453" s="13"/>
    </row>
    <row r="454" spans="1:3" ht="13" x14ac:dyDescent="0.15">
      <c r="A454" s="10"/>
      <c r="B454" s="13"/>
      <c r="C454" s="13"/>
    </row>
    <row r="455" spans="1:3" ht="13" x14ac:dyDescent="0.15">
      <c r="A455" s="10"/>
      <c r="B455" s="13"/>
      <c r="C455" s="13"/>
    </row>
    <row r="456" spans="1:3" ht="13" x14ac:dyDescent="0.15">
      <c r="A456" s="10"/>
      <c r="B456" s="13"/>
      <c r="C456" s="13"/>
    </row>
    <row r="457" spans="1:3" ht="13" x14ac:dyDescent="0.15">
      <c r="A457" s="10"/>
      <c r="B457" s="13"/>
      <c r="C457" s="13"/>
    </row>
    <row r="458" spans="1:3" ht="13" x14ac:dyDescent="0.15">
      <c r="A458" s="10"/>
      <c r="B458" s="13"/>
      <c r="C458" s="13"/>
    </row>
    <row r="459" spans="1:3" ht="13" x14ac:dyDescent="0.15">
      <c r="A459" s="10"/>
      <c r="B459" s="13"/>
      <c r="C459" s="13"/>
    </row>
    <row r="460" spans="1:3" ht="13" x14ac:dyDescent="0.15">
      <c r="A460" s="10"/>
      <c r="B460" s="13"/>
      <c r="C460" s="13"/>
    </row>
    <row r="461" spans="1:3" ht="13" x14ac:dyDescent="0.15">
      <c r="A461" s="10"/>
      <c r="B461" s="13"/>
      <c r="C461" s="13"/>
    </row>
    <row r="462" spans="1:3" ht="13" x14ac:dyDescent="0.15">
      <c r="A462" s="10"/>
      <c r="B462" s="13"/>
      <c r="C462" s="13"/>
    </row>
    <row r="463" spans="1:3" ht="13" x14ac:dyDescent="0.15">
      <c r="A463" s="10"/>
      <c r="B463" s="13"/>
      <c r="C463" s="13"/>
    </row>
    <row r="464" spans="1:3" ht="13" x14ac:dyDescent="0.15">
      <c r="A464" s="10"/>
      <c r="B464" s="13"/>
      <c r="C464" s="13"/>
    </row>
    <row r="465" spans="1:3" ht="13" x14ac:dyDescent="0.15">
      <c r="A465" s="10"/>
      <c r="B465" s="13"/>
      <c r="C465" s="13"/>
    </row>
    <row r="466" spans="1:3" ht="13" x14ac:dyDescent="0.15">
      <c r="A466" s="10"/>
      <c r="B466" s="13"/>
      <c r="C466" s="13"/>
    </row>
    <row r="467" spans="1:3" ht="13" x14ac:dyDescent="0.15">
      <c r="A467" s="10"/>
      <c r="B467" s="13"/>
      <c r="C467" s="13"/>
    </row>
    <row r="468" spans="1:3" ht="13" x14ac:dyDescent="0.15">
      <c r="A468" s="10"/>
      <c r="B468" s="13"/>
      <c r="C468" s="13"/>
    </row>
    <row r="469" spans="1:3" ht="13" x14ac:dyDescent="0.15">
      <c r="A469" s="10"/>
      <c r="B469" s="13"/>
      <c r="C469" s="13"/>
    </row>
    <row r="470" spans="1:3" ht="13" x14ac:dyDescent="0.15">
      <c r="A470" s="10"/>
      <c r="B470" s="13"/>
      <c r="C470" s="13"/>
    </row>
    <row r="471" spans="1:3" ht="13" x14ac:dyDescent="0.15">
      <c r="A471" s="10"/>
      <c r="B471" s="13"/>
      <c r="C471" s="13"/>
    </row>
    <row r="472" spans="1:3" ht="13" x14ac:dyDescent="0.15">
      <c r="A472" s="10"/>
      <c r="B472" s="13"/>
      <c r="C472" s="13"/>
    </row>
    <row r="473" spans="1:3" ht="13" x14ac:dyDescent="0.15">
      <c r="A473" s="10"/>
      <c r="B473" s="13"/>
      <c r="C473" s="13"/>
    </row>
    <row r="474" spans="1:3" ht="13" x14ac:dyDescent="0.15">
      <c r="A474" s="10"/>
      <c r="B474" s="13"/>
      <c r="C474" s="13"/>
    </row>
    <row r="475" spans="1:3" ht="13" x14ac:dyDescent="0.15">
      <c r="A475" s="10"/>
      <c r="B475" s="13"/>
      <c r="C475" s="13"/>
    </row>
    <row r="476" spans="1:3" ht="13" x14ac:dyDescent="0.15">
      <c r="A476" s="10"/>
      <c r="B476" s="13"/>
      <c r="C476" s="13"/>
    </row>
    <row r="477" spans="1:3" ht="13" x14ac:dyDescent="0.15">
      <c r="A477" s="10"/>
      <c r="B477" s="13"/>
      <c r="C477" s="13"/>
    </row>
    <row r="478" spans="1:3" ht="13" x14ac:dyDescent="0.15">
      <c r="A478" s="10"/>
      <c r="B478" s="13"/>
      <c r="C478" s="13"/>
    </row>
    <row r="479" spans="1:3" ht="13" x14ac:dyDescent="0.15">
      <c r="A479" s="10"/>
      <c r="B479" s="13"/>
      <c r="C479" s="13"/>
    </row>
    <row r="480" spans="1:3" ht="13" x14ac:dyDescent="0.15">
      <c r="A480" s="10"/>
      <c r="B480" s="13"/>
      <c r="C480" s="13"/>
    </row>
    <row r="481" spans="1:3" ht="13" x14ac:dyDescent="0.15">
      <c r="A481" s="10"/>
      <c r="B481" s="13"/>
      <c r="C481" s="13"/>
    </row>
    <row r="482" spans="1:3" ht="13" x14ac:dyDescent="0.15">
      <c r="A482" s="10"/>
      <c r="B482" s="13"/>
      <c r="C482" s="13"/>
    </row>
    <row r="483" spans="1:3" ht="13" x14ac:dyDescent="0.15">
      <c r="A483" s="10"/>
      <c r="B483" s="13"/>
      <c r="C483" s="13"/>
    </row>
    <row r="484" spans="1:3" ht="13" x14ac:dyDescent="0.15">
      <c r="A484" s="10"/>
      <c r="B484" s="13"/>
      <c r="C484" s="13"/>
    </row>
    <row r="485" spans="1:3" ht="13" x14ac:dyDescent="0.15">
      <c r="A485" s="10"/>
      <c r="B485" s="13"/>
      <c r="C485" s="13"/>
    </row>
    <row r="486" spans="1:3" ht="13" x14ac:dyDescent="0.15">
      <c r="A486" s="10"/>
      <c r="B486" s="13"/>
      <c r="C486" s="13"/>
    </row>
    <row r="487" spans="1:3" ht="13" x14ac:dyDescent="0.15">
      <c r="A487" s="10"/>
      <c r="B487" s="13"/>
      <c r="C487" s="13"/>
    </row>
    <row r="488" spans="1:3" ht="13" x14ac:dyDescent="0.15">
      <c r="A488" s="10"/>
      <c r="B488" s="13"/>
      <c r="C488" s="13"/>
    </row>
    <row r="489" spans="1:3" ht="13" x14ac:dyDescent="0.15">
      <c r="A489" s="10"/>
      <c r="B489" s="13"/>
      <c r="C489" s="13"/>
    </row>
    <row r="490" spans="1:3" ht="13" x14ac:dyDescent="0.15">
      <c r="A490" s="10"/>
      <c r="B490" s="13"/>
      <c r="C490" s="13"/>
    </row>
    <row r="491" spans="1:3" ht="13" x14ac:dyDescent="0.15">
      <c r="A491" s="10"/>
      <c r="B491" s="13"/>
      <c r="C491" s="13"/>
    </row>
    <row r="492" spans="1:3" ht="13" x14ac:dyDescent="0.15">
      <c r="A492" s="10"/>
      <c r="B492" s="13"/>
      <c r="C492" s="13"/>
    </row>
    <row r="493" spans="1:3" ht="13" x14ac:dyDescent="0.15">
      <c r="A493" s="10"/>
      <c r="B493" s="13"/>
      <c r="C493" s="13"/>
    </row>
    <row r="494" spans="1:3" ht="13" x14ac:dyDescent="0.15">
      <c r="A494" s="10"/>
      <c r="B494" s="13"/>
      <c r="C494" s="13"/>
    </row>
    <row r="495" spans="1:3" ht="13" x14ac:dyDescent="0.15">
      <c r="A495" s="10"/>
      <c r="B495" s="13"/>
      <c r="C495" s="13"/>
    </row>
    <row r="496" spans="1:3" ht="13" x14ac:dyDescent="0.15">
      <c r="A496" s="10"/>
      <c r="B496" s="13"/>
      <c r="C496" s="13"/>
    </row>
    <row r="497" spans="1:3" ht="13" x14ac:dyDescent="0.15">
      <c r="A497" s="10"/>
      <c r="B497" s="13"/>
      <c r="C497" s="13"/>
    </row>
    <row r="498" spans="1:3" ht="13" x14ac:dyDescent="0.15">
      <c r="A498" s="10"/>
      <c r="B498" s="13"/>
      <c r="C498" s="13"/>
    </row>
    <row r="499" spans="1:3" ht="13" x14ac:dyDescent="0.15">
      <c r="A499" s="10"/>
      <c r="B499" s="13"/>
      <c r="C499" s="13"/>
    </row>
    <row r="500" spans="1:3" ht="13" x14ac:dyDescent="0.15">
      <c r="A500" s="10"/>
      <c r="B500" s="13"/>
      <c r="C500" s="13"/>
    </row>
    <row r="501" spans="1:3" ht="13" x14ac:dyDescent="0.15">
      <c r="A501" s="10"/>
      <c r="B501" s="13"/>
      <c r="C501" s="13"/>
    </row>
    <row r="502" spans="1:3" ht="13" x14ac:dyDescent="0.15">
      <c r="A502" s="10"/>
      <c r="B502" s="13"/>
      <c r="C502" s="13"/>
    </row>
    <row r="503" spans="1:3" ht="13" x14ac:dyDescent="0.15">
      <c r="A503" s="10"/>
      <c r="B503" s="13"/>
      <c r="C503" s="13"/>
    </row>
    <row r="504" spans="1:3" ht="13" x14ac:dyDescent="0.15">
      <c r="A504" s="10"/>
      <c r="B504" s="13"/>
      <c r="C504" s="13"/>
    </row>
    <row r="505" spans="1:3" ht="13" x14ac:dyDescent="0.15">
      <c r="A505" s="10"/>
      <c r="B505" s="13"/>
      <c r="C505" s="13"/>
    </row>
    <row r="506" spans="1:3" ht="13" x14ac:dyDescent="0.15">
      <c r="A506" s="10"/>
      <c r="B506" s="13"/>
      <c r="C506" s="13"/>
    </row>
    <row r="507" spans="1:3" ht="13" x14ac:dyDescent="0.15">
      <c r="A507" s="10"/>
      <c r="B507" s="13"/>
      <c r="C507" s="13"/>
    </row>
    <row r="508" spans="1:3" ht="13" x14ac:dyDescent="0.15">
      <c r="A508" s="10"/>
      <c r="B508" s="13"/>
      <c r="C508" s="13"/>
    </row>
    <row r="509" spans="1:3" ht="13" x14ac:dyDescent="0.15">
      <c r="A509" s="10"/>
      <c r="B509" s="13"/>
      <c r="C509" s="13"/>
    </row>
    <row r="510" spans="1:3" ht="13" x14ac:dyDescent="0.15">
      <c r="A510" s="10"/>
      <c r="B510" s="13"/>
      <c r="C510" s="13"/>
    </row>
    <row r="511" spans="1:3" ht="13" x14ac:dyDescent="0.15">
      <c r="A511" s="10"/>
      <c r="B511" s="13"/>
      <c r="C511" s="13"/>
    </row>
    <row r="512" spans="1:3" ht="13" x14ac:dyDescent="0.15">
      <c r="A512" s="10"/>
      <c r="B512" s="13"/>
      <c r="C512" s="13"/>
    </row>
    <row r="513" spans="1:3" ht="13" x14ac:dyDescent="0.15">
      <c r="A513" s="10"/>
      <c r="B513" s="13"/>
      <c r="C513" s="13"/>
    </row>
    <row r="514" spans="1:3" ht="13" x14ac:dyDescent="0.15">
      <c r="A514" s="10"/>
      <c r="B514" s="13"/>
      <c r="C514" s="13"/>
    </row>
    <row r="515" spans="1:3" ht="13" x14ac:dyDescent="0.15">
      <c r="A515" s="10"/>
      <c r="B515" s="13"/>
      <c r="C515" s="13"/>
    </row>
    <row r="516" spans="1:3" ht="13" x14ac:dyDescent="0.15">
      <c r="A516" s="10"/>
      <c r="B516" s="13"/>
      <c r="C516" s="13"/>
    </row>
    <row r="517" spans="1:3" ht="13" x14ac:dyDescent="0.15">
      <c r="A517" s="10"/>
      <c r="B517" s="13"/>
      <c r="C517" s="13"/>
    </row>
    <row r="518" spans="1:3" ht="13" x14ac:dyDescent="0.15">
      <c r="A518" s="10"/>
      <c r="B518" s="13"/>
      <c r="C518" s="13"/>
    </row>
    <row r="519" spans="1:3" ht="13" x14ac:dyDescent="0.15">
      <c r="A519" s="10"/>
      <c r="B519" s="13"/>
      <c r="C519" s="13"/>
    </row>
    <row r="520" spans="1:3" ht="13" x14ac:dyDescent="0.15">
      <c r="A520" s="10"/>
      <c r="B520" s="13"/>
      <c r="C520" s="13"/>
    </row>
    <row r="521" spans="1:3" ht="13" x14ac:dyDescent="0.15">
      <c r="A521" s="10"/>
      <c r="B521" s="13"/>
      <c r="C521" s="13"/>
    </row>
    <row r="522" spans="1:3" ht="13" x14ac:dyDescent="0.15">
      <c r="A522" s="10"/>
      <c r="B522" s="13"/>
      <c r="C522" s="13"/>
    </row>
    <row r="523" spans="1:3" ht="13" x14ac:dyDescent="0.15">
      <c r="A523" s="10"/>
      <c r="B523" s="13"/>
      <c r="C523" s="13"/>
    </row>
    <row r="524" spans="1:3" ht="13" x14ac:dyDescent="0.15">
      <c r="A524" s="10"/>
      <c r="B524" s="13"/>
      <c r="C524" s="13"/>
    </row>
    <row r="525" spans="1:3" ht="13" x14ac:dyDescent="0.15">
      <c r="A525" s="10"/>
      <c r="B525" s="13"/>
      <c r="C525" s="13"/>
    </row>
    <row r="526" spans="1:3" ht="13" x14ac:dyDescent="0.15">
      <c r="A526" s="10"/>
      <c r="B526" s="13"/>
      <c r="C526" s="13"/>
    </row>
    <row r="527" spans="1:3" ht="13" x14ac:dyDescent="0.15">
      <c r="A527" s="10"/>
      <c r="B527" s="13"/>
      <c r="C527" s="13"/>
    </row>
    <row r="528" spans="1:3" ht="13" x14ac:dyDescent="0.15">
      <c r="A528" s="10"/>
      <c r="B528" s="13"/>
      <c r="C528" s="13"/>
    </row>
    <row r="529" spans="1:3" ht="13" x14ac:dyDescent="0.15">
      <c r="A529" s="10"/>
      <c r="B529" s="13"/>
      <c r="C529" s="13"/>
    </row>
    <row r="530" spans="1:3" ht="13" x14ac:dyDescent="0.15">
      <c r="A530" s="10"/>
      <c r="B530" s="13"/>
      <c r="C530" s="13"/>
    </row>
    <row r="531" spans="1:3" ht="13" x14ac:dyDescent="0.15">
      <c r="A531" s="10"/>
      <c r="B531" s="13"/>
      <c r="C531" s="13"/>
    </row>
    <row r="532" spans="1:3" ht="13" x14ac:dyDescent="0.15">
      <c r="A532" s="10"/>
      <c r="B532" s="13"/>
      <c r="C532" s="13"/>
    </row>
    <row r="533" spans="1:3" ht="13" x14ac:dyDescent="0.15">
      <c r="A533" s="10"/>
      <c r="B533" s="13"/>
      <c r="C533" s="13"/>
    </row>
    <row r="534" spans="1:3" ht="13" x14ac:dyDescent="0.15">
      <c r="A534" s="10"/>
      <c r="B534" s="13"/>
      <c r="C534" s="13"/>
    </row>
    <row r="535" spans="1:3" ht="13" x14ac:dyDescent="0.15">
      <c r="A535" s="10"/>
      <c r="B535" s="13"/>
      <c r="C535" s="13"/>
    </row>
    <row r="536" spans="1:3" ht="13" x14ac:dyDescent="0.15">
      <c r="A536" s="10"/>
      <c r="B536" s="13"/>
      <c r="C536" s="13"/>
    </row>
    <row r="537" spans="1:3" ht="13" x14ac:dyDescent="0.15">
      <c r="A537" s="10"/>
      <c r="B537" s="13"/>
      <c r="C537" s="13"/>
    </row>
    <row r="538" spans="1:3" ht="13" x14ac:dyDescent="0.15">
      <c r="A538" s="10"/>
      <c r="B538" s="13"/>
      <c r="C538" s="13"/>
    </row>
    <row r="539" spans="1:3" ht="13" x14ac:dyDescent="0.15">
      <c r="A539" s="10"/>
      <c r="B539" s="13"/>
      <c r="C539" s="13"/>
    </row>
    <row r="540" spans="1:3" ht="13" x14ac:dyDescent="0.15">
      <c r="A540" s="10"/>
      <c r="B540" s="13"/>
      <c r="C540" s="13"/>
    </row>
    <row r="541" spans="1:3" ht="13" x14ac:dyDescent="0.15">
      <c r="A541" s="10"/>
      <c r="B541" s="13"/>
      <c r="C541" s="13"/>
    </row>
    <row r="542" spans="1:3" ht="13" x14ac:dyDescent="0.15">
      <c r="A542" s="10"/>
      <c r="B542" s="13"/>
      <c r="C542" s="13"/>
    </row>
    <row r="543" spans="1:3" ht="13" x14ac:dyDescent="0.15">
      <c r="A543" s="10"/>
      <c r="B543" s="13"/>
      <c r="C543" s="13"/>
    </row>
    <row r="544" spans="1:3" ht="13" x14ac:dyDescent="0.15">
      <c r="A544" s="10"/>
      <c r="B544" s="13"/>
      <c r="C544" s="13"/>
    </row>
    <row r="545" spans="1:3" ht="13" x14ac:dyDescent="0.15">
      <c r="A545" s="10"/>
      <c r="B545" s="13"/>
      <c r="C545" s="13"/>
    </row>
    <row r="546" spans="1:3" ht="13" x14ac:dyDescent="0.15">
      <c r="A546" s="10"/>
      <c r="B546" s="13"/>
      <c r="C546" s="13"/>
    </row>
    <row r="547" spans="1:3" ht="13" x14ac:dyDescent="0.15">
      <c r="A547" s="10"/>
      <c r="B547" s="13"/>
      <c r="C547" s="13"/>
    </row>
    <row r="548" spans="1:3" ht="13" x14ac:dyDescent="0.15">
      <c r="A548" s="10"/>
      <c r="B548" s="13"/>
      <c r="C548" s="13"/>
    </row>
    <row r="549" spans="1:3" ht="13" x14ac:dyDescent="0.15">
      <c r="A549" s="10"/>
      <c r="B549" s="13"/>
      <c r="C549" s="13"/>
    </row>
    <row r="550" spans="1:3" ht="13" x14ac:dyDescent="0.15">
      <c r="A550" s="10"/>
      <c r="B550" s="13"/>
      <c r="C550" s="13"/>
    </row>
    <row r="551" spans="1:3" ht="13" x14ac:dyDescent="0.15">
      <c r="A551" s="10"/>
      <c r="B551" s="13"/>
      <c r="C551" s="13"/>
    </row>
    <row r="552" spans="1:3" ht="13" x14ac:dyDescent="0.15">
      <c r="A552" s="10"/>
      <c r="B552" s="13"/>
      <c r="C552" s="13"/>
    </row>
    <row r="553" spans="1:3" ht="13" x14ac:dyDescent="0.15">
      <c r="A553" s="10"/>
      <c r="B553" s="13"/>
      <c r="C553" s="13"/>
    </row>
    <row r="554" spans="1:3" ht="13" x14ac:dyDescent="0.15">
      <c r="A554" s="10"/>
      <c r="B554" s="13"/>
      <c r="C554" s="13"/>
    </row>
    <row r="555" spans="1:3" ht="13" x14ac:dyDescent="0.15">
      <c r="A555" s="10"/>
      <c r="B555" s="13"/>
      <c r="C555" s="13"/>
    </row>
    <row r="556" spans="1:3" ht="13" x14ac:dyDescent="0.15">
      <c r="A556" s="10"/>
      <c r="B556" s="13"/>
      <c r="C556" s="13"/>
    </row>
    <row r="557" spans="1:3" ht="13" x14ac:dyDescent="0.15">
      <c r="A557" s="10"/>
      <c r="B557" s="13"/>
      <c r="C557" s="13"/>
    </row>
    <row r="558" spans="1:3" ht="13" x14ac:dyDescent="0.15">
      <c r="A558" s="10"/>
      <c r="B558" s="13"/>
      <c r="C558" s="13"/>
    </row>
    <row r="559" spans="1:3" ht="13" x14ac:dyDescent="0.15">
      <c r="A559" s="10"/>
      <c r="B559" s="13"/>
      <c r="C559" s="13"/>
    </row>
    <row r="560" spans="1:3" ht="13" x14ac:dyDescent="0.15">
      <c r="A560" s="10"/>
      <c r="B560" s="13"/>
      <c r="C560" s="13"/>
    </row>
    <row r="561" spans="1:3" ht="13" x14ac:dyDescent="0.15">
      <c r="A561" s="10"/>
      <c r="B561" s="13"/>
      <c r="C561" s="13"/>
    </row>
    <row r="562" spans="1:3" ht="13" x14ac:dyDescent="0.15">
      <c r="A562" s="10"/>
      <c r="B562" s="13"/>
      <c r="C562" s="13"/>
    </row>
    <row r="563" spans="1:3" ht="13" x14ac:dyDescent="0.15">
      <c r="A563" s="10"/>
      <c r="B563" s="13"/>
      <c r="C563" s="13"/>
    </row>
    <row r="564" spans="1:3" ht="13" x14ac:dyDescent="0.15">
      <c r="A564" s="10"/>
      <c r="B564" s="13"/>
      <c r="C564" s="13"/>
    </row>
    <row r="565" spans="1:3" ht="13" x14ac:dyDescent="0.15">
      <c r="A565" s="10"/>
      <c r="B565" s="13"/>
      <c r="C565" s="13"/>
    </row>
    <row r="566" spans="1:3" ht="13" x14ac:dyDescent="0.15">
      <c r="A566" s="10"/>
      <c r="B566" s="13"/>
      <c r="C566" s="13"/>
    </row>
    <row r="567" spans="1:3" ht="13" x14ac:dyDescent="0.15">
      <c r="A567" s="10"/>
      <c r="B567" s="13"/>
      <c r="C567" s="13"/>
    </row>
    <row r="568" spans="1:3" ht="13" x14ac:dyDescent="0.15">
      <c r="A568" s="10"/>
      <c r="B568" s="13"/>
      <c r="C568" s="13"/>
    </row>
    <row r="569" spans="1:3" ht="13" x14ac:dyDescent="0.15">
      <c r="A569" s="10"/>
      <c r="B569" s="13"/>
      <c r="C569" s="13"/>
    </row>
    <row r="570" spans="1:3" ht="13" x14ac:dyDescent="0.15">
      <c r="A570" s="10"/>
      <c r="B570" s="13"/>
      <c r="C570" s="13"/>
    </row>
    <row r="571" spans="1:3" ht="13" x14ac:dyDescent="0.15">
      <c r="A571" s="10"/>
      <c r="B571" s="13"/>
      <c r="C571" s="13"/>
    </row>
    <row r="572" spans="1:3" ht="13" x14ac:dyDescent="0.15">
      <c r="A572" s="10"/>
      <c r="B572" s="13"/>
      <c r="C572" s="13"/>
    </row>
    <row r="573" spans="1:3" ht="13" x14ac:dyDescent="0.15">
      <c r="A573" s="10"/>
      <c r="B573" s="13"/>
      <c r="C573" s="13"/>
    </row>
    <row r="574" spans="1:3" ht="13" x14ac:dyDescent="0.15">
      <c r="A574" s="10"/>
      <c r="B574" s="13"/>
      <c r="C574" s="13"/>
    </row>
    <row r="575" spans="1:3" ht="13" x14ac:dyDescent="0.15">
      <c r="A575" s="10"/>
      <c r="B575" s="13"/>
      <c r="C575" s="13"/>
    </row>
    <row r="576" spans="1:3" ht="13" x14ac:dyDescent="0.15">
      <c r="A576" s="10"/>
      <c r="B576" s="13"/>
      <c r="C576" s="13"/>
    </row>
    <row r="577" spans="1:3" ht="13" x14ac:dyDescent="0.15">
      <c r="A577" s="10"/>
      <c r="B577" s="13"/>
      <c r="C577" s="13"/>
    </row>
    <row r="578" spans="1:3" ht="13" x14ac:dyDescent="0.15">
      <c r="A578" s="10"/>
      <c r="B578" s="13"/>
      <c r="C578" s="13"/>
    </row>
    <row r="579" spans="1:3" ht="13" x14ac:dyDescent="0.15">
      <c r="A579" s="10"/>
      <c r="B579" s="13"/>
      <c r="C579" s="13"/>
    </row>
    <row r="580" spans="1:3" ht="13" x14ac:dyDescent="0.15">
      <c r="A580" s="10"/>
      <c r="B580" s="13"/>
      <c r="C580" s="13"/>
    </row>
    <row r="581" spans="1:3" ht="13" x14ac:dyDescent="0.15">
      <c r="A581" s="10"/>
      <c r="B581" s="13"/>
      <c r="C581" s="13"/>
    </row>
    <row r="582" spans="1:3" ht="13" x14ac:dyDescent="0.15">
      <c r="A582" s="10"/>
      <c r="B582" s="13"/>
      <c r="C582" s="13"/>
    </row>
    <row r="583" spans="1:3" ht="13" x14ac:dyDescent="0.15">
      <c r="A583" s="10"/>
      <c r="B583" s="13"/>
      <c r="C583" s="13"/>
    </row>
    <row r="584" spans="1:3" ht="13" x14ac:dyDescent="0.15">
      <c r="A584" s="10"/>
      <c r="B584" s="13"/>
      <c r="C584" s="13"/>
    </row>
    <row r="585" spans="1:3" ht="13" x14ac:dyDescent="0.15">
      <c r="A585" s="10"/>
      <c r="B585" s="13"/>
      <c r="C585" s="13"/>
    </row>
    <row r="586" spans="1:3" ht="13" x14ac:dyDescent="0.15">
      <c r="A586" s="10"/>
      <c r="B586" s="13"/>
      <c r="C586" s="13"/>
    </row>
    <row r="587" spans="1:3" ht="13" x14ac:dyDescent="0.15">
      <c r="A587" s="10"/>
      <c r="B587" s="13"/>
      <c r="C587" s="13"/>
    </row>
    <row r="588" spans="1:3" ht="13" x14ac:dyDescent="0.15">
      <c r="A588" s="10"/>
      <c r="B588" s="13"/>
      <c r="C588" s="13"/>
    </row>
    <row r="589" spans="1:3" ht="13" x14ac:dyDescent="0.15">
      <c r="A589" s="10"/>
      <c r="B589" s="13"/>
      <c r="C589" s="13"/>
    </row>
    <row r="590" spans="1:3" ht="13" x14ac:dyDescent="0.15">
      <c r="A590" s="10"/>
      <c r="B590" s="13"/>
      <c r="C590" s="13"/>
    </row>
    <row r="591" spans="1:3" ht="13" x14ac:dyDescent="0.15">
      <c r="A591" s="10"/>
      <c r="B591" s="13"/>
      <c r="C591" s="13"/>
    </row>
    <row r="592" spans="1:3" ht="13" x14ac:dyDescent="0.15">
      <c r="A592" s="10"/>
      <c r="B592" s="13"/>
      <c r="C592" s="13"/>
    </row>
    <row r="593" spans="1:3" ht="13" x14ac:dyDescent="0.15">
      <c r="A593" s="10"/>
      <c r="B593" s="13"/>
      <c r="C593" s="13"/>
    </row>
    <row r="594" spans="1:3" ht="13" x14ac:dyDescent="0.15">
      <c r="A594" s="10"/>
      <c r="B594" s="13"/>
      <c r="C594" s="13"/>
    </row>
    <row r="595" spans="1:3" ht="13" x14ac:dyDescent="0.15">
      <c r="A595" s="10"/>
      <c r="B595" s="13"/>
      <c r="C595" s="13"/>
    </row>
    <row r="596" spans="1:3" ht="13" x14ac:dyDescent="0.15">
      <c r="A596" s="10"/>
      <c r="B596" s="13"/>
      <c r="C596" s="13"/>
    </row>
    <row r="597" spans="1:3" ht="13" x14ac:dyDescent="0.15">
      <c r="A597" s="10"/>
      <c r="B597" s="13"/>
      <c r="C597" s="13"/>
    </row>
    <row r="598" spans="1:3" ht="13" x14ac:dyDescent="0.15">
      <c r="A598" s="10"/>
      <c r="B598" s="13"/>
      <c r="C598" s="13"/>
    </row>
    <row r="599" spans="1:3" ht="13" x14ac:dyDescent="0.15">
      <c r="A599" s="10"/>
      <c r="B599" s="13"/>
      <c r="C599" s="13"/>
    </row>
    <row r="600" spans="1:3" ht="13" x14ac:dyDescent="0.15">
      <c r="A600" s="10"/>
      <c r="B600" s="13"/>
      <c r="C600" s="13"/>
    </row>
    <row r="601" spans="1:3" ht="13" x14ac:dyDescent="0.15">
      <c r="A601" s="10"/>
      <c r="B601" s="13"/>
      <c r="C601" s="13"/>
    </row>
    <row r="602" spans="1:3" ht="13" x14ac:dyDescent="0.15">
      <c r="A602" s="10"/>
      <c r="B602" s="13"/>
      <c r="C602" s="13"/>
    </row>
    <row r="603" spans="1:3" ht="13" x14ac:dyDescent="0.15">
      <c r="A603" s="10"/>
      <c r="B603" s="13"/>
      <c r="C603" s="13"/>
    </row>
    <row r="604" spans="1:3" ht="13" x14ac:dyDescent="0.15">
      <c r="A604" s="10"/>
      <c r="B604" s="13"/>
      <c r="C604" s="13"/>
    </row>
    <row r="605" spans="1:3" ht="13" x14ac:dyDescent="0.15">
      <c r="A605" s="10"/>
      <c r="B605" s="13"/>
      <c r="C605" s="13"/>
    </row>
    <row r="606" spans="1:3" ht="13" x14ac:dyDescent="0.15">
      <c r="A606" s="10"/>
      <c r="B606" s="13"/>
      <c r="C606" s="13"/>
    </row>
    <row r="607" spans="1:3" ht="13" x14ac:dyDescent="0.15">
      <c r="A607" s="10"/>
      <c r="B607" s="13"/>
      <c r="C607" s="13"/>
    </row>
    <row r="608" spans="1:3" ht="13" x14ac:dyDescent="0.15">
      <c r="A608" s="10"/>
      <c r="B608" s="13"/>
      <c r="C608" s="13"/>
    </row>
    <row r="609" spans="1:3" ht="13" x14ac:dyDescent="0.15">
      <c r="A609" s="10"/>
      <c r="B609" s="13"/>
      <c r="C609" s="13"/>
    </row>
    <row r="610" spans="1:3" ht="13" x14ac:dyDescent="0.15">
      <c r="A610" s="10"/>
      <c r="B610" s="13"/>
      <c r="C610" s="13"/>
    </row>
    <row r="611" spans="1:3" ht="13" x14ac:dyDescent="0.15">
      <c r="A611" s="10"/>
      <c r="B611" s="13"/>
      <c r="C611" s="13"/>
    </row>
    <row r="612" spans="1:3" ht="13" x14ac:dyDescent="0.15">
      <c r="A612" s="10"/>
      <c r="B612" s="13"/>
      <c r="C612" s="13"/>
    </row>
    <row r="613" spans="1:3" ht="13" x14ac:dyDescent="0.15">
      <c r="A613" s="10"/>
      <c r="B613" s="13"/>
      <c r="C613" s="13"/>
    </row>
    <row r="614" spans="1:3" ht="13" x14ac:dyDescent="0.15">
      <c r="A614" s="10"/>
      <c r="B614" s="13"/>
      <c r="C614" s="13"/>
    </row>
    <row r="615" spans="1:3" ht="13" x14ac:dyDescent="0.15">
      <c r="A615" s="10"/>
      <c r="B615" s="13"/>
      <c r="C615" s="13"/>
    </row>
    <row r="616" spans="1:3" ht="13" x14ac:dyDescent="0.15">
      <c r="A616" s="10"/>
      <c r="B616" s="13"/>
      <c r="C616" s="13"/>
    </row>
    <row r="617" spans="1:3" ht="13" x14ac:dyDescent="0.15">
      <c r="A617" s="10"/>
      <c r="B617" s="13"/>
      <c r="C617" s="13"/>
    </row>
    <row r="618" spans="1:3" ht="13" x14ac:dyDescent="0.15">
      <c r="A618" s="10"/>
      <c r="B618" s="13"/>
      <c r="C618" s="13"/>
    </row>
    <row r="619" spans="1:3" ht="13" x14ac:dyDescent="0.15">
      <c r="A619" s="10"/>
      <c r="B619" s="13"/>
      <c r="C619" s="13"/>
    </row>
    <row r="620" spans="1:3" ht="13" x14ac:dyDescent="0.15">
      <c r="A620" s="10"/>
      <c r="B620" s="13"/>
      <c r="C620" s="13"/>
    </row>
    <row r="621" spans="1:3" ht="13" x14ac:dyDescent="0.15">
      <c r="A621" s="10"/>
      <c r="B621" s="13"/>
      <c r="C621" s="13"/>
    </row>
    <row r="622" spans="1:3" ht="13" x14ac:dyDescent="0.15">
      <c r="A622" s="10"/>
      <c r="B622" s="13"/>
      <c r="C622" s="13"/>
    </row>
    <row r="623" spans="1:3" ht="13" x14ac:dyDescent="0.15">
      <c r="A623" s="10"/>
      <c r="B623" s="13"/>
      <c r="C623" s="13"/>
    </row>
    <row r="624" spans="1:3" ht="13" x14ac:dyDescent="0.15">
      <c r="A624" s="10"/>
      <c r="B624" s="13"/>
      <c r="C624" s="13"/>
    </row>
    <row r="625" spans="1:3" ht="13" x14ac:dyDescent="0.15">
      <c r="A625" s="10"/>
      <c r="B625" s="13"/>
      <c r="C625" s="13"/>
    </row>
    <row r="626" spans="1:3" ht="13" x14ac:dyDescent="0.15">
      <c r="A626" s="10"/>
      <c r="B626" s="13"/>
      <c r="C626" s="13"/>
    </row>
    <row r="627" spans="1:3" ht="13" x14ac:dyDescent="0.15">
      <c r="A627" s="10"/>
      <c r="B627" s="13"/>
      <c r="C627" s="13"/>
    </row>
    <row r="628" spans="1:3" ht="13" x14ac:dyDescent="0.15">
      <c r="A628" s="10"/>
      <c r="B628" s="13"/>
      <c r="C628" s="13"/>
    </row>
    <row r="629" spans="1:3" ht="13" x14ac:dyDescent="0.15">
      <c r="A629" s="10"/>
      <c r="B629" s="13"/>
      <c r="C629" s="13"/>
    </row>
    <row r="630" spans="1:3" ht="13" x14ac:dyDescent="0.15">
      <c r="A630" s="10"/>
      <c r="B630" s="13"/>
      <c r="C630" s="13"/>
    </row>
    <row r="631" spans="1:3" ht="13" x14ac:dyDescent="0.15">
      <c r="A631" s="10"/>
      <c r="B631" s="13"/>
      <c r="C631" s="13"/>
    </row>
    <row r="632" spans="1:3" ht="13" x14ac:dyDescent="0.15">
      <c r="A632" s="10"/>
      <c r="B632" s="13"/>
      <c r="C632" s="13"/>
    </row>
    <row r="633" spans="1:3" ht="13" x14ac:dyDescent="0.15">
      <c r="A633" s="10"/>
      <c r="B633" s="13"/>
      <c r="C633" s="13"/>
    </row>
    <row r="634" spans="1:3" ht="13" x14ac:dyDescent="0.15">
      <c r="A634" s="10"/>
      <c r="B634" s="13"/>
      <c r="C634" s="13"/>
    </row>
    <row r="635" spans="1:3" ht="13" x14ac:dyDescent="0.15">
      <c r="A635" s="10"/>
      <c r="B635" s="13"/>
      <c r="C635" s="13"/>
    </row>
    <row r="636" spans="1:3" ht="13" x14ac:dyDescent="0.15">
      <c r="A636" s="10"/>
      <c r="B636" s="13"/>
      <c r="C636" s="13"/>
    </row>
    <row r="637" spans="1:3" ht="13" x14ac:dyDescent="0.15">
      <c r="A637" s="10"/>
      <c r="B637" s="13"/>
      <c r="C637" s="13"/>
    </row>
    <row r="638" spans="1:3" ht="13" x14ac:dyDescent="0.15">
      <c r="A638" s="10"/>
      <c r="B638" s="13"/>
      <c r="C638" s="13"/>
    </row>
    <row r="639" spans="1:3" ht="13" x14ac:dyDescent="0.15">
      <c r="A639" s="10"/>
      <c r="B639" s="13"/>
      <c r="C639" s="13"/>
    </row>
    <row r="640" spans="1:3" ht="13" x14ac:dyDescent="0.15">
      <c r="A640" s="10"/>
      <c r="B640" s="13"/>
      <c r="C640" s="13"/>
    </row>
    <row r="641" spans="1:3" ht="13" x14ac:dyDescent="0.15">
      <c r="A641" s="10"/>
      <c r="B641" s="13"/>
      <c r="C641" s="13"/>
    </row>
    <row r="642" spans="1:3" ht="13" x14ac:dyDescent="0.15">
      <c r="A642" s="10"/>
      <c r="B642" s="13"/>
      <c r="C642" s="13"/>
    </row>
    <row r="643" spans="1:3" ht="13" x14ac:dyDescent="0.15">
      <c r="A643" s="10"/>
      <c r="B643" s="13"/>
      <c r="C643" s="13"/>
    </row>
    <row r="644" spans="1:3" ht="13" x14ac:dyDescent="0.15">
      <c r="A644" s="10"/>
      <c r="B644" s="13"/>
      <c r="C644" s="13"/>
    </row>
    <row r="645" spans="1:3" ht="13" x14ac:dyDescent="0.15">
      <c r="A645" s="10"/>
      <c r="B645" s="13"/>
      <c r="C645" s="13"/>
    </row>
    <row r="646" spans="1:3" ht="13" x14ac:dyDescent="0.15">
      <c r="A646" s="10"/>
      <c r="B646" s="13"/>
      <c r="C646" s="13"/>
    </row>
    <row r="647" spans="1:3" ht="13" x14ac:dyDescent="0.15">
      <c r="A647" s="10"/>
      <c r="B647" s="13"/>
      <c r="C647" s="13"/>
    </row>
    <row r="648" spans="1:3" ht="13" x14ac:dyDescent="0.15">
      <c r="A648" s="10"/>
      <c r="B648" s="13"/>
      <c r="C648" s="13"/>
    </row>
    <row r="649" spans="1:3" ht="13" x14ac:dyDescent="0.15">
      <c r="A649" s="10"/>
      <c r="B649" s="13"/>
      <c r="C649" s="13"/>
    </row>
    <row r="650" spans="1:3" ht="13" x14ac:dyDescent="0.15">
      <c r="A650" s="10"/>
      <c r="B650" s="13"/>
      <c r="C650" s="13"/>
    </row>
    <row r="651" spans="1:3" ht="13" x14ac:dyDescent="0.15">
      <c r="A651" s="10"/>
      <c r="B651" s="13"/>
      <c r="C651" s="13"/>
    </row>
    <row r="652" spans="1:3" ht="13" x14ac:dyDescent="0.15">
      <c r="A652" s="10"/>
      <c r="B652" s="13"/>
      <c r="C652" s="13"/>
    </row>
    <row r="653" spans="1:3" ht="13" x14ac:dyDescent="0.15">
      <c r="A653" s="10"/>
      <c r="B653" s="13"/>
      <c r="C653" s="13"/>
    </row>
    <row r="654" spans="1:3" ht="13" x14ac:dyDescent="0.15">
      <c r="A654" s="10"/>
      <c r="B654" s="13"/>
      <c r="C654" s="13"/>
    </row>
    <row r="655" spans="1:3" ht="13" x14ac:dyDescent="0.15">
      <c r="A655" s="10"/>
      <c r="B655" s="13"/>
      <c r="C655" s="13"/>
    </row>
    <row r="656" spans="1:3" ht="13" x14ac:dyDescent="0.15">
      <c r="A656" s="10"/>
      <c r="B656" s="13"/>
      <c r="C656" s="13"/>
    </row>
    <row r="657" spans="1:3" ht="13" x14ac:dyDescent="0.15">
      <c r="A657" s="10"/>
      <c r="B657" s="13"/>
      <c r="C657" s="13"/>
    </row>
    <row r="658" spans="1:3" ht="13" x14ac:dyDescent="0.15">
      <c r="A658" s="10"/>
      <c r="B658" s="13"/>
      <c r="C658" s="13"/>
    </row>
    <row r="659" spans="1:3" ht="13" x14ac:dyDescent="0.15">
      <c r="A659" s="10"/>
      <c r="B659" s="13"/>
      <c r="C659" s="13"/>
    </row>
    <row r="660" spans="1:3" ht="13" x14ac:dyDescent="0.15">
      <c r="A660" s="10"/>
      <c r="B660" s="13"/>
      <c r="C660" s="13"/>
    </row>
    <row r="661" spans="1:3" ht="13" x14ac:dyDescent="0.15">
      <c r="A661" s="10"/>
      <c r="B661" s="13"/>
      <c r="C661" s="13"/>
    </row>
    <row r="662" spans="1:3" ht="13" x14ac:dyDescent="0.15">
      <c r="A662" s="10"/>
      <c r="B662" s="13"/>
      <c r="C662" s="13"/>
    </row>
    <row r="663" spans="1:3" ht="13" x14ac:dyDescent="0.15">
      <c r="A663" s="10"/>
      <c r="B663" s="13"/>
      <c r="C663" s="13"/>
    </row>
    <row r="664" spans="1:3" ht="13" x14ac:dyDescent="0.15">
      <c r="A664" s="10"/>
      <c r="B664" s="13"/>
      <c r="C664" s="13"/>
    </row>
    <row r="665" spans="1:3" ht="13" x14ac:dyDescent="0.15">
      <c r="A665" s="10"/>
      <c r="B665" s="13"/>
      <c r="C665" s="13"/>
    </row>
    <row r="666" spans="1:3" ht="13" x14ac:dyDescent="0.15">
      <c r="A666" s="10"/>
      <c r="B666" s="13"/>
      <c r="C666" s="13"/>
    </row>
    <row r="667" spans="1:3" ht="13" x14ac:dyDescent="0.15">
      <c r="A667" s="10"/>
      <c r="B667" s="13"/>
      <c r="C667" s="13"/>
    </row>
    <row r="668" spans="1:3" ht="13" x14ac:dyDescent="0.15">
      <c r="A668" s="10"/>
      <c r="B668" s="13"/>
      <c r="C668" s="13"/>
    </row>
    <row r="669" spans="1:3" ht="13" x14ac:dyDescent="0.15">
      <c r="A669" s="10"/>
      <c r="B669" s="13"/>
      <c r="C669" s="13"/>
    </row>
    <row r="670" spans="1:3" ht="13" x14ac:dyDescent="0.15">
      <c r="A670" s="10"/>
      <c r="B670" s="13"/>
      <c r="C670" s="13"/>
    </row>
    <row r="671" spans="1:3" ht="13" x14ac:dyDescent="0.15">
      <c r="A671" s="10"/>
      <c r="B671" s="13"/>
      <c r="C671" s="13"/>
    </row>
    <row r="672" spans="1:3" ht="13" x14ac:dyDescent="0.15">
      <c r="A672" s="10"/>
      <c r="B672" s="13"/>
      <c r="C672" s="13"/>
    </row>
    <row r="673" spans="1:3" ht="13" x14ac:dyDescent="0.15">
      <c r="A673" s="10"/>
      <c r="B673" s="13"/>
      <c r="C673" s="13"/>
    </row>
    <row r="674" spans="1:3" ht="13" x14ac:dyDescent="0.15">
      <c r="A674" s="10"/>
      <c r="B674" s="13"/>
      <c r="C674" s="13"/>
    </row>
    <row r="675" spans="1:3" ht="13" x14ac:dyDescent="0.15">
      <c r="A675" s="10"/>
      <c r="B675" s="13"/>
      <c r="C675" s="13"/>
    </row>
    <row r="676" spans="1:3" ht="13" x14ac:dyDescent="0.15">
      <c r="A676" s="10"/>
      <c r="B676" s="13"/>
      <c r="C676" s="13"/>
    </row>
    <row r="677" spans="1:3" ht="13" x14ac:dyDescent="0.15">
      <c r="A677" s="10"/>
      <c r="B677" s="13"/>
      <c r="C677" s="13"/>
    </row>
    <row r="678" spans="1:3" ht="13" x14ac:dyDescent="0.15">
      <c r="A678" s="10"/>
      <c r="B678" s="13"/>
      <c r="C678" s="13"/>
    </row>
    <row r="679" spans="1:3" ht="13" x14ac:dyDescent="0.15">
      <c r="A679" s="10"/>
      <c r="B679" s="13"/>
      <c r="C679" s="13"/>
    </row>
    <row r="680" spans="1:3" ht="13" x14ac:dyDescent="0.15">
      <c r="A680" s="10"/>
      <c r="B680" s="13"/>
      <c r="C680" s="13"/>
    </row>
    <row r="681" spans="1:3" ht="13" x14ac:dyDescent="0.15">
      <c r="A681" s="10"/>
      <c r="B681" s="13"/>
      <c r="C681" s="13"/>
    </row>
    <row r="682" spans="1:3" ht="13" x14ac:dyDescent="0.15">
      <c r="A682" s="10"/>
      <c r="B682" s="13"/>
      <c r="C682" s="13"/>
    </row>
    <row r="683" spans="1:3" ht="13" x14ac:dyDescent="0.15">
      <c r="A683" s="10"/>
      <c r="B683" s="13"/>
      <c r="C683" s="13"/>
    </row>
    <row r="684" spans="1:3" ht="13" x14ac:dyDescent="0.15">
      <c r="A684" s="10"/>
      <c r="B684" s="13"/>
      <c r="C684" s="13"/>
    </row>
    <row r="685" spans="1:3" ht="13" x14ac:dyDescent="0.15">
      <c r="A685" s="10"/>
      <c r="B685" s="13"/>
      <c r="C685" s="13"/>
    </row>
    <row r="686" spans="1:3" ht="13" x14ac:dyDescent="0.15">
      <c r="A686" s="10"/>
      <c r="B686" s="13"/>
      <c r="C686" s="13"/>
    </row>
    <row r="687" spans="1:3" ht="13" x14ac:dyDescent="0.15">
      <c r="A687" s="10"/>
      <c r="B687" s="13"/>
      <c r="C687" s="13"/>
    </row>
    <row r="688" spans="1:3" ht="13" x14ac:dyDescent="0.15">
      <c r="A688" s="10"/>
      <c r="B688" s="13"/>
      <c r="C688" s="13"/>
    </row>
    <row r="689" spans="1:3" ht="13" x14ac:dyDescent="0.15">
      <c r="A689" s="10"/>
      <c r="B689" s="13"/>
      <c r="C689" s="13"/>
    </row>
    <row r="690" spans="1:3" ht="13" x14ac:dyDescent="0.15">
      <c r="A690" s="10"/>
      <c r="B690" s="13"/>
      <c r="C690" s="13"/>
    </row>
    <row r="691" spans="1:3" ht="13" x14ac:dyDescent="0.15">
      <c r="A691" s="10"/>
      <c r="B691" s="13"/>
      <c r="C691" s="13"/>
    </row>
    <row r="692" spans="1:3" ht="13" x14ac:dyDescent="0.15">
      <c r="A692" s="10"/>
      <c r="B692" s="13"/>
      <c r="C692" s="13"/>
    </row>
    <row r="693" spans="1:3" ht="13" x14ac:dyDescent="0.15">
      <c r="A693" s="10"/>
      <c r="B693" s="13"/>
      <c r="C693" s="13"/>
    </row>
    <row r="694" spans="1:3" ht="13" x14ac:dyDescent="0.15">
      <c r="A694" s="10"/>
      <c r="B694" s="13"/>
      <c r="C694" s="13"/>
    </row>
    <row r="695" spans="1:3" ht="13" x14ac:dyDescent="0.15">
      <c r="A695" s="10"/>
      <c r="B695" s="13"/>
      <c r="C695" s="13"/>
    </row>
    <row r="696" spans="1:3" ht="13" x14ac:dyDescent="0.15">
      <c r="A696" s="10"/>
      <c r="B696" s="13"/>
      <c r="C696" s="13"/>
    </row>
    <row r="697" spans="1:3" ht="13" x14ac:dyDescent="0.15">
      <c r="A697" s="10"/>
      <c r="B697" s="13"/>
      <c r="C697" s="13"/>
    </row>
    <row r="698" spans="1:3" ht="13" x14ac:dyDescent="0.15">
      <c r="A698" s="10"/>
      <c r="B698" s="13"/>
      <c r="C698" s="13"/>
    </row>
    <row r="699" spans="1:3" ht="13" x14ac:dyDescent="0.15">
      <c r="A699" s="10"/>
      <c r="B699" s="13"/>
      <c r="C699" s="13"/>
    </row>
    <row r="700" spans="1:3" ht="13" x14ac:dyDescent="0.15">
      <c r="A700" s="10"/>
      <c r="B700" s="13"/>
      <c r="C700" s="13"/>
    </row>
    <row r="701" spans="1:3" ht="13" x14ac:dyDescent="0.15">
      <c r="A701" s="10"/>
      <c r="B701" s="13"/>
      <c r="C701" s="13"/>
    </row>
    <row r="702" spans="1:3" ht="13" x14ac:dyDescent="0.15">
      <c r="A702" s="10"/>
      <c r="B702" s="13"/>
      <c r="C702" s="13"/>
    </row>
    <row r="703" spans="1:3" ht="13" x14ac:dyDescent="0.15">
      <c r="A703" s="10"/>
      <c r="B703" s="13"/>
      <c r="C703" s="13"/>
    </row>
    <row r="704" spans="1:3" ht="13" x14ac:dyDescent="0.15">
      <c r="A704" s="10"/>
      <c r="B704" s="13"/>
      <c r="C704" s="13"/>
    </row>
    <row r="705" spans="1:3" ht="13" x14ac:dyDescent="0.15">
      <c r="A705" s="10"/>
      <c r="B705" s="13"/>
      <c r="C705" s="13"/>
    </row>
    <row r="706" spans="1:3" ht="13" x14ac:dyDescent="0.15">
      <c r="A706" s="10"/>
      <c r="B706" s="13"/>
      <c r="C706" s="13"/>
    </row>
    <row r="707" spans="1:3" ht="13" x14ac:dyDescent="0.15">
      <c r="A707" s="10"/>
      <c r="B707" s="13"/>
      <c r="C707" s="13"/>
    </row>
    <row r="708" spans="1:3" ht="13" x14ac:dyDescent="0.15">
      <c r="A708" s="10"/>
      <c r="B708" s="13"/>
      <c r="C708" s="13"/>
    </row>
    <row r="709" spans="1:3" ht="13" x14ac:dyDescent="0.15">
      <c r="A709" s="10"/>
      <c r="B709" s="13"/>
      <c r="C709" s="13"/>
    </row>
    <row r="710" spans="1:3" ht="13" x14ac:dyDescent="0.15">
      <c r="A710" s="10"/>
      <c r="B710" s="13"/>
      <c r="C710" s="13"/>
    </row>
    <row r="711" spans="1:3" ht="13" x14ac:dyDescent="0.15">
      <c r="A711" s="10"/>
      <c r="B711" s="13"/>
      <c r="C711" s="13"/>
    </row>
    <row r="712" spans="1:3" ht="13" x14ac:dyDescent="0.15">
      <c r="A712" s="10"/>
      <c r="B712" s="13"/>
      <c r="C712" s="13"/>
    </row>
    <row r="713" spans="1:3" ht="13" x14ac:dyDescent="0.15">
      <c r="A713" s="10"/>
      <c r="B713" s="13"/>
      <c r="C713" s="13"/>
    </row>
    <row r="714" spans="1:3" ht="13" x14ac:dyDescent="0.15">
      <c r="A714" s="10"/>
      <c r="B714" s="13"/>
      <c r="C714" s="13"/>
    </row>
    <row r="715" spans="1:3" ht="13" x14ac:dyDescent="0.15">
      <c r="A715" s="10"/>
      <c r="B715" s="13"/>
      <c r="C715" s="13"/>
    </row>
    <row r="716" spans="1:3" ht="13" x14ac:dyDescent="0.15">
      <c r="A716" s="10"/>
      <c r="B716" s="13"/>
      <c r="C716" s="13"/>
    </row>
    <row r="717" spans="1:3" ht="13" x14ac:dyDescent="0.15">
      <c r="A717" s="10"/>
      <c r="B717" s="13"/>
      <c r="C717" s="13"/>
    </row>
    <row r="718" spans="1:3" ht="13" x14ac:dyDescent="0.15">
      <c r="A718" s="10"/>
      <c r="B718" s="13"/>
      <c r="C718" s="13"/>
    </row>
    <row r="719" spans="1:3" ht="13" x14ac:dyDescent="0.15">
      <c r="A719" s="10"/>
      <c r="B719" s="13"/>
      <c r="C719" s="13"/>
    </row>
    <row r="720" spans="1:3" ht="13" x14ac:dyDescent="0.15">
      <c r="A720" s="10"/>
      <c r="B720" s="13"/>
      <c r="C720" s="13"/>
    </row>
    <row r="721" spans="1:3" ht="13" x14ac:dyDescent="0.15">
      <c r="A721" s="10"/>
      <c r="B721" s="13"/>
      <c r="C721" s="13"/>
    </row>
    <row r="722" spans="1:3" ht="13" x14ac:dyDescent="0.15">
      <c r="A722" s="10"/>
      <c r="B722" s="13"/>
      <c r="C722" s="13"/>
    </row>
    <row r="723" spans="1:3" ht="13" x14ac:dyDescent="0.15">
      <c r="A723" s="10"/>
      <c r="B723" s="13"/>
      <c r="C723" s="13"/>
    </row>
    <row r="724" spans="1:3" ht="13" x14ac:dyDescent="0.15">
      <c r="A724" s="10"/>
      <c r="B724" s="13"/>
      <c r="C724" s="13"/>
    </row>
    <row r="725" spans="1:3" ht="13" x14ac:dyDescent="0.15">
      <c r="A725" s="10"/>
      <c r="B725" s="13"/>
      <c r="C725" s="13"/>
    </row>
    <row r="726" spans="1:3" ht="13" x14ac:dyDescent="0.15">
      <c r="A726" s="10"/>
      <c r="B726" s="13"/>
      <c r="C726" s="13"/>
    </row>
    <row r="727" spans="1:3" ht="13" x14ac:dyDescent="0.15">
      <c r="A727" s="10"/>
      <c r="B727" s="13"/>
      <c r="C727" s="13"/>
    </row>
    <row r="728" spans="1:3" ht="13" x14ac:dyDescent="0.15">
      <c r="A728" s="10"/>
      <c r="B728" s="13"/>
      <c r="C728" s="13"/>
    </row>
    <row r="729" spans="1:3" ht="13" x14ac:dyDescent="0.15">
      <c r="A729" s="10"/>
      <c r="B729" s="13"/>
      <c r="C729" s="13"/>
    </row>
    <row r="730" spans="1:3" ht="13" x14ac:dyDescent="0.15">
      <c r="A730" s="10"/>
      <c r="B730" s="13"/>
      <c r="C730" s="13"/>
    </row>
    <row r="731" spans="1:3" ht="13" x14ac:dyDescent="0.15">
      <c r="A731" s="10"/>
      <c r="B731" s="13"/>
      <c r="C731" s="13"/>
    </row>
    <row r="732" spans="1:3" ht="13" x14ac:dyDescent="0.15">
      <c r="A732" s="10"/>
      <c r="B732" s="13"/>
      <c r="C732" s="13"/>
    </row>
    <row r="733" spans="1:3" ht="13" x14ac:dyDescent="0.15">
      <c r="A733" s="10"/>
      <c r="B733" s="13"/>
      <c r="C733" s="13"/>
    </row>
    <row r="734" spans="1:3" ht="13" x14ac:dyDescent="0.15">
      <c r="A734" s="10"/>
      <c r="B734" s="13"/>
      <c r="C734" s="13"/>
    </row>
    <row r="735" spans="1:3" ht="13" x14ac:dyDescent="0.15">
      <c r="A735" s="10"/>
      <c r="B735" s="13"/>
      <c r="C735" s="13"/>
    </row>
    <row r="736" spans="1:3" ht="13" x14ac:dyDescent="0.15">
      <c r="A736" s="10"/>
      <c r="B736" s="13"/>
      <c r="C736" s="13"/>
    </row>
    <row r="737" spans="1:3" ht="13" x14ac:dyDescent="0.15">
      <c r="A737" s="10"/>
      <c r="B737" s="13"/>
      <c r="C737" s="13"/>
    </row>
    <row r="738" spans="1:3" ht="13" x14ac:dyDescent="0.15">
      <c r="A738" s="10"/>
      <c r="B738" s="13"/>
      <c r="C738" s="13"/>
    </row>
    <row r="739" spans="1:3" ht="13" x14ac:dyDescent="0.15">
      <c r="A739" s="10"/>
      <c r="B739" s="13"/>
      <c r="C739" s="13"/>
    </row>
    <row r="740" spans="1:3" ht="13" x14ac:dyDescent="0.15">
      <c r="A740" s="10"/>
      <c r="B740" s="13"/>
      <c r="C740" s="13"/>
    </row>
    <row r="741" spans="1:3" ht="13" x14ac:dyDescent="0.15">
      <c r="A741" s="10"/>
      <c r="B741" s="13"/>
      <c r="C741" s="13"/>
    </row>
    <row r="742" spans="1:3" ht="13" x14ac:dyDescent="0.15">
      <c r="A742" s="10"/>
      <c r="B742" s="13"/>
      <c r="C742" s="13"/>
    </row>
    <row r="743" spans="1:3" ht="13" x14ac:dyDescent="0.15">
      <c r="A743" s="10"/>
      <c r="B743" s="13"/>
      <c r="C743" s="13"/>
    </row>
    <row r="744" spans="1:3" ht="13" x14ac:dyDescent="0.15">
      <c r="A744" s="10"/>
      <c r="B744" s="13"/>
      <c r="C744" s="13"/>
    </row>
    <row r="745" spans="1:3" ht="13" x14ac:dyDescent="0.15">
      <c r="A745" s="10"/>
      <c r="B745" s="13"/>
      <c r="C745" s="13"/>
    </row>
    <row r="746" spans="1:3" ht="13" x14ac:dyDescent="0.15">
      <c r="A746" s="10"/>
      <c r="B746" s="13"/>
      <c r="C746" s="13"/>
    </row>
    <row r="747" spans="1:3" ht="13" x14ac:dyDescent="0.15">
      <c r="A747" s="10"/>
      <c r="B747" s="13"/>
      <c r="C747" s="13"/>
    </row>
    <row r="748" spans="1:3" ht="13" x14ac:dyDescent="0.15">
      <c r="A748" s="10"/>
      <c r="B748" s="13"/>
      <c r="C748" s="13"/>
    </row>
    <row r="749" spans="1:3" ht="13" x14ac:dyDescent="0.15">
      <c r="A749" s="10"/>
      <c r="B749" s="13"/>
      <c r="C749" s="13"/>
    </row>
    <row r="750" spans="1:3" ht="13" x14ac:dyDescent="0.15">
      <c r="A750" s="10"/>
      <c r="B750" s="13"/>
      <c r="C750" s="13"/>
    </row>
    <row r="751" spans="1:3" ht="13" x14ac:dyDescent="0.15">
      <c r="A751" s="10"/>
      <c r="B751" s="13"/>
      <c r="C751" s="13"/>
    </row>
    <row r="752" spans="1:3" ht="13" x14ac:dyDescent="0.15">
      <c r="A752" s="10"/>
      <c r="B752" s="13"/>
      <c r="C752" s="13"/>
    </row>
    <row r="753" spans="1:3" ht="13" x14ac:dyDescent="0.15">
      <c r="A753" s="10"/>
      <c r="B753" s="13"/>
      <c r="C753" s="13"/>
    </row>
    <row r="754" spans="1:3" ht="13" x14ac:dyDescent="0.15">
      <c r="A754" s="10"/>
      <c r="B754" s="13"/>
      <c r="C754" s="13"/>
    </row>
    <row r="755" spans="1:3" ht="13" x14ac:dyDescent="0.15">
      <c r="A755" s="10"/>
      <c r="B755" s="13"/>
      <c r="C755" s="13"/>
    </row>
    <row r="756" spans="1:3" ht="13" x14ac:dyDescent="0.15">
      <c r="A756" s="10"/>
      <c r="B756" s="13"/>
      <c r="C756" s="13"/>
    </row>
    <row r="757" spans="1:3" ht="13" x14ac:dyDescent="0.15">
      <c r="A757" s="10"/>
      <c r="B757" s="13"/>
      <c r="C757" s="13"/>
    </row>
    <row r="758" spans="1:3" ht="13" x14ac:dyDescent="0.15">
      <c r="A758" s="10"/>
      <c r="B758" s="13"/>
      <c r="C758" s="13"/>
    </row>
    <row r="759" spans="1:3" ht="13" x14ac:dyDescent="0.15">
      <c r="A759" s="10"/>
      <c r="B759" s="13"/>
      <c r="C759" s="13"/>
    </row>
    <row r="760" spans="1:3" ht="13" x14ac:dyDescent="0.15">
      <c r="A760" s="10"/>
      <c r="B760" s="13"/>
      <c r="C760" s="13"/>
    </row>
    <row r="761" spans="1:3" ht="13" x14ac:dyDescent="0.15">
      <c r="A761" s="10"/>
      <c r="B761" s="13"/>
      <c r="C761" s="13"/>
    </row>
    <row r="762" spans="1:3" ht="13" x14ac:dyDescent="0.15">
      <c r="A762" s="10"/>
      <c r="B762" s="13"/>
      <c r="C762" s="13"/>
    </row>
    <row r="763" spans="1:3" ht="13" x14ac:dyDescent="0.15">
      <c r="A763" s="10"/>
      <c r="B763" s="13"/>
      <c r="C763" s="13"/>
    </row>
    <row r="764" spans="1:3" ht="13" x14ac:dyDescent="0.15">
      <c r="A764" s="10"/>
      <c r="B764" s="13"/>
      <c r="C764" s="13"/>
    </row>
    <row r="765" spans="1:3" ht="13" x14ac:dyDescent="0.15">
      <c r="A765" s="10"/>
      <c r="B765" s="13"/>
      <c r="C765" s="13"/>
    </row>
    <row r="766" spans="1:3" ht="13" x14ac:dyDescent="0.15">
      <c r="A766" s="10"/>
      <c r="B766" s="13"/>
      <c r="C766" s="13"/>
    </row>
    <row r="767" spans="1:3" ht="13" x14ac:dyDescent="0.15">
      <c r="A767" s="10"/>
      <c r="B767" s="13"/>
      <c r="C767" s="13"/>
    </row>
    <row r="768" spans="1:3" ht="13" x14ac:dyDescent="0.15">
      <c r="A768" s="10"/>
      <c r="B768" s="13"/>
      <c r="C768" s="13"/>
    </row>
    <row r="769" spans="1:3" ht="13" x14ac:dyDescent="0.15">
      <c r="A769" s="10"/>
      <c r="B769" s="13"/>
      <c r="C769" s="13"/>
    </row>
    <row r="770" spans="1:3" ht="13" x14ac:dyDescent="0.15">
      <c r="A770" s="10"/>
      <c r="B770" s="13"/>
      <c r="C770" s="13"/>
    </row>
    <row r="771" spans="1:3" ht="13" x14ac:dyDescent="0.15">
      <c r="A771" s="10"/>
      <c r="B771" s="13"/>
      <c r="C771" s="13"/>
    </row>
    <row r="772" spans="1:3" ht="13" x14ac:dyDescent="0.15">
      <c r="A772" s="10"/>
      <c r="B772" s="13"/>
      <c r="C772" s="13"/>
    </row>
    <row r="773" spans="1:3" ht="13" x14ac:dyDescent="0.15">
      <c r="A773" s="10"/>
      <c r="B773" s="13"/>
      <c r="C773" s="13"/>
    </row>
    <row r="774" spans="1:3" ht="13" x14ac:dyDescent="0.15">
      <c r="A774" s="10"/>
      <c r="B774" s="13"/>
      <c r="C774" s="13"/>
    </row>
    <row r="775" spans="1:3" ht="13" x14ac:dyDescent="0.15">
      <c r="A775" s="10"/>
      <c r="B775" s="13"/>
      <c r="C775" s="13"/>
    </row>
    <row r="776" spans="1:3" ht="13" x14ac:dyDescent="0.15">
      <c r="A776" s="10"/>
      <c r="B776" s="13"/>
      <c r="C776" s="13"/>
    </row>
    <row r="777" spans="1:3" ht="13" x14ac:dyDescent="0.15">
      <c r="A777" s="10"/>
      <c r="B777" s="13"/>
      <c r="C777" s="13"/>
    </row>
    <row r="778" spans="1:3" ht="13" x14ac:dyDescent="0.15">
      <c r="A778" s="10"/>
      <c r="B778" s="13"/>
      <c r="C778" s="13"/>
    </row>
    <row r="779" spans="1:3" ht="13" x14ac:dyDescent="0.15">
      <c r="A779" s="10"/>
      <c r="B779" s="13"/>
      <c r="C779" s="13"/>
    </row>
    <row r="780" spans="1:3" ht="13" x14ac:dyDescent="0.15">
      <c r="A780" s="10"/>
      <c r="B780" s="13"/>
      <c r="C780" s="13"/>
    </row>
    <row r="781" spans="1:3" ht="13" x14ac:dyDescent="0.15">
      <c r="A781" s="10"/>
      <c r="B781" s="13"/>
      <c r="C781" s="13"/>
    </row>
    <row r="782" spans="1:3" ht="13" x14ac:dyDescent="0.15">
      <c r="A782" s="10"/>
      <c r="B782" s="13"/>
      <c r="C782" s="13"/>
    </row>
    <row r="783" spans="1:3" ht="13" x14ac:dyDescent="0.15">
      <c r="A783" s="10"/>
      <c r="B783" s="13"/>
      <c r="C783" s="13"/>
    </row>
    <row r="784" spans="1:3" ht="13" x14ac:dyDescent="0.15">
      <c r="A784" s="10"/>
      <c r="B784" s="13"/>
      <c r="C784" s="13"/>
    </row>
    <row r="785" spans="1:3" ht="13" x14ac:dyDescent="0.15">
      <c r="A785" s="10"/>
      <c r="B785" s="13"/>
      <c r="C785" s="13"/>
    </row>
    <row r="786" spans="1:3" ht="13" x14ac:dyDescent="0.15">
      <c r="A786" s="10"/>
      <c r="B786" s="13"/>
      <c r="C786" s="13"/>
    </row>
    <row r="787" spans="1:3" ht="13" x14ac:dyDescent="0.15">
      <c r="A787" s="10"/>
      <c r="B787" s="13"/>
      <c r="C787" s="13"/>
    </row>
    <row r="788" spans="1:3" ht="13" x14ac:dyDescent="0.15">
      <c r="A788" s="10"/>
      <c r="B788" s="13"/>
      <c r="C788" s="13"/>
    </row>
    <row r="789" spans="1:3" ht="13" x14ac:dyDescent="0.15">
      <c r="A789" s="10"/>
      <c r="B789" s="13"/>
      <c r="C789" s="13"/>
    </row>
    <row r="790" spans="1:3" ht="13" x14ac:dyDescent="0.15">
      <c r="A790" s="10"/>
      <c r="B790" s="13"/>
      <c r="C790" s="13"/>
    </row>
    <row r="791" spans="1:3" ht="13" x14ac:dyDescent="0.15">
      <c r="A791" s="10"/>
      <c r="B791" s="13"/>
      <c r="C791" s="13"/>
    </row>
    <row r="792" spans="1:3" ht="13" x14ac:dyDescent="0.15">
      <c r="A792" s="10"/>
      <c r="B792" s="13"/>
      <c r="C792" s="13"/>
    </row>
    <row r="793" spans="1:3" ht="13" x14ac:dyDescent="0.15">
      <c r="A793" s="10"/>
      <c r="B793" s="13"/>
      <c r="C793" s="13"/>
    </row>
    <row r="794" spans="1:3" ht="13" x14ac:dyDescent="0.15">
      <c r="A794" s="10"/>
      <c r="B794" s="13"/>
      <c r="C794" s="13"/>
    </row>
    <row r="795" spans="1:3" ht="13" x14ac:dyDescent="0.15">
      <c r="A795" s="10"/>
      <c r="B795" s="13"/>
      <c r="C795" s="13"/>
    </row>
    <row r="796" spans="1:3" ht="13" x14ac:dyDescent="0.15">
      <c r="A796" s="10"/>
      <c r="B796" s="13"/>
      <c r="C796" s="13"/>
    </row>
    <row r="797" spans="1:3" ht="13" x14ac:dyDescent="0.15">
      <c r="A797" s="10"/>
      <c r="B797" s="13"/>
      <c r="C797" s="13"/>
    </row>
    <row r="798" spans="1:3" ht="13" x14ac:dyDescent="0.15">
      <c r="A798" s="10"/>
      <c r="B798" s="13"/>
      <c r="C798" s="13"/>
    </row>
    <row r="799" spans="1:3" ht="13" x14ac:dyDescent="0.15">
      <c r="A799" s="10"/>
      <c r="B799" s="13"/>
      <c r="C799" s="13"/>
    </row>
    <row r="800" spans="1:3" ht="13" x14ac:dyDescent="0.15">
      <c r="A800" s="10"/>
      <c r="B800" s="13"/>
      <c r="C800" s="13"/>
    </row>
    <row r="801" spans="1:3" ht="13" x14ac:dyDescent="0.15">
      <c r="A801" s="10"/>
      <c r="B801" s="13"/>
      <c r="C801" s="13"/>
    </row>
    <row r="802" spans="1:3" ht="13" x14ac:dyDescent="0.15">
      <c r="A802" s="10"/>
      <c r="B802" s="13"/>
      <c r="C802" s="13"/>
    </row>
    <row r="803" spans="1:3" ht="13" x14ac:dyDescent="0.15">
      <c r="A803" s="10"/>
      <c r="B803" s="13"/>
      <c r="C803" s="13"/>
    </row>
    <row r="804" spans="1:3" ht="13" x14ac:dyDescent="0.15">
      <c r="A804" s="10"/>
      <c r="B804" s="13"/>
      <c r="C804" s="13"/>
    </row>
    <row r="805" spans="1:3" ht="13" x14ac:dyDescent="0.15">
      <c r="A805" s="10"/>
      <c r="B805" s="13"/>
      <c r="C805" s="13"/>
    </row>
    <row r="806" spans="1:3" ht="13" x14ac:dyDescent="0.15">
      <c r="A806" s="10"/>
      <c r="B806" s="13"/>
      <c r="C806" s="13"/>
    </row>
    <row r="807" spans="1:3" ht="13" x14ac:dyDescent="0.15">
      <c r="A807" s="10"/>
      <c r="B807" s="13"/>
      <c r="C807" s="13"/>
    </row>
    <row r="808" spans="1:3" ht="13" x14ac:dyDescent="0.15">
      <c r="A808" s="10"/>
      <c r="B808" s="13"/>
      <c r="C808" s="13"/>
    </row>
    <row r="809" spans="1:3" ht="13" x14ac:dyDescent="0.15">
      <c r="A809" s="10"/>
      <c r="B809" s="13"/>
      <c r="C809" s="13"/>
    </row>
    <row r="810" spans="1:3" ht="13" x14ac:dyDescent="0.15">
      <c r="A810" s="10"/>
      <c r="B810" s="13"/>
      <c r="C810" s="13"/>
    </row>
    <row r="811" spans="1:3" ht="13" x14ac:dyDescent="0.15">
      <c r="A811" s="10"/>
      <c r="B811" s="13"/>
      <c r="C811" s="13"/>
    </row>
    <row r="812" spans="1:3" ht="13" x14ac:dyDescent="0.15">
      <c r="A812" s="10"/>
      <c r="B812" s="13"/>
      <c r="C812" s="13"/>
    </row>
    <row r="813" spans="1:3" ht="13" x14ac:dyDescent="0.15">
      <c r="A813" s="10"/>
      <c r="B813" s="13"/>
      <c r="C813" s="13"/>
    </row>
    <row r="814" spans="1:3" ht="13" x14ac:dyDescent="0.15">
      <c r="A814" s="10"/>
      <c r="B814" s="13"/>
      <c r="C814" s="13"/>
    </row>
    <row r="815" spans="1:3" ht="13" x14ac:dyDescent="0.15">
      <c r="A815" s="10"/>
      <c r="B815" s="13"/>
      <c r="C815" s="13"/>
    </row>
    <row r="816" spans="1:3" ht="13" x14ac:dyDescent="0.15">
      <c r="A816" s="10"/>
      <c r="B816" s="13"/>
      <c r="C816" s="13"/>
    </row>
    <row r="817" spans="1:3" ht="13" x14ac:dyDescent="0.15">
      <c r="A817" s="10"/>
      <c r="B817" s="13"/>
      <c r="C817" s="13"/>
    </row>
    <row r="818" spans="1:3" ht="13" x14ac:dyDescent="0.15">
      <c r="A818" s="10"/>
      <c r="B818" s="13"/>
      <c r="C818" s="13"/>
    </row>
    <row r="819" spans="1:3" ht="13" x14ac:dyDescent="0.15">
      <c r="A819" s="10"/>
      <c r="B819" s="13"/>
      <c r="C819" s="13"/>
    </row>
    <row r="820" spans="1:3" ht="13" x14ac:dyDescent="0.15">
      <c r="A820" s="10"/>
      <c r="B820" s="13"/>
      <c r="C820" s="13"/>
    </row>
    <row r="821" spans="1:3" ht="13" x14ac:dyDescent="0.15">
      <c r="A821" s="10"/>
      <c r="B821" s="13"/>
      <c r="C821" s="13"/>
    </row>
    <row r="822" spans="1:3" ht="13" x14ac:dyDescent="0.15">
      <c r="A822" s="10"/>
      <c r="B822" s="13"/>
      <c r="C822" s="13"/>
    </row>
    <row r="823" spans="1:3" ht="13" x14ac:dyDescent="0.15">
      <c r="A823" s="10"/>
      <c r="B823" s="13"/>
      <c r="C823" s="13"/>
    </row>
    <row r="824" spans="1:3" ht="13" x14ac:dyDescent="0.15">
      <c r="A824" s="10"/>
      <c r="B824" s="13"/>
      <c r="C824" s="13"/>
    </row>
    <row r="825" spans="1:3" ht="13" x14ac:dyDescent="0.15">
      <c r="A825" s="10"/>
      <c r="B825" s="13"/>
      <c r="C825" s="13"/>
    </row>
    <row r="826" spans="1:3" ht="13" x14ac:dyDescent="0.15">
      <c r="A826" s="10"/>
      <c r="B826" s="13"/>
      <c r="C826" s="13"/>
    </row>
    <row r="827" spans="1:3" ht="13" x14ac:dyDescent="0.15">
      <c r="A827" s="10"/>
      <c r="B827" s="13"/>
      <c r="C827" s="13"/>
    </row>
    <row r="828" spans="1:3" ht="13" x14ac:dyDescent="0.15">
      <c r="A828" s="10"/>
      <c r="B828" s="13"/>
      <c r="C828" s="13"/>
    </row>
    <row r="829" spans="1:3" ht="13" x14ac:dyDescent="0.15">
      <c r="A829" s="10"/>
      <c r="B829" s="13"/>
      <c r="C829" s="13"/>
    </row>
    <row r="830" spans="1:3" ht="13" x14ac:dyDescent="0.15">
      <c r="A830" s="10"/>
      <c r="B830" s="13"/>
      <c r="C830" s="13"/>
    </row>
    <row r="831" spans="1:3" ht="13" x14ac:dyDescent="0.15">
      <c r="A831" s="10"/>
      <c r="B831" s="13"/>
      <c r="C831" s="13"/>
    </row>
    <row r="832" spans="1:3" ht="13" x14ac:dyDescent="0.15">
      <c r="A832" s="10"/>
      <c r="B832" s="13"/>
      <c r="C832" s="13"/>
    </row>
    <row r="833" spans="1:3" ht="13" x14ac:dyDescent="0.15">
      <c r="A833" s="10"/>
      <c r="B833" s="13"/>
      <c r="C833" s="13"/>
    </row>
    <row r="834" spans="1:3" ht="13" x14ac:dyDescent="0.15">
      <c r="A834" s="10"/>
      <c r="B834" s="13"/>
      <c r="C834" s="13"/>
    </row>
    <row r="835" spans="1:3" ht="13" x14ac:dyDescent="0.15">
      <c r="A835" s="10"/>
      <c r="B835" s="13"/>
      <c r="C835" s="13"/>
    </row>
    <row r="836" spans="1:3" ht="13" x14ac:dyDescent="0.15">
      <c r="A836" s="10"/>
      <c r="B836" s="13"/>
      <c r="C836" s="13"/>
    </row>
    <row r="837" spans="1:3" ht="13" x14ac:dyDescent="0.15">
      <c r="A837" s="10"/>
      <c r="B837" s="13"/>
      <c r="C837" s="13"/>
    </row>
    <row r="838" spans="1:3" ht="13" x14ac:dyDescent="0.15">
      <c r="A838" s="10"/>
      <c r="B838" s="13"/>
      <c r="C838" s="13"/>
    </row>
    <row r="839" spans="1:3" ht="13" x14ac:dyDescent="0.15">
      <c r="A839" s="10"/>
      <c r="B839" s="13"/>
      <c r="C839" s="13"/>
    </row>
    <row r="840" spans="1:3" ht="13" x14ac:dyDescent="0.15">
      <c r="A840" s="10"/>
      <c r="B840" s="13"/>
      <c r="C840" s="13"/>
    </row>
    <row r="841" spans="1:3" ht="13" x14ac:dyDescent="0.15">
      <c r="A841" s="10"/>
      <c r="B841" s="13"/>
      <c r="C841" s="13"/>
    </row>
    <row r="842" spans="1:3" ht="13" x14ac:dyDescent="0.15">
      <c r="A842" s="10"/>
      <c r="B842" s="13"/>
      <c r="C842" s="13"/>
    </row>
    <row r="843" spans="1:3" ht="13" x14ac:dyDescent="0.15">
      <c r="A843" s="10"/>
      <c r="B843" s="13"/>
      <c r="C843" s="13"/>
    </row>
    <row r="844" spans="1:3" ht="13" x14ac:dyDescent="0.15">
      <c r="A844" s="10"/>
      <c r="B844" s="13"/>
      <c r="C844" s="13"/>
    </row>
    <row r="845" spans="1:3" ht="13" x14ac:dyDescent="0.15">
      <c r="A845" s="10"/>
      <c r="B845" s="13"/>
      <c r="C845" s="13"/>
    </row>
    <row r="846" spans="1:3" ht="13" x14ac:dyDescent="0.15">
      <c r="A846" s="10"/>
      <c r="B846" s="13"/>
      <c r="C846" s="13"/>
    </row>
    <row r="847" spans="1:3" ht="13" x14ac:dyDescent="0.15">
      <c r="A847" s="10"/>
      <c r="B847" s="13"/>
      <c r="C847" s="13"/>
    </row>
    <row r="848" spans="1:3" ht="13" x14ac:dyDescent="0.15">
      <c r="A848" s="10"/>
      <c r="B848" s="13"/>
      <c r="C848" s="13"/>
    </row>
    <row r="849" spans="1:3" ht="13" x14ac:dyDescent="0.15">
      <c r="A849" s="10"/>
      <c r="B849" s="13"/>
      <c r="C849" s="13"/>
    </row>
    <row r="850" spans="1:3" ht="13" x14ac:dyDescent="0.15">
      <c r="A850" s="10"/>
      <c r="B850" s="13"/>
      <c r="C850" s="13"/>
    </row>
    <row r="851" spans="1:3" ht="13" x14ac:dyDescent="0.15">
      <c r="A851" s="10"/>
      <c r="B851" s="13"/>
      <c r="C851" s="13"/>
    </row>
    <row r="852" spans="1:3" ht="13" x14ac:dyDescent="0.15">
      <c r="A852" s="10"/>
      <c r="B852" s="13"/>
      <c r="C852" s="13"/>
    </row>
    <row r="853" spans="1:3" ht="13" x14ac:dyDescent="0.15">
      <c r="A853" s="10"/>
      <c r="B853" s="13"/>
      <c r="C853" s="13"/>
    </row>
    <row r="854" spans="1:3" ht="13" x14ac:dyDescent="0.15">
      <c r="A854" s="10"/>
      <c r="B854" s="13"/>
      <c r="C854" s="13"/>
    </row>
    <row r="855" spans="1:3" ht="13" x14ac:dyDescent="0.15">
      <c r="A855" s="10"/>
      <c r="B855" s="13"/>
      <c r="C855" s="13"/>
    </row>
    <row r="856" spans="1:3" ht="13" x14ac:dyDescent="0.15">
      <c r="A856" s="10"/>
      <c r="B856" s="13"/>
      <c r="C856" s="13"/>
    </row>
    <row r="857" spans="1:3" ht="13" x14ac:dyDescent="0.15">
      <c r="A857" s="10"/>
      <c r="B857" s="13"/>
      <c r="C857" s="13"/>
    </row>
    <row r="858" spans="1:3" ht="13" x14ac:dyDescent="0.15">
      <c r="A858" s="10"/>
      <c r="B858" s="13"/>
      <c r="C858" s="13"/>
    </row>
    <row r="859" spans="1:3" ht="13" x14ac:dyDescent="0.15">
      <c r="A859" s="10"/>
      <c r="B859" s="13"/>
      <c r="C859" s="13"/>
    </row>
    <row r="860" spans="1:3" ht="13" x14ac:dyDescent="0.15">
      <c r="A860" s="10"/>
      <c r="B860" s="13"/>
      <c r="C860" s="13"/>
    </row>
    <row r="861" spans="1:3" ht="13" x14ac:dyDescent="0.15">
      <c r="A861" s="10"/>
      <c r="B861" s="13"/>
      <c r="C861" s="13"/>
    </row>
    <row r="862" spans="1:3" ht="13" x14ac:dyDescent="0.15">
      <c r="A862" s="10"/>
      <c r="B862" s="13"/>
      <c r="C862" s="13"/>
    </row>
    <row r="863" spans="1:3" ht="13" x14ac:dyDescent="0.15">
      <c r="A863" s="10"/>
      <c r="B863" s="13"/>
      <c r="C863" s="13"/>
    </row>
    <row r="864" spans="1:3" ht="13" x14ac:dyDescent="0.15">
      <c r="A864" s="10"/>
      <c r="B864" s="13"/>
      <c r="C864" s="13"/>
    </row>
    <row r="865" spans="1:3" ht="13" x14ac:dyDescent="0.15">
      <c r="A865" s="10"/>
      <c r="B865" s="13"/>
      <c r="C865" s="13"/>
    </row>
    <row r="866" spans="1:3" ht="13" x14ac:dyDescent="0.15">
      <c r="A866" s="10"/>
      <c r="B866" s="13"/>
      <c r="C866" s="13"/>
    </row>
    <row r="867" spans="1:3" ht="13" x14ac:dyDescent="0.15">
      <c r="A867" s="10"/>
      <c r="B867" s="13"/>
      <c r="C867" s="13"/>
    </row>
    <row r="868" spans="1:3" ht="13" x14ac:dyDescent="0.15">
      <c r="A868" s="10"/>
      <c r="B868" s="13"/>
      <c r="C868" s="13"/>
    </row>
    <row r="869" spans="1:3" ht="13" x14ac:dyDescent="0.15">
      <c r="A869" s="10"/>
      <c r="B869" s="13"/>
      <c r="C869" s="13"/>
    </row>
    <row r="870" spans="1:3" ht="13" x14ac:dyDescent="0.15">
      <c r="A870" s="10"/>
      <c r="B870" s="13"/>
      <c r="C870" s="13"/>
    </row>
    <row r="871" spans="1:3" ht="13" x14ac:dyDescent="0.15">
      <c r="A871" s="10"/>
      <c r="B871" s="13"/>
      <c r="C871" s="13"/>
    </row>
    <row r="872" spans="1:3" ht="13" x14ac:dyDescent="0.15">
      <c r="A872" s="10"/>
      <c r="B872" s="13"/>
      <c r="C872" s="13"/>
    </row>
    <row r="873" spans="1:3" ht="13" x14ac:dyDescent="0.15">
      <c r="A873" s="10"/>
      <c r="B873" s="13"/>
      <c r="C873" s="13"/>
    </row>
    <row r="874" spans="1:3" ht="13" x14ac:dyDescent="0.15">
      <c r="A874" s="10"/>
      <c r="B874" s="13"/>
      <c r="C874" s="13"/>
    </row>
    <row r="875" spans="1:3" ht="13" x14ac:dyDescent="0.15">
      <c r="A875" s="10"/>
      <c r="B875" s="13"/>
      <c r="C875" s="13"/>
    </row>
    <row r="876" spans="1:3" ht="13" x14ac:dyDescent="0.15">
      <c r="A876" s="10"/>
      <c r="B876" s="13"/>
      <c r="C876" s="13"/>
    </row>
    <row r="877" spans="1:3" ht="13" x14ac:dyDescent="0.15">
      <c r="A877" s="10"/>
      <c r="B877" s="13"/>
      <c r="C877" s="13"/>
    </row>
    <row r="878" spans="1:3" ht="13" x14ac:dyDescent="0.15">
      <c r="A878" s="10"/>
      <c r="B878" s="13"/>
      <c r="C878" s="13"/>
    </row>
    <row r="879" spans="1:3" ht="13" x14ac:dyDescent="0.15">
      <c r="A879" s="10"/>
      <c r="B879" s="13"/>
      <c r="C879" s="13"/>
    </row>
    <row r="880" spans="1:3" ht="13" x14ac:dyDescent="0.15">
      <c r="A880" s="10"/>
      <c r="B880" s="13"/>
      <c r="C880" s="13"/>
    </row>
    <row r="881" spans="1:3" ht="13" x14ac:dyDescent="0.15">
      <c r="A881" s="10"/>
      <c r="B881" s="13"/>
      <c r="C881" s="13"/>
    </row>
    <row r="882" spans="1:3" ht="13" x14ac:dyDescent="0.15">
      <c r="A882" s="10"/>
      <c r="B882" s="13"/>
      <c r="C882" s="13"/>
    </row>
    <row r="883" spans="1:3" ht="13" x14ac:dyDescent="0.15">
      <c r="A883" s="10"/>
      <c r="B883" s="13"/>
      <c r="C883" s="13"/>
    </row>
    <row r="884" spans="1:3" ht="13" x14ac:dyDescent="0.15">
      <c r="A884" s="10"/>
      <c r="B884" s="13"/>
      <c r="C884" s="13"/>
    </row>
    <row r="885" spans="1:3" ht="13" x14ac:dyDescent="0.15">
      <c r="A885" s="10"/>
      <c r="B885" s="13"/>
      <c r="C885" s="13"/>
    </row>
    <row r="886" spans="1:3" ht="13" x14ac:dyDescent="0.15">
      <c r="A886" s="10"/>
      <c r="B886" s="13"/>
      <c r="C886" s="13"/>
    </row>
    <row r="887" spans="1:3" ht="13" x14ac:dyDescent="0.15">
      <c r="A887" s="10"/>
      <c r="B887" s="13"/>
      <c r="C887" s="13"/>
    </row>
    <row r="888" spans="1:3" ht="13" x14ac:dyDescent="0.15">
      <c r="A888" s="10"/>
      <c r="B888" s="13"/>
      <c r="C888" s="13"/>
    </row>
    <row r="889" spans="1:3" ht="13" x14ac:dyDescent="0.15">
      <c r="A889" s="10"/>
      <c r="B889" s="13"/>
      <c r="C889" s="13"/>
    </row>
    <row r="890" spans="1:3" ht="13" x14ac:dyDescent="0.15">
      <c r="A890" s="10"/>
      <c r="B890" s="13"/>
      <c r="C890" s="13"/>
    </row>
    <row r="891" spans="1:3" ht="13" x14ac:dyDescent="0.15">
      <c r="A891" s="10"/>
      <c r="B891" s="13"/>
      <c r="C891" s="13"/>
    </row>
    <row r="892" spans="1:3" ht="13" x14ac:dyDescent="0.15">
      <c r="A892" s="10"/>
      <c r="B892" s="13"/>
      <c r="C892" s="13"/>
    </row>
    <row r="893" spans="1:3" ht="13" x14ac:dyDescent="0.15">
      <c r="A893" s="10"/>
      <c r="B893" s="13"/>
      <c r="C893" s="13"/>
    </row>
    <row r="894" spans="1:3" ht="13" x14ac:dyDescent="0.15">
      <c r="A894" s="10"/>
      <c r="B894" s="13"/>
      <c r="C894" s="13"/>
    </row>
    <row r="895" spans="1:3" ht="13" x14ac:dyDescent="0.15">
      <c r="A895" s="10"/>
      <c r="B895" s="13"/>
      <c r="C895" s="13"/>
    </row>
    <row r="896" spans="1:3" ht="13" x14ac:dyDescent="0.15">
      <c r="A896" s="10"/>
      <c r="B896" s="13"/>
      <c r="C896" s="13"/>
    </row>
    <row r="897" spans="1:3" ht="13" x14ac:dyDescent="0.15">
      <c r="A897" s="10"/>
      <c r="B897" s="13"/>
      <c r="C897" s="13"/>
    </row>
    <row r="898" spans="1:3" ht="13" x14ac:dyDescent="0.15">
      <c r="A898" s="10"/>
      <c r="B898" s="13"/>
      <c r="C898" s="13"/>
    </row>
    <row r="899" spans="1:3" ht="13" x14ac:dyDescent="0.15">
      <c r="A899" s="10"/>
      <c r="B899" s="13"/>
      <c r="C899" s="13"/>
    </row>
    <row r="900" spans="1:3" ht="13" x14ac:dyDescent="0.15">
      <c r="A900" s="10"/>
      <c r="B900" s="13"/>
      <c r="C900" s="13"/>
    </row>
    <row r="901" spans="1:3" ht="13" x14ac:dyDescent="0.15">
      <c r="A901" s="10"/>
      <c r="B901" s="13"/>
      <c r="C901" s="13"/>
    </row>
    <row r="902" spans="1:3" ht="13" x14ac:dyDescent="0.15">
      <c r="A902" s="10"/>
      <c r="B902" s="13"/>
      <c r="C902" s="13"/>
    </row>
    <row r="903" spans="1:3" ht="13" x14ac:dyDescent="0.15">
      <c r="A903" s="10"/>
      <c r="B903" s="13"/>
      <c r="C903" s="13"/>
    </row>
    <row r="904" spans="1:3" ht="13" x14ac:dyDescent="0.15">
      <c r="A904" s="10"/>
      <c r="B904" s="13"/>
      <c r="C904" s="13"/>
    </row>
    <row r="905" spans="1:3" ht="13" x14ac:dyDescent="0.15">
      <c r="A905" s="10"/>
      <c r="B905" s="13"/>
      <c r="C905" s="13"/>
    </row>
    <row r="906" spans="1:3" ht="13" x14ac:dyDescent="0.15">
      <c r="A906" s="10"/>
      <c r="B906" s="13"/>
      <c r="C906" s="13"/>
    </row>
    <row r="907" spans="1:3" ht="13" x14ac:dyDescent="0.15">
      <c r="A907" s="10"/>
      <c r="B907" s="13"/>
      <c r="C907" s="13"/>
    </row>
    <row r="908" spans="1:3" ht="13" x14ac:dyDescent="0.15">
      <c r="A908" s="10"/>
      <c r="B908" s="13"/>
      <c r="C908" s="13"/>
    </row>
    <row r="909" spans="1:3" ht="13" x14ac:dyDescent="0.15">
      <c r="A909" s="10"/>
      <c r="B909" s="13"/>
      <c r="C909" s="13"/>
    </row>
    <row r="910" spans="1:3" ht="13" x14ac:dyDescent="0.15">
      <c r="A910" s="10"/>
      <c r="B910" s="13"/>
      <c r="C910" s="13"/>
    </row>
    <row r="911" spans="1:3" ht="13" x14ac:dyDescent="0.15">
      <c r="A911" s="10"/>
      <c r="B911" s="13"/>
      <c r="C911" s="13"/>
    </row>
    <row r="912" spans="1:3" ht="13" x14ac:dyDescent="0.15">
      <c r="A912" s="10"/>
      <c r="B912" s="13"/>
      <c r="C912" s="13"/>
    </row>
    <row r="913" spans="1:3" ht="13" x14ac:dyDescent="0.15">
      <c r="A913" s="10"/>
      <c r="B913" s="13"/>
      <c r="C913" s="13"/>
    </row>
    <row r="914" spans="1:3" ht="13" x14ac:dyDescent="0.15">
      <c r="A914" s="10"/>
      <c r="B914" s="13"/>
      <c r="C914" s="13"/>
    </row>
    <row r="915" spans="1:3" ht="13" x14ac:dyDescent="0.15">
      <c r="A915" s="10"/>
      <c r="B915" s="13"/>
      <c r="C915" s="13"/>
    </row>
    <row r="916" spans="1:3" ht="13" x14ac:dyDescent="0.15">
      <c r="A916" s="10"/>
      <c r="B916" s="13"/>
      <c r="C916" s="13"/>
    </row>
    <row r="917" spans="1:3" ht="13" x14ac:dyDescent="0.15">
      <c r="A917" s="10"/>
      <c r="B917" s="13"/>
      <c r="C917" s="13"/>
    </row>
    <row r="918" spans="1:3" ht="13" x14ac:dyDescent="0.15">
      <c r="A918" s="10"/>
      <c r="B918" s="13"/>
      <c r="C918" s="13"/>
    </row>
    <row r="919" spans="1:3" ht="13" x14ac:dyDescent="0.15">
      <c r="A919" s="10"/>
      <c r="B919" s="13"/>
      <c r="C919" s="13"/>
    </row>
    <row r="920" spans="1:3" ht="13" x14ac:dyDescent="0.15">
      <c r="A920" s="10"/>
      <c r="B920" s="13"/>
      <c r="C920" s="13"/>
    </row>
    <row r="921" spans="1:3" ht="13" x14ac:dyDescent="0.15">
      <c r="A921" s="10"/>
      <c r="B921" s="13"/>
      <c r="C921" s="13"/>
    </row>
    <row r="922" spans="1:3" ht="13" x14ac:dyDescent="0.15">
      <c r="A922" s="10"/>
      <c r="B922" s="13"/>
      <c r="C922" s="13"/>
    </row>
    <row r="923" spans="1:3" ht="13" x14ac:dyDescent="0.15">
      <c r="A923" s="10"/>
      <c r="B923" s="13"/>
      <c r="C923" s="13"/>
    </row>
    <row r="924" spans="1:3" ht="13" x14ac:dyDescent="0.15">
      <c r="A924" s="10"/>
      <c r="B924" s="13"/>
      <c r="C924" s="13"/>
    </row>
    <row r="925" spans="1:3" ht="13" x14ac:dyDescent="0.15">
      <c r="A925" s="10"/>
      <c r="B925" s="13"/>
      <c r="C925" s="13"/>
    </row>
    <row r="926" spans="1:3" ht="13" x14ac:dyDescent="0.15">
      <c r="A926" s="10"/>
      <c r="B926" s="13"/>
      <c r="C926" s="13"/>
    </row>
    <row r="927" spans="1:3" ht="13" x14ac:dyDescent="0.15">
      <c r="A927" s="10"/>
      <c r="B927" s="13"/>
      <c r="C927" s="13"/>
    </row>
    <row r="928" spans="1:3" ht="13" x14ac:dyDescent="0.15">
      <c r="A928" s="10"/>
      <c r="B928" s="13"/>
      <c r="C928" s="13"/>
    </row>
    <row r="929" spans="1:3" ht="13" x14ac:dyDescent="0.15">
      <c r="A929" s="10"/>
      <c r="B929" s="13"/>
      <c r="C929" s="13"/>
    </row>
    <row r="930" spans="1:3" ht="13" x14ac:dyDescent="0.15">
      <c r="A930" s="10"/>
      <c r="B930" s="13"/>
      <c r="C930" s="13"/>
    </row>
    <row r="931" spans="1:3" ht="13" x14ac:dyDescent="0.15">
      <c r="A931" s="10"/>
      <c r="B931" s="13"/>
      <c r="C931" s="13"/>
    </row>
    <row r="932" spans="1:3" ht="13" x14ac:dyDescent="0.15">
      <c r="A932" s="10"/>
      <c r="B932" s="13"/>
      <c r="C932" s="13"/>
    </row>
    <row r="933" spans="1:3" ht="13" x14ac:dyDescent="0.15">
      <c r="A933" s="10"/>
      <c r="B933" s="13"/>
      <c r="C933" s="13"/>
    </row>
    <row r="934" spans="1:3" ht="13" x14ac:dyDescent="0.15">
      <c r="A934" s="10"/>
      <c r="B934" s="13"/>
      <c r="C934" s="13"/>
    </row>
    <row r="935" spans="1:3" ht="13" x14ac:dyDescent="0.15">
      <c r="A935" s="10"/>
      <c r="B935" s="13"/>
      <c r="C935" s="13"/>
    </row>
    <row r="936" spans="1:3" ht="13" x14ac:dyDescent="0.15">
      <c r="A936" s="10"/>
      <c r="B936" s="13"/>
      <c r="C936" s="13"/>
    </row>
    <row r="937" spans="1:3" ht="13" x14ac:dyDescent="0.15">
      <c r="A937" s="10"/>
      <c r="B937" s="13"/>
      <c r="C937" s="13"/>
    </row>
    <row r="938" spans="1:3" ht="13" x14ac:dyDescent="0.15">
      <c r="A938" s="10"/>
      <c r="B938" s="13"/>
      <c r="C938" s="13"/>
    </row>
    <row r="939" spans="1:3" ht="13" x14ac:dyDescent="0.15">
      <c r="A939" s="10"/>
      <c r="B939" s="13"/>
      <c r="C939" s="13"/>
    </row>
    <row r="940" spans="1:3" ht="13" x14ac:dyDescent="0.15">
      <c r="A940" s="10"/>
      <c r="B940" s="13"/>
      <c r="C940" s="13"/>
    </row>
    <row r="941" spans="1:3" ht="13" x14ac:dyDescent="0.15">
      <c r="A941" s="10"/>
      <c r="B941" s="13"/>
      <c r="C941" s="13"/>
    </row>
    <row r="942" spans="1:3" ht="13" x14ac:dyDescent="0.15">
      <c r="A942" s="10"/>
      <c r="B942" s="13"/>
      <c r="C942" s="13"/>
    </row>
    <row r="943" spans="1:3" ht="13" x14ac:dyDescent="0.15">
      <c r="A943" s="10"/>
      <c r="B943" s="13"/>
      <c r="C943" s="13"/>
    </row>
    <row r="944" spans="1:3" ht="13" x14ac:dyDescent="0.15">
      <c r="A944" s="10"/>
      <c r="B944" s="13"/>
      <c r="C944" s="13"/>
    </row>
    <row r="945" spans="1:3" ht="13" x14ac:dyDescent="0.15">
      <c r="A945" s="10"/>
      <c r="B945" s="13"/>
      <c r="C945" s="13"/>
    </row>
    <row r="946" spans="1:3" ht="13" x14ac:dyDescent="0.15">
      <c r="A946" s="10"/>
      <c r="B946" s="13"/>
      <c r="C946" s="13"/>
    </row>
    <row r="947" spans="1:3" ht="13" x14ac:dyDescent="0.15">
      <c r="A947" s="10"/>
      <c r="B947" s="13"/>
      <c r="C947" s="13"/>
    </row>
    <row r="948" spans="1:3" ht="13" x14ac:dyDescent="0.15">
      <c r="A948" s="10"/>
      <c r="B948" s="13"/>
      <c r="C948" s="13"/>
    </row>
    <row r="949" spans="1:3" ht="13" x14ac:dyDescent="0.15">
      <c r="A949" s="10"/>
      <c r="B949" s="13"/>
      <c r="C949" s="13"/>
    </row>
    <row r="950" spans="1:3" ht="13" x14ac:dyDescent="0.15">
      <c r="A950" s="10"/>
      <c r="B950" s="13"/>
      <c r="C950" s="13"/>
    </row>
    <row r="951" spans="1:3" ht="13" x14ac:dyDescent="0.15">
      <c r="A951" s="10"/>
      <c r="B951" s="13"/>
      <c r="C951" s="13"/>
    </row>
    <row r="952" spans="1:3" ht="13" x14ac:dyDescent="0.15">
      <c r="A952" s="10"/>
      <c r="B952" s="13"/>
      <c r="C952" s="13"/>
    </row>
    <row r="953" spans="1:3" ht="13" x14ac:dyDescent="0.15">
      <c r="A953" s="10"/>
      <c r="B953" s="13"/>
      <c r="C953" s="13"/>
    </row>
    <row r="954" spans="1:3" ht="13" x14ac:dyDescent="0.15">
      <c r="A954" s="10"/>
      <c r="B954" s="13"/>
      <c r="C954" s="13"/>
    </row>
    <row r="955" spans="1:3" ht="13" x14ac:dyDescent="0.15">
      <c r="A955" s="10"/>
      <c r="B955" s="13"/>
      <c r="C955" s="13"/>
    </row>
    <row r="956" spans="1:3" ht="13" x14ac:dyDescent="0.15">
      <c r="A956" s="10"/>
      <c r="B956" s="13"/>
      <c r="C956" s="13"/>
    </row>
    <row r="957" spans="1:3" ht="13" x14ac:dyDescent="0.15">
      <c r="A957" s="10"/>
      <c r="B957" s="13"/>
      <c r="C957" s="13"/>
    </row>
    <row r="958" spans="1:3" ht="13" x14ac:dyDescent="0.15">
      <c r="A958" s="10"/>
      <c r="B958" s="13"/>
      <c r="C958" s="13"/>
    </row>
    <row r="959" spans="1:3" ht="13" x14ac:dyDescent="0.15">
      <c r="A959" s="10"/>
      <c r="B959" s="13"/>
      <c r="C959" s="13"/>
    </row>
    <row r="960" spans="1:3" ht="13" x14ac:dyDescent="0.15">
      <c r="A960" s="10"/>
      <c r="B960" s="13"/>
      <c r="C960" s="13"/>
    </row>
    <row r="961" spans="1:3" ht="13" x14ac:dyDescent="0.15">
      <c r="A961" s="10"/>
      <c r="B961" s="13"/>
      <c r="C961" s="13"/>
    </row>
    <row r="962" spans="1:3" ht="13" x14ac:dyDescent="0.15">
      <c r="A962" s="10"/>
      <c r="B962" s="13"/>
      <c r="C962" s="13"/>
    </row>
    <row r="963" spans="1:3" ht="13" x14ac:dyDescent="0.15">
      <c r="A963" s="10"/>
      <c r="B963" s="13"/>
      <c r="C963" s="13"/>
    </row>
    <row r="964" spans="1:3" ht="13" x14ac:dyDescent="0.15">
      <c r="A964" s="10"/>
      <c r="B964" s="13"/>
      <c r="C964" s="13"/>
    </row>
    <row r="965" spans="1:3" ht="13" x14ac:dyDescent="0.15">
      <c r="A965" s="10"/>
      <c r="B965" s="13"/>
      <c r="C965" s="13"/>
    </row>
    <row r="966" spans="1:3" ht="13" x14ac:dyDescent="0.15">
      <c r="A966" s="10"/>
      <c r="B966" s="13"/>
      <c r="C966" s="13"/>
    </row>
    <row r="967" spans="1:3" ht="13" x14ac:dyDescent="0.15">
      <c r="A967" s="10"/>
      <c r="B967" s="13"/>
      <c r="C967" s="13"/>
    </row>
    <row r="968" spans="1:3" ht="13" x14ac:dyDescent="0.15">
      <c r="A968" s="10"/>
      <c r="B968" s="13"/>
      <c r="C968" s="13"/>
    </row>
    <row r="969" spans="1:3" ht="13" x14ac:dyDescent="0.15">
      <c r="A969" s="10"/>
      <c r="B969" s="13"/>
      <c r="C969" s="13"/>
    </row>
    <row r="970" spans="1:3" ht="13" x14ac:dyDescent="0.15">
      <c r="A970" s="10"/>
      <c r="B970" s="13"/>
      <c r="C970" s="13"/>
    </row>
    <row r="971" spans="1:3" ht="13" x14ac:dyDescent="0.15">
      <c r="A971" s="10"/>
      <c r="B971" s="13"/>
      <c r="C971" s="13"/>
    </row>
    <row r="972" spans="1:3" ht="13" x14ac:dyDescent="0.15">
      <c r="A972" s="10"/>
      <c r="B972" s="13"/>
      <c r="C972" s="13"/>
    </row>
    <row r="973" spans="1:3" ht="13" x14ac:dyDescent="0.15">
      <c r="A973" s="10"/>
      <c r="B973" s="13"/>
      <c r="C973" s="13"/>
    </row>
    <row r="974" spans="1:3" ht="13" x14ac:dyDescent="0.15">
      <c r="A974" s="10"/>
      <c r="B974" s="13"/>
      <c r="C974" s="13"/>
    </row>
    <row r="975" spans="1:3" ht="13" x14ac:dyDescent="0.15">
      <c r="A975" s="10"/>
      <c r="B975" s="13"/>
      <c r="C975" s="13"/>
    </row>
    <row r="976" spans="1:3" ht="13" x14ac:dyDescent="0.15">
      <c r="A976" s="10"/>
      <c r="B976" s="13"/>
      <c r="C976" s="13"/>
    </row>
    <row r="977" spans="1:3" ht="13" x14ac:dyDescent="0.15">
      <c r="A977" s="10"/>
      <c r="B977" s="13"/>
      <c r="C977" s="13"/>
    </row>
    <row r="978" spans="1:3" ht="13" x14ac:dyDescent="0.15">
      <c r="A978" s="10"/>
      <c r="B978" s="13"/>
      <c r="C978" s="13"/>
    </row>
    <row r="979" spans="1:3" ht="13" x14ac:dyDescent="0.15">
      <c r="A979" s="10"/>
      <c r="B979" s="13"/>
      <c r="C979" s="13"/>
    </row>
    <row r="980" spans="1:3" ht="13" x14ac:dyDescent="0.15">
      <c r="A980" s="10"/>
      <c r="B980" s="13"/>
      <c r="C980" s="13"/>
    </row>
    <row r="981" spans="1:3" ht="13" x14ac:dyDescent="0.15">
      <c r="A981" s="10"/>
      <c r="B981" s="13"/>
      <c r="C981" s="13"/>
    </row>
    <row r="982" spans="1:3" ht="13" x14ac:dyDescent="0.15">
      <c r="A982" s="10"/>
      <c r="B982" s="13"/>
      <c r="C982" s="13"/>
    </row>
    <row r="983" spans="1:3" ht="13" x14ac:dyDescent="0.15">
      <c r="A983" s="10"/>
      <c r="B983" s="13"/>
      <c r="C983" s="13"/>
    </row>
    <row r="984" spans="1:3" ht="13" x14ac:dyDescent="0.15">
      <c r="A984" s="10"/>
      <c r="B984" s="13"/>
      <c r="C984" s="13"/>
    </row>
    <row r="985" spans="1:3" ht="13" x14ac:dyDescent="0.15">
      <c r="A985" s="10"/>
      <c r="B985" s="13"/>
      <c r="C985" s="13"/>
    </row>
    <row r="986" spans="1:3" ht="13" x14ac:dyDescent="0.15">
      <c r="A986" s="10"/>
      <c r="B986" s="13"/>
      <c r="C986" s="13"/>
    </row>
    <row r="987" spans="1:3" ht="13" x14ac:dyDescent="0.15">
      <c r="A987" s="10"/>
      <c r="B987" s="13"/>
      <c r="C987" s="13"/>
    </row>
    <row r="988" spans="1:3" ht="13" x14ac:dyDescent="0.15">
      <c r="A988" s="10"/>
      <c r="B988" s="13"/>
      <c r="C988" s="13"/>
    </row>
    <row r="989" spans="1:3" ht="13" x14ac:dyDescent="0.15">
      <c r="A989" s="10"/>
      <c r="B989" s="13"/>
      <c r="C989" s="13"/>
    </row>
    <row r="990" spans="1:3" ht="13" x14ac:dyDescent="0.15">
      <c r="A990" s="10"/>
      <c r="B990" s="13"/>
      <c r="C990" s="13"/>
    </row>
    <row r="991" spans="1:3" ht="13" x14ac:dyDescent="0.15">
      <c r="A991" s="10"/>
      <c r="B991" s="13"/>
      <c r="C991" s="13"/>
    </row>
    <row r="992" spans="1:3" ht="13" x14ac:dyDescent="0.15">
      <c r="A992" s="10"/>
      <c r="B992" s="13"/>
      <c r="C992" s="13"/>
    </row>
    <row r="993" spans="1:3" ht="13" x14ac:dyDescent="0.15">
      <c r="A993" s="10"/>
      <c r="B993" s="13"/>
      <c r="C993" s="13"/>
    </row>
    <row r="994" spans="1:3" ht="13" x14ac:dyDescent="0.15">
      <c r="A994" s="10"/>
      <c r="B994" s="13"/>
      <c r="C994" s="13"/>
    </row>
    <row r="995" spans="1:3" ht="13" x14ac:dyDescent="0.15">
      <c r="A995" s="10"/>
      <c r="B995" s="13"/>
      <c r="C995" s="13"/>
    </row>
    <row r="996" spans="1:3" ht="13" x14ac:dyDescent="0.15">
      <c r="A996" s="10"/>
      <c r="B996" s="13"/>
      <c r="C996" s="13"/>
    </row>
    <row r="997" spans="1:3" ht="13" x14ac:dyDescent="0.15">
      <c r="A997" s="10"/>
      <c r="B997" s="13"/>
      <c r="C997" s="13"/>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outlinePr summaryBelow="0" summaryRight="0"/>
  </sheetPr>
  <dimension ref="A1:D997"/>
  <sheetViews>
    <sheetView workbookViewId="0"/>
  </sheetViews>
  <sheetFormatPr baseColWidth="10" defaultColWidth="12.6640625" defaultRowHeight="15.75" customHeight="1" x14ac:dyDescent="0.15"/>
  <cols>
    <col min="1" max="1" width="71.5" customWidth="1"/>
    <col min="2" max="4" width="37.6640625" customWidth="1"/>
  </cols>
  <sheetData>
    <row r="1" spans="1:4" ht="15.75" customHeight="1" x14ac:dyDescent="0.15">
      <c r="A1" s="1"/>
      <c r="B1" s="10" t="str">
        <f ca="1">IFERROR(__xludf.DUMMYFUNCTION("IMPORTRANGE(""https://docs.google.com/spreadsheets/u/0/d/1etLQb97lMSNWG4ebq9e4mMf5V6Y_IPpBxMswZpIG47E"", ""A49!B1:B22"")"),"Erin Loudermilk")</f>
        <v>Erin Loudermilk</v>
      </c>
      <c r="C1" s="10" t="str">
        <f ca="1">IFERROR(__xludf.DUMMYFUNCTION("IMPORTRANGE(""https://docs.google.com/spreadsheets/u/0/d/1tjgC5crHxYL6PIwdjQvl-Lz18xb2WRifl2-5aQ8KGT8"", ""A49!B1:B22"")"),"Jake Stafford")</f>
        <v>Jake Stafford</v>
      </c>
      <c r="D1" s="2" t="s">
        <v>1</v>
      </c>
    </row>
    <row r="2" spans="1:4" ht="15.75" customHeight="1" x14ac:dyDescent="0.15">
      <c r="A2" s="3" t="s">
        <v>2</v>
      </c>
      <c r="B2" s="15" t="str">
        <f ca="1">IFERROR(__xludf.DUMMYFUNCTION("""COMPUTED_VALUE"""),"29092 to 29271 (Forward)")</f>
        <v>29092 to 29271 (Forward)</v>
      </c>
      <c r="C2" s="15" t="str">
        <f ca="1">IFERROR(__xludf.DUMMYFUNCTION("""COMPUTED_VALUE"""),"Start:29092 Stop:29271 For")</f>
        <v>Start:29092 Stop:29271 For</v>
      </c>
      <c r="D2" s="4"/>
    </row>
    <row r="3" spans="1:4" ht="15.75" customHeight="1" x14ac:dyDescent="0.15">
      <c r="A3" s="5" t="s">
        <v>3</v>
      </c>
      <c r="B3" s="17" t="str">
        <f ca="1">IFERROR(__xludf.DUMMYFUNCTION("""COMPUTED_VALUE"""),"DNA Master: 48, Phamerator: 49")</f>
        <v>DNA Master: 48, Phamerator: 49</v>
      </c>
      <c r="C3" s="17" t="str">
        <f ca="1">IFERROR(__xludf.DUMMYFUNCTION("""COMPUTED_VALUE"""),"49 in Pham, 48 in DNAM")</f>
        <v>49 in Pham, 48 in DNAM</v>
      </c>
      <c r="D3" s="6"/>
    </row>
    <row r="4" spans="1:4" ht="15.75" customHeight="1" x14ac:dyDescent="0.15">
      <c r="A4" s="5" t="s">
        <v>4</v>
      </c>
      <c r="B4" s="17" t="str">
        <f ca="1">IFERROR(__xludf.DUMMYFUNCTION("""COMPUTED_VALUE"""),"209835 2/28/25")</f>
        <v>209835 2/28/25</v>
      </c>
      <c r="C4" s="17" t="str">
        <f ca="1">IFERROR(__xludf.DUMMYFUNCTION("""COMPUTED_VALUE"""),"209835 3/10/25")</f>
        <v>209835 3/10/25</v>
      </c>
      <c r="D4" s="6"/>
    </row>
    <row r="5" spans="1:4" ht="15.75" customHeight="1" x14ac:dyDescent="0.15">
      <c r="A5" s="5" t="s">
        <v>5</v>
      </c>
      <c r="B5" s="17" t="str">
        <f ca="1">IFERROR(__xludf.DUMMYFUNCTION("""COMPUTED_VALUE"""),"Orpham")</f>
        <v>Orpham</v>
      </c>
      <c r="C5" s="17" t="str">
        <f ca="1">IFERROR(__xludf.DUMMYFUNCTION("""COMPUTED_VALUE"""),"orpham")</f>
        <v>orpham</v>
      </c>
      <c r="D5" s="6"/>
    </row>
    <row r="6" spans="1:4" ht="15.75" customHeight="1" x14ac:dyDescent="0.15">
      <c r="A6" s="5" t="s">
        <v>6</v>
      </c>
      <c r="B6" s="17" t="str">
        <f ca="1">IFERROR(__xludf.DUMMYFUNCTION("""COMPUTED_VALUE"""),"Both call")</f>
        <v>Both call</v>
      </c>
      <c r="C6" s="17" t="str">
        <f ca="1">IFERROR(__xludf.DUMMYFUNCTION("""COMPUTED_VALUE"""),"both called")</f>
        <v>both called</v>
      </c>
      <c r="D6" s="6"/>
    </row>
    <row r="7" spans="1:4" ht="15.75" customHeight="1" x14ac:dyDescent="0.15">
      <c r="A7" s="5" t="s">
        <v>7</v>
      </c>
      <c r="B7" s="17" t="str">
        <f ca="1">IFERROR(__xludf.DUMMYFUNCTION("""COMPUTED_VALUE"""),"Gene has coding potential, all coding potential is included")</f>
        <v>Gene has coding potential, all coding potential is included</v>
      </c>
      <c r="C7" s="17" t="str">
        <f ca="1">IFERROR(__xludf.DUMMYFUNCTION("""COMPUTED_VALUE"""),"Good coding potential, yes")</f>
        <v>Good coding potential, yes</v>
      </c>
      <c r="D7" s="6"/>
    </row>
    <row r="8" spans="1:4" ht="15.75" customHeight="1" x14ac:dyDescent="0.15">
      <c r="A8" s="5" t="s">
        <v>8</v>
      </c>
      <c r="B8" s="17" t="str">
        <f ca="1">IFERROR(__xludf.DUMMYFUNCTION("""COMPUTED_VALUE"""),"Yes")</f>
        <v>Yes</v>
      </c>
      <c r="C8" s="17" t="str">
        <f ca="1">IFERROR(__xludf.DUMMYFUNCTION("""COMPUTED_VALUE"""),"Yes")</f>
        <v>Yes</v>
      </c>
      <c r="D8" s="6"/>
    </row>
    <row r="9" spans="1:4" ht="15.75" customHeight="1" x14ac:dyDescent="0.15">
      <c r="A9" s="5" t="s">
        <v>9</v>
      </c>
      <c r="B9" s="17" t="str">
        <f ca="1">IFERROR(__xludf.DUMMYFUNCTION("""COMPUTED_VALUE"""),"3 nucleotide overlap")</f>
        <v>3 nucleotide overlap</v>
      </c>
      <c r="C9" s="17" t="str">
        <f ca="1">IFERROR(__xludf.DUMMYFUNCTION("""COMPUTED_VALUE"""),"Small overlap")</f>
        <v>Small overlap</v>
      </c>
      <c r="D9" s="6"/>
    </row>
    <row r="10" spans="1:4" ht="15.75" customHeight="1" x14ac:dyDescent="0.15">
      <c r="A10" s="5" t="s">
        <v>10</v>
      </c>
      <c r="B10" s="17" t="str">
        <f ca="1">IFERROR(__xludf.DUMMYFUNCTION("""COMPUTED_VALUE"""),"z-score: 2.879, best score")</f>
        <v>z-score: 2.879, best score</v>
      </c>
      <c r="C10" s="17" t="str">
        <f ca="1">IFERROR(__xludf.DUMMYFUNCTION("""COMPUTED_VALUE"""),"z-score, 2.807, f-score -2.845 best score")</f>
        <v>z-score, 2.807, f-score -2.845 best score</v>
      </c>
      <c r="D10" s="6"/>
    </row>
    <row r="11" spans="1:4" ht="15.75" customHeight="1" x14ac:dyDescent="0.15">
      <c r="A11" s="5" t="s">
        <v>11</v>
      </c>
      <c r="B11" s="17" t="str">
        <f ca="1">IFERROR(__xludf.DUMMYFUNCTION("""COMPUTED_VALUE"""),"Orpham")</f>
        <v>Orpham</v>
      </c>
      <c r="C11" s="17" t="str">
        <f ca="1">IFERROR(__xludf.DUMMYFUNCTION("""COMPUTED_VALUE"""),"orpham")</f>
        <v>orpham</v>
      </c>
      <c r="D11" s="6"/>
    </row>
    <row r="12" spans="1:4" ht="15.75" customHeight="1" x14ac:dyDescent="0.15">
      <c r="A12" s="5" t="s">
        <v>12</v>
      </c>
      <c r="B12" s="17" t="str">
        <f ca="1">IFERROR(__xludf.DUMMYFUNCTION("""COMPUTED_VALUE"""),"orpham")</f>
        <v>orpham</v>
      </c>
      <c r="C12" s="17" t="str">
        <f ca="1">IFERROR(__xludf.DUMMYFUNCTION("""COMPUTED_VALUE"""),"orpham")</f>
        <v>orpham</v>
      </c>
      <c r="D12" s="6"/>
    </row>
    <row r="13" spans="1:4" ht="15.75" customHeight="1" x14ac:dyDescent="0.15">
      <c r="A13" s="5" t="s">
        <v>13</v>
      </c>
      <c r="B13" s="17" t="str">
        <f ca="1">IFERROR(__xludf.DUMMYFUNCTION("""COMPUTED_VALUE"""),"No, has a good z-score, is an orpham")</f>
        <v>No, has a good z-score, is an orpham</v>
      </c>
      <c r="C13" s="17" t="str">
        <f ca="1">IFERROR(__xludf.DUMMYFUNCTION("""COMPUTED_VALUE"""),"no, good score, both programs called, no better starts")</f>
        <v>no, good score, both programs called, no better starts</v>
      </c>
      <c r="D13" s="6"/>
    </row>
    <row r="14" spans="1:4" ht="15.75" customHeight="1" x14ac:dyDescent="0.15">
      <c r="A14" s="5" t="s">
        <v>14</v>
      </c>
      <c r="B14" s="17" t="str">
        <f ca="1">IFERROR(__xludf.DUMMYFUNCTION("""COMPUTED_VALUE"""),"orpham")</f>
        <v>orpham</v>
      </c>
      <c r="C14" s="17" t="str">
        <f ca="1">IFERROR(__xludf.DUMMYFUNCTION("""COMPUTED_VALUE"""),"orpham")</f>
        <v>orpham</v>
      </c>
      <c r="D14" s="6"/>
    </row>
    <row r="15" spans="1:4" ht="15.75" customHeight="1" x14ac:dyDescent="0.15">
      <c r="A15" s="5" t="s">
        <v>15</v>
      </c>
      <c r="B15" s="17" t="str">
        <f ca="1">IFERROR(__xludf.DUMMYFUNCTION("""COMPUTED_VALUE"""),"orpham")</f>
        <v>orpham</v>
      </c>
      <c r="C15" s="17" t="str">
        <f ca="1">IFERROR(__xludf.DUMMYFUNCTION("""COMPUTED_VALUE"""),"unknown, orpham")</f>
        <v>unknown, orpham</v>
      </c>
      <c r="D15" s="6"/>
    </row>
    <row r="16" spans="1:4" ht="15.75" customHeight="1" x14ac:dyDescent="0.15">
      <c r="A16" s="5" t="s">
        <v>16</v>
      </c>
      <c r="B16" s="17" t="str">
        <f ca="1">IFERROR(__xludf.DUMMYFUNCTION("""COMPUTED_VALUE"""),"Gene is not found in a similar environment in Kovu")</f>
        <v>Gene is not found in a similar environment in Kovu</v>
      </c>
      <c r="C16" s="17" t="str">
        <f ca="1">IFERROR(__xludf.DUMMYFUNCTION("""COMPUTED_VALUE"""),"no")</f>
        <v>no</v>
      </c>
      <c r="D16" s="6"/>
    </row>
    <row r="17" spans="1:4" ht="15.75" customHeight="1" x14ac:dyDescent="0.15">
      <c r="A17" s="5" t="s">
        <v>17</v>
      </c>
      <c r="B17" s="17" t="str">
        <f ca="1">IFERROR(__xludf.DUMMYFUNCTION("""COMPUTED_VALUE"""),"No good hits, orpham")</f>
        <v>No good hits, orpham</v>
      </c>
      <c r="C17" s="17" t="str">
        <f ca="1">IFERROR(__xludf.DUMMYFUNCTION("""COMPUTED_VALUE"""),"Hachiman; immune evasion, anti-defense, phage, VIRAL PROTEIN; 2.0A {unidentified} , 50% prob, 32.2%allq, 35.85%allT, functional domain is not in the target part of the alignment")</f>
        <v>Hachiman; immune evasion, anti-defense, phage, VIRAL PROTEIN; 2.0A {unidentified} , 50% prob, 32.2%allq, 35.85%allT, functional domain is not in the target part of the alignment</v>
      </c>
      <c r="D17" s="6"/>
    </row>
    <row r="18" spans="1:4" ht="15.75" customHeight="1" x14ac:dyDescent="0.15">
      <c r="A18" s="5" t="s">
        <v>18</v>
      </c>
      <c r="B18" s="17" t="str">
        <f ca="1">IFERROR(__xludf.DUMMYFUNCTION("""COMPUTED_VALUE"""),"none")</f>
        <v>none</v>
      </c>
      <c r="C18" s="17" t="str">
        <f ca="1">IFERROR(__xludf.DUMMYFUNCTION("""COMPUTED_VALUE"""),"none")</f>
        <v>none</v>
      </c>
      <c r="D18" s="6"/>
    </row>
    <row r="19" spans="1:4" ht="15.75" customHeight="1" x14ac:dyDescent="0.15">
      <c r="A19" s="5" t="s">
        <v>19</v>
      </c>
      <c r="B19" s="17" t="str">
        <f ca="1">IFERROR(__xludf.DUMMYFUNCTION("""COMPUTED_VALUE"""),"none")</f>
        <v>none</v>
      </c>
      <c r="C19" s="17" t="str">
        <f ca="1">IFERROR(__xludf.DUMMYFUNCTION("""COMPUTED_VALUE"""),"none")</f>
        <v>none</v>
      </c>
      <c r="D19" s="6"/>
    </row>
    <row r="20" spans="1:4" ht="15.75" customHeight="1" x14ac:dyDescent="0.15">
      <c r="A20" s="5" t="s">
        <v>20</v>
      </c>
      <c r="B20" s="17" t="str">
        <f ca="1">IFERROR(__xludf.DUMMYFUNCTION("""COMPUTED_VALUE"""),"Hypothetical Protein")</f>
        <v>Hypothetical Protein</v>
      </c>
      <c r="C20" s="17" t="str">
        <f ca="1">IFERROR(__xludf.DUMMYFUNCTION("""COMPUTED_VALUE"""),"unknown function, orpham, I think its a hypothetical protein. ")</f>
        <v xml:space="preserve">unknown function, orpham, I think its a hypothetical protein. </v>
      </c>
      <c r="D20" s="6"/>
    </row>
    <row r="21" spans="1:4" x14ac:dyDescent="0.2">
      <c r="A21" s="7"/>
      <c r="B21" s="19"/>
      <c r="C21" s="19"/>
      <c r="D21" s="8"/>
    </row>
    <row r="22" spans="1:4" ht="15.75" customHeight="1" x14ac:dyDescent="0.15">
      <c r="A22" s="9" t="s">
        <v>21</v>
      </c>
      <c r="B22" s="19"/>
      <c r="C22" s="19"/>
      <c r="D22" s="8"/>
    </row>
    <row r="23" spans="1:4" ht="15.75" customHeight="1" x14ac:dyDescent="0.15">
      <c r="A23" s="10"/>
      <c r="B23" s="13"/>
      <c r="C23" s="13"/>
    </row>
    <row r="24" spans="1:4" ht="15.75" customHeight="1" x14ac:dyDescent="0.15">
      <c r="A24" s="10"/>
      <c r="B24" s="13"/>
      <c r="C24" s="13"/>
    </row>
    <row r="25" spans="1:4" ht="15.75" customHeight="1" x14ac:dyDescent="0.15">
      <c r="A25" s="10"/>
      <c r="B25" s="13"/>
      <c r="C25" s="13"/>
    </row>
    <row r="26" spans="1:4" ht="15.75" customHeight="1" x14ac:dyDescent="0.15">
      <c r="A26" s="10"/>
      <c r="B26" s="13"/>
      <c r="C26" s="13"/>
    </row>
    <row r="27" spans="1:4" ht="15.75" customHeight="1" x14ac:dyDescent="0.15">
      <c r="A27" s="10"/>
      <c r="B27" s="13"/>
      <c r="C27" s="13"/>
    </row>
    <row r="28" spans="1:4" ht="15.75" customHeight="1" x14ac:dyDescent="0.15">
      <c r="A28" s="10"/>
      <c r="B28" s="13"/>
      <c r="C28" s="13"/>
    </row>
    <row r="29" spans="1:4" ht="15.75" customHeight="1" x14ac:dyDescent="0.15">
      <c r="A29" s="10"/>
      <c r="B29" s="13"/>
      <c r="C29" s="13"/>
    </row>
    <row r="30" spans="1:4" ht="15.75" customHeight="1" x14ac:dyDescent="0.15">
      <c r="A30" s="10"/>
      <c r="B30" s="13"/>
      <c r="C30" s="13"/>
    </row>
    <row r="31" spans="1:4" ht="15.75" customHeight="1" x14ac:dyDescent="0.15">
      <c r="A31" s="10"/>
      <c r="B31" s="13"/>
      <c r="C31" s="13"/>
    </row>
    <row r="32" spans="1:4" ht="15.75" customHeight="1" x14ac:dyDescent="0.15">
      <c r="A32" s="10"/>
      <c r="B32" s="13"/>
      <c r="C32" s="13"/>
    </row>
    <row r="33" spans="1:3" ht="15.75" customHeight="1" x14ac:dyDescent="0.15">
      <c r="A33" s="10"/>
      <c r="B33" s="13"/>
      <c r="C33" s="13"/>
    </row>
    <row r="34" spans="1:3" ht="15.75" customHeight="1" x14ac:dyDescent="0.15">
      <c r="A34" s="10"/>
      <c r="B34" s="13"/>
      <c r="C34" s="13"/>
    </row>
    <row r="35" spans="1:3" ht="15.75" customHeight="1" x14ac:dyDescent="0.15">
      <c r="A35" s="10"/>
      <c r="B35" s="13"/>
      <c r="C35" s="13"/>
    </row>
    <row r="36" spans="1:3" ht="15.75" customHeight="1" x14ac:dyDescent="0.15">
      <c r="A36" s="10"/>
      <c r="B36" s="13"/>
      <c r="C36" s="13"/>
    </row>
    <row r="37" spans="1:3" ht="15.75" customHeight="1" x14ac:dyDescent="0.15">
      <c r="A37" s="10"/>
      <c r="B37" s="13"/>
      <c r="C37" s="13"/>
    </row>
    <row r="38" spans="1:3" ht="15.75" customHeight="1" x14ac:dyDescent="0.15">
      <c r="A38" s="10"/>
      <c r="B38" s="13"/>
      <c r="C38" s="13"/>
    </row>
    <row r="39" spans="1:3" ht="13" x14ac:dyDescent="0.15">
      <c r="A39" s="10"/>
      <c r="B39" s="13"/>
      <c r="C39" s="13"/>
    </row>
    <row r="40" spans="1:3" ht="13" x14ac:dyDescent="0.15">
      <c r="A40" s="10"/>
      <c r="B40" s="13"/>
      <c r="C40" s="13"/>
    </row>
    <row r="41" spans="1:3" ht="13" x14ac:dyDescent="0.15">
      <c r="A41" s="10"/>
      <c r="B41" s="13"/>
      <c r="C41" s="13"/>
    </row>
    <row r="42" spans="1:3" ht="13" x14ac:dyDescent="0.15">
      <c r="A42" s="10"/>
      <c r="B42" s="13"/>
      <c r="C42" s="13"/>
    </row>
    <row r="43" spans="1:3" ht="13" x14ac:dyDescent="0.15">
      <c r="A43" s="10"/>
      <c r="B43" s="13"/>
      <c r="C43" s="13"/>
    </row>
    <row r="44" spans="1:3" ht="13" x14ac:dyDescent="0.15">
      <c r="A44" s="10"/>
      <c r="B44" s="13"/>
      <c r="C44" s="13"/>
    </row>
    <row r="45" spans="1:3" ht="13" x14ac:dyDescent="0.15">
      <c r="A45" s="10"/>
      <c r="B45" s="13"/>
      <c r="C45" s="13"/>
    </row>
    <row r="46" spans="1:3" ht="13" x14ac:dyDescent="0.15">
      <c r="A46" s="10"/>
      <c r="B46" s="13"/>
      <c r="C46" s="13"/>
    </row>
    <row r="47" spans="1:3" ht="13" x14ac:dyDescent="0.15">
      <c r="A47" s="10"/>
      <c r="B47" s="13"/>
      <c r="C47" s="13"/>
    </row>
    <row r="48" spans="1:3" ht="13" x14ac:dyDescent="0.15">
      <c r="A48" s="10"/>
      <c r="B48" s="13"/>
      <c r="C48" s="13"/>
    </row>
    <row r="49" spans="1:3" ht="13" x14ac:dyDescent="0.15">
      <c r="A49" s="10"/>
      <c r="B49" s="13"/>
      <c r="C49" s="13"/>
    </row>
    <row r="50" spans="1:3" ht="13" x14ac:dyDescent="0.15">
      <c r="A50" s="10"/>
      <c r="B50" s="13"/>
      <c r="C50" s="13"/>
    </row>
    <row r="51" spans="1:3" ht="13" x14ac:dyDescent="0.15">
      <c r="A51" s="10"/>
      <c r="B51" s="13"/>
      <c r="C51" s="13"/>
    </row>
    <row r="52" spans="1:3" ht="13" x14ac:dyDescent="0.15">
      <c r="A52" s="10"/>
      <c r="B52" s="13"/>
      <c r="C52" s="13"/>
    </row>
    <row r="53" spans="1:3" ht="13" x14ac:dyDescent="0.15">
      <c r="A53" s="10"/>
      <c r="B53" s="13"/>
      <c r="C53" s="13"/>
    </row>
    <row r="54" spans="1:3" ht="13" x14ac:dyDescent="0.15">
      <c r="A54" s="10"/>
      <c r="B54" s="13"/>
      <c r="C54" s="13"/>
    </row>
    <row r="55" spans="1:3" ht="13" x14ac:dyDescent="0.15">
      <c r="A55" s="10"/>
      <c r="B55" s="13"/>
      <c r="C55" s="13"/>
    </row>
    <row r="56" spans="1:3" ht="13" x14ac:dyDescent="0.15">
      <c r="A56" s="10"/>
      <c r="B56" s="13"/>
      <c r="C56" s="13"/>
    </row>
    <row r="57" spans="1:3" ht="13" x14ac:dyDescent="0.15">
      <c r="A57" s="10"/>
      <c r="B57" s="13"/>
      <c r="C57" s="13"/>
    </row>
    <row r="58" spans="1:3" ht="13" x14ac:dyDescent="0.15">
      <c r="A58" s="10"/>
      <c r="B58" s="13"/>
      <c r="C58" s="13"/>
    </row>
    <row r="59" spans="1:3" ht="13" x14ac:dyDescent="0.15">
      <c r="A59" s="10"/>
      <c r="B59" s="13"/>
      <c r="C59" s="13"/>
    </row>
    <row r="60" spans="1:3" ht="13" x14ac:dyDescent="0.15">
      <c r="A60" s="10"/>
      <c r="B60" s="13"/>
      <c r="C60" s="13"/>
    </row>
    <row r="61" spans="1:3" ht="13" x14ac:dyDescent="0.15">
      <c r="A61" s="10"/>
      <c r="B61" s="13"/>
      <c r="C61" s="13"/>
    </row>
    <row r="62" spans="1:3" ht="13" x14ac:dyDescent="0.15">
      <c r="A62" s="10"/>
      <c r="B62" s="13"/>
      <c r="C62" s="13"/>
    </row>
    <row r="63" spans="1:3" ht="13" x14ac:dyDescent="0.15">
      <c r="A63" s="10"/>
      <c r="B63" s="13"/>
      <c r="C63" s="13"/>
    </row>
    <row r="64" spans="1:3" ht="13" x14ac:dyDescent="0.15">
      <c r="A64" s="10"/>
      <c r="B64" s="13"/>
      <c r="C64" s="13"/>
    </row>
    <row r="65" spans="1:3" ht="13" x14ac:dyDescent="0.15">
      <c r="A65" s="10"/>
      <c r="B65" s="13"/>
      <c r="C65" s="13"/>
    </row>
    <row r="66" spans="1:3" ht="13" x14ac:dyDescent="0.15">
      <c r="A66" s="10"/>
      <c r="B66" s="13"/>
      <c r="C66" s="13"/>
    </row>
    <row r="67" spans="1:3" ht="13" x14ac:dyDescent="0.15">
      <c r="A67" s="10"/>
      <c r="B67" s="13"/>
      <c r="C67" s="13"/>
    </row>
    <row r="68" spans="1:3" ht="13" x14ac:dyDescent="0.15">
      <c r="A68" s="10"/>
      <c r="B68" s="13"/>
      <c r="C68" s="13"/>
    </row>
    <row r="69" spans="1:3" ht="13" x14ac:dyDescent="0.15">
      <c r="A69" s="10"/>
      <c r="B69" s="13"/>
      <c r="C69" s="13"/>
    </row>
    <row r="70" spans="1:3" ht="13" x14ac:dyDescent="0.15">
      <c r="A70" s="10"/>
      <c r="B70" s="13"/>
      <c r="C70" s="13"/>
    </row>
    <row r="71" spans="1:3" ht="13" x14ac:dyDescent="0.15">
      <c r="A71" s="10"/>
      <c r="B71" s="13"/>
      <c r="C71" s="13"/>
    </row>
    <row r="72" spans="1:3" ht="13" x14ac:dyDescent="0.15">
      <c r="A72" s="10"/>
      <c r="B72" s="13"/>
      <c r="C72" s="13"/>
    </row>
    <row r="73" spans="1:3" ht="13" x14ac:dyDescent="0.15">
      <c r="A73" s="10"/>
      <c r="B73" s="13"/>
      <c r="C73" s="13"/>
    </row>
    <row r="74" spans="1:3" ht="13" x14ac:dyDescent="0.15">
      <c r="A74" s="10"/>
      <c r="B74" s="13"/>
      <c r="C74" s="13"/>
    </row>
    <row r="75" spans="1:3" ht="13" x14ac:dyDescent="0.15">
      <c r="A75" s="10"/>
      <c r="B75" s="13"/>
      <c r="C75" s="13"/>
    </row>
    <row r="76" spans="1:3" ht="13" x14ac:dyDescent="0.15">
      <c r="A76" s="10"/>
      <c r="B76" s="13"/>
      <c r="C76" s="13"/>
    </row>
    <row r="77" spans="1:3" ht="13" x14ac:dyDescent="0.15">
      <c r="A77" s="10"/>
      <c r="B77" s="13"/>
      <c r="C77" s="13"/>
    </row>
    <row r="78" spans="1:3" ht="13" x14ac:dyDescent="0.15">
      <c r="A78" s="10"/>
      <c r="B78" s="13"/>
      <c r="C78" s="13"/>
    </row>
    <row r="79" spans="1:3" ht="13" x14ac:dyDescent="0.15">
      <c r="A79" s="10"/>
      <c r="B79" s="13"/>
      <c r="C79" s="13"/>
    </row>
    <row r="80" spans="1:3" ht="13" x14ac:dyDescent="0.15">
      <c r="A80" s="10"/>
      <c r="B80" s="13"/>
      <c r="C80" s="13"/>
    </row>
    <row r="81" spans="1:3" ht="13" x14ac:dyDescent="0.15">
      <c r="A81" s="10"/>
      <c r="B81" s="13"/>
      <c r="C81" s="13"/>
    </row>
    <row r="82" spans="1:3" ht="13" x14ac:dyDescent="0.15">
      <c r="A82" s="10"/>
      <c r="B82" s="13"/>
      <c r="C82" s="13"/>
    </row>
    <row r="83" spans="1:3" ht="13" x14ac:dyDescent="0.15">
      <c r="A83" s="10"/>
      <c r="B83" s="13"/>
      <c r="C83" s="13"/>
    </row>
    <row r="84" spans="1:3" ht="13" x14ac:dyDescent="0.15">
      <c r="A84" s="10"/>
      <c r="B84" s="13"/>
      <c r="C84" s="13"/>
    </row>
    <row r="85" spans="1:3" ht="13" x14ac:dyDescent="0.15">
      <c r="A85" s="10"/>
      <c r="B85" s="13"/>
      <c r="C85" s="13"/>
    </row>
    <row r="86" spans="1:3" ht="13" x14ac:dyDescent="0.15">
      <c r="A86" s="10"/>
      <c r="B86" s="13"/>
      <c r="C86" s="13"/>
    </row>
    <row r="87" spans="1:3" ht="13" x14ac:dyDescent="0.15">
      <c r="A87" s="10"/>
      <c r="B87" s="13"/>
      <c r="C87" s="13"/>
    </row>
    <row r="88" spans="1:3" ht="13" x14ac:dyDescent="0.15">
      <c r="A88" s="10"/>
      <c r="B88" s="13"/>
      <c r="C88" s="13"/>
    </row>
    <row r="89" spans="1:3" ht="13" x14ac:dyDescent="0.15">
      <c r="A89" s="10"/>
      <c r="B89" s="13"/>
      <c r="C89" s="13"/>
    </row>
    <row r="90" spans="1:3" ht="13" x14ac:dyDescent="0.15">
      <c r="A90" s="10"/>
      <c r="B90" s="13"/>
      <c r="C90" s="13"/>
    </row>
    <row r="91" spans="1:3" ht="13" x14ac:dyDescent="0.15">
      <c r="A91" s="10"/>
      <c r="B91" s="13"/>
      <c r="C91" s="13"/>
    </row>
    <row r="92" spans="1:3" ht="13" x14ac:dyDescent="0.15">
      <c r="A92" s="10"/>
      <c r="B92" s="13"/>
      <c r="C92" s="13"/>
    </row>
    <row r="93" spans="1:3" ht="13" x14ac:dyDescent="0.15">
      <c r="A93" s="10"/>
      <c r="B93" s="13"/>
      <c r="C93" s="13"/>
    </row>
    <row r="94" spans="1:3" ht="13" x14ac:dyDescent="0.15">
      <c r="A94" s="10"/>
      <c r="B94" s="13"/>
      <c r="C94" s="13"/>
    </row>
    <row r="95" spans="1:3" ht="13" x14ac:dyDescent="0.15">
      <c r="A95" s="10"/>
      <c r="B95" s="13"/>
      <c r="C95" s="13"/>
    </row>
    <row r="96" spans="1:3" ht="13" x14ac:dyDescent="0.15">
      <c r="A96" s="10"/>
      <c r="B96" s="13"/>
      <c r="C96" s="13"/>
    </row>
    <row r="97" spans="1:3" ht="13" x14ac:dyDescent="0.15">
      <c r="A97" s="10"/>
      <c r="B97" s="13"/>
      <c r="C97" s="13"/>
    </row>
    <row r="98" spans="1:3" ht="13" x14ac:dyDescent="0.15">
      <c r="A98" s="10"/>
      <c r="B98" s="13"/>
      <c r="C98" s="13"/>
    </row>
    <row r="99" spans="1:3" ht="13" x14ac:dyDescent="0.15">
      <c r="A99" s="10"/>
      <c r="B99" s="13"/>
      <c r="C99" s="13"/>
    </row>
    <row r="100" spans="1:3" ht="13" x14ac:dyDescent="0.15">
      <c r="A100" s="10"/>
      <c r="B100" s="13"/>
      <c r="C100" s="13"/>
    </row>
    <row r="101" spans="1:3" ht="13" x14ac:dyDescent="0.15">
      <c r="A101" s="10"/>
      <c r="B101" s="13"/>
      <c r="C101" s="13"/>
    </row>
    <row r="102" spans="1:3" ht="13" x14ac:dyDescent="0.15">
      <c r="A102" s="10"/>
      <c r="B102" s="13"/>
      <c r="C102" s="13"/>
    </row>
    <row r="103" spans="1:3" ht="13" x14ac:dyDescent="0.15">
      <c r="A103" s="10"/>
      <c r="B103" s="13"/>
      <c r="C103" s="13"/>
    </row>
    <row r="104" spans="1:3" ht="13" x14ac:dyDescent="0.15">
      <c r="A104" s="10"/>
      <c r="B104" s="13"/>
      <c r="C104" s="13"/>
    </row>
    <row r="105" spans="1:3" ht="13" x14ac:dyDescent="0.15">
      <c r="A105" s="10"/>
      <c r="B105" s="13"/>
      <c r="C105" s="13"/>
    </row>
    <row r="106" spans="1:3" ht="13" x14ac:dyDescent="0.15">
      <c r="A106" s="10"/>
      <c r="B106" s="13"/>
      <c r="C106" s="13"/>
    </row>
    <row r="107" spans="1:3" ht="13" x14ac:dyDescent="0.15">
      <c r="A107" s="10"/>
      <c r="B107" s="13"/>
      <c r="C107" s="13"/>
    </row>
    <row r="108" spans="1:3" ht="13" x14ac:dyDescent="0.15">
      <c r="A108" s="10"/>
      <c r="B108" s="13"/>
      <c r="C108" s="13"/>
    </row>
    <row r="109" spans="1:3" ht="13" x14ac:dyDescent="0.15">
      <c r="A109" s="10"/>
      <c r="B109" s="13"/>
      <c r="C109" s="13"/>
    </row>
    <row r="110" spans="1:3" ht="13" x14ac:dyDescent="0.15">
      <c r="A110" s="10"/>
      <c r="B110" s="13"/>
      <c r="C110" s="13"/>
    </row>
    <row r="111" spans="1:3" ht="13" x14ac:dyDescent="0.15">
      <c r="A111" s="10"/>
      <c r="B111" s="13"/>
      <c r="C111" s="13"/>
    </row>
    <row r="112" spans="1:3" ht="13" x14ac:dyDescent="0.15">
      <c r="A112" s="10"/>
      <c r="B112" s="13"/>
      <c r="C112" s="13"/>
    </row>
    <row r="113" spans="1:3" ht="13" x14ac:dyDescent="0.15">
      <c r="A113" s="10"/>
      <c r="B113" s="13"/>
      <c r="C113" s="13"/>
    </row>
    <row r="114" spans="1:3" ht="13" x14ac:dyDescent="0.15">
      <c r="A114" s="10"/>
      <c r="B114" s="13"/>
      <c r="C114" s="13"/>
    </row>
    <row r="115" spans="1:3" ht="13" x14ac:dyDescent="0.15">
      <c r="A115" s="10"/>
      <c r="B115" s="13"/>
      <c r="C115" s="13"/>
    </row>
    <row r="116" spans="1:3" ht="13" x14ac:dyDescent="0.15">
      <c r="A116" s="10"/>
      <c r="B116" s="13"/>
      <c r="C116" s="13"/>
    </row>
    <row r="117" spans="1:3" ht="13" x14ac:dyDescent="0.15">
      <c r="A117" s="10"/>
      <c r="B117" s="13"/>
      <c r="C117" s="13"/>
    </row>
    <row r="118" spans="1:3" ht="13" x14ac:dyDescent="0.15">
      <c r="A118" s="10"/>
      <c r="B118" s="13"/>
      <c r="C118" s="13"/>
    </row>
    <row r="119" spans="1:3" ht="13" x14ac:dyDescent="0.15">
      <c r="A119" s="10"/>
      <c r="B119" s="13"/>
      <c r="C119" s="13"/>
    </row>
    <row r="120" spans="1:3" ht="13" x14ac:dyDescent="0.15">
      <c r="A120" s="10"/>
      <c r="B120" s="13"/>
      <c r="C120" s="13"/>
    </row>
    <row r="121" spans="1:3" ht="13" x14ac:dyDescent="0.15">
      <c r="A121" s="10"/>
      <c r="B121" s="13"/>
      <c r="C121" s="13"/>
    </row>
    <row r="122" spans="1:3" ht="13" x14ac:dyDescent="0.15">
      <c r="A122" s="10"/>
      <c r="B122" s="13"/>
      <c r="C122" s="13"/>
    </row>
    <row r="123" spans="1:3" ht="13" x14ac:dyDescent="0.15">
      <c r="A123" s="10"/>
      <c r="B123" s="13"/>
      <c r="C123" s="13"/>
    </row>
    <row r="124" spans="1:3" ht="13" x14ac:dyDescent="0.15">
      <c r="A124" s="10"/>
      <c r="B124" s="13"/>
      <c r="C124" s="13"/>
    </row>
    <row r="125" spans="1:3" ht="13" x14ac:dyDescent="0.15">
      <c r="A125" s="10"/>
      <c r="B125" s="13"/>
      <c r="C125" s="13"/>
    </row>
    <row r="126" spans="1:3" ht="13" x14ac:dyDescent="0.15">
      <c r="A126" s="10"/>
      <c r="B126" s="13"/>
      <c r="C126" s="13"/>
    </row>
    <row r="127" spans="1:3" ht="13" x14ac:dyDescent="0.15">
      <c r="A127" s="10"/>
      <c r="B127" s="13"/>
      <c r="C127" s="13"/>
    </row>
    <row r="128" spans="1:3" ht="13" x14ac:dyDescent="0.15">
      <c r="A128" s="10"/>
      <c r="B128" s="13"/>
      <c r="C128" s="13"/>
    </row>
    <row r="129" spans="1:3" ht="13" x14ac:dyDescent="0.15">
      <c r="A129" s="10"/>
      <c r="B129" s="13"/>
      <c r="C129" s="13"/>
    </row>
    <row r="130" spans="1:3" ht="13" x14ac:dyDescent="0.15">
      <c r="A130" s="10"/>
      <c r="B130" s="13"/>
      <c r="C130" s="13"/>
    </row>
    <row r="131" spans="1:3" ht="13" x14ac:dyDescent="0.15">
      <c r="A131" s="10"/>
      <c r="B131" s="13"/>
      <c r="C131" s="13"/>
    </row>
    <row r="132" spans="1:3" ht="13" x14ac:dyDescent="0.15">
      <c r="A132" s="10"/>
      <c r="B132" s="13"/>
      <c r="C132" s="13"/>
    </row>
    <row r="133" spans="1:3" ht="13" x14ac:dyDescent="0.15">
      <c r="A133" s="10"/>
      <c r="B133" s="13"/>
      <c r="C133" s="13"/>
    </row>
    <row r="134" spans="1:3" ht="13" x14ac:dyDescent="0.15">
      <c r="A134" s="10"/>
      <c r="B134" s="13"/>
      <c r="C134" s="13"/>
    </row>
    <row r="135" spans="1:3" ht="13" x14ac:dyDescent="0.15">
      <c r="A135" s="10"/>
      <c r="B135" s="13"/>
      <c r="C135" s="13"/>
    </row>
    <row r="136" spans="1:3" ht="13" x14ac:dyDescent="0.15">
      <c r="A136" s="10"/>
      <c r="B136" s="13"/>
      <c r="C136" s="13"/>
    </row>
    <row r="137" spans="1:3" ht="13" x14ac:dyDescent="0.15">
      <c r="A137" s="10"/>
      <c r="B137" s="13"/>
      <c r="C137" s="13"/>
    </row>
    <row r="138" spans="1:3" ht="13" x14ac:dyDescent="0.15">
      <c r="A138" s="10"/>
      <c r="B138" s="13"/>
      <c r="C138" s="13"/>
    </row>
    <row r="139" spans="1:3" ht="13" x14ac:dyDescent="0.15">
      <c r="A139" s="10"/>
      <c r="B139" s="13"/>
      <c r="C139" s="13"/>
    </row>
    <row r="140" spans="1:3" ht="13" x14ac:dyDescent="0.15">
      <c r="A140" s="10"/>
      <c r="B140" s="13"/>
      <c r="C140" s="13"/>
    </row>
    <row r="141" spans="1:3" ht="13" x14ac:dyDescent="0.15">
      <c r="A141" s="10"/>
      <c r="B141" s="13"/>
      <c r="C141" s="13"/>
    </row>
    <row r="142" spans="1:3" ht="13" x14ac:dyDescent="0.15">
      <c r="A142" s="10"/>
      <c r="B142" s="13"/>
      <c r="C142" s="13"/>
    </row>
    <row r="143" spans="1:3" ht="13" x14ac:dyDescent="0.15">
      <c r="A143" s="10"/>
      <c r="B143" s="13"/>
      <c r="C143" s="13"/>
    </row>
    <row r="144" spans="1:3" ht="13" x14ac:dyDescent="0.15">
      <c r="A144" s="10"/>
      <c r="B144" s="13"/>
      <c r="C144" s="13"/>
    </row>
    <row r="145" spans="1:3" ht="13" x14ac:dyDescent="0.15">
      <c r="A145" s="10"/>
      <c r="B145" s="13"/>
      <c r="C145" s="13"/>
    </row>
    <row r="146" spans="1:3" ht="13" x14ac:dyDescent="0.15">
      <c r="A146" s="10"/>
      <c r="B146" s="13"/>
      <c r="C146" s="13"/>
    </row>
    <row r="147" spans="1:3" ht="13" x14ac:dyDescent="0.15">
      <c r="A147" s="10"/>
      <c r="B147" s="13"/>
      <c r="C147" s="13"/>
    </row>
    <row r="148" spans="1:3" ht="13" x14ac:dyDescent="0.15">
      <c r="A148" s="10"/>
      <c r="B148" s="13"/>
      <c r="C148" s="13"/>
    </row>
    <row r="149" spans="1:3" ht="13" x14ac:dyDescent="0.15">
      <c r="A149" s="10"/>
      <c r="B149" s="13"/>
      <c r="C149" s="13"/>
    </row>
    <row r="150" spans="1:3" ht="13" x14ac:dyDescent="0.15">
      <c r="A150" s="10"/>
      <c r="B150" s="13"/>
      <c r="C150" s="13"/>
    </row>
    <row r="151" spans="1:3" ht="13" x14ac:dyDescent="0.15">
      <c r="A151" s="10"/>
      <c r="B151" s="13"/>
      <c r="C151" s="13"/>
    </row>
    <row r="152" spans="1:3" ht="13" x14ac:dyDescent="0.15">
      <c r="A152" s="10"/>
      <c r="B152" s="13"/>
      <c r="C152" s="13"/>
    </row>
    <row r="153" spans="1:3" ht="13" x14ac:dyDescent="0.15">
      <c r="A153" s="10"/>
      <c r="B153" s="13"/>
      <c r="C153" s="13"/>
    </row>
    <row r="154" spans="1:3" ht="13" x14ac:dyDescent="0.15">
      <c r="A154" s="10"/>
      <c r="B154" s="13"/>
      <c r="C154" s="13"/>
    </row>
    <row r="155" spans="1:3" ht="13" x14ac:dyDescent="0.15">
      <c r="A155" s="10"/>
      <c r="B155" s="13"/>
      <c r="C155" s="13"/>
    </row>
    <row r="156" spans="1:3" ht="13" x14ac:dyDescent="0.15">
      <c r="A156" s="10"/>
      <c r="B156" s="13"/>
      <c r="C156" s="13"/>
    </row>
    <row r="157" spans="1:3" ht="13" x14ac:dyDescent="0.15">
      <c r="A157" s="10"/>
      <c r="B157" s="13"/>
      <c r="C157" s="13"/>
    </row>
    <row r="158" spans="1:3" ht="13" x14ac:dyDescent="0.15">
      <c r="A158" s="10"/>
      <c r="B158" s="13"/>
      <c r="C158" s="13"/>
    </row>
    <row r="159" spans="1:3" ht="13" x14ac:dyDescent="0.15">
      <c r="A159" s="10"/>
      <c r="B159" s="13"/>
      <c r="C159" s="13"/>
    </row>
    <row r="160" spans="1:3" ht="13" x14ac:dyDescent="0.15">
      <c r="A160" s="10"/>
      <c r="B160" s="13"/>
      <c r="C160" s="13"/>
    </row>
    <row r="161" spans="1:3" ht="13" x14ac:dyDescent="0.15">
      <c r="A161" s="10"/>
      <c r="B161" s="13"/>
      <c r="C161" s="13"/>
    </row>
    <row r="162" spans="1:3" ht="13" x14ac:dyDescent="0.15">
      <c r="A162" s="10"/>
      <c r="B162" s="13"/>
      <c r="C162" s="13"/>
    </row>
    <row r="163" spans="1:3" ht="13" x14ac:dyDescent="0.15">
      <c r="A163" s="10"/>
      <c r="B163" s="13"/>
      <c r="C163" s="13"/>
    </row>
    <row r="164" spans="1:3" ht="13" x14ac:dyDescent="0.15">
      <c r="A164" s="10"/>
      <c r="B164" s="13"/>
      <c r="C164" s="13"/>
    </row>
    <row r="165" spans="1:3" ht="13" x14ac:dyDescent="0.15">
      <c r="A165" s="10"/>
      <c r="B165" s="13"/>
      <c r="C165" s="13"/>
    </row>
    <row r="166" spans="1:3" ht="13" x14ac:dyDescent="0.15">
      <c r="A166" s="10"/>
      <c r="B166" s="13"/>
      <c r="C166" s="13"/>
    </row>
    <row r="167" spans="1:3" ht="13" x14ac:dyDescent="0.15">
      <c r="A167" s="10"/>
      <c r="B167" s="13"/>
      <c r="C167" s="13"/>
    </row>
    <row r="168" spans="1:3" ht="13" x14ac:dyDescent="0.15">
      <c r="A168" s="10"/>
      <c r="B168" s="13"/>
      <c r="C168" s="13"/>
    </row>
    <row r="169" spans="1:3" ht="13" x14ac:dyDescent="0.15">
      <c r="A169" s="10"/>
      <c r="B169" s="13"/>
      <c r="C169" s="13"/>
    </row>
    <row r="170" spans="1:3" ht="13" x14ac:dyDescent="0.15">
      <c r="A170" s="10"/>
      <c r="B170" s="13"/>
      <c r="C170" s="13"/>
    </row>
    <row r="171" spans="1:3" ht="13" x14ac:dyDescent="0.15">
      <c r="A171" s="10"/>
      <c r="B171" s="13"/>
      <c r="C171" s="13"/>
    </row>
    <row r="172" spans="1:3" ht="13" x14ac:dyDescent="0.15">
      <c r="A172" s="10"/>
      <c r="B172" s="13"/>
      <c r="C172" s="13"/>
    </row>
    <row r="173" spans="1:3" ht="13" x14ac:dyDescent="0.15">
      <c r="A173" s="10"/>
      <c r="B173" s="13"/>
      <c r="C173" s="13"/>
    </row>
    <row r="174" spans="1:3" ht="13" x14ac:dyDescent="0.15">
      <c r="A174" s="10"/>
      <c r="B174" s="13"/>
      <c r="C174" s="13"/>
    </row>
    <row r="175" spans="1:3" ht="13" x14ac:dyDescent="0.15">
      <c r="A175" s="10"/>
      <c r="B175" s="13"/>
      <c r="C175" s="13"/>
    </row>
    <row r="176" spans="1:3" ht="13" x14ac:dyDescent="0.15">
      <c r="A176" s="10"/>
      <c r="B176" s="13"/>
      <c r="C176" s="13"/>
    </row>
    <row r="177" spans="1:3" ht="13" x14ac:dyDescent="0.15">
      <c r="A177" s="10"/>
      <c r="B177" s="13"/>
      <c r="C177" s="13"/>
    </row>
    <row r="178" spans="1:3" ht="13" x14ac:dyDescent="0.15">
      <c r="A178" s="10"/>
      <c r="B178" s="13"/>
      <c r="C178" s="13"/>
    </row>
    <row r="179" spans="1:3" ht="13" x14ac:dyDescent="0.15">
      <c r="A179" s="10"/>
      <c r="B179" s="13"/>
      <c r="C179" s="13"/>
    </row>
    <row r="180" spans="1:3" ht="13" x14ac:dyDescent="0.15">
      <c r="A180" s="10"/>
      <c r="B180" s="13"/>
      <c r="C180" s="13"/>
    </row>
    <row r="181" spans="1:3" ht="13" x14ac:dyDescent="0.15">
      <c r="A181" s="10"/>
      <c r="B181" s="13"/>
      <c r="C181" s="13"/>
    </row>
    <row r="182" spans="1:3" ht="13" x14ac:dyDescent="0.15">
      <c r="A182" s="10"/>
      <c r="B182" s="13"/>
      <c r="C182" s="13"/>
    </row>
    <row r="183" spans="1:3" ht="13" x14ac:dyDescent="0.15">
      <c r="A183" s="10"/>
      <c r="B183" s="13"/>
      <c r="C183" s="13"/>
    </row>
    <row r="184" spans="1:3" ht="13" x14ac:dyDescent="0.15">
      <c r="A184" s="10"/>
      <c r="B184" s="13"/>
      <c r="C184" s="13"/>
    </row>
    <row r="185" spans="1:3" ht="13" x14ac:dyDescent="0.15">
      <c r="A185" s="10"/>
      <c r="B185" s="13"/>
      <c r="C185" s="13"/>
    </row>
    <row r="186" spans="1:3" ht="13" x14ac:dyDescent="0.15">
      <c r="A186" s="10"/>
      <c r="B186" s="13"/>
      <c r="C186" s="13"/>
    </row>
    <row r="187" spans="1:3" ht="13" x14ac:dyDescent="0.15">
      <c r="A187" s="10"/>
      <c r="B187" s="13"/>
      <c r="C187" s="13"/>
    </row>
    <row r="188" spans="1:3" ht="13" x14ac:dyDescent="0.15">
      <c r="A188" s="10"/>
      <c r="B188" s="13"/>
      <c r="C188" s="13"/>
    </row>
    <row r="189" spans="1:3" ht="13" x14ac:dyDescent="0.15">
      <c r="A189" s="10"/>
      <c r="B189" s="13"/>
      <c r="C189" s="13"/>
    </row>
    <row r="190" spans="1:3" ht="13" x14ac:dyDescent="0.15">
      <c r="A190" s="10"/>
      <c r="B190" s="13"/>
      <c r="C190" s="13"/>
    </row>
    <row r="191" spans="1:3" ht="13" x14ac:dyDescent="0.15">
      <c r="A191" s="10"/>
      <c r="B191" s="13"/>
      <c r="C191" s="13"/>
    </row>
    <row r="192" spans="1:3" ht="13" x14ac:dyDescent="0.15">
      <c r="A192" s="10"/>
      <c r="B192" s="13"/>
      <c r="C192" s="13"/>
    </row>
    <row r="193" spans="1:3" ht="13" x14ac:dyDescent="0.15">
      <c r="A193" s="10"/>
      <c r="B193" s="13"/>
      <c r="C193" s="13"/>
    </row>
    <row r="194" spans="1:3" ht="13" x14ac:dyDescent="0.15">
      <c r="A194" s="10"/>
      <c r="B194" s="13"/>
      <c r="C194" s="13"/>
    </row>
    <row r="195" spans="1:3" ht="13" x14ac:dyDescent="0.15">
      <c r="A195" s="10"/>
      <c r="B195" s="13"/>
      <c r="C195" s="13"/>
    </row>
    <row r="196" spans="1:3" ht="13" x14ac:dyDescent="0.15">
      <c r="A196" s="10"/>
      <c r="B196" s="13"/>
      <c r="C196" s="13"/>
    </row>
    <row r="197" spans="1:3" ht="13" x14ac:dyDescent="0.15">
      <c r="A197" s="10"/>
      <c r="B197" s="13"/>
      <c r="C197" s="13"/>
    </row>
    <row r="198" spans="1:3" ht="13" x14ac:dyDescent="0.15">
      <c r="A198" s="10"/>
      <c r="B198" s="13"/>
      <c r="C198" s="13"/>
    </row>
    <row r="199" spans="1:3" ht="13" x14ac:dyDescent="0.15">
      <c r="A199" s="10"/>
      <c r="B199" s="13"/>
      <c r="C199" s="13"/>
    </row>
    <row r="200" spans="1:3" ht="13" x14ac:dyDescent="0.15">
      <c r="A200" s="10"/>
      <c r="B200" s="13"/>
      <c r="C200" s="13"/>
    </row>
    <row r="201" spans="1:3" ht="13" x14ac:dyDescent="0.15">
      <c r="A201" s="10"/>
      <c r="B201" s="13"/>
      <c r="C201" s="13"/>
    </row>
    <row r="202" spans="1:3" ht="13" x14ac:dyDescent="0.15">
      <c r="A202" s="10"/>
      <c r="B202" s="13"/>
      <c r="C202" s="13"/>
    </row>
    <row r="203" spans="1:3" ht="13" x14ac:dyDescent="0.15">
      <c r="A203" s="10"/>
      <c r="B203" s="13"/>
      <c r="C203" s="13"/>
    </row>
    <row r="204" spans="1:3" ht="13" x14ac:dyDescent="0.15">
      <c r="A204" s="10"/>
      <c r="B204" s="13"/>
      <c r="C204" s="13"/>
    </row>
    <row r="205" spans="1:3" ht="13" x14ac:dyDescent="0.15">
      <c r="A205" s="10"/>
      <c r="B205" s="13"/>
      <c r="C205" s="13"/>
    </row>
    <row r="206" spans="1:3" ht="13" x14ac:dyDescent="0.15">
      <c r="A206" s="10"/>
      <c r="B206" s="13"/>
      <c r="C206" s="13"/>
    </row>
    <row r="207" spans="1:3" ht="13" x14ac:dyDescent="0.15">
      <c r="A207" s="10"/>
      <c r="B207" s="13"/>
      <c r="C207" s="13"/>
    </row>
    <row r="208" spans="1:3" ht="13" x14ac:dyDescent="0.15">
      <c r="A208" s="10"/>
      <c r="B208" s="13"/>
      <c r="C208" s="13"/>
    </row>
    <row r="209" spans="1:3" ht="13" x14ac:dyDescent="0.15">
      <c r="A209" s="10"/>
      <c r="B209" s="13"/>
      <c r="C209" s="13"/>
    </row>
    <row r="210" spans="1:3" ht="13" x14ac:dyDescent="0.15">
      <c r="A210" s="10"/>
      <c r="B210" s="13"/>
      <c r="C210" s="13"/>
    </row>
    <row r="211" spans="1:3" ht="13" x14ac:dyDescent="0.15">
      <c r="A211" s="10"/>
      <c r="B211" s="13"/>
      <c r="C211" s="13"/>
    </row>
    <row r="212" spans="1:3" ht="13" x14ac:dyDescent="0.15">
      <c r="A212" s="10"/>
      <c r="B212" s="13"/>
      <c r="C212" s="13"/>
    </row>
    <row r="213" spans="1:3" ht="13" x14ac:dyDescent="0.15">
      <c r="A213" s="10"/>
      <c r="B213" s="13"/>
      <c r="C213" s="13"/>
    </row>
    <row r="214" spans="1:3" ht="13" x14ac:dyDescent="0.15">
      <c r="A214" s="10"/>
      <c r="B214" s="13"/>
      <c r="C214" s="13"/>
    </row>
    <row r="215" spans="1:3" ht="13" x14ac:dyDescent="0.15">
      <c r="A215" s="10"/>
      <c r="B215" s="13"/>
      <c r="C215" s="13"/>
    </row>
    <row r="216" spans="1:3" ht="13" x14ac:dyDescent="0.15">
      <c r="A216" s="10"/>
      <c r="B216" s="13"/>
      <c r="C216" s="13"/>
    </row>
    <row r="217" spans="1:3" ht="13" x14ac:dyDescent="0.15">
      <c r="A217" s="10"/>
      <c r="B217" s="13"/>
      <c r="C217" s="13"/>
    </row>
    <row r="218" spans="1:3" ht="13" x14ac:dyDescent="0.15">
      <c r="A218" s="10"/>
      <c r="B218" s="13"/>
      <c r="C218" s="13"/>
    </row>
    <row r="219" spans="1:3" ht="13" x14ac:dyDescent="0.15">
      <c r="A219" s="10"/>
      <c r="B219" s="13"/>
      <c r="C219" s="13"/>
    </row>
    <row r="220" spans="1:3" ht="13" x14ac:dyDescent="0.15">
      <c r="A220" s="10"/>
      <c r="B220" s="13"/>
      <c r="C220" s="13"/>
    </row>
    <row r="221" spans="1:3" ht="13" x14ac:dyDescent="0.15">
      <c r="A221" s="10"/>
      <c r="B221" s="13"/>
      <c r="C221" s="13"/>
    </row>
    <row r="222" spans="1:3" ht="13" x14ac:dyDescent="0.15">
      <c r="A222" s="10"/>
      <c r="B222" s="13"/>
      <c r="C222" s="13"/>
    </row>
    <row r="223" spans="1:3" ht="13" x14ac:dyDescent="0.15">
      <c r="A223" s="10"/>
      <c r="B223" s="13"/>
      <c r="C223" s="13"/>
    </row>
    <row r="224" spans="1:3" ht="13" x14ac:dyDescent="0.15">
      <c r="A224" s="10"/>
      <c r="B224" s="13"/>
      <c r="C224" s="13"/>
    </row>
    <row r="225" spans="1:3" ht="13" x14ac:dyDescent="0.15">
      <c r="A225" s="10"/>
      <c r="B225" s="13"/>
      <c r="C225" s="13"/>
    </row>
    <row r="226" spans="1:3" ht="13" x14ac:dyDescent="0.15">
      <c r="A226" s="10"/>
      <c r="B226" s="13"/>
      <c r="C226" s="13"/>
    </row>
    <row r="227" spans="1:3" ht="13" x14ac:dyDescent="0.15">
      <c r="A227" s="10"/>
      <c r="B227" s="13"/>
      <c r="C227" s="13"/>
    </row>
    <row r="228" spans="1:3" ht="13" x14ac:dyDescent="0.15">
      <c r="A228" s="10"/>
      <c r="B228" s="13"/>
      <c r="C228" s="13"/>
    </row>
    <row r="229" spans="1:3" ht="13" x14ac:dyDescent="0.15">
      <c r="A229" s="10"/>
      <c r="B229" s="13"/>
      <c r="C229" s="13"/>
    </row>
    <row r="230" spans="1:3" ht="13" x14ac:dyDescent="0.15">
      <c r="A230" s="10"/>
      <c r="B230" s="13"/>
      <c r="C230" s="13"/>
    </row>
    <row r="231" spans="1:3" ht="13" x14ac:dyDescent="0.15">
      <c r="A231" s="10"/>
      <c r="B231" s="13"/>
      <c r="C231" s="13"/>
    </row>
    <row r="232" spans="1:3" ht="13" x14ac:dyDescent="0.15">
      <c r="A232" s="10"/>
      <c r="B232" s="13"/>
      <c r="C232" s="13"/>
    </row>
    <row r="233" spans="1:3" ht="13" x14ac:dyDescent="0.15">
      <c r="A233" s="10"/>
      <c r="B233" s="13"/>
      <c r="C233" s="13"/>
    </row>
    <row r="234" spans="1:3" ht="13" x14ac:dyDescent="0.15">
      <c r="A234" s="10"/>
      <c r="B234" s="13"/>
      <c r="C234" s="13"/>
    </row>
    <row r="235" spans="1:3" ht="13" x14ac:dyDescent="0.15">
      <c r="A235" s="10"/>
      <c r="B235" s="13"/>
      <c r="C235" s="13"/>
    </row>
    <row r="236" spans="1:3" ht="13" x14ac:dyDescent="0.15">
      <c r="A236" s="10"/>
      <c r="B236" s="13"/>
      <c r="C236" s="13"/>
    </row>
    <row r="237" spans="1:3" ht="13" x14ac:dyDescent="0.15">
      <c r="A237" s="10"/>
      <c r="B237" s="13"/>
      <c r="C237" s="13"/>
    </row>
    <row r="238" spans="1:3" ht="13" x14ac:dyDescent="0.15">
      <c r="A238" s="10"/>
      <c r="B238" s="13"/>
      <c r="C238" s="13"/>
    </row>
    <row r="239" spans="1:3" ht="13" x14ac:dyDescent="0.15">
      <c r="A239" s="10"/>
      <c r="B239" s="13"/>
      <c r="C239" s="13"/>
    </row>
    <row r="240" spans="1:3" ht="13" x14ac:dyDescent="0.15">
      <c r="A240" s="10"/>
      <c r="B240" s="13"/>
      <c r="C240" s="13"/>
    </row>
    <row r="241" spans="1:3" ht="13" x14ac:dyDescent="0.15">
      <c r="A241" s="10"/>
      <c r="B241" s="13"/>
      <c r="C241" s="13"/>
    </row>
    <row r="242" spans="1:3" ht="13" x14ac:dyDescent="0.15">
      <c r="A242" s="10"/>
      <c r="B242" s="13"/>
      <c r="C242" s="13"/>
    </row>
    <row r="243" spans="1:3" ht="13" x14ac:dyDescent="0.15">
      <c r="A243" s="10"/>
      <c r="B243" s="13"/>
      <c r="C243" s="13"/>
    </row>
    <row r="244" spans="1:3" ht="13" x14ac:dyDescent="0.15">
      <c r="A244" s="10"/>
      <c r="B244" s="13"/>
      <c r="C244" s="13"/>
    </row>
    <row r="245" spans="1:3" ht="13" x14ac:dyDescent="0.15">
      <c r="A245" s="10"/>
      <c r="B245" s="13"/>
      <c r="C245" s="13"/>
    </row>
    <row r="246" spans="1:3" ht="13" x14ac:dyDescent="0.15">
      <c r="A246" s="10"/>
      <c r="B246" s="13"/>
      <c r="C246" s="13"/>
    </row>
    <row r="247" spans="1:3" ht="13" x14ac:dyDescent="0.15">
      <c r="A247" s="10"/>
      <c r="B247" s="13"/>
      <c r="C247" s="13"/>
    </row>
    <row r="248" spans="1:3" ht="13" x14ac:dyDescent="0.15">
      <c r="A248" s="10"/>
      <c r="B248" s="13"/>
      <c r="C248" s="13"/>
    </row>
    <row r="249" spans="1:3" ht="13" x14ac:dyDescent="0.15">
      <c r="A249" s="10"/>
      <c r="B249" s="13"/>
      <c r="C249" s="13"/>
    </row>
    <row r="250" spans="1:3" ht="13" x14ac:dyDescent="0.15">
      <c r="A250" s="10"/>
      <c r="B250" s="13"/>
      <c r="C250" s="13"/>
    </row>
    <row r="251" spans="1:3" ht="13" x14ac:dyDescent="0.15">
      <c r="A251" s="10"/>
      <c r="B251" s="13"/>
      <c r="C251" s="13"/>
    </row>
    <row r="252" spans="1:3" ht="13" x14ac:dyDescent="0.15">
      <c r="A252" s="10"/>
      <c r="B252" s="13"/>
      <c r="C252" s="13"/>
    </row>
    <row r="253" spans="1:3" ht="13" x14ac:dyDescent="0.15">
      <c r="A253" s="10"/>
      <c r="B253" s="13"/>
      <c r="C253" s="13"/>
    </row>
    <row r="254" spans="1:3" ht="13" x14ac:dyDescent="0.15">
      <c r="A254" s="10"/>
      <c r="B254" s="13"/>
      <c r="C254" s="13"/>
    </row>
    <row r="255" spans="1:3" ht="13" x14ac:dyDescent="0.15">
      <c r="A255" s="10"/>
      <c r="B255" s="13"/>
      <c r="C255" s="13"/>
    </row>
    <row r="256" spans="1:3" ht="13" x14ac:dyDescent="0.15">
      <c r="A256" s="10"/>
      <c r="B256" s="13"/>
      <c r="C256" s="13"/>
    </row>
    <row r="257" spans="1:3" ht="13" x14ac:dyDescent="0.15">
      <c r="A257" s="10"/>
      <c r="B257" s="13"/>
      <c r="C257" s="13"/>
    </row>
    <row r="258" spans="1:3" ht="13" x14ac:dyDescent="0.15">
      <c r="A258" s="10"/>
      <c r="B258" s="13"/>
      <c r="C258" s="13"/>
    </row>
    <row r="259" spans="1:3" ht="13" x14ac:dyDescent="0.15">
      <c r="A259" s="10"/>
      <c r="B259" s="13"/>
      <c r="C259" s="13"/>
    </row>
    <row r="260" spans="1:3" ht="13" x14ac:dyDescent="0.15">
      <c r="A260" s="10"/>
      <c r="B260" s="13"/>
      <c r="C260" s="13"/>
    </row>
    <row r="261" spans="1:3" ht="13" x14ac:dyDescent="0.15">
      <c r="A261" s="10"/>
      <c r="B261" s="13"/>
      <c r="C261" s="13"/>
    </row>
    <row r="262" spans="1:3" ht="13" x14ac:dyDescent="0.15">
      <c r="A262" s="10"/>
      <c r="B262" s="13"/>
      <c r="C262" s="13"/>
    </row>
    <row r="263" spans="1:3" ht="13" x14ac:dyDescent="0.15">
      <c r="A263" s="10"/>
      <c r="B263" s="13"/>
      <c r="C263" s="13"/>
    </row>
    <row r="264" spans="1:3" ht="13" x14ac:dyDescent="0.15">
      <c r="A264" s="10"/>
      <c r="B264" s="13"/>
      <c r="C264" s="13"/>
    </row>
    <row r="265" spans="1:3" ht="13" x14ac:dyDescent="0.15">
      <c r="A265" s="10"/>
      <c r="B265" s="13"/>
      <c r="C265" s="13"/>
    </row>
    <row r="266" spans="1:3" ht="13" x14ac:dyDescent="0.15">
      <c r="A266" s="10"/>
      <c r="B266" s="13"/>
      <c r="C266" s="13"/>
    </row>
    <row r="267" spans="1:3" ht="13" x14ac:dyDescent="0.15">
      <c r="A267" s="10"/>
      <c r="B267" s="13"/>
      <c r="C267" s="13"/>
    </row>
    <row r="268" spans="1:3" ht="13" x14ac:dyDescent="0.15">
      <c r="A268" s="10"/>
      <c r="B268" s="13"/>
      <c r="C268" s="13"/>
    </row>
    <row r="269" spans="1:3" ht="13" x14ac:dyDescent="0.15">
      <c r="A269" s="10"/>
      <c r="B269" s="13"/>
      <c r="C269" s="13"/>
    </row>
    <row r="270" spans="1:3" ht="13" x14ac:dyDescent="0.15">
      <c r="A270" s="10"/>
      <c r="B270" s="13"/>
      <c r="C270" s="13"/>
    </row>
    <row r="271" spans="1:3" ht="13" x14ac:dyDescent="0.15">
      <c r="A271" s="10"/>
      <c r="B271" s="13"/>
      <c r="C271" s="13"/>
    </row>
    <row r="272" spans="1:3" ht="13" x14ac:dyDescent="0.15">
      <c r="A272" s="10"/>
      <c r="B272" s="13"/>
      <c r="C272" s="13"/>
    </row>
    <row r="273" spans="1:3" ht="13" x14ac:dyDescent="0.15">
      <c r="A273" s="10"/>
      <c r="B273" s="13"/>
      <c r="C273" s="13"/>
    </row>
    <row r="274" spans="1:3" ht="13" x14ac:dyDescent="0.15">
      <c r="A274" s="10"/>
      <c r="B274" s="13"/>
      <c r="C274" s="13"/>
    </row>
    <row r="275" spans="1:3" ht="13" x14ac:dyDescent="0.15">
      <c r="A275" s="10"/>
      <c r="B275" s="13"/>
      <c r="C275" s="13"/>
    </row>
    <row r="276" spans="1:3" ht="13" x14ac:dyDescent="0.15">
      <c r="A276" s="10"/>
      <c r="B276" s="13"/>
      <c r="C276" s="13"/>
    </row>
    <row r="277" spans="1:3" ht="13" x14ac:dyDescent="0.15">
      <c r="A277" s="10"/>
      <c r="B277" s="13"/>
      <c r="C277" s="13"/>
    </row>
    <row r="278" spans="1:3" ht="13" x14ac:dyDescent="0.15">
      <c r="A278" s="10"/>
      <c r="B278" s="13"/>
      <c r="C278" s="13"/>
    </row>
    <row r="279" spans="1:3" ht="13" x14ac:dyDescent="0.15">
      <c r="A279" s="10"/>
      <c r="B279" s="13"/>
      <c r="C279" s="13"/>
    </row>
    <row r="280" spans="1:3" ht="13" x14ac:dyDescent="0.15">
      <c r="A280" s="10"/>
      <c r="B280" s="13"/>
      <c r="C280" s="13"/>
    </row>
    <row r="281" spans="1:3" ht="13" x14ac:dyDescent="0.15">
      <c r="A281" s="10"/>
      <c r="B281" s="13"/>
      <c r="C281" s="13"/>
    </row>
    <row r="282" spans="1:3" ht="13" x14ac:dyDescent="0.15">
      <c r="A282" s="10"/>
      <c r="B282" s="13"/>
      <c r="C282" s="13"/>
    </row>
    <row r="283" spans="1:3" ht="13" x14ac:dyDescent="0.15">
      <c r="A283" s="10"/>
      <c r="B283" s="13"/>
      <c r="C283" s="13"/>
    </row>
    <row r="284" spans="1:3" ht="13" x14ac:dyDescent="0.15">
      <c r="A284" s="10"/>
      <c r="B284" s="13"/>
      <c r="C284" s="13"/>
    </row>
    <row r="285" spans="1:3" ht="13" x14ac:dyDescent="0.15">
      <c r="A285" s="10"/>
      <c r="B285" s="13"/>
      <c r="C285" s="13"/>
    </row>
    <row r="286" spans="1:3" ht="13" x14ac:dyDescent="0.15">
      <c r="A286" s="10"/>
      <c r="B286" s="13"/>
      <c r="C286" s="13"/>
    </row>
    <row r="287" spans="1:3" ht="13" x14ac:dyDescent="0.15">
      <c r="A287" s="10"/>
      <c r="B287" s="13"/>
      <c r="C287" s="13"/>
    </row>
    <row r="288" spans="1:3" ht="13" x14ac:dyDescent="0.15">
      <c r="A288" s="10"/>
      <c r="B288" s="13"/>
      <c r="C288" s="13"/>
    </row>
    <row r="289" spans="1:3" ht="13" x14ac:dyDescent="0.15">
      <c r="A289" s="10"/>
      <c r="B289" s="13"/>
      <c r="C289" s="13"/>
    </row>
    <row r="290" spans="1:3" ht="13" x14ac:dyDescent="0.15">
      <c r="A290" s="10"/>
      <c r="B290" s="13"/>
      <c r="C290" s="13"/>
    </row>
    <row r="291" spans="1:3" ht="13" x14ac:dyDescent="0.15">
      <c r="A291" s="10"/>
      <c r="B291" s="13"/>
      <c r="C291" s="13"/>
    </row>
    <row r="292" spans="1:3" ht="13" x14ac:dyDescent="0.15">
      <c r="A292" s="10"/>
      <c r="B292" s="13"/>
      <c r="C292" s="13"/>
    </row>
    <row r="293" spans="1:3" ht="13" x14ac:dyDescent="0.15">
      <c r="A293" s="10"/>
      <c r="B293" s="13"/>
      <c r="C293" s="13"/>
    </row>
    <row r="294" spans="1:3" ht="13" x14ac:dyDescent="0.15">
      <c r="A294" s="10"/>
      <c r="B294" s="13"/>
      <c r="C294" s="13"/>
    </row>
    <row r="295" spans="1:3" ht="13" x14ac:dyDescent="0.15">
      <c r="A295" s="10"/>
      <c r="B295" s="13"/>
      <c r="C295" s="13"/>
    </row>
    <row r="296" spans="1:3" ht="13" x14ac:dyDescent="0.15">
      <c r="A296" s="10"/>
      <c r="B296" s="13"/>
      <c r="C296" s="13"/>
    </row>
    <row r="297" spans="1:3" ht="13" x14ac:dyDescent="0.15">
      <c r="A297" s="10"/>
      <c r="B297" s="13"/>
      <c r="C297" s="13"/>
    </row>
    <row r="298" spans="1:3" ht="13" x14ac:dyDescent="0.15">
      <c r="A298" s="10"/>
      <c r="B298" s="13"/>
      <c r="C298" s="13"/>
    </row>
    <row r="299" spans="1:3" ht="13" x14ac:dyDescent="0.15">
      <c r="A299" s="10"/>
      <c r="B299" s="13"/>
      <c r="C299" s="13"/>
    </row>
    <row r="300" spans="1:3" ht="13" x14ac:dyDescent="0.15">
      <c r="A300" s="10"/>
      <c r="B300" s="13"/>
      <c r="C300" s="13"/>
    </row>
    <row r="301" spans="1:3" ht="13" x14ac:dyDescent="0.15">
      <c r="A301" s="10"/>
      <c r="B301" s="13"/>
      <c r="C301" s="13"/>
    </row>
    <row r="302" spans="1:3" ht="13" x14ac:dyDescent="0.15">
      <c r="A302" s="10"/>
      <c r="B302" s="13"/>
      <c r="C302" s="13"/>
    </row>
    <row r="303" spans="1:3" ht="13" x14ac:dyDescent="0.15">
      <c r="A303" s="10"/>
      <c r="B303" s="13"/>
      <c r="C303" s="13"/>
    </row>
    <row r="304" spans="1:3" ht="13" x14ac:dyDescent="0.15">
      <c r="A304" s="10"/>
      <c r="B304" s="13"/>
      <c r="C304" s="13"/>
    </row>
    <row r="305" spans="1:3" ht="13" x14ac:dyDescent="0.15">
      <c r="A305" s="10"/>
      <c r="B305" s="13"/>
      <c r="C305" s="13"/>
    </row>
    <row r="306" spans="1:3" ht="13" x14ac:dyDescent="0.15">
      <c r="A306" s="10"/>
      <c r="B306" s="13"/>
      <c r="C306" s="13"/>
    </row>
    <row r="307" spans="1:3" ht="13" x14ac:dyDescent="0.15">
      <c r="A307" s="10"/>
      <c r="B307" s="13"/>
      <c r="C307" s="13"/>
    </row>
    <row r="308" spans="1:3" ht="13" x14ac:dyDescent="0.15">
      <c r="A308" s="10"/>
      <c r="B308" s="13"/>
      <c r="C308" s="13"/>
    </row>
    <row r="309" spans="1:3" ht="13" x14ac:dyDescent="0.15">
      <c r="A309" s="10"/>
      <c r="B309" s="13"/>
      <c r="C309" s="13"/>
    </row>
    <row r="310" spans="1:3" ht="13" x14ac:dyDescent="0.15">
      <c r="A310" s="10"/>
      <c r="B310" s="13"/>
      <c r="C310" s="13"/>
    </row>
    <row r="311" spans="1:3" ht="13" x14ac:dyDescent="0.15">
      <c r="A311" s="10"/>
      <c r="B311" s="13"/>
      <c r="C311" s="13"/>
    </row>
    <row r="312" spans="1:3" ht="13" x14ac:dyDescent="0.15">
      <c r="A312" s="10"/>
      <c r="B312" s="13"/>
      <c r="C312" s="13"/>
    </row>
    <row r="313" spans="1:3" ht="13" x14ac:dyDescent="0.15">
      <c r="A313" s="10"/>
      <c r="B313" s="13"/>
      <c r="C313" s="13"/>
    </row>
    <row r="314" spans="1:3" ht="13" x14ac:dyDescent="0.15">
      <c r="A314" s="10"/>
      <c r="B314" s="13"/>
      <c r="C314" s="13"/>
    </row>
    <row r="315" spans="1:3" ht="13" x14ac:dyDescent="0.15">
      <c r="A315" s="10"/>
      <c r="B315" s="13"/>
      <c r="C315" s="13"/>
    </row>
    <row r="316" spans="1:3" ht="13" x14ac:dyDescent="0.15">
      <c r="A316" s="10"/>
      <c r="B316" s="13"/>
      <c r="C316" s="13"/>
    </row>
    <row r="317" spans="1:3" ht="13" x14ac:dyDescent="0.15">
      <c r="A317" s="10"/>
      <c r="B317" s="13"/>
      <c r="C317" s="13"/>
    </row>
    <row r="318" spans="1:3" ht="13" x14ac:dyDescent="0.15">
      <c r="A318" s="10"/>
      <c r="B318" s="13"/>
      <c r="C318" s="13"/>
    </row>
    <row r="319" spans="1:3" ht="13" x14ac:dyDescent="0.15">
      <c r="A319" s="10"/>
      <c r="B319" s="13"/>
      <c r="C319" s="13"/>
    </row>
    <row r="320" spans="1:3" ht="13" x14ac:dyDescent="0.15">
      <c r="A320" s="10"/>
      <c r="B320" s="13"/>
      <c r="C320" s="13"/>
    </row>
    <row r="321" spans="1:3" ht="13" x14ac:dyDescent="0.15">
      <c r="A321" s="10"/>
      <c r="B321" s="13"/>
      <c r="C321" s="13"/>
    </row>
    <row r="322" spans="1:3" ht="13" x14ac:dyDescent="0.15">
      <c r="A322" s="10"/>
      <c r="B322" s="13"/>
      <c r="C322" s="13"/>
    </row>
    <row r="323" spans="1:3" ht="13" x14ac:dyDescent="0.15">
      <c r="A323" s="10"/>
      <c r="B323" s="13"/>
      <c r="C323" s="13"/>
    </row>
    <row r="324" spans="1:3" ht="13" x14ac:dyDescent="0.15">
      <c r="A324" s="10"/>
      <c r="B324" s="13"/>
      <c r="C324" s="13"/>
    </row>
    <row r="325" spans="1:3" ht="13" x14ac:dyDescent="0.15">
      <c r="A325" s="10"/>
      <c r="B325" s="13"/>
      <c r="C325" s="13"/>
    </row>
    <row r="326" spans="1:3" ht="13" x14ac:dyDescent="0.15">
      <c r="A326" s="10"/>
      <c r="B326" s="13"/>
      <c r="C326" s="13"/>
    </row>
    <row r="327" spans="1:3" ht="13" x14ac:dyDescent="0.15">
      <c r="A327" s="10"/>
      <c r="B327" s="13"/>
      <c r="C327" s="13"/>
    </row>
    <row r="328" spans="1:3" ht="13" x14ac:dyDescent="0.15">
      <c r="A328" s="10"/>
      <c r="B328" s="13"/>
      <c r="C328" s="13"/>
    </row>
    <row r="329" spans="1:3" ht="13" x14ac:dyDescent="0.15">
      <c r="A329" s="10"/>
      <c r="B329" s="13"/>
      <c r="C329" s="13"/>
    </row>
    <row r="330" spans="1:3" ht="13" x14ac:dyDescent="0.15">
      <c r="A330" s="10"/>
      <c r="B330" s="13"/>
      <c r="C330" s="13"/>
    </row>
    <row r="331" spans="1:3" ht="13" x14ac:dyDescent="0.15">
      <c r="A331" s="10"/>
      <c r="B331" s="13"/>
      <c r="C331" s="13"/>
    </row>
    <row r="332" spans="1:3" ht="13" x14ac:dyDescent="0.15">
      <c r="A332" s="10"/>
      <c r="B332" s="13"/>
      <c r="C332" s="13"/>
    </row>
    <row r="333" spans="1:3" ht="13" x14ac:dyDescent="0.15">
      <c r="A333" s="10"/>
      <c r="B333" s="13"/>
      <c r="C333" s="13"/>
    </row>
    <row r="334" spans="1:3" ht="13" x14ac:dyDescent="0.15">
      <c r="A334" s="10"/>
      <c r="B334" s="13"/>
      <c r="C334" s="13"/>
    </row>
    <row r="335" spans="1:3" ht="13" x14ac:dyDescent="0.15">
      <c r="A335" s="10"/>
      <c r="B335" s="13"/>
      <c r="C335" s="13"/>
    </row>
    <row r="336" spans="1:3" ht="13" x14ac:dyDescent="0.15">
      <c r="A336" s="10"/>
      <c r="B336" s="13"/>
      <c r="C336" s="13"/>
    </row>
    <row r="337" spans="1:3" ht="13" x14ac:dyDescent="0.15">
      <c r="A337" s="10"/>
      <c r="B337" s="13"/>
      <c r="C337" s="13"/>
    </row>
    <row r="338" spans="1:3" ht="13" x14ac:dyDescent="0.15">
      <c r="A338" s="10"/>
      <c r="B338" s="13"/>
      <c r="C338" s="13"/>
    </row>
    <row r="339" spans="1:3" ht="13" x14ac:dyDescent="0.15">
      <c r="A339" s="10"/>
      <c r="B339" s="13"/>
      <c r="C339" s="13"/>
    </row>
    <row r="340" spans="1:3" ht="13" x14ac:dyDescent="0.15">
      <c r="A340" s="10"/>
      <c r="B340" s="13"/>
      <c r="C340" s="13"/>
    </row>
    <row r="341" spans="1:3" ht="13" x14ac:dyDescent="0.15">
      <c r="A341" s="10"/>
      <c r="B341" s="13"/>
      <c r="C341" s="13"/>
    </row>
    <row r="342" spans="1:3" ht="13" x14ac:dyDescent="0.15">
      <c r="A342" s="10"/>
      <c r="B342" s="13"/>
      <c r="C342" s="13"/>
    </row>
    <row r="343" spans="1:3" ht="13" x14ac:dyDescent="0.15">
      <c r="A343" s="10"/>
      <c r="B343" s="13"/>
      <c r="C343" s="13"/>
    </row>
    <row r="344" spans="1:3" ht="13" x14ac:dyDescent="0.15">
      <c r="A344" s="10"/>
      <c r="B344" s="13"/>
      <c r="C344" s="13"/>
    </row>
    <row r="345" spans="1:3" ht="13" x14ac:dyDescent="0.15">
      <c r="A345" s="10"/>
      <c r="B345" s="13"/>
      <c r="C345" s="13"/>
    </row>
    <row r="346" spans="1:3" ht="13" x14ac:dyDescent="0.15">
      <c r="A346" s="10"/>
      <c r="B346" s="13"/>
      <c r="C346" s="13"/>
    </row>
    <row r="347" spans="1:3" ht="13" x14ac:dyDescent="0.15">
      <c r="A347" s="10"/>
      <c r="B347" s="13"/>
      <c r="C347" s="13"/>
    </row>
    <row r="348" spans="1:3" ht="13" x14ac:dyDescent="0.15">
      <c r="A348" s="10"/>
      <c r="B348" s="13"/>
      <c r="C348" s="13"/>
    </row>
    <row r="349" spans="1:3" ht="13" x14ac:dyDescent="0.15">
      <c r="A349" s="10"/>
      <c r="B349" s="13"/>
      <c r="C349" s="13"/>
    </row>
    <row r="350" spans="1:3" ht="13" x14ac:dyDescent="0.15">
      <c r="A350" s="10"/>
      <c r="B350" s="13"/>
      <c r="C350" s="13"/>
    </row>
    <row r="351" spans="1:3" ht="13" x14ac:dyDescent="0.15">
      <c r="A351" s="10"/>
      <c r="B351" s="13"/>
      <c r="C351" s="13"/>
    </row>
    <row r="352" spans="1:3" ht="13" x14ac:dyDescent="0.15">
      <c r="A352" s="10"/>
      <c r="B352" s="13"/>
      <c r="C352" s="13"/>
    </row>
    <row r="353" spans="1:3" ht="13" x14ac:dyDescent="0.15">
      <c r="A353" s="10"/>
      <c r="B353" s="13"/>
      <c r="C353" s="13"/>
    </row>
    <row r="354" spans="1:3" ht="13" x14ac:dyDescent="0.15">
      <c r="A354" s="10"/>
      <c r="B354" s="13"/>
      <c r="C354" s="13"/>
    </row>
    <row r="355" spans="1:3" ht="13" x14ac:dyDescent="0.15">
      <c r="A355" s="10"/>
      <c r="B355" s="13"/>
      <c r="C355" s="13"/>
    </row>
    <row r="356" spans="1:3" ht="13" x14ac:dyDescent="0.15">
      <c r="A356" s="10"/>
      <c r="B356" s="13"/>
      <c r="C356" s="13"/>
    </row>
    <row r="357" spans="1:3" ht="13" x14ac:dyDescent="0.15">
      <c r="A357" s="10"/>
      <c r="B357" s="13"/>
      <c r="C357" s="13"/>
    </row>
    <row r="358" spans="1:3" ht="13" x14ac:dyDescent="0.15">
      <c r="A358" s="10"/>
      <c r="B358" s="13"/>
      <c r="C358" s="13"/>
    </row>
    <row r="359" spans="1:3" ht="13" x14ac:dyDescent="0.15">
      <c r="A359" s="10"/>
      <c r="B359" s="13"/>
      <c r="C359" s="13"/>
    </row>
    <row r="360" spans="1:3" ht="13" x14ac:dyDescent="0.15">
      <c r="A360" s="10"/>
      <c r="B360" s="13"/>
      <c r="C360" s="13"/>
    </row>
    <row r="361" spans="1:3" ht="13" x14ac:dyDescent="0.15">
      <c r="A361" s="10"/>
      <c r="B361" s="13"/>
      <c r="C361" s="13"/>
    </row>
    <row r="362" spans="1:3" ht="13" x14ac:dyDescent="0.15">
      <c r="A362" s="10"/>
      <c r="B362" s="13"/>
      <c r="C362" s="13"/>
    </row>
    <row r="363" spans="1:3" ht="13" x14ac:dyDescent="0.15">
      <c r="A363" s="10"/>
      <c r="B363" s="13"/>
      <c r="C363" s="13"/>
    </row>
    <row r="364" spans="1:3" ht="13" x14ac:dyDescent="0.15">
      <c r="A364" s="10"/>
      <c r="B364" s="13"/>
      <c r="C364" s="13"/>
    </row>
    <row r="365" spans="1:3" ht="13" x14ac:dyDescent="0.15">
      <c r="A365" s="10"/>
      <c r="B365" s="13"/>
      <c r="C365" s="13"/>
    </row>
    <row r="366" spans="1:3" ht="13" x14ac:dyDescent="0.15">
      <c r="A366" s="10"/>
      <c r="B366" s="13"/>
      <c r="C366" s="13"/>
    </row>
    <row r="367" spans="1:3" ht="13" x14ac:dyDescent="0.15">
      <c r="A367" s="10"/>
      <c r="B367" s="13"/>
      <c r="C367" s="13"/>
    </row>
    <row r="368" spans="1:3" ht="13" x14ac:dyDescent="0.15">
      <c r="A368" s="10"/>
      <c r="B368" s="13"/>
      <c r="C368" s="13"/>
    </row>
    <row r="369" spans="1:3" ht="13" x14ac:dyDescent="0.15">
      <c r="A369" s="10"/>
      <c r="B369" s="13"/>
      <c r="C369" s="13"/>
    </row>
    <row r="370" spans="1:3" ht="13" x14ac:dyDescent="0.15">
      <c r="A370" s="10"/>
      <c r="B370" s="13"/>
      <c r="C370" s="13"/>
    </row>
    <row r="371" spans="1:3" ht="13" x14ac:dyDescent="0.15">
      <c r="A371" s="10"/>
      <c r="B371" s="13"/>
      <c r="C371" s="13"/>
    </row>
    <row r="372" spans="1:3" ht="13" x14ac:dyDescent="0.15">
      <c r="A372" s="10"/>
      <c r="B372" s="13"/>
      <c r="C372" s="13"/>
    </row>
    <row r="373" spans="1:3" ht="13" x14ac:dyDescent="0.15">
      <c r="A373" s="10"/>
      <c r="B373" s="13"/>
      <c r="C373" s="13"/>
    </row>
    <row r="374" spans="1:3" ht="13" x14ac:dyDescent="0.15">
      <c r="A374" s="10"/>
      <c r="B374" s="13"/>
      <c r="C374" s="13"/>
    </row>
    <row r="375" spans="1:3" ht="13" x14ac:dyDescent="0.15">
      <c r="A375" s="10"/>
      <c r="B375" s="13"/>
      <c r="C375" s="13"/>
    </row>
    <row r="376" spans="1:3" ht="13" x14ac:dyDescent="0.15">
      <c r="A376" s="10"/>
      <c r="B376" s="13"/>
      <c r="C376" s="13"/>
    </row>
    <row r="377" spans="1:3" ht="13" x14ac:dyDescent="0.15">
      <c r="A377" s="10"/>
      <c r="B377" s="13"/>
      <c r="C377" s="13"/>
    </row>
    <row r="378" spans="1:3" ht="13" x14ac:dyDescent="0.15">
      <c r="A378" s="10"/>
      <c r="B378" s="13"/>
      <c r="C378" s="13"/>
    </row>
    <row r="379" spans="1:3" ht="13" x14ac:dyDescent="0.15">
      <c r="A379" s="10"/>
      <c r="B379" s="13"/>
      <c r="C379" s="13"/>
    </row>
    <row r="380" spans="1:3" ht="13" x14ac:dyDescent="0.15">
      <c r="A380" s="10"/>
      <c r="B380" s="13"/>
      <c r="C380" s="13"/>
    </row>
    <row r="381" spans="1:3" ht="13" x14ac:dyDescent="0.15">
      <c r="A381" s="10"/>
      <c r="B381" s="13"/>
      <c r="C381" s="13"/>
    </row>
    <row r="382" spans="1:3" ht="13" x14ac:dyDescent="0.15">
      <c r="A382" s="10"/>
      <c r="B382" s="13"/>
      <c r="C382" s="13"/>
    </row>
    <row r="383" spans="1:3" ht="13" x14ac:dyDescent="0.15">
      <c r="A383" s="10"/>
      <c r="B383" s="13"/>
      <c r="C383" s="13"/>
    </row>
    <row r="384" spans="1:3" ht="13" x14ac:dyDescent="0.15">
      <c r="A384" s="10"/>
      <c r="B384" s="13"/>
      <c r="C384" s="13"/>
    </row>
    <row r="385" spans="1:3" ht="13" x14ac:dyDescent="0.15">
      <c r="A385" s="10"/>
      <c r="B385" s="13"/>
      <c r="C385" s="13"/>
    </row>
    <row r="386" spans="1:3" ht="13" x14ac:dyDescent="0.15">
      <c r="A386" s="10"/>
      <c r="B386" s="13"/>
      <c r="C386" s="13"/>
    </row>
    <row r="387" spans="1:3" ht="13" x14ac:dyDescent="0.15">
      <c r="A387" s="10"/>
      <c r="B387" s="13"/>
      <c r="C387" s="13"/>
    </row>
    <row r="388" spans="1:3" ht="13" x14ac:dyDescent="0.15">
      <c r="A388" s="10"/>
      <c r="B388" s="13"/>
      <c r="C388" s="13"/>
    </row>
    <row r="389" spans="1:3" ht="13" x14ac:dyDescent="0.15">
      <c r="A389" s="10"/>
      <c r="B389" s="13"/>
      <c r="C389" s="13"/>
    </row>
    <row r="390" spans="1:3" ht="13" x14ac:dyDescent="0.15">
      <c r="A390" s="10"/>
      <c r="B390" s="13"/>
      <c r="C390" s="13"/>
    </row>
    <row r="391" spans="1:3" ht="13" x14ac:dyDescent="0.15">
      <c r="A391" s="10"/>
      <c r="B391" s="13"/>
      <c r="C391" s="13"/>
    </row>
    <row r="392" spans="1:3" ht="13" x14ac:dyDescent="0.15">
      <c r="A392" s="10"/>
      <c r="B392" s="13"/>
      <c r="C392" s="13"/>
    </row>
    <row r="393" spans="1:3" ht="13" x14ac:dyDescent="0.15">
      <c r="A393" s="10"/>
      <c r="B393" s="13"/>
      <c r="C393" s="13"/>
    </row>
    <row r="394" spans="1:3" ht="13" x14ac:dyDescent="0.15">
      <c r="A394" s="10"/>
      <c r="B394" s="13"/>
      <c r="C394" s="13"/>
    </row>
    <row r="395" spans="1:3" ht="13" x14ac:dyDescent="0.15">
      <c r="A395" s="10"/>
      <c r="B395" s="13"/>
      <c r="C395" s="13"/>
    </row>
    <row r="396" spans="1:3" ht="13" x14ac:dyDescent="0.15">
      <c r="A396" s="10"/>
      <c r="B396" s="13"/>
      <c r="C396" s="13"/>
    </row>
    <row r="397" spans="1:3" ht="13" x14ac:dyDescent="0.15">
      <c r="A397" s="10"/>
      <c r="B397" s="13"/>
      <c r="C397" s="13"/>
    </row>
    <row r="398" spans="1:3" ht="13" x14ac:dyDescent="0.15">
      <c r="A398" s="10"/>
      <c r="B398" s="13"/>
      <c r="C398" s="13"/>
    </row>
    <row r="399" spans="1:3" ht="13" x14ac:dyDescent="0.15">
      <c r="A399" s="10"/>
      <c r="B399" s="13"/>
      <c r="C399" s="13"/>
    </row>
    <row r="400" spans="1:3" ht="13" x14ac:dyDescent="0.15">
      <c r="A400" s="10"/>
      <c r="B400" s="13"/>
      <c r="C400" s="13"/>
    </row>
    <row r="401" spans="1:3" ht="13" x14ac:dyDescent="0.15">
      <c r="A401" s="10"/>
      <c r="B401" s="13"/>
      <c r="C401" s="13"/>
    </row>
    <row r="402" spans="1:3" ht="13" x14ac:dyDescent="0.15">
      <c r="A402" s="10"/>
      <c r="B402" s="13"/>
      <c r="C402" s="13"/>
    </row>
    <row r="403" spans="1:3" ht="13" x14ac:dyDescent="0.15">
      <c r="A403" s="10"/>
      <c r="B403" s="13"/>
      <c r="C403" s="13"/>
    </row>
    <row r="404" spans="1:3" ht="13" x14ac:dyDescent="0.15">
      <c r="A404" s="10"/>
      <c r="B404" s="13"/>
      <c r="C404" s="13"/>
    </row>
    <row r="405" spans="1:3" ht="13" x14ac:dyDescent="0.15">
      <c r="A405" s="10"/>
      <c r="B405" s="13"/>
      <c r="C405" s="13"/>
    </row>
    <row r="406" spans="1:3" ht="13" x14ac:dyDescent="0.15">
      <c r="A406" s="10"/>
      <c r="B406" s="13"/>
      <c r="C406" s="13"/>
    </row>
    <row r="407" spans="1:3" ht="13" x14ac:dyDescent="0.15">
      <c r="A407" s="10"/>
      <c r="B407" s="13"/>
      <c r="C407" s="13"/>
    </row>
    <row r="408" spans="1:3" ht="13" x14ac:dyDescent="0.15">
      <c r="A408" s="10"/>
      <c r="B408" s="13"/>
      <c r="C408" s="13"/>
    </row>
    <row r="409" spans="1:3" ht="13" x14ac:dyDescent="0.15">
      <c r="A409" s="10"/>
      <c r="B409" s="13"/>
      <c r="C409" s="13"/>
    </row>
    <row r="410" spans="1:3" ht="13" x14ac:dyDescent="0.15">
      <c r="A410" s="10"/>
      <c r="B410" s="13"/>
      <c r="C410" s="13"/>
    </row>
    <row r="411" spans="1:3" ht="13" x14ac:dyDescent="0.15">
      <c r="A411" s="10"/>
      <c r="B411" s="13"/>
      <c r="C411" s="13"/>
    </row>
    <row r="412" spans="1:3" ht="13" x14ac:dyDescent="0.15">
      <c r="A412" s="10"/>
      <c r="B412" s="13"/>
      <c r="C412" s="13"/>
    </row>
    <row r="413" spans="1:3" ht="13" x14ac:dyDescent="0.15">
      <c r="A413" s="10"/>
      <c r="B413" s="13"/>
      <c r="C413" s="13"/>
    </row>
    <row r="414" spans="1:3" ht="13" x14ac:dyDescent="0.15">
      <c r="A414" s="10"/>
      <c r="B414" s="13"/>
      <c r="C414" s="13"/>
    </row>
    <row r="415" spans="1:3" ht="13" x14ac:dyDescent="0.15">
      <c r="A415" s="10"/>
      <c r="B415" s="13"/>
      <c r="C415" s="13"/>
    </row>
    <row r="416" spans="1:3" ht="13" x14ac:dyDescent="0.15">
      <c r="A416" s="10"/>
      <c r="B416" s="13"/>
      <c r="C416" s="13"/>
    </row>
    <row r="417" spans="1:3" ht="13" x14ac:dyDescent="0.15">
      <c r="A417" s="10"/>
      <c r="B417" s="13"/>
      <c r="C417" s="13"/>
    </row>
    <row r="418" spans="1:3" ht="13" x14ac:dyDescent="0.15">
      <c r="A418" s="10"/>
      <c r="B418" s="13"/>
      <c r="C418" s="13"/>
    </row>
    <row r="419" spans="1:3" ht="13" x14ac:dyDescent="0.15">
      <c r="A419" s="10"/>
      <c r="B419" s="13"/>
      <c r="C419" s="13"/>
    </row>
    <row r="420" spans="1:3" ht="13" x14ac:dyDescent="0.15">
      <c r="A420" s="10"/>
      <c r="B420" s="13"/>
      <c r="C420" s="13"/>
    </row>
    <row r="421" spans="1:3" ht="13" x14ac:dyDescent="0.15">
      <c r="A421" s="10"/>
      <c r="B421" s="13"/>
      <c r="C421" s="13"/>
    </row>
    <row r="422" spans="1:3" ht="13" x14ac:dyDescent="0.15">
      <c r="A422" s="10"/>
      <c r="B422" s="13"/>
      <c r="C422" s="13"/>
    </row>
    <row r="423" spans="1:3" ht="13" x14ac:dyDescent="0.15">
      <c r="A423" s="10"/>
      <c r="B423" s="13"/>
      <c r="C423" s="13"/>
    </row>
    <row r="424" spans="1:3" ht="13" x14ac:dyDescent="0.15">
      <c r="A424" s="10"/>
      <c r="B424" s="13"/>
      <c r="C424" s="13"/>
    </row>
    <row r="425" spans="1:3" ht="13" x14ac:dyDescent="0.15">
      <c r="A425" s="10"/>
      <c r="B425" s="13"/>
      <c r="C425" s="13"/>
    </row>
    <row r="426" spans="1:3" ht="13" x14ac:dyDescent="0.15">
      <c r="A426" s="10"/>
      <c r="B426" s="13"/>
      <c r="C426" s="13"/>
    </row>
    <row r="427" spans="1:3" ht="13" x14ac:dyDescent="0.15">
      <c r="A427" s="10"/>
      <c r="B427" s="13"/>
      <c r="C427" s="13"/>
    </row>
    <row r="428" spans="1:3" ht="13" x14ac:dyDescent="0.15">
      <c r="A428" s="10"/>
      <c r="B428" s="13"/>
      <c r="C428" s="13"/>
    </row>
    <row r="429" spans="1:3" ht="13" x14ac:dyDescent="0.15">
      <c r="A429" s="10"/>
      <c r="B429" s="13"/>
      <c r="C429" s="13"/>
    </row>
    <row r="430" spans="1:3" ht="13" x14ac:dyDescent="0.15">
      <c r="A430" s="10"/>
      <c r="B430" s="13"/>
      <c r="C430" s="13"/>
    </row>
    <row r="431" spans="1:3" ht="13" x14ac:dyDescent="0.15">
      <c r="A431" s="10"/>
      <c r="B431" s="13"/>
      <c r="C431" s="13"/>
    </row>
    <row r="432" spans="1:3" ht="13" x14ac:dyDescent="0.15">
      <c r="A432" s="10"/>
      <c r="B432" s="13"/>
      <c r="C432" s="13"/>
    </row>
    <row r="433" spans="1:3" ht="13" x14ac:dyDescent="0.15">
      <c r="A433" s="10"/>
      <c r="B433" s="13"/>
      <c r="C433" s="13"/>
    </row>
    <row r="434" spans="1:3" ht="13" x14ac:dyDescent="0.15">
      <c r="A434" s="10"/>
      <c r="B434" s="13"/>
      <c r="C434" s="13"/>
    </row>
    <row r="435" spans="1:3" ht="13" x14ac:dyDescent="0.15">
      <c r="A435" s="10"/>
      <c r="B435" s="13"/>
      <c r="C435" s="13"/>
    </row>
    <row r="436" spans="1:3" ht="13" x14ac:dyDescent="0.15">
      <c r="A436" s="10"/>
      <c r="B436" s="13"/>
      <c r="C436" s="13"/>
    </row>
    <row r="437" spans="1:3" ht="13" x14ac:dyDescent="0.15">
      <c r="A437" s="10"/>
      <c r="B437" s="13"/>
      <c r="C437" s="13"/>
    </row>
    <row r="438" spans="1:3" ht="13" x14ac:dyDescent="0.15">
      <c r="A438" s="10"/>
      <c r="B438" s="13"/>
      <c r="C438" s="13"/>
    </row>
    <row r="439" spans="1:3" ht="13" x14ac:dyDescent="0.15">
      <c r="A439" s="10"/>
      <c r="B439" s="13"/>
      <c r="C439" s="13"/>
    </row>
    <row r="440" spans="1:3" ht="13" x14ac:dyDescent="0.15">
      <c r="A440" s="10"/>
      <c r="B440" s="13"/>
      <c r="C440" s="13"/>
    </row>
    <row r="441" spans="1:3" ht="13" x14ac:dyDescent="0.15">
      <c r="A441" s="10"/>
      <c r="B441" s="13"/>
      <c r="C441" s="13"/>
    </row>
    <row r="442" spans="1:3" ht="13" x14ac:dyDescent="0.15">
      <c r="A442" s="10"/>
      <c r="B442" s="13"/>
      <c r="C442" s="13"/>
    </row>
    <row r="443" spans="1:3" ht="13" x14ac:dyDescent="0.15">
      <c r="A443" s="10"/>
      <c r="B443" s="13"/>
      <c r="C443" s="13"/>
    </row>
    <row r="444" spans="1:3" ht="13" x14ac:dyDescent="0.15">
      <c r="A444" s="10"/>
      <c r="B444" s="13"/>
      <c r="C444" s="13"/>
    </row>
    <row r="445" spans="1:3" ht="13" x14ac:dyDescent="0.15">
      <c r="A445" s="10"/>
      <c r="B445" s="13"/>
      <c r="C445" s="13"/>
    </row>
    <row r="446" spans="1:3" ht="13" x14ac:dyDescent="0.15">
      <c r="A446" s="10"/>
      <c r="B446" s="13"/>
      <c r="C446" s="13"/>
    </row>
    <row r="447" spans="1:3" ht="13" x14ac:dyDescent="0.15">
      <c r="A447" s="10"/>
      <c r="B447" s="13"/>
      <c r="C447" s="13"/>
    </row>
    <row r="448" spans="1:3" ht="13" x14ac:dyDescent="0.15">
      <c r="A448" s="10"/>
      <c r="B448" s="13"/>
      <c r="C448" s="13"/>
    </row>
    <row r="449" spans="1:3" ht="13" x14ac:dyDescent="0.15">
      <c r="A449" s="10"/>
      <c r="B449" s="13"/>
      <c r="C449" s="13"/>
    </row>
    <row r="450" spans="1:3" ht="13" x14ac:dyDescent="0.15">
      <c r="A450" s="10"/>
      <c r="B450" s="13"/>
      <c r="C450" s="13"/>
    </row>
    <row r="451" spans="1:3" ht="13" x14ac:dyDescent="0.15">
      <c r="A451" s="10"/>
      <c r="B451" s="13"/>
      <c r="C451" s="13"/>
    </row>
    <row r="452" spans="1:3" ht="13" x14ac:dyDescent="0.15">
      <c r="A452" s="10"/>
      <c r="B452" s="13"/>
      <c r="C452" s="13"/>
    </row>
    <row r="453" spans="1:3" ht="13" x14ac:dyDescent="0.15">
      <c r="A453" s="10"/>
      <c r="B453" s="13"/>
      <c r="C453" s="13"/>
    </row>
    <row r="454" spans="1:3" ht="13" x14ac:dyDescent="0.15">
      <c r="A454" s="10"/>
      <c r="B454" s="13"/>
      <c r="C454" s="13"/>
    </row>
    <row r="455" spans="1:3" ht="13" x14ac:dyDescent="0.15">
      <c r="A455" s="10"/>
      <c r="B455" s="13"/>
      <c r="C455" s="13"/>
    </row>
    <row r="456" spans="1:3" ht="13" x14ac:dyDescent="0.15">
      <c r="A456" s="10"/>
      <c r="B456" s="13"/>
      <c r="C456" s="13"/>
    </row>
    <row r="457" spans="1:3" ht="13" x14ac:dyDescent="0.15">
      <c r="A457" s="10"/>
      <c r="B457" s="13"/>
      <c r="C457" s="13"/>
    </row>
    <row r="458" spans="1:3" ht="13" x14ac:dyDescent="0.15">
      <c r="A458" s="10"/>
      <c r="B458" s="13"/>
      <c r="C458" s="13"/>
    </row>
    <row r="459" spans="1:3" ht="13" x14ac:dyDescent="0.15">
      <c r="A459" s="10"/>
      <c r="B459" s="13"/>
      <c r="C459" s="13"/>
    </row>
    <row r="460" spans="1:3" ht="13" x14ac:dyDescent="0.15">
      <c r="A460" s="10"/>
      <c r="B460" s="13"/>
      <c r="C460" s="13"/>
    </row>
    <row r="461" spans="1:3" ht="13" x14ac:dyDescent="0.15">
      <c r="A461" s="10"/>
      <c r="B461" s="13"/>
      <c r="C461" s="13"/>
    </row>
    <row r="462" spans="1:3" ht="13" x14ac:dyDescent="0.15">
      <c r="A462" s="10"/>
      <c r="B462" s="13"/>
      <c r="C462" s="13"/>
    </row>
    <row r="463" spans="1:3" ht="13" x14ac:dyDescent="0.15">
      <c r="A463" s="10"/>
      <c r="B463" s="13"/>
      <c r="C463" s="13"/>
    </row>
    <row r="464" spans="1:3" ht="13" x14ac:dyDescent="0.15">
      <c r="A464" s="10"/>
      <c r="B464" s="13"/>
      <c r="C464" s="13"/>
    </row>
    <row r="465" spans="1:3" ht="13" x14ac:dyDescent="0.15">
      <c r="A465" s="10"/>
      <c r="B465" s="13"/>
      <c r="C465" s="13"/>
    </row>
    <row r="466" spans="1:3" ht="13" x14ac:dyDescent="0.15">
      <c r="A466" s="10"/>
      <c r="B466" s="13"/>
      <c r="C466" s="13"/>
    </row>
    <row r="467" spans="1:3" ht="13" x14ac:dyDescent="0.15">
      <c r="A467" s="10"/>
      <c r="B467" s="13"/>
      <c r="C467" s="13"/>
    </row>
    <row r="468" spans="1:3" ht="13" x14ac:dyDescent="0.15">
      <c r="A468" s="10"/>
      <c r="B468" s="13"/>
      <c r="C468" s="13"/>
    </row>
    <row r="469" spans="1:3" ht="13" x14ac:dyDescent="0.15">
      <c r="A469" s="10"/>
      <c r="B469" s="13"/>
      <c r="C469" s="13"/>
    </row>
    <row r="470" spans="1:3" ht="13" x14ac:dyDescent="0.15">
      <c r="A470" s="10"/>
      <c r="B470" s="13"/>
      <c r="C470" s="13"/>
    </row>
    <row r="471" spans="1:3" ht="13" x14ac:dyDescent="0.15">
      <c r="A471" s="10"/>
      <c r="B471" s="13"/>
      <c r="C471" s="13"/>
    </row>
    <row r="472" spans="1:3" ht="13" x14ac:dyDescent="0.15">
      <c r="A472" s="10"/>
      <c r="B472" s="13"/>
      <c r="C472" s="13"/>
    </row>
    <row r="473" spans="1:3" ht="13" x14ac:dyDescent="0.15">
      <c r="A473" s="10"/>
      <c r="B473" s="13"/>
      <c r="C473" s="13"/>
    </row>
    <row r="474" spans="1:3" ht="13" x14ac:dyDescent="0.15">
      <c r="A474" s="10"/>
      <c r="B474" s="13"/>
      <c r="C474" s="13"/>
    </row>
    <row r="475" spans="1:3" ht="13" x14ac:dyDescent="0.15">
      <c r="A475" s="10"/>
      <c r="B475" s="13"/>
      <c r="C475" s="13"/>
    </row>
    <row r="476" spans="1:3" ht="13" x14ac:dyDescent="0.15">
      <c r="A476" s="10"/>
      <c r="B476" s="13"/>
      <c r="C476" s="13"/>
    </row>
    <row r="477" spans="1:3" ht="13" x14ac:dyDescent="0.15">
      <c r="A477" s="10"/>
      <c r="B477" s="13"/>
      <c r="C477" s="13"/>
    </row>
    <row r="478" spans="1:3" ht="13" x14ac:dyDescent="0.15">
      <c r="A478" s="10"/>
      <c r="B478" s="13"/>
      <c r="C478" s="13"/>
    </row>
    <row r="479" spans="1:3" ht="13" x14ac:dyDescent="0.15">
      <c r="A479" s="10"/>
      <c r="B479" s="13"/>
      <c r="C479" s="13"/>
    </row>
    <row r="480" spans="1:3" ht="13" x14ac:dyDescent="0.15">
      <c r="A480" s="10"/>
      <c r="B480" s="13"/>
      <c r="C480" s="13"/>
    </row>
    <row r="481" spans="1:3" ht="13" x14ac:dyDescent="0.15">
      <c r="A481" s="10"/>
      <c r="B481" s="13"/>
      <c r="C481" s="13"/>
    </row>
    <row r="482" spans="1:3" ht="13" x14ac:dyDescent="0.15">
      <c r="A482" s="10"/>
      <c r="B482" s="13"/>
      <c r="C482" s="13"/>
    </row>
    <row r="483" spans="1:3" ht="13" x14ac:dyDescent="0.15">
      <c r="A483" s="10"/>
      <c r="B483" s="13"/>
      <c r="C483" s="13"/>
    </row>
    <row r="484" spans="1:3" ht="13" x14ac:dyDescent="0.15">
      <c r="A484" s="10"/>
      <c r="B484" s="13"/>
      <c r="C484" s="13"/>
    </row>
    <row r="485" spans="1:3" ht="13" x14ac:dyDescent="0.15">
      <c r="A485" s="10"/>
      <c r="B485" s="13"/>
      <c r="C485" s="13"/>
    </row>
    <row r="486" spans="1:3" ht="13" x14ac:dyDescent="0.15">
      <c r="A486" s="10"/>
      <c r="B486" s="13"/>
      <c r="C486" s="13"/>
    </row>
    <row r="487" spans="1:3" ht="13" x14ac:dyDescent="0.15">
      <c r="A487" s="10"/>
      <c r="B487" s="13"/>
      <c r="C487" s="13"/>
    </row>
    <row r="488" spans="1:3" ht="13" x14ac:dyDescent="0.15">
      <c r="A488" s="10"/>
      <c r="B488" s="13"/>
      <c r="C488" s="13"/>
    </row>
    <row r="489" spans="1:3" ht="13" x14ac:dyDescent="0.15">
      <c r="A489" s="10"/>
      <c r="B489" s="13"/>
      <c r="C489" s="13"/>
    </row>
    <row r="490" spans="1:3" ht="13" x14ac:dyDescent="0.15">
      <c r="A490" s="10"/>
      <c r="B490" s="13"/>
      <c r="C490" s="13"/>
    </row>
    <row r="491" spans="1:3" ht="13" x14ac:dyDescent="0.15">
      <c r="A491" s="10"/>
      <c r="B491" s="13"/>
      <c r="C491" s="13"/>
    </row>
    <row r="492" spans="1:3" ht="13" x14ac:dyDescent="0.15">
      <c r="A492" s="10"/>
      <c r="B492" s="13"/>
      <c r="C492" s="13"/>
    </row>
    <row r="493" spans="1:3" ht="13" x14ac:dyDescent="0.15">
      <c r="A493" s="10"/>
      <c r="B493" s="13"/>
      <c r="C493" s="13"/>
    </row>
    <row r="494" spans="1:3" ht="13" x14ac:dyDescent="0.15">
      <c r="A494" s="10"/>
      <c r="B494" s="13"/>
      <c r="C494" s="13"/>
    </row>
    <row r="495" spans="1:3" ht="13" x14ac:dyDescent="0.15">
      <c r="A495" s="10"/>
      <c r="B495" s="13"/>
      <c r="C495" s="13"/>
    </row>
    <row r="496" spans="1:3" ht="13" x14ac:dyDescent="0.15">
      <c r="A496" s="10"/>
      <c r="B496" s="13"/>
      <c r="C496" s="13"/>
    </row>
    <row r="497" spans="1:3" ht="13" x14ac:dyDescent="0.15">
      <c r="A497" s="10"/>
      <c r="B497" s="13"/>
      <c r="C497" s="13"/>
    </row>
    <row r="498" spans="1:3" ht="13" x14ac:dyDescent="0.15">
      <c r="A498" s="10"/>
      <c r="B498" s="13"/>
      <c r="C498" s="13"/>
    </row>
    <row r="499" spans="1:3" ht="13" x14ac:dyDescent="0.15">
      <c r="A499" s="10"/>
      <c r="B499" s="13"/>
      <c r="C499" s="13"/>
    </row>
    <row r="500" spans="1:3" ht="13" x14ac:dyDescent="0.15">
      <c r="A500" s="10"/>
      <c r="B500" s="13"/>
      <c r="C500" s="13"/>
    </row>
    <row r="501" spans="1:3" ht="13" x14ac:dyDescent="0.15">
      <c r="A501" s="10"/>
      <c r="B501" s="13"/>
      <c r="C501" s="13"/>
    </row>
    <row r="502" spans="1:3" ht="13" x14ac:dyDescent="0.15">
      <c r="A502" s="10"/>
      <c r="B502" s="13"/>
      <c r="C502" s="13"/>
    </row>
    <row r="503" spans="1:3" ht="13" x14ac:dyDescent="0.15">
      <c r="A503" s="10"/>
      <c r="B503" s="13"/>
      <c r="C503" s="13"/>
    </row>
    <row r="504" spans="1:3" ht="13" x14ac:dyDescent="0.15">
      <c r="A504" s="10"/>
      <c r="B504" s="13"/>
      <c r="C504" s="13"/>
    </row>
    <row r="505" spans="1:3" ht="13" x14ac:dyDescent="0.15">
      <c r="A505" s="10"/>
      <c r="B505" s="13"/>
      <c r="C505" s="13"/>
    </row>
    <row r="506" spans="1:3" ht="13" x14ac:dyDescent="0.15">
      <c r="A506" s="10"/>
      <c r="B506" s="13"/>
      <c r="C506" s="13"/>
    </row>
    <row r="507" spans="1:3" ht="13" x14ac:dyDescent="0.15">
      <c r="A507" s="10"/>
      <c r="B507" s="13"/>
      <c r="C507" s="13"/>
    </row>
    <row r="508" spans="1:3" ht="13" x14ac:dyDescent="0.15">
      <c r="A508" s="10"/>
      <c r="B508" s="13"/>
      <c r="C508" s="13"/>
    </row>
    <row r="509" spans="1:3" ht="13" x14ac:dyDescent="0.15">
      <c r="A509" s="10"/>
      <c r="B509" s="13"/>
      <c r="C509" s="13"/>
    </row>
    <row r="510" spans="1:3" ht="13" x14ac:dyDescent="0.15">
      <c r="A510" s="10"/>
      <c r="B510" s="13"/>
      <c r="C510" s="13"/>
    </row>
    <row r="511" spans="1:3" ht="13" x14ac:dyDescent="0.15">
      <c r="A511" s="10"/>
      <c r="B511" s="13"/>
      <c r="C511" s="13"/>
    </row>
    <row r="512" spans="1:3" ht="13" x14ac:dyDescent="0.15">
      <c r="A512" s="10"/>
      <c r="B512" s="13"/>
      <c r="C512" s="13"/>
    </row>
    <row r="513" spans="1:3" ht="13" x14ac:dyDescent="0.15">
      <c r="A513" s="10"/>
      <c r="B513" s="13"/>
      <c r="C513" s="13"/>
    </row>
    <row r="514" spans="1:3" ht="13" x14ac:dyDescent="0.15">
      <c r="A514" s="10"/>
      <c r="B514" s="13"/>
      <c r="C514" s="13"/>
    </row>
    <row r="515" spans="1:3" ht="13" x14ac:dyDescent="0.15">
      <c r="A515" s="10"/>
      <c r="B515" s="13"/>
      <c r="C515" s="13"/>
    </row>
    <row r="516" spans="1:3" ht="13" x14ac:dyDescent="0.15">
      <c r="A516" s="10"/>
      <c r="B516" s="13"/>
      <c r="C516" s="13"/>
    </row>
    <row r="517" spans="1:3" ht="13" x14ac:dyDescent="0.15">
      <c r="A517" s="10"/>
      <c r="B517" s="13"/>
      <c r="C517" s="13"/>
    </row>
    <row r="518" spans="1:3" ht="13" x14ac:dyDescent="0.15">
      <c r="A518" s="10"/>
      <c r="B518" s="13"/>
      <c r="C518" s="13"/>
    </row>
    <row r="519" spans="1:3" ht="13" x14ac:dyDescent="0.15">
      <c r="A519" s="10"/>
      <c r="B519" s="13"/>
      <c r="C519" s="13"/>
    </row>
    <row r="520" spans="1:3" ht="13" x14ac:dyDescent="0.15">
      <c r="A520" s="10"/>
      <c r="B520" s="13"/>
      <c r="C520" s="13"/>
    </row>
    <row r="521" spans="1:3" ht="13" x14ac:dyDescent="0.15">
      <c r="A521" s="10"/>
      <c r="B521" s="13"/>
      <c r="C521" s="13"/>
    </row>
    <row r="522" spans="1:3" ht="13" x14ac:dyDescent="0.15">
      <c r="A522" s="10"/>
      <c r="B522" s="13"/>
      <c r="C522" s="13"/>
    </row>
    <row r="523" spans="1:3" ht="13" x14ac:dyDescent="0.15">
      <c r="A523" s="10"/>
      <c r="B523" s="13"/>
      <c r="C523" s="13"/>
    </row>
    <row r="524" spans="1:3" ht="13" x14ac:dyDescent="0.15">
      <c r="A524" s="10"/>
      <c r="B524" s="13"/>
      <c r="C524" s="13"/>
    </row>
    <row r="525" spans="1:3" ht="13" x14ac:dyDescent="0.15">
      <c r="A525" s="10"/>
      <c r="B525" s="13"/>
      <c r="C525" s="13"/>
    </row>
    <row r="526" spans="1:3" ht="13" x14ac:dyDescent="0.15">
      <c r="A526" s="10"/>
      <c r="B526" s="13"/>
      <c r="C526" s="13"/>
    </row>
    <row r="527" spans="1:3" ht="13" x14ac:dyDescent="0.15">
      <c r="A527" s="10"/>
      <c r="B527" s="13"/>
      <c r="C527" s="13"/>
    </row>
    <row r="528" spans="1:3" ht="13" x14ac:dyDescent="0.15">
      <c r="A528" s="10"/>
      <c r="B528" s="13"/>
      <c r="C528" s="13"/>
    </row>
    <row r="529" spans="1:3" ht="13" x14ac:dyDescent="0.15">
      <c r="A529" s="10"/>
      <c r="B529" s="13"/>
      <c r="C529" s="13"/>
    </row>
    <row r="530" spans="1:3" ht="13" x14ac:dyDescent="0.15">
      <c r="A530" s="10"/>
      <c r="B530" s="13"/>
      <c r="C530" s="13"/>
    </row>
    <row r="531" spans="1:3" ht="13" x14ac:dyDescent="0.15">
      <c r="A531" s="10"/>
      <c r="B531" s="13"/>
      <c r="C531" s="13"/>
    </row>
    <row r="532" spans="1:3" ht="13" x14ac:dyDescent="0.15">
      <c r="A532" s="10"/>
      <c r="B532" s="13"/>
      <c r="C532" s="13"/>
    </row>
    <row r="533" spans="1:3" ht="13" x14ac:dyDescent="0.15">
      <c r="A533" s="10"/>
      <c r="B533" s="13"/>
      <c r="C533" s="13"/>
    </row>
    <row r="534" spans="1:3" ht="13" x14ac:dyDescent="0.15">
      <c r="A534" s="10"/>
      <c r="B534" s="13"/>
      <c r="C534" s="13"/>
    </row>
    <row r="535" spans="1:3" ht="13" x14ac:dyDescent="0.15">
      <c r="A535" s="10"/>
      <c r="B535" s="13"/>
      <c r="C535" s="13"/>
    </row>
    <row r="536" spans="1:3" ht="13" x14ac:dyDescent="0.15">
      <c r="A536" s="10"/>
      <c r="B536" s="13"/>
      <c r="C536" s="13"/>
    </row>
    <row r="537" spans="1:3" ht="13" x14ac:dyDescent="0.15">
      <c r="A537" s="10"/>
      <c r="B537" s="13"/>
      <c r="C537" s="13"/>
    </row>
    <row r="538" spans="1:3" ht="13" x14ac:dyDescent="0.15">
      <c r="A538" s="10"/>
      <c r="B538" s="13"/>
      <c r="C538" s="13"/>
    </row>
    <row r="539" spans="1:3" ht="13" x14ac:dyDescent="0.15">
      <c r="A539" s="10"/>
      <c r="B539" s="13"/>
      <c r="C539" s="13"/>
    </row>
    <row r="540" spans="1:3" ht="13" x14ac:dyDescent="0.15">
      <c r="A540" s="10"/>
      <c r="B540" s="13"/>
      <c r="C540" s="13"/>
    </row>
    <row r="541" spans="1:3" ht="13" x14ac:dyDescent="0.15">
      <c r="A541" s="10"/>
      <c r="B541" s="13"/>
      <c r="C541" s="13"/>
    </row>
    <row r="542" spans="1:3" ht="13" x14ac:dyDescent="0.15">
      <c r="A542" s="10"/>
      <c r="B542" s="13"/>
      <c r="C542" s="13"/>
    </row>
    <row r="543" spans="1:3" ht="13" x14ac:dyDescent="0.15">
      <c r="A543" s="10"/>
      <c r="B543" s="13"/>
      <c r="C543" s="13"/>
    </row>
    <row r="544" spans="1:3" ht="13" x14ac:dyDescent="0.15">
      <c r="A544" s="10"/>
      <c r="B544" s="13"/>
      <c r="C544" s="13"/>
    </row>
    <row r="545" spans="1:3" ht="13" x14ac:dyDescent="0.15">
      <c r="A545" s="10"/>
      <c r="B545" s="13"/>
      <c r="C545" s="13"/>
    </row>
    <row r="546" spans="1:3" ht="13" x14ac:dyDescent="0.15">
      <c r="A546" s="10"/>
      <c r="B546" s="13"/>
      <c r="C546" s="13"/>
    </row>
    <row r="547" spans="1:3" ht="13" x14ac:dyDescent="0.15">
      <c r="A547" s="10"/>
      <c r="B547" s="13"/>
      <c r="C547" s="13"/>
    </row>
    <row r="548" spans="1:3" ht="13" x14ac:dyDescent="0.15">
      <c r="A548" s="10"/>
      <c r="B548" s="13"/>
      <c r="C548" s="13"/>
    </row>
    <row r="549" spans="1:3" ht="13" x14ac:dyDescent="0.15">
      <c r="A549" s="10"/>
      <c r="B549" s="13"/>
      <c r="C549" s="13"/>
    </row>
    <row r="550" spans="1:3" ht="13" x14ac:dyDescent="0.15">
      <c r="A550" s="10"/>
      <c r="B550" s="13"/>
      <c r="C550" s="13"/>
    </row>
    <row r="551" spans="1:3" ht="13" x14ac:dyDescent="0.15">
      <c r="A551" s="10"/>
      <c r="B551" s="13"/>
      <c r="C551" s="13"/>
    </row>
    <row r="552" spans="1:3" ht="13" x14ac:dyDescent="0.15">
      <c r="A552" s="10"/>
      <c r="B552" s="13"/>
      <c r="C552" s="13"/>
    </row>
    <row r="553" spans="1:3" ht="13" x14ac:dyDescent="0.15">
      <c r="A553" s="10"/>
      <c r="B553" s="13"/>
      <c r="C553" s="13"/>
    </row>
    <row r="554" spans="1:3" ht="13" x14ac:dyDescent="0.15">
      <c r="A554" s="10"/>
      <c r="B554" s="13"/>
      <c r="C554" s="13"/>
    </row>
    <row r="555" spans="1:3" ht="13" x14ac:dyDescent="0.15">
      <c r="A555" s="10"/>
      <c r="B555" s="13"/>
      <c r="C555" s="13"/>
    </row>
    <row r="556" spans="1:3" ht="13" x14ac:dyDescent="0.15">
      <c r="A556" s="10"/>
      <c r="B556" s="13"/>
      <c r="C556" s="13"/>
    </row>
    <row r="557" spans="1:3" ht="13" x14ac:dyDescent="0.15">
      <c r="A557" s="10"/>
      <c r="B557" s="13"/>
      <c r="C557" s="13"/>
    </row>
    <row r="558" spans="1:3" ht="13" x14ac:dyDescent="0.15">
      <c r="A558" s="10"/>
      <c r="B558" s="13"/>
      <c r="C558" s="13"/>
    </row>
    <row r="559" spans="1:3" ht="13" x14ac:dyDescent="0.15">
      <c r="A559" s="10"/>
      <c r="B559" s="13"/>
      <c r="C559" s="13"/>
    </row>
    <row r="560" spans="1:3" ht="13" x14ac:dyDescent="0.15">
      <c r="A560" s="10"/>
      <c r="B560" s="13"/>
      <c r="C560" s="13"/>
    </row>
    <row r="561" spans="1:3" ht="13" x14ac:dyDescent="0.15">
      <c r="A561" s="10"/>
      <c r="B561" s="13"/>
      <c r="C561" s="13"/>
    </row>
    <row r="562" spans="1:3" ht="13" x14ac:dyDescent="0.15">
      <c r="A562" s="10"/>
      <c r="B562" s="13"/>
      <c r="C562" s="13"/>
    </row>
    <row r="563" spans="1:3" ht="13" x14ac:dyDescent="0.15">
      <c r="A563" s="10"/>
      <c r="B563" s="13"/>
      <c r="C563" s="13"/>
    </row>
    <row r="564" spans="1:3" ht="13" x14ac:dyDescent="0.15">
      <c r="A564" s="10"/>
      <c r="B564" s="13"/>
      <c r="C564" s="13"/>
    </row>
    <row r="565" spans="1:3" ht="13" x14ac:dyDescent="0.15">
      <c r="A565" s="10"/>
      <c r="B565" s="13"/>
      <c r="C565" s="13"/>
    </row>
    <row r="566" spans="1:3" ht="13" x14ac:dyDescent="0.15">
      <c r="A566" s="10"/>
      <c r="B566" s="13"/>
      <c r="C566" s="13"/>
    </row>
    <row r="567" spans="1:3" ht="13" x14ac:dyDescent="0.15">
      <c r="A567" s="10"/>
      <c r="B567" s="13"/>
      <c r="C567" s="13"/>
    </row>
    <row r="568" spans="1:3" ht="13" x14ac:dyDescent="0.15">
      <c r="A568" s="10"/>
      <c r="B568" s="13"/>
      <c r="C568" s="13"/>
    </row>
    <row r="569" spans="1:3" ht="13" x14ac:dyDescent="0.15">
      <c r="A569" s="10"/>
      <c r="B569" s="13"/>
      <c r="C569" s="13"/>
    </row>
    <row r="570" spans="1:3" ht="13" x14ac:dyDescent="0.15">
      <c r="A570" s="10"/>
      <c r="B570" s="13"/>
      <c r="C570" s="13"/>
    </row>
    <row r="571" spans="1:3" ht="13" x14ac:dyDescent="0.15">
      <c r="A571" s="10"/>
      <c r="B571" s="13"/>
      <c r="C571" s="13"/>
    </row>
    <row r="572" spans="1:3" ht="13" x14ac:dyDescent="0.15">
      <c r="A572" s="10"/>
      <c r="B572" s="13"/>
      <c r="C572" s="13"/>
    </row>
    <row r="573" spans="1:3" ht="13" x14ac:dyDescent="0.15">
      <c r="A573" s="10"/>
      <c r="B573" s="13"/>
      <c r="C573" s="13"/>
    </row>
    <row r="574" spans="1:3" ht="13" x14ac:dyDescent="0.15">
      <c r="A574" s="10"/>
      <c r="B574" s="13"/>
      <c r="C574" s="13"/>
    </row>
    <row r="575" spans="1:3" ht="13" x14ac:dyDescent="0.15">
      <c r="A575" s="10"/>
      <c r="B575" s="13"/>
      <c r="C575" s="13"/>
    </row>
    <row r="576" spans="1:3" ht="13" x14ac:dyDescent="0.15">
      <c r="A576" s="10"/>
      <c r="B576" s="13"/>
      <c r="C576" s="13"/>
    </row>
    <row r="577" spans="1:3" ht="13" x14ac:dyDescent="0.15">
      <c r="A577" s="10"/>
      <c r="B577" s="13"/>
      <c r="C577" s="13"/>
    </row>
    <row r="578" spans="1:3" ht="13" x14ac:dyDescent="0.15">
      <c r="A578" s="10"/>
      <c r="B578" s="13"/>
      <c r="C578" s="13"/>
    </row>
    <row r="579" spans="1:3" ht="13" x14ac:dyDescent="0.15">
      <c r="A579" s="10"/>
      <c r="B579" s="13"/>
      <c r="C579" s="13"/>
    </row>
    <row r="580" spans="1:3" ht="13" x14ac:dyDescent="0.15">
      <c r="A580" s="10"/>
      <c r="B580" s="13"/>
      <c r="C580" s="13"/>
    </row>
    <row r="581" spans="1:3" ht="13" x14ac:dyDescent="0.15">
      <c r="A581" s="10"/>
      <c r="B581" s="13"/>
      <c r="C581" s="13"/>
    </row>
    <row r="582" spans="1:3" ht="13" x14ac:dyDescent="0.15">
      <c r="A582" s="10"/>
      <c r="B582" s="13"/>
      <c r="C582" s="13"/>
    </row>
    <row r="583" spans="1:3" ht="13" x14ac:dyDescent="0.15">
      <c r="A583" s="10"/>
      <c r="B583" s="13"/>
      <c r="C583" s="13"/>
    </row>
    <row r="584" spans="1:3" ht="13" x14ac:dyDescent="0.15">
      <c r="A584" s="10"/>
      <c r="B584" s="13"/>
      <c r="C584" s="13"/>
    </row>
    <row r="585" spans="1:3" ht="13" x14ac:dyDescent="0.15">
      <c r="A585" s="10"/>
      <c r="B585" s="13"/>
      <c r="C585" s="13"/>
    </row>
    <row r="586" spans="1:3" ht="13" x14ac:dyDescent="0.15">
      <c r="A586" s="10"/>
      <c r="B586" s="13"/>
      <c r="C586" s="13"/>
    </row>
    <row r="587" spans="1:3" ht="13" x14ac:dyDescent="0.15">
      <c r="A587" s="10"/>
      <c r="B587" s="13"/>
      <c r="C587" s="13"/>
    </row>
    <row r="588" spans="1:3" ht="13" x14ac:dyDescent="0.15">
      <c r="A588" s="10"/>
      <c r="B588" s="13"/>
      <c r="C588" s="13"/>
    </row>
    <row r="589" spans="1:3" ht="13" x14ac:dyDescent="0.15">
      <c r="A589" s="10"/>
      <c r="B589" s="13"/>
      <c r="C589" s="13"/>
    </row>
    <row r="590" spans="1:3" ht="13" x14ac:dyDescent="0.15">
      <c r="A590" s="10"/>
      <c r="B590" s="13"/>
      <c r="C590" s="13"/>
    </row>
    <row r="591" spans="1:3" ht="13" x14ac:dyDescent="0.15">
      <c r="A591" s="10"/>
      <c r="B591" s="13"/>
      <c r="C591" s="13"/>
    </row>
    <row r="592" spans="1:3" ht="13" x14ac:dyDescent="0.15">
      <c r="A592" s="10"/>
      <c r="B592" s="13"/>
      <c r="C592" s="13"/>
    </row>
    <row r="593" spans="1:3" ht="13" x14ac:dyDescent="0.15">
      <c r="A593" s="10"/>
      <c r="B593" s="13"/>
      <c r="C593" s="13"/>
    </row>
    <row r="594" spans="1:3" ht="13" x14ac:dyDescent="0.15">
      <c r="A594" s="10"/>
      <c r="B594" s="13"/>
      <c r="C594" s="13"/>
    </row>
    <row r="595" spans="1:3" ht="13" x14ac:dyDescent="0.15">
      <c r="A595" s="10"/>
      <c r="B595" s="13"/>
      <c r="C595" s="13"/>
    </row>
    <row r="596" spans="1:3" ht="13" x14ac:dyDescent="0.15">
      <c r="A596" s="10"/>
      <c r="B596" s="13"/>
      <c r="C596" s="13"/>
    </row>
    <row r="597" spans="1:3" ht="13" x14ac:dyDescent="0.15">
      <c r="A597" s="10"/>
      <c r="B597" s="13"/>
      <c r="C597" s="13"/>
    </row>
    <row r="598" spans="1:3" ht="13" x14ac:dyDescent="0.15">
      <c r="A598" s="10"/>
      <c r="B598" s="13"/>
      <c r="C598" s="13"/>
    </row>
    <row r="599" spans="1:3" ht="13" x14ac:dyDescent="0.15">
      <c r="A599" s="10"/>
      <c r="B599" s="13"/>
      <c r="C599" s="13"/>
    </row>
    <row r="600" spans="1:3" ht="13" x14ac:dyDescent="0.15">
      <c r="A600" s="10"/>
      <c r="B600" s="13"/>
      <c r="C600" s="13"/>
    </row>
    <row r="601" spans="1:3" ht="13" x14ac:dyDescent="0.15">
      <c r="A601" s="10"/>
      <c r="B601" s="13"/>
      <c r="C601" s="13"/>
    </row>
    <row r="602" spans="1:3" ht="13" x14ac:dyDescent="0.15">
      <c r="A602" s="10"/>
      <c r="B602" s="13"/>
      <c r="C602" s="13"/>
    </row>
    <row r="603" spans="1:3" ht="13" x14ac:dyDescent="0.15">
      <c r="A603" s="10"/>
      <c r="B603" s="13"/>
      <c r="C603" s="13"/>
    </row>
    <row r="604" spans="1:3" ht="13" x14ac:dyDescent="0.15">
      <c r="A604" s="10"/>
      <c r="B604" s="13"/>
      <c r="C604" s="13"/>
    </row>
    <row r="605" spans="1:3" ht="13" x14ac:dyDescent="0.15">
      <c r="A605" s="10"/>
      <c r="B605" s="13"/>
      <c r="C605" s="13"/>
    </row>
    <row r="606" spans="1:3" ht="13" x14ac:dyDescent="0.15">
      <c r="A606" s="10"/>
      <c r="B606" s="13"/>
      <c r="C606" s="13"/>
    </row>
    <row r="607" spans="1:3" ht="13" x14ac:dyDescent="0.15">
      <c r="A607" s="10"/>
      <c r="B607" s="13"/>
      <c r="C607" s="13"/>
    </row>
    <row r="608" spans="1:3" ht="13" x14ac:dyDescent="0.15">
      <c r="A608" s="10"/>
      <c r="B608" s="13"/>
      <c r="C608" s="13"/>
    </row>
    <row r="609" spans="1:3" ht="13" x14ac:dyDescent="0.15">
      <c r="A609" s="10"/>
      <c r="B609" s="13"/>
      <c r="C609" s="13"/>
    </row>
    <row r="610" spans="1:3" ht="13" x14ac:dyDescent="0.15">
      <c r="A610" s="10"/>
      <c r="B610" s="13"/>
      <c r="C610" s="13"/>
    </row>
    <row r="611" spans="1:3" ht="13" x14ac:dyDescent="0.15">
      <c r="A611" s="10"/>
      <c r="B611" s="13"/>
      <c r="C611" s="13"/>
    </row>
    <row r="612" spans="1:3" ht="13" x14ac:dyDescent="0.15">
      <c r="A612" s="10"/>
      <c r="B612" s="13"/>
      <c r="C612" s="13"/>
    </row>
    <row r="613" spans="1:3" ht="13" x14ac:dyDescent="0.15">
      <c r="A613" s="10"/>
      <c r="B613" s="13"/>
      <c r="C613" s="13"/>
    </row>
    <row r="614" spans="1:3" ht="13" x14ac:dyDescent="0.15">
      <c r="A614" s="10"/>
      <c r="B614" s="13"/>
      <c r="C614" s="13"/>
    </row>
    <row r="615" spans="1:3" ht="13" x14ac:dyDescent="0.15">
      <c r="A615" s="10"/>
      <c r="B615" s="13"/>
      <c r="C615" s="13"/>
    </row>
    <row r="616" spans="1:3" ht="13" x14ac:dyDescent="0.15">
      <c r="A616" s="10"/>
      <c r="B616" s="13"/>
      <c r="C616" s="13"/>
    </row>
    <row r="617" spans="1:3" ht="13" x14ac:dyDescent="0.15">
      <c r="A617" s="10"/>
      <c r="B617" s="13"/>
      <c r="C617" s="13"/>
    </row>
    <row r="618" spans="1:3" ht="13" x14ac:dyDescent="0.15">
      <c r="A618" s="10"/>
      <c r="B618" s="13"/>
      <c r="C618" s="13"/>
    </row>
    <row r="619" spans="1:3" ht="13" x14ac:dyDescent="0.15">
      <c r="A619" s="10"/>
      <c r="B619" s="13"/>
      <c r="C619" s="13"/>
    </row>
    <row r="620" spans="1:3" ht="13" x14ac:dyDescent="0.15">
      <c r="A620" s="10"/>
      <c r="B620" s="13"/>
      <c r="C620" s="13"/>
    </row>
    <row r="621" spans="1:3" ht="13" x14ac:dyDescent="0.15">
      <c r="A621" s="10"/>
      <c r="B621" s="13"/>
      <c r="C621" s="13"/>
    </row>
    <row r="622" spans="1:3" ht="13" x14ac:dyDescent="0.15">
      <c r="A622" s="10"/>
      <c r="B622" s="13"/>
      <c r="C622" s="13"/>
    </row>
    <row r="623" spans="1:3" ht="13" x14ac:dyDescent="0.15">
      <c r="A623" s="10"/>
      <c r="B623" s="13"/>
      <c r="C623" s="13"/>
    </row>
    <row r="624" spans="1:3" ht="13" x14ac:dyDescent="0.15">
      <c r="A624" s="10"/>
      <c r="B624" s="13"/>
      <c r="C624" s="13"/>
    </row>
    <row r="625" spans="1:3" ht="13" x14ac:dyDescent="0.15">
      <c r="A625" s="10"/>
      <c r="B625" s="13"/>
      <c r="C625" s="13"/>
    </row>
    <row r="626" spans="1:3" ht="13" x14ac:dyDescent="0.15">
      <c r="A626" s="10"/>
      <c r="B626" s="13"/>
      <c r="C626" s="13"/>
    </row>
    <row r="627" spans="1:3" ht="13" x14ac:dyDescent="0.15">
      <c r="A627" s="10"/>
      <c r="B627" s="13"/>
      <c r="C627" s="13"/>
    </row>
    <row r="628" spans="1:3" ht="13" x14ac:dyDescent="0.15">
      <c r="A628" s="10"/>
      <c r="B628" s="13"/>
      <c r="C628" s="13"/>
    </row>
    <row r="629" spans="1:3" ht="13" x14ac:dyDescent="0.15">
      <c r="A629" s="10"/>
      <c r="B629" s="13"/>
      <c r="C629" s="13"/>
    </row>
    <row r="630" spans="1:3" ht="13" x14ac:dyDescent="0.15">
      <c r="A630" s="10"/>
      <c r="B630" s="13"/>
      <c r="C630" s="13"/>
    </row>
    <row r="631" spans="1:3" ht="13" x14ac:dyDescent="0.15">
      <c r="A631" s="10"/>
      <c r="B631" s="13"/>
      <c r="C631" s="13"/>
    </row>
    <row r="632" spans="1:3" ht="13" x14ac:dyDescent="0.15">
      <c r="A632" s="10"/>
      <c r="B632" s="13"/>
      <c r="C632" s="13"/>
    </row>
    <row r="633" spans="1:3" ht="13" x14ac:dyDescent="0.15">
      <c r="A633" s="10"/>
      <c r="B633" s="13"/>
      <c r="C633" s="13"/>
    </row>
    <row r="634" spans="1:3" ht="13" x14ac:dyDescent="0.15">
      <c r="A634" s="10"/>
      <c r="B634" s="13"/>
      <c r="C634" s="13"/>
    </row>
    <row r="635" spans="1:3" ht="13" x14ac:dyDescent="0.15">
      <c r="A635" s="10"/>
      <c r="B635" s="13"/>
      <c r="C635" s="13"/>
    </row>
    <row r="636" spans="1:3" ht="13" x14ac:dyDescent="0.15">
      <c r="A636" s="10"/>
      <c r="B636" s="13"/>
      <c r="C636" s="13"/>
    </row>
    <row r="637" spans="1:3" ht="13" x14ac:dyDescent="0.15">
      <c r="A637" s="10"/>
      <c r="B637" s="13"/>
      <c r="C637" s="13"/>
    </row>
    <row r="638" spans="1:3" ht="13" x14ac:dyDescent="0.15">
      <c r="A638" s="10"/>
      <c r="B638" s="13"/>
      <c r="C638" s="13"/>
    </row>
    <row r="639" spans="1:3" ht="13" x14ac:dyDescent="0.15">
      <c r="A639" s="10"/>
      <c r="B639" s="13"/>
      <c r="C639" s="13"/>
    </row>
    <row r="640" spans="1:3" ht="13" x14ac:dyDescent="0.15">
      <c r="A640" s="10"/>
      <c r="B640" s="13"/>
      <c r="C640" s="13"/>
    </row>
    <row r="641" spans="1:3" ht="13" x14ac:dyDescent="0.15">
      <c r="A641" s="10"/>
      <c r="B641" s="13"/>
      <c r="C641" s="13"/>
    </row>
    <row r="642" spans="1:3" ht="13" x14ac:dyDescent="0.15">
      <c r="A642" s="10"/>
      <c r="B642" s="13"/>
      <c r="C642" s="13"/>
    </row>
    <row r="643" spans="1:3" ht="13" x14ac:dyDescent="0.15">
      <c r="A643" s="10"/>
      <c r="B643" s="13"/>
      <c r="C643" s="13"/>
    </row>
    <row r="644" spans="1:3" ht="13" x14ac:dyDescent="0.15">
      <c r="A644" s="10"/>
      <c r="B644" s="13"/>
      <c r="C644" s="13"/>
    </row>
    <row r="645" spans="1:3" ht="13" x14ac:dyDescent="0.15">
      <c r="A645" s="10"/>
      <c r="B645" s="13"/>
      <c r="C645" s="13"/>
    </row>
    <row r="646" spans="1:3" ht="13" x14ac:dyDescent="0.15">
      <c r="A646" s="10"/>
      <c r="B646" s="13"/>
      <c r="C646" s="13"/>
    </row>
    <row r="647" spans="1:3" ht="13" x14ac:dyDescent="0.15">
      <c r="A647" s="10"/>
      <c r="B647" s="13"/>
      <c r="C647" s="13"/>
    </row>
    <row r="648" spans="1:3" ht="13" x14ac:dyDescent="0.15">
      <c r="A648" s="10"/>
      <c r="B648" s="13"/>
      <c r="C648" s="13"/>
    </row>
    <row r="649" spans="1:3" ht="13" x14ac:dyDescent="0.15">
      <c r="A649" s="10"/>
      <c r="B649" s="13"/>
      <c r="C649" s="13"/>
    </row>
    <row r="650" spans="1:3" ht="13" x14ac:dyDescent="0.15">
      <c r="A650" s="10"/>
      <c r="B650" s="13"/>
      <c r="C650" s="13"/>
    </row>
    <row r="651" spans="1:3" ht="13" x14ac:dyDescent="0.15">
      <c r="A651" s="10"/>
      <c r="B651" s="13"/>
      <c r="C651" s="13"/>
    </row>
    <row r="652" spans="1:3" ht="13" x14ac:dyDescent="0.15">
      <c r="A652" s="10"/>
      <c r="B652" s="13"/>
      <c r="C652" s="13"/>
    </row>
    <row r="653" spans="1:3" ht="13" x14ac:dyDescent="0.15">
      <c r="A653" s="10"/>
      <c r="B653" s="13"/>
      <c r="C653" s="13"/>
    </row>
    <row r="654" spans="1:3" ht="13" x14ac:dyDescent="0.15">
      <c r="A654" s="10"/>
      <c r="B654" s="13"/>
      <c r="C654" s="13"/>
    </row>
    <row r="655" spans="1:3" ht="13" x14ac:dyDescent="0.15">
      <c r="A655" s="10"/>
      <c r="B655" s="13"/>
      <c r="C655" s="13"/>
    </row>
    <row r="656" spans="1:3" ht="13" x14ac:dyDescent="0.15">
      <c r="A656" s="10"/>
      <c r="B656" s="13"/>
      <c r="C656" s="13"/>
    </row>
    <row r="657" spans="1:3" ht="13" x14ac:dyDescent="0.15">
      <c r="A657" s="10"/>
      <c r="B657" s="13"/>
      <c r="C657" s="13"/>
    </row>
    <row r="658" spans="1:3" ht="13" x14ac:dyDescent="0.15">
      <c r="A658" s="10"/>
      <c r="B658" s="13"/>
      <c r="C658" s="13"/>
    </row>
    <row r="659" spans="1:3" ht="13" x14ac:dyDescent="0.15">
      <c r="A659" s="10"/>
      <c r="B659" s="13"/>
      <c r="C659" s="13"/>
    </row>
    <row r="660" spans="1:3" ht="13" x14ac:dyDescent="0.15">
      <c r="A660" s="10"/>
      <c r="B660" s="13"/>
      <c r="C660" s="13"/>
    </row>
    <row r="661" spans="1:3" ht="13" x14ac:dyDescent="0.15">
      <c r="A661" s="10"/>
      <c r="B661" s="13"/>
      <c r="C661" s="13"/>
    </row>
    <row r="662" spans="1:3" ht="13" x14ac:dyDescent="0.15">
      <c r="A662" s="10"/>
      <c r="B662" s="13"/>
      <c r="C662" s="13"/>
    </row>
    <row r="663" spans="1:3" ht="13" x14ac:dyDescent="0.15">
      <c r="A663" s="10"/>
      <c r="B663" s="13"/>
      <c r="C663" s="13"/>
    </row>
    <row r="664" spans="1:3" ht="13" x14ac:dyDescent="0.15">
      <c r="A664" s="10"/>
      <c r="B664" s="13"/>
      <c r="C664" s="13"/>
    </row>
    <row r="665" spans="1:3" ht="13" x14ac:dyDescent="0.15">
      <c r="A665" s="10"/>
      <c r="B665" s="13"/>
      <c r="C665" s="13"/>
    </row>
    <row r="666" spans="1:3" ht="13" x14ac:dyDescent="0.15">
      <c r="A666" s="10"/>
      <c r="B666" s="13"/>
      <c r="C666" s="13"/>
    </row>
    <row r="667" spans="1:3" ht="13" x14ac:dyDescent="0.15">
      <c r="A667" s="10"/>
      <c r="B667" s="13"/>
      <c r="C667" s="13"/>
    </row>
    <row r="668" spans="1:3" ht="13" x14ac:dyDescent="0.15">
      <c r="A668" s="10"/>
      <c r="B668" s="13"/>
      <c r="C668" s="13"/>
    </row>
    <row r="669" spans="1:3" ht="13" x14ac:dyDescent="0.15">
      <c r="A669" s="10"/>
      <c r="B669" s="13"/>
      <c r="C669" s="13"/>
    </row>
    <row r="670" spans="1:3" ht="13" x14ac:dyDescent="0.15">
      <c r="A670" s="10"/>
      <c r="B670" s="13"/>
      <c r="C670" s="13"/>
    </row>
    <row r="671" spans="1:3" ht="13" x14ac:dyDescent="0.15">
      <c r="A671" s="10"/>
      <c r="B671" s="13"/>
      <c r="C671" s="13"/>
    </row>
    <row r="672" spans="1:3" ht="13" x14ac:dyDescent="0.15">
      <c r="A672" s="10"/>
      <c r="B672" s="13"/>
      <c r="C672" s="13"/>
    </row>
    <row r="673" spans="1:3" ht="13" x14ac:dyDescent="0.15">
      <c r="A673" s="10"/>
      <c r="B673" s="13"/>
      <c r="C673" s="13"/>
    </row>
    <row r="674" spans="1:3" ht="13" x14ac:dyDescent="0.15">
      <c r="A674" s="10"/>
      <c r="B674" s="13"/>
      <c r="C674" s="13"/>
    </row>
    <row r="675" spans="1:3" ht="13" x14ac:dyDescent="0.15">
      <c r="A675" s="10"/>
      <c r="B675" s="13"/>
      <c r="C675" s="13"/>
    </row>
    <row r="676" spans="1:3" ht="13" x14ac:dyDescent="0.15">
      <c r="A676" s="10"/>
      <c r="B676" s="13"/>
      <c r="C676" s="13"/>
    </row>
    <row r="677" spans="1:3" ht="13" x14ac:dyDescent="0.15">
      <c r="A677" s="10"/>
      <c r="B677" s="13"/>
      <c r="C677" s="13"/>
    </row>
    <row r="678" spans="1:3" ht="13" x14ac:dyDescent="0.15">
      <c r="A678" s="10"/>
      <c r="B678" s="13"/>
      <c r="C678" s="13"/>
    </row>
    <row r="679" spans="1:3" ht="13" x14ac:dyDescent="0.15">
      <c r="A679" s="10"/>
      <c r="B679" s="13"/>
      <c r="C679" s="13"/>
    </row>
    <row r="680" spans="1:3" ht="13" x14ac:dyDescent="0.15">
      <c r="A680" s="10"/>
      <c r="B680" s="13"/>
      <c r="C680" s="13"/>
    </row>
    <row r="681" spans="1:3" ht="13" x14ac:dyDescent="0.15">
      <c r="A681" s="10"/>
      <c r="B681" s="13"/>
      <c r="C681" s="13"/>
    </row>
    <row r="682" spans="1:3" ht="13" x14ac:dyDescent="0.15">
      <c r="A682" s="10"/>
      <c r="B682" s="13"/>
      <c r="C682" s="13"/>
    </row>
    <row r="683" spans="1:3" ht="13" x14ac:dyDescent="0.15">
      <c r="A683" s="10"/>
      <c r="B683" s="13"/>
      <c r="C683" s="13"/>
    </row>
    <row r="684" spans="1:3" ht="13" x14ac:dyDescent="0.15">
      <c r="A684" s="10"/>
      <c r="B684" s="13"/>
      <c r="C684" s="13"/>
    </row>
    <row r="685" spans="1:3" ht="13" x14ac:dyDescent="0.15">
      <c r="A685" s="10"/>
      <c r="B685" s="13"/>
      <c r="C685" s="13"/>
    </row>
    <row r="686" spans="1:3" ht="13" x14ac:dyDescent="0.15">
      <c r="A686" s="10"/>
      <c r="B686" s="13"/>
      <c r="C686" s="13"/>
    </row>
    <row r="687" spans="1:3" ht="13" x14ac:dyDescent="0.15">
      <c r="A687" s="10"/>
      <c r="B687" s="13"/>
      <c r="C687" s="13"/>
    </row>
    <row r="688" spans="1:3" ht="13" x14ac:dyDescent="0.15">
      <c r="A688" s="10"/>
      <c r="B688" s="13"/>
      <c r="C688" s="13"/>
    </row>
    <row r="689" spans="1:3" ht="13" x14ac:dyDescent="0.15">
      <c r="A689" s="10"/>
      <c r="B689" s="13"/>
      <c r="C689" s="13"/>
    </row>
    <row r="690" spans="1:3" ht="13" x14ac:dyDescent="0.15">
      <c r="A690" s="10"/>
      <c r="B690" s="13"/>
      <c r="C690" s="13"/>
    </row>
    <row r="691" spans="1:3" ht="13" x14ac:dyDescent="0.15">
      <c r="A691" s="10"/>
      <c r="B691" s="13"/>
      <c r="C691" s="13"/>
    </row>
    <row r="692" spans="1:3" ht="13" x14ac:dyDescent="0.15">
      <c r="A692" s="10"/>
      <c r="B692" s="13"/>
      <c r="C692" s="13"/>
    </row>
    <row r="693" spans="1:3" ht="13" x14ac:dyDescent="0.15">
      <c r="A693" s="10"/>
      <c r="B693" s="13"/>
      <c r="C693" s="13"/>
    </row>
    <row r="694" spans="1:3" ht="13" x14ac:dyDescent="0.15">
      <c r="A694" s="10"/>
      <c r="B694" s="13"/>
      <c r="C694" s="13"/>
    </row>
    <row r="695" spans="1:3" ht="13" x14ac:dyDescent="0.15">
      <c r="A695" s="10"/>
      <c r="B695" s="13"/>
      <c r="C695" s="13"/>
    </row>
    <row r="696" spans="1:3" ht="13" x14ac:dyDescent="0.15">
      <c r="A696" s="10"/>
      <c r="B696" s="13"/>
      <c r="C696" s="13"/>
    </row>
    <row r="697" spans="1:3" ht="13" x14ac:dyDescent="0.15">
      <c r="A697" s="10"/>
      <c r="B697" s="13"/>
      <c r="C697" s="13"/>
    </row>
    <row r="698" spans="1:3" ht="13" x14ac:dyDescent="0.15">
      <c r="A698" s="10"/>
      <c r="B698" s="13"/>
      <c r="C698" s="13"/>
    </row>
    <row r="699" spans="1:3" ht="13" x14ac:dyDescent="0.15">
      <c r="A699" s="10"/>
      <c r="B699" s="13"/>
      <c r="C699" s="13"/>
    </row>
    <row r="700" spans="1:3" ht="13" x14ac:dyDescent="0.15">
      <c r="A700" s="10"/>
      <c r="B700" s="13"/>
      <c r="C700" s="13"/>
    </row>
    <row r="701" spans="1:3" ht="13" x14ac:dyDescent="0.15">
      <c r="A701" s="10"/>
      <c r="B701" s="13"/>
      <c r="C701" s="13"/>
    </row>
    <row r="702" spans="1:3" ht="13" x14ac:dyDescent="0.15">
      <c r="A702" s="10"/>
      <c r="B702" s="13"/>
      <c r="C702" s="13"/>
    </row>
    <row r="703" spans="1:3" ht="13" x14ac:dyDescent="0.15">
      <c r="A703" s="10"/>
      <c r="B703" s="13"/>
      <c r="C703" s="13"/>
    </row>
    <row r="704" spans="1:3" ht="13" x14ac:dyDescent="0.15">
      <c r="A704" s="10"/>
      <c r="B704" s="13"/>
      <c r="C704" s="13"/>
    </row>
    <row r="705" spans="1:3" ht="13" x14ac:dyDescent="0.15">
      <c r="A705" s="10"/>
      <c r="B705" s="13"/>
      <c r="C705" s="13"/>
    </row>
    <row r="706" spans="1:3" ht="13" x14ac:dyDescent="0.15">
      <c r="A706" s="10"/>
      <c r="B706" s="13"/>
      <c r="C706" s="13"/>
    </row>
    <row r="707" spans="1:3" ht="13" x14ac:dyDescent="0.15">
      <c r="A707" s="10"/>
      <c r="B707" s="13"/>
      <c r="C707" s="13"/>
    </row>
    <row r="708" spans="1:3" ht="13" x14ac:dyDescent="0.15">
      <c r="A708" s="10"/>
      <c r="B708" s="13"/>
      <c r="C708" s="13"/>
    </row>
    <row r="709" spans="1:3" ht="13" x14ac:dyDescent="0.15">
      <c r="A709" s="10"/>
      <c r="B709" s="13"/>
      <c r="C709" s="13"/>
    </row>
    <row r="710" spans="1:3" ht="13" x14ac:dyDescent="0.15">
      <c r="A710" s="10"/>
      <c r="B710" s="13"/>
      <c r="C710" s="13"/>
    </row>
    <row r="711" spans="1:3" ht="13" x14ac:dyDescent="0.15">
      <c r="A711" s="10"/>
      <c r="B711" s="13"/>
      <c r="C711" s="13"/>
    </row>
    <row r="712" spans="1:3" ht="13" x14ac:dyDescent="0.15">
      <c r="A712" s="10"/>
      <c r="B712" s="13"/>
      <c r="C712" s="13"/>
    </row>
    <row r="713" spans="1:3" ht="13" x14ac:dyDescent="0.15">
      <c r="A713" s="10"/>
      <c r="B713" s="13"/>
      <c r="C713" s="13"/>
    </row>
    <row r="714" spans="1:3" ht="13" x14ac:dyDescent="0.15">
      <c r="A714" s="10"/>
      <c r="B714" s="13"/>
      <c r="C714" s="13"/>
    </row>
    <row r="715" spans="1:3" ht="13" x14ac:dyDescent="0.15">
      <c r="A715" s="10"/>
      <c r="B715" s="13"/>
      <c r="C715" s="13"/>
    </row>
    <row r="716" spans="1:3" ht="13" x14ac:dyDescent="0.15">
      <c r="A716" s="10"/>
      <c r="B716" s="13"/>
      <c r="C716" s="13"/>
    </row>
    <row r="717" spans="1:3" ht="13" x14ac:dyDescent="0.15">
      <c r="A717" s="10"/>
      <c r="B717" s="13"/>
      <c r="C717" s="13"/>
    </row>
    <row r="718" spans="1:3" ht="13" x14ac:dyDescent="0.15">
      <c r="A718" s="10"/>
      <c r="B718" s="13"/>
      <c r="C718" s="13"/>
    </row>
    <row r="719" spans="1:3" ht="13" x14ac:dyDescent="0.15">
      <c r="A719" s="10"/>
      <c r="B719" s="13"/>
      <c r="C719" s="13"/>
    </row>
    <row r="720" spans="1:3" ht="13" x14ac:dyDescent="0.15">
      <c r="A720" s="10"/>
      <c r="B720" s="13"/>
      <c r="C720" s="13"/>
    </row>
    <row r="721" spans="1:3" ht="13" x14ac:dyDescent="0.15">
      <c r="A721" s="10"/>
      <c r="B721" s="13"/>
      <c r="C721" s="13"/>
    </row>
    <row r="722" spans="1:3" ht="13" x14ac:dyDescent="0.15">
      <c r="A722" s="10"/>
      <c r="B722" s="13"/>
      <c r="C722" s="13"/>
    </row>
    <row r="723" spans="1:3" ht="13" x14ac:dyDescent="0.15">
      <c r="A723" s="10"/>
      <c r="B723" s="13"/>
      <c r="C723" s="13"/>
    </row>
    <row r="724" spans="1:3" ht="13" x14ac:dyDescent="0.15">
      <c r="A724" s="10"/>
      <c r="B724" s="13"/>
      <c r="C724" s="13"/>
    </row>
    <row r="725" spans="1:3" ht="13" x14ac:dyDescent="0.15">
      <c r="A725" s="10"/>
      <c r="B725" s="13"/>
      <c r="C725" s="13"/>
    </row>
    <row r="726" spans="1:3" ht="13" x14ac:dyDescent="0.15">
      <c r="A726" s="10"/>
      <c r="B726" s="13"/>
      <c r="C726" s="13"/>
    </row>
    <row r="727" spans="1:3" ht="13" x14ac:dyDescent="0.15">
      <c r="A727" s="10"/>
      <c r="B727" s="13"/>
      <c r="C727" s="13"/>
    </row>
    <row r="728" spans="1:3" ht="13" x14ac:dyDescent="0.15">
      <c r="A728" s="10"/>
      <c r="B728" s="13"/>
      <c r="C728" s="13"/>
    </row>
    <row r="729" spans="1:3" ht="13" x14ac:dyDescent="0.15">
      <c r="A729" s="10"/>
      <c r="B729" s="13"/>
      <c r="C729" s="13"/>
    </row>
    <row r="730" spans="1:3" ht="13" x14ac:dyDescent="0.15">
      <c r="A730" s="10"/>
      <c r="B730" s="13"/>
      <c r="C730" s="13"/>
    </row>
    <row r="731" spans="1:3" ht="13" x14ac:dyDescent="0.15">
      <c r="A731" s="10"/>
      <c r="B731" s="13"/>
      <c r="C731" s="13"/>
    </row>
    <row r="732" spans="1:3" ht="13" x14ac:dyDescent="0.15">
      <c r="A732" s="10"/>
      <c r="B732" s="13"/>
      <c r="C732" s="13"/>
    </row>
    <row r="733" spans="1:3" ht="13" x14ac:dyDescent="0.15">
      <c r="A733" s="10"/>
      <c r="B733" s="13"/>
      <c r="C733" s="13"/>
    </row>
    <row r="734" spans="1:3" ht="13" x14ac:dyDescent="0.15">
      <c r="A734" s="10"/>
      <c r="B734" s="13"/>
      <c r="C734" s="13"/>
    </row>
    <row r="735" spans="1:3" ht="13" x14ac:dyDescent="0.15">
      <c r="A735" s="10"/>
      <c r="B735" s="13"/>
      <c r="C735" s="13"/>
    </row>
    <row r="736" spans="1:3" ht="13" x14ac:dyDescent="0.15">
      <c r="A736" s="10"/>
      <c r="B736" s="13"/>
      <c r="C736" s="13"/>
    </row>
    <row r="737" spans="1:3" ht="13" x14ac:dyDescent="0.15">
      <c r="A737" s="10"/>
      <c r="B737" s="13"/>
      <c r="C737" s="13"/>
    </row>
    <row r="738" spans="1:3" ht="13" x14ac:dyDescent="0.15">
      <c r="A738" s="10"/>
      <c r="B738" s="13"/>
      <c r="C738" s="13"/>
    </row>
    <row r="739" spans="1:3" ht="13" x14ac:dyDescent="0.15">
      <c r="A739" s="10"/>
      <c r="B739" s="13"/>
      <c r="C739" s="13"/>
    </row>
    <row r="740" spans="1:3" ht="13" x14ac:dyDescent="0.15">
      <c r="A740" s="10"/>
      <c r="B740" s="13"/>
      <c r="C740" s="13"/>
    </row>
    <row r="741" spans="1:3" ht="13" x14ac:dyDescent="0.15">
      <c r="A741" s="10"/>
      <c r="B741" s="13"/>
      <c r="C741" s="13"/>
    </row>
    <row r="742" spans="1:3" ht="13" x14ac:dyDescent="0.15">
      <c r="A742" s="10"/>
      <c r="B742" s="13"/>
      <c r="C742" s="13"/>
    </row>
    <row r="743" spans="1:3" ht="13" x14ac:dyDescent="0.15">
      <c r="A743" s="10"/>
      <c r="B743" s="13"/>
      <c r="C743" s="13"/>
    </row>
    <row r="744" spans="1:3" ht="13" x14ac:dyDescent="0.15">
      <c r="A744" s="10"/>
      <c r="B744" s="13"/>
      <c r="C744" s="13"/>
    </row>
    <row r="745" spans="1:3" ht="13" x14ac:dyDescent="0.15">
      <c r="A745" s="10"/>
      <c r="B745" s="13"/>
      <c r="C745" s="13"/>
    </row>
    <row r="746" spans="1:3" ht="13" x14ac:dyDescent="0.15">
      <c r="A746" s="10"/>
      <c r="B746" s="13"/>
      <c r="C746" s="13"/>
    </row>
    <row r="747" spans="1:3" ht="13" x14ac:dyDescent="0.15">
      <c r="A747" s="10"/>
      <c r="B747" s="13"/>
      <c r="C747" s="13"/>
    </row>
    <row r="748" spans="1:3" ht="13" x14ac:dyDescent="0.15">
      <c r="A748" s="10"/>
      <c r="B748" s="13"/>
      <c r="C748" s="13"/>
    </row>
    <row r="749" spans="1:3" ht="13" x14ac:dyDescent="0.15">
      <c r="A749" s="10"/>
      <c r="B749" s="13"/>
      <c r="C749" s="13"/>
    </row>
    <row r="750" spans="1:3" ht="13" x14ac:dyDescent="0.15">
      <c r="A750" s="10"/>
      <c r="B750" s="13"/>
      <c r="C750" s="13"/>
    </row>
    <row r="751" spans="1:3" ht="13" x14ac:dyDescent="0.15">
      <c r="A751" s="10"/>
      <c r="B751" s="13"/>
      <c r="C751" s="13"/>
    </row>
    <row r="752" spans="1:3" ht="13" x14ac:dyDescent="0.15">
      <c r="A752" s="10"/>
      <c r="B752" s="13"/>
      <c r="C752" s="13"/>
    </row>
    <row r="753" spans="1:3" ht="13" x14ac:dyDescent="0.15">
      <c r="A753" s="10"/>
      <c r="B753" s="13"/>
      <c r="C753" s="13"/>
    </row>
    <row r="754" spans="1:3" ht="13" x14ac:dyDescent="0.15">
      <c r="A754" s="10"/>
      <c r="B754" s="13"/>
      <c r="C754" s="13"/>
    </row>
    <row r="755" spans="1:3" ht="13" x14ac:dyDescent="0.15">
      <c r="A755" s="10"/>
      <c r="B755" s="13"/>
      <c r="C755" s="13"/>
    </row>
    <row r="756" spans="1:3" ht="13" x14ac:dyDescent="0.15">
      <c r="A756" s="10"/>
      <c r="B756" s="13"/>
      <c r="C756" s="13"/>
    </row>
    <row r="757" spans="1:3" ht="13" x14ac:dyDescent="0.15">
      <c r="A757" s="10"/>
      <c r="B757" s="13"/>
      <c r="C757" s="13"/>
    </row>
    <row r="758" spans="1:3" ht="13" x14ac:dyDescent="0.15">
      <c r="A758" s="10"/>
      <c r="B758" s="13"/>
      <c r="C758" s="13"/>
    </row>
    <row r="759" spans="1:3" ht="13" x14ac:dyDescent="0.15">
      <c r="A759" s="10"/>
      <c r="B759" s="13"/>
      <c r="C759" s="13"/>
    </row>
    <row r="760" spans="1:3" ht="13" x14ac:dyDescent="0.15">
      <c r="A760" s="10"/>
      <c r="B760" s="13"/>
      <c r="C760" s="13"/>
    </row>
    <row r="761" spans="1:3" ht="13" x14ac:dyDescent="0.15">
      <c r="A761" s="10"/>
      <c r="B761" s="13"/>
      <c r="C761" s="13"/>
    </row>
    <row r="762" spans="1:3" ht="13" x14ac:dyDescent="0.15">
      <c r="A762" s="10"/>
      <c r="B762" s="13"/>
      <c r="C762" s="13"/>
    </row>
    <row r="763" spans="1:3" ht="13" x14ac:dyDescent="0.15">
      <c r="A763" s="10"/>
      <c r="B763" s="13"/>
      <c r="C763" s="13"/>
    </row>
    <row r="764" spans="1:3" ht="13" x14ac:dyDescent="0.15">
      <c r="A764" s="10"/>
      <c r="B764" s="13"/>
      <c r="C764" s="13"/>
    </row>
    <row r="765" spans="1:3" ht="13" x14ac:dyDescent="0.15">
      <c r="A765" s="10"/>
      <c r="B765" s="13"/>
      <c r="C765" s="13"/>
    </row>
    <row r="766" spans="1:3" ht="13" x14ac:dyDescent="0.15">
      <c r="A766" s="10"/>
      <c r="B766" s="13"/>
      <c r="C766" s="13"/>
    </row>
    <row r="767" spans="1:3" ht="13" x14ac:dyDescent="0.15">
      <c r="A767" s="10"/>
      <c r="B767" s="13"/>
      <c r="C767" s="13"/>
    </row>
    <row r="768" spans="1:3" ht="13" x14ac:dyDescent="0.15">
      <c r="A768" s="10"/>
      <c r="B768" s="13"/>
      <c r="C768" s="13"/>
    </row>
    <row r="769" spans="1:3" ht="13" x14ac:dyDescent="0.15">
      <c r="A769" s="10"/>
      <c r="B769" s="13"/>
      <c r="C769" s="13"/>
    </row>
    <row r="770" spans="1:3" ht="13" x14ac:dyDescent="0.15">
      <c r="A770" s="10"/>
      <c r="B770" s="13"/>
      <c r="C770" s="13"/>
    </row>
    <row r="771" spans="1:3" ht="13" x14ac:dyDescent="0.15">
      <c r="A771" s="10"/>
      <c r="B771" s="13"/>
      <c r="C771" s="13"/>
    </row>
    <row r="772" spans="1:3" ht="13" x14ac:dyDescent="0.15">
      <c r="A772" s="10"/>
      <c r="B772" s="13"/>
      <c r="C772" s="13"/>
    </row>
    <row r="773" spans="1:3" ht="13" x14ac:dyDescent="0.15">
      <c r="A773" s="10"/>
      <c r="B773" s="13"/>
      <c r="C773" s="13"/>
    </row>
    <row r="774" spans="1:3" ht="13" x14ac:dyDescent="0.15">
      <c r="A774" s="10"/>
      <c r="B774" s="13"/>
      <c r="C774" s="13"/>
    </row>
    <row r="775" spans="1:3" ht="13" x14ac:dyDescent="0.15">
      <c r="A775" s="10"/>
      <c r="B775" s="13"/>
      <c r="C775" s="13"/>
    </row>
    <row r="776" spans="1:3" ht="13" x14ac:dyDescent="0.15">
      <c r="A776" s="10"/>
      <c r="B776" s="13"/>
      <c r="C776" s="13"/>
    </row>
    <row r="777" spans="1:3" ht="13" x14ac:dyDescent="0.15">
      <c r="A777" s="10"/>
      <c r="B777" s="13"/>
      <c r="C777" s="13"/>
    </row>
    <row r="778" spans="1:3" ht="13" x14ac:dyDescent="0.15">
      <c r="A778" s="10"/>
      <c r="B778" s="13"/>
      <c r="C778" s="13"/>
    </row>
    <row r="779" spans="1:3" ht="13" x14ac:dyDescent="0.15">
      <c r="A779" s="10"/>
      <c r="B779" s="13"/>
      <c r="C779" s="13"/>
    </row>
    <row r="780" spans="1:3" ht="13" x14ac:dyDescent="0.15">
      <c r="A780" s="10"/>
      <c r="B780" s="13"/>
      <c r="C780" s="13"/>
    </row>
    <row r="781" spans="1:3" ht="13" x14ac:dyDescent="0.15">
      <c r="A781" s="10"/>
      <c r="B781" s="13"/>
      <c r="C781" s="13"/>
    </row>
    <row r="782" spans="1:3" ht="13" x14ac:dyDescent="0.15">
      <c r="A782" s="10"/>
      <c r="B782" s="13"/>
      <c r="C782" s="13"/>
    </row>
    <row r="783" spans="1:3" ht="13" x14ac:dyDescent="0.15">
      <c r="A783" s="10"/>
      <c r="B783" s="13"/>
      <c r="C783" s="13"/>
    </row>
    <row r="784" spans="1:3" ht="13" x14ac:dyDescent="0.15">
      <c r="A784" s="10"/>
      <c r="B784" s="13"/>
      <c r="C784" s="13"/>
    </row>
    <row r="785" spans="1:3" ht="13" x14ac:dyDescent="0.15">
      <c r="A785" s="10"/>
      <c r="B785" s="13"/>
      <c r="C785" s="13"/>
    </row>
    <row r="786" spans="1:3" ht="13" x14ac:dyDescent="0.15">
      <c r="A786" s="10"/>
      <c r="B786" s="13"/>
      <c r="C786" s="13"/>
    </row>
    <row r="787" spans="1:3" ht="13" x14ac:dyDescent="0.15">
      <c r="A787" s="10"/>
      <c r="B787" s="13"/>
      <c r="C787" s="13"/>
    </row>
    <row r="788" spans="1:3" ht="13" x14ac:dyDescent="0.15">
      <c r="A788" s="10"/>
      <c r="B788" s="13"/>
      <c r="C788" s="13"/>
    </row>
    <row r="789" spans="1:3" ht="13" x14ac:dyDescent="0.15">
      <c r="A789" s="10"/>
      <c r="B789" s="13"/>
      <c r="C789" s="13"/>
    </row>
    <row r="790" spans="1:3" ht="13" x14ac:dyDescent="0.15">
      <c r="A790" s="10"/>
      <c r="B790" s="13"/>
      <c r="C790" s="13"/>
    </row>
    <row r="791" spans="1:3" ht="13" x14ac:dyDescent="0.15">
      <c r="A791" s="10"/>
      <c r="B791" s="13"/>
      <c r="C791" s="13"/>
    </row>
    <row r="792" spans="1:3" ht="13" x14ac:dyDescent="0.15">
      <c r="A792" s="10"/>
      <c r="B792" s="13"/>
      <c r="C792" s="13"/>
    </row>
    <row r="793" spans="1:3" ht="13" x14ac:dyDescent="0.15">
      <c r="A793" s="10"/>
      <c r="B793" s="13"/>
      <c r="C793" s="13"/>
    </row>
    <row r="794" spans="1:3" ht="13" x14ac:dyDescent="0.15">
      <c r="A794" s="10"/>
      <c r="B794" s="13"/>
      <c r="C794" s="13"/>
    </row>
    <row r="795" spans="1:3" ht="13" x14ac:dyDescent="0.15">
      <c r="A795" s="10"/>
      <c r="B795" s="13"/>
      <c r="C795" s="13"/>
    </row>
    <row r="796" spans="1:3" ht="13" x14ac:dyDescent="0.15">
      <c r="A796" s="10"/>
      <c r="B796" s="13"/>
      <c r="C796" s="13"/>
    </row>
    <row r="797" spans="1:3" ht="13" x14ac:dyDescent="0.15">
      <c r="A797" s="10"/>
      <c r="B797" s="13"/>
      <c r="C797" s="13"/>
    </row>
    <row r="798" spans="1:3" ht="13" x14ac:dyDescent="0.15">
      <c r="A798" s="10"/>
      <c r="B798" s="13"/>
      <c r="C798" s="13"/>
    </row>
    <row r="799" spans="1:3" ht="13" x14ac:dyDescent="0.15">
      <c r="A799" s="10"/>
      <c r="B799" s="13"/>
      <c r="C799" s="13"/>
    </row>
    <row r="800" spans="1:3" ht="13" x14ac:dyDescent="0.15">
      <c r="A800" s="10"/>
      <c r="B800" s="13"/>
      <c r="C800" s="13"/>
    </row>
    <row r="801" spans="1:3" ht="13" x14ac:dyDescent="0.15">
      <c r="A801" s="10"/>
      <c r="B801" s="13"/>
      <c r="C801" s="13"/>
    </row>
    <row r="802" spans="1:3" ht="13" x14ac:dyDescent="0.15">
      <c r="A802" s="10"/>
      <c r="B802" s="13"/>
      <c r="C802" s="13"/>
    </row>
    <row r="803" spans="1:3" ht="13" x14ac:dyDescent="0.15">
      <c r="A803" s="10"/>
      <c r="B803" s="13"/>
      <c r="C803" s="13"/>
    </row>
    <row r="804" spans="1:3" ht="13" x14ac:dyDescent="0.15">
      <c r="A804" s="10"/>
      <c r="B804" s="13"/>
      <c r="C804" s="13"/>
    </row>
    <row r="805" spans="1:3" ht="13" x14ac:dyDescent="0.15">
      <c r="A805" s="10"/>
      <c r="B805" s="13"/>
      <c r="C805" s="13"/>
    </row>
    <row r="806" spans="1:3" ht="13" x14ac:dyDescent="0.15">
      <c r="A806" s="10"/>
      <c r="B806" s="13"/>
      <c r="C806" s="13"/>
    </row>
    <row r="807" spans="1:3" ht="13" x14ac:dyDescent="0.15">
      <c r="A807" s="10"/>
      <c r="B807" s="13"/>
      <c r="C807" s="13"/>
    </row>
    <row r="808" spans="1:3" ht="13" x14ac:dyDescent="0.15">
      <c r="A808" s="10"/>
      <c r="B808" s="13"/>
      <c r="C808" s="13"/>
    </row>
    <row r="809" spans="1:3" ht="13" x14ac:dyDescent="0.15">
      <c r="A809" s="10"/>
      <c r="B809" s="13"/>
      <c r="C809" s="13"/>
    </row>
    <row r="810" spans="1:3" ht="13" x14ac:dyDescent="0.15">
      <c r="A810" s="10"/>
      <c r="B810" s="13"/>
      <c r="C810" s="13"/>
    </row>
    <row r="811" spans="1:3" ht="13" x14ac:dyDescent="0.15">
      <c r="A811" s="10"/>
      <c r="B811" s="13"/>
      <c r="C811" s="13"/>
    </row>
    <row r="812" spans="1:3" ht="13" x14ac:dyDescent="0.15">
      <c r="A812" s="10"/>
      <c r="B812" s="13"/>
      <c r="C812" s="13"/>
    </row>
    <row r="813" spans="1:3" ht="13" x14ac:dyDescent="0.15">
      <c r="A813" s="10"/>
      <c r="B813" s="13"/>
      <c r="C813" s="13"/>
    </row>
    <row r="814" spans="1:3" ht="13" x14ac:dyDescent="0.15">
      <c r="A814" s="10"/>
      <c r="B814" s="13"/>
      <c r="C814" s="13"/>
    </row>
    <row r="815" spans="1:3" ht="13" x14ac:dyDescent="0.15">
      <c r="A815" s="10"/>
      <c r="B815" s="13"/>
      <c r="C815" s="13"/>
    </row>
    <row r="816" spans="1:3" ht="13" x14ac:dyDescent="0.15">
      <c r="A816" s="10"/>
      <c r="B816" s="13"/>
      <c r="C816" s="13"/>
    </row>
    <row r="817" spans="1:3" ht="13" x14ac:dyDescent="0.15">
      <c r="A817" s="10"/>
      <c r="B817" s="13"/>
      <c r="C817" s="13"/>
    </row>
    <row r="818" spans="1:3" ht="13" x14ac:dyDescent="0.15">
      <c r="A818" s="10"/>
      <c r="B818" s="13"/>
      <c r="C818" s="13"/>
    </row>
    <row r="819" spans="1:3" ht="13" x14ac:dyDescent="0.15">
      <c r="A819" s="10"/>
      <c r="B819" s="13"/>
      <c r="C819" s="13"/>
    </row>
    <row r="820" spans="1:3" ht="13" x14ac:dyDescent="0.15">
      <c r="A820" s="10"/>
      <c r="B820" s="13"/>
      <c r="C820" s="13"/>
    </row>
    <row r="821" spans="1:3" ht="13" x14ac:dyDescent="0.15">
      <c r="A821" s="10"/>
      <c r="B821" s="13"/>
      <c r="C821" s="13"/>
    </row>
    <row r="822" spans="1:3" ht="13" x14ac:dyDescent="0.15">
      <c r="A822" s="10"/>
      <c r="B822" s="13"/>
      <c r="C822" s="13"/>
    </row>
    <row r="823" spans="1:3" ht="13" x14ac:dyDescent="0.15">
      <c r="A823" s="10"/>
      <c r="B823" s="13"/>
      <c r="C823" s="13"/>
    </row>
    <row r="824" spans="1:3" ht="13" x14ac:dyDescent="0.15">
      <c r="A824" s="10"/>
      <c r="B824" s="13"/>
      <c r="C824" s="13"/>
    </row>
    <row r="825" spans="1:3" ht="13" x14ac:dyDescent="0.15">
      <c r="A825" s="10"/>
      <c r="B825" s="13"/>
      <c r="C825" s="13"/>
    </row>
    <row r="826" spans="1:3" ht="13" x14ac:dyDescent="0.15">
      <c r="A826" s="10"/>
      <c r="B826" s="13"/>
      <c r="C826" s="13"/>
    </row>
    <row r="827" spans="1:3" ht="13" x14ac:dyDescent="0.15">
      <c r="A827" s="10"/>
      <c r="B827" s="13"/>
      <c r="C827" s="13"/>
    </row>
    <row r="828" spans="1:3" ht="13" x14ac:dyDescent="0.15">
      <c r="A828" s="10"/>
      <c r="B828" s="13"/>
      <c r="C828" s="13"/>
    </row>
    <row r="829" spans="1:3" ht="13" x14ac:dyDescent="0.15">
      <c r="A829" s="10"/>
      <c r="B829" s="13"/>
      <c r="C829" s="13"/>
    </row>
    <row r="830" spans="1:3" ht="13" x14ac:dyDescent="0.15">
      <c r="A830" s="10"/>
      <c r="B830" s="13"/>
      <c r="C830" s="13"/>
    </row>
    <row r="831" spans="1:3" ht="13" x14ac:dyDescent="0.15">
      <c r="A831" s="10"/>
      <c r="B831" s="13"/>
      <c r="C831" s="13"/>
    </row>
    <row r="832" spans="1:3" ht="13" x14ac:dyDescent="0.15">
      <c r="A832" s="10"/>
      <c r="B832" s="13"/>
      <c r="C832" s="13"/>
    </row>
    <row r="833" spans="1:3" ht="13" x14ac:dyDescent="0.15">
      <c r="A833" s="10"/>
      <c r="B833" s="13"/>
      <c r="C833" s="13"/>
    </row>
    <row r="834" spans="1:3" ht="13" x14ac:dyDescent="0.15">
      <c r="A834" s="10"/>
      <c r="B834" s="13"/>
      <c r="C834" s="13"/>
    </row>
    <row r="835" spans="1:3" ht="13" x14ac:dyDescent="0.15">
      <c r="A835" s="10"/>
      <c r="B835" s="13"/>
      <c r="C835" s="13"/>
    </row>
    <row r="836" spans="1:3" ht="13" x14ac:dyDescent="0.15">
      <c r="A836" s="10"/>
      <c r="B836" s="13"/>
      <c r="C836" s="13"/>
    </row>
    <row r="837" spans="1:3" ht="13" x14ac:dyDescent="0.15">
      <c r="A837" s="10"/>
      <c r="B837" s="13"/>
      <c r="C837" s="13"/>
    </row>
    <row r="838" spans="1:3" ht="13" x14ac:dyDescent="0.15">
      <c r="A838" s="10"/>
      <c r="B838" s="13"/>
      <c r="C838" s="13"/>
    </row>
    <row r="839" spans="1:3" ht="13" x14ac:dyDescent="0.15">
      <c r="A839" s="10"/>
      <c r="B839" s="13"/>
      <c r="C839" s="13"/>
    </row>
    <row r="840" spans="1:3" ht="13" x14ac:dyDescent="0.15">
      <c r="A840" s="10"/>
      <c r="B840" s="13"/>
      <c r="C840" s="13"/>
    </row>
    <row r="841" spans="1:3" ht="13" x14ac:dyDescent="0.15">
      <c r="A841" s="10"/>
      <c r="B841" s="13"/>
      <c r="C841" s="13"/>
    </row>
    <row r="842" spans="1:3" ht="13" x14ac:dyDescent="0.15">
      <c r="A842" s="10"/>
      <c r="B842" s="13"/>
      <c r="C842" s="13"/>
    </row>
    <row r="843" spans="1:3" ht="13" x14ac:dyDescent="0.15">
      <c r="A843" s="10"/>
      <c r="B843" s="13"/>
      <c r="C843" s="13"/>
    </row>
    <row r="844" spans="1:3" ht="13" x14ac:dyDescent="0.15">
      <c r="A844" s="10"/>
      <c r="B844" s="13"/>
      <c r="C844" s="13"/>
    </row>
    <row r="845" spans="1:3" ht="13" x14ac:dyDescent="0.15">
      <c r="A845" s="10"/>
      <c r="B845" s="13"/>
      <c r="C845" s="13"/>
    </row>
    <row r="846" spans="1:3" ht="13" x14ac:dyDescent="0.15">
      <c r="A846" s="10"/>
      <c r="B846" s="13"/>
      <c r="C846" s="13"/>
    </row>
    <row r="847" spans="1:3" ht="13" x14ac:dyDescent="0.15">
      <c r="A847" s="10"/>
      <c r="B847" s="13"/>
      <c r="C847" s="13"/>
    </row>
    <row r="848" spans="1:3" ht="13" x14ac:dyDescent="0.15">
      <c r="A848" s="10"/>
      <c r="B848" s="13"/>
      <c r="C848" s="13"/>
    </row>
    <row r="849" spans="1:3" ht="13" x14ac:dyDescent="0.15">
      <c r="A849" s="10"/>
      <c r="B849" s="13"/>
      <c r="C849" s="13"/>
    </row>
    <row r="850" spans="1:3" ht="13" x14ac:dyDescent="0.15">
      <c r="A850" s="10"/>
      <c r="B850" s="13"/>
      <c r="C850" s="13"/>
    </row>
    <row r="851" spans="1:3" ht="13" x14ac:dyDescent="0.15">
      <c r="A851" s="10"/>
      <c r="B851" s="13"/>
      <c r="C851" s="13"/>
    </row>
    <row r="852" spans="1:3" ht="13" x14ac:dyDescent="0.15">
      <c r="A852" s="10"/>
      <c r="B852" s="13"/>
      <c r="C852" s="13"/>
    </row>
    <row r="853" spans="1:3" ht="13" x14ac:dyDescent="0.15">
      <c r="A853" s="10"/>
      <c r="B853" s="13"/>
      <c r="C853" s="13"/>
    </row>
    <row r="854" spans="1:3" ht="13" x14ac:dyDescent="0.15">
      <c r="A854" s="10"/>
      <c r="B854" s="13"/>
      <c r="C854" s="13"/>
    </row>
    <row r="855" spans="1:3" ht="13" x14ac:dyDescent="0.15">
      <c r="A855" s="10"/>
      <c r="B855" s="13"/>
      <c r="C855" s="13"/>
    </row>
    <row r="856" spans="1:3" ht="13" x14ac:dyDescent="0.15">
      <c r="A856" s="10"/>
      <c r="B856" s="13"/>
      <c r="C856" s="13"/>
    </row>
    <row r="857" spans="1:3" ht="13" x14ac:dyDescent="0.15">
      <c r="A857" s="10"/>
      <c r="B857" s="13"/>
      <c r="C857" s="13"/>
    </row>
    <row r="858" spans="1:3" ht="13" x14ac:dyDescent="0.15">
      <c r="A858" s="10"/>
      <c r="B858" s="13"/>
      <c r="C858" s="13"/>
    </row>
    <row r="859" spans="1:3" ht="13" x14ac:dyDescent="0.15">
      <c r="A859" s="10"/>
      <c r="B859" s="13"/>
      <c r="C859" s="13"/>
    </row>
    <row r="860" spans="1:3" ht="13" x14ac:dyDescent="0.15">
      <c r="A860" s="10"/>
      <c r="B860" s="13"/>
      <c r="C860" s="13"/>
    </row>
    <row r="861" spans="1:3" ht="13" x14ac:dyDescent="0.15">
      <c r="A861" s="10"/>
      <c r="B861" s="13"/>
      <c r="C861" s="13"/>
    </row>
    <row r="862" spans="1:3" ht="13" x14ac:dyDescent="0.15">
      <c r="A862" s="10"/>
      <c r="B862" s="13"/>
      <c r="C862" s="13"/>
    </row>
    <row r="863" spans="1:3" ht="13" x14ac:dyDescent="0.15">
      <c r="A863" s="10"/>
      <c r="B863" s="13"/>
      <c r="C863" s="13"/>
    </row>
    <row r="864" spans="1:3" ht="13" x14ac:dyDescent="0.15">
      <c r="A864" s="10"/>
      <c r="B864" s="13"/>
      <c r="C864" s="13"/>
    </row>
    <row r="865" spans="1:3" ht="13" x14ac:dyDescent="0.15">
      <c r="A865" s="10"/>
      <c r="B865" s="13"/>
      <c r="C865" s="13"/>
    </row>
    <row r="866" spans="1:3" ht="13" x14ac:dyDescent="0.15">
      <c r="A866" s="10"/>
      <c r="B866" s="13"/>
      <c r="C866" s="13"/>
    </row>
    <row r="867" spans="1:3" ht="13" x14ac:dyDescent="0.15">
      <c r="A867" s="10"/>
      <c r="B867" s="13"/>
      <c r="C867" s="13"/>
    </row>
    <row r="868" spans="1:3" ht="13" x14ac:dyDescent="0.15">
      <c r="A868" s="10"/>
      <c r="B868" s="13"/>
      <c r="C868" s="13"/>
    </row>
    <row r="869" spans="1:3" ht="13" x14ac:dyDescent="0.15">
      <c r="A869" s="10"/>
      <c r="B869" s="13"/>
      <c r="C869" s="13"/>
    </row>
    <row r="870" spans="1:3" ht="13" x14ac:dyDescent="0.15">
      <c r="A870" s="10"/>
      <c r="B870" s="13"/>
      <c r="C870" s="13"/>
    </row>
    <row r="871" spans="1:3" ht="13" x14ac:dyDescent="0.15">
      <c r="A871" s="10"/>
      <c r="B871" s="13"/>
      <c r="C871" s="13"/>
    </row>
    <row r="872" spans="1:3" ht="13" x14ac:dyDescent="0.15">
      <c r="A872" s="10"/>
      <c r="B872" s="13"/>
      <c r="C872" s="13"/>
    </row>
    <row r="873" spans="1:3" ht="13" x14ac:dyDescent="0.15">
      <c r="A873" s="10"/>
      <c r="B873" s="13"/>
      <c r="C873" s="13"/>
    </row>
    <row r="874" spans="1:3" ht="13" x14ac:dyDescent="0.15">
      <c r="A874" s="10"/>
      <c r="B874" s="13"/>
      <c r="C874" s="13"/>
    </row>
    <row r="875" spans="1:3" ht="13" x14ac:dyDescent="0.15">
      <c r="A875" s="10"/>
      <c r="B875" s="13"/>
      <c r="C875" s="13"/>
    </row>
    <row r="876" spans="1:3" ht="13" x14ac:dyDescent="0.15">
      <c r="A876" s="10"/>
      <c r="B876" s="13"/>
      <c r="C876" s="13"/>
    </row>
    <row r="877" spans="1:3" ht="13" x14ac:dyDescent="0.15">
      <c r="A877" s="10"/>
      <c r="B877" s="13"/>
      <c r="C877" s="13"/>
    </row>
    <row r="878" spans="1:3" ht="13" x14ac:dyDescent="0.15">
      <c r="A878" s="10"/>
      <c r="B878" s="13"/>
      <c r="C878" s="13"/>
    </row>
    <row r="879" spans="1:3" ht="13" x14ac:dyDescent="0.15">
      <c r="A879" s="10"/>
      <c r="B879" s="13"/>
      <c r="C879" s="13"/>
    </row>
    <row r="880" spans="1:3" ht="13" x14ac:dyDescent="0.15">
      <c r="A880" s="10"/>
      <c r="B880" s="13"/>
      <c r="C880" s="13"/>
    </row>
    <row r="881" spans="1:3" ht="13" x14ac:dyDescent="0.15">
      <c r="A881" s="10"/>
      <c r="B881" s="13"/>
      <c r="C881" s="13"/>
    </row>
    <row r="882" spans="1:3" ht="13" x14ac:dyDescent="0.15">
      <c r="A882" s="10"/>
      <c r="B882" s="13"/>
      <c r="C882" s="13"/>
    </row>
    <row r="883" spans="1:3" ht="13" x14ac:dyDescent="0.15">
      <c r="A883" s="10"/>
      <c r="B883" s="13"/>
      <c r="C883" s="13"/>
    </row>
    <row r="884" spans="1:3" ht="13" x14ac:dyDescent="0.15">
      <c r="A884" s="10"/>
      <c r="B884" s="13"/>
      <c r="C884" s="13"/>
    </row>
    <row r="885" spans="1:3" ht="13" x14ac:dyDescent="0.15">
      <c r="A885" s="10"/>
      <c r="B885" s="13"/>
      <c r="C885" s="13"/>
    </row>
    <row r="886" spans="1:3" ht="13" x14ac:dyDescent="0.15">
      <c r="A886" s="10"/>
      <c r="B886" s="13"/>
      <c r="C886" s="13"/>
    </row>
    <row r="887" spans="1:3" ht="13" x14ac:dyDescent="0.15">
      <c r="A887" s="10"/>
      <c r="B887" s="13"/>
      <c r="C887" s="13"/>
    </row>
    <row r="888" spans="1:3" ht="13" x14ac:dyDescent="0.15">
      <c r="A888" s="10"/>
      <c r="B888" s="13"/>
      <c r="C888" s="13"/>
    </row>
    <row r="889" spans="1:3" ht="13" x14ac:dyDescent="0.15">
      <c r="A889" s="10"/>
      <c r="B889" s="13"/>
      <c r="C889" s="13"/>
    </row>
    <row r="890" spans="1:3" ht="13" x14ac:dyDescent="0.15">
      <c r="A890" s="10"/>
      <c r="B890" s="13"/>
      <c r="C890" s="13"/>
    </row>
    <row r="891" spans="1:3" ht="13" x14ac:dyDescent="0.15">
      <c r="A891" s="10"/>
      <c r="B891" s="13"/>
      <c r="C891" s="13"/>
    </row>
    <row r="892" spans="1:3" ht="13" x14ac:dyDescent="0.15">
      <c r="A892" s="10"/>
      <c r="B892" s="13"/>
      <c r="C892" s="13"/>
    </row>
    <row r="893" spans="1:3" ht="13" x14ac:dyDescent="0.15">
      <c r="A893" s="10"/>
      <c r="B893" s="13"/>
      <c r="C893" s="13"/>
    </row>
    <row r="894" spans="1:3" ht="13" x14ac:dyDescent="0.15">
      <c r="A894" s="10"/>
      <c r="B894" s="13"/>
      <c r="C894" s="13"/>
    </row>
    <row r="895" spans="1:3" ht="13" x14ac:dyDescent="0.15">
      <c r="A895" s="10"/>
      <c r="B895" s="13"/>
      <c r="C895" s="13"/>
    </row>
    <row r="896" spans="1:3" ht="13" x14ac:dyDescent="0.15">
      <c r="A896" s="10"/>
      <c r="B896" s="13"/>
      <c r="C896" s="13"/>
    </row>
    <row r="897" spans="1:3" ht="13" x14ac:dyDescent="0.15">
      <c r="A897" s="10"/>
      <c r="B897" s="13"/>
      <c r="C897" s="13"/>
    </row>
    <row r="898" spans="1:3" ht="13" x14ac:dyDescent="0.15">
      <c r="A898" s="10"/>
      <c r="B898" s="13"/>
      <c r="C898" s="13"/>
    </row>
    <row r="899" spans="1:3" ht="13" x14ac:dyDescent="0.15">
      <c r="A899" s="10"/>
      <c r="B899" s="13"/>
      <c r="C899" s="13"/>
    </row>
    <row r="900" spans="1:3" ht="13" x14ac:dyDescent="0.15">
      <c r="A900" s="10"/>
      <c r="B900" s="13"/>
      <c r="C900" s="13"/>
    </row>
    <row r="901" spans="1:3" ht="13" x14ac:dyDescent="0.15">
      <c r="A901" s="10"/>
      <c r="B901" s="13"/>
      <c r="C901" s="13"/>
    </row>
    <row r="902" spans="1:3" ht="13" x14ac:dyDescent="0.15">
      <c r="A902" s="10"/>
      <c r="B902" s="13"/>
      <c r="C902" s="13"/>
    </row>
    <row r="903" spans="1:3" ht="13" x14ac:dyDescent="0.15">
      <c r="A903" s="10"/>
      <c r="B903" s="13"/>
      <c r="C903" s="13"/>
    </row>
    <row r="904" spans="1:3" ht="13" x14ac:dyDescent="0.15">
      <c r="A904" s="10"/>
      <c r="B904" s="13"/>
      <c r="C904" s="13"/>
    </row>
    <row r="905" spans="1:3" ht="13" x14ac:dyDescent="0.15">
      <c r="A905" s="10"/>
      <c r="B905" s="13"/>
      <c r="C905" s="13"/>
    </row>
    <row r="906" spans="1:3" ht="13" x14ac:dyDescent="0.15">
      <c r="A906" s="10"/>
      <c r="B906" s="13"/>
      <c r="C906" s="13"/>
    </row>
    <row r="907" spans="1:3" ht="13" x14ac:dyDescent="0.15">
      <c r="A907" s="10"/>
      <c r="B907" s="13"/>
      <c r="C907" s="13"/>
    </row>
    <row r="908" spans="1:3" ht="13" x14ac:dyDescent="0.15">
      <c r="A908" s="10"/>
      <c r="B908" s="13"/>
      <c r="C908" s="13"/>
    </row>
    <row r="909" spans="1:3" ht="13" x14ac:dyDescent="0.15">
      <c r="A909" s="10"/>
      <c r="B909" s="13"/>
      <c r="C909" s="13"/>
    </row>
    <row r="910" spans="1:3" ht="13" x14ac:dyDescent="0.15">
      <c r="A910" s="10"/>
      <c r="B910" s="13"/>
      <c r="C910" s="13"/>
    </row>
    <row r="911" spans="1:3" ht="13" x14ac:dyDescent="0.15">
      <c r="A911" s="10"/>
      <c r="B911" s="13"/>
      <c r="C911" s="13"/>
    </row>
    <row r="912" spans="1:3" ht="13" x14ac:dyDescent="0.15">
      <c r="A912" s="10"/>
      <c r="B912" s="13"/>
      <c r="C912" s="13"/>
    </row>
    <row r="913" spans="1:3" ht="13" x14ac:dyDescent="0.15">
      <c r="A913" s="10"/>
      <c r="B913" s="13"/>
      <c r="C913" s="13"/>
    </row>
    <row r="914" spans="1:3" ht="13" x14ac:dyDescent="0.15">
      <c r="A914" s="10"/>
      <c r="B914" s="13"/>
      <c r="C914" s="13"/>
    </row>
    <row r="915" spans="1:3" ht="13" x14ac:dyDescent="0.15">
      <c r="A915" s="10"/>
      <c r="B915" s="13"/>
      <c r="C915" s="13"/>
    </row>
    <row r="916" spans="1:3" ht="13" x14ac:dyDescent="0.15">
      <c r="A916" s="10"/>
      <c r="B916" s="13"/>
      <c r="C916" s="13"/>
    </row>
    <row r="917" spans="1:3" ht="13" x14ac:dyDescent="0.15">
      <c r="A917" s="10"/>
      <c r="B917" s="13"/>
      <c r="C917" s="13"/>
    </row>
    <row r="918" spans="1:3" ht="13" x14ac:dyDescent="0.15">
      <c r="A918" s="10"/>
      <c r="B918" s="13"/>
      <c r="C918" s="13"/>
    </row>
    <row r="919" spans="1:3" ht="13" x14ac:dyDescent="0.15">
      <c r="A919" s="10"/>
      <c r="B919" s="13"/>
      <c r="C919" s="13"/>
    </row>
    <row r="920" spans="1:3" ht="13" x14ac:dyDescent="0.15">
      <c r="A920" s="10"/>
      <c r="B920" s="13"/>
      <c r="C920" s="13"/>
    </row>
    <row r="921" spans="1:3" ht="13" x14ac:dyDescent="0.15">
      <c r="A921" s="10"/>
      <c r="B921" s="13"/>
      <c r="C921" s="13"/>
    </row>
    <row r="922" spans="1:3" ht="13" x14ac:dyDescent="0.15">
      <c r="A922" s="10"/>
      <c r="B922" s="13"/>
      <c r="C922" s="13"/>
    </row>
    <row r="923" spans="1:3" ht="13" x14ac:dyDescent="0.15">
      <c r="A923" s="10"/>
      <c r="B923" s="13"/>
      <c r="C923" s="13"/>
    </row>
    <row r="924" spans="1:3" ht="13" x14ac:dyDescent="0.15">
      <c r="A924" s="10"/>
      <c r="B924" s="13"/>
      <c r="C924" s="13"/>
    </row>
    <row r="925" spans="1:3" ht="13" x14ac:dyDescent="0.15">
      <c r="A925" s="10"/>
      <c r="B925" s="13"/>
      <c r="C925" s="13"/>
    </row>
    <row r="926" spans="1:3" ht="13" x14ac:dyDescent="0.15">
      <c r="A926" s="10"/>
      <c r="B926" s="13"/>
      <c r="C926" s="13"/>
    </row>
    <row r="927" spans="1:3" ht="13" x14ac:dyDescent="0.15">
      <c r="A927" s="10"/>
      <c r="B927" s="13"/>
      <c r="C927" s="13"/>
    </row>
    <row r="928" spans="1:3" ht="13" x14ac:dyDescent="0.15">
      <c r="A928" s="10"/>
      <c r="B928" s="13"/>
      <c r="C928" s="13"/>
    </row>
    <row r="929" spans="1:3" ht="13" x14ac:dyDescent="0.15">
      <c r="A929" s="10"/>
      <c r="B929" s="13"/>
      <c r="C929" s="13"/>
    </row>
    <row r="930" spans="1:3" ht="13" x14ac:dyDescent="0.15">
      <c r="A930" s="10"/>
      <c r="B930" s="13"/>
      <c r="C930" s="13"/>
    </row>
    <row r="931" spans="1:3" ht="13" x14ac:dyDescent="0.15">
      <c r="A931" s="10"/>
      <c r="B931" s="13"/>
      <c r="C931" s="13"/>
    </row>
    <row r="932" spans="1:3" ht="13" x14ac:dyDescent="0.15">
      <c r="A932" s="10"/>
      <c r="B932" s="13"/>
      <c r="C932" s="13"/>
    </row>
    <row r="933" spans="1:3" ht="13" x14ac:dyDescent="0.15">
      <c r="A933" s="10"/>
      <c r="B933" s="13"/>
      <c r="C933" s="13"/>
    </row>
    <row r="934" spans="1:3" ht="13" x14ac:dyDescent="0.15">
      <c r="A934" s="10"/>
      <c r="B934" s="13"/>
      <c r="C934" s="13"/>
    </row>
    <row r="935" spans="1:3" ht="13" x14ac:dyDescent="0.15">
      <c r="A935" s="10"/>
      <c r="B935" s="13"/>
      <c r="C935" s="13"/>
    </row>
    <row r="936" spans="1:3" ht="13" x14ac:dyDescent="0.15">
      <c r="A936" s="10"/>
      <c r="B936" s="13"/>
      <c r="C936" s="13"/>
    </row>
    <row r="937" spans="1:3" ht="13" x14ac:dyDescent="0.15">
      <c r="A937" s="10"/>
      <c r="B937" s="13"/>
      <c r="C937" s="13"/>
    </row>
    <row r="938" spans="1:3" ht="13" x14ac:dyDescent="0.15">
      <c r="A938" s="10"/>
      <c r="B938" s="13"/>
      <c r="C938" s="13"/>
    </row>
    <row r="939" spans="1:3" ht="13" x14ac:dyDescent="0.15">
      <c r="A939" s="10"/>
      <c r="B939" s="13"/>
      <c r="C939" s="13"/>
    </row>
    <row r="940" spans="1:3" ht="13" x14ac:dyDescent="0.15">
      <c r="A940" s="10"/>
      <c r="B940" s="13"/>
      <c r="C940" s="13"/>
    </row>
    <row r="941" spans="1:3" ht="13" x14ac:dyDescent="0.15">
      <c r="A941" s="10"/>
      <c r="B941" s="13"/>
      <c r="C941" s="13"/>
    </row>
    <row r="942" spans="1:3" ht="13" x14ac:dyDescent="0.15">
      <c r="A942" s="10"/>
      <c r="B942" s="13"/>
      <c r="C942" s="13"/>
    </row>
    <row r="943" spans="1:3" ht="13" x14ac:dyDescent="0.15">
      <c r="A943" s="10"/>
      <c r="B943" s="13"/>
      <c r="C943" s="13"/>
    </row>
    <row r="944" spans="1:3" ht="13" x14ac:dyDescent="0.15">
      <c r="A944" s="10"/>
      <c r="B944" s="13"/>
      <c r="C944" s="13"/>
    </row>
    <row r="945" spans="1:3" ht="13" x14ac:dyDescent="0.15">
      <c r="A945" s="10"/>
      <c r="B945" s="13"/>
      <c r="C945" s="13"/>
    </row>
    <row r="946" spans="1:3" ht="13" x14ac:dyDescent="0.15">
      <c r="A946" s="10"/>
      <c r="B946" s="13"/>
      <c r="C946" s="13"/>
    </row>
    <row r="947" spans="1:3" ht="13" x14ac:dyDescent="0.15">
      <c r="A947" s="10"/>
      <c r="B947" s="13"/>
      <c r="C947" s="13"/>
    </row>
    <row r="948" spans="1:3" ht="13" x14ac:dyDescent="0.15">
      <c r="A948" s="10"/>
      <c r="B948" s="13"/>
      <c r="C948" s="13"/>
    </row>
    <row r="949" spans="1:3" ht="13" x14ac:dyDescent="0.15">
      <c r="A949" s="10"/>
      <c r="B949" s="13"/>
      <c r="C949" s="13"/>
    </row>
    <row r="950" spans="1:3" ht="13" x14ac:dyDescent="0.15">
      <c r="A950" s="10"/>
      <c r="B950" s="13"/>
      <c r="C950" s="13"/>
    </row>
    <row r="951" spans="1:3" ht="13" x14ac:dyDescent="0.15">
      <c r="A951" s="10"/>
      <c r="B951" s="13"/>
      <c r="C951" s="13"/>
    </row>
    <row r="952" spans="1:3" ht="13" x14ac:dyDescent="0.15">
      <c r="A952" s="10"/>
      <c r="B952" s="13"/>
      <c r="C952" s="13"/>
    </row>
    <row r="953" spans="1:3" ht="13" x14ac:dyDescent="0.15">
      <c r="A953" s="10"/>
      <c r="B953" s="13"/>
      <c r="C953" s="13"/>
    </row>
    <row r="954" spans="1:3" ht="13" x14ac:dyDescent="0.15">
      <c r="A954" s="10"/>
      <c r="B954" s="13"/>
      <c r="C954" s="13"/>
    </row>
    <row r="955" spans="1:3" ht="13" x14ac:dyDescent="0.15">
      <c r="A955" s="10"/>
      <c r="B955" s="13"/>
      <c r="C955" s="13"/>
    </row>
    <row r="956" spans="1:3" ht="13" x14ac:dyDescent="0.15">
      <c r="A956" s="10"/>
      <c r="B956" s="13"/>
      <c r="C956" s="13"/>
    </row>
    <row r="957" spans="1:3" ht="13" x14ac:dyDescent="0.15">
      <c r="A957" s="10"/>
      <c r="B957" s="13"/>
      <c r="C957" s="13"/>
    </row>
    <row r="958" spans="1:3" ht="13" x14ac:dyDescent="0.15">
      <c r="A958" s="10"/>
      <c r="B958" s="13"/>
      <c r="C958" s="13"/>
    </row>
    <row r="959" spans="1:3" ht="13" x14ac:dyDescent="0.15">
      <c r="A959" s="10"/>
      <c r="B959" s="13"/>
      <c r="C959" s="13"/>
    </row>
    <row r="960" spans="1:3" ht="13" x14ac:dyDescent="0.15">
      <c r="A960" s="10"/>
      <c r="B960" s="13"/>
      <c r="C960" s="13"/>
    </row>
    <row r="961" spans="1:3" ht="13" x14ac:dyDescent="0.15">
      <c r="A961" s="10"/>
      <c r="B961" s="13"/>
      <c r="C961" s="13"/>
    </row>
    <row r="962" spans="1:3" ht="13" x14ac:dyDescent="0.15">
      <c r="A962" s="10"/>
      <c r="B962" s="13"/>
      <c r="C962" s="13"/>
    </row>
    <row r="963" spans="1:3" ht="13" x14ac:dyDescent="0.15">
      <c r="A963" s="10"/>
      <c r="B963" s="13"/>
      <c r="C963" s="13"/>
    </row>
    <row r="964" spans="1:3" ht="13" x14ac:dyDescent="0.15">
      <c r="A964" s="10"/>
      <c r="B964" s="13"/>
      <c r="C964" s="13"/>
    </row>
    <row r="965" spans="1:3" ht="13" x14ac:dyDescent="0.15">
      <c r="A965" s="10"/>
      <c r="B965" s="13"/>
      <c r="C965" s="13"/>
    </row>
    <row r="966" spans="1:3" ht="13" x14ac:dyDescent="0.15">
      <c r="A966" s="10"/>
      <c r="B966" s="13"/>
      <c r="C966" s="13"/>
    </row>
    <row r="967" spans="1:3" ht="13" x14ac:dyDescent="0.15">
      <c r="A967" s="10"/>
      <c r="B967" s="13"/>
      <c r="C967" s="13"/>
    </row>
    <row r="968" spans="1:3" ht="13" x14ac:dyDescent="0.15">
      <c r="A968" s="10"/>
      <c r="B968" s="13"/>
      <c r="C968" s="13"/>
    </row>
    <row r="969" spans="1:3" ht="13" x14ac:dyDescent="0.15">
      <c r="A969" s="10"/>
      <c r="B969" s="13"/>
      <c r="C969" s="13"/>
    </row>
    <row r="970" spans="1:3" ht="13" x14ac:dyDescent="0.15">
      <c r="A970" s="10"/>
      <c r="B970" s="13"/>
      <c r="C970" s="13"/>
    </row>
    <row r="971" spans="1:3" ht="13" x14ac:dyDescent="0.15">
      <c r="A971" s="10"/>
      <c r="B971" s="13"/>
      <c r="C971" s="13"/>
    </row>
    <row r="972" spans="1:3" ht="13" x14ac:dyDescent="0.15">
      <c r="A972" s="10"/>
      <c r="B972" s="13"/>
      <c r="C972" s="13"/>
    </row>
    <row r="973" spans="1:3" ht="13" x14ac:dyDescent="0.15">
      <c r="A973" s="10"/>
      <c r="B973" s="13"/>
      <c r="C973" s="13"/>
    </row>
    <row r="974" spans="1:3" ht="13" x14ac:dyDescent="0.15">
      <c r="A974" s="10"/>
      <c r="B974" s="13"/>
      <c r="C974" s="13"/>
    </row>
    <row r="975" spans="1:3" ht="13" x14ac:dyDescent="0.15">
      <c r="A975" s="10"/>
      <c r="B975" s="13"/>
      <c r="C975" s="13"/>
    </row>
    <row r="976" spans="1:3" ht="13" x14ac:dyDescent="0.15">
      <c r="A976" s="10"/>
      <c r="B976" s="13"/>
      <c r="C976" s="13"/>
    </row>
    <row r="977" spans="1:3" ht="13" x14ac:dyDescent="0.15">
      <c r="A977" s="10"/>
      <c r="B977" s="13"/>
      <c r="C977" s="13"/>
    </row>
    <row r="978" spans="1:3" ht="13" x14ac:dyDescent="0.15">
      <c r="A978" s="10"/>
      <c r="B978" s="13"/>
      <c r="C978" s="13"/>
    </row>
    <row r="979" spans="1:3" ht="13" x14ac:dyDescent="0.15">
      <c r="A979" s="10"/>
      <c r="B979" s="13"/>
      <c r="C979" s="13"/>
    </row>
    <row r="980" spans="1:3" ht="13" x14ac:dyDescent="0.15">
      <c r="A980" s="10"/>
      <c r="B980" s="13"/>
      <c r="C980" s="13"/>
    </row>
    <row r="981" spans="1:3" ht="13" x14ac:dyDescent="0.15">
      <c r="A981" s="10"/>
      <c r="B981" s="13"/>
      <c r="C981" s="13"/>
    </row>
    <row r="982" spans="1:3" ht="13" x14ac:dyDescent="0.15">
      <c r="A982" s="10"/>
      <c r="B982" s="13"/>
      <c r="C982" s="13"/>
    </row>
    <row r="983" spans="1:3" ht="13" x14ac:dyDescent="0.15">
      <c r="A983" s="10"/>
      <c r="B983" s="13"/>
      <c r="C983" s="13"/>
    </row>
    <row r="984" spans="1:3" ht="13" x14ac:dyDescent="0.15">
      <c r="A984" s="10"/>
      <c r="B984" s="13"/>
      <c r="C984" s="13"/>
    </row>
    <row r="985" spans="1:3" ht="13" x14ac:dyDescent="0.15">
      <c r="A985" s="10"/>
      <c r="B985" s="13"/>
      <c r="C985" s="13"/>
    </row>
    <row r="986" spans="1:3" ht="13" x14ac:dyDescent="0.15">
      <c r="A986" s="10"/>
      <c r="B986" s="13"/>
      <c r="C986" s="13"/>
    </row>
    <row r="987" spans="1:3" ht="13" x14ac:dyDescent="0.15">
      <c r="A987" s="10"/>
      <c r="B987" s="13"/>
      <c r="C987" s="13"/>
    </row>
    <row r="988" spans="1:3" ht="13" x14ac:dyDescent="0.15">
      <c r="A988" s="10"/>
      <c r="B988" s="13"/>
      <c r="C988" s="13"/>
    </row>
    <row r="989" spans="1:3" ht="13" x14ac:dyDescent="0.15">
      <c r="A989" s="10"/>
      <c r="B989" s="13"/>
      <c r="C989" s="13"/>
    </row>
    <row r="990" spans="1:3" ht="13" x14ac:dyDescent="0.15">
      <c r="A990" s="10"/>
      <c r="B990" s="13"/>
      <c r="C990" s="13"/>
    </row>
    <row r="991" spans="1:3" ht="13" x14ac:dyDescent="0.15">
      <c r="A991" s="10"/>
      <c r="B991" s="13"/>
      <c r="C991" s="13"/>
    </row>
    <row r="992" spans="1:3" ht="13" x14ac:dyDescent="0.15">
      <c r="A992" s="10"/>
      <c r="B992" s="13"/>
      <c r="C992" s="13"/>
    </row>
    <row r="993" spans="1:3" ht="13" x14ac:dyDescent="0.15">
      <c r="A993" s="10"/>
      <c r="B993" s="13"/>
      <c r="C993" s="13"/>
    </row>
    <row r="994" spans="1:3" ht="13" x14ac:dyDescent="0.15">
      <c r="A994" s="10"/>
      <c r="B994" s="13"/>
      <c r="C994" s="13"/>
    </row>
    <row r="995" spans="1:3" ht="13" x14ac:dyDescent="0.15">
      <c r="A995" s="10"/>
      <c r="B995" s="13"/>
      <c r="C995" s="13"/>
    </row>
    <row r="996" spans="1:3" ht="13" x14ac:dyDescent="0.15">
      <c r="A996" s="10"/>
      <c r="B996" s="13"/>
      <c r="C996" s="13"/>
    </row>
    <row r="997" spans="1:3" ht="13" x14ac:dyDescent="0.15">
      <c r="A997" s="10"/>
      <c r="B997" s="13"/>
      <c r="C997" s="13"/>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D997"/>
  <sheetViews>
    <sheetView workbookViewId="0"/>
  </sheetViews>
  <sheetFormatPr baseColWidth="10" defaultColWidth="12.6640625" defaultRowHeight="15.75" customHeight="1" x14ac:dyDescent="0.15"/>
  <cols>
    <col min="1" max="1" width="71.5" customWidth="1"/>
    <col min="2" max="4" width="37.6640625" customWidth="1"/>
  </cols>
  <sheetData>
    <row r="1" spans="1:4" ht="15.75" customHeight="1" x14ac:dyDescent="0.15">
      <c r="A1" s="11"/>
      <c r="B1" s="12" t="str">
        <f ca="1">IFERROR(__xludf.DUMMYFUNCTION("IMPORTRANGE(""https://docs.google.com/spreadsheets/d/13SmE7eku7nG0PwUe_FIOCUfCnXVjPMNZ0Q_x8FW6s5I"",""A5!B1:B22"")"),"Josiah Bolton")</f>
        <v>Josiah Bolton</v>
      </c>
      <c r="C1" s="12" t="str">
        <f ca="1">IFERROR(__xludf.DUMMYFUNCTION("IMPORTRANGE(""https://docs.google.com/spreadsheets/d/19FYWDv6QyCNB_zbElAOE5cOI1IJ2jraXGOFWNs-qsQM"",""A5!B1:B22"")"),"Braden Brennan")</f>
        <v>Braden Brennan</v>
      </c>
      <c r="D1" s="12" t="s">
        <v>1</v>
      </c>
    </row>
    <row r="2" spans="1:4" ht="15.75" customHeight="1" x14ac:dyDescent="0.15">
      <c r="A2" s="14" t="s">
        <v>2</v>
      </c>
      <c r="B2" s="15" t="str">
        <f ca="1">IFERROR(__xludf.DUMMYFUNCTION("""COMPUTED_VALUE"""),"3832-4923 FOR")</f>
        <v>3832-4923 FOR</v>
      </c>
      <c r="C2" s="15" t="str">
        <f ca="1">IFERROR(__xludf.DUMMYFUNCTION("""COMPUTED_VALUE"""),"3832 - 4923")</f>
        <v>3832 - 4923</v>
      </c>
      <c r="D2" s="15"/>
    </row>
    <row r="3" spans="1:4" ht="15.75" customHeight="1" x14ac:dyDescent="0.15">
      <c r="A3" s="16" t="s">
        <v>3</v>
      </c>
      <c r="B3" s="17" t="str">
        <f ca="1">IFERROR(__xludf.DUMMYFUNCTION("""COMPUTED_VALUE"""),"DNA Master and Pham both claim 5")</f>
        <v>DNA Master and Pham both claim 5</v>
      </c>
      <c r="C3" s="17" t="str">
        <f ca="1">IFERROR(__xludf.DUMMYFUNCTION("""COMPUTED_VALUE"""),"5 in both")</f>
        <v>5 in both</v>
      </c>
      <c r="D3" s="17"/>
    </row>
    <row r="4" spans="1:4" ht="15.75" customHeight="1" x14ac:dyDescent="0.15">
      <c r="A4" s="16" t="s">
        <v>4</v>
      </c>
      <c r="B4" s="17" t="str">
        <f ca="1">IFERROR(__xludf.DUMMYFUNCTION("""COMPUTED_VALUE"""),"1816 2/26/25")</f>
        <v>1816 2/26/25</v>
      </c>
      <c r="C4" s="17" t="str">
        <f ca="1">IFERROR(__xludf.DUMMYFUNCTION("""COMPUTED_VALUE"""),"pham 1816   3/12/2025")</f>
        <v>pham 1816   3/12/2025</v>
      </c>
      <c r="D4" s="17"/>
    </row>
    <row r="5" spans="1:4" ht="15.75" customHeight="1" x14ac:dyDescent="0.15">
      <c r="A5" s="16" t="s">
        <v>5</v>
      </c>
      <c r="B5" s="17" t="str">
        <f ca="1">IFERROR(__xludf.DUMMYFUNCTION("""COMPUTED_VALUE"""),"Kovu 6 and Edmundo 5")</f>
        <v>Kovu 6 and Edmundo 5</v>
      </c>
      <c r="C5" s="17"/>
      <c r="D5" s="17"/>
    </row>
    <row r="6" spans="1:4" ht="15.75" customHeight="1" x14ac:dyDescent="0.15">
      <c r="A6" s="16" t="s">
        <v>6</v>
      </c>
      <c r="B6" s="17" t="str">
        <f ca="1">IFERROR(__xludf.DUMMYFUNCTION("""COMPUTED_VALUE"""),"Both call it at 3832")</f>
        <v>Both call it at 3832</v>
      </c>
      <c r="C6" s="17" t="str">
        <f ca="1">IFERROR(__xludf.DUMMYFUNCTION("""COMPUTED_VALUE"""),"Glimmer call 3832")</f>
        <v>Glimmer call 3832</v>
      </c>
      <c r="D6" s="17"/>
    </row>
    <row r="7" spans="1:4" ht="15.75" customHeight="1" x14ac:dyDescent="0.15">
      <c r="A7" s="16" t="s">
        <v>7</v>
      </c>
      <c r="B7" s="17" t="str">
        <f ca="1">IFERROR(__xludf.DUMMYFUNCTION("""COMPUTED_VALUE"""),"Leaves out only a little coding potential Definitely decent")</f>
        <v>Leaves out only a little coding potential Definitely decent</v>
      </c>
      <c r="C7" s="17" t="str">
        <f ca="1">IFERROR(__xludf.DUMMYFUNCTION("""COMPUTED_VALUE"""),"Gene has good coding potential ")</f>
        <v xml:space="preserve">Gene has good coding potential </v>
      </c>
      <c r="D7" s="17"/>
    </row>
    <row r="8" spans="1:4" ht="15.75" customHeight="1" x14ac:dyDescent="0.15">
      <c r="A8" s="16" t="s">
        <v>8</v>
      </c>
      <c r="B8" s="17" t="str">
        <f ca="1">IFERROR(__xludf.DUMMYFUNCTION("""COMPUTED_VALUE"""),"Not longest because of  a slight chance from gene 4.")</f>
        <v>Not longest because of  a slight chance from gene 4.</v>
      </c>
      <c r="C8" s="17" t="str">
        <f ca="1">IFERROR(__xludf.DUMMYFUNCTION("""COMPUTED_VALUE"""),"Yes ")</f>
        <v xml:space="preserve">Yes </v>
      </c>
      <c r="D8" s="17"/>
    </row>
    <row r="9" spans="1:4" ht="15.75" customHeight="1" x14ac:dyDescent="0.15">
      <c r="A9" s="16" t="s">
        <v>9</v>
      </c>
      <c r="B9" s="17" t="str">
        <f ca="1">IFERROR(__xludf.DUMMYFUNCTION("""COMPUTED_VALUE"""),"Nucleotide same end for gene 4 is start for gene 5")</f>
        <v>Nucleotide same end for gene 4 is start for gene 5</v>
      </c>
      <c r="C9" s="17" t="str">
        <f ca="1">IFERROR(__xludf.DUMMYFUNCTION("""COMPUTED_VALUE"""),"1 nucleotide overlap with gene 4 (one stops on 3832 and the other starts on 3832")</f>
        <v>1 nucleotide overlap with gene 4 (one stops on 3832 and the other starts on 3832</v>
      </c>
      <c r="D9" s="17"/>
    </row>
    <row r="10" spans="1:4" ht="15.75" customHeight="1" x14ac:dyDescent="0.15">
      <c r="A10" s="16" t="s">
        <v>10</v>
      </c>
      <c r="B10" s="17" t="str">
        <f ca="1">IFERROR(__xludf.DUMMYFUNCTION("""COMPUTED_VALUE"""),"2.003 for start 2 at 3832 3652 is being considered but heavy overlap.")</f>
        <v>2.003 for start 2 at 3832 3652 is being considered but heavy overlap.</v>
      </c>
      <c r="C10" s="17" t="str">
        <f ca="1">IFERROR(__xludf.DUMMYFUNCTION("""COMPUTED_VALUE"""),"Z: 2.003   Score: -4.575  SD: -3.800")</f>
        <v>Z: 2.003   Score: -4.575  SD: -3.800</v>
      </c>
      <c r="D10" s="17"/>
    </row>
    <row r="11" spans="1:4" ht="15.75" customHeight="1" x14ac:dyDescent="0.15">
      <c r="A11" s="16" t="s">
        <v>11</v>
      </c>
      <c r="B11" s="17" t="str">
        <f ca="1">IFERROR(__xludf.DUMMYFUNCTION("""COMPUTED_VALUE"""),"Kovu 6 % identity 98.07% e value is 0e0 Q1:s1 T1:s1 and Laroye 6 %identity is 87.50% e value 0e0 q1:s1 T1:s1")</f>
        <v>Kovu 6 % identity 98.07% e value is 0e0 Q1:s1 T1:s1 and Laroye 6 %identity is 87.50% e value 0e0 q1:s1 T1:s1</v>
      </c>
      <c r="C11" s="17" t="str">
        <f ca="1">IFERROR(__xludf.DUMMYFUNCTION("""COMPUTED_VALUE"""),"Kovu: PAPS reductase-like domain, 98.07% identitiy, E value:0.0E0 ")</f>
        <v xml:space="preserve">Kovu: PAPS reductase-like domain, 98.07% identitiy, E value:0.0E0 </v>
      </c>
      <c r="D11" s="17"/>
    </row>
    <row r="12" spans="1:4" ht="15.75" customHeight="1" x14ac:dyDescent="0.15">
      <c r="A12" s="16" t="s">
        <v>12</v>
      </c>
      <c r="B12" s="17" t="str">
        <f ca="1">IFERROR(__xludf.DUMMYFUNCTION("""COMPUTED_VALUE"""),"Yes conserved in all members and another pham as well. Start 7 is called 100.0% of time when present.")</f>
        <v>Yes conserved in all members and another pham as well. Start 7 is called 100.0% of time when present.</v>
      </c>
      <c r="C12" s="17" t="str">
        <f ca="1">IFERROR(__xludf.DUMMYFUNCTION("""COMPUTED_VALUE"""),"Found in 27 of 65 ( 41.5% ) and called 100% of the time")</f>
        <v>Found in 27 of 65 ( 41.5% ) and called 100% of the time</v>
      </c>
      <c r="D12" s="17"/>
    </row>
    <row r="13" spans="1:4" ht="15.75" customHeight="1" x14ac:dyDescent="0.15">
      <c r="A13" s="16" t="s">
        <v>13</v>
      </c>
      <c r="B13" s="17" t="str">
        <f ca="1">IFERROR(__xludf.DUMMYFUNCTION("""COMPUTED_VALUE"""),"No start change would create huge overlap in regards to gene 4.")</f>
        <v>No start change would create huge overlap in regards to gene 4.</v>
      </c>
      <c r="C13" s="17" t="str">
        <f ca="1">IFERROR(__xludf.DUMMYFUNCTION("""COMPUTED_VALUE"""),"No, I would keep this start due to the overlap ")</f>
        <v xml:space="preserve">No, I would keep this start due to the overlap </v>
      </c>
      <c r="D13" s="17"/>
    </row>
    <row r="14" spans="1:4" ht="15.75" customHeight="1" x14ac:dyDescent="0.15">
      <c r="A14" s="16" t="s">
        <v>14</v>
      </c>
      <c r="B14" s="17" t="str">
        <f ca="1">IFERROR(__xludf.DUMMYFUNCTION("""COMPUTED_VALUE"""),"Kovu 6 e value 0.0e0 and other AL clusters read with 0e0.")</f>
        <v>Kovu 6 e value 0.0e0 and other AL clusters read with 0e0.</v>
      </c>
      <c r="C14" s="17" t="str">
        <f ca="1">IFERROR(__xludf.DUMMYFUNCTION("""COMPUTED_VALUE"""),"(Akoma_4)(Abinghost_4)(Baloo_4)(Edmundo_5)")</f>
        <v>(Akoma_4)(Abinghost_4)(Baloo_4)(Edmundo_5)</v>
      </c>
      <c r="D14" s="17"/>
    </row>
    <row r="15" spans="1:4" ht="15.75" customHeight="1" x14ac:dyDescent="0.15">
      <c r="A15" s="16" t="s">
        <v>15</v>
      </c>
      <c r="B15" s="17" t="str">
        <f ca="1">IFERROR(__xludf.DUMMYFUNCTION("""COMPUTED_VALUE"""),"Kovu 6 is PAPS reductase-like domain protein others are PAPs reductase like Waltz 6.")</f>
        <v>Kovu 6 is PAPS reductase-like domain protein others are PAPs reductase like Waltz 6.</v>
      </c>
      <c r="C15" s="17" t="str">
        <f ca="1">IFERROR(__xludf.DUMMYFUNCTION("""COMPUTED_VALUE"""),"PAPS reductase-like domain protein ")</f>
        <v xml:space="preserve">PAPS reductase-like domain protein </v>
      </c>
      <c r="D15" s="17"/>
    </row>
    <row r="16" spans="1:4" ht="15.75" customHeight="1" x14ac:dyDescent="0.15">
      <c r="A16" s="16" t="s">
        <v>16</v>
      </c>
      <c r="B16" s="17" t="str">
        <f ca="1">IFERROR(__xludf.DUMMYFUNCTION("""COMPUTED_VALUE"""),"Yes because the entire cluster has something related to being PAPs reductase.")</f>
        <v>Yes because the entire cluster has something related to being PAPs reductase.</v>
      </c>
      <c r="C16" s="17" t="str">
        <f ca="1">IFERROR(__xludf.DUMMYFUNCTION("""COMPUTED_VALUE"""),"Kovu 7 and apokipo 6 are apart of the same pham. Simular situations for Kovu 5 and apokipo 4 and our gene and its counter part. ")</f>
        <v xml:space="preserve">Kovu 7 and apokipo 6 are apart of the same pham. Simular situations for Kovu 5 and apokipo 4 and our gene and its counter part. </v>
      </c>
      <c r="D16" s="17"/>
    </row>
    <row r="17" spans="1:4" ht="15.75" customHeight="1" x14ac:dyDescent="0.15">
      <c r="A17" s="16" t="s">
        <v>17</v>
      </c>
      <c r="B17" s="17" t="str">
        <f ca="1">IFERROR(__xludf.DUMMYFUNCTION("""COMPUTED_VALUE"""),"Phosphoadenosine phosphosulfate reductase; Structural Genomics, Center for Structural Genomics of Infectious Diseases, CSGID, CysH, OXIDOREDUCTASE; HET: P6G, PG4; 1.9A {Vibrio vulnificus (strain CMCP6)} 99.81% probability % align q is 51.65% align of t is"&amp;" 72% Yes function is in target part of domain")</f>
        <v>Phosphoadenosine phosphosulfate reductase; Structural Genomics, Center for Structural Genomics of Infectious Diseases, CSGID, CysH, OXIDOREDUCTASE; HET: P6G, PG4; 1.9A {Vibrio vulnificus (strain CMCP6)} 99.81% probability % align q is 51.65% align of t is 72% Yes function is in target part of domain</v>
      </c>
      <c r="C17" s="17" t="str">
        <f ca="1">IFERROR(__xludf.DUMMYFUNCTION("""COMPUTED_VALUE"""),"6VPU 1.90 Angstrom Resolution Crystal Structure Phosphoadenosine Phosphosulfate Reductase (OXIDOREDUCTASE) - Probability: 99.81; % alignment Q: 51.37; % alignment T: 71.65")</f>
        <v>6VPU 1.90 Angstrom Resolution Crystal Structure Phosphoadenosine Phosphosulfate Reductase (OXIDOREDUCTASE) - Probability: 99.81; % alignment Q: 51.37; % alignment T: 71.65</v>
      </c>
      <c r="D17" s="17"/>
    </row>
    <row r="18" spans="1:4" ht="15.75" customHeight="1" x14ac:dyDescent="0.15">
      <c r="A18" s="16" t="s">
        <v>18</v>
      </c>
      <c r="B18" s="17" t="str">
        <f ca="1">IFERROR(__xludf.DUMMYFUNCTION("""COMPUTED_VALUE"""),"PAPS_reductase
COG3969
CysH
PRK08557
PRK13795
MesJ
PAPS_reduct
")</f>
        <v xml:space="preserve">PAPS_reductase
COG3969
CysH
PRK08557
PRK13795
MesJ
PAPS_reduct
</v>
      </c>
      <c r="C18" s="17" t="str">
        <f ca="1">IFERROR(__xludf.DUMMYFUNCTION("""COMPUTED_VALUE"""),"Predicted phosphoadenosine phosphosulfate sulfotransferase")</f>
        <v>Predicted phosphoadenosine phosphosulfate sulfotransferase</v>
      </c>
      <c r="D18" s="17"/>
    </row>
    <row r="19" spans="1:4" ht="15.75" customHeight="1" x14ac:dyDescent="0.15">
      <c r="A19" s="16" t="s">
        <v>19</v>
      </c>
      <c r="B19" s="17" t="str">
        <f ca="1">IFERROR(__xludf.DUMMYFUNCTION("""COMPUTED_VALUE"""),"None")</f>
        <v>None</v>
      </c>
      <c r="C19" s="17" t="str">
        <f ca="1">IFERROR(__xludf.DUMMYFUNCTION("""COMPUTED_VALUE"""),"inside probability 1")</f>
        <v>inside probability 1</v>
      </c>
      <c r="D19" s="17"/>
    </row>
    <row r="20" spans="1:4" ht="15.75" customHeight="1" x14ac:dyDescent="0.15">
      <c r="A20" s="16" t="s">
        <v>20</v>
      </c>
      <c r="B20" s="17" t="str">
        <f ca="1">IFERROR(__xludf.DUMMYFUNCTION("""COMPUTED_VALUE"""),"PAPS reductase-like domain. Looking through HHPred and functions in phagesdb matched in cluster AL have PAPS reductase for this particular type of protein.")</f>
        <v>PAPS reductase-like domain. Looking through HHPred and functions in phagesdb matched in cluster AL have PAPS reductase for this particular type of protein.</v>
      </c>
      <c r="C20" s="17" t="str">
        <f ca="1">IFERROR(__xludf.DUMMYFUNCTION("""COMPUTED_VALUE"""),"Most likely a PAPs reductase used for general purpose")</f>
        <v>Most likely a PAPs reductase used for general purpose</v>
      </c>
      <c r="D20" s="17"/>
    </row>
    <row r="21" spans="1:4" x14ac:dyDescent="0.2">
      <c r="A21" s="7"/>
      <c r="B21" s="19"/>
      <c r="C21" s="19"/>
      <c r="D21" s="8"/>
    </row>
    <row r="22" spans="1:4" ht="15.75" customHeight="1" x14ac:dyDescent="0.15">
      <c r="A22" s="9" t="s">
        <v>21</v>
      </c>
      <c r="B22" s="19"/>
      <c r="C22" s="19"/>
      <c r="D22" s="8"/>
    </row>
    <row r="23" spans="1:4" ht="15.75" customHeight="1" x14ac:dyDescent="0.15">
      <c r="A23" s="10"/>
      <c r="B23" s="13"/>
      <c r="C23" s="13"/>
    </row>
    <row r="24" spans="1:4" ht="15.75" customHeight="1" x14ac:dyDescent="0.15">
      <c r="A24" s="10"/>
      <c r="B24" s="13"/>
      <c r="C24" s="13"/>
    </row>
    <row r="25" spans="1:4" ht="15.75" customHeight="1" x14ac:dyDescent="0.15">
      <c r="A25" s="10"/>
      <c r="B25" s="13"/>
      <c r="C25" s="13"/>
    </row>
    <row r="26" spans="1:4" ht="15.75" customHeight="1" x14ac:dyDescent="0.15">
      <c r="A26" s="10"/>
      <c r="B26" s="13"/>
      <c r="C26" s="13"/>
    </row>
    <row r="27" spans="1:4" ht="15.75" customHeight="1" x14ac:dyDescent="0.15">
      <c r="A27" s="10"/>
      <c r="B27" s="13"/>
      <c r="C27" s="13"/>
    </row>
    <row r="28" spans="1:4" ht="15.75" customHeight="1" x14ac:dyDescent="0.15">
      <c r="A28" s="10"/>
      <c r="B28" s="13"/>
      <c r="C28" s="13"/>
    </row>
    <row r="29" spans="1:4" ht="15.75" customHeight="1" x14ac:dyDescent="0.15">
      <c r="A29" s="10"/>
      <c r="B29" s="13"/>
      <c r="C29" s="13"/>
    </row>
    <row r="30" spans="1:4" ht="15.75" customHeight="1" x14ac:dyDescent="0.15">
      <c r="A30" s="10"/>
      <c r="B30" s="13"/>
      <c r="C30" s="13"/>
    </row>
    <row r="31" spans="1:4" ht="15.75" customHeight="1" x14ac:dyDescent="0.15">
      <c r="A31" s="10"/>
      <c r="B31" s="13"/>
      <c r="C31" s="13"/>
    </row>
    <row r="32" spans="1:4" ht="15.75" customHeight="1" x14ac:dyDescent="0.15">
      <c r="A32" s="10"/>
      <c r="B32" s="13"/>
      <c r="C32" s="13"/>
    </row>
    <row r="33" spans="1:3" ht="15.75" customHeight="1" x14ac:dyDescent="0.15">
      <c r="A33" s="10"/>
      <c r="B33" s="13"/>
      <c r="C33" s="13"/>
    </row>
    <row r="34" spans="1:3" ht="15.75" customHeight="1" x14ac:dyDescent="0.15">
      <c r="A34" s="10"/>
      <c r="B34" s="13"/>
      <c r="C34" s="13"/>
    </row>
    <row r="35" spans="1:3" ht="15.75" customHeight="1" x14ac:dyDescent="0.15">
      <c r="A35" s="10"/>
      <c r="B35" s="13"/>
      <c r="C35" s="13"/>
    </row>
    <row r="36" spans="1:3" ht="15.75" customHeight="1" x14ac:dyDescent="0.15">
      <c r="A36" s="10"/>
      <c r="B36" s="13"/>
      <c r="C36" s="13"/>
    </row>
    <row r="37" spans="1:3" ht="15.75" customHeight="1" x14ac:dyDescent="0.15">
      <c r="A37" s="10"/>
      <c r="B37" s="13"/>
      <c r="C37" s="13"/>
    </row>
    <row r="38" spans="1:3" ht="15.75" customHeight="1" x14ac:dyDescent="0.15">
      <c r="A38" s="10"/>
      <c r="B38" s="13"/>
      <c r="C38" s="13"/>
    </row>
    <row r="39" spans="1:3" ht="13" x14ac:dyDescent="0.15">
      <c r="A39" s="10"/>
      <c r="B39" s="13"/>
      <c r="C39" s="13"/>
    </row>
    <row r="40" spans="1:3" ht="13" x14ac:dyDescent="0.15">
      <c r="A40" s="10"/>
      <c r="B40" s="13"/>
      <c r="C40" s="13"/>
    </row>
    <row r="41" spans="1:3" ht="13" x14ac:dyDescent="0.15">
      <c r="A41" s="10"/>
      <c r="B41" s="13"/>
      <c r="C41" s="13"/>
    </row>
    <row r="42" spans="1:3" ht="13" x14ac:dyDescent="0.15">
      <c r="A42" s="10"/>
      <c r="B42" s="13"/>
      <c r="C42" s="13"/>
    </row>
    <row r="43" spans="1:3" ht="13" x14ac:dyDescent="0.15">
      <c r="A43" s="10"/>
      <c r="B43" s="13"/>
      <c r="C43" s="13"/>
    </row>
    <row r="44" spans="1:3" ht="13" x14ac:dyDescent="0.15">
      <c r="A44" s="10"/>
      <c r="B44" s="13"/>
      <c r="C44" s="13"/>
    </row>
    <row r="45" spans="1:3" ht="13" x14ac:dyDescent="0.15">
      <c r="A45" s="10"/>
      <c r="B45" s="13"/>
      <c r="C45" s="13"/>
    </row>
    <row r="46" spans="1:3" ht="13" x14ac:dyDescent="0.15">
      <c r="A46" s="10"/>
      <c r="B46" s="13"/>
      <c r="C46" s="13"/>
    </row>
    <row r="47" spans="1:3" ht="13" x14ac:dyDescent="0.15">
      <c r="A47" s="10"/>
      <c r="B47" s="13"/>
      <c r="C47" s="13"/>
    </row>
    <row r="48" spans="1:3" ht="13" x14ac:dyDescent="0.15">
      <c r="A48" s="10"/>
      <c r="B48" s="13"/>
      <c r="C48" s="13"/>
    </row>
    <row r="49" spans="1:3" ht="13" x14ac:dyDescent="0.15">
      <c r="A49" s="10"/>
      <c r="B49" s="13"/>
      <c r="C49" s="13"/>
    </row>
    <row r="50" spans="1:3" ht="13" x14ac:dyDescent="0.15">
      <c r="A50" s="10"/>
      <c r="B50" s="13"/>
      <c r="C50" s="13"/>
    </row>
    <row r="51" spans="1:3" ht="13" x14ac:dyDescent="0.15">
      <c r="A51" s="10"/>
      <c r="B51" s="13"/>
      <c r="C51" s="13"/>
    </row>
    <row r="52" spans="1:3" ht="13" x14ac:dyDescent="0.15">
      <c r="A52" s="10"/>
      <c r="B52" s="13"/>
      <c r="C52" s="13"/>
    </row>
    <row r="53" spans="1:3" ht="13" x14ac:dyDescent="0.15">
      <c r="A53" s="10"/>
      <c r="B53" s="13"/>
      <c r="C53" s="13"/>
    </row>
    <row r="54" spans="1:3" ht="13" x14ac:dyDescent="0.15">
      <c r="A54" s="10"/>
      <c r="B54" s="13"/>
      <c r="C54" s="13"/>
    </row>
    <row r="55" spans="1:3" ht="13" x14ac:dyDescent="0.15">
      <c r="A55" s="10"/>
      <c r="B55" s="13"/>
      <c r="C55" s="13"/>
    </row>
    <row r="56" spans="1:3" ht="13" x14ac:dyDescent="0.15">
      <c r="A56" s="10"/>
      <c r="B56" s="13"/>
      <c r="C56" s="13"/>
    </row>
    <row r="57" spans="1:3" ht="13" x14ac:dyDescent="0.15">
      <c r="A57" s="10"/>
      <c r="B57" s="13"/>
      <c r="C57" s="13"/>
    </row>
    <row r="58" spans="1:3" ht="13" x14ac:dyDescent="0.15">
      <c r="A58" s="10"/>
      <c r="B58" s="13"/>
      <c r="C58" s="13"/>
    </row>
    <row r="59" spans="1:3" ht="13" x14ac:dyDescent="0.15">
      <c r="A59" s="10"/>
      <c r="B59" s="13"/>
      <c r="C59" s="13"/>
    </row>
    <row r="60" spans="1:3" ht="13" x14ac:dyDescent="0.15">
      <c r="A60" s="10"/>
      <c r="B60" s="13"/>
      <c r="C60" s="13"/>
    </row>
    <row r="61" spans="1:3" ht="13" x14ac:dyDescent="0.15">
      <c r="A61" s="10"/>
      <c r="B61" s="13"/>
      <c r="C61" s="13"/>
    </row>
    <row r="62" spans="1:3" ht="13" x14ac:dyDescent="0.15">
      <c r="A62" s="10"/>
      <c r="B62" s="13"/>
      <c r="C62" s="13"/>
    </row>
    <row r="63" spans="1:3" ht="13" x14ac:dyDescent="0.15">
      <c r="A63" s="10"/>
      <c r="B63" s="13"/>
      <c r="C63" s="13"/>
    </row>
    <row r="64" spans="1:3" ht="13" x14ac:dyDescent="0.15">
      <c r="A64" s="10"/>
      <c r="B64" s="13"/>
      <c r="C64" s="13"/>
    </row>
    <row r="65" spans="1:3" ht="13" x14ac:dyDescent="0.15">
      <c r="A65" s="10"/>
      <c r="B65" s="13"/>
      <c r="C65" s="13"/>
    </row>
    <row r="66" spans="1:3" ht="13" x14ac:dyDescent="0.15">
      <c r="A66" s="10"/>
      <c r="B66" s="13"/>
      <c r="C66" s="13"/>
    </row>
    <row r="67" spans="1:3" ht="13" x14ac:dyDescent="0.15">
      <c r="A67" s="10"/>
      <c r="B67" s="13"/>
      <c r="C67" s="13"/>
    </row>
    <row r="68" spans="1:3" ht="13" x14ac:dyDescent="0.15">
      <c r="A68" s="10"/>
      <c r="B68" s="13"/>
      <c r="C68" s="13"/>
    </row>
    <row r="69" spans="1:3" ht="13" x14ac:dyDescent="0.15">
      <c r="A69" s="10"/>
      <c r="B69" s="13"/>
      <c r="C69" s="13"/>
    </row>
    <row r="70" spans="1:3" ht="13" x14ac:dyDescent="0.15">
      <c r="A70" s="10"/>
      <c r="B70" s="13"/>
      <c r="C70" s="13"/>
    </row>
    <row r="71" spans="1:3" ht="13" x14ac:dyDescent="0.15">
      <c r="A71" s="10"/>
      <c r="B71" s="13"/>
      <c r="C71" s="13"/>
    </row>
    <row r="72" spans="1:3" ht="13" x14ac:dyDescent="0.15">
      <c r="A72" s="10"/>
      <c r="B72" s="13"/>
      <c r="C72" s="13"/>
    </row>
    <row r="73" spans="1:3" ht="13" x14ac:dyDescent="0.15">
      <c r="A73" s="10"/>
      <c r="B73" s="13"/>
      <c r="C73" s="13"/>
    </row>
    <row r="74" spans="1:3" ht="13" x14ac:dyDescent="0.15">
      <c r="A74" s="10"/>
      <c r="B74" s="13"/>
      <c r="C74" s="13"/>
    </row>
    <row r="75" spans="1:3" ht="13" x14ac:dyDescent="0.15">
      <c r="A75" s="10"/>
      <c r="B75" s="13"/>
      <c r="C75" s="13"/>
    </row>
    <row r="76" spans="1:3" ht="13" x14ac:dyDescent="0.15">
      <c r="A76" s="10"/>
      <c r="B76" s="13"/>
      <c r="C76" s="13"/>
    </row>
    <row r="77" spans="1:3" ht="13" x14ac:dyDescent="0.15">
      <c r="A77" s="10"/>
      <c r="B77" s="13"/>
      <c r="C77" s="13"/>
    </row>
    <row r="78" spans="1:3" ht="13" x14ac:dyDescent="0.15">
      <c r="A78" s="10"/>
      <c r="B78" s="13"/>
      <c r="C78" s="13"/>
    </row>
    <row r="79" spans="1:3" ht="13" x14ac:dyDescent="0.15">
      <c r="A79" s="10"/>
      <c r="B79" s="13"/>
      <c r="C79" s="13"/>
    </row>
    <row r="80" spans="1:3" ht="13" x14ac:dyDescent="0.15">
      <c r="A80" s="10"/>
      <c r="B80" s="13"/>
      <c r="C80" s="13"/>
    </row>
    <row r="81" spans="1:3" ht="13" x14ac:dyDescent="0.15">
      <c r="A81" s="10"/>
      <c r="B81" s="13"/>
      <c r="C81" s="13"/>
    </row>
    <row r="82" spans="1:3" ht="13" x14ac:dyDescent="0.15">
      <c r="A82" s="10"/>
      <c r="B82" s="13"/>
      <c r="C82" s="13"/>
    </row>
    <row r="83" spans="1:3" ht="13" x14ac:dyDescent="0.15">
      <c r="A83" s="10"/>
      <c r="B83" s="13"/>
      <c r="C83" s="13"/>
    </row>
    <row r="84" spans="1:3" ht="13" x14ac:dyDescent="0.15">
      <c r="A84" s="10"/>
      <c r="B84" s="13"/>
      <c r="C84" s="13"/>
    </row>
    <row r="85" spans="1:3" ht="13" x14ac:dyDescent="0.15">
      <c r="A85" s="10"/>
      <c r="B85" s="13"/>
      <c r="C85" s="13"/>
    </row>
    <row r="86" spans="1:3" ht="13" x14ac:dyDescent="0.15">
      <c r="A86" s="10"/>
      <c r="B86" s="13"/>
      <c r="C86" s="13"/>
    </row>
    <row r="87" spans="1:3" ht="13" x14ac:dyDescent="0.15">
      <c r="A87" s="10"/>
      <c r="B87" s="13"/>
      <c r="C87" s="13"/>
    </row>
    <row r="88" spans="1:3" ht="13" x14ac:dyDescent="0.15">
      <c r="A88" s="10"/>
      <c r="B88" s="13"/>
      <c r="C88" s="13"/>
    </row>
    <row r="89" spans="1:3" ht="13" x14ac:dyDescent="0.15">
      <c r="A89" s="10"/>
      <c r="B89" s="13"/>
      <c r="C89" s="13"/>
    </row>
    <row r="90" spans="1:3" ht="13" x14ac:dyDescent="0.15">
      <c r="A90" s="10"/>
      <c r="B90" s="13"/>
      <c r="C90" s="13"/>
    </row>
    <row r="91" spans="1:3" ht="13" x14ac:dyDescent="0.15">
      <c r="A91" s="10"/>
      <c r="B91" s="13"/>
      <c r="C91" s="13"/>
    </row>
    <row r="92" spans="1:3" ht="13" x14ac:dyDescent="0.15">
      <c r="A92" s="10"/>
      <c r="B92" s="13"/>
      <c r="C92" s="13"/>
    </row>
    <row r="93" spans="1:3" ht="13" x14ac:dyDescent="0.15">
      <c r="A93" s="10"/>
      <c r="B93" s="13"/>
      <c r="C93" s="13"/>
    </row>
    <row r="94" spans="1:3" ht="13" x14ac:dyDescent="0.15">
      <c r="A94" s="10"/>
      <c r="B94" s="13"/>
      <c r="C94" s="13"/>
    </row>
    <row r="95" spans="1:3" ht="13" x14ac:dyDescent="0.15">
      <c r="A95" s="10"/>
      <c r="B95" s="13"/>
      <c r="C95" s="13"/>
    </row>
    <row r="96" spans="1:3" ht="13" x14ac:dyDescent="0.15">
      <c r="A96" s="10"/>
      <c r="B96" s="13"/>
      <c r="C96" s="13"/>
    </row>
    <row r="97" spans="1:3" ht="13" x14ac:dyDescent="0.15">
      <c r="A97" s="10"/>
      <c r="B97" s="13"/>
      <c r="C97" s="13"/>
    </row>
    <row r="98" spans="1:3" ht="13" x14ac:dyDescent="0.15">
      <c r="A98" s="10"/>
      <c r="B98" s="13"/>
      <c r="C98" s="13"/>
    </row>
    <row r="99" spans="1:3" ht="13" x14ac:dyDescent="0.15">
      <c r="A99" s="10"/>
      <c r="B99" s="13"/>
      <c r="C99" s="13"/>
    </row>
    <row r="100" spans="1:3" ht="13" x14ac:dyDescent="0.15">
      <c r="A100" s="10"/>
      <c r="B100" s="13"/>
      <c r="C100" s="13"/>
    </row>
    <row r="101" spans="1:3" ht="13" x14ac:dyDescent="0.15">
      <c r="A101" s="10"/>
      <c r="B101" s="13"/>
      <c r="C101" s="13"/>
    </row>
    <row r="102" spans="1:3" ht="13" x14ac:dyDescent="0.15">
      <c r="A102" s="10"/>
      <c r="B102" s="13"/>
      <c r="C102" s="13"/>
    </row>
    <row r="103" spans="1:3" ht="13" x14ac:dyDescent="0.15">
      <c r="A103" s="10"/>
      <c r="B103" s="13"/>
      <c r="C103" s="13"/>
    </row>
    <row r="104" spans="1:3" ht="13" x14ac:dyDescent="0.15">
      <c r="A104" s="10"/>
      <c r="B104" s="13"/>
      <c r="C104" s="13"/>
    </row>
    <row r="105" spans="1:3" ht="13" x14ac:dyDescent="0.15">
      <c r="A105" s="10"/>
      <c r="B105" s="13"/>
      <c r="C105" s="13"/>
    </row>
    <row r="106" spans="1:3" ht="13" x14ac:dyDescent="0.15">
      <c r="A106" s="10"/>
      <c r="B106" s="13"/>
      <c r="C106" s="13"/>
    </row>
    <row r="107" spans="1:3" ht="13" x14ac:dyDescent="0.15">
      <c r="A107" s="10"/>
      <c r="B107" s="13"/>
      <c r="C107" s="13"/>
    </row>
    <row r="108" spans="1:3" ht="13" x14ac:dyDescent="0.15">
      <c r="A108" s="10"/>
      <c r="B108" s="13"/>
      <c r="C108" s="13"/>
    </row>
    <row r="109" spans="1:3" ht="13" x14ac:dyDescent="0.15">
      <c r="A109" s="10"/>
      <c r="B109" s="13"/>
      <c r="C109" s="13"/>
    </row>
    <row r="110" spans="1:3" ht="13" x14ac:dyDescent="0.15">
      <c r="A110" s="10"/>
      <c r="B110" s="13"/>
      <c r="C110" s="13"/>
    </row>
    <row r="111" spans="1:3" ht="13" x14ac:dyDescent="0.15">
      <c r="A111" s="10"/>
      <c r="B111" s="13"/>
      <c r="C111" s="13"/>
    </row>
    <row r="112" spans="1:3" ht="13" x14ac:dyDescent="0.15">
      <c r="A112" s="10"/>
      <c r="B112" s="13"/>
      <c r="C112" s="13"/>
    </row>
    <row r="113" spans="1:3" ht="13" x14ac:dyDescent="0.15">
      <c r="A113" s="10"/>
      <c r="B113" s="13"/>
      <c r="C113" s="13"/>
    </row>
    <row r="114" spans="1:3" ht="13" x14ac:dyDescent="0.15">
      <c r="A114" s="10"/>
      <c r="B114" s="13"/>
      <c r="C114" s="13"/>
    </row>
    <row r="115" spans="1:3" ht="13" x14ac:dyDescent="0.15">
      <c r="A115" s="10"/>
      <c r="B115" s="13"/>
      <c r="C115" s="13"/>
    </row>
    <row r="116" spans="1:3" ht="13" x14ac:dyDescent="0.15">
      <c r="A116" s="10"/>
      <c r="B116" s="13"/>
      <c r="C116" s="13"/>
    </row>
    <row r="117" spans="1:3" ht="13" x14ac:dyDescent="0.15">
      <c r="A117" s="10"/>
      <c r="B117" s="13"/>
      <c r="C117" s="13"/>
    </row>
    <row r="118" spans="1:3" ht="13" x14ac:dyDescent="0.15">
      <c r="A118" s="10"/>
      <c r="B118" s="13"/>
      <c r="C118" s="13"/>
    </row>
    <row r="119" spans="1:3" ht="13" x14ac:dyDescent="0.15">
      <c r="A119" s="10"/>
      <c r="B119" s="13"/>
      <c r="C119" s="13"/>
    </row>
    <row r="120" spans="1:3" ht="13" x14ac:dyDescent="0.15">
      <c r="A120" s="10"/>
      <c r="B120" s="13"/>
      <c r="C120" s="13"/>
    </row>
    <row r="121" spans="1:3" ht="13" x14ac:dyDescent="0.15">
      <c r="A121" s="10"/>
      <c r="B121" s="13"/>
      <c r="C121" s="13"/>
    </row>
    <row r="122" spans="1:3" ht="13" x14ac:dyDescent="0.15">
      <c r="A122" s="10"/>
      <c r="B122" s="13"/>
      <c r="C122" s="13"/>
    </row>
    <row r="123" spans="1:3" ht="13" x14ac:dyDescent="0.15">
      <c r="A123" s="10"/>
      <c r="B123" s="13"/>
      <c r="C123" s="13"/>
    </row>
    <row r="124" spans="1:3" ht="13" x14ac:dyDescent="0.15">
      <c r="A124" s="10"/>
      <c r="B124" s="13"/>
      <c r="C124" s="13"/>
    </row>
    <row r="125" spans="1:3" ht="13" x14ac:dyDescent="0.15">
      <c r="A125" s="10"/>
      <c r="B125" s="13"/>
      <c r="C125" s="13"/>
    </row>
    <row r="126" spans="1:3" ht="13" x14ac:dyDescent="0.15">
      <c r="A126" s="10"/>
      <c r="B126" s="13"/>
      <c r="C126" s="13"/>
    </row>
    <row r="127" spans="1:3" ht="13" x14ac:dyDescent="0.15">
      <c r="A127" s="10"/>
      <c r="B127" s="13"/>
      <c r="C127" s="13"/>
    </row>
    <row r="128" spans="1:3" ht="13" x14ac:dyDescent="0.15">
      <c r="A128" s="10"/>
      <c r="B128" s="13"/>
      <c r="C128" s="13"/>
    </row>
    <row r="129" spans="1:3" ht="13" x14ac:dyDescent="0.15">
      <c r="A129" s="10"/>
      <c r="B129" s="13"/>
      <c r="C129" s="13"/>
    </row>
    <row r="130" spans="1:3" ht="13" x14ac:dyDescent="0.15">
      <c r="A130" s="10"/>
      <c r="B130" s="13"/>
      <c r="C130" s="13"/>
    </row>
    <row r="131" spans="1:3" ht="13" x14ac:dyDescent="0.15">
      <c r="A131" s="10"/>
      <c r="B131" s="13"/>
      <c r="C131" s="13"/>
    </row>
    <row r="132" spans="1:3" ht="13" x14ac:dyDescent="0.15">
      <c r="A132" s="10"/>
      <c r="B132" s="13"/>
      <c r="C132" s="13"/>
    </row>
    <row r="133" spans="1:3" ht="13" x14ac:dyDescent="0.15">
      <c r="A133" s="10"/>
      <c r="B133" s="13"/>
      <c r="C133" s="13"/>
    </row>
    <row r="134" spans="1:3" ht="13" x14ac:dyDescent="0.15">
      <c r="A134" s="10"/>
      <c r="B134" s="13"/>
      <c r="C134" s="13"/>
    </row>
    <row r="135" spans="1:3" ht="13" x14ac:dyDescent="0.15">
      <c r="A135" s="10"/>
      <c r="B135" s="13"/>
      <c r="C135" s="13"/>
    </row>
    <row r="136" spans="1:3" ht="13" x14ac:dyDescent="0.15">
      <c r="A136" s="10"/>
      <c r="B136" s="13"/>
      <c r="C136" s="13"/>
    </row>
    <row r="137" spans="1:3" ht="13" x14ac:dyDescent="0.15">
      <c r="A137" s="10"/>
      <c r="B137" s="13"/>
      <c r="C137" s="13"/>
    </row>
    <row r="138" spans="1:3" ht="13" x14ac:dyDescent="0.15">
      <c r="A138" s="10"/>
      <c r="B138" s="13"/>
      <c r="C138" s="13"/>
    </row>
    <row r="139" spans="1:3" ht="13" x14ac:dyDescent="0.15">
      <c r="A139" s="10"/>
      <c r="B139" s="13"/>
      <c r="C139" s="13"/>
    </row>
    <row r="140" spans="1:3" ht="13" x14ac:dyDescent="0.15">
      <c r="A140" s="10"/>
      <c r="B140" s="13"/>
      <c r="C140" s="13"/>
    </row>
    <row r="141" spans="1:3" ht="13" x14ac:dyDescent="0.15">
      <c r="A141" s="10"/>
      <c r="B141" s="13"/>
      <c r="C141" s="13"/>
    </row>
    <row r="142" spans="1:3" ht="13" x14ac:dyDescent="0.15">
      <c r="A142" s="10"/>
      <c r="B142" s="13"/>
      <c r="C142" s="13"/>
    </row>
    <row r="143" spans="1:3" ht="13" x14ac:dyDescent="0.15">
      <c r="A143" s="10"/>
      <c r="B143" s="13"/>
      <c r="C143" s="13"/>
    </row>
    <row r="144" spans="1:3" ht="13" x14ac:dyDescent="0.15">
      <c r="A144" s="10"/>
      <c r="B144" s="13"/>
      <c r="C144" s="13"/>
    </row>
    <row r="145" spans="1:3" ht="13" x14ac:dyDescent="0.15">
      <c r="A145" s="10"/>
      <c r="B145" s="13"/>
      <c r="C145" s="13"/>
    </row>
    <row r="146" spans="1:3" ht="13" x14ac:dyDescent="0.15">
      <c r="A146" s="10"/>
      <c r="B146" s="13"/>
      <c r="C146" s="13"/>
    </row>
    <row r="147" spans="1:3" ht="13" x14ac:dyDescent="0.15">
      <c r="A147" s="10"/>
      <c r="B147" s="13"/>
      <c r="C147" s="13"/>
    </row>
    <row r="148" spans="1:3" ht="13" x14ac:dyDescent="0.15">
      <c r="A148" s="10"/>
      <c r="B148" s="13"/>
      <c r="C148" s="13"/>
    </row>
    <row r="149" spans="1:3" ht="13" x14ac:dyDescent="0.15">
      <c r="A149" s="10"/>
      <c r="B149" s="13"/>
      <c r="C149" s="13"/>
    </row>
    <row r="150" spans="1:3" ht="13" x14ac:dyDescent="0.15">
      <c r="A150" s="10"/>
      <c r="B150" s="13"/>
      <c r="C150" s="13"/>
    </row>
    <row r="151" spans="1:3" ht="13" x14ac:dyDescent="0.15">
      <c r="A151" s="10"/>
      <c r="B151" s="13"/>
      <c r="C151" s="13"/>
    </row>
    <row r="152" spans="1:3" ht="13" x14ac:dyDescent="0.15">
      <c r="A152" s="10"/>
      <c r="B152" s="13"/>
      <c r="C152" s="13"/>
    </row>
    <row r="153" spans="1:3" ht="13" x14ac:dyDescent="0.15">
      <c r="A153" s="10"/>
      <c r="B153" s="13"/>
      <c r="C153" s="13"/>
    </row>
    <row r="154" spans="1:3" ht="13" x14ac:dyDescent="0.15">
      <c r="A154" s="10"/>
      <c r="B154" s="13"/>
      <c r="C154" s="13"/>
    </row>
    <row r="155" spans="1:3" ht="13" x14ac:dyDescent="0.15">
      <c r="A155" s="10"/>
      <c r="B155" s="13"/>
      <c r="C155" s="13"/>
    </row>
    <row r="156" spans="1:3" ht="13" x14ac:dyDescent="0.15">
      <c r="A156" s="10"/>
      <c r="B156" s="13"/>
      <c r="C156" s="13"/>
    </row>
    <row r="157" spans="1:3" ht="13" x14ac:dyDescent="0.15">
      <c r="A157" s="10"/>
      <c r="B157" s="13"/>
      <c r="C157" s="13"/>
    </row>
    <row r="158" spans="1:3" ht="13" x14ac:dyDescent="0.15">
      <c r="A158" s="10"/>
      <c r="B158" s="13"/>
      <c r="C158" s="13"/>
    </row>
    <row r="159" spans="1:3" ht="13" x14ac:dyDescent="0.15">
      <c r="A159" s="10"/>
      <c r="B159" s="13"/>
      <c r="C159" s="13"/>
    </row>
    <row r="160" spans="1:3" ht="13" x14ac:dyDescent="0.15">
      <c r="A160" s="10"/>
      <c r="B160" s="13"/>
      <c r="C160" s="13"/>
    </row>
    <row r="161" spans="1:3" ht="13" x14ac:dyDescent="0.15">
      <c r="A161" s="10"/>
      <c r="B161" s="13"/>
      <c r="C161" s="13"/>
    </row>
    <row r="162" spans="1:3" ht="13" x14ac:dyDescent="0.15">
      <c r="A162" s="10"/>
      <c r="B162" s="13"/>
      <c r="C162" s="13"/>
    </row>
    <row r="163" spans="1:3" ht="13" x14ac:dyDescent="0.15">
      <c r="A163" s="10"/>
      <c r="B163" s="13"/>
      <c r="C163" s="13"/>
    </row>
    <row r="164" spans="1:3" ht="13" x14ac:dyDescent="0.15">
      <c r="A164" s="10"/>
      <c r="B164" s="13"/>
      <c r="C164" s="13"/>
    </row>
    <row r="165" spans="1:3" ht="13" x14ac:dyDescent="0.15">
      <c r="A165" s="10"/>
      <c r="B165" s="13"/>
      <c r="C165" s="13"/>
    </row>
    <row r="166" spans="1:3" ht="13" x14ac:dyDescent="0.15">
      <c r="A166" s="10"/>
      <c r="B166" s="13"/>
      <c r="C166" s="13"/>
    </row>
    <row r="167" spans="1:3" ht="13" x14ac:dyDescent="0.15">
      <c r="A167" s="10"/>
      <c r="B167" s="13"/>
      <c r="C167" s="13"/>
    </row>
    <row r="168" spans="1:3" ht="13" x14ac:dyDescent="0.15">
      <c r="A168" s="10"/>
      <c r="B168" s="13"/>
      <c r="C168" s="13"/>
    </row>
    <row r="169" spans="1:3" ht="13" x14ac:dyDescent="0.15">
      <c r="A169" s="10"/>
      <c r="B169" s="13"/>
      <c r="C169" s="13"/>
    </row>
    <row r="170" spans="1:3" ht="13" x14ac:dyDescent="0.15">
      <c r="A170" s="10"/>
      <c r="B170" s="13"/>
      <c r="C170" s="13"/>
    </row>
    <row r="171" spans="1:3" ht="13" x14ac:dyDescent="0.15">
      <c r="A171" s="10"/>
      <c r="B171" s="13"/>
      <c r="C171" s="13"/>
    </row>
    <row r="172" spans="1:3" ht="13" x14ac:dyDescent="0.15">
      <c r="A172" s="10"/>
      <c r="B172" s="13"/>
      <c r="C172" s="13"/>
    </row>
    <row r="173" spans="1:3" ht="13" x14ac:dyDescent="0.15">
      <c r="A173" s="10"/>
      <c r="B173" s="13"/>
      <c r="C173" s="13"/>
    </row>
    <row r="174" spans="1:3" ht="13" x14ac:dyDescent="0.15">
      <c r="A174" s="10"/>
      <c r="B174" s="13"/>
      <c r="C174" s="13"/>
    </row>
    <row r="175" spans="1:3" ht="13" x14ac:dyDescent="0.15">
      <c r="A175" s="10"/>
      <c r="B175" s="13"/>
      <c r="C175" s="13"/>
    </row>
    <row r="176" spans="1:3" ht="13" x14ac:dyDescent="0.15">
      <c r="A176" s="10"/>
      <c r="B176" s="13"/>
      <c r="C176" s="13"/>
    </row>
    <row r="177" spans="1:3" ht="13" x14ac:dyDescent="0.15">
      <c r="A177" s="10"/>
      <c r="B177" s="13"/>
      <c r="C177" s="13"/>
    </row>
    <row r="178" spans="1:3" ht="13" x14ac:dyDescent="0.15">
      <c r="A178" s="10"/>
      <c r="B178" s="13"/>
      <c r="C178" s="13"/>
    </row>
    <row r="179" spans="1:3" ht="13" x14ac:dyDescent="0.15">
      <c r="A179" s="10"/>
      <c r="B179" s="13"/>
      <c r="C179" s="13"/>
    </row>
    <row r="180" spans="1:3" ht="13" x14ac:dyDescent="0.15">
      <c r="A180" s="10"/>
      <c r="B180" s="13"/>
      <c r="C180" s="13"/>
    </row>
    <row r="181" spans="1:3" ht="13" x14ac:dyDescent="0.15">
      <c r="A181" s="10"/>
      <c r="B181" s="13"/>
      <c r="C181" s="13"/>
    </row>
    <row r="182" spans="1:3" ht="13" x14ac:dyDescent="0.15">
      <c r="A182" s="10"/>
      <c r="B182" s="13"/>
      <c r="C182" s="13"/>
    </row>
    <row r="183" spans="1:3" ht="13" x14ac:dyDescent="0.15">
      <c r="A183" s="10"/>
      <c r="B183" s="13"/>
      <c r="C183" s="13"/>
    </row>
    <row r="184" spans="1:3" ht="13" x14ac:dyDescent="0.15">
      <c r="A184" s="10"/>
      <c r="B184" s="13"/>
      <c r="C184" s="13"/>
    </row>
    <row r="185" spans="1:3" ht="13" x14ac:dyDescent="0.15">
      <c r="A185" s="10"/>
      <c r="B185" s="13"/>
      <c r="C185" s="13"/>
    </row>
    <row r="186" spans="1:3" ht="13" x14ac:dyDescent="0.15">
      <c r="A186" s="10"/>
      <c r="B186" s="13"/>
      <c r="C186" s="13"/>
    </row>
    <row r="187" spans="1:3" ht="13" x14ac:dyDescent="0.15">
      <c r="A187" s="10"/>
      <c r="B187" s="13"/>
      <c r="C187" s="13"/>
    </row>
    <row r="188" spans="1:3" ht="13" x14ac:dyDescent="0.15">
      <c r="A188" s="10"/>
      <c r="B188" s="13"/>
      <c r="C188" s="13"/>
    </row>
    <row r="189" spans="1:3" ht="13" x14ac:dyDescent="0.15">
      <c r="A189" s="10"/>
      <c r="B189" s="13"/>
      <c r="C189" s="13"/>
    </row>
    <row r="190" spans="1:3" ht="13" x14ac:dyDescent="0.15">
      <c r="A190" s="10"/>
      <c r="B190" s="13"/>
      <c r="C190" s="13"/>
    </row>
    <row r="191" spans="1:3" ht="13" x14ac:dyDescent="0.15">
      <c r="A191" s="10"/>
      <c r="B191" s="13"/>
      <c r="C191" s="13"/>
    </row>
    <row r="192" spans="1:3" ht="13" x14ac:dyDescent="0.15">
      <c r="A192" s="10"/>
      <c r="B192" s="13"/>
      <c r="C192" s="13"/>
    </row>
    <row r="193" spans="1:3" ht="13" x14ac:dyDescent="0.15">
      <c r="A193" s="10"/>
      <c r="B193" s="13"/>
      <c r="C193" s="13"/>
    </row>
    <row r="194" spans="1:3" ht="13" x14ac:dyDescent="0.15">
      <c r="A194" s="10"/>
      <c r="B194" s="13"/>
      <c r="C194" s="13"/>
    </row>
    <row r="195" spans="1:3" ht="13" x14ac:dyDescent="0.15">
      <c r="A195" s="10"/>
      <c r="B195" s="13"/>
      <c r="C195" s="13"/>
    </row>
    <row r="196" spans="1:3" ht="13" x14ac:dyDescent="0.15">
      <c r="A196" s="10"/>
      <c r="B196" s="13"/>
      <c r="C196" s="13"/>
    </row>
    <row r="197" spans="1:3" ht="13" x14ac:dyDescent="0.15">
      <c r="A197" s="10"/>
      <c r="B197" s="13"/>
      <c r="C197" s="13"/>
    </row>
    <row r="198" spans="1:3" ht="13" x14ac:dyDescent="0.15">
      <c r="A198" s="10"/>
      <c r="B198" s="13"/>
      <c r="C198" s="13"/>
    </row>
    <row r="199" spans="1:3" ht="13" x14ac:dyDescent="0.15">
      <c r="A199" s="10"/>
      <c r="B199" s="13"/>
      <c r="C199" s="13"/>
    </row>
    <row r="200" spans="1:3" ht="13" x14ac:dyDescent="0.15">
      <c r="A200" s="10"/>
      <c r="B200" s="13"/>
      <c r="C200" s="13"/>
    </row>
    <row r="201" spans="1:3" ht="13" x14ac:dyDescent="0.15">
      <c r="A201" s="10"/>
      <c r="B201" s="13"/>
      <c r="C201" s="13"/>
    </row>
    <row r="202" spans="1:3" ht="13" x14ac:dyDescent="0.15">
      <c r="A202" s="10"/>
      <c r="B202" s="13"/>
      <c r="C202" s="13"/>
    </row>
    <row r="203" spans="1:3" ht="13" x14ac:dyDescent="0.15">
      <c r="A203" s="10"/>
      <c r="B203" s="13"/>
      <c r="C203" s="13"/>
    </row>
    <row r="204" spans="1:3" ht="13" x14ac:dyDescent="0.15">
      <c r="A204" s="10"/>
      <c r="B204" s="13"/>
      <c r="C204" s="13"/>
    </row>
    <row r="205" spans="1:3" ht="13" x14ac:dyDescent="0.15">
      <c r="A205" s="10"/>
      <c r="B205" s="13"/>
      <c r="C205" s="13"/>
    </row>
    <row r="206" spans="1:3" ht="13" x14ac:dyDescent="0.15">
      <c r="A206" s="10"/>
      <c r="B206" s="13"/>
      <c r="C206" s="13"/>
    </row>
    <row r="207" spans="1:3" ht="13" x14ac:dyDescent="0.15">
      <c r="A207" s="10"/>
      <c r="B207" s="13"/>
      <c r="C207" s="13"/>
    </row>
    <row r="208" spans="1:3" ht="13" x14ac:dyDescent="0.15">
      <c r="A208" s="10"/>
      <c r="B208" s="13"/>
      <c r="C208" s="13"/>
    </row>
    <row r="209" spans="1:3" ht="13" x14ac:dyDescent="0.15">
      <c r="A209" s="10"/>
      <c r="B209" s="13"/>
      <c r="C209" s="13"/>
    </row>
    <row r="210" spans="1:3" ht="13" x14ac:dyDescent="0.15">
      <c r="A210" s="10"/>
      <c r="B210" s="13"/>
      <c r="C210" s="13"/>
    </row>
    <row r="211" spans="1:3" ht="13" x14ac:dyDescent="0.15">
      <c r="A211" s="10"/>
      <c r="B211" s="13"/>
      <c r="C211" s="13"/>
    </row>
    <row r="212" spans="1:3" ht="13" x14ac:dyDescent="0.15">
      <c r="A212" s="10"/>
      <c r="B212" s="13"/>
      <c r="C212" s="13"/>
    </row>
    <row r="213" spans="1:3" ht="13" x14ac:dyDescent="0.15">
      <c r="A213" s="10"/>
      <c r="B213" s="13"/>
      <c r="C213" s="13"/>
    </row>
    <row r="214" spans="1:3" ht="13" x14ac:dyDescent="0.15">
      <c r="A214" s="10"/>
      <c r="B214" s="13"/>
      <c r="C214" s="13"/>
    </row>
    <row r="215" spans="1:3" ht="13" x14ac:dyDescent="0.15">
      <c r="A215" s="10"/>
      <c r="B215" s="13"/>
      <c r="C215" s="13"/>
    </row>
    <row r="216" spans="1:3" ht="13" x14ac:dyDescent="0.15">
      <c r="A216" s="10"/>
      <c r="B216" s="13"/>
      <c r="C216" s="13"/>
    </row>
    <row r="217" spans="1:3" ht="13" x14ac:dyDescent="0.15">
      <c r="A217" s="10"/>
      <c r="B217" s="13"/>
      <c r="C217" s="13"/>
    </row>
    <row r="218" spans="1:3" ht="13" x14ac:dyDescent="0.15">
      <c r="A218" s="10"/>
      <c r="B218" s="13"/>
      <c r="C218" s="13"/>
    </row>
    <row r="219" spans="1:3" ht="13" x14ac:dyDescent="0.15">
      <c r="A219" s="10"/>
      <c r="B219" s="13"/>
      <c r="C219" s="13"/>
    </row>
    <row r="220" spans="1:3" ht="13" x14ac:dyDescent="0.15">
      <c r="A220" s="10"/>
      <c r="B220" s="13"/>
      <c r="C220" s="13"/>
    </row>
    <row r="221" spans="1:3" ht="13" x14ac:dyDescent="0.15">
      <c r="A221" s="10"/>
      <c r="B221" s="13"/>
      <c r="C221" s="13"/>
    </row>
    <row r="222" spans="1:3" ht="13" x14ac:dyDescent="0.15">
      <c r="A222" s="10"/>
      <c r="B222" s="13"/>
      <c r="C222" s="13"/>
    </row>
    <row r="223" spans="1:3" ht="13" x14ac:dyDescent="0.15">
      <c r="A223" s="10"/>
      <c r="B223" s="13"/>
      <c r="C223" s="13"/>
    </row>
    <row r="224" spans="1:3" ht="13" x14ac:dyDescent="0.15">
      <c r="A224" s="10"/>
      <c r="B224" s="13"/>
      <c r="C224" s="13"/>
    </row>
    <row r="225" spans="1:3" ht="13" x14ac:dyDescent="0.15">
      <c r="A225" s="10"/>
      <c r="B225" s="13"/>
      <c r="C225" s="13"/>
    </row>
    <row r="226" spans="1:3" ht="13" x14ac:dyDescent="0.15">
      <c r="A226" s="10"/>
      <c r="B226" s="13"/>
      <c r="C226" s="13"/>
    </row>
    <row r="227" spans="1:3" ht="13" x14ac:dyDescent="0.15">
      <c r="A227" s="10"/>
      <c r="B227" s="13"/>
      <c r="C227" s="13"/>
    </row>
    <row r="228" spans="1:3" ht="13" x14ac:dyDescent="0.15">
      <c r="A228" s="10"/>
      <c r="B228" s="13"/>
      <c r="C228" s="13"/>
    </row>
    <row r="229" spans="1:3" ht="13" x14ac:dyDescent="0.15">
      <c r="A229" s="10"/>
      <c r="B229" s="13"/>
      <c r="C229" s="13"/>
    </row>
    <row r="230" spans="1:3" ht="13" x14ac:dyDescent="0.15">
      <c r="A230" s="10"/>
      <c r="B230" s="13"/>
      <c r="C230" s="13"/>
    </row>
    <row r="231" spans="1:3" ht="13" x14ac:dyDescent="0.15">
      <c r="A231" s="10"/>
      <c r="B231" s="13"/>
      <c r="C231" s="13"/>
    </row>
    <row r="232" spans="1:3" ht="13" x14ac:dyDescent="0.15">
      <c r="A232" s="10"/>
      <c r="B232" s="13"/>
      <c r="C232" s="13"/>
    </row>
    <row r="233" spans="1:3" ht="13" x14ac:dyDescent="0.15">
      <c r="A233" s="10"/>
      <c r="B233" s="13"/>
      <c r="C233" s="13"/>
    </row>
    <row r="234" spans="1:3" ht="13" x14ac:dyDescent="0.15">
      <c r="A234" s="10"/>
      <c r="B234" s="13"/>
      <c r="C234" s="13"/>
    </row>
    <row r="235" spans="1:3" ht="13" x14ac:dyDescent="0.15">
      <c r="A235" s="10"/>
      <c r="B235" s="13"/>
      <c r="C235" s="13"/>
    </row>
    <row r="236" spans="1:3" ht="13" x14ac:dyDescent="0.15">
      <c r="A236" s="10"/>
      <c r="B236" s="13"/>
      <c r="C236" s="13"/>
    </row>
    <row r="237" spans="1:3" ht="13" x14ac:dyDescent="0.15">
      <c r="A237" s="10"/>
      <c r="B237" s="13"/>
      <c r="C237" s="13"/>
    </row>
    <row r="238" spans="1:3" ht="13" x14ac:dyDescent="0.15">
      <c r="A238" s="10"/>
      <c r="B238" s="13"/>
      <c r="C238" s="13"/>
    </row>
    <row r="239" spans="1:3" ht="13" x14ac:dyDescent="0.15">
      <c r="A239" s="10"/>
      <c r="B239" s="13"/>
      <c r="C239" s="13"/>
    </row>
    <row r="240" spans="1:3" ht="13" x14ac:dyDescent="0.15">
      <c r="A240" s="10"/>
      <c r="B240" s="13"/>
      <c r="C240" s="13"/>
    </row>
    <row r="241" spans="1:3" ht="13" x14ac:dyDescent="0.15">
      <c r="A241" s="10"/>
      <c r="B241" s="13"/>
      <c r="C241" s="13"/>
    </row>
    <row r="242" spans="1:3" ht="13" x14ac:dyDescent="0.15">
      <c r="A242" s="10"/>
      <c r="B242" s="13"/>
      <c r="C242" s="13"/>
    </row>
    <row r="243" spans="1:3" ht="13" x14ac:dyDescent="0.15">
      <c r="A243" s="10"/>
      <c r="B243" s="13"/>
      <c r="C243" s="13"/>
    </row>
    <row r="244" spans="1:3" ht="13" x14ac:dyDescent="0.15">
      <c r="A244" s="10"/>
      <c r="B244" s="13"/>
      <c r="C244" s="13"/>
    </row>
    <row r="245" spans="1:3" ht="13" x14ac:dyDescent="0.15">
      <c r="A245" s="10"/>
      <c r="B245" s="13"/>
      <c r="C245" s="13"/>
    </row>
    <row r="246" spans="1:3" ht="13" x14ac:dyDescent="0.15">
      <c r="A246" s="10"/>
      <c r="B246" s="13"/>
      <c r="C246" s="13"/>
    </row>
    <row r="247" spans="1:3" ht="13" x14ac:dyDescent="0.15">
      <c r="A247" s="10"/>
      <c r="B247" s="13"/>
      <c r="C247" s="13"/>
    </row>
    <row r="248" spans="1:3" ht="13" x14ac:dyDescent="0.15">
      <c r="A248" s="10"/>
      <c r="B248" s="13"/>
      <c r="C248" s="13"/>
    </row>
    <row r="249" spans="1:3" ht="13" x14ac:dyDescent="0.15">
      <c r="A249" s="10"/>
      <c r="B249" s="13"/>
      <c r="C249" s="13"/>
    </row>
    <row r="250" spans="1:3" ht="13" x14ac:dyDescent="0.15">
      <c r="A250" s="10"/>
      <c r="B250" s="13"/>
      <c r="C250" s="13"/>
    </row>
    <row r="251" spans="1:3" ht="13" x14ac:dyDescent="0.15">
      <c r="A251" s="10"/>
      <c r="B251" s="13"/>
      <c r="C251" s="13"/>
    </row>
    <row r="252" spans="1:3" ht="13" x14ac:dyDescent="0.15">
      <c r="A252" s="10"/>
      <c r="B252" s="13"/>
      <c r="C252" s="13"/>
    </row>
    <row r="253" spans="1:3" ht="13" x14ac:dyDescent="0.15">
      <c r="A253" s="10"/>
      <c r="B253" s="13"/>
      <c r="C253" s="13"/>
    </row>
    <row r="254" spans="1:3" ht="13" x14ac:dyDescent="0.15">
      <c r="A254" s="10"/>
      <c r="B254" s="13"/>
      <c r="C254" s="13"/>
    </row>
    <row r="255" spans="1:3" ht="13" x14ac:dyDescent="0.15">
      <c r="A255" s="10"/>
      <c r="B255" s="13"/>
      <c r="C255" s="13"/>
    </row>
    <row r="256" spans="1:3" ht="13" x14ac:dyDescent="0.15">
      <c r="A256" s="10"/>
      <c r="B256" s="13"/>
      <c r="C256" s="13"/>
    </row>
    <row r="257" spans="1:3" ht="13" x14ac:dyDescent="0.15">
      <c r="A257" s="10"/>
      <c r="B257" s="13"/>
      <c r="C257" s="13"/>
    </row>
    <row r="258" spans="1:3" ht="13" x14ac:dyDescent="0.15">
      <c r="A258" s="10"/>
      <c r="B258" s="13"/>
      <c r="C258" s="13"/>
    </row>
    <row r="259" spans="1:3" ht="13" x14ac:dyDescent="0.15">
      <c r="A259" s="10"/>
      <c r="B259" s="13"/>
      <c r="C259" s="13"/>
    </row>
    <row r="260" spans="1:3" ht="13" x14ac:dyDescent="0.15">
      <c r="A260" s="10"/>
      <c r="B260" s="13"/>
      <c r="C260" s="13"/>
    </row>
    <row r="261" spans="1:3" ht="13" x14ac:dyDescent="0.15">
      <c r="A261" s="10"/>
      <c r="B261" s="13"/>
      <c r="C261" s="13"/>
    </row>
    <row r="262" spans="1:3" ht="13" x14ac:dyDescent="0.15">
      <c r="A262" s="10"/>
      <c r="B262" s="13"/>
      <c r="C262" s="13"/>
    </row>
    <row r="263" spans="1:3" ht="13" x14ac:dyDescent="0.15">
      <c r="A263" s="10"/>
      <c r="B263" s="13"/>
      <c r="C263" s="13"/>
    </row>
    <row r="264" spans="1:3" ht="13" x14ac:dyDescent="0.15">
      <c r="A264" s="10"/>
      <c r="B264" s="13"/>
      <c r="C264" s="13"/>
    </row>
    <row r="265" spans="1:3" ht="13" x14ac:dyDescent="0.15">
      <c r="A265" s="10"/>
      <c r="B265" s="13"/>
      <c r="C265" s="13"/>
    </row>
    <row r="266" spans="1:3" ht="13" x14ac:dyDescent="0.15">
      <c r="A266" s="10"/>
      <c r="B266" s="13"/>
      <c r="C266" s="13"/>
    </row>
    <row r="267" spans="1:3" ht="13" x14ac:dyDescent="0.15">
      <c r="A267" s="10"/>
      <c r="B267" s="13"/>
      <c r="C267" s="13"/>
    </row>
    <row r="268" spans="1:3" ht="13" x14ac:dyDescent="0.15">
      <c r="A268" s="10"/>
      <c r="B268" s="13"/>
      <c r="C268" s="13"/>
    </row>
    <row r="269" spans="1:3" ht="13" x14ac:dyDescent="0.15">
      <c r="A269" s="10"/>
      <c r="B269" s="13"/>
      <c r="C269" s="13"/>
    </row>
    <row r="270" spans="1:3" ht="13" x14ac:dyDescent="0.15">
      <c r="A270" s="10"/>
      <c r="B270" s="13"/>
      <c r="C270" s="13"/>
    </row>
    <row r="271" spans="1:3" ht="13" x14ac:dyDescent="0.15">
      <c r="A271" s="10"/>
      <c r="B271" s="13"/>
      <c r="C271" s="13"/>
    </row>
    <row r="272" spans="1:3" ht="13" x14ac:dyDescent="0.15">
      <c r="A272" s="10"/>
      <c r="B272" s="13"/>
      <c r="C272" s="13"/>
    </row>
    <row r="273" spans="1:3" ht="13" x14ac:dyDescent="0.15">
      <c r="A273" s="10"/>
      <c r="B273" s="13"/>
      <c r="C273" s="13"/>
    </row>
    <row r="274" spans="1:3" ht="13" x14ac:dyDescent="0.15">
      <c r="A274" s="10"/>
      <c r="B274" s="13"/>
      <c r="C274" s="13"/>
    </row>
    <row r="275" spans="1:3" ht="13" x14ac:dyDescent="0.15">
      <c r="A275" s="10"/>
      <c r="B275" s="13"/>
      <c r="C275" s="13"/>
    </row>
    <row r="276" spans="1:3" ht="13" x14ac:dyDescent="0.15">
      <c r="A276" s="10"/>
      <c r="B276" s="13"/>
      <c r="C276" s="13"/>
    </row>
    <row r="277" spans="1:3" ht="13" x14ac:dyDescent="0.15">
      <c r="A277" s="10"/>
      <c r="B277" s="13"/>
      <c r="C277" s="13"/>
    </row>
    <row r="278" spans="1:3" ht="13" x14ac:dyDescent="0.15">
      <c r="A278" s="10"/>
      <c r="B278" s="13"/>
      <c r="C278" s="13"/>
    </row>
    <row r="279" spans="1:3" ht="13" x14ac:dyDescent="0.15">
      <c r="A279" s="10"/>
      <c r="B279" s="13"/>
      <c r="C279" s="13"/>
    </row>
    <row r="280" spans="1:3" ht="13" x14ac:dyDescent="0.15">
      <c r="A280" s="10"/>
      <c r="B280" s="13"/>
      <c r="C280" s="13"/>
    </row>
    <row r="281" spans="1:3" ht="13" x14ac:dyDescent="0.15">
      <c r="A281" s="10"/>
      <c r="B281" s="13"/>
      <c r="C281" s="13"/>
    </row>
    <row r="282" spans="1:3" ht="13" x14ac:dyDescent="0.15">
      <c r="A282" s="10"/>
      <c r="B282" s="13"/>
      <c r="C282" s="13"/>
    </row>
    <row r="283" spans="1:3" ht="13" x14ac:dyDescent="0.15">
      <c r="A283" s="10"/>
      <c r="B283" s="13"/>
      <c r="C283" s="13"/>
    </row>
    <row r="284" spans="1:3" ht="13" x14ac:dyDescent="0.15">
      <c r="A284" s="10"/>
      <c r="B284" s="13"/>
      <c r="C284" s="13"/>
    </row>
    <row r="285" spans="1:3" ht="13" x14ac:dyDescent="0.15">
      <c r="A285" s="10"/>
      <c r="B285" s="13"/>
      <c r="C285" s="13"/>
    </row>
    <row r="286" spans="1:3" ht="13" x14ac:dyDescent="0.15">
      <c r="A286" s="10"/>
      <c r="B286" s="13"/>
      <c r="C286" s="13"/>
    </row>
    <row r="287" spans="1:3" ht="13" x14ac:dyDescent="0.15">
      <c r="A287" s="10"/>
      <c r="B287" s="13"/>
      <c r="C287" s="13"/>
    </row>
    <row r="288" spans="1:3" ht="13" x14ac:dyDescent="0.15">
      <c r="A288" s="10"/>
      <c r="B288" s="13"/>
      <c r="C288" s="13"/>
    </row>
    <row r="289" spans="1:3" ht="13" x14ac:dyDescent="0.15">
      <c r="A289" s="10"/>
      <c r="B289" s="13"/>
      <c r="C289" s="13"/>
    </row>
    <row r="290" spans="1:3" ht="13" x14ac:dyDescent="0.15">
      <c r="A290" s="10"/>
      <c r="B290" s="13"/>
      <c r="C290" s="13"/>
    </row>
    <row r="291" spans="1:3" ht="13" x14ac:dyDescent="0.15">
      <c r="A291" s="10"/>
      <c r="B291" s="13"/>
      <c r="C291" s="13"/>
    </row>
    <row r="292" spans="1:3" ht="13" x14ac:dyDescent="0.15">
      <c r="A292" s="10"/>
      <c r="B292" s="13"/>
      <c r="C292" s="13"/>
    </row>
    <row r="293" spans="1:3" ht="13" x14ac:dyDescent="0.15">
      <c r="A293" s="10"/>
      <c r="B293" s="13"/>
      <c r="C293" s="13"/>
    </row>
    <row r="294" spans="1:3" ht="13" x14ac:dyDescent="0.15">
      <c r="A294" s="10"/>
      <c r="B294" s="13"/>
      <c r="C294" s="13"/>
    </row>
    <row r="295" spans="1:3" ht="13" x14ac:dyDescent="0.15">
      <c r="A295" s="10"/>
      <c r="B295" s="13"/>
      <c r="C295" s="13"/>
    </row>
    <row r="296" spans="1:3" ht="13" x14ac:dyDescent="0.15">
      <c r="A296" s="10"/>
      <c r="B296" s="13"/>
      <c r="C296" s="13"/>
    </row>
    <row r="297" spans="1:3" ht="13" x14ac:dyDescent="0.15">
      <c r="A297" s="10"/>
      <c r="B297" s="13"/>
      <c r="C297" s="13"/>
    </row>
    <row r="298" spans="1:3" ht="13" x14ac:dyDescent="0.15">
      <c r="A298" s="10"/>
      <c r="B298" s="13"/>
      <c r="C298" s="13"/>
    </row>
    <row r="299" spans="1:3" ht="13" x14ac:dyDescent="0.15">
      <c r="A299" s="10"/>
      <c r="B299" s="13"/>
      <c r="C299" s="13"/>
    </row>
    <row r="300" spans="1:3" ht="13" x14ac:dyDescent="0.15">
      <c r="A300" s="10"/>
      <c r="B300" s="13"/>
      <c r="C300" s="13"/>
    </row>
    <row r="301" spans="1:3" ht="13" x14ac:dyDescent="0.15">
      <c r="A301" s="10"/>
      <c r="B301" s="13"/>
      <c r="C301" s="13"/>
    </row>
    <row r="302" spans="1:3" ht="13" x14ac:dyDescent="0.15">
      <c r="A302" s="10"/>
      <c r="B302" s="13"/>
      <c r="C302" s="13"/>
    </row>
    <row r="303" spans="1:3" ht="13" x14ac:dyDescent="0.15">
      <c r="A303" s="10"/>
      <c r="B303" s="13"/>
      <c r="C303" s="13"/>
    </row>
    <row r="304" spans="1:3" ht="13" x14ac:dyDescent="0.15">
      <c r="A304" s="10"/>
      <c r="B304" s="13"/>
      <c r="C304" s="13"/>
    </row>
    <row r="305" spans="1:3" ht="13" x14ac:dyDescent="0.15">
      <c r="A305" s="10"/>
      <c r="B305" s="13"/>
      <c r="C305" s="13"/>
    </row>
    <row r="306" spans="1:3" ht="13" x14ac:dyDescent="0.15">
      <c r="A306" s="10"/>
      <c r="B306" s="13"/>
      <c r="C306" s="13"/>
    </row>
    <row r="307" spans="1:3" ht="13" x14ac:dyDescent="0.15">
      <c r="A307" s="10"/>
      <c r="B307" s="13"/>
      <c r="C307" s="13"/>
    </row>
    <row r="308" spans="1:3" ht="13" x14ac:dyDescent="0.15">
      <c r="A308" s="10"/>
      <c r="B308" s="13"/>
      <c r="C308" s="13"/>
    </row>
    <row r="309" spans="1:3" ht="13" x14ac:dyDescent="0.15">
      <c r="A309" s="10"/>
      <c r="B309" s="13"/>
      <c r="C309" s="13"/>
    </row>
    <row r="310" spans="1:3" ht="13" x14ac:dyDescent="0.15">
      <c r="A310" s="10"/>
      <c r="B310" s="13"/>
      <c r="C310" s="13"/>
    </row>
    <row r="311" spans="1:3" ht="13" x14ac:dyDescent="0.15">
      <c r="A311" s="10"/>
      <c r="B311" s="13"/>
      <c r="C311" s="13"/>
    </row>
    <row r="312" spans="1:3" ht="13" x14ac:dyDescent="0.15">
      <c r="A312" s="10"/>
      <c r="B312" s="13"/>
      <c r="C312" s="13"/>
    </row>
    <row r="313" spans="1:3" ht="13" x14ac:dyDescent="0.15">
      <c r="A313" s="10"/>
      <c r="B313" s="13"/>
      <c r="C313" s="13"/>
    </row>
    <row r="314" spans="1:3" ht="13" x14ac:dyDescent="0.15">
      <c r="A314" s="10"/>
      <c r="B314" s="13"/>
      <c r="C314" s="13"/>
    </row>
    <row r="315" spans="1:3" ht="13" x14ac:dyDescent="0.15">
      <c r="A315" s="10"/>
      <c r="B315" s="13"/>
      <c r="C315" s="13"/>
    </row>
    <row r="316" spans="1:3" ht="13" x14ac:dyDescent="0.15">
      <c r="A316" s="10"/>
      <c r="B316" s="13"/>
      <c r="C316" s="13"/>
    </row>
    <row r="317" spans="1:3" ht="13" x14ac:dyDescent="0.15">
      <c r="A317" s="10"/>
      <c r="B317" s="13"/>
      <c r="C317" s="13"/>
    </row>
    <row r="318" spans="1:3" ht="13" x14ac:dyDescent="0.15">
      <c r="A318" s="10"/>
      <c r="B318" s="13"/>
      <c r="C318" s="13"/>
    </row>
    <row r="319" spans="1:3" ht="13" x14ac:dyDescent="0.15">
      <c r="A319" s="10"/>
      <c r="B319" s="13"/>
      <c r="C319" s="13"/>
    </row>
    <row r="320" spans="1:3" ht="13" x14ac:dyDescent="0.15">
      <c r="A320" s="10"/>
      <c r="B320" s="13"/>
      <c r="C320" s="13"/>
    </row>
    <row r="321" spans="1:3" ht="13" x14ac:dyDescent="0.15">
      <c r="A321" s="10"/>
      <c r="B321" s="13"/>
      <c r="C321" s="13"/>
    </row>
    <row r="322" spans="1:3" ht="13" x14ac:dyDescent="0.15">
      <c r="A322" s="10"/>
      <c r="B322" s="13"/>
      <c r="C322" s="13"/>
    </row>
    <row r="323" spans="1:3" ht="13" x14ac:dyDescent="0.15">
      <c r="A323" s="10"/>
      <c r="B323" s="13"/>
      <c r="C323" s="13"/>
    </row>
    <row r="324" spans="1:3" ht="13" x14ac:dyDescent="0.15">
      <c r="A324" s="10"/>
      <c r="B324" s="13"/>
      <c r="C324" s="13"/>
    </row>
    <row r="325" spans="1:3" ht="13" x14ac:dyDescent="0.15">
      <c r="A325" s="10"/>
      <c r="B325" s="13"/>
      <c r="C325" s="13"/>
    </row>
    <row r="326" spans="1:3" ht="13" x14ac:dyDescent="0.15">
      <c r="A326" s="10"/>
      <c r="B326" s="13"/>
      <c r="C326" s="13"/>
    </row>
    <row r="327" spans="1:3" ht="13" x14ac:dyDescent="0.15">
      <c r="A327" s="10"/>
      <c r="B327" s="13"/>
      <c r="C327" s="13"/>
    </row>
    <row r="328" spans="1:3" ht="13" x14ac:dyDescent="0.15">
      <c r="A328" s="10"/>
      <c r="B328" s="13"/>
      <c r="C328" s="13"/>
    </row>
    <row r="329" spans="1:3" ht="13" x14ac:dyDescent="0.15">
      <c r="A329" s="10"/>
      <c r="B329" s="13"/>
      <c r="C329" s="13"/>
    </row>
    <row r="330" spans="1:3" ht="13" x14ac:dyDescent="0.15">
      <c r="A330" s="10"/>
      <c r="B330" s="13"/>
      <c r="C330" s="13"/>
    </row>
    <row r="331" spans="1:3" ht="13" x14ac:dyDescent="0.15">
      <c r="A331" s="10"/>
      <c r="B331" s="13"/>
      <c r="C331" s="13"/>
    </row>
    <row r="332" spans="1:3" ht="13" x14ac:dyDescent="0.15">
      <c r="A332" s="10"/>
      <c r="B332" s="13"/>
      <c r="C332" s="13"/>
    </row>
    <row r="333" spans="1:3" ht="13" x14ac:dyDescent="0.15">
      <c r="A333" s="10"/>
      <c r="B333" s="13"/>
      <c r="C333" s="13"/>
    </row>
    <row r="334" spans="1:3" ht="13" x14ac:dyDescent="0.15">
      <c r="A334" s="10"/>
      <c r="B334" s="13"/>
      <c r="C334" s="13"/>
    </row>
    <row r="335" spans="1:3" ht="13" x14ac:dyDescent="0.15">
      <c r="A335" s="10"/>
      <c r="B335" s="13"/>
      <c r="C335" s="13"/>
    </row>
    <row r="336" spans="1:3" ht="13" x14ac:dyDescent="0.15">
      <c r="A336" s="10"/>
      <c r="B336" s="13"/>
      <c r="C336" s="13"/>
    </row>
    <row r="337" spans="1:3" ht="13" x14ac:dyDescent="0.15">
      <c r="A337" s="10"/>
      <c r="B337" s="13"/>
      <c r="C337" s="13"/>
    </row>
    <row r="338" spans="1:3" ht="13" x14ac:dyDescent="0.15">
      <c r="A338" s="10"/>
      <c r="B338" s="13"/>
      <c r="C338" s="13"/>
    </row>
    <row r="339" spans="1:3" ht="13" x14ac:dyDescent="0.15">
      <c r="A339" s="10"/>
      <c r="B339" s="13"/>
      <c r="C339" s="13"/>
    </row>
    <row r="340" spans="1:3" ht="13" x14ac:dyDescent="0.15">
      <c r="A340" s="10"/>
      <c r="B340" s="13"/>
      <c r="C340" s="13"/>
    </row>
    <row r="341" spans="1:3" ht="13" x14ac:dyDescent="0.15">
      <c r="A341" s="10"/>
      <c r="B341" s="13"/>
      <c r="C341" s="13"/>
    </row>
    <row r="342" spans="1:3" ht="13" x14ac:dyDescent="0.15">
      <c r="A342" s="10"/>
      <c r="B342" s="13"/>
      <c r="C342" s="13"/>
    </row>
    <row r="343" spans="1:3" ht="13" x14ac:dyDescent="0.15">
      <c r="A343" s="10"/>
      <c r="B343" s="13"/>
      <c r="C343" s="13"/>
    </row>
    <row r="344" spans="1:3" ht="13" x14ac:dyDescent="0.15">
      <c r="A344" s="10"/>
      <c r="B344" s="13"/>
      <c r="C344" s="13"/>
    </row>
    <row r="345" spans="1:3" ht="13" x14ac:dyDescent="0.15">
      <c r="A345" s="10"/>
      <c r="B345" s="13"/>
      <c r="C345" s="13"/>
    </row>
    <row r="346" spans="1:3" ht="13" x14ac:dyDescent="0.15">
      <c r="A346" s="10"/>
      <c r="B346" s="13"/>
      <c r="C346" s="13"/>
    </row>
    <row r="347" spans="1:3" ht="13" x14ac:dyDescent="0.15">
      <c r="A347" s="10"/>
      <c r="B347" s="13"/>
      <c r="C347" s="13"/>
    </row>
    <row r="348" spans="1:3" ht="13" x14ac:dyDescent="0.15">
      <c r="A348" s="10"/>
      <c r="B348" s="13"/>
      <c r="C348" s="13"/>
    </row>
    <row r="349" spans="1:3" ht="13" x14ac:dyDescent="0.15">
      <c r="A349" s="10"/>
      <c r="B349" s="13"/>
      <c r="C349" s="13"/>
    </row>
    <row r="350" spans="1:3" ht="13" x14ac:dyDescent="0.15">
      <c r="A350" s="10"/>
      <c r="B350" s="13"/>
      <c r="C350" s="13"/>
    </row>
    <row r="351" spans="1:3" ht="13" x14ac:dyDescent="0.15">
      <c r="A351" s="10"/>
      <c r="B351" s="13"/>
      <c r="C351" s="13"/>
    </row>
    <row r="352" spans="1:3" ht="13" x14ac:dyDescent="0.15">
      <c r="A352" s="10"/>
      <c r="B352" s="13"/>
      <c r="C352" s="13"/>
    </row>
    <row r="353" spans="1:3" ht="13" x14ac:dyDescent="0.15">
      <c r="A353" s="10"/>
      <c r="B353" s="13"/>
      <c r="C353" s="13"/>
    </row>
    <row r="354" spans="1:3" ht="13" x14ac:dyDescent="0.15">
      <c r="A354" s="10"/>
      <c r="B354" s="13"/>
      <c r="C354" s="13"/>
    </row>
    <row r="355" spans="1:3" ht="13" x14ac:dyDescent="0.15">
      <c r="A355" s="10"/>
      <c r="B355" s="13"/>
      <c r="C355" s="13"/>
    </row>
    <row r="356" spans="1:3" ht="13" x14ac:dyDescent="0.15">
      <c r="A356" s="10"/>
      <c r="B356" s="13"/>
      <c r="C356" s="13"/>
    </row>
    <row r="357" spans="1:3" ht="13" x14ac:dyDescent="0.15">
      <c r="A357" s="10"/>
      <c r="B357" s="13"/>
      <c r="C357" s="13"/>
    </row>
    <row r="358" spans="1:3" ht="13" x14ac:dyDescent="0.15">
      <c r="A358" s="10"/>
      <c r="B358" s="13"/>
      <c r="C358" s="13"/>
    </row>
    <row r="359" spans="1:3" ht="13" x14ac:dyDescent="0.15">
      <c r="A359" s="10"/>
      <c r="B359" s="13"/>
      <c r="C359" s="13"/>
    </row>
    <row r="360" spans="1:3" ht="13" x14ac:dyDescent="0.15">
      <c r="A360" s="10"/>
      <c r="B360" s="13"/>
      <c r="C360" s="13"/>
    </row>
    <row r="361" spans="1:3" ht="13" x14ac:dyDescent="0.15">
      <c r="A361" s="10"/>
      <c r="B361" s="13"/>
      <c r="C361" s="13"/>
    </row>
    <row r="362" spans="1:3" ht="13" x14ac:dyDescent="0.15">
      <c r="A362" s="10"/>
      <c r="B362" s="13"/>
      <c r="C362" s="13"/>
    </row>
    <row r="363" spans="1:3" ht="13" x14ac:dyDescent="0.15">
      <c r="A363" s="10"/>
      <c r="B363" s="13"/>
      <c r="C363" s="13"/>
    </row>
    <row r="364" spans="1:3" ht="13" x14ac:dyDescent="0.15">
      <c r="A364" s="10"/>
      <c r="B364" s="13"/>
      <c r="C364" s="13"/>
    </row>
    <row r="365" spans="1:3" ht="13" x14ac:dyDescent="0.15">
      <c r="A365" s="10"/>
      <c r="B365" s="13"/>
      <c r="C365" s="13"/>
    </row>
    <row r="366" spans="1:3" ht="13" x14ac:dyDescent="0.15">
      <c r="A366" s="10"/>
      <c r="B366" s="13"/>
      <c r="C366" s="13"/>
    </row>
    <row r="367" spans="1:3" ht="13" x14ac:dyDescent="0.15">
      <c r="A367" s="10"/>
      <c r="B367" s="13"/>
      <c r="C367" s="13"/>
    </row>
    <row r="368" spans="1:3" ht="13" x14ac:dyDescent="0.15">
      <c r="A368" s="10"/>
      <c r="B368" s="13"/>
      <c r="C368" s="13"/>
    </row>
    <row r="369" spans="1:3" ht="13" x14ac:dyDescent="0.15">
      <c r="A369" s="10"/>
      <c r="B369" s="13"/>
      <c r="C369" s="13"/>
    </row>
    <row r="370" spans="1:3" ht="13" x14ac:dyDescent="0.15">
      <c r="A370" s="10"/>
      <c r="B370" s="13"/>
      <c r="C370" s="13"/>
    </row>
    <row r="371" spans="1:3" ht="13" x14ac:dyDescent="0.15">
      <c r="A371" s="10"/>
      <c r="B371" s="13"/>
      <c r="C371" s="13"/>
    </row>
    <row r="372" spans="1:3" ht="13" x14ac:dyDescent="0.15">
      <c r="A372" s="10"/>
      <c r="B372" s="13"/>
      <c r="C372" s="13"/>
    </row>
    <row r="373" spans="1:3" ht="13" x14ac:dyDescent="0.15">
      <c r="A373" s="10"/>
      <c r="B373" s="13"/>
      <c r="C373" s="13"/>
    </row>
    <row r="374" spans="1:3" ht="13" x14ac:dyDescent="0.15">
      <c r="A374" s="10"/>
      <c r="B374" s="13"/>
      <c r="C374" s="13"/>
    </row>
    <row r="375" spans="1:3" ht="13" x14ac:dyDescent="0.15">
      <c r="A375" s="10"/>
      <c r="B375" s="13"/>
      <c r="C375" s="13"/>
    </row>
    <row r="376" spans="1:3" ht="13" x14ac:dyDescent="0.15">
      <c r="A376" s="10"/>
      <c r="B376" s="13"/>
      <c r="C376" s="13"/>
    </row>
    <row r="377" spans="1:3" ht="13" x14ac:dyDescent="0.15">
      <c r="A377" s="10"/>
      <c r="B377" s="13"/>
      <c r="C377" s="13"/>
    </row>
    <row r="378" spans="1:3" ht="13" x14ac:dyDescent="0.15">
      <c r="A378" s="10"/>
      <c r="B378" s="13"/>
      <c r="C378" s="13"/>
    </row>
    <row r="379" spans="1:3" ht="13" x14ac:dyDescent="0.15">
      <c r="A379" s="10"/>
      <c r="B379" s="13"/>
      <c r="C379" s="13"/>
    </row>
    <row r="380" spans="1:3" ht="13" x14ac:dyDescent="0.15">
      <c r="A380" s="10"/>
      <c r="B380" s="13"/>
      <c r="C380" s="13"/>
    </row>
    <row r="381" spans="1:3" ht="13" x14ac:dyDescent="0.15">
      <c r="A381" s="10"/>
      <c r="B381" s="13"/>
      <c r="C381" s="13"/>
    </row>
    <row r="382" spans="1:3" ht="13" x14ac:dyDescent="0.15">
      <c r="A382" s="10"/>
      <c r="B382" s="13"/>
      <c r="C382" s="13"/>
    </row>
    <row r="383" spans="1:3" ht="13" x14ac:dyDescent="0.15">
      <c r="A383" s="10"/>
      <c r="B383" s="13"/>
      <c r="C383" s="13"/>
    </row>
    <row r="384" spans="1:3" ht="13" x14ac:dyDescent="0.15">
      <c r="A384" s="10"/>
      <c r="B384" s="13"/>
      <c r="C384" s="13"/>
    </row>
    <row r="385" spans="1:3" ht="13" x14ac:dyDescent="0.15">
      <c r="A385" s="10"/>
      <c r="B385" s="13"/>
      <c r="C385" s="13"/>
    </row>
    <row r="386" spans="1:3" ht="13" x14ac:dyDescent="0.15">
      <c r="A386" s="10"/>
      <c r="B386" s="13"/>
      <c r="C386" s="13"/>
    </row>
    <row r="387" spans="1:3" ht="13" x14ac:dyDescent="0.15">
      <c r="A387" s="10"/>
      <c r="B387" s="13"/>
      <c r="C387" s="13"/>
    </row>
    <row r="388" spans="1:3" ht="13" x14ac:dyDescent="0.15">
      <c r="A388" s="10"/>
      <c r="B388" s="13"/>
      <c r="C388" s="13"/>
    </row>
    <row r="389" spans="1:3" ht="13" x14ac:dyDescent="0.15">
      <c r="A389" s="10"/>
      <c r="B389" s="13"/>
      <c r="C389" s="13"/>
    </row>
    <row r="390" spans="1:3" ht="13" x14ac:dyDescent="0.15">
      <c r="A390" s="10"/>
      <c r="B390" s="13"/>
      <c r="C390" s="13"/>
    </row>
    <row r="391" spans="1:3" ht="13" x14ac:dyDescent="0.15">
      <c r="A391" s="10"/>
      <c r="B391" s="13"/>
      <c r="C391" s="13"/>
    </row>
    <row r="392" spans="1:3" ht="13" x14ac:dyDescent="0.15">
      <c r="A392" s="10"/>
      <c r="B392" s="13"/>
      <c r="C392" s="13"/>
    </row>
    <row r="393" spans="1:3" ht="13" x14ac:dyDescent="0.15">
      <c r="A393" s="10"/>
      <c r="B393" s="13"/>
      <c r="C393" s="13"/>
    </row>
    <row r="394" spans="1:3" ht="13" x14ac:dyDescent="0.15">
      <c r="A394" s="10"/>
      <c r="B394" s="13"/>
      <c r="C394" s="13"/>
    </row>
    <row r="395" spans="1:3" ht="13" x14ac:dyDescent="0.15">
      <c r="A395" s="10"/>
      <c r="B395" s="13"/>
      <c r="C395" s="13"/>
    </row>
    <row r="396" spans="1:3" ht="13" x14ac:dyDescent="0.15">
      <c r="A396" s="10"/>
      <c r="B396" s="13"/>
      <c r="C396" s="13"/>
    </row>
    <row r="397" spans="1:3" ht="13" x14ac:dyDescent="0.15">
      <c r="A397" s="10"/>
      <c r="B397" s="13"/>
      <c r="C397" s="13"/>
    </row>
    <row r="398" spans="1:3" ht="13" x14ac:dyDescent="0.15">
      <c r="A398" s="10"/>
      <c r="B398" s="13"/>
      <c r="C398" s="13"/>
    </row>
    <row r="399" spans="1:3" ht="13" x14ac:dyDescent="0.15">
      <c r="A399" s="10"/>
      <c r="B399" s="13"/>
      <c r="C399" s="13"/>
    </row>
    <row r="400" spans="1:3" ht="13" x14ac:dyDescent="0.15">
      <c r="A400" s="10"/>
      <c r="B400" s="13"/>
      <c r="C400" s="13"/>
    </row>
    <row r="401" spans="1:3" ht="13" x14ac:dyDescent="0.15">
      <c r="A401" s="10"/>
      <c r="B401" s="13"/>
      <c r="C401" s="13"/>
    </row>
    <row r="402" spans="1:3" ht="13" x14ac:dyDescent="0.15">
      <c r="A402" s="10"/>
      <c r="B402" s="13"/>
      <c r="C402" s="13"/>
    </row>
    <row r="403" spans="1:3" ht="13" x14ac:dyDescent="0.15">
      <c r="A403" s="10"/>
      <c r="B403" s="13"/>
      <c r="C403" s="13"/>
    </row>
    <row r="404" spans="1:3" ht="13" x14ac:dyDescent="0.15">
      <c r="A404" s="10"/>
      <c r="B404" s="13"/>
      <c r="C404" s="13"/>
    </row>
    <row r="405" spans="1:3" ht="13" x14ac:dyDescent="0.15">
      <c r="A405" s="10"/>
      <c r="B405" s="13"/>
      <c r="C405" s="13"/>
    </row>
    <row r="406" spans="1:3" ht="13" x14ac:dyDescent="0.15">
      <c r="A406" s="10"/>
      <c r="B406" s="13"/>
      <c r="C406" s="13"/>
    </row>
    <row r="407" spans="1:3" ht="13" x14ac:dyDescent="0.15">
      <c r="A407" s="10"/>
      <c r="B407" s="13"/>
      <c r="C407" s="13"/>
    </row>
    <row r="408" spans="1:3" ht="13" x14ac:dyDescent="0.15">
      <c r="A408" s="10"/>
      <c r="B408" s="13"/>
      <c r="C408" s="13"/>
    </row>
    <row r="409" spans="1:3" ht="13" x14ac:dyDescent="0.15">
      <c r="A409" s="10"/>
      <c r="B409" s="13"/>
      <c r="C409" s="13"/>
    </row>
    <row r="410" spans="1:3" ht="13" x14ac:dyDescent="0.15">
      <c r="A410" s="10"/>
      <c r="B410" s="13"/>
      <c r="C410" s="13"/>
    </row>
    <row r="411" spans="1:3" ht="13" x14ac:dyDescent="0.15">
      <c r="A411" s="10"/>
      <c r="B411" s="13"/>
      <c r="C411" s="13"/>
    </row>
    <row r="412" spans="1:3" ht="13" x14ac:dyDescent="0.15">
      <c r="A412" s="10"/>
      <c r="B412" s="13"/>
      <c r="C412" s="13"/>
    </row>
    <row r="413" spans="1:3" ht="13" x14ac:dyDescent="0.15">
      <c r="A413" s="10"/>
      <c r="B413" s="13"/>
      <c r="C413" s="13"/>
    </row>
    <row r="414" spans="1:3" ht="13" x14ac:dyDescent="0.15">
      <c r="A414" s="10"/>
      <c r="B414" s="13"/>
      <c r="C414" s="13"/>
    </row>
    <row r="415" spans="1:3" ht="13" x14ac:dyDescent="0.15">
      <c r="A415" s="10"/>
      <c r="B415" s="13"/>
      <c r="C415" s="13"/>
    </row>
    <row r="416" spans="1:3" ht="13" x14ac:dyDescent="0.15">
      <c r="A416" s="10"/>
      <c r="B416" s="13"/>
      <c r="C416" s="13"/>
    </row>
    <row r="417" spans="1:3" ht="13" x14ac:dyDescent="0.15">
      <c r="A417" s="10"/>
      <c r="B417" s="13"/>
      <c r="C417" s="13"/>
    </row>
    <row r="418" spans="1:3" ht="13" x14ac:dyDescent="0.15">
      <c r="A418" s="10"/>
      <c r="B418" s="13"/>
      <c r="C418" s="13"/>
    </row>
    <row r="419" spans="1:3" ht="13" x14ac:dyDescent="0.15">
      <c r="A419" s="10"/>
      <c r="B419" s="13"/>
      <c r="C419" s="13"/>
    </row>
    <row r="420" spans="1:3" ht="13" x14ac:dyDescent="0.15">
      <c r="A420" s="10"/>
      <c r="B420" s="13"/>
      <c r="C420" s="13"/>
    </row>
    <row r="421" spans="1:3" ht="13" x14ac:dyDescent="0.15">
      <c r="A421" s="10"/>
      <c r="B421" s="13"/>
      <c r="C421" s="13"/>
    </row>
    <row r="422" spans="1:3" ht="13" x14ac:dyDescent="0.15">
      <c r="A422" s="10"/>
      <c r="B422" s="13"/>
      <c r="C422" s="13"/>
    </row>
    <row r="423" spans="1:3" ht="13" x14ac:dyDescent="0.15">
      <c r="A423" s="10"/>
      <c r="B423" s="13"/>
      <c r="C423" s="13"/>
    </row>
    <row r="424" spans="1:3" ht="13" x14ac:dyDescent="0.15">
      <c r="A424" s="10"/>
      <c r="B424" s="13"/>
      <c r="C424" s="13"/>
    </row>
    <row r="425" spans="1:3" ht="13" x14ac:dyDescent="0.15">
      <c r="A425" s="10"/>
      <c r="B425" s="13"/>
      <c r="C425" s="13"/>
    </row>
    <row r="426" spans="1:3" ht="13" x14ac:dyDescent="0.15">
      <c r="A426" s="10"/>
      <c r="B426" s="13"/>
      <c r="C426" s="13"/>
    </row>
    <row r="427" spans="1:3" ht="13" x14ac:dyDescent="0.15">
      <c r="A427" s="10"/>
      <c r="B427" s="13"/>
      <c r="C427" s="13"/>
    </row>
    <row r="428" spans="1:3" ht="13" x14ac:dyDescent="0.15">
      <c r="A428" s="10"/>
      <c r="B428" s="13"/>
      <c r="C428" s="13"/>
    </row>
    <row r="429" spans="1:3" ht="13" x14ac:dyDescent="0.15">
      <c r="A429" s="10"/>
      <c r="B429" s="13"/>
      <c r="C429" s="13"/>
    </row>
    <row r="430" spans="1:3" ht="13" x14ac:dyDescent="0.15">
      <c r="A430" s="10"/>
      <c r="B430" s="13"/>
      <c r="C430" s="13"/>
    </row>
    <row r="431" spans="1:3" ht="13" x14ac:dyDescent="0.15">
      <c r="A431" s="10"/>
      <c r="B431" s="13"/>
      <c r="C431" s="13"/>
    </row>
    <row r="432" spans="1:3" ht="13" x14ac:dyDescent="0.15">
      <c r="A432" s="10"/>
      <c r="B432" s="13"/>
      <c r="C432" s="13"/>
    </row>
    <row r="433" spans="1:3" ht="13" x14ac:dyDescent="0.15">
      <c r="A433" s="10"/>
      <c r="B433" s="13"/>
      <c r="C433" s="13"/>
    </row>
    <row r="434" spans="1:3" ht="13" x14ac:dyDescent="0.15">
      <c r="A434" s="10"/>
      <c r="B434" s="13"/>
      <c r="C434" s="13"/>
    </row>
    <row r="435" spans="1:3" ht="13" x14ac:dyDescent="0.15">
      <c r="A435" s="10"/>
      <c r="B435" s="13"/>
      <c r="C435" s="13"/>
    </row>
    <row r="436" spans="1:3" ht="13" x14ac:dyDescent="0.15">
      <c r="A436" s="10"/>
      <c r="B436" s="13"/>
      <c r="C436" s="13"/>
    </row>
    <row r="437" spans="1:3" ht="13" x14ac:dyDescent="0.15">
      <c r="A437" s="10"/>
      <c r="B437" s="13"/>
      <c r="C437" s="13"/>
    </row>
    <row r="438" spans="1:3" ht="13" x14ac:dyDescent="0.15">
      <c r="A438" s="10"/>
      <c r="B438" s="13"/>
      <c r="C438" s="13"/>
    </row>
    <row r="439" spans="1:3" ht="13" x14ac:dyDescent="0.15">
      <c r="A439" s="10"/>
      <c r="B439" s="13"/>
      <c r="C439" s="13"/>
    </row>
    <row r="440" spans="1:3" ht="13" x14ac:dyDescent="0.15">
      <c r="A440" s="10"/>
      <c r="B440" s="13"/>
      <c r="C440" s="13"/>
    </row>
    <row r="441" spans="1:3" ht="13" x14ac:dyDescent="0.15">
      <c r="A441" s="10"/>
      <c r="B441" s="13"/>
      <c r="C441" s="13"/>
    </row>
    <row r="442" spans="1:3" ht="13" x14ac:dyDescent="0.15">
      <c r="A442" s="10"/>
      <c r="B442" s="13"/>
      <c r="C442" s="13"/>
    </row>
    <row r="443" spans="1:3" ht="13" x14ac:dyDescent="0.15">
      <c r="A443" s="10"/>
      <c r="B443" s="13"/>
      <c r="C443" s="13"/>
    </row>
    <row r="444" spans="1:3" ht="13" x14ac:dyDescent="0.15">
      <c r="A444" s="10"/>
      <c r="B444" s="13"/>
      <c r="C444" s="13"/>
    </row>
    <row r="445" spans="1:3" ht="13" x14ac:dyDescent="0.15">
      <c r="A445" s="10"/>
      <c r="B445" s="13"/>
      <c r="C445" s="13"/>
    </row>
    <row r="446" spans="1:3" ht="13" x14ac:dyDescent="0.15">
      <c r="A446" s="10"/>
      <c r="B446" s="13"/>
      <c r="C446" s="13"/>
    </row>
    <row r="447" spans="1:3" ht="13" x14ac:dyDescent="0.15">
      <c r="A447" s="10"/>
      <c r="B447" s="13"/>
      <c r="C447" s="13"/>
    </row>
    <row r="448" spans="1:3" ht="13" x14ac:dyDescent="0.15">
      <c r="A448" s="10"/>
      <c r="B448" s="13"/>
      <c r="C448" s="13"/>
    </row>
    <row r="449" spans="1:3" ht="13" x14ac:dyDescent="0.15">
      <c r="A449" s="10"/>
      <c r="B449" s="13"/>
      <c r="C449" s="13"/>
    </row>
    <row r="450" spans="1:3" ht="13" x14ac:dyDescent="0.15">
      <c r="A450" s="10"/>
      <c r="B450" s="13"/>
      <c r="C450" s="13"/>
    </row>
    <row r="451" spans="1:3" ht="13" x14ac:dyDescent="0.15">
      <c r="A451" s="10"/>
      <c r="B451" s="13"/>
      <c r="C451" s="13"/>
    </row>
    <row r="452" spans="1:3" ht="13" x14ac:dyDescent="0.15">
      <c r="A452" s="10"/>
      <c r="B452" s="13"/>
      <c r="C452" s="13"/>
    </row>
    <row r="453" spans="1:3" ht="13" x14ac:dyDescent="0.15">
      <c r="A453" s="10"/>
      <c r="B453" s="13"/>
      <c r="C453" s="13"/>
    </row>
    <row r="454" spans="1:3" ht="13" x14ac:dyDescent="0.15">
      <c r="A454" s="10"/>
      <c r="B454" s="13"/>
      <c r="C454" s="13"/>
    </row>
    <row r="455" spans="1:3" ht="13" x14ac:dyDescent="0.15">
      <c r="A455" s="10"/>
      <c r="B455" s="13"/>
      <c r="C455" s="13"/>
    </row>
    <row r="456" spans="1:3" ht="13" x14ac:dyDescent="0.15">
      <c r="A456" s="10"/>
      <c r="B456" s="13"/>
      <c r="C456" s="13"/>
    </row>
    <row r="457" spans="1:3" ht="13" x14ac:dyDescent="0.15">
      <c r="A457" s="10"/>
      <c r="B457" s="13"/>
      <c r="C457" s="13"/>
    </row>
    <row r="458" spans="1:3" ht="13" x14ac:dyDescent="0.15">
      <c r="A458" s="10"/>
      <c r="B458" s="13"/>
      <c r="C458" s="13"/>
    </row>
    <row r="459" spans="1:3" ht="13" x14ac:dyDescent="0.15">
      <c r="A459" s="10"/>
      <c r="B459" s="13"/>
      <c r="C459" s="13"/>
    </row>
    <row r="460" spans="1:3" ht="13" x14ac:dyDescent="0.15">
      <c r="A460" s="10"/>
      <c r="B460" s="13"/>
      <c r="C460" s="13"/>
    </row>
    <row r="461" spans="1:3" ht="13" x14ac:dyDescent="0.15">
      <c r="A461" s="10"/>
      <c r="B461" s="13"/>
      <c r="C461" s="13"/>
    </row>
    <row r="462" spans="1:3" ht="13" x14ac:dyDescent="0.15">
      <c r="A462" s="10"/>
      <c r="B462" s="13"/>
      <c r="C462" s="13"/>
    </row>
    <row r="463" spans="1:3" ht="13" x14ac:dyDescent="0.15">
      <c r="A463" s="10"/>
      <c r="B463" s="13"/>
      <c r="C463" s="13"/>
    </row>
    <row r="464" spans="1:3" ht="13" x14ac:dyDescent="0.15">
      <c r="A464" s="10"/>
      <c r="B464" s="13"/>
      <c r="C464" s="13"/>
    </row>
    <row r="465" spans="1:3" ht="13" x14ac:dyDescent="0.15">
      <c r="A465" s="10"/>
      <c r="B465" s="13"/>
      <c r="C465" s="13"/>
    </row>
    <row r="466" spans="1:3" ht="13" x14ac:dyDescent="0.15">
      <c r="A466" s="10"/>
      <c r="B466" s="13"/>
      <c r="C466" s="13"/>
    </row>
    <row r="467" spans="1:3" ht="13" x14ac:dyDescent="0.15">
      <c r="A467" s="10"/>
      <c r="B467" s="13"/>
      <c r="C467" s="13"/>
    </row>
    <row r="468" spans="1:3" ht="13" x14ac:dyDescent="0.15">
      <c r="A468" s="10"/>
      <c r="B468" s="13"/>
      <c r="C468" s="13"/>
    </row>
    <row r="469" spans="1:3" ht="13" x14ac:dyDescent="0.15">
      <c r="A469" s="10"/>
      <c r="B469" s="13"/>
      <c r="C469" s="13"/>
    </row>
    <row r="470" spans="1:3" ht="13" x14ac:dyDescent="0.15">
      <c r="A470" s="10"/>
      <c r="B470" s="13"/>
      <c r="C470" s="13"/>
    </row>
    <row r="471" spans="1:3" ht="13" x14ac:dyDescent="0.15">
      <c r="A471" s="10"/>
      <c r="B471" s="13"/>
      <c r="C471" s="13"/>
    </row>
    <row r="472" spans="1:3" ht="13" x14ac:dyDescent="0.15">
      <c r="A472" s="10"/>
      <c r="B472" s="13"/>
      <c r="C472" s="13"/>
    </row>
    <row r="473" spans="1:3" ht="13" x14ac:dyDescent="0.15">
      <c r="A473" s="10"/>
      <c r="B473" s="13"/>
      <c r="C473" s="13"/>
    </row>
    <row r="474" spans="1:3" ht="13" x14ac:dyDescent="0.15">
      <c r="A474" s="10"/>
      <c r="B474" s="13"/>
      <c r="C474" s="13"/>
    </row>
    <row r="475" spans="1:3" ht="13" x14ac:dyDescent="0.15">
      <c r="A475" s="10"/>
      <c r="B475" s="13"/>
      <c r="C475" s="13"/>
    </row>
    <row r="476" spans="1:3" ht="13" x14ac:dyDescent="0.15">
      <c r="A476" s="10"/>
      <c r="B476" s="13"/>
      <c r="C476" s="13"/>
    </row>
    <row r="477" spans="1:3" ht="13" x14ac:dyDescent="0.15">
      <c r="A477" s="10"/>
      <c r="B477" s="13"/>
      <c r="C477" s="13"/>
    </row>
    <row r="478" spans="1:3" ht="13" x14ac:dyDescent="0.15">
      <c r="A478" s="10"/>
      <c r="B478" s="13"/>
      <c r="C478" s="13"/>
    </row>
    <row r="479" spans="1:3" ht="13" x14ac:dyDescent="0.15">
      <c r="A479" s="10"/>
      <c r="B479" s="13"/>
      <c r="C479" s="13"/>
    </row>
    <row r="480" spans="1:3" ht="13" x14ac:dyDescent="0.15">
      <c r="A480" s="10"/>
      <c r="B480" s="13"/>
      <c r="C480" s="13"/>
    </row>
    <row r="481" spans="1:3" ht="13" x14ac:dyDescent="0.15">
      <c r="A481" s="10"/>
      <c r="B481" s="13"/>
      <c r="C481" s="13"/>
    </row>
    <row r="482" spans="1:3" ht="13" x14ac:dyDescent="0.15">
      <c r="A482" s="10"/>
      <c r="B482" s="13"/>
      <c r="C482" s="13"/>
    </row>
    <row r="483" spans="1:3" ht="13" x14ac:dyDescent="0.15">
      <c r="A483" s="10"/>
      <c r="B483" s="13"/>
      <c r="C483" s="13"/>
    </row>
    <row r="484" spans="1:3" ht="13" x14ac:dyDescent="0.15">
      <c r="A484" s="10"/>
      <c r="B484" s="13"/>
      <c r="C484" s="13"/>
    </row>
    <row r="485" spans="1:3" ht="13" x14ac:dyDescent="0.15">
      <c r="A485" s="10"/>
      <c r="B485" s="13"/>
      <c r="C485" s="13"/>
    </row>
    <row r="486" spans="1:3" ht="13" x14ac:dyDescent="0.15">
      <c r="A486" s="10"/>
      <c r="B486" s="13"/>
      <c r="C486" s="13"/>
    </row>
    <row r="487" spans="1:3" ht="13" x14ac:dyDescent="0.15">
      <c r="A487" s="10"/>
      <c r="B487" s="13"/>
      <c r="C487" s="13"/>
    </row>
    <row r="488" spans="1:3" ht="13" x14ac:dyDescent="0.15">
      <c r="A488" s="10"/>
      <c r="B488" s="13"/>
      <c r="C488" s="13"/>
    </row>
    <row r="489" spans="1:3" ht="13" x14ac:dyDescent="0.15">
      <c r="A489" s="10"/>
      <c r="B489" s="13"/>
      <c r="C489" s="13"/>
    </row>
    <row r="490" spans="1:3" ht="13" x14ac:dyDescent="0.15">
      <c r="A490" s="10"/>
      <c r="B490" s="13"/>
      <c r="C490" s="13"/>
    </row>
    <row r="491" spans="1:3" ht="13" x14ac:dyDescent="0.15">
      <c r="A491" s="10"/>
      <c r="B491" s="13"/>
      <c r="C491" s="13"/>
    </row>
    <row r="492" spans="1:3" ht="13" x14ac:dyDescent="0.15">
      <c r="A492" s="10"/>
      <c r="B492" s="13"/>
      <c r="C492" s="13"/>
    </row>
    <row r="493" spans="1:3" ht="13" x14ac:dyDescent="0.15">
      <c r="A493" s="10"/>
      <c r="B493" s="13"/>
      <c r="C493" s="13"/>
    </row>
    <row r="494" spans="1:3" ht="13" x14ac:dyDescent="0.15">
      <c r="A494" s="10"/>
      <c r="B494" s="13"/>
      <c r="C494" s="13"/>
    </row>
    <row r="495" spans="1:3" ht="13" x14ac:dyDescent="0.15">
      <c r="A495" s="10"/>
      <c r="B495" s="13"/>
      <c r="C495" s="13"/>
    </row>
    <row r="496" spans="1:3" ht="13" x14ac:dyDescent="0.15">
      <c r="A496" s="10"/>
      <c r="B496" s="13"/>
      <c r="C496" s="13"/>
    </row>
    <row r="497" spans="1:3" ht="13" x14ac:dyDescent="0.15">
      <c r="A497" s="10"/>
      <c r="B497" s="13"/>
      <c r="C497" s="13"/>
    </row>
    <row r="498" spans="1:3" ht="13" x14ac:dyDescent="0.15">
      <c r="A498" s="10"/>
      <c r="B498" s="13"/>
      <c r="C498" s="13"/>
    </row>
    <row r="499" spans="1:3" ht="13" x14ac:dyDescent="0.15">
      <c r="A499" s="10"/>
      <c r="B499" s="13"/>
      <c r="C499" s="13"/>
    </row>
    <row r="500" spans="1:3" ht="13" x14ac:dyDescent="0.15">
      <c r="A500" s="10"/>
      <c r="B500" s="13"/>
      <c r="C500" s="13"/>
    </row>
    <row r="501" spans="1:3" ht="13" x14ac:dyDescent="0.15">
      <c r="A501" s="10"/>
      <c r="B501" s="13"/>
      <c r="C501" s="13"/>
    </row>
    <row r="502" spans="1:3" ht="13" x14ac:dyDescent="0.15">
      <c r="A502" s="10"/>
      <c r="B502" s="13"/>
      <c r="C502" s="13"/>
    </row>
    <row r="503" spans="1:3" ht="13" x14ac:dyDescent="0.15">
      <c r="A503" s="10"/>
      <c r="B503" s="13"/>
      <c r="C503" s="13"/>
    </row>
    <row r="504" spans="1:3" ht="13" x14ac:dyDescent="0.15">
      <c r="A504" s="10"/>
      <c r="B504" s="13"/>
      <c r="C504" s="13"/>
    </row>
    <row r="505" spans="1:3" ht="13" x14ac:dyDescent="0.15">
      <c r="A505" s="10"/>
      <c r="B505" s="13"/>
      <c r="C505" s="13"/>
    </row>
    <row r="506" spans="1:3" ht="13" x14ac:dyDescent="0.15">
      <c r="A506" s="10"/>
      <c r="B506" s="13"/>
      <c r="C506" s="13"/>
    </row>
    <row r="507" spans="1:3" ht="13" x14ac:dyDescent="0.15">
      <c r="A507" s="10"/>
      <c r="B507" s="13"/>
      <c r="C507" s="13"/>
    </row>
    <row r="508" spans="1:3" ht="13" x14ac:dyDescent="0.15">
      <c r="A508" s="10"/>
      <c r="B508" s="13"/>
      <c r="C508" s="13"/>
    </row>
    <row r="509" spans="1:3" ht="13" x14ac:dyDescent="0.15">
      <c r="A509" s="10"/>
      <c r="B509" s="13"/>
      <c r="C509" s="13"/>
    </row>
    <row r="510" spans="1:3" ht="13" x14ac:dyDescent="0.15">
      <c r="A510" s="10"/>
      <c r="B510" s="13"/>
      <c r="C510" s="13"/>
    </row>
    <row r="511" spans="1:3" ht="13" x14ac:dyDescent="0.15">
      <c r="A511" s="10"/>
      <c r="B511" s="13"/>
      <c r="C511" s="13"/>
    </row>
    <row r="512" spans="1:3" ht="13" x14ac:dyDescent="0.15">
      <c r="A512" s="10"/>
      <c r="B512" s="13"/>
      <c r="C512" s="13"/>
    </row>
    <row r="513" spans="1:3" ht="13" x14ac:dyDescent="0.15">
      <c r="A513" s="10"/>
      <c r="B513" s="13"/>
      <c r="C513" s="13"/>
    </row>
    <row r="514" spans="1:3" ht="13" x14ac:dyDescent="0.15">
      <c r="A514" s="10"/>
      <c r="B514" s="13"/>
      <c r="C514" s="13"/>
    </row>
    <row r="515" spans="1:3" ht="13" x14ac:dyDescent="0.15">
      <c r="A515" s="10"/>
      <c r="B515" s="13"/>
      <c r="C515" s="13"/>
    </row>
    <row r="516" spans="1:3" ht="13" x14ac:dyDescent="0.15">
      <c r="A516" s="10"/>
      <c r="B516" s="13"/>
      <c r="C516" s="13"/>
    </row>
    <row r="517" spans="1:3" ht="13" x14ac:dyDescent="0.15">
      <c r="A517" s="10"/>
      <c r="B517" s="13"/>
      <c r="C517" s="13"/>
    </row>
    <row r="518" spans="1:3" ht="13" x14ac:dyDescent="0.15">
      <c r="A518" s="10"/>
      <c r="B518" s="13"/>
      <c r="C518" s="13"/>
    </row>
    <row r="519" spans="1:3" ht="13" x14ac:dyDescent="0.15">
      <c r="A519" s="10"/>
      <c r="B519" s="13"/>
      <c r="C519" s="13"/>
    </row>
    <row r="520" spans="1:3" ht="13" x14ac:dyDescent="0.15">
      <c r="A520" s="10"/>
      <c r="B520" s="13"/>
      <c r="C520" s="13"/>
    </row>
    <row r="521" spans="1:3" ht="13" x14ac:dyDescent="0.15">
      <c r="A521" s="10"/>
      <c r="B521" s="13"/>
      <c r="C521" s="13"/>
    </row>
    <row r="522" spans="1:3" ht="13" x14ac:dyDescent="0.15">
      <c r="A522" s="10"/>
      <c r="B522" s="13"/>
      <c r="C522" s="13"/>
    </row>
    <row r="523" spans="1:3" ht="13" x14ac:dyDescent="0.15">
      <c r="A523" s="10"/>
      <c r="B523" s="13"/>
      <c r="C523" s="13"/>
    </row>
    <row r="524" spans="1:3" ht="13" x14ac:dyDescent="0.15">
      <c r="A524" s="10"/>
      <c r="B524" s="13"/>
      <c r="C524" s="13"/>
    </row>
    <row r="525" spans="1:3" ht="13" x14ac:dyDescent="0.15">
      <c r="A525" s="10"/>
      <c r="B525" s="13"/>
      <c r="C525" s="13"/>
    </row>
    <row r="526" spans="1:3" ht="13" x14ac:dyDescent="0.15">
      <c r="A526" s="10"/>
      <c r="B526" s="13"/>
      <c r="C526" s="13"/>
    </row>
    <row r="527" spans="1:3" ht="13" x14ac:dyDescent="0.15">
      <c r="A527" s="10"/>
      <c r="B527" s="13"/>
      <c r="C527" s="13"/>
    </row>
    <row r="528" spans="1:3" ht="13" x14ac:dyDescent="0.15">
      <c r="A528" s="10"/>
      <c r="B528" s="13"/>
      <c r="C528" s="13"/>
    </row>
    <row r="529" spans="1:3" ht="13" x14ac:dyDescent="0.15">
      <c r="A529" s="10"/>
      <c r="B529" s="13"/>
      <c r="C529" s="13"/>
    </row>
    <row r="530" spans="1:3" ht="13" x14ac:dyDescent="0.15">
      <c r="A530" s="10"/>
      <c r="B530" s="13"/>
      <c r="C530" s="13"/>
    </row>
    <row r="531" spans="1:3" ht="13" x14ac:dyDescent="0.15">
      <c r="A531" s="10"/>
      <c r="B531" s="13"/>
      <c r="C531" s="13"/>
    </row>
    <row r="532" spans="1:3" ht="13" x14ac:dyDescent="0.15">
      <c r="A532" s="10"/>
      <c r="B532" s="13"/>
      <c r="C532" s="13"/>
    </row>
    <row r="533" spans="1:3" ht="13" x14ac:dyDescent="0.15">
      <c r="A533" s="10"/>
      <c r="B533" s="13"/>
      <c r="C533" s="13"/>
    </row>
    <row r="534" spans="1:3" ht="13" x14ac:dyDescent="0.15">
      <c r="A534" s="10"/>
      <c r="B534" s="13"/>
      <c r="C534" s="13"/>
    </row>
    <row r="535" spans="1:3" ht="13" x14ac:dyDescent="0.15">
      <c r="A535" s="10"/>
      <c r="B535" s="13"/>
      <c r="C535" s="13"/>
    </row>
    <row r="536" spans="1:3" ht="13" x14ac:dyDescent="0.15">
      <c r="A536" s="10"/>
      <c r="B536" s="13"/>
      <c r="C536" s="13"/>
    </row>
    <row r="537" spans="1:3" ht="13" x14ac:dyDescent="0.15">
      <c r="A537" s="10"/>
      <c r="B537" s="13"/>
      <c r="C537" s="13"/>
    </row>
    <row r="538" spans="1:3" ht="13" x14ac:dyDescent="0.15">
      <c r="A538" s="10"/>
      <c r="B538" s="13"/>
      <c r="C538" s="13"/>
    </row>
    <row r="539" spans="1:3" ht="13" x14ac:dyDescent="0.15">
      <c r="A539" s="10"/>
      <c r="B539" s="13"/>
      <c r="C539" s="13"/>
    </row>
    <row r="540" spans="1:3" ht="13" x14ac:dyDescent="0.15">
      <c r="A540" s="10"/>
      <c r="B540" s="13"/>
      <c r="C540" s="13"/>
    </row>
    <row r="541" spans="1:3" ht="13" x14ac:dyDescent="0.15">
      <c r="A541" s="10"/>
      <c r="B541" s="13"/>
      <c r="C541" s="13"/>
    </row>
    <row r="542" spans="1:3" ht="13" x14ac:dyDescent="0.15">
      <c r="A542" s="10"/>
      <c r="B542" s="13"/>
      <c r="C542" s="13"/>
    </row>
    <row r="543" spans="1:3" ht="13" x14ac:dyDescent="0.15">
      <c r="A543" s="10"/>
      <c r="B543" s="13"/>
      <c r="C543" s="13"/>
    </row>
    <row r="544" spans="1:3" ht="13" x14ac:dyDescent="0.15">
      <c r="A544" s="10"/>
      <c r="B544" s="13"/>
      <c r="C544" s="13"/>
    </row>
    <row r="545" spans="1:3" ht="13" x14ac:dyDescent="0.15">
      <c r="A545" s="10"/>
      <c r="B545" s="13"/>
      <c r="C545" s="13"/>
    </row>
    <row r="546" spans="1:3" ht="13" x14ac:dyDescent="0.15">
      <c r="A546" s="10"/>
      <c r="B546" s="13"/>
      <c r="C546" s="13"/>
    </row>
    <row r="547" spans="1:3" ht="13" x14ac:dyDescent="0.15">
      <c r="A547" s="10"/>
      <c r="B547" s="13"/>
      <c r="C547" s="13"/>
    </row>
    <row r="548" spans="1:3" ht="13" x14ac:dyDescent="0.15">
      <c r="A548" s="10"/>
      <c r="B548" s="13"/>
      <c r="C548" s="13"/>
    </row>
    <row r="549" spans="1:3" ht="13" x14ac:dyDescent="0.15">
      <c r="A549" s="10"/>
      <c r="B549" s="13"/>
      <c r="C549" s="13"/>
    </row>
    <row r="550" spans="1:3" ht="13" x14ac:dyDescent="0.15">
      <c r="A550" s="10"/>
      <c r="B550" s="13"/>
      <c r="C550" s="13"/>
    </row>
    <row r="551" spans="1:3" ht="13" x14ac:dyDescent="0.15">
      <c r="A551" s="10"/>
      <c r="B551" s="13"/>
      <c r="C551" s="13"/>
    </row>
    <row r="552" spans="1:3" ht="13" x14ac:dyDescent="0.15">
      <c r="A552" s="10"/>
      <c r="B552" s="13"/>
      <c r="C552" s="13"/>
    </row>
    <row r="553" spans="1:3" ht="13" x14ac:dyDescent="0.15">
      <c r="A553" s="10"/>
      <c r="B553" s="13"/>
      <c r="C553" s="13"/>
    </row>
    <row r="554" spans="1:3" ht="13" x14ac:dyDescent="0.15">
      <c r="A554" s="10"/>
      <c r="B554" s="13"/>
      <c r="C554" s="13"/>
    </row>
    <row r="555" spans="1:3" ht="13" x14ac:dyDescent="0.15">
      <c r="A555" s="10"/>
      <c r="B555" s="13"/>
      <c r="C555" s="13"/>
    </row>
    <row r="556" spans="1:3" ht="13" x14ac:dyDescent="0.15">
      <c r="A556" s="10"/>
      <c r="B556" s="13"/>
      <c r="C556" s="13"/>
    </row>
    <row r="557" spans="1:3" ht="13" x14ac:dyDescent="0.15">
      <c r="A557" s="10"/>
      <c r="B557" s="13"/>
      <c r="C557" s="13"/>
    </row>
    <row r="558" spans="1:3" ht="13" x14ac:dyDescent="0.15">
      <c r="A558" s="10"/>
      <c r="B558" s="13"/>
      <c r="C558" s="13"/>
    </row>
    <row r="559" spans="1:3" ht="13" x14ac:dyDescent="0.15">
      <c r="A559" s="10"/>
      <c r="B559" s="13"/>
      <c r="C559" s="13"/>
    </row>
    <row r="560" spans="1:3" ht="13" x14ac:dyDescent="0.15">
      <c r="A560" s="10"/>
      <c r="B560" s="13"/>
      <c r="C560" s="13"/>
    </row>
    <row r="561" spans="1:3" ht="13" x14ac:dyDescent="0.15">
      <c r="A561" s="10"/>
      <c r="B561" s="13"/>
      <c r="C561" s="13"/>
    </row>
    <row r="562" spans="1:3" ht="13" x14ac:dyDescent="0.15">
      <c r="A562" s="10"/>
      <c r="B562" s="13"/>
      <c r="C562" s="13"/>
    </row>
    <row r="563" spans="1:3" ht="13" x14ac:dyDescent="0.15">
      <c r="A563" s="10"/>
      <c r="B563" s="13"/>
      <c r="C563" s="13"/>
    </row>
    <row r="564" spans="1:3" ht="13" x14ac:dyDescent="0.15">
      <c r="A564" s="10"/>
      <c r="B564" s="13"/>
      <c r="C564" s="13"/>
    </row>
    <row r="565" spans="1:3" ht="13" x14ac:dyDescent="0.15">
      <c r="A565" s="10"/>
      <c r="B565" s="13"/>
      <c r="C565" s="13"/>
    </row>
    <row r="566" spans="1:3" ht="13" x14ac:dyDescent="0.15">
      <c r="A566" s="10"/>
      <c r="B566" s="13"/>
      <c r="C566" s="13"/>
    </row>
    <row r="567" spans="1:3" ht="13" x14ac:dyDescent="0.15">
      <c r="A567" s="10"/>
      <c r="B567" s="13"/>
      <c r="C567" s="13"/>
    </row>
    <row r="568" spans="1:3" ht="13" x14ac:dyDescent="0.15">
      <c r="A568" s="10"/>
      <c r="B568" s="13"/>
      <c r="C568" s="13"/>
    </row>
    <row r="569" spans="1:3" ht="13" x14ac:dyDescent="0.15">
      <c r="A569" s="10"/>
      <c r="B569" s="13"/>
      <c r="C569" s="13"/>
    </row>
    <row r="570" spans="1:3" ht="13" x14ac:dyDescent="0.15">
      <c r="A570" s="10"/>
      <c r="B570" s="13"/>
      <c r="C570" s="13"/>
    </row>
    <row r="571" spans="1:3" ht="13" x14ac:dyDescent="0.15">
      <c r="A571" s="10"/>
      <c r="B571" s="13"/>
      <c r="C571" s="13"/>
    </row>
    <row r="572" spans="1:3" ht="13" x14ac:dyDescent="0.15">
      <c r="A572" s="10"/>
      <c r="B572" s="13"/>
      <c r="C572" s="13"/>
    </row>
    <row r="573" spans="1:3" ht="13" x14ac:dyDescent="0.15">
      <c r="A573" s="10"/>
      <c r="B573" s="13"/>
      <c r="C573" s="13"/>
    </row>
    <row r="574" spans="1:3" ht="13" x14ac:dyDescent="0.15">
      <c r="A574" s="10"/>
      <c r="B574" s="13"/>
      <c r="C574" s="13"/>
    </row>
    <row r="575" spans="1:3" ht="13" x14ac:dyDescent="0.15">
      <c r="A575" s="10"/>
      <c r="B575" s="13"/>
      <c r="C575" s="13"/>
    </row>
    <row r="576" spans="1:3" ht="13" x14ac:dyDescent="0.15">
      <c r="A576" s="10"/>
      <c r="B576" s="13"/>
      <c r="C576" s="13"/>
    </row>
    <row r="577" spans="1:3" ht="13" x14ac:dyDescent="0.15">
      <c r="A577" s="10"/>
      <c r="B577" s="13"/>
      <c r="C577" s="13"/>
    </row>
    <row r="578" spans="1:3" ht="13" x14ac:dyDescent="0.15">
      <c r="A578" s="10"/>
      <c r="B578" s="13"/>
      <c r="C578" s="13"/>
    </row>
    <row r="579" spans="1:3" ht="13" x14ac:dyDescent="0.15">
      <c r="A579" s="10"/>
      <c r="B579" s="13"/>
      <c r="C579" s="13"/>
    </row>
    <row r="580" spans="1:3" ht="13" x14ac:dyDescent="0.15">
      <c r="A580" s="10"/>
      <c r="B580" s="13"/>
      <c r="C580" s="13"/>
    </row>
    <row r="581" spans="1:3" ht="13" x14ac:dyDescent="0.15">
      <c r="A581" s="10"/>
      <c r="B581" s="13"/>
      <c r="C581" s="13"/>
    </row>
    <row r="582" spans="1:3" ht="13" x14ac:dyDescent="0.15">
      <c r="A582" s="10"/>
      <c r="B582" s="13"/>
      <c r="C582" s="13"/>
    </row>
    <row r="583" spans="1:3" ht="13" x14ac:dyDescent="0.15">
      <c r="A583" s="10"/>
      <c r="B583" s="13"/>
      <c r="C583" s="13"/>
    </row>
    <row r="584" spans="1:3" ht="13" x14ac:dyDescent="0.15">
      <c r="A584" s="10"/>
      <c r="B584" s="13"/>
      <c r="C584" s="13"/>
    </row>
    <row r="585" spans="1:3" ht="13" x14ac:dyDescent="0.15">
      <c r="A585" s="10"/>
      <c r="B585" s="13"/>
      <c r="C585" s="13"/>
    </row>
    <row r="586" spans="1:3" ht="13" x14ac:dyDescent="0.15">
      <c r="A586" s="10"/>
      <c r="B586" s="13"/>
      <c r="C586" s="13"/>
    </row>
    <row r="587" spans="1:3" ht="13" x14ac:dyDescent="0.15">
      <c r="A587" s="10"/>
      <c r="B587" s="13"/>
      <c r="C587" s="13"/>
    </row>
    <row r="588" spans="1:3" ht="13" x14ac:dyDescent="0.15">
      <c r="A588" s="10"/>
      <c r="B588" s="13"/>
      <c r="C588" s="13"/>
    </row>
    <row r="589" spans="1:3" ht="13" x14ac:dyDescent="0.15">
      <c r="A589" s="10"/>
      <c r="B589" s="13"/>
      <c r="C589" s="13"/>
    </row>
    <row r="590" spans="1:3" ht="13" x14ac:dyDescent="0.15">
      <c r="A590" s="10"/>
      <c r="B590" s="13"/>
      <c r="C590" s="13"/>
    </row>
    <row r="591" spans="1:3" ht="13" x14ac:dyDescent="0.15">
      <c r="A591" s="10"/>
      <c r="B591" s="13"/>
      <c r="C591" s="13"/>
    </row>
    <row r="592" spans="1:3" ht="13" x14ac:dyDescent="0.15">
      <c r="A592" s="10"/>
      <c r="B592" s="13"/>
      <c r="C592" s="13"/>
    </row>
    <row r="593" spans="1:3" ht="13" x14ac:dyDescent="0.15">
      <c r="A593" s="10"/>
      <c r="B593" s="13"/>
      <c r="C593" s="13"/>
    </row>
    <row r="594" spans="1:3" ht="13" x14ac:dyDescent="0.15">
      <c r="A594" s="10"/>
      <c r="B594" s="13"/>
      <c r="C594" s="13"/>
    </row>
    <row r="595" spans="1:3" ht="13" x14ac:dyDescent="0.15">
      <c r="A595" s="10"/>
      <c r="B595" s="13"/>
      <c r="C595" s="13"/>
    </row>
    <row r="596" spans="1:3" ht="13" x14ac:dyDescent="0.15">
      <c r="A596" s="10"/>
      <c r="B596" s="13"/>
      <c r="C596" s="13"/>
    </row>
    <row r="597" spans="1:3" ht="13" x14ac:dyDescent="0.15">
      <c r="A597" s="10"/>
      <c r="B597" s="13"/>
      <c r="C597" s="13"/>
    </row>
    <row r="598" spans="1:3" ht="13" x14ac:dyDescent="0.15">
      <c r="A598" s="10"/>
      <c r="B598" s="13"/>
      <c r="C598" s="13"/>
    </row>
    <row r="599" spans="1:3" ht="13" x14ac:dyDescent="0.15">
      <c r="A599" s="10"/>
      <c r="B599" s="13"/>
      <c r="C599" s="13"/>
    </row>
    <row r="600" spans="1:3" ht="13" x14ac:dyDescent="0.15">
      <c r="A600" s="10"/>
      <c r="B600" s="13"/>
      <c r="C600" s="13"/>
    </row>
    <row r="601" spans="1:3" ht="13" x14ac:dyDescent="0.15">
      <c r="A601" s="10"/>
      <c r="B601" s="13"/>
      <c r="C601" s="13"/>
    </row>
    <row r="602" spans="1:3" ht="13" x14ac:dyDescent="0.15">
      <c r="A602" s="10"/>
      <c r="B602" s="13"/>
      <c r="C602" s="13"/>
    </row>
    <row r="603" spans="1:3" ht="13" x14ac:dyDescent="0.15">
      <c r="A603" s="10"/>
      <c r="B603" s="13"/>
      <c r="C603" s="13"/>
    </row>
    <row r="604" spans="1:3" ht="13" x14ac:dyDescent="0.15">
      <c r="A604" s="10"/>
      <c r="B604" s="13"/>
      <c r="C604" s="13"/>
    </row>
    <row r="605" spans="1:3" ht="13" x14ac:dyDescent="0.15">
      <c r="A605" s="10"/>
      <c r="B605" s="13"/>
      <c r="C605" s="13"/>
    </row>
    <row r="606" spans="1:3" ht="13" x14ac:dyDescent="0.15">
      <c r="A606" s="10"/>
      <c r="B606" s="13"/>
      <c r="C606" s="13"/>
    </row>
    <row r="607" spans="1:3" ht="13" x14ac:dyDescent="0.15">
      <c r="A607" s="10"/>
      <c r="B607" s="13"/>
      <c r="C607" s="13"/>
    </row>
    <row r="608" spans="1:3" ht="13" x14ac:dyDescent="0.15">
      <c r="A608" s="10"/>
      <c r="B608" s="13"/>
      <c r="C608" s="13"/>
    </row>
    <row r="609" spans="1:3" ht="13" x14ac:dyDescent="0.15">
      <c r="A609" s="10"/>
      <c r="B609" s="13"/>
      <c r="C609" s="13"/>
    </row>
    <row r="610" spans="1:3" ht="13" x14ac:dyDescent="0.15">
      <c r="A610" s="10"/>
      <c r="B610" s="13"/>
      <c r="C610" s="13"/>
    </row>
    <row r="611" spans="1:3" ht="13" x14ac:dyDescent="0.15">
      <c r="A611" s="10"/>
      <c r="B611" s="13"/>
      <c r="C611" s="13"/>
    </row>
    <row r="612" spans="1:3" ht="13" x14ac:dyDescent="0.15">
      <c r="A612" s="10"/>
      <c r="B612" s="13"/>
      <c r="C612" s="13"/>
    </row>
    <row r="613" spans="1:3" ht="13" x14ac:dyDescent="0.15">
      <c r="A613" s="10"/>
      <c r="B613" s="13"/>
      <c r="C613" s="13"/>
    </row>
    <row r="614" spans="1:3" ht="13" x14ac:dyDescent="0.15">
      <c r="A614" s="10"/>
      <c r="B614" s="13"/>
      <c r="C614" s="13"/>
    </row>
    <row r="615" spans="1:3" ht="13" x14ac:dyDescent="0.15">
      <c r="A615" s="10"/>
      <c r="B615" s="13"/>
      <c r="C615" s="13"/>
    </row>
    <row r="616" spans="1:3" ht="13" x14ac:dyDescent="0.15">
      <c r="A616" s="10"/>
      <c r="B616" s="13"/>
      <c r="C616" s="13"/>
    </row>
    <row r="617" spans="1:3" ht="13" x14ac:dyDescent="0.15">
      <c r="A617" s="10"/>
      <c r="B617" s="13"/>
      <c r="C617" s="13"/>
    </row>
    <row r="618" spans="1:3" ht="13" x14ac:dyDescent="0.15">
      <c r="A618" s="10"/>
      <c r="B618" s="13"/>
      <c r="C618" s="13"/>
    </row>
    <row r="619" spans="1:3" ht="13" x14ac:dyDescent="0.15">
      <c r="A619" s="10"/>
      <c r="B619" s="13"/>
      <c r="C619" s="13"/>
    </row>
    <row r="620" spans="1:3" ht="13" x14ac:dyDescent="0.15">
      <c r="A620" s="10"/>
      <c r="B620" s="13"/>
      <c r="C620" s="13"/>
    </row>
    <row r="621" spans="1:3" ht="13" x14ac:dyDescent="0.15">
      <c r="A621" s="10"/>
      <c r="B621" s="13"/>
      <c r="C621" s="13"/>
    </row>
    <row r="622" spans="1:3" ht="13" x14ac:dyDescent="0.15">
      <c r="A622" s="10"/>
      <c r="B622" s="13"/>
      <c r="C622" s="13"/>
    </row>
    <row r="623" spans="1:3" ht="13" x14ac:dyDescent="0.15">
      <c r="A623" s="10"/>
      <c r="B623" s="13"/>
      <c r="C623" s="13"/>
    </row>
    <row r="624" spans="1:3" ht="13" x14ac:dyDescent="0.15">
      <c r="A624" s="10"/>
      <c r="B624" s="13"/>
      <c r="C624" s="13"/>
    </row>
    <row r="625" spans="1:3" ht="13" x14ac:dyDescent="0.15">
      <c r="A625" s="10"/>
      <c r="B625" s="13"/>
      <c r="C625" s="13"/>
    </row>
    <row r="626" spans="1:3" ht="13" x14ac:dyDescent="0.15">
      <c r="A626" s="10"/>
      <c r="B626" s="13"/>
      <c r="C626" s="13"/>
    </row>
    <row r="627" spans="1:3" ht="13" x14ac:dyDescent="0.15">
      <c r="A627" s="10"/>
      <c r="B627" s="13"/>
      <c r="C627" s="13"/>
    </row>
    <row r="628" spans="1:3" ht="13" x14ac:dyDescent="0.15">
      <c r="A628" s="10"/>
      <c r="B628" s="13"/>
      <c r="C628" s="13"/>
    </row>
    <row r="629" spans="1:3" ht="13" x14ac:dyDescent="0.15">
      <c r="A629" s="10"/>
      <c r="B629" s="13"/>
      <c r="C629" s="13"/>
    </row>
    <row r="630" spans="1:3" ht="13" x14ac:dyDescent="0.15">
      <c r="A630" s="10"/>
      <c r="B630" s="13"/>
      <c r="C630" s="13"/>
    </row>
    <row r="631" spans="1:3" ht="13" x14ac:dyDescent="0.15">
      <c r="A631" s="10"/>
      <c r="B631" s="13"/>
      <c r="C631" s="13"/>
    </row>
    <row r="632" spans="1:3" ht="13" x14ac:dyDescent="0.15">
      <c r="A632" s="10"/>
      <c r="B632" s="13"/>
      <c r="C632" s="13"/>
    </row>
    <row r="633" spans="1:3" ht="13" x14ac:dyDescent="0.15">
      <c r="A633" s="10"/>
      <c r="B633" s="13"/>
      <c r="C633" s="13"/>
    </row>
    <row r="634" spans="1:3" ht="13" x14ac:dyDescent="0.15">
      <c r="A634" s="10"/>
      <c r="B634" s="13"/>
      <c r="C634" s="13"/>
    </row>
    <row r="635" spans="1:3" ht="13" x14ac:dyDescent="0.15">
      <c r="A635" s="10"/>
      <c r="B635" s="13"/>
      <c r="C635" s="13"/>
    </row>
    <row r="636" spans="1:3" ht="13" x14ac:dyDescent="0.15">
      <c r="A636" s="10"/>
      <c r="B636" s="13"/>
      <c r="C636" s="13"/>
    </row>
    <row r="637" spans="1:3" ht="13" x14ac:dyDescent="0.15">
      <c r="A637" s="10"/>
      <c r="B637" s="13"/>
      <c r="C637" s="13"/>
    </row>
    <row r="638" spans="1:3" ht="13" x14ac:dyDescent="0.15">
      <c r="A638" s="10"/>
      <c r="B638" s="13"/>
      <c r="C638" s="13"/>
    </row>
    <row r="639" spans="1:3" ht="13" x14ac:dyDescent="0.15">
      <c r="A639" s="10"/>
      <c r="B639" s="13"/>
      <c r="C639" s="13"/>
    </row>
    <row r="640" spans="1:3" ht="13" x14ac:dyDescent="0.15">
      <c r="A640" s="10"/>
      <c r="B640" s="13"/>
      <c r="C640" s="13"/>
    </row>
    <row r="641" spans="1:3" ht="13" x14ac:dyDescent="0.15">
      <c r="A641" s="10"/>
      <c r="B641" s="13"/>
      <c r="C641" s="13"/>
    </row>
    <row r="642" spans="1:3" ht="13" x14ac:dyDescent="0.15">
      <c r="A642" s="10"/>
      <c r="B642" s="13"/>
      <c r="C642" s="13"/>
    </row>
    <row r="643" spans="1:3" ht="13" x14ac:dyDescent="0.15">
      <c r="A643" s="10"/>
      <c r="B643" s="13"/>
      <c r="C643" s="13"/>
    </row>
    <row r="644" spans="1:3" ht="13" x14ac:dyDescent="0.15">
      <c r="A644" s="10"/>
      <c r="B644" s="13"/>
      <c r="C644" s="13"/>
    </row>
    <row r="645" spans="1:3" ht="13" x14ac:dyDescent="0.15">
      <c r="A645" s="10"/>
      <c r="B645" s="13"/>
      <c r="C645" s="13"/>
    </row>
    <row r="646" spans="1:3" ht="13" x14ac:dyDescent="0.15">
      <c r="A646" s="10"/>
      <c r="B646" s="13"/>
      <c r="C646" s="13"/>
    </row>
    <row r="647" spans="1:3" ht="13" x14ac:dyDescent="0.15">
      <c r="A647" s="10"/>
      <c r="B647" s="13"/>
      <c r="C647" s="13"/>
    </row>
    <row r="648" spans="1:3" ht="13" x14ac:dyDescent="0.15">
      <c r="A648" s="10"/>
      <c r="B648" s="13"/>
      <c r="C648" s="13"/>
    </row>
    <row r="649" spans="1:3" ht="13" x14ac:dyDescent="0.15">
      <c r="A649" s="10"/>
      <c r="B649" s="13"/>
      <c r="C649" s="13"/>
    </row>
    <row r="650" spans="1:3" ht="13" x14ac:dyDescent="0.15">
      <c r="A650" s="10"/>
      <c r="B650" s="13"/>
      <c r="C650" s="13"/>
    </row>
    <row r="651" spans="1:3" ht="13" x14ac:dyDescent="0.15">
      <c r="A651" s="10"/>
      <c r="B651" s="13"/>
      <c r="C651" s="13"/>
    </row>
    <row r="652" spans="1:3" ht="13" x14ac:dyDescent="0.15">
      <c r="A652" s="10"/>
      <c r="B652" s="13"/>
      <c r="C652" s="13"/>
    </row>
    <row r="653" spans="1:3" ht="13" x14ac:dyDescent="0.15">
      <c r="A653" s="10"/>
      <c r="B653" s="13"/>
      <c r="C653" s="13"/>
    </row>
    <row r="654" spans="1:3" ht="13" x14ac:dyDescent="0.15">
      <c r="A654" s="10"/>
      <c r="B654" s="13"/>
      <c r="C654" s="13"/>
    </row>
    <row r="655" spans="1:3" ht="13" x14ac:dyDescent="0.15">
      <c r="A655" s="10"/>
      <c r="B655" s="13"/>
      <c r="C655" s="13"/>
    </row>
    <row r="656" spans="1:3" ht="13" x14ac:dyDescent="0.15">
      <c r="A656" s="10"/>
      <c r="B656" s="13"/>
      <c r="C656" s="13"/>
    </row>
    <row r="657" spans="1:3" ht="13" x14ac:dyDescent="0.15">
      <c r="A657" s="10"/>
      <c r="B657" s="13"/>
      <c r="C657" s="13"/>
    </row>
    <row r="658" spans="1:3" ht="13" x14ac:dyDescent="0.15">
      <c r="A658" s="10"/>
      <c r="B658" s="13"/>
      <c r="C658" s="13"/>
    </row>
    <row r="659" spans="1:3" ht="13" x14ac:dyDescent="0.15">
      <c r="A659" s="10"/>
      <c r="B659" s="13"/>
      <c r="C659" s="13"/>
    </row>
    <row r="660" spans="1:3" ht="13" x14ac:dyDescent="0.15">
      <c r="A660" s="10"/>
      <c r="B660" s="13"/>
      <c r="C660" s="13"/>
    </row>
    <row r="661" spans="1:3" ht="13" x14ac:dyDescent="0.15">
      <c r="A661" s="10"/>
      <c r="B661" s="13"/>
      <c r="C661" s="13"/>
    </row>
    <row r="662" spans="1:3" ht="13" x14ac:dyDescent="0.15">
      <c r="A662" s="10"/>
      <c r="B662" s="13"/>
      <c r="C662" s="13"/>
    </row>
    <row r="663" spans="1:3" ht="13" x14ac:dyDescent="0.15">
      <c r="A663" s="10"/>
      <c r="B663" s="13"/>
      <c r="C663" s="13"/>
    </row>
    <row r="664" spans="1:3" ht="13" x14ac:dyDescent="0.15">
      <c r="A664" s="10"/>
      <c r="B664" s="13"/>
      <c r="C664" s="13"/>
    </row>
    <row r="665" spans="1:3" ht="13" x14ac:dyDescent="0.15">
      <c r="A665" s="10"/>
      <c r="B665" s="13"/>
      <c r="C665" s="13"/>
    </row>
    <row r="666" spans="1:3" ht="13" x14ac:dyDescent="0.15">
      <c r="A666" s="10"/>
      <c r="B666" s="13"/>
      <c r="C666" s="13"/>
    </row>
    <row r="667" spans="1:3" ht="13" x14ac:dyDescent="0.15">
      <c r="A667" s="10"/>
      <c r="B667" s="13"/>
      <c r="C667" s="13"/>
    </row>
    <row r="668" spans="1:3" ht="13" x14ac:dyDescent="0.15">
      <c r="A668" s="10"/>
      <c r="B668" s="13"/>
      <c r="C668" s="13"/>
    </row>
    <row r="669" spans="1:3" ht="13" x14ac:dyDescent="0.15">
      <c r="A669" s="10"/>
      <c r="B669" s="13"/>
      <c r="C669" s="13"/>
    </row>
    <row r="670" spans="1:3" ht="13" x14ac:dyDescent="0.15">
      <c r="A670" s="10"/>
      <c r="B670" s="13"/>
      <c r="C670" s="13"/>
    </row>
    <row r="671" spans="1:3" ht="13" x14ac:dyDescent="0.15">
      <c r="A671" s="10"/>
      <c r="B671" s="13"/>
      <c r="C671" s="13"/>
    </row>
    <row r="672" spans="1:3" ht="13" x14ac:dyDescent="0.15">
      <c r="A672" s="10"/>
      <c r="B672" s="13"/>
      <c r="C672" s="13"/>
    </row>
    <row r="673" spans="1:3" ht="13" x14ac:dyDescent="0.15">
      <c r="A673" s="10"/>
      <c r="B673" s="13"/>
      <c r="C673" s="13"/>
    </row>
    <row r="674" spans="1:3" ht="13" x14ac:dyDescent="0.15">
      <c r="A674" s="10"/>
      <c r="B674" s="13"/>
      <c r="C674" s="13"/>
    </row>
    <row r="675" spans="1:3" ht="13" x14ac:dyDescent="0.15">
      <c r="A675" s="10"/>
      <c r="B675" s="13"/>
      <c r="C675" s="13"/>
    </row>
    <row r="676" spans="1:3" ht="13" x14ac:dyDescent="0.15">
      <c r="A676" s="10"/>
      <c r="B676" s="13"/>
      <c r="C676" s="13"/>
    </row>
    <row r="677" spans="1:3" ht="13" x14ac:dyDescent="0.15">
      <c r="A677" s="10"/>
      <c r="B677" s="13"/>
      <c r="C677" s="13"/>
    </row>
    <row r="678" spans="1:3" ht="13" x14ac:dyDescent="0.15">
      <c r="A678" s="10"/>
      <c r="B678" s="13"/>
      <c r="C678" s="13"/>
    </row>
    <row r="679" spans="1:3" ht="13" x14ac:dyDescent="0.15">
      <c r="A679" s="10"/>
      <c r="B679" s="13"/>
      <c r="C679" s="13"/>
    </row>
    <row r="680" spans="1:3" ht="13" x14ac:dyDescent="0.15">
      <c r="A680" s="10"/>
      <c r="B680" s="13"/>
      <c r="C680" s="13"/>
    </row>
    <row r="681" spans="1:3" ht="13" x14ac:dyDescent="0.15">
      <c r="A681" s="10"/>
      <c r="B681" s="13"/>
      <c r="C681" s="13"/>
    </row>
    <row r="682" spans="1:3" ht="13" x14ac:dyDescent="0.15">
      <c r="A682" s="10"/>
      <c r="B682" s="13"/>
      <c r="C682" s="13"/>
    </row>
    <row r="683" spans="1:3" ht="13" x14ac:dyDescent="0.15">
      <c r="A683" s="10"/>
      <c r="B683" s="13"/>
      <c r="C683" s="13"/>
    </row>
    <row r="684" spans="1:3" ht="13" x14ac:dyDescent="0.15">
      <c r="A684" s="10"/>
      <c r="B684" s="13"/>
      <c r="C684" s="13"/>
    </row>
    <row r="685" spans="1:3" ht="13" x14ac:dyDescent="0.15">
      <c r="A685" s="10"/>
      <c r="B685" s="13"/>
      <c r="C685" s="13"/>
    </row>
    <row r="686" spans="1:3" ht="13" x14ac:dyDescent="0.15">
      <c r="A686" s="10"/>
      <c r="B686" s="13"/>
      <c r="C686" s="13"/>
    </row>
    <row r="687" spans="1:3" ht="13" x14ac:dyDescent="0.15">
      <c r="A687" s="10"/>
      <c r="B687" s="13"/>
      <c r="C687" s="13"/>
    </row>
    <row r="688" spans="1:3" ht="13" x14ac:dyDescent="0.15">
      <c r="A688" s="10"/>
      <c r="B688" s="13"/>
      <c r="C688" s="13"/>
    </row>
    <row r="689" spans="1:3" ht="13" x14ac:dyDescent="0.15">
      <c r="A689" s="10"/>
      <c r="B689" s="13"/>
      <c r="C689" s="13"/>
    </row>
    <row r="690" spans="1:3" ht="13" x14ac:dyDescent="0.15">
      <c r="A690" s="10"/>
      <c r="B690" s="13"/>
      <c r="C690" s="13"/>
    </row>
    <row r="691" spans="1:3" ht="13" x14ac:dyDescent="0.15">
      <c r="A691" s="10"/>
      <c r="B691" s="13"/>
      <c r="C691" s="13"/>
    </row>
    <row r="692" spans="1:3" ht="13" x14ac:dyDescent="0.15">
      <c r="A692" s="10"/>
      <c r="B692" s="13"/>
      <c r="C692" s="13"/>
    </row>
    <row r="693" spans="1:3" ht="13" x14ac:dyDescent="0.15">
      <c r="A693" s="10"/>
      <c r="B693" s="13"/>
      <c r="C693" s="13"/>
    </row>
    <row r="694" spans="1:3" ht="13" x14ac:dyDescent="0.15">
      <c r="A694" s="10"/>
      <c r="B694" s="13"/>
      <c r="C694" s="13"/>
    </row>
    <row r="695" spans="1:3" ht="13" x14ac:dyDescent="0.15">
      <c r="A695" s="10"/>
      <c r="B695" s="13"/>
      <c r="C695" s="13"/>
    </row>
    <row r="696" spans="1:3" ht="13" x14ac:dyDescent="0.15">
      <c r="A696" s="10"/>
      <c r="B696" s="13"/>
      <c r="C696" s="13"/>
    </row>
    <row r="697" spans="1:3" ht="13" x14ac:dyDescent="0.15">
      <c r="A697" s="10"/>
      <c r="B697" s="13"/>
      <c r="C697" s="13"/>
    </row>
    <row r="698" spans="1:3" ht="13" x14ac:dyDescent="0.15">
      <c r="A698" s="10"/>
      <c r="B698" s="13"/>
      <c r="C698" s="13"/>
    </row>
    <row r="699" spans="1:3" ht="13" x14ac:dyDescent="0.15">
      <c r="A699" s="10"/>
      <c r="B699" s="13"/>
      <c r="C699" s="13"/>
    </row>
    <row r="700" spans="1:3" ht="13" x14ac:dyDescent="0.15">
      <c r="A700" s="10"/>
      <c r="B700" s="13"/>
      <c r="C700" s="13"/>
    </row>
    <row r="701" spans="1:3" ht="13" x14ac:dyDescent="0.15">
      <c r="A701" s="10"/>
      <c r="B701" s="13"/>
      <c r="C701" s="13"/>
    </row>
    <row r="702" spans="1:3" ht="13" x14ac:dyDescent="0.15">
      <c r="A702" s="10"/>
      <c r="B702" s="13"/>
      <c r="C702" s="13"/>
    </row>
    <row r="703" spans="1:3" ht="13" x14ac:dyDescent="0.15">
      <c r="A703" s="10"/>
      <c r="B703" s="13"/>
      <c r="C703" s="13"/>
    </row>
    <row r="704" spans="1:3" ht="13" x14ac:dyDescent="0.15">
      <c r="A704" s="10"/>
      <c r="B704" s="13"/>
      <c r="C704" s="13"/>
    </row>
    <row r="705" spans="1:3" ht="13" x14ac:dyDescent="0.15">
      <c r="A705" s="10"/>
      <c r="B705" s="13"/>
      <c r="C705" s="13"/>
    </row>
    <row r="706" spans="1:3" ht="13" x14ac:dyDescent="0.15">
      <c r="A706" s="10"/>
      <c r="B706" s="13"/>
      <c r="C706" s="13"/>
    </row>
    <row r="707" spans="1:3" ht="13" x14ac:dyDescent="0.15">
      <c r="A707" s="10"/>
      <c r="B707" s="13"/>
      <c r="C707" s="13"/>
    </row>
    <row r="708" spans="1:3" ht="13" x14ac:dyDescent="0.15">
      <c r="A708" s="10"/>
      <c r="B708" s="13"/>
      <c r="C708" s="13"/>
    </row>
    <row r="709" spans="1:3" ht="13" x14ac:dyDescent="0.15">
      <c r="A709" s="10"/>
      <c r="B709" s="13"/>
      <c r="C709" s="13"/>
    </row>
    <row r="710" spans="1:3" ht="13" x14ac:dyDescent="0.15">
      <c r="A710" s="10"/>
      <c r="B710" s="13"/>
      <c r="C710" s="13"/>
    </row>
    <row r="711" spans="1:3" ht="13" x14ac:dyDescent="0.15">
      <c r="A711" s="10"/>
      <c r="B711" s="13"/>
      <c r="C711" s="13"/>
    </row>
    <row r="712" spans="1:3" ht="13" x14ac:dyDescent="0.15">
      <c r="A712" s="10"/>
      <c r="B712" s="13"/>
      <c r="C712" s="13"/>
    </row>
    <row r="713" spans="1:3" ht="13" x14ac:dyDescent="0.15">
      <c r="A713" s="10"/>
      <c r="B713" s="13"/>
      <c r="C713" s="13"/>
    </row>
    <row r="714" spans="1:3" ht="13" x14ac:dyDescent="0.15">
      <c r="A714" s="10"/>
      <c r="B714" s="13"/>
      <c r="C714" s="13"/>
    </row>
    <row r="715" spans="1:3" ht="13" x14ac:dyDescent="0.15">
      <c r="A715" s="10"/>
      <c r="B715" s="13"/>
      <c r="C715" s="13"/>
    </row>
    <row r="716" spans="1:3" ht="13" x14ac:dyDescent="0.15">
      <c r="A716" s="10"/>
      <c r="B716" s="13"/>
      <c r="C716" s="13"/>
    </row>
    <row r="717" spans="1:3" ht="13" x14ac:dyDescent="0.15">
      <c r="A717" s="10"/>
      <c r="B717" s="13"/>
      <c r="C717" s="13"/>
    </row>
    <row r="718" spans="1:3" ht="13" x14ac:dyDescent="0.15">
      <c r="A718" s="10"/>
      <c r="B718" s="13"/>
      <c r="C718" s="13"/>
    </row>
    <row r="719" spans="1:3" ht="13" x14ac:dyDescent="0.15">
      <c r="A719" s="10"/>
      <c r="B719" s="13"/>
      <c r="C719" s="13"/>
    </row>
    <row r="720" spans="1:3" ht="13" x14ac:dyDescent="0.15">
      <c r="A720" s="10"/>
      <c r="B720" s="13"/>
      <c r="C720" s="13"/>
    </row>
    <row r="721" spans="1:3" ht="13" x14ac:dyDescent="0.15">
      <c r="A721" s="10"/>
      <c r="B721" s="13"/>
      <c r="C721" s="13"/>
    </row>
    <row r="722" spans="1:3" ht="13" x14ac:dyDescent="0.15">
      <c r="A722" s="10"/>
      <c r="B722" s="13"/>
      <c r="C722" s="13"/>
    </row>
    <row r="723" spans="1:3" ht="13" x14ac:dyDescent="0.15">
      <c r="A723" s="10"/>
      <c r="B723" s="13"/>
      <c r="C723" s="13"/>
    </row>
    <row r="724" spans="1:3" ht="13" x14ac:dyDescent="0.15">
      <c r="A724" s="10"/>
      <c r="B724" s="13"/>
      <c r="C724" s="13"/>
    </row>
    <row r="725" spans="1:3" ht="13" x14ac:dyDescent="0.15">
      <c r="A725" s="10"/>
      <c r="B725" s="13"/>
      <c r="C725" s="13"/>
    </row>
    <row r="726" spans="1:3" ht="13" x14ac:dyDescent="0.15">
      <c r="A726" s="10"/>
      <c r="B726" s="13"/>
      <c r="C726" s="13"/>
    </row>
    <row r="727" spans="1:3" ht="13" x14ac:dyDescent="0.15">
      <c r="A727" s="10"/>
      <c r="B727" s="13"/>
      <c r="C727" s="13"/>
    </row>
    <row r="728" spans="1:3" ht="13" x14ac:dyDescent="0.15">
      <c r="A728" s="10"/>
      <c r="B728" s="13"/>
      <c r="C728" s="13"/>
    </row>
    <row r="729" spans="1:3" ht="13" x14ac:dyDescent="0.15">
      <c r="A729" s="10"/>
      <c r="B729" s="13"/>
      <c r="C729" s="13"/>
    </row>
    <row r="730" spans="1:3" ht="13" x14ac:dyDescent="0.15">
      <c r="A730" s="10"/>
      <c r="B730" s="13"/>
      <c r="C730" s="13"/>
    </row>
    <row r="731" spans="1:3" ht="13" x14ac:dyDescent="0.15">
      <c r="A731" s="10"/>
      <c r="B731" s="13"/>
      <c r="C731" s="13"/>
    </row>
    <row r="732" spans="1:3" ht="13" x14ac:dyDescent="0.15">
      <c r="A732" s="10"/>
      <c r="B732" s="13"/>
      <c r="C732" s="13"/>
    </row>
    <row r="733" spans="1:3" ht="13" x14ac:dyDescent="0.15">
      <c r="A733" s="10"/>
      <c r="B733" s="13"/>
      <c r="C733" s="13"/>
    </row>
    <row r="734" spans="1:3" ht="13" x14ac:dyDescent="0.15">
      <c r="A734" s="10"/>
      <c r="B734" s="13"/>
      <c r="C734" s="13"/>
    </row>
    <row r="735" spans="1:3" ht="13" x14ac:dyDescent="0.15">
      <c r="A735" s="10"/>
      <c r="B735" s="13"/>
      <c r="C735" s="13"/>
    </row>
    <row r="736" spans="1:3" ht="13" x14ac:dyDescent="0.15">
      <c r="A736" s="10"/>
      <c r="B736" s="13"/>
      <c r="C736" s="13"/>
    </row>
    <row r="737" spans="1:3" ht="13" x14ac:dyDescent="0.15">
      <c r="A737" s="10"/>
      <c r="B737" s="13"/>
      <c r="C737" s="13"/>
    </row>
    <row r="738" spans="1:3" ht="13" x14ac:dyDescent="0.15">
      <c r="A738" s="10"/>
      <c r="B738" s="13"/>
      <c r="C738" s="13"/>
    </row>
    <row r="739" spans="1:3" ht="13" x14ac:dyDescent="0.15">
      <c r="A739" s="10"/>
      <c r="B739" s="13"/>
      <c r="C739" s="13"/>
    </row>
    <row r="740" spans="1:3" ht="13" x14ac:dyDescent="0.15">
      <c r="A740" s="10"/>
      <c r="B740" s="13"/>
      <c r="C740" s="13"/>
    </row>
    <row r="741" spans="1:3" ht="13" x14ac:dyDescent="0.15">
      <c r="A741" s="10"/>
      <c r="B741" s="13"/>
      <c r="C741" s="13"/>
    </row>
    <row r="742" spans="1:3" ht="13" x14ac:dyDescent="0.15">
      <c r="A742" s="10"/>
      <c r="B742" s="13"/>
      <c r="C742" s="13"/>
    </row>
    <row r="743" spans="1:3" ht="13" x14ac:dyDescent="0.15">
      <c r="A743" s="10"/>
      <c r="B743" s="13"/>
      <c r="C743" s="13"/>
    </row>
    <row r="744" spans="1:3" ht="13" x14ac:dyDescent="0.15">
      <c r="A744" s="10"/>
      <c r="B744" s="13"/>
      <c r="C744" s="13"/>
    </row>
    <row r="745" spans="1:3" ht="13" x14ac:dyDescent="0.15">
      <c r="A745" s="10"/>
      <c r="B745" s="13"/>
      <c r="C745" s="13"/>
    </row>
    <row r="746" spans="1:3" ht="13" x14ac:dyDescent="0.15">
      <c r="A746" s="10"/>
      <c r="B746" s="13"/>
      <c r="C746" s="13"/>
    </row>
    <row r="747" spans="1:3" ht="13" x14ac:dyDescent="0.15">
      <c r="A747" s="10"/>
      <c r="B747" s="13"/>
      <c r="C747" s="13"/>
    </row>
    <row r="748" spans="1:3" ht="13" x14ac:dyDescent="0.15">
      <c r="A748" s="10"/>
      <c r="B748" s="13"/>
      <c r="C748" s="13"/>
    </row>
    <row r="749" spans="1:3" ht="13" x14ac:dyDescent="0.15">
      <c r="A749" s="10"/>
      <c r="B749" s="13"/>
      <c r="C749" s="13"/>
    </row>
    <row r="750" spans="1:3" ht="13" x14ac:dyDescent="0.15">
      <c r="A750" s="10"/>
      <c r="B750" s="13"/>
      <c r="C750" s="13"/>
    </row>
    <row r="751" spans="1:3" ht="13" x14ac:dyDescent="0.15">
      <c r="A751" s="10"/>
      <c r="B751" s="13"/>
      <c r="C751" s="13"/>
    </row>
    <row r="752" spans="1:3" ht="13" x14ac:dyDescent="0.15">
      <c r="A752" s="10"/>
      <c r="B752" s="13"/>
      <c r="C752" s="13"/>
    </row>
    <row r="753" spans="1:3" ht="13" x14ac:dyDescent="0.15">
      <c r="A753" s="10"/>
      <c r="B753" s="13"/>
      <c r="C753" s="13"/>
    </row>
    <row r="754" spans="1:3" ht="13" x14ac:dyDescent="0.15">
      <c r="A754" s="10"/>
      <c r="B754" s="13"/>
      <c r="C754" s="13"/>
    </row>
    <row r="755" spans="1:3" ht="13" x14ac:dyDescent="0.15">
      <c r="A755" s="10"/>
      <c r="B755" s="13"/>
      <c r="C755" s="13"/>
    </row>
    <row r="756" spans="1:3" ht="13" x14ac:dyDescent="0.15">
      <c r="A756" s="10"/>
      <c r="B756" s="13"/>
      <c r="C756" s="13"/>
    </row>
    <row r="757" spans="1:3" ht="13" x14ac:dyDescent="0.15">
      <c r="A757" s="10"/>
      <c r="B757" s="13"/>
      <c r="C757" s="13"/>
    </row>
    <row r="758" spans="1:3" ht="13" x14ac:dyDescent="0.15">
      <c r="A758" s="10"/>
      <c r="B758" s="13"/>
      <c r="C758" s="13"/>
    </row>
    <row r="759" spans="1:3" ht="13" x14ac:dyDescent="0.15">
      <c r="A759" s="10"/>
      <c r="B759" s="13"/>
      <c r="C759" s="13"/>
    </row>
    <row r="760" spans="1:3" ht="13" x14ac:dyDescent="0.15">
      <c r="A760" s="10"/>
      <c r="B760" s="13"/>
      <c r="C760" s="13"/>
    </row>
    <row r="761" spans="1:3" ht="13" x14ac:dyDescent="0.15">
      <c r="A761" s="10"/>
      <c r="B761" s="13"/>
      <c r="C761" s="13"/>
    </row>
    <row r="762" spans="1:3" ht="13" x14ac:dyDescent="0.15">
      <c r="A762" s="10"/>
      <c r="B762" s="13"/>
      <c r="C762" s="13"/>
    </row>
    <row r="763" spans="1:3" ht="13" x14ac:dyDescent="0.15">
      <c r="A763" s="10"/>
      <c r="B763" s="13"/>
      <c r="C763" s="13"/>
    </row>
    <row r="764" spans="1:3" ht="13" x14ac:dyDescent="0.15">
      <c r="A764" s="10"/>
      <c r="B764" s="13"/>
      <c r="C764" s="13"/>
    </row>
    <row r="765" spans="1:3" ht="13" x14ac:dyDescent="0.15">
      <c r="A765" s="10"/>
      <c r="B765" s="13"/>
      <c r="C765" s="13"/>
    </row>
    <row r="766" spans="1:3" ht="13" x14ac:dyDescent="0.15">
      <c r="A766" s="10"/>
      <c r="B766" s="13"/>
      <c r="C766" s="13"/>
    </row>
    <row r="767" spans="1:3" ht="13" x14ac:dyDescent="0.15">
      <c r="A767" s="10"/>
      <c r="B767" s="13"/>
      <c r="C767" s="13"/>
    </row>
    <row r="768" spans="1:3" ht="13" x14ac:dyDescent="0.15">
      <c r="A768" s="10"/>
      <c r="B768" s="13"/>
      <c r="C768" s="13"/>
    </row>
    <row r="769" spans="1:3" ht="13" x14ac:dyDescent="0.15">
      <c r="A769" s="10"/>
      <c r="B769" s="13"/>
      <c r="C769" s="13"/>
    </row>
    <row r="770" spans="1:3" ht="13" x14ac:dyDescent="0.15">
      <c r="A770" s="10"/>
      <c r="B770" s="13"/>
      <c r="C770" s="13"/>
    </row>
    <row r="771" spans="1:3" ht="13" x14ac:dyDescent="0.15">
      <c r="A771" s="10"/>
      <c r="B771" s="13"/>
      <c r="C771" s="13"/>
    </row>
    <row r="772" spans="1:3" ht="13" x14ac:dyDescent="0.15">
      <c r="A772" s="10"/>
      <c r="B772" s="13"/>
      <c r="C772" s="13"/>
    </row>
    <row r="773" spans="1:3" ht="13" x14ac:dyDescent="0.15">
      <c r="A773" s="10"/>
      <c r="B773" s="13"/>
      <c r="C773" s="13"/>
    </row>
    <row r="774" spans="1:3" ht="13" x14ac:dyDescent="0.15">
      <c r="A774" s="10"/>
      <c r="B774" s="13"/>
      <c r="C774" s="13"/>
    </row>
    <row r="775" spans="1:3" ht="13" x14ac:dyDescent="0.15">
      <c r="A775" s="10"/>
      <c r="B775" s="13"/>
      <c r="C775" s="13"/>
    </row>
    <row r="776" spans="1:3" ht="13" x14ac:dyDescent="0.15">
      <c r="A776" s="10"/>
      <c r="B776" s="13"/>
      <c r="C776" s="13"/>
    </row>
    <row r="777" spans="1:3" ht="13" x14ac:dyDescent="0.15">
      <c r="A777" s="10"/>
      <c r="B777" s="13"/>
      <c r="C777" s="13"/>
    </row>
    <row r="778" spans="1:3" ht="13" x14ac:dyDescent="0.15">
      <c r="A778" s="10"/>
      <c r="B778" s="13"/>
      <c r="C778" s="13"/>
    </row>
    <row r="779" spans="1:3" ht="13" x14ac:dyDescent="0.15">
      <c r="A779" s="10"/>
      <c r="B779" s="13"/>
      <c r="C779" s="13"/>
    </row>
    <row r="780" spans="1:3" ht="13" x14ac:dyDescent="0.15">
      <c r="A780" s="10"/>
      <c r="B780" s="13"/>
      <c r="C780" s="13"/>
    </row>
    <row r="781" spans="1:3" ht="13" x14ac:dyDescent="0.15">
      <c r="A781" s="10"/>
      <c r="B781" s="13"/>
      <c r="C781" s="13"/>
    </row>
    <row r="782" spans="1:3" ht="13" x14ac:dyDescent="0.15">
      <c r="A782" s="10"/>
      <c r="B782" s="13"/>
      <c r="C782" s="13"/>
    </row>
    <row r="783" spans="1:3" ht="13" x14ac:dyDescent="0.15">
      <c r="A783" s="10"/>
      <c r="B783" s="13"/>
      <c r="C783" s="13"/>
    </row>
    <row r="784" spans="1:3" ht="13" x14ac:dyDescent="0.15">
      <c r="A784" s="10"/>
      <c r="B784" s="13"/>
      <c r="C784" s="13"/>
    </row>
    <row r="785" spans="1:3" ht="13" x14ac:dyDescent="0.15">
      <c r="A785" s="10"/>
      <c r="B785" s="13"/>
      <c r="C785" s="13"/>
    </row>
    <row r="786" spans="1:3" ht="13" x14ac:dyDescent="0.15">
      <c r="A786" s="10"/>
      <c r="B786" s="13"/>
      <c r="C786" s="13"/>
    </row>
    <row r="787" spans="1:3" ht="13" x14ac:dyDescent="0.15">
      <c r="A787" s="10"/>
      <c r="B787" s="13"/>
      <c r="C787" s="13"/>
    </row>
    <row r="788" spans="1:3" ht="13" x14ac:dyDescent="0.15">
      <c r="A788" s="10"/>
      <c r="B788" s="13"/>
      <c r="C788" s="13"/>
    </row>
    <row r="789" spans="1:3" ht="13" x14ac:dyDescent="0.15">
      <c r="A789" s="10"/>
      <c r="B789" s="13"/>
      <c r="C789" s="13"/>
    </row>
    <row r="790" spans="1:3" ht="13" x14ac:dyDescent="0.15">
      <c r="A790" s="10"/>
      <c r="B790" s="13"/>
      <c r="C790" s="13"/>
    </row>
    <row r="791" spans="1:3" ht="13" x14ac:dyDescent="0.15">
      <c r="A791" s="10"/>
      <c r="B791" s="13"/>
      <c r="C791" s="13"/>
    </row>
    <row r="792" spans="1:3" ht="13" x14ac:dyDescent="0.15">
      <c r="A792" s="10"/>
      <c r="B792" s="13"/>
      <c r="C792" s="13"/>
    </row>
    <row r="793" spans="1:3" ht="13" x14ac:dyDescent="0.15">
      <c r="A793" s="10"/>
      <c r="B793" s="13"/>
      <c r="C793" s="13"/>
    </row>
    <row r="794" spans="1:3" ht="13" x14ac:dyDescent="0.15">
      <c r="A794" s="10"/>
      <c r="B794" s="13"/>
      <c r="C794" s="13"/>
    </row>
    <row r="795" spans="1:3" ht="13" x14ac:dyDescent="0.15">
      <c r="A795" s="10"/>
      <c r="B795" s="13"/>
      <c r="C795" s="13"/>
    </row>
    <row r="796" spans="1:3" ht="13" x14ac:dyDescent="0.15">
      <c r="A796" s="10"/>
      <c r="B796" s="13"/>
      <c r="C796" s="13"/>
    </row>
    <row r="797" spans="1:3" ht="13" x14ac:dyDescent="0.15">
      <c r="A797" s="10"/>
      <c r="B797" s="13"/>
      <c r="C797" s="13"/>
    </row>
    <row r="798" spans="1:3" ht="13" x14ac:dyDescent="0.15">
      <c r="A798" s="10"/>
      <c r="B798" s="13"/>
      <c r="C798" s="13"/>
    </row>
    <row r="799" spans="1:3" ht="13" x14ac:dyDescent="0.15">
      <c r="A799" s="10"/>
      <c r="B799" s="13"/>
      <c r="C799" s="13"/>
    </row>
    <row r="800" spans="1:3" ht="13" x14ac:dyDescent="0.15">
      <c r="A800" s="10"/>
      <c r="B800" s="13"/>
      <c r="C800" s="13"/>
    </row>
    <row r="801" spans="1:3" ht="13" x14ac:dyDescent="0.15">
      <c r="A801" s="10"/>
      <c r="B801" s="13"/>
      <c r="C801" s="13"/>
    </row>
    <row r="802" spans="1:3" ht="13" x14ac:dyDescent="0.15">
      <c r="A802" s="10"/>
      <c r="B802" s="13"/>
      <c r="C802" s="13"/>
    </row>
    <row r="803" spans="1:3" ht="13" x14ac:dyDescent="0.15">
      <c r="A803" s="10"/>
      <c r="B803" s="13"/>
      <c r="C803" s="13"/>
    </row>
    <row r="804" spans="1:3" ht="13" x14ac:dyDescent="0.15">
      <c r="A804" s="10"/>
      <c r="B804" s="13"/>
      <c r="C804" s="13"/>
    </row>
    <row r="805" spans="1:3" ht="13" x14ac:dyDescent="0.15">
      <c r="A805" s="10"/>
      <c r="B805" s="13"/>
      <c r="C805" s="13"/>
    </row>
    <row r="806" spans="1:3" ht="13" x14ac:dyDescent="0.15">
      <c r="A806" s="10"/>
      <c r="B806" s="13"/>
      <c r="C806" s="13"/>
    </row>
    <row r="807" spans="1:3" ht="13" x14ac:dyDescent="0.15">
      <c r="A807" s="10"/>
      <c r="B807" s="13"/>
      <c r="C807" s="13"/>
    </row>
    <row r="808" spans="1:3" ht="13" x14ac:dyDescent="0.15">
      <c r="A808" s="10"/>
      <c r="B808" s="13"/>
      <c r="C808" s="13"/>
    </row>
    <row r="809" spans="1:3" ht="13" x14ac:dyDescent="0.15">
      <c r="A809" s="10"/>
      <c r="B809" s="13"/>
      <c r="C809" s="13"/>
    </row>
    <row r="810" spans="1:3" ht="13" x14ac:dyDescent="0.15">
      <c r="A810" s="10"/>
      <c r="B810" s="13"/>
      <c r="C810" s="13"/>
    </row>
    <row r="811" spans="1:3" ht="13" x14ac:dyDescent="0.15">
      <c r="A811" s="10"/>
      <c r="B811" s="13"/>
      <c r="C811" s="13"/>
    </row>
    <row r="812" spans="1:3" ht="13" x14ac:dyDescent="0.15">
      <c r="A812" s="10"/>
      <c r="B812" s="13"/>
      <c r="C812" s="13"/>
    </row>
    <row r="813" spans="1:3" ht="13" x14ac:dyDescent="0.15">
      <c r="A813" s="10"/>
      <c r="B813" s="13"/>
      <c r="C813" s="13"/>
    </row>
    <row r="814" spans="1:3" ht="13" x14ac:dyDescent="0.15">
      <c r="A814" s="10"/>
      <c r="B814" s="13"/>
      <c r="C814" s="13"/>
    </row>
    <row r="815" spans="1:3" ht="13" x14ac:dyDescent="0.15">
      <c r="A815" s="10"/>
      <c r="B815" s="13"/>
      <c r="C815" s="13"/>
    </row>
    <row r="816" spans="1:3" ht="13" x14ac:dyDescent="0.15">
      <c r="A816" s="10"/>
      <c r="B816" s="13"/>
      <c r="C816" s="13"/>
    </row>
    <row r="817" spans="1:3" ht="13" x14ac:dyDescent="0.15">
      <c r="A817" s="10"/>
      <c r="B817" s="13"/>
      <c r="C817" s="13"/>
    </row>
    <row r="818" spans="1:3" ht="13" x14ac:dyDescent="0.15">
      <c r="A818" s="10"/>
      <c r="B818" s="13"/>
      <c r="C818" s="13"/>
    </row>
    <row r="819" spans="1:3" ht="13" x14ac:dyDescent="0.15">
      <c r="A819" s="10"/>
      <c r="B819" s="13"/>
      <c r="C819" s="13"/>
    </row>
    <row r="820" spans="1:3" ht="13" x14ac:dyDescent="0.15">
      <c r="A820" s="10"/>
      <c r="B820" s="13"/>
      <c r="C820" s="13"/>
    </row>
    <row r="821" spans="1:3" ht="13" x14ac:dyDescent="0.15">
      <c r="A821" s="10"/>
      <c r="B821" s="13"/>
      <c r="C821" s="13"/>
    </row>
    <row r="822" spans="1:3" ht="13" x14ac:dyDescent="0.15">
      <c r="A822" s="10"/>
      <c r="B822" s="13"/>
      <c r="C822" s="13"/>
    </row>
    <row r="823" spans="1:3" ht="13" x14ac:dyDescent="0.15">
      <c r="A823" s="10"/>
      <c r="B823" s="13"/>
      <c r="C823" s="13"/>
    </row>
    <row r="824" spans="1:3" ht="13" x14ac:dyDescent="0.15">
      <c r="A824" s="10"/>
      <c r="B824" s="13"/>
      <c r="C824" s="13"/>
    </row>
    <row r="825" spans="1:3" ht="13" x14ac:dyDescent="0.15">
      <c r="A825" s="10"/>
      <c r="B825" s="13"/>
      <c r="C825" s="13"/>
    </row>
    <row r="826" spans="1:3" ht="13" x14ac:dyDescent="0.15">
      <c r="A826" s="10"/>
      <c r="B826" s="13"/>
      <c r="C826" s="13"/>
    </row>
    <row r="827" spans="1:3" ht="13" x14ac:dyDescent="0.15">
      <c r="A827" s="10"/>
      <c r="B827" s="13"/>
      <c r="C827" s="13"/>
    </row>
    <row r="828" spans="1:3" ht="13" x14ac:dyDescent="0.15">
      <c r="A828" s="10"/>
      <c r="B828" s="13"/>
      <c r="C828" s="13"/>
    </row>
    <row r="829" spans="1:3" ht="13" x14ac:dyDescent="0.15">
      <c r="A829" s="10"/>
      <c r="B829" s="13"/>
      <c r="C829" s="13"/>
    </row>
    <row r="830" spans="1:3" ht="13" x14ac:dyDescent="0.15">
      <c r="A830" s="10"/>
      <c r="B830" s="13"/>
      <c r="C830" s="13"/>
    </row>
    <row r="831" spans="1:3" ht="13" x14ac:dyDescent="0.15">
      <c r="A831" s="10"/>
      <c r="B831" s="13"/>
      <c r="C831" s="13"/>
    </row>
    <row r="832" spans="1:3" ht="13" x14ac:dyDescent="0.15">
      <c r="A832" s="10"/>
      <c r="B832" s="13"/>
      <c r="C832" s="13"/>
    </row>
    <row r="833" spans="1:3" ht="13" x14ac:dyDescent="0.15">
      <c r="A833" s="10"/>
      <c r="B833" s="13"/>
      <c r="C833" s="13"/>
    </row>
    <row r="834" spans="1:3" ht="13" x14ac:dyDescent="0.15">
      <c r="A834" s="10"/>
      <c r="B834" s="13"/>
      <c r="C834" s="13"/>
    </row>
    <row r="835" spans="1:3" ht="13" x14ac:dyDescent="0.15">
      <c r="A835" s="10"/>
      <c r="B835" s="13"/>
      <c r="C835" s="13"/>
    </row>
    <row r="836" spans="1:3" ht="13" x14ac:dyDescent="0.15">
      <c r="A836" s="10"/>
      <c r="B836" s="13"/>
      <c r="C836" s="13"/>
    </row>
    <row r="837" spans="1:3" ht="13" x14ac:dyDescent="0.15">
      <c r="A837" s="10"/>
      <c r="B837" s="13"/>
      <c r="C837" s="13"/>
    </row>
    <row r="838" spans="1:3" ht="13" x14ac:dyDescent="0.15">
      <c r="A838" s="10"/>
      <c r="B838" s="13"/>
      <c r="C838" s="13"/>
    </row>
    <row r="839" spans="1:3" ht="13" x14ac:dyDescent="0.15">
      <c r="A839" s="10"/>
      <c r="B839" s="13"/>
      <c r="C839" s="13"/>
    </row>
    <row r="840" spans="1:3" ht="13" x14ac:dyDescent="0.15">
      <c r="A840" s="10"/>
      <c r="B840" s="13"/>
      <c r="C840" s="13"/>
    </row>
    <row r="841" spans="1:3" ht="13" x14ac:dyDescent="0.15">
      <c r="A841" s="10"/>
      <c r="B841" s="13"/>
      <c r="C841" s="13"/>
    </row>
    <row r="842" spans="1:3" ht="13" x14ac:dyDescent="0.15">
      <c r="A842" s="10"/>
      <c r="B842" s="13"/>
      <c r="C842" s="13"/>
    </row>
    <row r="843" spans="1:3" ht="13" x14ac:dyDescent="0.15">
      <c r="A843" s="10"/>
      <c r="B843" s="13"/>
      <c r="C843" s="13"/>
    </row>
    <row r="844" spans="1:3" ht="13" x14ac:dyDescent="0.15">
      <c r="A844" s="10"/>
      <c r="B844" s="13"/>
      <c r="C844" s="13"/>
    </row>
    <row r="845" spans="1:3" ht="13" x14ac:dyDescent="0.15">
      <c r="A845" s="10"/>
      <c r="B845" s="13"/>
      <c r="C845" s="13"/>
    </row>
    <row r="846" spans="1:3" ht="13" x14ac:dyDescent="0.15">
      <c r="A846" s="10"/>
      <c r="B846" s="13"/>
      <c r="C846" s="13"/>
    </row>
    <row r="847" spans="1:3" ht="13" x14ac:dyDescent="0.15">
      <c r="A847" s="10"/>
      <c r="B847" s="13"/>
      <c r="C847" s="13"/>
    </row>
    <row r="848" spans="1:3" ht="13" x14ac:dyDescent="0.15">
      <c r="A848" s="10"/>
      <c r="B848" s="13"/>
      <c r="C848" s="13"/>
    </row>
    <row r="849" spans="1:3" ht="13" x14ac:dyDescent="0.15">
      <c r="A849" s="10"/>
      <c r="B849" s="13"/>
      <c r="C849" s="13"/>
    </row>
    <row r="850" spans="1:3" ht="13" x14ac:dyDescent="0.15">
      <c r="A850" s="10"/>
      <c r="B850" s="13"/>
      <c r="C850" s="13"/>
    </row>
    <row r="851" spans="1:3" ht="13" x14ac:dyDescent="0.15">
      <c r="A851" s="10"/>
      <c r="B851" s="13"/>
      <c r="C851" s="13"/>
    </row>
    <row r="852" spans="1:3" ht="13" x14ac:dyDescent="0.15">
      <c r="A852" s="10"/>
      <c r="B852" s="13"/>
      <c r="C852" s="13"/>
    </row>
    <row r="853" spans="1:3" ht="13" x14ac:dyDescent="0.15">
      <c r="A853" s="10"/>
      <c r="B853" s="13"/>
      <c r="C853" s="13"/>
    </row>
    <row r="854" spans="1:3" ht="13" x14ac:dyDescent="0.15">
      <c r="A854" s="10"/>
      <c r="B854" s="13"/>
      <c r="C854" s="13"/>
    </row>
    <row r="855" spans="1:3" ht="13" x14ac:dyDescent="0.15">
      <c r="A855" s="10"/>
      <c r="B855" s="13"/>
      <c r="C855" s="13"/>
    </row>
    <row r="856" spans="1:3" ht="13" x14ac:dyDescent="0.15">
      <c r="A856" s="10"/>
      <c r="B856" s="13"/>
      <c r="C856" s="13"/>
    </row>
    <row r="857" spans="1:3" ht="13" x14ac:dyDescent="0.15">
      <c r="A857" s="10"/>
      <c r="B857" s="13"/>
      <c r="C857" s="13"/>
    </row>
    <row r="858" spans="1:3" ht="13" x14ac:dyDescent="0.15">
      <c r="A858" s="10"/>
      <c r="B858" s="13"/>
      <c r="C858" s="13"/>
    </row>
    <row r="859" spans="1:3" ht="13" x14ac:dyDescent="0.15">
      <c r="A859" s="10"/>
      <c r="B859" s="13"/>
      <c r="C859" s="13"/>
    </row>
    <row r="860" spans="1:3" ht="13" x14ac:dyDescent="0.15">
      <c r="A860" s="10"/>
      <c r="B860" s="13"/>
      <c r="C860" s="13"/>
    </row>
    <row r="861" spans="1:3" ht="13" x14ac:dyDescent="0.15">
      <c r="A861" s="10"/>
      <c r="B861" s="13"/>
      <c r="C861" s="13"/>
    </row>
    <row r="862" spans="1:3" ht="13" x14ac:dyDescent="0.15">
      <c r="A862" s="10"/>
      <c r="B862" s="13"/>
      <c r="C862" s="13"/>
    </row>
    <row r="863" spans="1:3" ht="13" x14ac:dyDescent="0.15">
      <c r="A863" s="10"/>
      <c r="B863" s="13"/>
      <c r="C863" s="13"/>
    </row>
    <row r="864" spans="1:3" ht="13" x14ac:dyDescent="0.15">
      <c r="A864" s="10"/>
      <c r="B864" s="13"/>
      <c r="C864" s="13"/>
    </row>
    <row r="865" spans="1:3" ht="13" x14ac:dyDescent="0.15">
      <c r="A865" s="10"/>
      <c r="B865" s="13"/>
      <c r="C865" s="13"/>
    </row>
    <row r="866" spans="1:3" ht="13" x14ac:dyDescent="0.15">
      <c r="A866" s="10"/>
      <c r="B866" s="13"/>
      <c r="C866" s="13"/>
    </row>
    <row r="867" spans="1:3" ht="13" x14ac:dyDescent="0.15">
      <c r="A867" s="10"/>
      <c r="B867" s="13"/>
      <c r="C867" s="13"/>
    </row>
    <row r="868" spans="1:3" ht="13" x14ac:dyDescent="0.15">
      <c r="A868" s="10"/>
      <c r="B868" s="13"/>
      <c r="C868" s="13"/>
    </row>
    <row r="869" spans="1:3" ht="13" x14ac:dyDescent="0.15">
      <c r="A869" s="10"/>
      <c r="B869" s="13"/>
      <c r="C869" s="13"/>
    </row>
    <row r="870" spans="1:3" ht="13" x14ac:dyDescent="0.15">
      <c r="A870" s="10"/>
      <c r="B870" s="13"/>
      <c r="C870" s="13"/>
    </row>
    <row r="871" spans="1:3" ht="13" x14ac:dyDescent="0.15">
      <c r="A871" s="10"/>
      <c r="B871" s="13"/>
      <c r="C871" s="13"/>
    </row>
    <row r="872" spans="1:3" ht="13" x14ac:dyDescent="0.15">
      <c r="A872" s="10"/>
      <c r="B872" s="13"/>
      <c r="C872" s="13"/>
    </row>
    <row r="873" spans="1:3" ht="13" x14ac:dyDescent="0.15">
      <c r="A873" s="10"/>
      <c r="B873" s="13"/>
      <c r="C873" s="13"/>
    </row>
    <row r="874" spans="1:3" ht="13" x14ac:dyDescent="0.15">
      <c r="A874" s="10"/>
      <c r="B874" s="13"/>
      <c r="C874" s="13"/>
    </row>
    <row r="875" spans="1:3" ht="13" x14ac:dyDescent="0.15">
      <c r="A875" s="10"/>
      <c r="B875" s="13"/>
      <c r="C875" s="13"/>
    </row>
    <row r="876" spans="1:3" ht="13" x14ac:dyDescent="0.15">
      <c r="A876" s="10"/>
      <c r="B876" s="13"/>
      <c r="C876" s="13"/>
    </row>
    <row r="877" spans="1:3" ht="13" x14ac:dyDescent="0.15">
      <c r="A877" s="10"/>
      <c r="B877" s="13"/>
      <c r="C877" s="13"/>
    </row>
    <row r="878" spans="1:3" ht="13" x14ac:dyDescent="0.15">
      <c r="A878" s="10"/>
      <c r="B878" s="13"/>
      <c r="C878" s="13"/>
    </row>
    <row r="879" spans="1:3" ht="13" x14ac:dyDescent="0.15">
      <c r="A879" s="10"/>
      <c r="B879" s="13"/>
      <c r="C879" s="13"/>
    </row>
    <row r="880" spans="1:3" ht="13" x14ac:dyDescent="0.15">
      <c r="A880" s="10"/>
      <c r="B880" s="13"/>
      <c r="C880" s="13"/>
    </row>
    <row r="881" spans="1:3" ht="13" x14ac:dyDescent="0.15">
      <c r="A881" s="10"/>
      <c r="B881" s="13"/>
      <c r="C881" s="13"/>
    </row>
    <row r="882" spans="1:3" ht="13" x14ac:dyDescent="0.15">
      <c r="A882" s="10"/>
      <c r="B882" s="13"/>
      <c r="C882" s="13"/>
    </row>
    <row r="883" spans="1:3" ht="13" x14ac:dyDescent="0.15">
      <c r="A883" s="10"/>
      <c r="B883" s="13"/>
      <c r="C883" s="13"/>
    </row>
    <row r="884" spans="1:3" ht="13" x14ac:dyDescent="0.15">
      <c r="A884" s="10"/>
      <c r="B884" s="13"/>
      <c r="C884" s="13"/>
    </row>
    <row r="885" spans="1:3" ht="13" x14ac:dyDescent="0.15">
      <c r="A885" s="10"/>
      <c r="B885" s="13"/>
      <c r="C885" s="13"/>
    </row>
    <row r="886" spans="1:3" ht="13" x14ac:dyDescent="0.15">
      <c r="A886" s="10"/>
      <c r="B886" s="13"/>
      <c r="C886" s="13"/>
    </row>
    <row r="887" spans="1:3" ht="13" x14ac:dyDescent="0.15">
      <c r="A887" s="10"/>
      <c r="B887" s="13"/>
      <c r="C887" s="13"/>
    </row>
    <row r="888" spans="1:3" ht="13" x14ac:dyDescent="0.15">
      <c r="A888" s="10"/>
      <c r="B888" s="13"/>
      <c r="C888" s="13"/>
    </row>
    <row r="889" spans="1:3" ht="13" x14ac:dyDescent="0.15">
      <c r="A889" s="10"/>
      <c r="B889" s="13"/>
      <c r="C889" s="13"/>
    </row>
    <row r="890" spans="1:3" ht="13" x14ac:dyDescent="0.15">
      <c r="A890" s="10"/>
      <c r="B890" s="13"/>
      <c r="C890" s="13"/>
    </row>
    <row r="891" spans="1:3" ht="13" x14ac:dyDescent="0.15">
      <c r="A891" s="10"/>
      <c r="B891" s="13"/>
      <c r="C891" s="13"/>
    </row>
    <row r="892" spans="1:3" ht="13" x14ac:dyDescent="0.15">
      <c r="A892" s="10"/>
      <c r="B892" s="13"/>
      <c r="C892" s="13"/>
    </row>
    <row r="893" spans="1:3" ht="13" x14ac:dyDescent="0.15">
      <c r="A893" s="10"/>
      <c r="B893" s="13"/>
      <c r="C893" s="13"/>
    </row>
    <row r="894" spans="1:3" ht="13" x14ac:dyDescent="0.15">
      <c r="A894" s="10"/>
      <c r="B894" s="13"/>
      <c r="C894" s="13"/>
    </row>
    <row r="895" spans="1:3" ht="13" x14ac:dyDescent="0.15">
      <c r="A895" s="10"/>
      <c r="B895" s="13"/>
      <c r="C895" s="13"/>
    </row>
    <row r="896" spans="1:3" ht="13" x14ac:dyDescent="0.15">
      <c r="A896" s="10"/>
      <c r="B896" s="13"/>
      <c r="C896" s="13"/>
    </row>
    <row r="897" spans="1:3" ht="13" x14ac:dyDescent="0.15">
      <c r="A897" s="10"/>
      <c r="B897" s="13"/>
      <c r="C897" s="13"/>
    </row>
    <row r="898" spans="1:3" ht="13" x14ac:dyDescent="0.15">
      <c r="A898" s="10"/>
      <c r="B898" s="13"/>
      <c r="C898" s="13"/>
    </row>
    <row r="899" spans="1:3" ht="13" x14ac:dyDescent="0.15">
      <c r="A899" s="10"/>
      <c r="B899" s="13"/>
      <c r="C899" s="13"/>
    </row>
    <row r="900" spans="1:3" ht="13" x14ac:dyDescent="0.15">
      <c r="A900" s="10"/>
      <c r="B900" s="13"/>
      <c r="C900" s="13"/>
    </row>
    <row r="901" spans="1:3" ht="13" x14ac:dyDescent="0.15">
      <c r="A901" s="10"/>
      <c r="B901" s="13"/>
      <c r="C901" s="13"/>
    </row>
    <row r="902" spans="1:3" ht="13" x14ac:dyDescent="0.15">
      <c r="A902" s="10"/>
      <c r="B902" s="13"/>
      <c r="C902" s="13"/>
    </row>
    <row r="903" spans="1:3" ht="13" x14ac:dyDescent="0.15">
      <c r="A903" s="10"/>
      <c r="B903" s="13"/>
      <c r="C903" s="13"/>
    </row>
    <row r="904" spans="1:3" ht="13" x14ac:dyDescent="0.15">
      <c r="A904" s="10"/>
      <c r="B904" s="13"/>
      <c r="C904" s="13"/>
    </row>
    <row r="905" spans="1:3" ht="13" x14ac:dyDescent="0.15">
      <c r="A905" s="10"/>
      <c r="B905" s="13"/>
      <c r="C905" s="13"/>
    </row>
    <row r="906" spans="1:3" ht="13" x14ac:dyDescent="0.15">
      <c r="A906" s="10"/>
      <c r="B906" s="13"/>
      <c r="C906" s="13"/>
    </row>
    <row r="907" spans="1:3" ht="13" x14ac:dyDescent="0.15">
      <c r="A907" s="10"/>
      <c r="B907" s="13"/>
      <c r="C907" s="13"/>
    </row>
    <row r="908" spans="1:3" ht="13" x14ac:dyDescent="0.15">
      <c r="A908" s="10"/>
      <c r="B908" s="13"/>
      <c r="C908" s="13"/>
    </row>
    <row r="909" spans="1:3" ht="13" x14ac:dyDescent="0.15">
      <c r="A909" s="10"/>
      <c r="B909" s="13"/>
      <c r="C909" s="13"/>
    </row>
    <row r="910" spans="1:3" ht="13" x14ac:dyDescent="0.15">
      <c r="A910" s="10"/>
      <c r="B910" s="13"/>
      <c r="C910" s="13"/>
    </row>
    <row r="911" spans="1:3" ht="13" x14ac:dyDescent="0.15">
      <c r="A911" s="10"/>
      <c r="B911" s="13"/>
      <c r="C911" s="13"/>
    </row>
    <row r="912" spans="1:3" ht="13" x14ac:dyDescent="0.15">
      <c r="A912" s="10"/>
      <c r="B912" s="13"/>
      <c r="C912" s="13"/>
    </row>
    <row r="913" spans="1:3" ht="13" x14ac:dyDescent="0.15">
      <c r="A913" s="10"/>
      <c r="B913" s="13"/>
      <c r="C913" s="13"/>
    </row>
    <row r="914" spans="1:3" ht="13" x14ac:dyDescent="0.15">
      <c r="A914" s="10"/>
      <c r="B914" s="13"/>
      <c r="C914" s="13"/>
    </row>
    <row r="915" spans="1:3" ht="13" x14ac:dyDescent="0.15">
      <c r="A915" s="10"/>
      <c r="B915" s="13"/>
      <c r="C915" s="13"/>
    </row>
    <row r="916" spans="1:3" ht="13" x14ac:dyDescent="0.15">
      <c r="A916" s="10"/>
      <c r="B916" s="13"/>
      <c r="C916" s="13"/>
    </row>
    <row r="917" spans="1:3" ht="13" x14ac:dyDescent="0.15">
      <c r="A917" s="10"/>
      <c r="B917" s="13"/>
      <c r="C917" s="13"/>
    </row>
    <row r="918" spans="1:3" ht="13" x14ac:dyDescent="0.15">
      <c r="A918" s="10"/>
      <c r="B918" s="13"/>
      <c r="C918" s="13"/>
    </row>
    <row r="919" spans="1:3" ht="13" x14ac:dyDescent="0.15">
      <c r="A919" s="10"/>
      <c r="B919" s="13"/>
      <c r="C919" s="13"/>
    </row>
    <row r="920" spans="1:3" ht="13" x14ac:dyDescent="0.15">
      <c r="A920" s="10"/>
      <c r="B920" s="13"/>
      <c r="C920" s="13"/>
    </row>
    <row r="921" spans="1:3" ht="13" x14ac:dyDescent="0.15">
      <c r="A921" s="10"/>
      <c r="B921" s="13"/>
      <c r="C921" s="13"/>
    </row>
    <row r="922" spans="1:3" ht="13" x14ac:dyDescent="0.15">
      <c r="A922" s="10"/>
      <c r="B922" s="13"/>
      <c r="C922" s="13"/>
    </row>
    <row r="923" spans="1:3" ht="13" x14ac:dyDescent="0.15">
      <c r="A923" s="10"/>
      <c r="B923" s="13"/>
      <c r="C923" s="13"/>
    </row>
    <row r="924" spans="1:3" ht="13" x14ac:dyDescent="0.15">
      <c r="A924" s="10"/>
      <c r="B924" s="13"/>
      <c r="C924" s="13"/>
    </row>
    <row r="925" spans="1:3" ht="13" x14ac:dyDescent="0.15">
      <c r="A925" s="10"/>
      <c r="B925" s="13"/>
      <c r="C925" s="13"/>
    </row>
    <row r="926" spans="1:3" ht="13" x14ac:dyDescent="0.15">
      <c r="A926" s="10"/>
      <c r="B926" s="13"/>
      <c r="C926" s="13"/>
    </row>
    <row r="927" spans="1:3" ht="13" x14ac:dyDescent="0.15">
      <c r="A927" s="10"/>
      <c r="B927" s="13"/>
      <c r="C927" s="13"/>
    </row>
    <row r="928" spans="1:3" ht="13" x14ac:dyDescent="0.15">
      <c r="A928" s="10"/>
      <c r="B928" s="13"/>
      <c r="C928" s="13"/>
    </row>
    <row r="929" spans="1:3" ht="13" x14ac:dyDescent="0.15">
      <c r="A929" s="10"/>
      <c r="B929" s="13"/>
      <c r="C929" s="13"/>
    </row>
    <row r="930" spans="1:3" ht="13" x14ac:dyDescent="0.15">
      <c r="A930" s="10"/>
      <c r="B930" s="13"/>
      <c r="C930" s="13"/>
    </row>
    <row r="931" spans="1:3" ht="13" x14ac:dyDescent="0.15">
      <c r="A931" s="10"/>
      <c r="B931" s="13"/>
      <c r="C931" s="13"/>
    </row>
    <row r="932" spans="1:3" ht="13" x14ac:dyDescent="0.15">
      <c r="A932" s="10"/>
      <c r="B932" s="13"/>
      <c r="C932" s="13"/>
    </row>
    <row r="933" spans="1:3" ht="13" x14ac:dyDescent="0.15">
      <c r="A933" s="10"/>
      <c r="B933" s="13"/>
      <c r="C933" s="13"/>
    </row>
    <row r="934" spans="1:3" ht="13" x14ac:dyDescent="0.15">
      <c r="A934" s="10"/>
      <c r="B934" s="13"/>
      <c r="C934" s="13"/>
    </row>
    <row r="935" spans="1:3" ht="13" x14ac:dyDescent="0.15">
      <c r="A935" s="10"/>
      <c r="B935" s="13"/>
      <c r="C935" s="13"/>
    </row>
    <row r="936" spans="1:3" ht="13" x14ac:dyDescent="0.15">
      <c r="A936" s="10"/>
      <c r="B936" s="13"/>
      <c r="C936" s="13"/>
    </row>
    <row r="937" spans="1:3" ht="13" x14ac:dyDescent="0.15">
      <c r="A937" s="10"/>
      <c r="B937" s="13"/>
      <c r="C937" s="13"/>
    </row>
    <row r="938" spans="1:3" ht="13" x14ac:dyDescent="0.15">
      <c r="A938" s="10"/>
      <c r="B938" s="13"/>
      <c r="C938" s="13"/>
    </row>
    <row r="939" spans="1:3" ht="13" x14ac:dyDescent="0.15">
      <c r="A939" s="10"/>
      <c r="B939" s="13"/>
      <c r="C939" s="13"/>
    </row>
    <row r="940" spans="1:3" ht="13" x14ac:dyDescent="0.15">
      <c r="A940" s="10"/>
      <c r="B940" s="13"/>
      <c r="C940" s="13"/>
    </row>
    <row r="941" spans="1:3" ht="13" x14ac:dyDescent="0.15">
      <c r="A941" s="10"/>
      <c r="B941" s="13"/>
      <c r="C941" s="13"/>
    </row>
    <row r="942" spans="1:3" ht="13" x14ac:dyDescent="0.15">
      <c r="A942" s="10"/>
      <c r="B942" s="13"/>
      <c r="C942" s="13"/>
    </row>
    <row r="943" spans="1:3" ht="13" x14ac:dyDescent="0.15">
      <c r="A943" s="10"/>
      <c r="B943" s="13"/>
      <c r="C943" s="13"/>
    </row>
    <row r="944" spans="1:3" ht="13" x14ac:dyDescent="0.15">
      <c r="A944" s="10"/>
      <c r="B944" s="13"/>
      <c r="C944" s="13"/>
    </row>
    <row r="945" spans="1:3" ht="13" x14ac:dyDescent="0.15">
      <c r="A945" s="10"/>
      <c r="B945" s="13"/>
      <c r="C945" s="13"/>
    </row>
    <row r="946" spans="1:3" ht="13" x14ac:dyDescent="0.15">
      <c r="A946" s="10"/>
      <c r="B946" s="13"/>
      <c r="C946" s="13"/>
    </row>
    <row r="947" spans="1:3" ht="13" x14ac:dyDescent="0.15">
      <c r="A947" s="10"/>
      <c r="B947" s="13"/>
      <c r="C947" s="13"/>
    </row>
    <row r="948" spans="1:3" ht="13" x14ac:dyDescent="0.15">
      <c r="A948" s="10"/>
      <c r="B948" s="13"/>
      <c r="C948" s="13"/>
    </row>
    <row r="949" spans="1:3" ht="13" x14ac:dyDescent="0.15">
      <c r="A949" s="10"/>
      <c r="B949" s="13"/>
      <c r="C949" s="13"/>
    </row>
    <row r="950" spans="1:3" ht="13" x14ac:dyDescent="0.15">
      <c r="A950" s="10"/>
      <c r="B950" s="13"/>
      <c r="C950" s="13"/>
    </row>
    <row r="951" spans="1:3" ht="13" x14ac:dyDescent="0.15">
      <c r="A951" s="10"/>
      <c r="B951" s="13"/>
      <c r="C951" s="13"/>
    </row>
    <row r="952" spans="1:3" ht="13" x14ac:dyDescent="0.15">
      <c r="A952" s="10"/>
      <c r="B952" s="13"/>
      <c r="C952" s="13"/>
    </row>
    <row r="953" spans="1:3" ht="13" x14ac:dyDescent="0.15">
      <c r="A953" s="10"/>
      <c r="B953" s="13"/>
      <c r="C953" s="13"/>
    </row>
    <row r="954" spans="1:3" ht="13" x14ac:dyDescent="0.15">
      <c r="A954" s="10"/>
      <c r="B954" s="13"/>
      <c r="C954" s="13"/>
    </row>
    <row r="955" spans="1:3" ht="13" x14ac:dyDescent="0.15">
      <c r="A955" s="10"/>
      <c r="B955" s="13"/>
      <c r="C955" s="13"/>
    </row>
    <row r="956" spans="1:3" ht="13" x14ac:dyDescent="0.15">
      <c r="A956" s="10"/>
      <c r="B956" s="13"/>
      <c r="C956" s="13"/>
    </row>
    <row r="957" spans="1:3" ht="13" x14ac:dyDescent="0.15">
      <c r="A957" s="10"/>
      <c r="B957" s="13"/>
      <c r="C957" s="13"/>
    </row>
    <row r="958" spans="1:3" ht="13" x14ac:dyDescent="0.15">
      <c r="A958" s="10"/>
      <c r="B958" s="13"/>
      <c r="C958" s="13"/>
    </row>
    <row r="959" spans="1:3" ht="13" x14ac:dyDescent="0.15">
      <c r="A959" s="10"/>
      <c r="B959" s="13"/>
      <c r="C959" s="13"/>
    </row>
    <row r="960" spans="1:3" ht="13" x14ac:dyDescent="0.15">
      <c r="A960" s="10"/>
      <c r="B960" s="13"/>
      <c r="C960" s="13"/>
    </row>
    <row r="961" spans="1:3" ht="13" x14ac:dyDescent="0.15">
      <c r="A961" s="10"/>
      <c r="B961" s="13"/>
      <c r="C961" s="13"/>
    </row>
    <row r="962" spans="1:3" ht="13" x14ac:dyDescent="0.15">
      <c r="A962" s="10"/>
      <c r="B962" s="13"/>
      <c r="C962" s="13"/>
    </row>
    <row r="963" spans="1:3" ht="13" x14ac:dyDescent="0.15">
      <c r="A963" s="10"/>
      <c r="B963" s="13"/>
      <c r="C963" s="13"/>
    </row>
    <row r="964" spans="1:3" ht="13" x14ac:dyDescent="0.15">
      <c r="A964" s="10"/>
      <c r="B964" s="13"/>
      <c r="C964" s="13"/>
    </row>
    <row r="965" spans="1:3" ht="13" x14ac:dyDescent="0.15">
      <c r="A965" s="10"/>
      <c r="B965" s="13"/>
      <c r="C965" s="13"/>
    </row>
    <row r="966" spans="1:3" ht="13" x14ac:dyDescent="0.15">
      <c r="A966" s="10"/>
      <c r="B966" s="13"/>
      <c r="C966" s="13"/>
    </row>
    <row r="967" spans="1:3" ht="13" x14ac:dyDescent="0.15">
      <c r="A967" s="10"/>
      <c r="B967" s="13"/>
      <c r="C967" s="13"/>
    </row>
    <row r="968" spans="1:3" ht="13" x14ac:dyDescent="0.15">
      <c r="A968" s="10"/>
      <c r="B968" s="13"/>
      <c r="C968" s="13"/>
    </row>
    <row r="969" spans="1:3" ht="13" x14ac:dyDescent="0.15">
      <c r="A969" s="10"/>
      <c r="B969" s="13"/>
      <c r="C969" s="13"/>
    </row>
    <row r="970" spans="1:3" ht="13" x14ac:dyDescent="0.15">
      <c r="A970" s="10"/>
      <c r="B970" s="13"/>
      <c r="C970" s="13"/>
    </row>
    <row r="971" spans="1:3" ht="13" x14ac:dyDescent="0.15">
      <c r="A971" s="10"/>
      <c r="B971" s="13"/>
      <c r="C971" s="13"/>
    </row>
    <row r="972" spans="1:3" ht="13" x14ac:dyDescent="0.15">
      <c r="A972" s="10"/>
      <c r="B972" s="13"/>
      <c r="C972" s="13"/>
    </row>
    <row r="973" spans="1:3" ht="13" x14ac:dyDescent="0.15">
      <c r="A973" s="10"/>
      <c r="B973" s="13"/>
      <c r="C973" s="13"/>
    </row>
    <row r="974" spans="1:3" ht="13" x14ac:dyDescent="0.15">
      <c r="A974" s="10"/>
      <c r="B974" s="13"/>
      <c r="C974" s="13"/>
    </row>
    <row r="975" spans="1:3" ht="13" x14ac:dyDescent="0.15">
      <c r="A975" s="10"/>
      <c r="B975" s="13"/>
      <c r="C975" s="13"/>
    </row>
    <row r="976" spans="1:3" ht="13" x14ac:dyDescent="0.15">
      <c r="A976" s="10"/>
      <c r="B976" s="13"/>
      <c r="C976" s="13"/>
    </row>
    <row r="977" spans="1:3" ht="13" x14ac:dyDescent="0.15">
      <c r="A977" s="10"/>
      <c r="B977" s="13"/>
      <c r="C977" s="13"/>
    </row>
    <row r="978" spans="1:3" ht="13" x14ac:dyDescent="0.15">
      <c r="A978" s="10"/>
      <c r="B978" s="13"/>
      <c r="C978" s="13"/>
    </row>
    <row r="979" spans="1:3" ht="13" x14ac:dyDescent="0.15">
      <c r="A979" s="10"/>
      <c r="B979" s="13"/>
      <c r="C979" s="13"/>
    </row>
    <row r="980" spans="1:3" ht="13" x14ac:dyDescent="0.15">
      <c r="A980" s="10"/>
      <c r="B980" s="13"/>
      <c r="C980" s="13"/>
    </row>
    <row r="981" spans="1:3" ht="13" x14ac:dyDescent="0.15">
      <c r="A981" s="10"/>
      <c r="B981" s="13"/>
      <c r="C981" s="13"/>
    </row>
    <row r="982" spans="1:3" ht="13" x14ac:dyDescent="0.15">
      <c r="A982" s="10"/>
      <c r="B982" s="13"/>
      <c r="C982" s="13"/>
    </row>
    <row r="983" spans="1:3" ht="13" x14ac:dyDescent="0.15">
      <c r="A983" s="10"/>
      <c r="B983" s="13"/>
      <c r="C983" s="13"/>
    </row>
    <row r="984" spans="1:3" ht="13" x14ac:dyDescent="0.15">
      <c r="A984" s="10"/>
      <c r="B984" s="13"/>
      <c r="C984" s="13"/>
    </row>
    <row r="985" spans="1:3" ht="13" x14ac:dyDescent="0.15">
      <c r="A985" s="10"/>
      <c r="B985" s="13"/>
      <c r="C985" s="13"/>
    </row>
    <row r="986" spans="1:3" ht="13" x14ac:dyDescent="0.15">
      <c r="A986" s="10"/>
      <c r="B986" s="13"/>
      <c r="C986" s="13"/>
    </row>
    <row r="987" spans="1:3" ht="13" x14ac:dyDescent="0.15">
      <c r="A987" s="10"/>
      <c r="B987" s="13"/>
      <c r="C987" s="13"/>
    </row>
    <row r="988" spans="1:3" ht="13" x14ac:dyDescent="0.15">
      <c r="A988" s="10"/>
      <c r="B988" s="13"/>
      <c r="C988" s="13"/>
    </row>
    <row r="989" spans="1:3" ht="13" x14ac:dyDescent="0.15">
      <c r="A989" s="10"/>
      <c r="B989" s="13"/>
      <c r="C989" s="13"/>
    </row>
    <row r="990" spans="1:3" ht="13" x14ac:dyDescent="0.15">
      <c r="A990" s="10"/>
      <c r="B990" s="13"/>
      <c r="C990" s="13"/>
    </row>
    <row r="991" spans="1:3" ht="13" x14ac:dyDescent="0.15">
      <c r="A991" s="10"/>
      <c r="B991" s="13"/>
      <c r="C991" s="13"/>
    </row>
    <row r="992" spans="1:3" ht="13" x14ac:dyDescent="0.15">
      <c r="A992" s="10"/>
      <c r="B992" s="13"/>
      <c r="C992" s="13"/>
    </row>
    <row r="993" spans="1:3" ht="13" x14ac:dyDescent="0.15">
      <c r="A993" s="10"/>
      <c r="B993" s="13"/>
      <c r="C993" s="13"/>
    </row>
    <row r="994" spans="1:3" ht="13" x14ac:dyDescent="0.15">
      <c r="A994" s="10"/>
      <c r="B994" s="13"/>
      <c r="C994" s="13"/>
    </row>
    <row r="995" spans="1:3" ht="13" x14ac:dyDescent="0.15">
      <c r="A995" s="10"/>
      <c r="B995" s="13"/>
      <c r="C995" s="13"/>
    </row>
    <row r="996" spans="1:3" ht="13" x14ac:dyDescent="0.15">
      <c r="A996" s="10"/>
      <c r="B996" s="13"/>
      <c r="C996" s="13"/>
    </row>
    <row r="997" spans="1:3" ht="13" x14ac:dyDescent="0.15">
      <c r="A997" s="10"/>
      <c r="B997" s="13"/>
      <c r="C997" s="13"/>
    </row>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outlinePr summaryBelow="0" summaryRight="0"/>
  </sheetPr>
  <dimension ref="A1:D997"/>
  <sheetViews>
    <sheetView workbookViewId="0"/>
  </sheetViews>
  <sheetFormatPr baseColWidth="10" defaultColWidth="12.6640625" defaultRowHeight="15.75" customHeight="1" x14ac:dyDescent="0.15"/>
  <cols>
    <col min="1" max="1" width="71.5" customWidth="1"/>
    <col min="2" max="4" width="37.6640625" customWidth="1"/>
  </cols>
  <sheetData>
    <row r="1" spans="1:4" ht="15.75" customHeight="1" x14ac:dyDescent="0.15">
      <c r="A1" s="1"/>
      <c r="B1" s="10" t="str">
        <f ca="1">IFERROR(__xludf.DUMMYFUNCTION("IMPORTRANGE(""https://docs.google.com/spreadsheets/u/0/d/1QLAeYl5D81_Myo-agZdCgYFm7rliPzxg4xkt-QHL9OA"", ""A50!B1:B22"")"),"Rin")</f>
        <v>Rin</v>
      </c>
      <c r="C1" s="10" t="str">
        <f ca="1">IFERROR(__xludf.DUMMYFUNCTION("IMPORTRANGE(""https://docs.google.com/spreadsheets/u/0/d/1Rfwd61p8X8kU1VBE4PFTeYG7-2eZzi6BYhKfon6XtRs"", ""A50!B1:B22"")"),"Korie Hall")</f>
        <v>Korie Hall</v>
      </c>
      <c r="D1" s="2" t="s">
        <v>1</v>
      </c>
    </row>
    <row r="2" spans="1:4" ht="15.75" customHeight="1" x14ac:dyDescent="0.15">
      <c r="A2" s="3" t="s">
        <v>2</v>
      </c>
      <c r="B2" s="15" t="str">
        <f ca="1">IFERROR(__xludf.DUMMYFUNCTION("""COMPUTED_VALUE"""),"Start: 29268
Stop: 29549 FOR")</f>
        <v>Start: 29268
Stop: 29549 FOR</v>
      </c>
      <c r="C2" s="15" t="str">
        <f ca="1">IFERROR(__xludf.DUMMYFUNCTION("""COMPUTED_VALUE"""),"Start: 29268 / Stop: 29549")</f>
        <v>Start: 29268 / Stop: 29549</v>
      </c>
      <c r="D2" s="4"/>
    </row>
    <row r="3" spans="1:4" ht="15.75" customHeight="1" x14ac:dyDescent="0.15">
      <c r="A3" s="5" t="s">
        <v>3</v>
      </c>
      <c r="B3" s="17" t="str">
        <f ca="1">IFERROR(__xludf.DUMMYFUNCTION("""COMPUTED_VALUE"""),"DNA Master: 49
Phamerator: 50")</f>
        <v>DNA Master: 49
Phamerator: 50</v>
      </c>
      <c r="C3" s="17" t="str">
        <f ca="1">IFERROR(__xludf.DUMMYFUNCTION("""COMPUTED_VALUE"""),"DNA Master: Gene 49 / Phamerator: Gene 50")</f>
        <v>DNA Master: Gene 49 / Phamerator: Gene 50</v>
      </c>
      <c r="D3" s="6"/>
    </row>
    <row r="4" spans="1:4" ht="15.75" customHeight="1" x14ac:dyDescent="0.15">
      <c r="A4" s="5" t="s">
        <v>4</v>
      </c>
      <c r="B4" s="17" t="str">
        <f ca="1">IFERROR(__xludf.DUMMYFUNCTION("""COMPUTED_VALUE"""),"209739 3/13/25")</f>
        <v>209739 3/13/25</v>
      </c>
      <c r="C4" s="17">
        <f ca="1">IFERROR(__xludf.DUMMYFUNCTION("""COMPUTED_VALUE"""),209739)</f>
        <v>209739</v>
      </c>
      <c r="D4" s="6"/>
    </row>
    <row r="5" spans="1:4" ht="15.75" customHeight="1" x14ac:dyDescent="0.15">
      <c r="A5" s="5" t="s">
        <v>5</v>
      </c>
      <c r="B5" s="17" t="str">
        <f ca="1">IFERROR(__xludf.DUMMYFUNCTION("""COMPUTED_VALUE"""),"None")</f>
        <v>None</v>
      </c>
      <c r="C5" s="17" t="str">
        <f ca="1">IFERROR(__xludf.DUMMYFUNCTION("""COMPUTED_VALUE"""),"Orpham")</f>
        <v>Orpham</v>
      </c>
      <c r="D5" s="6"/>
    </row>
    <row r="6" spans="1:4" ht="15.75" customHeight="1" x14ac:dyDescent="0.15">
      <c r="A6" s="5" t="s">
        <v>6</v>
      </c>
      <c r="B6" s="17" t="str">
        <f ca="1">IFERROR(__xludf.DUMMYFUNCTION("""COMPUTED_VALUE"""),"Both supported it with strength of 13.54")</f>
        <v>Both supported it with strength of 13.54</v>
      </c>
      <c r="C6" s="17" t="str">
        <f ca="1">IFERROR(__xludf.DUMMYFUNCTION("""COMPUTED_VALUE"""),"Both call this gene")</f>
        <v>Both call this gene</v>
      </c>
      <c r="D6" s="6"/>
    </row>
    <row r="7" spans="1:4" ht="15.75" customHeight="1" x14ac:dyDescent="0.15">
      <c r="A7" s="5" t="s">
        <v>7</v>
      </c>
      <c r="B7" s="17" t="str">
        <f ca="1">IFERROR(__xludf.DUMMYFUNCTION("""COMPUTED_VALUE"""),"The potential is all shown in the box. It is good.")</f>
        <v>The potential is all shown in the box. It is good.</v>
      </c>
      <c r="C7" s="17" t="str">
        <f ca="1">IFERROR(__xludf.DUMMYFUNCTION("""COMPUTED_VALUE"""),"Gene has some coding potential, all of which is included")</f>
        <v>Gene has some coding potential, all of which is included</v>
      </c>
      <c r="D7" s="6"/>
    </row>
    <row r="8" spans="1:4" ht="15.75" customHeight="1" x14ac:dyDescent="0.15">
      <c r="A8" s="5" t="s">
        <v>8</v>
      </c>
      <c r="B8" s="17" t="str">
        <f ca="1">IFERROR(__xludf.DUMMYFUNCTION("""COMPUTED_VALUE"""),"Yes this is the longest possible ORF  ")</f>
        <v xml:space="preserve">Yes this is the longest possible ORF  </v>
      </c>
      <c r="C8" s="17" t="str">
        <f ca="1">IFERROR(__xludf.DUMMYFUNCTION("""COMPUTED_VALUE"""),"No, there are three longer ORF options")</f>
        <v>No, there are three longer ORF options</v>
      </c>
      <c r="D8" s="6"/>
    </row>
    <row r="9" spans="1:4" ht="15.75" customHeight="1" x14ac:dyDescent="0.15">
      <c r="A9" s="5" t="s">
        <v>9</v>
      </c>
      <c r="B9" s="17" t="str">
        <f ca="1">IFERROR(__xludf.DUMMYFUNCTION("""COMPUTED_VALUE"""),"overlap of 3 nucleotide with the previs gene")</f>
        <v>overlap of 3 nucleotide with the previs gene</v>
      </c>
      <c r="C9" s="17" t="str">
        <f ca="1">IFERROR(__xludf.DUMMYFUNCTION("""COMPUTED_VALUE"""),"No gaps or overlap")</f>
        <v>No gaps or overlap</v>
      </c>
      <c r="D9" s="6"/>
    </row>
    <row r="10" spans="1:4" ht="15.75" customHeight="1" x14ac:dyDescent="0.15">
      <c r="A10" s="5" t="s">
        <v>10</v>
      </c>
      <c r="B10" s="17" t="str">
        <f ca="1">IFERROR(__xludf.DUMMYFUNCTION("""COMPUTED_VALUE"""),"The z-score is 2.807 and F-score is -2.845. It is not the first score but has the best z-score but not the best F-score.")</f>
        <v>The z-score is 2.807 and F-score is -2.845. It is not the first score but has the best z-score but not the best F-score.</v>
      </c>
      <c r="C10" s="17" t="str">
        <f ca="1">IFERROR(__xludf.DUMMYFUNCTION("""COMPUTED_VALUE"""),"Z-score: 2.807 / Final score: -2.845")</f>
        <v>Z-score: 2.807 / Final score: -2.845</v>
      </c>
      <c r="D10" s="6"/>
    </row>
    <row r="11" spans="1:4" ht="15.75" customHeight="1" x14ac:dyDescent="0.15">
      <c r="A11" s="5" t="s">
        <v>11</v>
      </c>
      <c r="B11" s="17" t="str">
        <f ca="1">IFERROR(__xludf.DUMMYFUNCTION("""COMPUTED_VALUE"""),"There were no matches in any Blast.")</f>
        <v>There were no matches in any Blast.</v>
      </c>
      <c r="C11" s="17" t="str">
        <f ca="1">IFERROR(__xludf.DUMMYFUNCTION("""COMPUTED_VALUE"""),"Orphan - NCBI BLAST found no similar sequences  ")</f>
        <v xml:space="preserve">Orphan - NCBI BLAST found no similar sequences  </v>
      </c>
      <c r="D11" s="6"/>
    </row>
    <row r="12" spans="1:4" ht="15.75" customHeight="1" x14ac:dyDescent="0.15">
      <c r="A12" s="5" t="s">
        <v>12</v>
      </c>
      <c r="B12" s="17" t="str">
        <f ca="1">IFERROR(__xludf.DUMMYFUNCTION("""COMPUTED_VALUE"""),"This has nothing as it is an Orpham.")</f>
        <v>This has nothing as it is an Orpham.</v>
      </c>
      <c r="C12" s="17" t="str">
        <f ca="1">IFERROR(__xludf.DUMMYFUNCTION("""COMPUTED_VALUE"""),"Orpham")</f>
        <v>Orpham</v>
      </c>
      <c r="D12" s="6"/>
    </row>
    <row r="13" spans="1:4" ht="15.75" customHeight="1" x14ac:dyDescent="0.15">
      <c r="A13" s="5" t="s">
        <v>13</v>
      </c>
      <c r="B13" s="17" t="str">
        <f ca="1">IFERROR(__xludf.DUMMYFUNCTION("""COMPUTED_VALUE"""),"No evidence to change the start.")</f>
        <v>No evidence to change the start.</v>
      </c>
      <c r="C13" s="17" t="str">
        <f ca="1">IFERROR(__xludf.DUMMYFUNCTION("""COMPUTED_VALUE"""),"Start should not be changed. Z-value is good and changing it could lose coding potential")</f>
        <v>Start should not be changed. Z-value is good and changing it could lose coding potential</v>
      </c>
      <c r="D13" s="6"/>
    </row>
    <row r="14" spans="1:4" ht="15.75" customHeight="1" x14ac:dyDescent="0.15">
      <c r="A14" s="5" t="s">
        <v>14</v>
      </c>
      <c r="B14" s="17" t="str">
        <f ca="1">IFERROR(__xludf.DUMMYFUNCTION("""COMPUTED_VALUE"""),"Sonali_92, e0.003
Maruru_Draft_94,  e0.003")</f>
        <v>Sonali_92, e0.003
Maruru_Draft_94,  e0.003</v>
      </c>
      <c r="C14" s="17" t="str">
        <f ca="1">IFERROR(__xludf.DUMMYFUNCTION("""COMPUTED_VALUE"""),"The best match is itself")</f>
        <v>The best match is itself</v>
      </c>
      <c r="D14" s="6"/>
    </row>
    <row r="15" spans="1:4" ht="15.75" customHeight="1" x14ac:dyDescent="0.15">
      <c r="A15" s="5" t="s">
        <v>15</v>
      </c>
      <c r="B15" s="17" t="str">
        <f ca="1">IFERROR(__xludf.DUMMYFUNCTION("""COMPUTED_VALUE"""),"function unknown for both")</f>
        <v>function unknown for both</v>
      </c>
      <c r="C15" s="17" t="str">
        <f ca="1">IFERROR(__xludf.DUMMYFUNCTION("""COMPUTED_VALUE"""),"Orpham")</f>
        <v>Orpham</v>
      </c>
      <c r="D15" s="6"/>
    </row>
    <row r="16" spans="1:4" ht="15.75" customHeight="1" x14ac:dyDescent="0.15">
      <c r="A16" s="5" t="s">
        <v>16</v>
      </c>
      <c r="B16" s="17" t="str">
        <f ca="1">IFERROR(__xludf.DUMMYFUNCTION("""COMPUTED_VALUE"""),"Yes it matches up well with Kovu")</f>
        <v>Yes it matches up well with Kovu</v>
      </c>
      <c r="C16" s="17" t="str">
        <f ca="1">IFERROR(__xludf.DUMMYFUNCTION("""COMPUTED_VALUE"""),"Compared to its homologous genes, the function would be expected ")</f>
        <v xml:space="preserve">Compared to its homologous genes, the function would be expected </v>
      </c>
      <c r="D16" s="6"/>
    </row>
    <row r="17" spans="1:4" ht="15.75" customHeight="1" x14ac:dyDescent="0.15">
      <c r="A17" s="5" t="s">
        <v>17</v>
      </c>
      <c r="B17" s="17" t="str">
        <f ca="1">IFERROR(__xludf.DUMMYFUNCTION("""COMPUTED_VALUE"""),"6SMK_A Peptidase_M23 domain-containing protein; M23 family, prophage protein, peptidoglycan hydrolase, ANTIMICROBIAL PROTEIN, zinc metallopeptidase; 2.997A {Enterococcus faecalis (strain ATCC 700802 / V583)}
Probability: 54.2%
Query: 19%
Target: 13%
The F"&amp;"unction is only a part of half of the alignment it is not the best.")</f>
        <v>6SMK_A Peptidase_M23 domain-containing protein; M23 family, prophage protein, peptidoglycan hydrolase, ANTIMICROBIAL PROTEIN, zinc metallopeptidase; 2.997A {Enterococcus faecalis (strain ATCC 700802 / V583)}
Probability: 54.2%
Query: 19%
Target: 13%
The Function is only a part of half of the alignment it is not the best.</v>
      </c>
      <c r="C17" s="17" t="str">
        <f ca="1">IFERROR(__xludf.DUMMYFUNCTION("""COMPUTED_VALUE"""),"Matches as of now do not need further inquiry due to the gene being an orpham and the matches being unreliable ")</f>
        <v xml:space="preserve">Matches as of now do not need further inquiry due to the gene being an orpham and the matches being unreliable </v>
      </c>
      <c r="D17" s="6"/>
    </row>
    <row r="18" spans="1:4" ht="15.75" customHeight="1" x14ac:dyDescent="0.15">
      <c r="A18" s="5" t="s">
        <v>18</v>
      </c>
      <c r="B18" s="17" t="str">
        <f ca="1">IFERROR(__xludf.DUMMYFUNCTION("""COMPUTED_VALUE"""),"none")</f>
        <v>none</v>
      </c>
      <c r="C18" s="17" t="str">
        <f ca="1">IFERROR(__xludf.DUMMYFUNCTION("""COMPUTED_VALUE"""),"No conserved domain identified")</f>
        <v>No conserved domain identified</v>
      </c>
      <c r="D18" s="6"/>
    </row>
    <row r="19" spans="1:4" ht="15.75" customHeight="1" x14ac:dyDescent="0.15">
      <c r="A19" s="5" t="s">
        <v>19</v>
      </c>
      <c r="B19" s="17" t="str">
        <f ca="1">IFERROR(__xludf.DUMMYFUNCTION("""COMPUTED_VALUE"""),"none")</f>
        <v>none</v>
      </c>
      <c r="C19" s="17" t="str">
        <f ca="1">IFERROR(__xludf.DUMMYFUNCTION("""COMPUTED_VALUE"""),"No membrane identified")</f>
        <v>No membrane identified</v>
      </c>
      <c r="D19" s="6"/>
    </row>
    <row r="20" spans="1:4" ht="15.75" customHeight="1" x14ac:dyDescent="0.15">
      <c r="A20" s="5" t="s">
        <v>20</v>
      </c>
      <c r="B20" s="17" t="str">
        <f ca="1">IFERROR(__xludf.DUMMYFUNCTION("""COMPUTED_VALUE"""),"No function, there is no evidence to show that this gene has a function. The HHpred scores are terrible and there are no related gene that have a function.")</f>
        <v>No function, there is no evidence to show that this gene has a function. The HHpred scores are terrible and there are no related gene that have a function.</v>
      </c>
      <c r="C20" s="17" t="str">
        <f ca="1">IFERROR(__xludf.DUMMYFUNCTION("""COMPUTED_VALUE"""),"Unknown function / Hypothetical protein ( Rationale: Being an orpham gene there is no way to compare and analyze the gene any further. )")</f>
        <v>Unknown function / Hypothetical protein ( Rationale: Being an orpham gene there is no way to compare and analyze the gene any further. )</v>
      </c>
      <c r="D20" s="6"/>
    </row>
    <row r="21" spans="1:4" x14ac:dyDescent="0.2">
      <c r="A21" s="7"/>
      <c r="B21" s="19"/>
      <c r="C21" s="19"/>
      <c r="D21" s="8"/>
    </row>
    <row r="22" spans="1:4" ht="15.75" customHeight="1" x14ac:dyDescent="0.15">
      <c r="A22" s="9" t="s">
        <v>21</v>
      </c>
      <c r="B22" s="19"/>
      <c r="C22" s="19"/>
      <c r="D22" s="8"/>
    </row>
    <row r="23" spans="1:4" ht="15.75" customHeight="1" x14ac:dyDescent="0.15">
      <c r="A23" s="10"/>
      <c r="B23" s="13"/>
      <c r="C23" s="13"/>
    </row>
    <row r="24" spans="1:4" ht="15.75" customHeight="1" x14ac:dyDescent="0.15">
      <c r="A24" s="10"/>
      <c r="B24" s="13"/>
      <c r="C24" s="13"/>
    </row>
    <row r="25" spans="1:4" ht="15.75" customHeight="1" x14ac:dyDescent="0.15">
      <c r="A25" s="10"/>
      <c r="B25" s="13"/>
      <c r="C25" s="13"/>
    </row>
    <row r="26" spans="1:4" ht="15.75" customHeight="1" x14ac:dyDescent="0.15">
      <c r="A26" s="10"/>
      <c r="B26" s="13"/>
      <c r="C26" s="13"/>
    </row>
    <row r="27" spans="1:4" ht="15.75" customHeight="1" x14ac:dyDescent="0.15">
      <c r="A27" s="10"/>
      <c r="B27" s="13"/>
      <c r="C27" s="13"/>
    </row>
    <row r="28" spans="1:4" ht="15.75" customHeight="1" x14ac:dyDescent="0.15">
      <c r="A28" s="10"/>
      <c r="B28" s="13"/>
      <c r="C28" s="13"/>
    </row>
    <row r="29" spans="1:4" ht="15.75" customHeight="1" x14ac:dyDescent="0.15">
      <c r="A29" s="10"/>
      <c r="B29" s="13"/>
      <c r="C29" s="13"/>
    </row>
    <row r="30" spans="1:4" ht="15.75" customHeight="1" x14ac:dyDescent="0.15">
      <c r="A30" s="10"/>
      <c r="B30" s="13"/>
      <c r="C30" s="13"/>
    </row>
    <row r="31" spans="1:4" ht="15.75" customHeight="1" x14ac:dyDescent="0.15">
      <c r="A31" s="10"/>
      <c r="B31" s="13"/>
      <c r="C31" s="13"/>
    </row>
    <row r="32" spans="1:4" ht="15.75" customHeight="1" x14ac:dyDescent="0.15">
      <c r="A32" s="10"/>
      <c r="B32" s="13"/>
      <c r="C32" s="13"/>
    </row>
    <row r="33" spans="1:3" ht="15.75" customHeight="1" x14ac:dyDescent="0.15">
      <c r="A33" s="10"/>
      <c r="B33" s="13"/>
      <c r="C33" s="13"/>
    </row>
    <row r="34" spans="1:3" ht="15.75" customHeight="1" x14ac:dyDescent="0.15">
      <c r="A34" s="10"/>
      <c r="B34" s="13"/>
      <c r="C34" s="13"/>
    </row>
    <row r="35" spans="1:3" ht="15.75" customHeight="1" x14ac:dyDescent="0.15">
      <c r="A35" s="10"/>
      <c r="B35" s="13"/>
      <c r="C35" s="13"/>
    </row>
    <row r="36" spans="1:3" ht="15.75" customHeight="1" x14ac:dyDescent="0.15">
      <c r="A36" s="10"/>
      <c r="B36" s="13"/>
      <c r="C36" s="13"/>
    </row>
    <row r="37" spans="1:3" ht="15.75" customHeight="1" x14ac:dyDescent="0.15">
      <c r="A37" s="10"/>
      <c r="B37" s="13"/>
      <c r="C37" s="13"/>
    </row>
    <row r="38" spans="1:3" ht="15.75" customHeight="1" x14ac:dyDescent="0.15">
      <c r="A38" s="10"/>
      <c r="B38" s="13"/>
      <c r="C38" s="13"/>
    </row>
    <row r="39" spans="1:3" ht="13" x14ac:dyDescent="0.15">
      <c r="A39" s="10"/>
      <c r="B39" s="13"/>
      <c r="C39" s="13"/>
    </row>
    <row r="40" spans="1:3" ht="13" x14ac:dyDescent="0.15">
      <c r="A40" s="10"/>
      <c r="B40" s="13"/>
      <c r="C40" s="13"/>
    </row>
    <row r="41" spans="1:3" ht="13" x14ac:dyDescent="0.15">
      <c r="A41" s="10"/>
      <c r="B41" s="13"/>
      <c r="C41" s="13"/>
    </row>
    <row r="42" spans="1:3" ht="13" x14ac:dyDescent="0.15">
      <c r="A42" s="10"/>
      <c r="B42" s="13"/>
      <c r="C42" s="13"/>
    </row>
    <row r="43" spans="1:3" ht="13" x14ac:dyDescent="0.15">
      <c r="A43" s="10"/>
      <c r="B43" s="13"/>
      <c r="C43" s="13"/>
    </row>
    <row r="44" spans="1:3" ht="13" x14ac:dyDescent="0.15">
      <c r="A44" s="10"/>
      <c r="B44" s="13"/>
      <c r="C44" s="13"/>
    </row>
    <row r="45" spans="1:3" ht="13" x14ac:dyDescent="0.15">
      <c r="A45" s="10"/>
      <c r="B45" s="13"/>
      <c r="C45" s="13"/>
    </row>
    <row r="46" spans="1:3" ht="13" x14ac:dyDescent="0.15">
      <c r="A46" s="10"/>
      <c r="B46" s="13"/>
      <c r="C46" s="13"/>
    </row>
    <row r="47" spans="1:3" ht="13" x14ac:dyDescent="0.15">
      <c r="A47" s="10"/>
      <c r="B47" s="13"/>
      <c r="C47" s="13"/>
    </row>
    <row r="48" spans="1:3" ht="13" x14ac:dyDescent="0.15">
      <c r="A48" s="10"/>
      <c r="B48" s="13"/>
      <c r="C48" s="13"/>
    </row>
    <row r="49" spans="1:3" ht="13" x14ac:dyDescent="0.15">
      <c r="A49" s="10"/>
      <c r="B49" s="13"/>
      <c r="C49" s="13"/>
    </row>
    <row r="50" spans="1:3" ht="13" x14ac:dyDescent="0.15">
      <c r="A50" s="10"/>
      <c r="B50" s="13"/>
      <c r="C50" s="13"/>
    </row>
    <row r="51" spans="1:3" ht="13" x14ac:dyDescent="0.15">
      <c r="A51" s="10"/>
      <c r="B51" s="13"/>
      <c r="C51" s="13"/>
    </row>
    <row r="52" spans="1:3" ht="13" x14ac:dyDescent="0.15">
      <c r="A52" s="10"/>
      <c r="B52" s="13"/>
      <c r="C52" s="13"/>
    </row>
    <row r="53" spans="1:3" ht="13" x14ac:dyDescent="0.15">
      <c r="A53" s="10"/>
      <c r="B53" s="13"/>
      <c r="C53" s="13"/>
    </row>
    <row r="54" spans="1:3" ht="13" x14ac:dyDescent="0.15">
      <c r="A54" s="10"/>
      <c r="B54" s="13"/>
      <c r="C54" s="13"/>
    </row>
    <row r="55" spans="1:3" ht="13" x14ac:dyDescent="0.15">
      <c r="A55" s="10"/>
      <c r="B55" s="13"/>
      <c r="C55" s="13"/>
    </row>
    <row r="56" spans="1:3" ht="13" x14ac:dyDescent="0.15">
      <c r="A56" s="10"/>
      <c r="B56" s="13"/>
      <c r="C56" s="13"/>
    </row>
    <row r="57" spans="1:3" ht="13" x14ac:dyDescent="0.15">
      <c r="A57" s="10"/>
      <c r="B57" s="13"/>
      <c r="C57" s="13"/>
    </row>
    <row r="58" spans="1:3" ht="13" x14ac:dyDescent="0.15">
      <c r="A58" s="10"/>
      <c r="B58" s="13"/>
      <c r="C58" s="13"/>
    </row>
    <row r="59" spans="1:3" ht="13" x14ac:dyDescent="0.15">
      <c r="A59" s="10"/>
      <c r="B59" s="13"/>
      <c r="C59" s="13"/>
    </row>
    <row r="60" spans="1:3" ht="13" x14ac:dyDescent="0.15">
      <c r="A60" s="10"/>
      <c r="B60" s="13"/>
      <c r="C60" s="13"/>
    </row>
    <row r="61" spans="1:3" ht="13" x14ac:dyDescent="0.15">
      <c r="A61" s="10"/>
      <c r="B61" s="13"/>
      <c r="C61" s="13"/>
    </row>
    <row r="62" spans="1:3" ht="13" x14ac:dyDescent="0.15">
      <c r="A62" s="10"/>
      <c r="B62" s="13"/>
      <c r="C62" s="13"/>
    </row>
    <row r="63" spans="1:3" ht="13" x14ac:dyDescent="0.15">
      <c r="A63" s="10"/>
      <c r="B63" s="13"/>
      <c r="C63" s="13"/>
    </row>
    <row r="64" spans="1:3" ht="13" x14ac:dyDescent="0.15">
      <c r="A64" s="10"/>
      <c r="B64" s="13"/>
      <c r="C64" s="13"/>
    </row>
    <row r="65" spans="1:3" ht="13" x14ac:dyDescent="0.15">
      <c r="A65" s="10"/>
      <c r="B65" s="13"/>
      <c r="C65" s="13"/>
    </row>
    <row r="66" spans="1:3" ht="13" x14ac:dyDescent="0.15">
      <c r="A66" s="10"/>
      <c r="B66" s="13"/>
      <c r="C66" s="13"/>
    </row>
    <row r="67" spans="1:3" ht="13" x14ac:dyDescent="0.15">
      <c r="A67" s="10"/>
      <c r="B67" s="13"/>
      <c r="C67" s="13"/>
    </row>
    <row r="68" spans="1:3" ht="13" x14ac:dyDescent="0.15">
      <c r="A68" s="10"/>
      <c r="B68" s="13"/>
      <c r="C68" s="13"/>
    </row>
    <row r="69" spans="1:3" ht="13" x14ac:dyDescent="0.15">
      <c r="A69" s="10"/>
      <c r="B69" s="13"/>
      <c r="C69" s="13"/>
    </row>
    <row r="70" spans="1:3" ht="13" x14ac:dyDescent="0.15">
      <c r="A70" s="10"/>
      <c r="B70" s="13"/>
      <c r="C70" s="13"/>
    </row>
    <row r="71" spans="1:3" ht="13" x14ac:dyDescent="0.15">
      <c r="A71" s="10"/>
      <c r="B71" s="13"/>
      <c r="C71" s="13"/>
    </row>
    <row r="72" spans="1:3" ht="13" x14ac:dyDescent="0.15">
      <c r="A72" s="10"/>
      <c r="B72" s="13"/>
      <c r="C72" s="13"/>
    </row>
    <row r="73" spans="1:3" ht="13" x14ac:dyDescent="0.15">
      <c r="A73" s="10"/>
      <c r="B73" s="13"/>
      <c r="C73" s="13"/>
    </row>
    <row r="74" spans="1:3" ht="13" x14ac:dyDescent="0.15">
      <c r="A74" s="10"/>
      <c r="B74" s="13"/>
      <c r="C74" s="13"/>
    </row>
    <row r="75" spans="1:3" ht="13" x14ac:dyDescent="0.15">
      <c r="A75" s="10"/>
      <c r="B75" s="13"/>
      <c r="C75" s="13"/>
    </row>
    <row r="76" spans="1:3" ht="13" x14ac:dyDescent="0.15">
      <c r="A76" s="10"/>
      <c r="B76" s="13"/>
      <c r="C76" s="13"/>
    </row>
    <row r="77" spans="1:3" ht="13" x14ac:dyDescent="0.15">
      <c r="A77" s="10"/>
      <c r="B77" s="13"/>
      <c r="C77" s="13"/>
    </row>
    <row r="78" spans="1:3" ht="13" x14ac:dyDescent="0.15">
      <c r="A78" s="10"/>
      <c r="B78" s="13"/>
      <c r="C78" s="13"/>
    </row>
    <row r="79" spans="1:3" ht="13" x14ac:dyDescent="0.15">
      <c r="A79" s="10"/>
      <c r="B79" s="13"/>
      <c r="C79" s="13"/>
    </row>
    <row r="80" spans="1:3" ht="13" x14ac:dyDescent="0.15">
      <c r="A80" s="10"/>
      <c r="B80" s="13"/>
      <c r="C80" s="13"/>
    </row>
    <row r="81" spans="1:3" ht="13" x14ac:dyDescent="0.15">
      <c r="A81" s="10"/>
      <c r="B81" s="13"/>
      <c r="C81" s="13"/>
    </row>
    <row r="82" spans="1:3" ht="13" x14ac:dyDescent="0.15">
      <c r="A82" s="10"/>
      <c r="B82" s="13"/>
      <c r="C82" s="13"/>
    </row>
    <row r="83" spans="1:3" ht="13" x14ac:dyDescent="0.15">
      <c r="A83" s="10"/>
      <c r="B83" s="13"/>
      <c r="C83" s="13"/>
    </row>
    <row r="84" spans="1:3" ht="13" x14ac:dyDescent="0.15">
      <c r="A84" s="10"/>
      <c r="B84" s="13"/>
      <c r="C84" s="13"/>
    </row>
    <row r="85" spans="1:3" ht="13" x14ac:dyDescent="0.15">
      <c r="A85" s="10"/>
      <c r="B85" s="13"/>
      <c r="C85" s="13"/>
    </row>
    <row r="86" spans="1:3" ht="13" x14ac:dyDescent="0.15">
      <c r="A86" s="10"/>
      <c r="B86" s="13"/>
      <c r="C86" s="13"/>
    </row>
    <row r="87" spans="1:3" ht="13" x14ac:dyDescent="0.15">
      <c r="A87" s="10"/>
      <c r="B87" s="13"/>
      <c r="C87" s="13"/>
    </row>
    <row r="88" spans="1:3" ht="13" x14ac:dyDescent="0.15">
      <c r="A88" s="10"/>
      <c r="B88" s="13"/>
      <c r="C88" s="13"/>
    </row>
    <row r="89" spans="1:3" ht="13" x14ac:dyDescent="0.15">
      <c r="A89" s="10"/>
      <c r="B89" s="13"/>
      <c r="C89" s="13"/>
    </row>
    <row r="90" spans="1:3" ht="13" x14ac:dyDescent="0.15">
      <c r="A90" s="10"/>
      <c r="B90" s="13"/>
      <c r="C90" s="13"/>
    </row>
    <row r="91" spans="1:3" ht="13" x14ac:dyDescent="0.15">
      <c r="A91" s="10"/>
      <c r="B91" s="13"/>
      <c r="C91" s="13"/>
    </row>
    <row r="92" spans="1:3" ht="13" x14ac:dyDescent="0.15">
      <c r="A92" s="10"/>
      <c r="B92" s="13"/>
      <c r="C92" s="13"/>
    </row>
    <row r="93" spans="1:3" ht="13" x14ac:dyDescent="0.15">
      <c r="A93" s="10"/>
      <c r="B93" s="13"/>
      <c r="C93" s="13"/>
    </row>
    <row r="94" spans="1:3" ht="13" x14ac:dyDescent="0.15">
      <c r="A94" s="10"/>
      <c r="B94" s="13"/>
      <c r="C94" s="13"/>
    </row>
    <row r="95" spans="1:3" ht="13" x14ac:dyDescent="0.15">
      <c r="A95" s="10"/>
      <c r="B95" s="13"/>
      <c r="C95" s="13"/>
    </row>
    <row r="96" spans="1:3" ht="13" x14ac:dyDescent="0.15">
      <c r="A96" s="10"/>
      <c r="B96" s="13"/>
      <c r="C96" s="13"/>
    </row>
    <row r="97" spans="1:3" ht="13" x14ac:dyDescent="0.15">
      <c r="A97" s="10"/>
      <c r="B97" s="13"/>
      <c r="C97" s="13"/>
    </row>
    <row r="98" spans="1:3" ht="13" x14ac:dyDescent="0.15">
      <c r="A98" s="10"/>
      <c r="B98" s="13"/>
      <c r="C98" s="13"/>
    </row>
    <row r="99" spans="1:3" ht="13" x14ac:dyDescent="0.15">
      <c r="A99" s="10"/>
      <c r="B99" s="13"/>
      <c r="C99" s="13"/>
    </row>
    <row r="100" spans="1:3" ht="13" x14ac:dyDescent="0.15">
      <c r="A100" s="10"/>
      <c r="B100" s="13"/>
      <c r="C100" s="13"/>
    </row>
    <row r="101" spans="1:3" ht="13" x14ac:dyDescent="0.15">
      <c r="A101" s="10"/>
      <c r="B101" s="13"/>
      <c r="C101" s="13"/>
    </row>
    <row r="102" spans="1:3" ht="13" x14ac:dyDescent="0.15">
      <c r="A102" s="10"/>
      <c r="B102" s="13"/>
      <c r="C102" s="13"/>
    </row>
    <row r="103" spans="1:3" ht="13" x14ac:dyDescent="0.15">
      <c r="A103" s="10"/>
      <c r="B103" s="13"/>
      <c r="C103" s="13"/>
    </row>
    <row r="104" spans="1:3" ht="13" x14ac:dyDescent="0.15">
      <c r="A104" s="10"/>
      <c r="B104" s="13"/>
      <c r="C104" s="13"/>
    </row>
    <row r="105" spans="1:3" ht="13" x14ac:dyDescent="0.15">
      <c r="A105" s="10"/>
      <c r="B105" s="13"/>
      <c r="C105" s="13"/>
    </row>
    <row r="106" spans="1:3" ht="13" x14ac:dyDescent="0.15">
      <c r="A106" s="10"/>
      <c r="B106" s="13"/>
      <c r="C106" s="13"/>
    </row>
    <row r="107" spans="1:3" ht="13" x14ac:dyDescent="0.15">
      <c r="A107" s="10"/>
      <c r="B107" s="13"/>
      <c r="C107" s="13"/>
    </row>
    <row r="108" spans="1:3" ht="13" x14ac:dyDescent="0.15">
      <c r="A108" s="10"/>
      <c r="B108" s="13"/>
      <c r="C108" s="13"/>
    </row>
    <row r="109" spans="1:3" ht="13" x14ac:dyDescent="0.15">
      <c r="A109" s="10"/>
      <c r="B109" s="13"/>
      <c r="C109" s="13"/>
    </row>
    <row r="110" spans="1:3" ht="13" x14ac:dyDescent="0.15">
      <c r="A110" s="10"/>
      <c r="B110" s="13"/>
      <c r="C110" s="13"/>
    </row>
    <row r="111" spans="1:3" ht="13" x14ac:dyDescent="0.15">
      <c r="A111" s="10"/>
      <c r="B111" s="13"/>
      <c r="C111" s="13"/>
    </row>
    <row r="112" spans="1:3" ht="13" x14ac:dyDescent="0.15">
      <c r="A112" s="10"/>
      <c r="B112" s="13"/>
      <c r="C112" s="13"/>
    </row>
    <row r="113" spans="1:3" ht="13" x14ac:dyDescent="0.15">
      <c r="A113" s="10"/>
      <c r="B113" s="13"/>
      <c r="C113" s="13"/>
    </row>
    <row r="114" spans="1:3" ht="13" x14ac:dyDescent="0.15">
      <c r="A114" s="10"/>
      <c r="B114" s="13"/>
      <c r="C114" s="13"/>
    </row>
    <row r="115" spans="1:3" ht="13" x14ac:dyDescent="0.15">
      <c r="A115" s="10"/>
      <c r="B115" s="13"/>
      <c r="C115" s="13"/>
    </row>
    <row r="116" spans="1:3" ht="13" x14ac:dyDescent="0.15">
      <c r="A116" s="10"/>
      <c r="B116" s="13"/>
      <c r="C116" s="13"/>
    </row>
    <row r="117" spans="1:3" ht="13" x14ac:dyDescent="0.15">
      <c r="A117" s="10"/>
      <c r="B117" s="13"/>
      <c r="C117" s="13"/>
    </row>
    <row r="118" spans="1:3" ht="13" x14ac:dyDescent="0.15">
      <c r="A118" s="10"/>
      <c r="B118" s="13"/>
      <c r="C118" s="13"/>
    </row>
    <row r="119" spans="1:3" ht="13" x14ac:dyDescent="0.15">
      <c r="A119" s="10"/>
      <c r="B119" s="13"/>
      <c r="C119" s="13"/>
    </row>
    <row r="120" spans="1:3" ht="13" x14ac:dyDescent="0.15">
      <c r="A120" s="10"/>
      <c r="B120" s="13"/>
      <c r="C120" s="13"/>
    </row>
    <row r="121" spans="1:3" ht="13" x14ac:dyDescent="0.15">
      <c r="A121" s="10"/>
      <c r="B121" s="13"/>
      <c r="C121" s="13"/>
    </row>
    <row r="122" spans="1:3" ht="13" x14ac:dyDescent="0.15">
      <c r="A122" s="10"/>
      <c r="B122" s="13"/>
      <c r="C122" s="13"/>
    </row>
    <row r="123" spans="1:3" ht="13" x14ac:dyDescent="0.15">
      <c r="A123" s="10"/>
      <c r="B123" s="13"/>
      <c r="C123" s="13"/>
    </row>
    <row r="124" spans="1:3" ht="13" x14ac:dyDescent="0.15">
      <c r="A124" s="10"/>
      <c r="B124" s="13"/>
      <c r="C124" s="13"/>
    </row>
    <row r="125" spans="1:3" ht="13" x14ac:dyDescent="0.15">
      <c r="A125" s="10"/>
      <c r="B125" s="13"/>
      <c r="C125" s="13"/>
    </row>
    <row r="126" spans="1:3" ht="13" x14ac:dyDescent="0.15">
      <c r="A126" s="10"/>
      <c r="B126" s="13"/>
      <c r="C126" s="13"/>
    </row>
    <row r="127" spans="1:3" ht="13" x14ac:dyDescent="0.15">
      <c r="A127" s="10"/>
      <c r="B127" s="13"/>
      <c r="C127" s="13"/>
    </row>
    <row r="128" spans="1:3" ht="13" x14ac:dyDescent="0.15">
      <c r="A128" s="10"/>
      <c r="B128" s="13"/>
      <c r="C128" s="13"/>
    </row>
    <row r="129" spans="1:3" ht="13" x14ac:dyDescent="0.15">
      <c r="A129" s="10"/>
      <c r="B129" s="13"/>
      <c r="C129" s="13"/>
    </row>
    <row r="130" spans="1:3" ht="13" x14ac:dyDescent="0.15">
      <c r="A130" s="10"/>
      <c r="B130" s="13"/>
      <c r="C130" s="13"/>
    </row>
    <row r="131" spans="1:3" ht="13" x14ac:dyDescent="0.15">
      <c r="A131" s="10"/>
      <c r="B131" s="13"/>
      <c r="C131" s="13"/>
    </row>
    <row r="132" spans="1:3" ht="13" x14ac:dyDescent="0.15">
      <c r="A132" s="10"/>
      <c r="B132" s="13"/>
      <c r="C132" s="13"/>
    </row>
    <row r="133" spans="1:3" ht="13" x14ac:dyDescent="0.15">
      <c r="A133" s="10"/>
      <c r="B133" s="13"/>
      <c r="C133" s="13"/>
    </row>
    <row r="134" spans="1:3" ht="13" x14ac:dyDescent="0.15">
      <c r="A134" s="10"/>
      <c r="B134" s="13"/>
      <c r="C134" s="13"/>
    </row>
    <row r="135" spans="1:3" ht="13" x14ac:dyDescent="0.15">
      <c r="A135" s="10"/>
      <c r="B135" s="13"/>
      <c r="C135" s="13"/>
    </row>
    <row r="136" spans="1:3" ht="13" x14ac:dyDescent="0.15">
      <c r="A136" s="10"/>
      <c r="B136" s="13"/>
      <c r="C136" s="13"/>
    </row>
    <row r="137" spans="1:3" ht="13" x14ac:dyDescent="0.15">
      <c r="A137" s="10"/>
      <c r="B137" s="13"/>
      <c r="C137" s="13"/>
    </row>
    <row r="138" spans="1:3" ht="13" x14ac:dyDescent="0.15">
      <c r="A138" s="10"/>
      <c r="B138" s="13"/>
      <c r="C138" s="13"/>
    </row>
    <row r="139" spans="1:3" ht="13" x14ac:dyDescent="0.15">
      <c r="A139" s="10"/>
      <c r="B139" s="13"/>
      <c r="C139" s="13"/>
    </row>
    <row r="140" spans="1:3" ht="13" x14ac:dyDescent="0.15">
      <c r="A140" s="10"/>
      <c r="B140" s="13"/>
      <c r="C140" s="13"/>
    </row>
    <row r="141" spans="1:3" ht="13" x14ac:dyDescent="0.15">
      <c r="A141" s="10"/>
      <c r="B141" s="13"/>
      <c r="C141" s="13"/>
    </row>
    <row r="142" spans="1:3" ht="13" x14ac:dyDescent="0.15">
      <c r="A142" s="10"/>
      <c r="B142" s="13"/>
      <c r="C142" s="13"/>
    </row>
    <row r="143" spans="1:3" ht="13" x14ac:dyDescent="0.15">
      <c r="A143" s="10"/>
      <c r="B143" s="13"/>
      <c r="C143" s="13"/>
    </row>
    <row r="144" spans="1:3" ht="13" x14ac:dyDescent="0.15">
      <c r="A144" s="10"/>
      <c r="B144" s="13"/>
      <c r="C144" s="13"/>
    </row>
    <row r="145" spans="1:3" ht="13" x14ac:dyDescent="0.15">
      <c r="A145" s="10"/>
      <c r="B145" s="13"/>
      <c r="C145" s="13"/>
    </row>
    <row r="146" spans="1:3" ht="13" x14ac:dyDescent="0.15">
      <c r="A146" s="10"/>
      <c r="B146" s="13"/>
      <c r="C146" s="13"/>
    </row>
    <row r="147" spans="1:3" ht="13" x14ac:dyDescent="0.15">
      <c r="A147" s="10"/>
      <c r="B147" s="13"/>
      <c r="C147" s="13"/>
    </row>
    <row r="148" spans="1:3" ht="13" x14ac:dyDescent="0.15">
      <c r="A148" s="10"/>
      <c r="B148" s="13"/>
      <c r="C148" s="13"/>
    </row>
    <row r="149" spans="1:3" ht="13" x14ac:dyDescent="0.15">
      <c r="A149" s="10"/>
      <c r="B149" s="13"/>
      <c r="C149" s="13"/>
    </row>
    <row r="150" spans="1:3" ht="13" x14ac:dyDescent="0.15">
      <c r="A150" s="10"/>
      <c r="B150" s="13"/>
      <c r="C150" s="13"/>
    </row>
    <row r="151" spans="1:3" ht="13" x14ac:dyDescent="0.15">
      <c r="A151" s="10"/>
      <c r="B151" s="13"/>
      <c r="C151" s="13"/>
    </row>
    <row r="152" spans="1:3" ht="13" x14ac:dyDescent="0.15">
      <c r="A152" s="10"/>
      <c r="B152" s="13"/>
      <c r="C152" s="13"/>
    </row>
    <row r="153" spans="1:3" ht="13" x14ac:dyDescent="0.15">
      <c r="A153" s="10"/>
      <c r="B153" s="13"/>
      <c r="C153" s="13"/>
    </row>
    <row r="154" spans="1:3" ht="13" x14ac:dyDescent="0.15">
      <c r="A154" s="10"/>
      <c r="B154" s="13"/>
      <c r="C154" s="13"/>
    </row>
    <row r="155" spans="1:3" ht="13" x14ac:dyDescent="0.15">
      <c r="A155" s="10"/>
      <c r="B155" s="13"/>
      <c r="C155" s="13"/>
    </row>
    <row r="156" spans="1:3" ht="13" x14ac:dyDescent="0.15">
      <c r="A156" s="10"/>
      <c r="B156" s="13"/>
      <c r="C156" s="13"/>
    </row>
    <row r="157" spans="1:3" ht="13" x14ac:dyDescent="0.15">
      <c r="A157" s="10"/>
      <c r="B157" s="13"/>
      <c r="C157" s="13"/>
    </row>
    <row r="158" spans="1:3" ht="13" x14ac:dyDescent="0.15">
      <c r="A158" s="10"/>
      <c r="B158" s="13"/>
      <c r="C158" s="13"/>
    </row>
    <row r="159" spans="1:3" ht="13" x14ac:dyDescent="0.15">
      <c r="A159" s="10"/>
      <c r="B159" s="13"/>
      <c r="C159" s="13"/>
    </row>
    <row r="160" spans="1:3" ht="13" x14ac:dyDescent="0.15">
      <c r="A160" s="10"/>
      <c r="B160" s="13"/>
      <c r="C160" s="13"/>
    </row>
    <row r="161" spans="1:3" ht="13" x14ac:dyDescent="0.15">
      <c r="A161" s="10"/>
      <c r="B161" s="13"/>
      <c r="C161" s="13"/>
    </row>
    <row r="162" spans="1:3" ht="13" x14ac:dyDescent="0.15">
      <c r="A162" s="10"/>
      <c r="B162" s="13"/>
      <c r="C162" s="13"/>
    </row>
    <row r="163" spans="1:3" ht="13" x14ac:dyDescent="0.15">
      <c r="A163" s="10"/>
      <c r="B163" s="13"/>
      <c r="C163" s="13"/>
    </row>
    <row r="164" spans="1:3" ht="13" x14ac:dyDescent="0.15">
      <c r="A164" s="10"/>
      <c r="B164" s="13"/>
      <c r="C164" s="13"/>
    </row>
    <row r="165" spans="1:3" ht="13" x14ac:dyDescent="0.15">
      <c r="A165" s="10"/>
      <c r="B165" s="13"/>
      <c r="C165" s="13"/>
    </row>
    <row r="166" spans="1:3" ht="13" x14ac:dyDescent="0.15">
      <c r="A166" s="10"/>
      <c r="B166" s="13"/>
      <c r="C166" s="13"/>
    </row>
    <row r="167" spans="1:3" ht="13" x14ac:dyDescent="0.15">
      <c r="A167" s="10"/>
      <c r="B167" s="13"/>
      <c r="C167" s="13"/>
    </row>
    <row r="168" spans="1:3" ht="13" x14ac:dyDescent="0.15">
      <c r="A168" s="10"/>
      <c r="B168" s="13"/>
      <c r="C168" s="13"/>
    </row>
    <row r="169" spans="1:3" ht="13" x14ac:dyDescent="0.15">
      <c r="A169" s="10"/>
      <c r="B169" s="13"/>
      <c r="C169" s="13"/>
    </row>
    <row r="170" spans="1:3" ht="13" x14ac:dyDescent="0.15">
      <c r="A170" s="10"/>
      <c r="B170" s="13"/>
      <c r="C170" s="13"/>
    </row>
    <row r="171" spans="1:3" ht="13" x14ac:dyDescent="0.15">
      <c r="A171" s="10"/>
      <c r="B171" s="13"/>
      <c r="C171" s="13"/>
    </row>
    <row r="172" spans="1:3" ht="13" x14ac:dyDescent="0.15">
      <c r="A172" s="10"/>
      <c r="B172" s="13"/>
      <c r="C172" s="13"/>
    </row>
    <row r="173" spans="1:3" ht="13" x14ac:dyDescent="0.15">
      <c r="A173" s="10"/>
      <c r="B173" s="13"/>
      <c r="C173" s="13"/>
    </row>
    <row r="174" spans="1:3" ht="13" x14ac:dyDescent="0.15">
      <c r="A174" s="10"/>
      <c r="B174" s="13"/>
      <c r="C174" s="13"/>
    </row>
    <row r="175" spans="1:3" ht="13" x14ac:dyDescent="0.15">
      <c r="A175" s="10"/>
      <c r="B175" s="13"/>
      <c r="C175" s="13"/>
    </row>
    <row r="176" spans="1:3" ht="13" x14ac:dyDescent="0.15">
      <c r="A176" s="10"/>
      <c r="B176" s="13"/>
      <c r="C176" s="13"/>
    </row>
    <row r="177" spans="1:3" ht="13" x14ac:dyDescent="0.15">
      <c r="A177" s="10"/>
      <c r="B177" s="13"/>
      <c r="C177" s="13"/>
    </row>
    <row r="178" spans="1:3" ht="13" x14ac:dyDescent="0.15">
      <c r="A178" s="10"/>
      <c r="B178" s="13"/>
      <c r="C178" s="13"/>
    </row>
    <row r="179" spans="1:3" ht="13" x14ac:dyDescent="0.15">
      <c r="A179" s="10"/>
      <c r="B179" s="13"/>
      <c r="C179" s="13"/>
    </row>
    <row r="180" spans="1:3" ht="13" x14ac:dyDescent="0.15">
      <c r="A180" s="10"/>
      <c r="B180" s="13"/>
      <c r="C180" s="13"/>
    </row>
    <row r="181" spans="1:3" ht="13" x14ac:dyDescent="0.15">
      <c r="A181" s="10"/>
      <c r="B181" s="13"/>
      <c r="C181" s="13"/>
    </row>
    <row r="182" spans="1:3" ht="13" x14ac:dyDescent="0.15">
      <c r="A182" s="10"/>
      <c r="B182" s="13"/>
      <c r="C182" s="13"/>
    </row>
    <row r="183" spans="1:3" ht="13" x14ac:dyDescent="0.15">
      <c r="A183" s="10"/>
      <c r="B183" s="13"/>
      <c r="C183" s="13"/>
    </row>
    <row r="184" spans="1:3" ht="13" x14ac:dyDescent="0.15">
      <c r="A184" s="10"/>
      <c r="B184" s="13"/>
      <c r="C184" s="13"/>
    </row>
    <row r="185" spans="1:3" ht="13" x14ac:dyDescent="0.15">
      <c r="A185" s="10"/>
      <c r="B185" s="13"/>
      <c r="C185" s="13"/>
    </row>
    <row r="186" spans="1:3" ht="13" x14ac:dyDescent="0.15">
      <c r="A186" s="10"/>
      <c r="B186" s="13"/>
      <c r="C186" s="13"/>
    </row>
    <row r="187" spans="1:3" ht="13" x14ac:dyDescent="0.15">
      <c r="A187" s="10"/>
      <c r="B187" s="13"/>
      <c r="C187" s="13"/>
    </row>
    <row r="188" spans="1:3" ht="13" x14ac:dyDescent="0.15">
      <c r="A188" s="10"/>
      <c r="B188" s="13"/>
      <c r="C188" s="13"/>
    </row>
    <row r="189" spans="1:3" ht="13" x14ac:dyDescent="0.15">
      <c r="A189" s="10"/>
      <c r="B189" s="13"/>
      <c r="C189" s="13"/>
    </row>
    <row r="190" spans="1:3" ht="13" x14ac:dyDescent="0.15">
      <c r="A190" s="10"/>
      <c r="B190" s="13"/>
      <c r="C190" s="13"/>
    </row>
    <row r="191" spans="1:3" ht="13" x14ac:dyDescent="0.15">
      <c r="A191" s="10"/>
      <c r="B191" s="13"/>
      <c r="C191" s="13"/>
    </row>
    <row r="192" spans="1:3" ht="13" x14ac:dyDescent="0.15">
      <c r="A192" s="10"/>
      <c r="B192" s="13"/>
      <c r="C192" s="13"/>
    </row>
    <row r="193" spans="1:3" ht="13" x14ac:dyDescent="0.15">
      <c r="A193" s="10"/>
      <c r="B193" s="13"/>
      <c r="C193" s="13"/>
    </row>
    <row r="194" spans="1:3" ht="13" x14ac:dyDescent="0.15">
      <c r="A194" s="10"/>
      <c r="B194" s="13"/>
      <c r="C194" s="13"/>
    </row>
    <row r="195" spans="1:3" ht="13" x14ac:dyDescent="0.15">
      <c r="A195" s="10"/>
      <c r="B195" s="13"/>
      <c r="C195" s="13"/>
    </row>
    <row r="196" spans="1:3" ht="13" x14ac:dyDescent="0.15">
      <c r="A196" s="10"/>
      <c r="B196" s="13"/>
      <c r="C196" s="13"/>
    </row>
    <row r="197" spans="1:3" ht="13" x14ac:dyDescent="0.15">
      <c r="A197" s="10"/>
      <c r="B197" s="13"/>
      <c r="C197" s="13"/>
    </row>
    <row r="198" spans="1:3" ht="13" x14ac:dyDescent="0.15">
      <c r="A198" s="10"/>
      <c r="B198" s="13"/>
      <c r="C198" s="13"/>
    </row>
    <row r="199" spans="1:3" ht="13" x14ac:dyDescent="0.15">
      <c r="A199" s="10"/>
      <c r="B199" s="13"/>
      <c r="C199" s="13"/>
    </row>
    <row r="200" spans="1:3" ht="13" x14ac:dyDescent="0.15">
      <c r="A200" s="10"/>
      <c r="B200" s="13"/>
      <c r="C200" s="13"/>
    </row>
    <row r="201" spans="1:3" ht="13" x14ac:dyDescent="0.15">
      <c r="A201" s="10"/>
      <c r="B201" s="13"/>
      <c r="C201" s="13"/>
    </row>
    <row r="202" spans="1:3" ht="13" x14ac:dyDescent="0.15">
      <c r="A202" s="10"/>
      <c r="B202" s="13"/>
      <c r="C202" s="13"/>
    </row>
    <row r="203" spans="1:3" ht="13" x14ac:dyDescent="0.15">
      <c r="A203" s="10"/>
      <c r="B203" s="13"/>
      <c r="C203" s="13"/>
    </row>
    <row r="204" spans="1:3" ht="13" x14ac:dyDescent="0.15">
      <c r="A204" s="10"/>
      <c r="B204" s="13"/>
      <c r="C204" s="13"/>
    </row>
    <row r="205" spans="1:3" ht="13" x14ac:dyDescent="0.15">
      <c r="A205" s="10"/>
      <c r="B205" s="13"/>
      <c r="C205" s="13"/>
    </row>
    <row r="206" spans="1:3" ht="13" x14ac:dyDescent="0.15">
      <c r="A206" s="10"/>
      <c r="B206" s="13"/>
      <c r="C206" s="13"/>
    </row>
    <row r="207" spans="1:3" ht="13" x14ac:dyDescent="0.15">
      <c r="A207" s="10"/>
      <c r="B207" s="13"/>
      <c r="C207" s="13"/>
    </row>
    <row r="208" spans="1:3" ht="13" x14ac:dyDescent="0.15">
      <c r="A208" s="10"/>
      <c r="B208" s="13"/>
      <c r="C208" s="13"/>
    </row>
    <row r="209" spans="1:3" ht="13" x14ac:dyDescent="0.15">
      <c r="A209" s="10"/>
      <c r="B209" s="13"/>
      <c r="C209" s="13"/>
    </row>
    <row r="210" spans="1:3" ht="13" x14ac:dyDescent="0.15">
      <c r="A210" s="10"/>
      <c r="B210" s="13"/>
      <c r="C210" s="13"/>
    </row>
    <row r="211" spans="1:3" ht="13" x14ac:dyDescent="0.15">
      <c r="A211" s="10"/>
      <c r="B211" s="13"/>
      <c r="C211" s="13"/>
    </row>
    <row r="212" spans="1:3" ht="13" x14ac:dyDescent="0.15">
      <c r="A212" s="10"/>
      <c r="B212" s="13"/>
      <c r="C212" s="13"/>
    </row>
    <row r="213" spans="1:3" ht="13" x14ac:dyDescent="0.15">
      <c r="A213" s="10"/>
      <c r="B213" s="13"/>
      <c r="C213" s="13"/>
    </row>
    <row r="214" spans="1:3" ht="13" x14ac:dyDescent="0.15">
      <c r="A214" s="10"/>
      <c r="B214" s="13"/>
      <c r="C214" s="13"/>
    </row>
    <row r="215" spans="1:3" ht="13" x14ac:dyDescent="0.15">
      <c r="A215" s="10"/>
      <c r="B215" s="13"/>
      <c r="C215" s="13"/>
    </row>
    <row r="216" spans="1:3" ht="13" x14ac:dyDescent="0.15">
      <c r="A216" s="10"/>
      <c r="B216" s="13"/>
      <c r="C216" s="13"/>
    </row>
    <row r="217" spans="1:3" ht="13" x14ac:dyDescent="0.15">
      <c r="A217" s="10"/>
      <c r="B217" s="13"/>
      <c r="C217" s="13"/>
    </row>
    <row r="218" spans="1:3" ht="13" x14ac:dyDescent="0.15">
      <c r="A218" s="10"/>
      <c r="B218" s="13"/>
      <c r="C218" s="13"/>
    </row>
    <row r="219" spans="1:3" ht="13" x14ac:dyDescent="0.15">
      <c r="A219" s="10"/>
      <c r="B219" s="13"/>
      <c r="C219" s="13"/>
    </row>
    <row r="220" spans="1:3" ht="13" x14ac:dyDescent="0.15">
      <c r="A220" s="10"/>
      <c r="B220" s="13"/>
      <c r="C220" s="13"/>
    </row>
    <row r="221" spans="1:3" ht="13" x14ac:dyDescent="0.15">
      <c r="A221" s="10"/>
      <c r="B221" s="13"/>
      <c r="C221" s="13"/>
    </row>
    <row r="222" spans="1:3" ht="13" x14ac:dyDescent="0.15">
      <c r="A222" s="10"/>
      <c r="B222" s="13"/>
      <c r="C222" s="13"/>
    </row>
    <row r="223" spans="1:3" ht="13" x14ac:dyDescent="0.15">
      <c r="A223" s="10"/>
      <c r="B223" s="13"/>
      <c r="C223" s="13"/>
    </row>
    <row r="224" spans="1:3" ht="13" x14ac:dyDescent="0.15">
      <c r="A224" s="10"/>
      <c r="B224" s="13"/>
      <c r="C224" s="13"/>
    </row>
    <row r="225" spans="1:3" ht="13" x14ac:dyDescent="0.15">
      <c r="A225" s="10"/>
      <c r="B225" s="13"/>
      <c r="C225" s="13"/>
    </row>
    <row r="226" spans="1:3" ht="13" x14ac:dyDescent="0.15">
      <c r="A226" s="10"/>
      <c r="B226" s="13"/>
      <c r="C226" s="13"/>
    </row>
    <row r="227" spans="1:3" ht="13" x14ac:dyDescent="0.15">
      <c r="A227" s="10"/>
      <c r="B227" s="13"/>
      <c r="C227" s="13"/>
    </row>
    <row r="228" spans="1:3" ht="13" x14ac:dyDescent="0.15">
      <c r="A228" s="10"/>
      <c r="B228" s="13"/>
      <c r="C228" s="13"/>
    </row>
    <row r="229" spans="1:3" ht="13" x14ac:dyDescent="0.15">
      <c r="A229" s="10"/>
      <c r="B229" s="13"/>
      <c r="C229" s="13"/>
    </row>
    <row r="230" spans="1:3" ht="13" x14ac:dyDescent="0.15">
      <c r="A230" s="10"/>
      <c r="B230" s="13"/>
      <c r="C230" s="13"/>
    </row>
    <row r="231" spans="1:3" ht="13" x14ac:dyDescent="0.15">
      <c r="A231" s="10"/>
      <c r="B231" s="13"/>
      <c r="C231" s="13"/>
    </row>
    <row r="232" spans="1:3" ht="13" x14ac:dyDescent="0.15">
      <c r="A232" s="10"/>
      <c r="B232" s="13"/>
      <c r="C232" s="13"/>
    </row>
    <row r="233" spans="1:3" ht="13" x14ac:dyDescent="0.15">
      <c r="A233" s="10"/>
      <c r="B233" s="13"/>
      <c r="C233" s="13"/>
    </row>
    <row r="234" spans="1:3" ht="13" x14ac:dyDescent="0.15">
      <c r="A234" s="10"/>
      <c r="B234" s="13"/>
      <c r="C234" s="13"/>
    </row>
    <row r="235" spans="1:3" ht="13" x14ac:dyDescent="0.15">
      <c r="A235" s="10"/>
      <c r="B235" s="13"/>
      <c r="C235" s="13"/>
    </row>
    <row r="236" spans="1:3" ht="13" x14ac:dyDescent="0.15">
      <c r="A236" s="10"/>
      <c r="B236" s="13"/>
      <c r="C236" s="13"/>
    </row>
    <row r="237" spans="1:3" ht="13" x14ac:dyDescent="0.15">
      <c r="A237" s="10"/>
      <c r="B237" s="13"/>
      <c r="C237" s="13"/>
    </row>
    <row r="238" spans="1:3" ht="13" x14ac:dyDescent="0.15">
      <c r="A238" s="10"/>
      <c r="B238" s="13"/>
      <c r="C238" s="13"/>
    </row>
    <row r="239" spans="1:3" ht="13" x14ac:dyDescent="0.15">
      <c r="A239" s="10"/>
      <c r="B239" s="13"/>
      <c r="C239" s="13"/>
    </row>
    <row r="240" spans="1:3" ht="13" x14ac:dyDescent="0.15">
      <c r="A240" s="10"/>
      <c r="B240" s="13"/>
      <c r="C240" s="13"/>
    </row>
    <row r="241" spans="1:3" ht="13" x14ac:dyDescent="0.15">
      <c r="A241" s="10"/>
      <c r="B241" s="13"/>
      <c r="C241" s="13"/>
    </row>
    <row r="242" spans="1:3" ht="13" x14ac:dyDescent="0.15">
      <c r="A242" s="10"/>
      <c r="B242" s="13"/>
      <c r="C242" s="13"/>
    </row>
    <row r="243" spans="1:3" ht="13" x14ac:dyDescent="0.15">
      <c r="A243" s="10"/>
      <c r="B243" s="13"/>
      <c r="C243" s="13"/>
    </row>
    <row r="244" spans="1:3" ht="13" x14ac:dyDescent="0.15">
      <c r="A244" s="10"/>
      <c r="B244" s="13"/>
      <c r="C244" s="13"/>
    </row>
    <row r="245" spans="1:3" ht="13" x14ac:dyDescent="0.15">
      <c r="A245" s="10"/>
      <c r="B245" s="13"/>
      <c r="C245" s="13"/>
    </row>
    <row r="246" spans="1:3" ht="13" x14ac:dyDescent="0.15">
      <c r="A246" s="10"/>
      <c r="B246" s="13"/>
      <c r="C246" s="13"/>
    </row>
    <row r="247" spans="1:3" ht="13" x14ac:dyDescent="0.15">
      <c r="A247" s="10"/>
      <c r="B247" s="13"/>
      <c r="C247" s="13"/>
    </row>
    <row r="248" spans="1:3" ht="13" x14ac:dyDescent="0.15">
      <c r="A248" s="10"/>
      <c r="B248" s="13"/>
      <c r="C248" s="13"/>
    </row>
    <row r="249" spans="1:3" ht="13" x14ac:dyDescent="0.15">
      <c r="A249" s="10"/>
      <c r="B249" s="13"/>
      <c r="C249" s="13"/>
    </row>
    <row r="250" spans="1:3" ht="13" x14ac:dyDescent="0.15">
      <c r="A250" s="10"/>
      <c r="B250" s="13"/>
      <c r="C250" s="13"/>
    </row>
    <row r="251" spans="1:3" ht="13" x14ac:dyDescent="0.15">
      <c r="A251" s="10"/>
      <c r="B251" s="13"/>
      <c r="C251" s="13"/>
    </row>
    <row r="252" spans="1:3" ht="13" x14ac:dyDescent="0.15">
      <c r="A252" s="10"/>
      <c r="B252" s="13"/>
      <c r="C252" s="13"/>
    </row>
    <row r="253" spans="1:3" ht="13" x14ac:dyDescent="0.15">
      <c r="A253" s="10"/>
      <c r="B253" s="13"/>
      <c r="C253" s="13"/>
    </row>
    <row r="254" spans="1:3" ht="13" x14ac:dyDescent="0.15">
      <c r="A254" s="10"/>
      <c r="B254" s="13"/>
      <c r="C254" s="13"/>
    </row>
    <row r="255" spans="1:3" ht="13" x14ac:dyDescent="0.15">
      <c r="A255" s="10"/>
      <c r="B255" s="13"/>
      <c r="C255" s="13"/>
    </row>
    <row r="256" spans="1:3" ht="13" x14ac:dyDescent="0.15">
      <c r="A256" s="10"/>
      <c r="B256" s="13"/>
      <c r="C256" s="13"/>
    </row>
    <row r="257" spans="1:3" ht="13" x14ac:dyDescent="0.15">
      <c r="A257" s="10"/>
      <c r="B257" s="13"/>
      <c r="C257" s="13"/>
    </row>
    <row r="258" spans="1:3" ht="13" x14ac:dyDescent="0.15">
      <c r="A258" s="10"/>
      <c r="B258" s="13"/>
      <c r="C258" s="13"/>
    </row>
    <row r="259" spans="1:3" ht="13" x14ac:dyDescent="0.15">
      <c r="A259" s="10"/>
      <c r="B259" s="13"/>
      <c r="C259" s="13"/>
    </row>
    <row r="260" spans="1:3" ht="13" x14ac:dyDescent="0.15">
      <c r="A260" s="10"/>
      <c r="B260" s="13"/>
      <c r="C260" s="13"/>
    </row>
    <row r="261" spans="1:3" ht="13" x14ac:dyDescent="0.15">
      <c r="A261" s="10"/>
      <c r="B261" s="13"/>
      <c r="C261" s="13"/>
    </row>
    <row r="262" spans="1:3" ht="13" x14ac:dyDescent="0.15">
      <c r="A262" s="10"/>
      <c r="B262" s="13"/>
      <c r="C262" s="13"/>
    </row>
    <row r="263" spans="1:3" ht="13" x14ac:dyDescent="0.15">
      <c r="A263" s="10"/>
      <c r="B263" s="13"/>
      <c r="C263" s="13"/>
    </row>
    <row r="264" spans="1:3" ht="13" x14ac:dyDescent="0.15">
      <c r="A264" s="10"/>
      <c r="B264" s="13"/>
      <c r="C264" s="13"/>
    </row>
    <row r="265" spans="1:3" ht="13" x14ac:dyDescent="0.15">
      <c r="A265" s="10"/>
      <c r="B265" s="13"/>
      <c r="C265" s="13"/>
    </row>
    <row r="266" spans="1:3" ht="13" x14ac:dyDescent="0.15">
      <c r="A266" s="10"/>
      <c r="B266" s="13"/>
      <c r="C266" s="13"/>
    </row>
    <row r="267" spans="1:3" ht="13" x14ac:dyDescent="0.15">
      <c r="A267" s="10"/>
      <c r="B267" s="13"/>
      <c r="C267" s="13"/>
    </row>
    <row r="268" spans="1:3" ht="13" x14ac:dyDescent="0.15">
      <c r="A268" s="10"/>
      <c r="B268" s="13"/>
      <c r="C268" s="13"/>
    </row>
    <row r="269" spans="1:3" ht="13" x14ac:dyDescent="0.15">
      <c r="A269" s="10"/>
      <c r="B269" s="13"/>
      <c r="C269" s="13"/>
    </row>
    <row r="270" spans="1:3" ht="13" x14ac:dyDescent="0.15">
      <c r="A270" s="10"/>
      <c r="B270" s="13"/>
      <c r="C270" s="13"/>
    </row>
    <row r="271" spans="1:3" ht="13" x14ac:dyDescent="0.15">
      <c r="A271" s="10"/>
      <c r="B271" s="13"/>
      <c r="C271" s="13"/>
    </row>
    <row r="272" spans="1:3" ht="13" x14ac:dyDescent="0.15">
      <c r="A272" s="10"/>
      <c r="B272" s="13"/>
      <c r="C272" s="13"/>
    </row>
    <row r="273" spans="1:3" ht="13" x14ac:dyDescent="0.15">
      <c r="A273" s="10"/>
      <c r="B273" s="13"/>
      <c r="C273" s="13"/>
    </row>
    <row r="274" spans="1:3" ht="13" x14ac:dyDescent="0.15">
      <c r="A274" s="10"/>
      <c r="B274" s="13"/>
      <c r="C274" s="13"/>
    </row>
    <row r="275" spans="1:3" ht="13" x14ac:dyDescent="0.15">
      <c r="A275" s="10"/>
      <c r="B275" s="13"/>
      <c r="C275" s="13"/>
    </row>
    <row r="276" spans="1:3" ht="13" x14ac:dyDescent="0.15">
      <c r="A276" s="10"/>
      <c r="B276" s="13"/>
      <c r="C276" s="13"/>
    </row>
    <row r="277" spans="1:3" ht="13" x14ac:dyDescent="0.15">
      <c r="A277" s="10"/>
      <c r="B277" s="13"/>
      <c r="C277" s="13"/>
    </row>
    <row r="278" spans="1:3" ht="13" x14ac:dyDescent="0.15">
      <c r="A278" s="10"/>
      <c r="B278" s="13"/>
      <c r="C278" s="13"/>
    </row>
    <row r="279" spans="1:3" ht="13" x14ac:dyDescent="0.15">
      <c r="A279" s="10"/>
      <c r="B279" s="13"/>
      <c r="C279" s="13"/>
    </row>
    <row r="280" spans="1:3" ht="13" x14ac:dyDescent="0.15">
      <c r="A280" s="10"/>
      <c r="B280" s="13"/>
      <c r="C280" s="13"/>
    </row>
    <row r="281" spans="1:3" ht="13" x14ac:dyDescent="0.15">
      <c r="A281" s="10"/>
      <c r="B281" s="13"/>
      <c r="C281" s="13"/>
    </row>
    <row r="282" spans="1:3" ht="13" x14ac:dyDescent="0.15">
      <c r="A282" s="10"/>
      <c r="B282" s="13"/>
      <c r="C282" s="13"/>
    </row>
    <row r="283" spans="1:3" ht="13" x14ac:dyDescent="0.15">
      <c r="A283" s="10"/>
      <c r="B283" s="13"/>
      <c r="C283" s="13"/>
    </row>
    <row r="284" spans="1:3" ht="13" x14ac:dyDescent="0.15">
      <c r="A284" s="10"/>
      <c r="B284" s="13"/>
      <c r="C284" s="13"/>
    </row>
    <row r="285" spans="1:3" ht="13" x14ac:dyDescent="0.15">
      <c r="A285" s="10"/>
      <c r="B285" s="13"/>
      <c r="C285" s="13"/>
    </row>
    <row r="286" spans="1:3" ht="13" x14ac:dyDescent="0.15">
      <c r="A286" s="10"/>
      <c r="B286" s="13"/>
      <c r="C286" s="13"/>
    </row>
    <row r="287" spans="1:3" ht="13" x14ac:dyDescent="0.15">
      <c r="A287" s="10"/>
      <c r="B287" s="13"/>
      <c r="C287" s="13"/>
    </row>
    <row r="288" spans="1:3" ht="13" x14ac:dyDescent="0.15">
      <c r="A288" s="10"/>
      <c r="B288" s="13"/>
      <c r="C288" s="13"/>
    </row>
    <row r="289" spans="1:3" ht="13" x14ac:dyDescent="0.15">
      <c r="A289" s="10"/>
      <c r="B289" s="13"/>
      <c r="C289" s="13"/>
    </row>
    <row r="290" spans="1:3" ht="13" x14ac:dyDescent="0.15">
      <c r="A290" s="10"/>
      <c r="B290" s="13"/>
      <c r="C290" s="13"/>
    </row>
    <row r="291" spans="1:3" ht="13" x14ac:dyDescent="0.15">
      <c r="A291" s="10"/>
      <c r="B291" s="13"/>
      <c r="C291" s="13"/>
    </row>
    <row r="292" spans="1:3" ht="13" x14ac:dyDescent="0.15">
      <c r="A292" s="10"/>
      <c r="B292" s="13"/>
      <c r="C292" s="13"/>
    </row>
    <row r="293" spans="1:3" ht="13" x14ac:dyDescent="0.15">
      <c r="A293" s="10"/>
      <c r="B293" s="13"/>
      <c r="C293" s="13"/>
    </row>
    <row r="294" spans="1:3" ht="13" x14ac:dyDescent="0.15">
      <c r="A294" s="10"/>
      <c r="B294" s="13"/>
      <c r="C294" s="13"/>
    </row>
    <row r="295" spans="1:3" ht="13" x14ac:dyDescent="0.15">
      <c r="A295" s="10"/>
      <c r="B295" s="13"/>
      <c r="C295" s="13"/>
    </row>
    <row r="296" spans="1:3" ht="13" x14ac:dyDescent="0.15">
      <c r="A296" s="10"/>
      <c r="B296" s="13"/>
      <c r="C296" s="13"/>
    </row>
    <row r="297" spans="1:3" ht="13" x14ac:dyDescent="0.15">
      <c r="A297" s="10"/>
      <c r="B297" s="13"/>
      <c r="C297" s="13"/>
    </row>
    <row r="298" spans="1:3" ht="13" x14ac:dyDescent="0.15">
      <c r="A298" s="10"/>
      <c r="B298" s="13"/>
      <c r="C298" s="13"/>
    </row>
    <row r="299" spans="1:3" ht="13" x14ac:dyDescent="0.15">
      <c r="A299" s="10"/>
      <c r="B299" s="13"/>
      <c r="C299" s="13"/>
    </row>
    <row r="300" spans="1:3" ht="13" x14ac:dyDescent="0.15">
      <c r="A300" s="10"/>
      <c r="B300" s="13"/>
      <c r="C300" s="13"/>
    </row>
    <row r="301" spans="1:3" ht="13" x14ac:dyDescent="0.15">
      <c r="A301" s="10"/>
      <c r="B301" s="13"/>
      <c r="C301" s="13"/>
    </row>
    <row r="302" spans="1:3" ht="13" x14ac:dyDescent="0.15">
      <c r="A302" s="10"/>
      <c r="B302" s="13"/>
      <c r="C302" s="13"/>
    </row>
    <row r="303" spans="1:3" ht="13" x14ac:dyDescent="0.15">
      <c r="A303" s="10"/>
      <c r="B303" s="13"/>
      <c r="C303" s="13"/>
    </row>
    <row r="304" spans="1:3" ht="13" x14ac:dyDescent="0.15">
      <c r="A304" s="10"/>
      <c r="B304" s="13"/>
      <c r="C304" s="13"/>
    </row>
    <row r="305" spans="1:3" ht="13" x14ac:dyDescent="0.15">
      <c r="A305" s="10"/>
      <c r="B305" s="13"/>
      <c r="C305" s="13"/>
    </row>
    <row r="306" spans="1:3" ht="13" x14ac:dyDescent="0.15">
      <c r="A306" s="10"/>
      <c r="B306" s="13"/>
      <c r="C306" s="13"/>
    </row>
    <row r="307" spans="1:3" ht="13" x14ac:dyDescent="0.15">
      <c r="A307" s="10"/>
      <c r="B307" s="13"/>
      <c r="C307" s="13"/>
    </row>
    <row r="308" spans="1:3" ht="13" x14ac:dyDescent="0.15">
      <c r="A308" s="10"/>
      <c r="B308" s="13"/>
      <c r="C308" s="13"/>
    </row>
    <row r="309" spans="1:3" ht="13" x14ac:dyDescent="0.15">
      <c r="A309" s="10"/>
      <c r="B309" s="13"/>
      <c r="C309" s="13"/>
    </row>
    <row r="310" spans="1:3" ht="13" x14ac:dyDescent="0.15">
      <c r="A310" s="10"/>
      <c r="B310" s="13"/>
      <c r="C310" s="13"/>
    </row>
    <row r="311" spans="1:3" ht="13" x14ac:dyDescent="0.15">
      <c r="A311" s="10"/>
      <c r="B311" s="13"/>
      <c r="C311" s="13"/>
    </row>
    <row r="312" spans="1:3" ht="13" x14ac:dyDescent="0.15">
      <c r="A312" s="10"/>
      <c r="B312" s="13"/>
      <c r="C312" s="13"/>
    </row>
    <row r="313" spans="1:3" ht="13" x14ac:dyDescent="0.15">
      <c r="A313" s="10"/>
      <c r="B313" s="13"/>
      <c r="C313" s="13"/>
    </row>
    <row r="314" spans="1:3" ht="13" x14ac:dyDescent="0.15">
      <c r="A314" s="10"/>
      <c r="B314" s="13"/>
      <c r="C314" s="13"/>
    </row>
    <row r="315" spans="1:3" ht="13" x14ac:dyDescent="0.15">
      <c r="A315" s="10"/>
      <c r="B315" s="13"/>
      <c r="C315" s="13"/>
    </row>
    <row r="316" spans="1:3" ht="13" x14ac:dyDescent="0.15">
      <c r="A316" s="10"/>
      <c r="B316" s="13"/>
      <c r="C316" s="13"/>
    </row>
    <row r="317" spans="1:3" ht="13" x14ac:dyDescent="0.15">
      <c r="A317" s="10"/>
      <c r="B317" s="13"/>
      <c r="C317" s="13"/>
    </row>
    <row r="318" spans="1:3" ht="13" x14ac:dyDescent="0.15">
      <c r="A318" s="10"/>
      <c r="B318" s="13"/>
      <c r="C318" s="13"/>
    </row>
    <row r="319" spans="1:3" ht="13" x14ac:dyDescent="0.15">
      <c r="A319" s="10"/>
      <c r="B319" s="13"/>
      <c r="C319" s="13"/>
    </row>
    <row r="320" spans="1:3" ht="13" x14ac:dyDescent="0.15">
      <c r="A320" s="10"/>
      <c r="B320" s="13"/>
      <c r="C320" s="13"/>
    </row>
    <row r="321" spans="1:3" ht="13" x14ac:dyDescent="0.15">
      <c r="A321" s="10"/>
      <c r="B321" s="13"/>
      <c r="C321" s="13"/>
    </row>
    <row r="322" spans="1:3" ht="13" x14ac:dyDescent="0.15">
      <c r="A322" s="10"/>
      <c r="B322" s="13"/>
      <c r="C322" s="13"/>
    </row>
    <row r="323" spans="1:3" ht="13" x14ac:dyDescent="0.15">
      <c r="A323" s="10"/>
      <c r="B323" s="13"/>
      <c r="C323" s="13"/>
    </row>
    <row r="324" spans="1:3" ht="13" x14ac:dyDescent="0.15">
      <c r="A324" s="10"/>
      <c r="B324" s="13"/>
      <c r="C324" s="13"/>
    </row>
    <row r="325" spans="1:3" ht="13" x14ac:dyDescent="0.15">
      <c r="A325" s="10"/>
      <c r="B325" s="13"/>
      <c r="C325" s="13"/>
    </row>
    <row r="326" spans="1:3" ht="13" x14ac:dyDescent="0.15">
      <c r="A326" s="10"/>
      <c r="B326" s="13"/>
      <c r="C326" s="13"/>
    </row>
    <row r="327" spans="1:3" ht="13" x14ac:dyDescent="0.15">
      <c r="A327" s="10"/>
      <c r="B327" s="13"/>
      <c r="C327" s="13"/>
    </row>
    <row r="328" spans="1:3" ht="13" x14ac:dyDescent="0.15">
      <c r="A328" s="10"/>
      <c r="B328" s="13"/>
      <c r="C328" s="13"/>
    </row>
    <row r="329" spans="1:3" ht="13" x14ac:dyDescent="0.15">
      <c r="A329" s="10"/>
      <c r="B329" s="13"/>
      <c r="C329" s="13"/>
    </row>
    <row r="330" spans="1:3" ht="13" x14ac:dyDescent="0.15">
      <c r="A330" s="10"/>
      <c r="B330" s="13"/>
      <c r="C330" s="13"/>
    </row>
    <row r="331" spans="1:3" ht="13" x14ac:dyDescent="0.15">
      <c r="A331" s="10"/>
      <c r="B331" s="13"/>
      <c r="C331" s="13"/>
    </row>
    <row r="332" spans="1:3" ht="13" x14ac:dyDescent="0.15">
      <c r="A332" s="10"/>
      <c r="B332" s="13"/>
      <c r="C332" s="13"/>
    </row>
    <row r="333" spans="1:3" ht="13" x14ac:dyDescent="0.15">
      <c r="A333" s="10"/>
      <c r="B333" s="13"/>
      <c r="C333" s="13"/>
    </row>
    <row r="334" spans="1:3" ht="13" x14ac:dyDescent="0.15">
      <c r="A334" s="10"/>
      <c r="B334" s="13"/>
      <c r="C334" s="13"/>
    </row>
    <row r="335" spans="1:3" ht="13" x14ac:dyDescent="0.15">
      <c r="A335" s="10"/>
      <c r="B335" s="13"/>
      <c r="C335" s="13"/>
    </row>
    <row r="336" spans="1:3" ht="13" x14ac:dyDescent="0.15">
      <c r="A336" s="10"/>
      <c r="B336" s="13"/>
      <c r="C336" s="13"/>
    </row>
    <row r="337" spans="1:3" ht="13" x14ac:dyDescent="0.15">
      <c r="A337" s="10"/>
      <c r="B337" s="13"/>
      <c r="C337" s="13"/>
    </row>
    <row r="338" spans="1:3" ht="13" x14ac:dyDescent="0.15">
      <c r="A338" s="10"/>
      <c r="B338" s="13"/>
      <c r="C338" s="13"/>
    </row>
    <row r="339" spans="1:3" ht="13" x14ac:dyDescent="0.15">
      <c r="A339" s="10"/>
      <c r="B339" s="13"/>
      <c r="C339" s="13"/>
    </row>
    <row r="340" spans="1:3" ht="13" x14ac:dyDescent="0.15">
      <c r="A340" s="10"/>
      <c r="B340" s="13"/>
      <c r="C340" s="13"/>
    </row>
    <row r="341" spans="1:3" ht="13" x14ac:dyDescent="0.15">
      <c r="A341" s="10"/>
      <c r="B341" s="13"/>
      <c r="C341" s="13"/>
    </row>
    <row r="342" spans="1:3" ht="13" x14ac:dyDescent="0.15">
      <c r="A342" s="10"/>
      <c r="B342" s="13"/>
      <c r="C342" s="13"/>
    </row>
    <row r="343" spans="1:3" ht="13" x14ac:dyDescent="0.15">
      <c r="A343" s="10"/>
      <c r="B343" s="13"/>
      <c r="C343" s="13"/>
    </row>
    <row r="344" spans="1:3" ht="13" x14ac:dyDescent="0.15">
      <c r="A344" s="10"/>
      <c r="B344" s="13"/>
      <c r="C344" s="13"/>
    </row>
    <row r="345" spans="1:3" ht="13" x14ac:dyDescent="0.15">
      <c r="A345" s="10"/>
      <c r="B345" s="13"/>
      <c r="C345" s="13"/>
    </row>
    <row r="346" spans="1:3" ht="13" x14ac:dyDescent="0.15">
      <c r="A346" s="10"/>
      <c r="B346" s="13"/>
      <c r="C346" s="13"/>
    </row>
    <row r="347" spans="1:3" ht="13" x14ac:dyDescent="0.15">
      <c r="A347" s="10"/>
      <c r="B347" s="13"/>
      <c r="C347" s="13"/>
    </row>
    <row r="348" spans="1:3" ht="13" x14ac:dyDescent="0.15">
      <c r="A348" s="10"/>
      <c r="B348" s="13"/>
      <c r="C348" s="13"/>
    </row>
    <row r="349" spans="1:3" ht="13" x14ac:dyDescent="0.15">
      <c r="A349" s="10"/>
      <c r="B349" s="13"/>
      <c r="C349" s="13"/>
    </row>
    <row r="350" spans="1:3" ht="13" x14ac:dyDescent="0.15">
      <c r="A350" s="10"/>
      <c r="B350" s="13"/>
      <c r="C350" s="13"/>
    </row>
    <row r="351" spans="1:3" ht="13" x14ac:dyDescent="0.15">
      <c r="A351" s="10"/>
      <c r="B351" s="13"/>
      <c r="C351" s="13"/>
    </row>
    <row r="352" spans="1:3" ht="13" x14ac:dyDescent="0.15">
      <c r="A352" s="10"/>
      <c r="B352" s="13"/>
      <c r="C352" s="13"/>
    </row>
    <row r="353" spans="1:3" ht="13" x14ac:dyDescent="0.15">
      <c r="A353" s="10"/>
      <c r="B353" s="13"/>
      <c r="C353" s="13"/>
    </row>
    <row r="354" spans="1:3" ht="13" x14ac:dyDescent="0.15">
      <c r="A354" s="10"/>
      <c r="B354" s="13"/>
      <c r="C354" s="13"/>
    </row>
    <row r="355" spans="1:3" ht="13" x14ac:dyDescent="0.15">
      <c r="A355" s="10"/>
      <c r="B355" s="13"/>
      <c r="C355" s="13"/>
    </row>
    <row r="356" spans="1:3" ht="13" x14ac:dyDescent="0.15">
      <c r="A356" s="10"/>
      <c r="B356" s="13"/>
      <c r="C356" s="13"/>
    </row>
    <row r="357" spans="1:3" ht="13" x14ac:dyDescent="0.15">
      <c r="A357" s="10"/>
      <c r="B357" s="13"/>
      <c r="C357" s="13"/>
    </row>
    <row r="358" spans="1:3" ht="13" x14ac:dyDescent="0.15">
      <c r="A358" s="10"/>
      <c r="B358" s="13"/>
      <c r="C358" s="13"/>
    </row>
    <row r="359" spans="1:3" ht="13" x14ac:dyDescent="0.15">
      <c r="A359" s="10"/>
      <c r="B359" s="13"/>
      <c r="C359" s="13"/>
    </row>
    <row r="360" spans="1:3" ht="13" x14ac:dyDescent="0.15">
      <c r="A360" s="10"/>
      <c r="B360" s="13"/>
      <c r="C360" s="13"/>
    </row>
    <row r="361" spans="1:3" ht="13" x14ac:dyDescent="0.15">
      <c r="A361" s="10"/>
      <c r="B361" s="13"/>
      <c r="C361" s="13"/>
    </row>
    <row r="362" spans="1:3" ht="13" x14ac:dyDescent="0.15">
      <c r="A362" s="10"/>
      <c r="B362" s="13"/>
      <c r="C362" s="13"/>
    </row>
    <row r="363" spans="1:3" ht="13" x14ac:dyDescent="0.15">
      <c r="A363" s="10"/>
      <c r="B363" s="13"/>
      <c r="C363" s="13"/>
    </row>
    <row r="364" spans="1:3" ht="13" x14ac:dyDescent="0.15">
      <c r="A364" s="10"/>
      <c r="B364" s="13"/>
      <c r="C364" s="13"/>
    </row>
    <row r="365" spans="1:3" ht="13" x14ac:dyDescent="0.15">
      <c r="A365" s="10"/>
      <c r="B365" s="13"/>
      <c r="C365" s="13"/>
    </row>
    <row r="366" spans="1:3" ht="13" x14ac:dyDescent="0.15">
      <c r="A366" s="10"/>
      <c r="B366" s="13"/>
      <c r="C366" s="13"/>
    </row>
    <row r="367" spans="1:3" ht="13" x14ac:dyDescent="0.15">
      <c r="A367" s="10"/>
      <c r="B367" s="13"/>
      <c r="C367" s="13"/>
    </row>
    <row r="368" spans="1:3" ht="13" x14ac:dyDescent="0.15">
      <c r="A368" s="10"/>
      <c r="B368" s="13"/>
      <c r="C368" s="13"/>
    </row>
    <row r="369" spans="1:3" ht="13" x14ac:dyDescent="0.15">
      <c r="A369" s="10"/>
      <c r="B369" s="13"/>
      <c r="C369" s="13"/>
    </row>
    <row r="370" spans="1:3" ht="13" x14ac:dyDescent="0.15">
      <c r="A370" s="10"/>
      <c r="B370" s="13"/>
      <c r="C370" s="13"/>
    </row>
    <row r="371" spans="1:3" ht="13" x14ac:dyDescent="0.15">
      <c r="A371" s="10"/>
      <c r="B371" s="13"/>
      <c r="C371" s="13"/>
    </row>
    <row r="372" spans="1:3" ht="13" x14ac:dyDescent="0.15">
      <c r="A372" s="10"/>
      <c r="B372" s="13"/>
      <c r="C372" s="13"/>
    </row>
    <row r="373" spans="1:3" ht="13" x14ac:dyDescent="0.15">
      <c r="A373" s="10"/>
      <c r="B373" s="13"/>
      <c r="C373" s="13"/>
    </row>
    <row r="374" spans="1:3" ht="13" x14ac:dyDescent="0.15">
      <c r="A374" s="10"/>
      <c r="B374" s="13"/>
      <c r="C374" s="13"/>
    </row>
    <row r="375" spans="1:3" ht="13" x14ac:dyDescent="0.15">
      <c r="A375" s="10"/>
      <c r="B375" s="13"/>
      <c r="C375" s="13"/>
    </row>
    <row r="376" spans="1:3" ht="13" x14ac:dyDescent="0.15">
      <c r="A376" s="10"/>
      <c r="B376" s="13"/>
      <c r="C376" s="13"/>
    </row>
    <row r="377" spans="1:3" ht="13" x14ac:dyDescent="0.15">
      <c r="A377" s="10"/>
      <c r="B377" s="13"/>
      <c r="C377" s="13"/>
    </row>
    <row r="378" spans="1:3" ht="13" x14ac:dyDescent="0.15">
      <c r="A378" s="10"/>
      <c r="B378" s="13"/>
      <c r="C378" s="13"/>
    </row>
    <row r="379" spans="1:3" ht="13" x14ac:dyDescent="0.15">
      <c r="A379" s="10"/>
      <c r="B379" s="13"/>
      <c r="C379" s="13"/>
    </row>
    <row r="380" spans="1:3" ht="13" x14ac:dyDescent="0.15">
      <c r="A380" s="10"/>
      <c r="B380" s="13"/>
      <c r="C380" s="13"/>
    </row>
    <row r="381" spans="1:3" ht="13" x14ac:dyDescent="0.15">
      <c r="A381" s="10"/>
      <c r="B381" s="13"/>
      <c r="C381" s="13"/>
    </row>
    <row r="382" spans="1:3" ht="13" x14ac:dyDescent="0.15">
      <c r="A382" s="10"/>
      <c r="B382" s="13"/>
      <c r="C382" s="13"/>
    </row>
    <row r="383" spans="1:3" ht="13" x14ac:dyDescent="0.15">
      <c r="A383" s="10"/>
      <c r="B383" s="13"/>
      <c r="C383" s="13"/>
    </row>
    <row r="384" spans="1:3" ht="13" x14ac:dyDescent="0.15">
      <c r="A384" s="10"/>
      <c r="B384" s="13"/>
      <c r="C384" s="13"/>
    </row>
    <row r="385" spans="1:3" ht="13" x14ac:dyDescent="0.15">
      <c r="A385" s="10"/>
      <c r="B385" s="13"/>
      <c r="C385" s="13"/>
    </row>
    <row r="386" spans="1:3" ht="13" x14ac:dyDescent="0.15">
      <c r="A386" s="10"/>
      <c r="B386" s="13"/>
      <c r="C386" s="13"/>
    </row>
    <row r="387" spans="1:3" ht="13" x14ac:dyDescent="0.15">
      <c r="A387" s="10"/>
      <c r="B387" s="13"/>
      <c r="C387" s="13"/>
    </row>
    <row r="388" spans="1:3" ht="13" x14ac:dyDescent="0.15">
      <c r="A388" s="10"/>
      <c r="B388" s="13"/>
      <c r="C388" s="13"/>
    </row>
    <row r="389" spans="1:3" ht="13" x14ac:dyDescent="0.15">
      <c r="A389" s="10"/>
      <c r="B389" s="13"/>
      <c r="C389" s="13"/>
    </row>
    <row r="390" spans="1:3" ht="13" x14ac:dyDescent="0.15">
      <c r="A390" s="10"/>
      <c r="B390" s="13"/>
      <c r="C390" s="13"/>
    </row>
    <row r="391" spans="1:3" ht="13" x14ac:dyDescent="0.15">
      <c r="A391" s="10"/>
      <c r="B391" s="13"/>
      <c r="C391" s="13"/>
    </row>
    <row r="392" spans="1:3" ht="13" x14ac:dyDescent="0.15">
      <c r="A392" s="10"/>
      <c r="B392" s="13"/>
      <c r="C392" s="13"/>
    </row>
    <row r="393" spans="1:3" ht="13" x14ac:dyDescent="0.15">
      <c r="A393" s="10"/>
      <c r="B393" s="13"/>
      <c r="C393" s="13"/>
    </row>
    <row r="394" spans="1:3" ht="13" x14ac:dyDescent="0.15">
      <c r="A394" s="10"/>
      <c r="B394" s="13"/>
      <c r="C394" s="13"/>
    </row>
    <row r="395" spans="1:3" ht="13" x14ac:dyDescent="0.15">
      <c r="A395" s="10"/>
      <c r="B395" s="13"/>
      <c r="C395" s="13"/>
    </row>
    <row r="396" spans="1:3" ht="13" x14ac:dyDescent="0.15">
      <c r="A396" s="10"/>
      <c r="B396" s="13"/>
      <c r="C396" s="13"/>
    </row>
    <row r="397" spans="1:3" ht="13" x14ac:dyDescent="0.15">
      <c r="A397" s="10"/>
      <c r="B397" s="13"/>
      <c r="C397" s="13"/>
    </row>
    <row r="398" spans="1:3" ht="13" x14ac:dyDescent="0.15">
      <c r="A398" s="10"/>
      <c r="B398" s="13"/>
      <c r="C398" s="13"/>
    </row>
    <row r="399" spans="1:3" ht="13" x14ac:dyDescent="0.15">
      <c r="A399" s="10"/>
      <c r="B399" s="13"/>
      <c r="C399" s="13"/>
    </row>
    <row r="400" spans="1:3" ht="13" x14ac:dyDescent="0.15">
      <c r="A400" s="10"/>
      <c r="B400" s="13"/>
      <c r="C400" s="13"/>
    </row>
    <row r="401" spans="1:3" ht="13" x14ac:dyDescent="0.15">
      <c r="A401" s="10"/>
      <c r="B401" s="13"/>
      <c r="C401" s="13"/>
    </row>
    <row r="402" spans="1:3" ht="13" x14ac:dyDescent="0.15">
      <c r="A402" s="10"/>
      <c r="B402" s="13"/>
      <c r="C402" s="13"/>
    </row>
    <row r="403" spans="1:3" ht="13" x14ac:dyDescent="0.15">
      <c r="A403" s="10"/>
      <c r="B403" s="13"/>
      <c r="C403" s="13"/>
    </row>
    <row r="404" spans="1:3" ht="13" x14ac:dyDescent="0.15">
      <c r="A404" s="10"/>
      <c r="B404" s="13"/>
      <c r="C404" s="13"/>
    </row>
    <row r="405" spans="1:3" ht="13" x14ac:dyDescent="0.15">
      <c r="A405" s="10"/>
      <c r="B405" s="13"/>
      <c r="C405" s="13"/>
    </row>
    <row r="406" spans="1:3" ht="13" x14ac:dyDescent="0.15">
      <c r="A406" s="10"/>
      <c r="B406" s="13"/>
      <c r="C406" s="13"/>
    </row>
    <row r="407" spans="1:3" ht="13" x14ac:dyDescent="0.15">
      <c r="A407" s="10"/>
      <c r="B407" s="13"/>
      <c r="C407" s="13"/>
    </row>
    <row r="408" spans="1:3" ht="13" x14ac:dyDescent="0.15">
      <c r="A408" s="10"/>
      <c r="B408" s="13"/>
      <c r="C408" s="13"/>
    </row>
    <row r="409" spans="1:3" ht="13" x14ac:dyDescent="0.15">
      <c r="A409" s="10"/>
      <c r="B409" s="13"/>
      <c r="C409" s="13"/>
    </row>
    <row r="410" spans="1:3" ht="13" x14ac:dyDescent="0.15">
      <c r="A410" s="10"/>
      <c r="B410" s="13"/>
      <c r="C410" s="13"/>
    </row>
    <row r="411" spans="1:3" ht="13" x14ac:dyDescent="0.15">
      <c r="A411" s="10"/>
      <c r="B411" s="13"/>
      <c r="C411" s="13"/>
    </row>
    <row r="412" spans="1:3" ht="13" x14ac:dyDescent="0.15">
      <c r="A412" s="10"/>
      <c r="B412" s="13"/>
      <c r="C412" s="13"/>
    </row>
    <row r="413" spans="1:3" ht="13" x14ac:dyDescent="0.15">
      <c r="A413" s="10"/>
      <c r="B413" s="13"/>
      <c r="C413" s="13"/>
    </row>
    <row r="414" spans="1:3" ht="13" x14ac:dyDescent="0.15">
      <c r="A414" s="10"/>
      <c r="B414" s="13"/>
      <c r="C414" s="13"/>
    </row>
    <row r="415" spans="1:3" ht="13" x14ac:dyDescent="0.15">
      <c r="A415" s="10"/>
      <c r="B415" s="13"/>
      <c r="C415" s="13"/>
    </row>
    <row r="416" spans="1:3" ht="13" x14ac:dyDescent="0.15">
      <c r="A416" s="10"/>
      <c r="B416" s="13"/>
      <c r="C416" s="13"/>
    </row>
    <row r="417" spans="1:3" ht="13" x14ac:dyDescent="0.15">
      <c r="A417" s="10"/>
      <c r="B417" s="13"/>
      <c r="C417" s="13"/>
    </row>
    <row r="418" spans="1:3" ht="13" x14ac:dyDescent="0.15">
      <c r="A418" s="10"/>
      <c r="B418" s="13"/>
      <c r="C418" s="13"/>
    </row>
    <row r="419" spans="1:3" ht="13" x14ac:dyDescent="0.15">
      <c r="A419" s="10"/>
      <c r="B419" s="13"/>
      <c r="C419" s="13"/>
    </row>
    <row r="420" spans="1:3" ht="13" x14ac:dyDescent="0.15">
      <c r="A420" s="10"/>
      <c r="B420" s="13"/>
      <c r="C420" s="13"/>
    </row>
    <row r="421" spans="1:3" ht="13" x14ac:dyDescent="0.15">
      <c r="A421" s="10"/>
      <c r="B421" s="13"/>
      <c r="C421" s="13"/>
    </row>
    <row r="422" spans="1:3" ht="13" x14ac:dyDescent="0.15">
      <c r="A422" s="10"/>
      <c r="B422" s="13"/>
      <c r="C422" s="13"/>
    </row>
    <row r="423" spans="1:3" ht="13" x14ac:dyDescent="0.15">
      <c r="A423" s="10"/>
      <c r="B423" s="13"/>
      <c r="C423" s="13"/>
    </row>
    <row r="424" spans="1:3" ht="13" x14ac:dyDescent="0.15">
      <c r="A424" s="10"/>
      <c r="B424" s="13"/>
      <c r="C424" s="13"/>
    </row>
    <row r="425" spans="1:3" ht="13" x14ac:dyDescent="0.15">
      <c r="A425" s="10"/>
      <c r="B425" s="13"/>
      <c r="C425" s="13"/>
    </row>
    <row r="426" spans="1:3" ht="13" x14ac:dyDescent="0.15">
      <c r="A426" s="10"/>
      <c r="B426" s="13"/>
      <c r="C426" s="13"/>
    </row>
    <row r="427" spans="1:3" ht="13" x14ac:dyDescent="0.15">
      <c r="A427" s="10"/>
      <c r="B427" s="13"/>
      <c r="C427" s="13"/>
    </row>
    <row r="428" spans="1:3" ht="13" x14ac:dyDescent="0.15">
      <c r="A428" s="10"/>
      <c r="B428" s="13"/>
      <c r="C428" s="13"/>
    </row>
    <row r="429" spans="1:3" ht="13" x14ac:dyDescent="0.15">
      <c r="A429" s="10"/>
      <c r="B429" s="13"/>
      <c r="C429" s="13"/>
    </row>
    <row r="430" spans="1:3" ht="13" x14ac:dyDescent="0.15">
      <c r="A430" s="10"/>
      <c r="B430" s="13"/>
      <c r="C430" s="13"/>
    </row>
    <row r="431" spans="1:3" ht="13" x14ac:dyDescent="0.15">
      <c r="A431" s="10"/>
      <c r="B431" s="13"/>
      <c r="C431" s="13"/>
    </row>
    <row r="432" spans="1:3" ht="13" x14ac:dyDescent="0.15">
      <c r="A432" s="10"/>
      <c r="B432" s="13"/>
      <c r="C432" s="13"/>
    </row>
    <row r="433" spans="1:3" ht="13" x14ac:dyDescent="0.15">
      <c r="A433" s="10"/>
      <c r="B433" s="13"/>
      <c r="C433" s="13"/>
    </row>
    <row r="434" spans="1:3" ht="13" x14ac:dyDescent="0.15">
      <c r="A434" s="10"/>
      <c r="B434" s="13"/>
      <c r="C434" s="13"/>
    </row>
    <row r="435" spans="1:3" ht="13" x14ac:dyDescent="0.15">
      <c r="A435" s="10"/>
      <c r="B435" s="13"/>
      <c r="C435" s="13"/>
    </row>
    <row r="436" spans="1:3" ht="13" x14ac:dyDescent="0.15">
      <c r="A436" s="10"/>
      <c r="B436" s="13"/>
      <c r="C436" s="13"/>
    </row>
    <row r="437" spans="1:3" ht="13" x14ac:dyDescent="0.15">
      <c r="A437" s="10"/>
      <c r="B437" s="13"/>
      <c r="C437" s="13"/>
    </row>
    <row r="438" spans="1:3" ht="13" x14ac:dyDescent="0.15">
      <c r="A438" s="10"/>
      <c r="B438" s="13"/>
      <c r="C438" s="13"/>
    </row>
    <row r="439" spans="1:3" ht="13" x14ac:dyDescent="0.15">
      <c r="A439" s="10"/>
      <c r="B439" s="13"/>
      <c r="C439" s="13"/>
    </row>
    <row r="440" spans="1:3" ht="13" x14ac:dyDescent="0.15">
      <c r="A440" s="10"/>
      <c r="B440" s="13"/>
      <c r="C440" s="13"/>
    </row>
    <row r="441" spans="1:3" ht="13" x14ac:dyDescent="0.15">
      <c r="A441" s="10"/>
      <c r="B441" s="13"/>
      <c r="C441" s="13"/>
    </row>
    <row r="442" spans="1:3" ht="13" x14ac:dyDescent="0.15">
      <c r="A442" s="10"/>
      <c r="B442" s="13"/>
      <c r="C442" s="13"/>
    </row>
    <row r="443" spans="1:3" ht="13" x14ac:dyDescent="0.15">
      <c r="A443" s="10"/>
      <c r="B443" s="13"/>
      <c r="C443" s="13"/>
    </row>
    <row r="444" spans="1:3" ht="13" x14ac:dyDescent="0.15">
      <c r="A444" s="10"/>
      <c r="B444" s="13"/>
      <c r="C444" s="13"/>
    </row>
    <row r="445" spans="1:3" ht="13" x14ac:dyDescent="0.15">
      <c r="A445" s="10"/>
      <c r="B445" s="13"/>
      <c r="C445" s="13"/>
    </row>
    <row r="446" spans="1:3" ht="13" x14ac:dyDescent="0.15">
      <c r="A446" s="10"/>
      <c r="B446" s="13"/>
      <c r="C446" s="13"/>
    </row>
    <row r="447" spans="1:3" ht="13" x14ac:dyDescent="0.15">
      <c r="A447" s="10"/>
      <c r="B447" s="13"/>
      <c r="C447" s="13"/>
    </row>
    <row r="448" spans="1:3" ht="13" x14ac:dyDescent="0.15">
      <c r="A448" s="10"/>
      <c r="B448" s="13"/>
      <c r="C448" s="13"/>
    </row>
    <row r="449" spans="1:3" ht="13" x14ac:dyDescent="0.15">
      <c r="A449" s="10"/>
      <c r="B449" s="13"/>
      <c r="C449" s="13"/>
    </row>
    <row r="450" spans="1:3" ht="13" x14ac:dyDescent="0.15">
      <c r="A450" s="10"/>
      <c r="B450" s="13"/>
      <c r="C450" s="13"/>
    </row>
    <row r="451" spans="1:3" ht="13" x14ac:dyDescent="0.15">
      <c r="A451" s="10"/>
      <c r="B451" s="13"/>
      <c r="C451" s="13"/>
    </row>
    <row r="452" spans="1:3" ht="13" x14ac:dyDescent="0.15">
      <c r="A452" s="10"/>
      <c r="B452" s="13"/>
      <c r="C452" s="13"/>
    </row>
    <row r="453" spans="1:3" ht="13" x14ac:dyDescent="0.15">
      <c r="A453" s="10"/>
      <c r="B453" s="13"/>
      <c r="C453" s="13"/>
    </row>
    <row r="454" spans="1:3" ht="13" x14ac:dyDescent="0.15">
      <c r="A454" s="10"/>
      <c r="B454" s="13"/>
      <c r="C454" s="13"/>
    </row>
    <row r="455" spans="1:3" ht="13" x14ac:dyDescent="0.15">
      <c r="A455" s="10"/>
      <c r="B455" s="13"/>
      <c r="C455" s="13"/>
    </row>
    <row r="456" spans="1:3" ht="13" x14ac:dyDescent="0.15">
      <c r="A456" s="10"/>
      <c r="B456" s="13"/>
      <c r="C456" s="13"/>
    </row>
    <row r="457" spans="1:3" ht="13" x14ac:dyDescent="0.15">
      <c r="A457" s="10"/>
      <c r="B457" s="13"/>
      <c r="C457" s="13"/>
    </row>
    <row r="458" spans="1:3" ht="13" x14ac:dyDescent="0.15">
      <c r="A458" s="10"/>
      <c r="B458" s="13"/>
      <c r="C458" s="13"/>
    </row>
    <row r="459" spans="1:3" ht="13" x14ac:dyDescent="0.15">
      <c r="A459" s="10"/>
      <c r="B459" s="13"/>
      <c r="C459" s="13"/>
    </row>
    <row r="460" spans="1:3" ht="13" x14ac:dyDescent="0.15">
      <c r="A460" s="10"/>
      <c r="B460" s="13"/>
      <c r="C460" s="13"/>
    </row>
    <row r="461" spans="1:3" ht="13" x14ac:dyDescent="0.15">
      <c r="A461" s="10"/>
      <c r="B461" s="13"/>
      <c r="C461" s="13"/>
    </row>
    <row r="462" spans="1:3" ht="13" x14ac:dyDescent="0.15">
      <c r="A462" s="10"/>
      <c r="B462" s="13"/>
      <c r="C462" s="13"/>
    </row>
    <row r="463" spans="1:3" ht="13" x14ac:dyDescent="0.15">
      <c r="A463" s="10"/>
      <c r="B463" s="13"/>
      <c r="C463" s="13"/>
    </row>
    <row r="464" spans="1:3" ht="13" x14ac:dyDescent="0.15">
      <c r="A464" s="10"/>
      <c r="B464" s="13"/>
      <c r="C464" s="13"/>
    </row>
    <row r="465" spans="1:3" ht="13" x14ac:dyDescent="0.15">
      <c r="A465" s="10"/>
      <c r="B465" s="13"/>
      <c r="C465" s="13"/>
    </row>
    <row r="466" spans="1:3" ht="13" x14ac:dyDescent="0.15">
      <c r="A466" s="10"/>
      <c r="B466" s="13"/>
      <c r="C466" s="13"/>
    </row>
    <row r="467" spans="1:3" ht="13" x14ac:dyDescent="0.15">
      <c r="A467" s="10"/>
      <c r="B467" s="13"/>
      <c r="C467" s="13"/>
    </row>
    <row r="468" spans="1:3" ht="13" x14ac:dyDescent="0.15">
      <c r="A468" s="10"/>
      <c r="B468" s="13"/>
      <c r="C468" s="13"/>
    </row>
    <row r="469" spans="1:3" ht="13" x14ac:dyDescent="0.15">
      <c r="A469" s="10"/>
      <c r="B469" s="13"/>
      <c r="C469" s="13"/>
    </row>
    <row r="470" spans="1:3" ht="13" x14ac:dyDescent="0.15">
      <c r="A470" s="10"/>
      <c r="B470" s="13"/>
      <c r="C470" s="13"/>
    </row>
    <row r="471" spans="1:3" ht="13" x14ac:dyDescent="0.15">
      <c r="A471" s="10"/>
      <c r="B471" s="13"/>
      <c r="C471" s="13"/>
    </row>
    <row r="472" spans="1:3" ht="13" x14ac:dyDescent="0.15">
      <c r="A472" s="10"/>
      <c r="B472" s="13"/>
      <c r="C472" s="13"/>
    </row>
    <row r="473" spans="1:3" ht="13" x14ac:dyDescent="0.15">
      <c r="A473" s="10"/>
      <c r="B473" s="13"/>
      <c r="C473" s="13"/>
    </row>
    <row r="474" spans="1:3" ht="13" x14ac:dyDescent="0.15">
      <c r="A474" s="10"/>
      <c r="B474" s="13"/>
      <c r="C474" s="13"/>
    </row>
    <row r="475" spans="1:3" ht="13" x14ac:dyDescent="0.15">
      <c r="A475" s="10"/>
      <c r="B475" s="13"/>
      <c r="C475" s="13"/>
    </row>
    <row r="476" spans="1:3" ht="13" x14ac:dyDescent="0.15">
      <c r="A476" s="10"/>
      <c r="B476" s="13"/>
      <c r="C476" s="13"/>
    </row>
    <row r="477" spans="1:3" ht="13" x14ac:dyDescent="0.15">
      <c r="A477" s="10"/>
      <c r="B477" s="13"/>
      <c r="C477" s="13"/>
    </row>
    <row r="478" spans="1:3" ht="13" x14ac:dyDescent="0.15">
      <c r="A478" s="10"/>
      <c r="B478" s="13"/>
      <c r="C478" s="13"/>
    </row>
    <row r="479" spans="1:3" ht="13" x14ac:dyDescent="0.15">
      <c r="A479" s="10"/>
      <c r="B479" s="13"/>
      <c r="C479" s="13"/>
    </row>
    <row r="480" spans="1:3" ht="13" x14ac:dyDescent="0.15">
      <c r="A480" s="10"/>
      <c r="B480" s="13"/>
      <c r="C480" s="13"/>
    </row>
    <row r="481" spans="1:3" ht="13" x14ac:dyDescent="0.15">
      <c r="A481" s="10"/>
      <c r="B481" s="13"/>
      <c r="C481" s="13"/>
    </row>
    <row r="482" spans="1:3" ht="13" x14ac:dyDescent="0.15">
      <c r="A482" s="10"/>
      <c r="B482" s="13"/>
      <c r="C482" s="13"/>
    </row>
    <row r="483" spans="1:3" ht="13" x14ac:dyDescent="0.15">
      <c r="A483" s="10"/>
      <c r="B483" s="13"/>
      <c r="C483" s="13"/>
    </row>
    <row r="484" spans="1:3" ht="13" x14ac:dyDescent="0.15">
      <c r="A484" s="10"/>
      <c r="B484" s="13"/>
      <c r="C484" s="13"/>
    </row>
    <row r="485" spans="1:3" ht="13" x14ac:dyDescent="0.15">
      <c r="A485" s="10"/>
      <c r="B485" s="13"/>
      <c r="C485" s="13"/>
    </row>
    <row r="486" spans="1:3" ht="13" x14ac:dyDescent="0.15">
      <c r="A486" s="10"/>
      <c r="B486" s="13"/>
      <c r="C486" s="13"/>
    </row>
    <row r="487" spans="1:3" ht="13" x14ac:dyDescent="0.15">
      <c r="A487" s="10"/>
      <c r="B487" s="13"/>
      <c r="C487" s="13"/>
    </row>
    <row r="488" spans="1:3" ht="13" x14ac:dyDescent="0.15">
      <c r="A488" s="10"/>
      <c r="B488" s="13"/>
      <c r="C488" s="13"/>
    </row>
    <row r="489" spans="1:3" ht="13" x14ac:dyDescent="0.15">
      <c r="A489" s="10"/>
      <c r="B489" s="13"/>
      <c r="C489" s="13"/>
    </row>
    <row r="490" spans="1:3" ht="13" x14ac:dyDescent="0.15">
      <c r="A490" s="10"/>
      <c r="B490" s="13"/>
      <c r="C490" s="13"/>
    </row>
    <row r="491" spans="1:3" ht="13" x14ac:dyDescent="0.15">
      <c r="A491" s="10"/>
      <c r="B491" s="13"/>
      <c r="C491" s="13"/>
    </row>
    <row r="492" spans="1:3" ht="13" x14ac:dyDescent="0.15">
      <c r="A492" s="10"/>
      <c r="B492" s="13"/>
      <c r="C492" s="13"/>
    </row>
    <row r="493" spans="1:3" ht="13" x14ac:dyDescent="0.15">
      <c r="A493" s="10"/>
      <c r="B493" s="13"/>
      <c r="C493" s="13"/>
    </row>
    <row r="494" spans="1:3" ht="13" x14ac:dyDescent="0.15">
      <c r="A494" s="10"/>
      <c r="B494" s="13"/>
      <c r="C494" s="13"/>
    </row>
    <row r="495" spans="1:3" ht="13" x14ac:dyDescent="0.15">
      <c r="A495" s="10"/>
      <c r="B495" s="13"/>
      <c r="C495" s="13"/>
    </row>
    <row r="496" spans="1:3" ht="13" x14ac:dyDescent="0.15">
      <c r="A496" s="10"/>
      <c r="B496" s="13"/>
      <c r="C496" s="13"/>
    </row>
    <row r="497" spans="1:3" ht="13" x14ac:dyDescent="0.15">
      <c r="A497" s="10"/>
      <c r="B497" s="13"/>
      <c r="C497" s="13"/>
    </row>
    <row r="498" spans="1:3" ht="13" x14ac:dyDescent="0.15">
      <c r="A498" s="10"/>
      <c r="B498" s="13"/>
      <c r="C498" s="13"/>
    </row>
    <row r="499" spans="1:3" ht="13" x14ac:dyDescent="0.15">
      <c r="A499" s="10"/>
      <c r="B499" s="13"/>
      <c r="C499" s="13"/>
    </row>
    <row r="500" spans="1:3" ht="13" x14ac:dyDescent="0.15">
      <c r="A500" s="10"/>
      <c r="B500" s="13"/>
      <c r="C500" s="13"/>
    </row>
    <row r="501" spans="1:3" ht="13" x14ac:dyDescent="0.15">
      <c r="A501" s="10"/>
      <c r="B501" s="13"/>
      <c r="C501" s="13"/>
    </row>
    <row r="502" spans="1:3" ht="13" x14ac:dyDescent="0.15">
      <c r="A502" s="10"/>
      <c r="B502" s="13"/>
      <c r="C502" s="13"/>
    </row>
    <row r="503" spans="1:3" ht="13" x14ac:dyDescent="0.15">
      <c r="A503" s="10"/>
      <c r="B503" s="13"/>
      <c r="C503" s="13"/>
    </row>
    <row r="504" spans="1:3" ht="13" x14ac:dyDescent="0.15">
      <c r="A504" s="10"/>
      <c r="B504" s="13"/>
      <c r="C504" s="13"/>
    </row>
    <row r="505" spans="1:3" ht="13" x14ac:dyDescent="0.15">
      <c r="A505" s="10"/>
      <c r="B505" s="13"/>
      <c r="C505" s="13"/>
    </row>
    <row r="506" spans="1:3" ht="13" x14ac:dyDescent="0.15">
      <c r="A506" s="10"/>
      <c r="B506" s="13"/>
      <c r="C506" s="13"/>
    </row>
    <row r="507" spans="1:3" ht="13" x14ac:dyDescent="0.15">
      <c r="A507" s="10"/>
      <c r="B507" s="13"/>
      <c r="C507" s="13"/>
    </row>
    <row r="508" spans="1:3" ht="13" x14ac:dyDescent="0.15">
      <c r="A508" s="10"/>
      <c r="B508" s="13"/>
      <c r="C508" s="13"/>
    </row>
    <row r="509" spans="1:3" ht="13" x14ac:dyDescent="0.15">
      <c r="A509" s="10"/>
      <c r="B509" s="13"/>
      <c r="C509" s="13"/>
    </row>
    <row r="510" spans="1:3" ht="13" x14ac:dyDescent="0.15">
      <c r="A510" s="10"/>
      <c r="B510" s="13"/>
      <c r="C510" s="13"/>
    </row>
    <row r="511" spans="1:3" ht="13" x14ac:dyDescent="0.15">
      <c r="A511" s="10"/>
      <c r="B511" s="13"/>
      <c r="C511" s="13"/>
    </row>
    <row r="512" spans="1:3" ht="13" x14ac:dyDescent="0.15">
      <c r="A512" s="10"/>
      <c r="B512" s="13"/>
      <c r="C512" s="13"/>
    </row>
    <row r="513" spans="1:3" ht="13" x14ac:dyDescent="0.15">
      <c r="A513" s="10"/>
      <c r="B513" s="13"/>
      <c r="C513" s="13"/>
    </row>
    <row r="514" spans="1:3" ht="13" x14ac:dyDescent="0.15">
      <c r="A514" s="10"/>
      <c r="B514" s="13"/>
      <c r="C514" s="13"/>
    </row>
    <row r="515" spans="1:3" ht="13" x14ac:dyDescent="0.15">
      <c r="A515" s="10"/>
      <c r="B515" s="13"/>
      <c r="C515" s="13"/>
    </row>
    <row r="516" spans="1:3" ht="13" x14ac:dyDescent="0.15">
      <c r="A516" s="10"/>
      <c r="B516" s="13"/>
      <c r="C516" s="13"/>
    </row>
    <row r="517" spans="1:3" ht="13" x14ac:dyDescent="0.15">
      <c r="A517" s="10"/>
      <c r="B517" s="13"/>
      <c r="C517" s="13"/>
    </row>
    <row r="518" spans="1:3" ht="13" x14ac:dyDescent="0.15">
      <c r="A518" s="10"/>
      <c r="B518" s="13"/>
      <c r="C518" s="13"/>
    </row>
    <row r="519" spans="1:3" ht="13" x14ac:dyDescent="0.15">
      <c r="A519" s="10"/>
      <c r="B519" s="13"/>
      <c r="C519" s="13"/>
    </row>
    <row r="520" spans="1:3" ht="13" x14ac:dyDescent="0.15">
      <c r="A520" s="10"/>
      <c r="B520" s="13"/>
      <c r="C520" s="13"/>
    </row>
    <row r="521" spans="1:3" ht="13" x14ac:dyDescent="0.15">
      <c r="A521" s="10"/>
      <c r="B521" s="13"/>
      <c r="C521" s="13"/>
    </row>
    <row r="522" spans="1:3" ht="13" x14ac:dyDescent="0.15">
      <c r="A522" s="10"/>
      <c r="B522" s="13"/>
      <c r="C522" s="13"/>
    </row>
    <row r="523" spans="1:3" ht="13" x14ac:dyDescent="0.15">
      <c r="A523" s="10"/>
      <c r="B523" s="13"/>
      <c r="C523" s="13"/>
    </row>
    <row r="524" spans="1:3" ht="13" x14ac:dyDescent="0.15">
      <c r="A524" s="10"/>
      <c r="B524" s="13"/>
      <c r="C524" s="13"/>
    </row>
    <row r="525" spans="1:3" ht="13" x14ac:dyDescent="0.15">
      <c r="A525" s="10"/>
      <c r="B525" s="13"/>
      <c r="C525" s="13"/>
    </row>
    <row r="526" spans="1:3" ht="13" x14ac:dyDescent="0.15">
      <c r="A526" s="10"/>
      <c r="B526" s="13"/>
      <c r="C526" s="13"/>
    </row>
    <row r="527" spans="1:3" ht="13" x14ac:dyDescent="0.15">
      <c r="A527" s="10"/>
      <c r="B527" s="13"/>
      <c r="C527" s="13"/>
    </row>
    <row r="528" spans="1:3" ht="13" x14ac:dyDescent="0.15">
      <c r="A528" s="10"/>
      <c r="B528" s="13"/>
      <c r="C528" s="13"/>
    </row>
    <row r="529" spans="1:3" ht="13" x14ac:dyDescent="0.15">
      <c r="A529" s="10"/>
      <c r="B529" s="13"/>
      <c r="C529" s="13"/>
    </row>
    <row r="530" spans="1:3" ht="13" x14ac:dyDescent="0.15">
      <c r="A530" s="10"/>
      <c r="B530" s="13"/>
      <c r="C530" s="13"/>
    </row>
    <row r="531" spans="1:3" ht="13" x14ac:dyDescent="0.15">
      <c r="A531" s="10"/>
      <c r="B531" s="13"/>
      <c r="C531" s="13"/>
    </row>
    <row r="532" spans="1:3" ht="13" x14ac:dyDescent="0.15">
      <c r="A532" s="10"/>
      <c r="B532" s="13"/>
      <c r="C532" s="13"/>
    </row>
    <row r="533" spans="1:3" ht="13" x14ac:dyDescent="0.15">
      <c r="A533" s="10"/>
      <c r="B533" s="13"/>
      <c r="C533" s="13"/>
    </row>
    <row r="534" spans="1:3" ht="13" x14ac:dyDescent="0.15">
      <c r="A534" s="10"/>
      <c r="B534" s="13"/>
      <c r="C534" s="13"/>
    </row>
    <row r="535" spans="1:3" ht="13" x14ac:dyDescent="0.15">
      <c r="A535" s="10"/>
      <c r="B535" s="13"/>
      <c r="C535" s="13"/>
    </row>
    <row r="536" spans="1:3" ht="13" x14ac:dyDescent="0.15">
      <c r="A536" s="10"/>
      <c r="B536" s="13"/>
      <c r="C536" s="13"/>
    </row>
    <row r="537" spans="1:3" ht="13" x14ac:dyDescent="0.15">
      <c r="A537" s="10"/>
      <c r="B537" s="13"/>
      <c r="C537" s="13"/>
    </row>
    <row r="538" spans="1:3" ht="13" x14ac:dyDescent="0.15">
      <c r="A538" s="10"/>
      <c r="B538" s="13"/>
      <c r="C538" s="13"/>
    </row>
    <row r="539" spans="1:3" ht="13" x14ac:dyDescent="0.15">
      <c r="A539" s="10"/>
      <c r="B539" s="13"/>
      <c r="C539" s="13"/>
    </row>
    <row r="540" spans="1:3" ht="13" x14ac:dyDescent="0.15">
      <c r="A540" s="10"/>
      <c r="B540" s="13"/>
      <c r="C540" s="13"/>
    </row>
    <row r="541" spans="1:3" ht="13" x14ac:dyDescent="0.15">
      <c r="A541" s="10"/>
      <c r="B541" s="13"/>
      <c r="C541" s="13"/>
    </row>
    <row r="542" spans="1:3" ht="13" x14ac:dyDescent="0.15">
      <c r="A542" s="10"/>
      <c r="B542" s="13"/>
      <c r="C542" s="13"/>
    </row>
    <row r="543" spans="1:3" ht="13" x14ac:dyDescent="0.15">
      <c r="A543" s="10"/>
      <c r="B543" s="13"/>
      <c r="C543" s="13"/>
    </row>
    <row r="544" spans="1:3" ht="13" x14ac:dyDescent="0.15">
      <c r="A544" s="10"/>
      <c r="B544" s="13"/>
      <c r="C544" s="13"/>
    </row>
    <row r="545" spans="1:3" ht="13" x14ac:dyDescent="0.15">
      <c r="A545" s="10"/>
      <c r="B545" s="13"/>
      <c r="C545" s="13"/>
    </row>
    <row r="546" spans="1:3" ht="13" x14ac:dyDescent="0.15">
      <c r="A546" s="10"/>
      <c r="B546" s="13"/>
      <c r="C546" s="13"/>
    </row>
    <row r="547" spans="1:3" ht="13" x14ac:dyDescent="0.15">
      <c r="A547" s="10"/>
      <c r="B547" s="13"/>
      <c r="C547" s="13"/>
    </row>
    <row r="548" spans="1:3" ht="13" x14ac:dyDescent="0.15">
      <c r="A548" s="10"/>
      <c r="B548" s="13"/>
      <c r="C548" s="13"/>
    </row>
    <row r="549" spans="1:3" ht="13" x14ac:dyDescent="0.15">
      <c r="A549" s="10"/>
      <c r="B549" s="13"/>
      <c r="C549" s="13"/>
    </row>
    <row r="550" spans="1:3" ht="13" x14ac:dyDescent="0.15">
      <c r="A550" s="10"/>
      <c r="B550" s="13"/>
      <c r="C550" s="13"/>
    </row>
    <row r="551" spans="1:3" ht="13" x14ac:dyDescent="0.15">
      <c r="A551" s="10"/>
      <c r="B551" s="13"/>
      <c r="C551" s="13"/>
    </row>
    <row r="552" spans="1:3" ht="13" x14ac:dyDescent="0.15">
      <c r="A552" s="10"/>
      <c r="B552" s="13"/>
      <c r="C552" s="13"/>
    </row>
    <row r="553" spans="1:3" ht="13" x14ac:dyDescent="0.15">
      <c r="A553" s="10"/>
      <c r="B553" s="13"/>
      <c r="C553" s="13"/>
    </row>
    <row r="554" spans="1:3" ht="13" x14ac:dyDescent="0.15">
      <c r="A554" s="10"/>
      <c r="B554" s="13"/>
      <c r="C554" s="13"/>
    </row>
    <row r="555" spans="1:3" ht="13" x14ac:dyDescent="0.15">
      <c r="A555" s="10"/>
      <c r="B555" s="13"/>
      <c r="C555" s="13"/>
    </row>
    <row r="556" spans="1:3" ht="13" x14ac:dyDescent="0.15">
      <c r="A556" s="10"/>
      <c r="B556" s="13"/>
      <c r="C556" s="13"/>
    </row>
    <row r="557" spans="1:3" ht="13" x14ac:dyDescent="0.15">
      <c r="A557" s="10"/>
      <c r="B557" s="13"/>
      <c r="C557" s="13"/>
    </row>
    <row r="558" spans="1:3" ht="13" x14ac:dyDescent="0.15">
      <c r="A558" s="10"/>
      <c r="B558" s="13"/>
      <c r="C558" s="13"/>
    </row>
    <row r="559" spans="1:3" ht="13" x14ac:dyDescent="0.15">
      <c r="A559" s="10"/>
      <c r="B559" s="13"/>
      <c r="C559" s="13"/>
    </row>
    <row r="560" spans="1:3" ht="13" x14ac:dyDescent="0.15">
      <c r="A560" s="10"/>
      <c r="B560" s="13"/>
      <c r="C560" s="13"/>
    </row>
    <row r="561" spans="1:3" ht="13" x14ac:dyDescent="0.15">
      <c r="A561" s="10"/>
      <c r="B561" s="13"/>
      <c r="C561" s="13"/>
    </row>
    <row r="562" spans="1:3" ht="13" x14ac:dyDescent="0.15">
      <c r="A562" s="10"/>
      <c r="B562" s="13"/>
      <c r="C562" s="13"/>
    </row>
    <row r="563" spans="1:3" ht="13" x14ac:dyDescent="0.15">
      <c r="A563" s="10"/>
      <c r="B563" s="13"/>
      <c r="C563" s="13"/>
    </row>
    <row r="564" spans="1:3" ht="13" x14ac:dyDescent="0.15">
      <c r="A564" s="10"/>
      <c r="B564" s="13"/>
      <c r="C564" s="13"/>
    </row>
    <row r="565" spans="1:3" ht="13" x14ac:dyDescent="0.15">
      <c r="A565" s="10"/>
      <c r="B565" s="13"/>
      <c r="C565" s="13"/>
    </row>
    <row r="566" spans="1:3" ht="13" x14ac:dyDescent="0.15">
      <c r="A566" s="10"/>
      <c r="B566" s="13"/>
      <c r="C566" s="13"/>
    </row>
    <row r="567" spans="1:3" ht="13" x14ac:dyDescent="0.15">
      <c r="A567" s="10"/>
      <c r="B567" s="13"/>
      <c r="C567" s="13"/>
    </row>
    <row r="568" spans="1:3" ht="13" x14ac:dyDescent="0.15">
      <c r="A568" s="10"/>
      <c r="B568" s="13"/>
      <c r="C568" s="13"/>
    </row>
    <row r="569" spans="1:3" ht="13" x14ac:dyDescent="0.15">
      <c r="A569" s="10"/>
      <c r="B569" s="13"/>
      <c r="C569" s="13"/>
    </row>
    <row r="570" spans="1:3" ht="13" x14ac:dyDescent="0.15">
      <c r="A570" s="10"/>
      <c r="B570" s="13"/>
      <c r="C570" s="13"/>
    </row>
    <row r="571" spans="1:3" ht="13" x14ac:dyDescent="0.15">
      <c r="A571" s="10"/>
      <c r="B571" s="13"/>
      <c r="C571" s="13"/>
    </row>
    <row r="572" spans="1:3" ht="13" x14ac:dyDescent="0.15">
      <c r="A572" s="10"/>
      <c r="B572" s="13"/>
      <c r="C572" s="13"/>
    </row>
    <row r="573" spans="1:3" ht="13" x14ac:dyDescent="0.15">
      <c r="A573" s="10"/>
      <c r="B573" s="13"/>
      <c r="C573" s="13"/>
    </row>
    <row r="574" spans="1:3" ht="13" x14ac:dyDescent="0.15">
      <c r="A574" s="10"/>
      <c r="B574" s="13"/>
      <c r="C574" s="13"/>
    </row>
    <row r="575" spans="1:3" ht="13" x14ac:dyDescent="0.15">
      <c r="A575" s="10"/>
      <c r="B575" s="13"/>
      <c r="C575" s="13"/>
    </row>
    <row r="576" spans="1:3" ht="13" x14ac:dyDescent="0.15">
      <c r="A576" s="10"/>
      <c r="B576" s="13"/>
      <c r="C576" s="13"/>
    </row>
    <row r="577" spans="1:3" ht="13" x14ac:dyDescent="0.15">
      <c r="A577" s="10"/>
      <c r="B577" s="13"/>
      <c r="C577" s="13"/>
    </row>
    <row r="578" spans="1:3" ht="13" x14ac:dyDescent="0.15">
      <c r="A578" s="10"/>
      <c r="B578" s="13"/>
      <c r="C578" s="13"/>
    </row>
    <row r="579" spans="1:3" ht="13" x14ac:dyDescent="0.15">
      <c r="A579" s="10"/>
      <c r="B579" s="13"/>
      <c r="C579" s="13"/>
    </row>
    <row r="580" spans="1:3" ht="13" x14ac:dyDescent="0.15">
      <c r="A580" s="10"/>
      <c r="B580" s="13"/>
      <c r="C580" s="13"/>
    </row>
    <row r="581" spans="1:3" ht="13" x14ac:dyDescent="0.15">
      <c r="A581" s="10"/>
      <c r="B581" s="13"/>
      <c r="C581" s="13"/>
    </row>
    <row r="582" spans="1:3" ht="13" x14ac:dyDescent="0.15">
      <c r="A582" s="10"/>
      <c r="B582" s="13"/>
      <c r="C582" s="13"/>
    </row>
    <row r="583" spans="1:3" ht="13" x14ac:dyDescent="0.15">
      <c r="A583" s="10"/>
      <c r="B583" s="13"/>
      <c r="C583" s="13"/>
    </row>
    <row r="584" spans="1:3" ht="13" x14ac:dyDescent="0.15">
      <c r="A584" s="10"/>
      <c r="B584" s="13"/>
      <c r="C584" s="13"/>
    </row>
    <row r="585" spans="1:3" ht="13" x14ac:dyDescent="0.15">
      <c r="A585" s="10"/>
      <c r="B585" s="13"/>
      <c r="C585" s="13"/>
    </row>
    <row r="586" spans="1:3" ht="13" x14ac:dyDescent="0.15">
      <c r="A586" s="10"/>
      <c r="B586" s="13"/>
      <c r="C586" s="13"/>
    </row>
    <row r="587" spans="1:3" ht="13" x14ac:dyDescent="0.15">
      <c r="A587" s="10"/>
      <c r="B587" s="13"/>
      <c r="C587" s="13"/>
    </row>
    <row r="588" spans="1:3" ht="13" x14ac:dyDescent="0.15">
      <c r="A588" s="10"/>
      <c r="B588" s="13"/>
      <c r="C588" s="13"/>
    </row>
    <row r="589" spans="1:3" ht="13" x14ac:dyDescent="0.15">
      <c r="A589" s="10"/>
      <c r="B589" s="13"/>
      <c r="C589" s="13"/>
    </row>
    <row r="590" spans="1:3" ht="13" x14ac:dyDescent="0.15">
      <c r="A590" s="10"/>
      <c r="B590" s="13"/>
      <c r="C590" s="13"/>
    </row>
    <row r="591" spans="1:3" ht="13" x14ac:dyDescent="0.15">
      <c r="A591" s="10"/>
      <c r="B591" s="13"/>
      <c r="C591" s="13"/>
    </row>
    <row r="592" spans="1:3" ht="13" x14ac:dyDescent="0.15">
      <c r="A592" s="10"/>
      <c r="B592" s="13"/>
      <c r="C592" s="13"/>
    </row>
    <row r="593" spans="1:3" ht="13" x14ac:dyDescent="0.15">
      <c r="A593" s="10"/>
      <c r="B593" s="13"/>
      <c r="C593" s="13"/>
    </row>
    <row r="594" spans="1:3" ht="13" x14ac:dyDescent="0.15">
      <c r="A594" s="10"/>
      <c r="B594" s="13"/>
      <c r="C594" s="13"/>
    </row>
    <row r="595" spans="1:3" ht="13" x14ac:dyDescent="0.15">
      <c r="A595" s="10"/>
      <c r="B595" s="13"/>
      <c r="C595" s="13"/>
    </row>
    <row r="596" spans="1:3" ht="13" x14ac:dyDescent="0.15">
      <c r="A596" s="10"/>
      <c r="B596" s="13"/>
      <c r="C596" s="13"/>
    </row>
    <row r="597" spans="1:3" ht="13" x14ac:dyDescent="0.15">
      <c r="A597" s="10"/>
      <c r="B597" s="13"/>
      <c r="C597" s="13"/>
    </row>
    <row r="598" spans="1:3" ht="13" x14ac:dyDescent="0.15">
      <c r="A598" s="10"/>
      <c r="B598" s="13"/>
      <c r="C598" s="13"/>
    </row>
    <row r="599" spans="1:3" ht="13" x14ac:dyDescent="0.15">
      <c r="A599" s="10"/>
      <c r="B599" s="13"/>
      <c r="C599" s="13"/>
    </row>
    <row r="600" spans="1:3" ht="13" x14ac:dyDescent="0.15">
      <c r="A600" s="10"/>
      <c r="B600" s="13"/>
      <c r="C600" s="13"/>
    </row>
    <row r="601" spans="1:3" ht="13" x14ac:dyDescent="0.15">
      <c r="A601" s="10"/>
      <c r="B601" s="13"/>
      <c r="C601" s="13"/>
    </row>
    <row r="602" spans="1:3" ht="13" x14ac:dyDescent="0.15">
      <c r="A602" s="10"/>
      <c r="B602" s="13"/>
      <c r="C602" s="13"/>
    </row>
    <row r="603" spans="1:3" ht="13" x14ac:dyDescent="0.15">
      <c r="A603" s="10"/>
      <c r="B603" s="13"/>
      <c r="C603" s="13"/>
    </row>
    <row r="604" spans="1:3" ht="13" x14ac:dyDescent="0.15">
      <c r="A604" s="10"/>
      <c r="B604" s="13"/>
      <c r="C604" s="13"/>
    </row>
    <row r="605" spans="1:3" ht="13" x14ac:dyDescent="0.15">
      <c r="A605" s="10"/>
      <c r="B605" s="13"/>
      <c r="C605" s="13"/>
    </row>
    <row r="606" spans="1:3" ht="13" x14ac:dyDescent="0.15">
      <c r="A606" s="10"/>
      <c r="B606" s="13"/>
      <c r="C606" s="13"/>
    </row>
    <row r="607" spans="1:3" ht="13" x14ac:dyDescent="0.15">
      <c r="A607" s="10"/>
      <c r="B607" s="13"/>
      <c r="C607" s="13"/>
    </row>
    <row r="608" spans="1:3" ht="13" x14ac:dyDescent="0.15">
      <c r="A608" s="10"/>
      <c r="B608" s="13"/>
      <c r="C608" s="13"/>
    </row>
    <row r="609" spans="1:3" ht="13" x14ac:dyDescent="0.15">
      <c r="A609" s="10"/>
      <c r="B609" s="13"/>
      <c r="C609" s="13"/>
    </row>
    <row r="610" spans="1:3" ht="13" x14ac:dyDescent="0.15">
      <c r="A610" s="10"/>
      <c r="B610" s="13"/>
      <c r="C610" s="13"/>
    </row>
    <row r="611" spans="1:3" ht="13" x14ac:dyDescent="0.15">
      <c r="A611" s="10"/>
      <c r="B611" s="13"/>
      <c r="C611" s="13"/>
    </row>
    <row r="612" spans="1:3" ht="13" x14ac:dyDescent="0.15">
      <c r="A612" s="10"/>
      <c r="B612" s="13"/>
      <c r="C612" s="13"/>
    </row>
    <row r="613" spans="1:3" ht="13" x14ac:dyDescent="0.15">
      <c r="A613" s="10"/>
      <c r="B613" s="13"/>
      <c r="C613" s="13"/>
    </row>
    <row r="614" spans="1:3" ht="13" x14ac:dyDescent="0.15">
      <c r="A614" s="10"/>
      <c r="B614" s="13"/>
      <c r="C614" s="13"/>
    </row>
    <row r="615" spans="1:3" ht="13" x14ac:dyDescent="0.15">
      <c r="A615" s="10"/>
      <c r="B615" s="13"/>
      <c r="C615" s="13"/>
    </row>
    <row r="616" spans="1:3" ht="13" x14ac:dyDescent="0.15">
      <c r="A616" s="10"/>
      <c r="B616" s="13"/>
      <c r="C616" s="13"/>
    </row>
    <row r="617" spans="1:3" ht="13" x14ac:dyDescent="0.15">
      <c r="A617" s="10"/>
      <c r="B617" s="13"/>
      <c r="C617" s="13"/>
    </row>
    <row r="618" spans="1:3" ht="13" x14ac:dyDescent="0.15">
      <c r="A618" s="10"/>
      <c r="B618" s="13"/>
      <c r="C618" s="13"/>
    </row>
    <row r="619" spans="1:3" ht="13" x14ac:dyDescent="0.15">
      <c r="A619" s="10"/>
      <c r="B619" s="13"/>
      <c r="C619" s="13"/>
    </row>
    <row r="620" spans="1:3" ht="13" x14ac:dyDescent="0.15">
      <c r="A620" s="10"/>
      <c r="B620" s="13"/>
      <c r="C620" s="13"/>
    </row>
    <row r="621" spans="1:3" ht="13" x14ac:dyDescent="0.15">
      <c r="A621" s="10"/>
      <c r="B621" s="13"/>
      <c r="C621" s="13"/>
    </row>
    <row r="622" spans="1:3" ht="13" x14ac:dyDescent="0.15">
      <c r="A622" s="10"/>
      <c r="B622" s="13"/>
      <c r="C622" s="13"/>
    </row>
    <row r="623" spans="1:3" ht="13" x14ac:dyDescent="0.15">
      <c r="A623" s="10"/>
      <c r="B623" s="13"/>
      <c r="C623" s="13"/>
    </row>
    <row r="624" spans="1:3" ht="13" x14ac:dyDescent="0.15">
      <c r="A624" s="10"/>
      <c r="B624" s="13"/>
      <c r="C624" s="13"/>
    </row>
    <row r="625" spans="1:3" ht="13" x14ac:dyDescent="0.15">
      <c r="A625" s="10"/>
      <c r="B625" s="13"/>
      <c r="C625" s="13"/>
    </row>
    <row r="626" spans="1:3" ht="13" x14ac:dyDescent="0.15">
      <c r="A626" s="10"/>
      <c r="B626" s="13"/>
      <c r="C626" s="13"/>
    </row>
    <row r="627" spans="1:3" ht="13" x14ac:dyDescent="0.15">
      <c r="A627" s="10"/>
      <c r="B627" s="13"/>
      <c r="C627" s="13"/>
    </row>
    <row r="628" spans="1:3" ht="13" x14ac:dyDescent="0.15">
      <c r="A628" s="10"/>
      <c r="B628" s="13"/>
      <c r="C628" s="13"/>
    </row>
    <row r="629" spans="1:3" ht="13" x14ac:dyDescent="0.15">
      <c r="A629" s="10"/>
      <c r="B629" s="13"/>
      <c r="C629" s="13"/>
    </row>
    <row r="630" spans="1:3" ht="13" x14ac:dyDescent="0.15">
      <c r="A630" s="10"/>
      <c r="B630" s="13"/>
      <c r="C630" s="13"/>
    </row>
    <row r="631" spans="1:3" ht="13" x14ac:dyDescent="0.15">
      <c r="A631" s="10"/>
      <c r="B631" s="13"/>
      <c r="C631" s="13"/>
    </row>
    <row r="632" spans="1:3" ht="13" x14ac:dyDescent="0.15">
      <c r="A632" s="10"/>
      <c r="B632" s="13"/>
      <c r="C632" s="13"/>
    </row>
    <row r="633" spans="1:3" ht="13" x14ac:dyDescent="0.15">
      <c r="A633" s="10"/>
      <c r="B633" s="13"/>
      <c r="C633" s="13"/>
    </row>
    <row r="634" spans="1:3" ht="13" x14ac:dyDescent="0.15">
      <c r="A634" s="10"/>
      <c r="B634" s="13"/>
      <c r="C634" s="13"/>
    </row>
    <row r="635" spans="1:3" ht="13" x14ac:dyDescent="0.15">
      <c r="A635" s="10"/>
      <c r="B635" s="13"/>
      <c r="C635" s="13"/>
    </row>
    <row r="636" spans="1:3" ht="13" x14ac:dyDescent="0.15">
      <c r="A636" s="10"/>
      <c r="B636" s="13"/>
      <c r="C636" s="13"/>
    </row>
    <row r="637" spans="1:3" ht="13" x14ac:dyDescent="0.15">
      <c r="A637" s="10"/>
      <c r="B637" s="13"/>
      <c r="C637" s="13"/>
    </row>
    <row r="638" spans="1:3" ht="13" x14ac:dyDescent="0.15">
      <c r="A638" s="10"/>
      <c r="B638" s="13"/>
      <c r="C638" s="13"/>
    </row>
    <row r="639" spans="1:3" ht="13" x14ac:dyDescent="0.15">
      <c r="A639" s="10"/>
      <c r="B639" s="13"/>
      <c r="C639" s="13"/>
    </row>
    <row r="640" spans="1:3" ht="13" x14ac:dyDescent="0.15">
      <c r="A640" s="10"/>
      <c r="B640" s="13"/>
      <c r="C640" s="13"/>
    </row>
    <row r="641" spans="1:3" ht="13" x14ac:dyDescent="0.15">
      <c r="A641" s="10"/>
      <c r="B641" s="13"/>
      <c r="C641" s="13"/>
    </row>
    <row r="642" spans="1:3" ht="13" x14ac:dyDescent="0.15">
      <c r="A642" s="10"/>
      <c r="B642" s="13"/>
      <c r="C642" s="13"/>
    </row>
    <row r="643" spans="1:3" ht="13" x14ac:dyDescent="0.15">
      <c r="A643" s="10"/>
      <c r="B643" s="13"/>
      <c r="C643" s="13"/>
    </row>
    <row r="644" spans="1:3" ht="13" x14ac:dyDescent="0.15">
      <c r="A644" s="10"/>
      <c r="B644" s="13"/>
      <c r="C644" s="13"/>
    </row>
    <row r="645" spans="1:3" ht="13" x14ac:dyDescent="0.15">
      <c r="A645" s="10"/>
      <c r="B645" s="13"/>
      <c r="C645" s="13"/>
    </row>
    <row r="646" spans="1:3" ht="13" x14ac:dyDescent="0.15">
      <c r="A646" s="10"/>
      <c r="B646" s="13"/>
      <c r="C646" s="13"/>
    </row>
    <row r="647" spans="1:3" ht="13" x14ac:dyDescent="0.15">
      <c r="A647" s="10"/>
      <c r="B647" s="13"/>
      <c r="C647" s="13"/>
    </row>
    <row r="648" spans="1:3" ht="13" x14ac:dyDescent="0.15">
      <c r="A648" s="10"/>
      <c r="B648" s="13"/>
      <c r="C648" s="13"/>
    </row>
    <row r="649" spans="1:3" ht="13" x14ac:dyDescent="0.15">
      <c r="A649" s="10"/>
      <c r="B649" s="13"/>
      <c r="C649" s="13"/>
    </row>
    <row r="650" spans="1:3" ht="13" x14ac:dyDescent="0.15">
      <c r="A650" s="10"/>
      <c r="B650" s="13"/>
      <c r="C650" s="13"/>
    </row>
    <row r="651" spans="1:3" ht="13" x14ac:dyDescent="0.15">
      <c r="A651" s="10"/>
      <c r="B651" s="13"/>
      <c r="C651" s="13"/>
    </row>
    <row r="652" spans="1:3" ht="13" x14ac:dyDescent="0.15">
      <c r="A652" s="10"/>
      <c r="B652" s="13"/>
      <c r="C652" s="13"/>
    </row>
    <row r="653" spans="1:3" ht="13" x14ac:dyDescent="0.15">
      <c r="A653" s="10"/>
      <c r="B653" s="13"/>
      <c r="C653" s="13"/>
    </row>
    <row r="654" spans="1:3" ht="13" x14ac:dyDescent="0.15">
      <c r="A654" s="10"/>
      <c r="B654" s="13"/>
      <c r="C654" s="13"/>
    </row>
    <row r="655" spans="1:3" ht="13" x14ac:dyDescent="0.15">
      <c r="A655" s="10"/>
      <c r="B655" s="13"/>
      <c r="C655" s="13"/>
    </row>
    <row r="656" spans="1:3" ht="13" x14ac:dyDescent="0.15">
      <c r="A656" s="10"/>
      <c r="B656" s="13"/>
      <c r="C656" s="13"/>
    </row>
    <row r="657" spans="1:3" ht="13" x14ac:dyDescent="0.15">
      <c r="A657" s="10"/>
      <c r="B657" s="13"/>
      <c r="C657" s="13"/>
    </row>
    <row r="658" spans="1:3" ht="13" x14ac:dyDescent="0.15">
      <c r="A658" s="10"/>
      <c r="B658" s="13"/>
      <c r="C658" s="13"/>
    </row>
    <row r="659" spans="1:3" ht="13" x14ac:dyDescent="0.15">
      <c r="A659" s="10"/>
      <c r="B659" s="13"/>
      <c r="C659" s="13"/>
    </row>
    <row r="660" spans="1:3" ht="13" x14ac:dyDescent="0.15">
      <c r="A660" s="10"/>
      <c r="B660" s="13"/>
      <c r="C660" s="13"/>
    </row>
    <row r="661" spans="1:3" ht="13" x14ac:dyDescent="0.15">
      <c r="A661" s="10"/>
      <c r="B661" s="13"/>
      <c r="C661" s="13"/>
    </row>
    <row r="662" spans="1:3" ht="13" x14ac:dyDescent="0.15">
      <c r="A662" s="10"/>
      <c r="B662" s="13"/>
      <c r="C662" s="13"/>
    </row>
    <row r="663" spans="1:3" ht="13" x14ac:dyDescent="0.15">
      <c r="A663" s="10"/>
      <c r="B663" s="13"/>
      <c r="C663" s="13"/>
    </row>
    <row r="664" spans="1:3" ht="13" x14ac:dyDescent="0.15">
      <c r="A664" s="10"/>
      <c r="B664" s="13"/>
      <c r="C664" s="13"/>
    </row>
    <row r="665" spans="1:3" ht="13" x14ac:dyDescent="0.15">
      <c r="A665" s="10"/>
      <c r="B665" s="13"/>
      <c r="C665" s="13"/>
    </row>
    <row r="666" spans="1:3" ht="13" x14ac:dyDescent="0.15">
      <c r="A666" s="10"/>
      <c r="B666" s="13"/>
      <c r="C666" s="13"/>
    </row>
    <row r="667" spans="1:3" ht="13" x14ac:dyDescent="0.15">
      <c r="A667" s="10"/>
      <c r="B667" s="13"/>
      <c r="C667" s="13"/>
    </row>
    <row r="668" spans="1:3" ht="13" x14ac:dyDescent="0.15">
      <c r="A668" s="10"/>
      <c r="B668" s="13"/>
      <c r="C668" s="13"/>
    </row>
    <row r="669" spans="1:3" ht="13" x14ac:dyDescent="0.15">
      <c r="A669" s="10"/>
      <c r="B669" s="13"/>
      <c r="C669" s="13"/>
    </row>
    <row r="670" spans="1:3" ht="13" x14ac:dyDescent="0.15">
      <c r="A670" s="10"/>
      <c r="B670" s="13"/>
      <c r="C670" s="13"/>
    </row>
    <row r="671" spans="1:3" ht="13" x14ac:dyDescent="0.15">
      <c r="A671" s="10"/>
      <c r="B671" s="13"/>
      <c r="C671" s="13"/>
    </row>
    <row r="672" spans="1:3" ht="13" x14ac:dyDescent="0.15">
      <c r="A672" s="10"/>
      <c r="B672" s="13"/>
      <c r="C672" s="13"/>
    </row>
    <row r="673" spans="1:3" ht="13" x14ac:dyDescent="0.15">
      <c r="A673" s="10"/>
      <c r="B673" s="13"/>
      <c r="C673" s="13"/>
    </row>
    <row r="674" spans="1:3" ht="13" x14ac:dyDescent="0.15">
      <c r="A674" s="10"/>
      <c r="B674" s="13"/>
      <c r="C674" s="13"/>
    </row>
    <row r="675" spans="1:3" ht="13" x14ac:dyDescent="0.15">
      <c r="A675" s="10"/>
      <c r="B675" s="13"/>
      <c r="C675" s="13"/>
    </row>
    <row r="676" spans="1:3" ht="13" x14ac:dyDescent="0.15">
      <c r="A676" s="10"/>
      <c r="B676" s="13"/>
      <c r="C676" s="13"/>
    </row>
    <row r="677" spans="1:3" ht="13" x14ac:dyDescent="0.15">
      <c r="A677" s="10"/>
      <c r="B677" s="13"/>
      <c r="C677" s="13"/>
    </row>
    <row r="678" spans="1:3" ht="13" x14ac:dyDescent="0.15">
      <c r="A678" s="10"/>
      <c r="B678" s="13"/>
      <c r="C678" s="13"/>
    </row>
    <row r="679" spans="1:3" ht="13" x14ac:dyDescent="0.15">
      <c r="A679" s="10"/>
      <c r="B679" s="13"/>
      <c r="C679" s="13"/>
    </row>
    <row r="680" spans="1:3" ht="13" x14ac:dyDescent="0.15">
      <c r="A680" s="10"/>
      <c r="B680" s="13"/>
      <c r="C680" s="13"/>
    </row>
    <row r="681" spans="1:3" ht="13" x14ac:dyDescent="0.15">
      <c r="A681" s="10"/>
      <c r="B681" s="13"/>
      <c r="C681" s="13"/>
    </row>
    <row r="682" spans="1:3" ht="13" x14ac:dyDescent="0.15">
      <c r="A682" s="10"/>
      <c r="B682" s="13"/>
      <c r="C682" s="13"/>
    </row>
    <row r="683" spans="1:3" ht="13" x14ac:dyDescent="0.15">
      <c r="A683" s="10"/>
      <c r="B683" s="13"/>
      <c r="C683" s="13"/>
    </row>
    <row r="684" spans="1:3" ht="13" x14ac:dyDescent="0.15">
      <c r="A684" s="10"/>
      <c r="B684" s="13"/>
      <c r="C684" s="13"/>
    </row>
    <row r="685" spans="1:3" ht="13" x14ac:dyDescent="0.15">
      <c r="A685" s="10"/>
      <c r="B685" s="13"/>
      <c r="C685" s="13"/>
    </row>
    <row r="686" spans="1:3" ht="13" x14ac:dyDescent="0.15">
      <c r="A686" s="10"/>
      <c r="B686" s="13"/>
      <c r="C686" s="13"/>
    </row>
    <row r="687" spans="1:3" ht="13" x14ac:dyDescent="0.15">
      <c r="A687" s="10"/>
      <c r="B687" s="13"/>
      <c r="C687" s="13"/>
    </row>
    <row r="688" spans="1:3" ht="13" x14ac:dyDescent="0.15">
      <c r="A688" s="10"/>
      <c r="B688" s="13"/>
      <c r="C688" s="13"/>
    </row>
    <row r="689" spans="1:3" ht="13" x14ac:dyDescent="0.15">
      <c r="A689" s="10"/>
      <c r="B689" s="13"/>
      <c r="C689" s="13"/>
    </row>
    <row r="690" spans="1:3" ht="13" x14ac:dyDescent="0.15">
      <c r="A690" s="10"/>
      <c r="B690" s="13"/>
      <c r="C690" s="13"/>
    </row>
    <row r="691" spans="1:3" ht="13" x14ac:dyDescent="0.15">
      <c r="A691" s="10"/>
      <c r="B691" s="13"/>
      <c r="C691" s="13"/>
    </row>
    <row r="692" spans="1:3" ht="13" x14ac:dyDescent="0.15">
      <c r="A692" s="10"/>
      <c r="B692" s="13"/>
      <c r="C692" s="13"/>
    </row>
    <row r="693" spans="1:3" ht="13" x14ac:dyDescent="0.15">
      <c r="A693" s="10"/>
      <c r="B693" s="13"/>
      <c r="C693" s="13"/>
    </row>
    <row r="694" spans="1:3" ht="13" x14ac:dyDescent="0.15">
      <c r="A694" s="10"/>
      <c r="B694" s="13"/>
      <c r="C694" s="13"/>
    </row>
    <row r="695" spans="1:3" ht="13" x14ac:dyDescent="0.15">
      <c r="A695" s="10"/>
      <c r="B695" s="13"/>
      <c r="C695" s="13"/>
    </row>
    <row r="696" spans="1:3" ht="13" x14ac:dyDescent="0.15">
      <c r="A696" s="10"/>
      <c r="B696" s="13"/>
      <c r="C696" s="13"/>
    </row>
    <row r="697" spans="1:3" ht="13" x14ac:dyDescent="0.15">
      <c r="A697" s="10"/>
      <c r="B697" s="13"/>
      <c r="C697" s="13"/>
    </row>
    <row r="698" spans="1:3" ht="13" x14ac:dyDescent="0.15">
      <c r="A698" s="10"/>
      <c r="B698" s="13"/>
      <c r="C698" s="13"/>
    </row>
    <row r="699" spans="1:3" ht="13" x14ac:dyDescent="0.15">
      <c r="A699" s="10"/>
      <c r="B699" s="13"/>
      <c r="C699" s="13"/>
    </row>
    <row r="700" spans="1:3" ht="13" x14ac:dyDescent="0.15">
      <c r="A700" s="10"/>
      <c r="B700" s="13"/>
      <c r="C700" s="13"/>
    </row>
    <row r="701" spans="1:3" ht="13" x14ac:dyDescent="0.15">
      <c r="A701" s="10"/>
      <c r="B701" s="13"/>
      <c r="C701" s="13"/>
    </row>
    <row r="702" spans="1:3" ht="13" x14ac:dyDescent="0.15">
      <c r="A702" s="10"/>
      <c r="B702" s="13"/>
      <c r="C702" s="13"/>
    </row>
    <row r="703" spans="1:3" ht="13" x14ac:dyDescent="0.15">
      <c r="A703" s="10"/>
      <c r="B703" s="13"/>
      <c r="C703" s="13"/>
    </row>
    <row r="704" spans="1:3" ht="13" x14ac:dyDescent="0.15">
      <c r="A704" s="10"/>
      <c r="B704" s="13"/>
      <c r="C704" s="13"/>
    </row>
    <row r="705" spans="1:3" ht="13" x14ac:dyDescent="0.15">
      <c r="A705" s="10"/>
      <c r="B705" s="13"/>
      <c r="C705" s="13"/>
    </row>
    <row r="706" spans="1:3" ht="13" x14ac:dyDescent="0.15">
      <c r="A706" s="10"/>
      <c r="B706" s="13"/>
      <c r="C706" s="13"/>
    </row>
    <row r="707" spans="1:3" ht="13" x14ac:dyDescent="0.15">
      <c r="A707" s="10"/>
      <c r="B707" s="13"/>
      <c r="C707" s="13"/>
    </row>
    <row r="708" spans="1:3" ht="13" x14ac:dyDescent="0.15">
      <c r="A708" s="10"/>
      <c r="B708" s="13"/>
      <c r="C708" s="13"/>
    </row>
    <row r="709" spans="1:3" ht="13" x14ac:dyDescent="0.15">
      <c r="A709" s="10"/>
      <c r="B709" s="13"/>
      <c r="C709" s="13"/>
    </row>
    <row r="710" spans="1:3" ht="13" x14ac:dyDescent="0.15">
      <c r="A710" s="10"/>
      <c r="B710" s="13"/>
      <c r="C710" s="13"/>
    </row>
    <row r="711" spans="1:3" ht="13" x14ac:dyDescent="0.15">
      <c r="A711" s="10"/>
      <c r="B711" s="13"/>
      <c r="C711" s="13"/>
    </row>
    <row r="712" spans="1:3" ht="13" x14ac:dyDescent="0.15">
      <c r="A712" s="10"/>
      <c r="B712" s="13"/>
      <c r="C712" s="13"/>
    </row>
    <row r="713" spans="1:3" ht="13" x14ac:dyDescent="0.15">
      <c r="A713" s="10"/>
      <c r="B713" s="13"/>
      <c r="C713" s="13"/>
    </row>
    <row r="714" spans="1:3" ht="13" x14ac:dyDescent="0.15">
      <c r="A714" s="10"/>
      <c r="B714" s="13"/>
      <c r="C714" s="13"/>
    </row>
    <row r="715" spans="1:3" ht="13" x14ac:dyDescent="0.15">
      <c r="A715" s="10"/>
      <c r="B715" s="13"/>
      <c r="C715" s="13"/>
    </row>
    <row r="716" spans="1:3" ht="13" x14ac:dyDescent="0.15">
      <c r="A716" s="10"/>
      <c r="B716" s="13"/>
      <c r="C716" s="13"/>
    </row>
    <row r="717" spans="1:3" ht="13" x14ac:dyDescent="0.15">
      <c r="A717" s="10"/>
      <c r="B717" s="13"/>
      <c r="C717" s="13"/>
    </row>
    <row r="718" spans="1:3" ht="13" x14ac:dyDescent="0.15">
      <c r="A718" s="10"/>
      <c r="B718" s="13"/>
      <c r="C718" s="13"/>
    </row>
    <row r="719" spans="1:3" ht="13" x14ac:dyDescent="0.15">
      <c r="A719" s="10"/>
      <c r="B719" s="13"/>
      <c r="C719" s="13"/>
    </row>
    <row r="720" spans="1:3" ht="13" x14ac:dyDescent="0.15">
      <c r="A720" s="10"/>
      <c r="B720" s="13"/>
      <c r="C720" s="13"/>
    </row>
    <row r="721" spans="1:3" ht="13" x14ac:dyDescent="0.15">
      <c r="A721" s="10"/>
      <c r="B721" s="13"/>
      <c r="C721" s="13"/>
    </row>
    <row r="722" spans="1:3" ht="13" x14ac:dyDescent="0.15">
      <c r="A722" s="10"/>
      <c r="B722" s="13"/>
      <c r="C722" s="13"/>
    </row>
    <row r="723" spans="1:3" ht="13" x14ac:dyDescent="0.15">
      <c r="A723" s="10"/>
      <c r="B723" s="13"/>
      <c r="C723" s="13"/>
    </row>
    <row r="724" spans="1:3" ht="13" x14ac:dyDescent="0.15">
      <c r="A724" s="10"/>
      <c r="B724" s="13"/>
      <c r="C724" s="13"/>
    </row>
    <row r="725" spans="1:3" ht="13" x14ac:dyDescent="0.15">
      <c r="A725" s="10"/>
      <c r="B725" s="13"/>
      <c r="C725" s="13"/>
    </row>
    <row r="726" spans="1:3" ht="13" x14ac:dyDescent="0.15">
      <c r="A726" s="10"/>
      <c r="B726" s="13"/>
      <c r="C726" s="13"/>
    </row>
    <row r="727" spans="1:3" ht="13" x14ac:dyDescent="0.15">
      <c r="A727" s="10"/>
      <c r="B727" s="13"/>
      <c r="C727" s="13"/>
    </row>
    <row r="728" spans="1:3" ht="13" x14ac:dyDescent="0.15">
      <c r="A728" s="10"/>
      <c r="B728" s="13"/>
      <c r="C728" s="13"/>
    </row>
    <row r="729" spans="1:3" ht="13" x14ac:dyDescent="0.15">
      <c r="A729" s="10"/>
      <c r="B729" s="13"/>
      <c r="C729" s="13"/>
    </row>
    <row r="730" spans="1:3" ht="13" x14ac:dyDescent="0.15">
      <c r="A730" s="10"/>
      <c r="B730" s="13"/>
      <c r="C730" s="13"/>
    </row>
    <row r="731" spans="1:3" ht="13" x14ac:dyDescent="0.15">
      <c r="A731" s="10"/>
      <c r="B731" s="13"/>
      <c r="C731" s="13"/>
    </row>
    <row r="732" spans="1:3" ht="13" x14ac:dyDescent="0.15">
      <c r="A732" s="10"/>
      <c r="B732" s="13"/>
      <c r="C732" s="13"/>
    </row>
    <row r="733" spans="1:3" ht="13" x14ac:dyDescent="0.15">
      <c r="A733" s="10"/>
      <c r="B733" s="13"/>
      <c r="C733" s="13"/>
    </row>
    <row r="734" spans="1:3" ht="13" x14ac:dyDescent="0.15">
      <c r="A734" s="10"/>
      <c r="B734" s="13"/>
      <c r="C734" s="13"/>
    </row>
    <row r="735" spans="1:3" ht="13" x14ac:dyDescent="0.15">
      <c r="A735" s="10"/>
      <c r="B735" s="13"/>
      <c r="C735" s="13"/>
    </row>
    <row r="736" spans="1:3" ht="13" x14ac:dyDescent="0.15">
      <c r="A736" s="10"/>
      <c r="B736" s="13"/>
      <c r="C736" s="13"/>
    </row>
    <row r="737" spans="1:3" ht="13" x14ac:dyDescent="0.15">
      <c r="A737" s="10"/>
      <c r="B737" s="13"/>
      <c r="C737" s="13"/>
    </row>
    <row r="738" spans="1:3" ht="13" x14ac:dyDescent="0.15">
      <c r="A738" s="10"/>
      <c r="B738" s="13"/>
      <c r="C738" s="13"/>
    </row>
    <row r="739" spans="1:3" ht="13" x14ac:dyDescent="0.15">
      <c r="A739" s="10"/>
      <c r="B739" s="13"/>
      <c r="C739" s="13"/>
    </row>
    <row r="740" spans="1:3" ht="13" x14ac:dyDescent="0.15">
      <c r="A740" s="10"/>
      <c r="B740" s="13"/>
      <c r="C740" s="13"/>
    </row>
    <row r="741" spans="1:3" ht="13" x14ac:dyDescent="0.15">
      <c r="A741" s="10"/>
      <c r="B741" s="13"/>
      <c r="C741" s="13"/>
    </row>
    <row r="742" spans="1:3" ht="13" x14ac:dyDescent="0.15">
      <c r="A742" s="10"/>
      <c r="B742" s="13"/>
      <c r="C742" s="13"/>
    </row>
    <row r="743" spans="1:3" ht="13" x14ac:dyDescent="0.15">
      <c r="A743" s="10"/>
      <c r="B743" s="13"/>
      <c r="C743" s="13"/>
    </row>
    <row r="744" spans="1:3" ht="13" x14ac:dyDescent="0.15">
      <c r="A744" s="10"/>
      <c r="B744" s="13"/>
      <c r="C744" s="13"/>
    </row>
    <row r="745" spans="1:3" ht="13" x14ac:dyDescent="0.15">
      <c r="A745" s="10"/>
      <c r="B745" s="13"/>
      <c r="C745" s="13"/>
    </row>
    <row r="746" spans="1:3" ht="13" x14ac:dyDescent="0.15">
      <c r="A746" s="10"/>
      <c r="B746" s="13"/>
      <c r="C746" s="13"/>
    </row>
    <row r="747" spans="1:3" ht="13" x14ac:dyDescent="0.15">
      <c r="A747" s="10"/>
      <c r="B747" s="13"/>
      <c r="C747" s="13"/>
    </row>
    <row r="748" spans="1:3" ht="13" x14ac:dyDescent="0.15">
      <c r="A748" s="10"/>
      <c r="B748" s="13"/>
      <c r="C748" s="13"/>
    </row>
    <row r="749" spans="1:3" ht="13" x14ac:dyDescent="0.15">
      <c r="A749" s="10"/>
      <c r="B749" s="13"/>
      <c r="C749" s="13"/>
    </row>
    <row r="750" spans="1:3" ht="13" x14ac:dyDescent="0.15">
      <c r="A750" s="10"/>
      <c r="B750" s="13"/>
      <c r="C750" s="13"/>
    </row>
    <row r="751" spans="1:3" ht="13" x14ac:dyDescent="0.15">
      <c r="A751" s="10"/>
      <c r="B751" s="13"/>
      <c r="C751" s="13"/>
    </row>
    <row r="752" spans="1:3" ht="13" x14ac:dyDescent="0.15">
      <c r="A752" s="10"/>
      <c r="B752" s="13"/>
      <c r="C752" s="13"/>
    </row>
    <row r="753" spans="1:3" ht="13" x14ac:dyDescent="0.15">
      <c r="A753" s="10"/>
      <c r="B753" s="13"/>
      <c r="C753" s="13"/>
    </row>
    <row r="754" spans="1:3" ht="13" x14ac:dyDescent="0.15">
      <c r="A754" s="10"/>
      <c r="B754" s="13"/>
      <c r="C754" s="13"/>
    </row>
    <row r="755" spans="1:3" ht="13" x14ac:dyDescent="0.15">
      <c r="A755" s="10"/>
      <c r="B755" s="13"/>
      <c r="C755" s="13"/>
    </row>
    <row r="756" spans="1:3" ht="13" x14ac:dyDescent="0.15">
      <c r="A756" s="10"/>
      <c r="B756" s="13"/>
      <c r="C756" s="13"/>
    </row>
    <row r="757" spans="1:3" ht="13" x14ac:dyDescent="0.15">
      <c r="A757" s="10"/>
      <c r="B757" s="13"/>
      <c r="C757" s="13"/>
    </row>
    <row r="758" spans="1:3" ht="13" x14ac:dyDescent="0.15">
      <c r="A758" s="10"/>
      <c r="B758" s="13"/>
      <c r="C758" s="13"/>
    </row>
    <row r="759" spans="1:3" ht="13" x14ac:dyDescent="0.15">
      <c r="A759" s="10"/>
      <c r="B759" s="13"/>
      <c r="C759" s="13"/>
    </row>
    <row r="760" spans="1:3" ht="13" x14ac:dyDescent="0.15">
      <c r="A760" s="10"/>
      <c r="B760" s="13"/>
      <c r="C760" s="13"/>
    </row>
    <row r="761" spans="1:3" ht="13" x14ac:dyDescent="0.15">
      <c r="A761" s="10"/>
      <c r="B761" s="13"/>
      <c r="C761" s="13"/>
    </row>
    <row r="762" spans="1:3" ht="13" x14ac:dyDescent="0.15">
      <c r="A762" s="10"/>
      <c r="B762" s="13"/>
      <c r="C762" s="13"/>
    </row>
    <row r="763" spans="1:3" ht="13" x14ac:dyDescent="0.15">
      <c r="A763" s="10"/>
      <c r="B763" s="13"/>
      <c r="C763" s="13"/>
    </row>
    <row r="764" spans="1:3" ht="13" x14ac:dyDescent="0.15">
      <c r="A764" s="10"/>
      <c r="B764" s="13"/>
      <c r="C764" s="13"/>
    </row>
    <row r="765" spans="1:3" ht="13" x14ac:dyDescent="0.15">
      <c r="A765" s="10"/>
      <c r="B765" s="13"/>
      <c r="C765" s="13"/>
    </row>
    <row r="766" spans="1:3" ht="13" x14ac:dyDescent="0.15">
      <c r="A766" s="10"/>
      <c r="B766" s="13"/>
      <c r="C766" s="13"/>
    </row>
    <row r="767" spans="1:3" ht="13" x14ac:dyDescent="0.15">
      <c r="A767" s="10"/>
      <c r="B767" s="13"/>
      <c r="C767" s="13"/>
    </row>
    <row r="768" spans="1:3" ht="13" x14ac:dyDescent="0.15">
      <c r="A768" s="10"/>
      <c r="B768" s="13"/>
      <c r="C768" s="13"/>
    </row>
    <row r="769" spans="1:3" ht="13" x14ac:dyDescent="0.15">
      <c r="A769" s="10"/>
      <c r="B769" s="13"/>
      <c r="C769" s="13"/>
    </row>
    <row r="770" spans="1:3" ht="13" x14ac:dyDescent="0.15">
      <c r="A770" s="10"/>
      <c r="B770" s="13"/>
      <c r="C770" s="13"/>
    </row>
    <row r="771" spans="1:3" ht="13" x14ac:dyDescent="0.15">
      <c r="A771" s="10"/>
      <c r="B771" s="13"/>
      <c r="C771" s="13"/>
    </row>
    <row r="772" spans="1:3" ht="13" x14ac:dyDescent="0.15">
      <c r="A772" s="10"/>
      <c r="B772" s="13"/>
      <c r="C772" s="13"/>
    </row>
    <row r="773" spans="1:3" ht="13" x14ac:dyDescent="0.15">
      <c r="A773" s="10"/>
      <c r="B773" s="13"/>
      <c r="C773" s="13"/>
    </row>
    <row r="774" spans="1:3" ht="13" x14ac:dyDescent="0.15">
      <c r="A774" s="10"/>
      <c r="B774" s="13"/>
      <c r="C774" s="13"/>
    </row>
    <row r="775" spans="1:3" ht="13" x14ac:dyDescent="0.15">
      <c r="A775" s="10"/>
      <c r="B775" s="13"/>
      <c r="C775" s="13"/>
    </row>
    <row r="776" spans="1:3" ht="13" x14ac:dyDescent="0.15">
      <c r="A776" s="10"/>
      <c r="B776" s="13"/>
      <c r="C776" s="13"/>
    </row>
    <row r="777" spans="1:3" ht="13" x14ac:dyDescent="0.15">
      <c r="A777" s="10"/>
      <c r="B777" s="13"/>
      <c r="C777" s="13"/>
    </row>
    <row r="778" spans="1:3" ht="13" x14ac:dyDescent="0.15">
      <c r="A778" s="10"/>
      <c r="B778" s="13"/>
      <c r="C778" s="13"/>
    </row>
    <row r="779" spans="1:3" ht="13" x14ac:dyDescent="0.15">
      <c r="A779" s="10"/>
      <c r="B779" s="13"/>
      <c r="C779" s="13"/>
    </row>
    <row r="780" spans="1:3" ht="13" x14ac:dyDescent="0.15">
      <c r="A780" s="10"/>
      <c r="B780" s="13"/>
      <c r="C780" s="13"/>
    </row>
    <row r="781" spans="1:3" ht="13" x14ac:dyDescent="0.15">
      <c r="A781" s="10"/>
      <c r="B781" s="13"/>
      <c r="C781" s="13"/>
    </row>
    <row r="782" spans="1:3" ht="13" x14ac:dyDescent="0.15">
      <c r="A782" s="10"/>
      <c r="B782" s="13"/>
      <c r="C782" s="13"/>
    </row>
    <row r="783" spans="1:3" ht="13" x14ac:dyDescent="0.15">
      <c r="A783" s="10"/>
      <c r="B783" s="13"/>
      <c r="C783" s="13"/>
    </row>
    <row r="784" spans="1:3" ht="13" x14ac:dyDescent="0.15">
      <c r="A784" s="10"/>
      <c r="B784" s="13"/>
      <c r="C784" s="13"/>
    </row>
    <row r="785" spans="1:3" ht="13" x14ac:dyDescent="0.15">
      <c r="A785" s="10"/>
      <c r="B785" s="13"/>
      <c r="C785" s="13"/>
    </row>
    <row r="786" spans="1:3" ht="13" x14ac:dyDescent="0.15">
      <c r="A786" s="10"/>
      <c r="B786" s="13"/>
      <c r="C786" s="13"/>
    </row>
    <row r="787" spans="1:3" ht="13" x14ac:dyDescent="0.15">
      <c r="A787" s="10"/>
      <c r="B787" s="13"/>
      <c r="C787" s="13"/>
    </row>
    <row r="788" spans="1:3" ht="13" x14ac:dyDescent="0.15">
      <c r="A788" s="10"/>
      <c r="B788" s="13"/>
      <c r="C788" s="13"/>
    </row>
    <row r="789" spans="1:3" ht="13" x14ac:dyDescent="0.15">
      <c r="A789" s="10"/>
      <c r="B789" s="13"/>
      <c r="C789" s="13"/>
    </row>
    <row r="790" spans="1:3" ht="13" x14ac:dyDescent="0.15">
      <c r="A790" s="10"/>
      <c r="B790" s="13"/>
      <c r="C790" s="13"/>
    </row>
    <row r="791" spans="1:3" ht="13" x14ac:dyDescent="0.15">
      <c r="A791" s="10"/>
      <c r="B791" s="13"/>
      <c r="C791" s="13"/>
    </row>
    <row r="792" spans="1:3" ht="13" x14ac:dyDescent="0.15">
      <c r="A792" s="10"/>
      <c r="B792" s="13"/>
      <c r="C792" s="13"/>
    </row>
    <row r="793" spans="1:3" ht="13" x14ac:dyDescent="0.15">
      <c r="A793" s="10"/>
      <c r="B793" s="13"/>
      <c r="C793" s="13"/>
    </row>
    <row r="794" spans="1:3" ht="13" x14ac:dyDescent="0.15">
      <c r="A794" s="10"/>
      <c r="B794" s="13"/>
      <c r="C794" s="13"/>
    </row>
    <row r="795" spans="1:3" ht="13" x14ac:dyDescent="0.15">
      <c r="A795" s="10"/>
      <c r="B795" s="13"/>
      <c r="C795" s="13"/>
    </row>
    <row r="796" spans="1:3" ht="13" x14ac:dyDescent="0.15">
      <c r="A796" s="10"/>
      <c r="B796" s="13"/>
      <c r="C796" s="13"/>
    </row>
    <row r="797" spans="1:3" ht="13" x14ac:dyDescent="0.15">
      <c r="A797" s="10"/>
      <c r="B797" s="13"/>
      <c r="C797" s="13"/>
    </row>
    <row r="798" spans="1:3" ht="13" x14ac:dyDescent="0.15">
      <c r="A798" s="10"/>
      <c r="B798" s="13"/>
      <c r="C798" s="13"/>
    </row>
    <row r="799" spans="1:3" ht="13" x14ac:dyDescent="0.15">
      <c r="A799" s="10"/>
      <c r="B799" s="13"/>
      <c r="C799" s="13"/>
    </row>
    <row r="800" spans="1:3" ht="13" x14ac:dyDescent="0.15">
      <c r="A800" s="10"/>
      <c r="B800" s="13"/>
      <c r="C800" s="13"/>
    </row>
    <row r="801" spans="1:3" ht="13" x14ac:dyDescent="0.15">
      <c r="A801" s="10"/>
      <c r="B801" s="13"/>
      <c r="C801" s="13"/>
    </row>
    <row r="802" spans="1:3" ht="13" x14ac:dyDescent="0.15">
      <c r="A802" s="10"/>
      <c r="B802" s="13"/>
      <c r="C802" s="13"/>
    </row>
    <row r="803" spans="1:3" ht="13" x14ac:dyDescent="0.15">
      <c r="A803" s="10"/>
      <c r="B803" s="13"/>
      <c r="C803" s="13"/>
    </row>
    <row r="804" spans="1:3" ht="13" x14ac:dyDescent="0.15">
      <c r="A804" s="10"/>
      <c r="B804" s="13"/>
      <c r="C804" s="13"/>
    </row>
    <row r="805" spans="1:3" ht="13" x14ac:dyDescent="0.15">
      <c r="A805" s="10"/>
      <c r="B805" s="13"/>
      <c r="C805" s="13"/>
    </row>
    <row r="806" spans="1:3" ht="13" x14ac:dyDescent="0.15">
      <c r="A806" s="10"/>
      <c r="B806" s="13"/>
      <c r="C806" s="13"/>
    </row>
    <row r="807" spans="1:3" ht="13" x14ac:dyDescent="0.15">
      <c r="A807" s="10"/>
      <c r="B807" s="13"/>
      <c r="C807" s="13"/>
    </row>
    <row r="808" spans="1:3" ht="13" x14ac:dyDescent="0.15">
      <c r="A808" s="10"/>
      <c r="B808" s="13"/>
      <c r="C808" s="13"/>
    </row>
    <row r="809" spans="1:3" ht="13" x14ac:dyDescent="0.15">
      <c r="A809" s="10"/>
      <c r="B809" s="13"/>
      <c r="C809" s="13"/>
    </row>
    <row r="810" spans="1:3" ht="13" x14ac:dyDescent="0.15">
      <c r="A810" s="10"/>
      <c r="B810" s="13"/>
      <c r="C810" s="13"/>
    </row>
    <row r="811" spans="1:3" ht="13" x14ac:dyDescent="0.15">
      <c r="A811" s="10"/>
      <c r="B811" s="13"/>
      <c r="C811" s="13"/>
    </row>
    <row r="812" spans="1:3" ht="13" x14ac:dyDescent="0.15">
      <c r="A812" s="10"/>
      <c r="B812" s="13"/>
      <c r="C812" s="13"/>
    </row>
    <row r="813" spans="1:3" ht="13" x14ac:dyDescent="0.15">
      <c r="A813" s="10"/>
      <c r="B813" s="13"/>
      <c r="C813" s="13"/>
    </row>
    <row r="814" spans="1:3" ht="13" x14ac:dyDescent="0.15">
      <c r="A814" s="10"/>
      <c r="B814" s="13"/>
      <c r="C814" s="13"/>
    </row>
    <row r="815" spans="1:3" ht="13" x14ac:dyDescent="0.15">
      <c r="A815" s="10"/>
      <c r="B815" s="13"/>
      <c r="C815" s="13"/>
    </row>
    <row r="816" spans="1:3" ht="13" x14ac:dyDescent="0.15">
      <c r="A816" s="10"/>
      <c r="B816" s="13"/>
      <c r="C816" s="13"/>
    </row>
    <row r="817" spans="1:3" ht="13" x14ac:dyDescent="0.15">
      <c r="A817" s="10"/>
      <c r="B817" s="13"/>
      <c r="C817" s="13"/>
    </row>
    <row r="818" spans="1:3" ht="13" x14ac:dyDescent="0.15">
      <c r="A818" s="10"/>
      <c r="B818" s="13"/>
      <c r="C818" s="13"/>
    </row>
    <row r="819" spans="1:3" ht="13" x14ac:dyDescent="0.15">
      <c r="A819" s="10"/>
      <c r="B819" s="13"/>
      <c r="C819" s="13"/>
    </row>
    <row r="820" spans="1:3" ht="13" x14ac:dyDescent="0.15">
      <c r="A820" s="10"/>
      <c r="B820" s="13"/>
      <c r="C820" s="13"/>
    </row>
    <row r="821" spans="1:3" ht="13" x14ac:dyDescent="0.15">
      <c r="A821" s="10"/>
      <c r="B821" s="13"/>
      <c r="C821" s="13"/>
    </row>
    <row r="822" spans="1:3" ht="13" x14ac:dyDescent="0.15">
      <c r="A822" s="10"/>
      <c r="B822" s="13"/>
      <c r="C822" s="13"/>
    </row>
    <row r="823" spans="1:3" ht="13" x14ac:dyDescent="0.15">
      <c r="A823" s="10"/>
      <c r="B823" s="13"/>
      <c r="C823" s="13"/>
    </row>
    <row r="824" spans="1:3" ht="13" x14ac:dyDescent="0.15">
      <c r="A824" s="10"/>
      <c r="B824" s="13"/>
      <c r="C824" s="13"/>
    </row>
    <row r="825" spans="1:3" ht="13" x14ac:dyDescent="0.15">
      <c r="A825" s="10"/>
      <c r="B825" s="13"/>
      <c r="C825" s="13"/>
    </row>
    <row r="826" spans="1:3" ht="13" x14ac:dyDescent="0.15">
      <c r="A826" s="10"/>
      <c r="B826" s="13"/>
      <c r="C826" s="13"/>
    </row>
    <row r="827" spans="1:3" ht="13" x14ac:dyDescent="0.15">
      <c r="A827" s="10"/>
      <c r="B827" s="13"/>
      <c r="C827" s="13"/>
    </row>
    <row r="828" spans="1:3" ht="13" x14ac:dyDescent="0.15">
      <c r="A828" s="10"/>
      <c r="B828" s="13"/>
      <c r="C828" s="13"/>
    </row>
    <row r="829" spans="1:3" ht="13" x14ac:dyDescent="0.15">
      <c r="A829" s="10"/>
      <c r="B829" s="13"/>
      <c r="C829" s="13"/>
    </row>
    <row r="830" spans="1:3" ht="13" x14ac:dyDescent="0.15">
      <c r="A830" s="10"/>
      <c r="B830" s="13"/>
      <c r="C830" s="13"/>
    </row>
    <row r="831" spans="1:3" ht="13" x14ac:dyDescent="0.15">
      <c r="A831" s="10"/>
      <c r="B831" s="13"/>
      <c r="C831" s="13"/>
    </row>
    <row r="832" spans="1:3" ht="13" x14ac:dyDescent="0.15">
      <c r="A832" s="10"/>
      <c r="B832" s="13"/>
      <c r="C832" s="13"/>
    </row>
    <row r="833" spans="1:3" ht="13" x14ac:dyDescent="0.15">
      <c r="A833" s="10"/>
      <c r="B833" s="13"/>
      <c r="C833" s="13"/>
    </row>
    <row r="834" spans="1:3" ht="13" x14ac:dyDescent="0.15">
      <c r="A834" s="10"/>
      <c r="B834" s="13"/>
      <c r="C834" s="13"/>
    </row>
    <row r="835" spans="1:3" ht="13" x14ac:dyDescent="0.15">
      <c r="A835" s="10"/>
      <c r="B835" s="13"/>
      <c r="C835" s="13"/>
    </row>
    <row r="836" spans="1:3" ht="13" x14ac:dyDescent="0.15">
      <c r="A836" s="10"/>
      <c r="B836" s="13"/>
      <c r="C836" s="13"/>
    </row>
    <row r="837" spans="1:3" ht="13" x14ac:dyDescent="0.15">
      <c r="A837" s="10"/>
      <c r="B837" s="13"/>
      <c r="C837" s="13"/>
    </row>
    <row r="838" spans="1:3" ht="13" x14ac:dyDescent="0.15">
      <c r="A838" s="10"/>
      <c r="B838" s="13"/>
      <c r="C838" s="13"/>
    </row>
    <row r="839" spans="1:3" ht="13" x14ac:dyDescent="0.15">
      <c r="A839" s="10"/>
      <c r="B839" s="13"/>
      <c r="C839" s="13"/>
    </row>
    <row r="840" spans="1:3" ht="13" x14ac:dyDescent="0.15">
      <c r="A840" s="10"/>
      <c r="B840" s="13"/>
      <c r="C840" s="13"/>
    </row>
    <row r="841" spans="1:3" ht="13" x14ac:dyDescent="0.15">
      <c r="A841" s="10"/>
      <c r="B841" s="13"/>
      <c r="C841" s="13"/>
    </row>
    <row r="842" spans="1:3" ht="13" x14ac:dyDescent="0.15">
      <c r="A842" s="10"/>
      <c r="B842" s="13"/>
      <c r="C842" s="13"/>
    </row>
    <row r="843" spans="1:3" ht="13" x14ac:dyDescent="0.15">
      <c r="A843" s="10"/>
      <c r="B843" s="13"/>
      <c r="C843" s="13"/>
    </row>
    <row r="844" spans="1:3" ht="13" x14ac:dyDescent="0.15">
      <c r="A844" s="10"/>
      <c r="B844" s="13"/>
      <c r="C844" s="13"/>
    </row>
    <row r="845" spans="1:3" ht="13" x14ac:dyDescent="0.15">
      <c r="A845" s="10"/>
      <c r="B845" s="13"/>
      <c r="C845" s="13"/>
    </row>
    <row r="846" spans="1:3" ht="13" x14ac:dyDescent="0.15">
      <c r="A846" s="10"/>
      <c r="B846" s="13"/>
      <c r="C846" s="13"/>
    </row>
    <row r="847" spans="1:3" ht="13" x14ac:dyDescent="0.15">
      <c r="A847" s="10"/>
      <c r="B847" s="13"/>
      <c r="C847" s="13"/>
    </row>
    <row r="848" spans="1:3" ht="13" x14ac:dyDescent="0.15">
      <c r="A848" s="10"/>
      <c r="B848" s="13"/>
      <c r="C848" s="13"/>
    </row>
    <row r="849" spans="1:3" ht="13" x14ac:dyDescent="0.15">
      <c r="A849" s="10"/>
      <c r="B849" s="13"/>
      <c r="C849" s="13"/>
    </row>
    <row r="850" spans="1:3" ht="13" x14ac:dyDescent="0.15">
      <c r="A850" s="10"/>
      <c r="B850" s="13"/>
      <c r="C850" s="13"/>
    </row>
    <row r="851" spans="1:3" ht="13" x14ac:dyDescent="0.15">
      <c r="A851" s="10"/>
      <c r="B851" s="13"/>
      <c r="C851" s="13"/>
    </row>
    <row r="852" spans="1:3" ht="13" x14ac:dyDescent="0.15">
      <c r="A852" s="10"/>
      <c r="B852" s="13"/>
      <c r="C852" s="13"/>
    </row>
    <row r="853" spans="1:3" ht="13" x14ac:dyDescent="0.15">
      <c r="A853" s="10"/>
      <c r="B853" s="13"/>
      <c r="C853" s="13"/>
    </row>
    <row r="854" spans="1:3" ht="13" x14ac:dyDescent="0.15">
      <c r="A854" s="10"/>
      <c r="B854" s="13"/>
      <c r="C854" s="13"/>
    </row>
    <row r="855" spans="1:3" ht="13" x14ac:dyDescent="0.15">
      <c r="A855" s="10"/>
      <c r="B855" s="13"/>
      <c r="C855" s="13"/>
    </row>
    <row r="856" spans="1:3" ht="13" x14ac:dyDescent="0.15">
      <c r="A856" s="10"/>
      <c r="B856" s="13"/>
      <c r="C856" s="13"/>
    </row>
    <row r="857" spans="1:3" ht="13" x14ac:dyDescent="0.15">
      <c r="A857" s="10"/>
      <c r="B857" s="13"/>
      <c r="C857" s="13"/>
    </row>
    <row r="858" spans="1:3" ht="13" x14ac:dyDescent="0.15">
      <c r="A858" s="10"/>
      <c r="B858" s="13"/>
      <c r="C858" s="13"/>
    </row>
    <row r="859" spans="1:3" ht="13" x14ac:dyDescent="0.15">
      <c r="A859" s="10"/>
      <c r="B859" s="13"/>
      <c r="C859" s="13"/>
    </row>
    <row r="860" spans="1:3" ht="13" x14ac:dyDescent="0.15">
      <c r="A860" s="10"/>
      <c r="B860" s="13"/>
      <c r="C860" s="13"/>
    </row>
    <row r="861" spans="1:3" ht="13" x14ac:dyDescent="0.15">
      <c r="A861" s="10"/>
      <c r="B861" s="13"/>
      <c r="C861" s="13"/>
    </row>
    <row r="862" spans="1:3" ht="13" x14ac:dyDescent="0.15">
      <c r="A862" s="10"/>
      <c r="B862" s="13"/>
      <c r="C862" s="13"/>
    </row>
    <row r="863" spans="1:3" ht="13" x14ac:dyDescent="0.15">
      <c r="A863" s="10"/>
      <c r="B863" s="13"/>
      <c r="C863" s="13"/>
    </row>
    <row r="864" spans="1:3" ht="13" x14ac:dyDescent="0.15">
      <c r="A864" s="10"/>
      <c r="B864" s="13"/>
      <c r="C864" s="13"/>
    </row>
    <row r="865" spans="1:3" ht="13" x14ac:dyDescent="0.15">
      <c r="A865" s="10"/>
      <c r="B865" s="13"/>
      <c r="C865" s="13"/>
    </row>
    <row r="866" spans="1:3" ht="13" x14ac:dyDescent="0.15">
      <c r="A866" s="10"/>
      <c r="B866" s="13"/>
      <c r="C866" s="13"/>
    </row>
    <row r="867" spans="1:3" ht="13" x14ac:dyDescent="0.15">
      <c r="A867" s="10"/>
      <c r="B867" s="13"/>
      <c r="C867" s="13"/>
    </row>
    <row r="868" spans="1:3" ht="13" x14ac:dyDescent="0.15">
      <c r="A868" s="10"/>
      <c r="B868" s="13"/>
      <c r="C868" s="13"/>
    </row>
    <row r="869" spans="1:3" ht="13" x14ac:dyDescent="0.15">
      <c r="A869" s="10"/>
      <c r="B869" s="13"/>
      <c r="C869" s="13"/>
    </row>
    <row r="870" spans="1:3" ht="13" x14ac:dyDescent="0.15">
      <c r="A870" s="10"/>
      <c r="B870" s="13"/>
      <c r="C870" s="13"/>
    </row>
    <row r="871" spans="1:3" ht="13" x14ac:dyDescent="0.15">
      <c r="A871" s="10"/>
      <c r="B871" s="13"/>
      <c r="C871" s="13"/>
    </row>
    <row r="872" spans="1:3" ht="13" x14ac:dyDescent="0.15">
      <c r="A872" s="10"/>
      <c r="B872" s="13"/>
      <c r="C872" s="13"/>
    </row>
    <row r="873" spans="1:3" ht="13" x14ac:dyDescent="0.15">
      <c r="A873" s="10"/>
      <c r="B873" s="13"/>
      <c r="C873" s="13"/>
    </row>
    <row r="874" spans="1:3" ht="13" x14ac:dyDescent="0.15">
      <c r="A874" s="10"/>
      <c r="B874" s="13"/>
      <c r="C874" s="13"/>
    </row>
    <row r="875" spans="1:3" ht="13" x14ac:dyDescent="0.15">
      <c r="A875" s="10"/>
      <c r="B875" s="13"/>
      <c r="C875" s="13"/>
    </row>
    <row r="876" spans="1:3" ht="13" x14ac:dyDescent="0.15">
      <c r="A876" s="10"/>
      <c r="B876" s="13"/>
      <c r="C876" s="13"/>
    </row>
    <row r="877" spans="1:3" ht="13" x14ac:dyDescent="0.15">
      <c r="A877" s="10"/>
      <c r="B877" s="13"/>
      <c r="C877" s="13"/>
    </row>
    <row r="878" spans="1:3" ht="13" x14ac:dyDescent="0.15">
      <c r="A878" s="10"/>
      <c r="B878" s="13"/>
      <c r="C878" s="13"/>
    </row>
    <row r="879" spans="1:3" ht="13" x14ac:dyDescent="0.15">
      <c r="A879" s="10"/>
      <c r="B879" s="13"/>
      <c r="C879" s="13"/>
    </row>
    <row r="880" spans="1:3" ht="13" x14ac:dyDescent="0.15">
      <c r="A880" s="10"/>
      <c r="B880" s="13"/>
      <c r="C880" s="13"/>
    </row>
    <row r="881" spans="1:3" ht="13" x14ac:dyDescent="0.15">
      <c r="A881" s="10"/>
      <c r="B881" s="13"/>
      <c r="C881" s="13"/>
    </row>
    <row r="882" spans="1:3" ht="13" x14ac:dyDescent="0.15">
      <c r="A882" s="10"/>
      <c r="B882" s="13"/>
      <c r="C882" s="13"/>
    </row>
    <row r="883" spans="1:3" ht="13" x14ac:dyDescent="0.15">
      <c r="A883" s="10"/>
      <c r="B883" s="13"/>
      <c r="C883" s="13"/>
    </row>
    <row r="884" spans="1:3" ht="13" x14ac:dyDescent="0.15">
      <c r="A884" s="10"/>
      <c r="B884" s="13"/>
      <c r="C884" s="13"/>
    </row>
    <row r="885" spans="1:3" ht="13" x14ac:dyDescent="0.15">
      <c r="A885" s="10"/>
      <c r="B885" s="13"/>
      <c r="C885" s="13"/>
    </row>
    <row r="886" spans="1:3" ht="13" x14ac:dyDescent="0.15">
      <c r="A886" s="10"/>
      <c r="B886" s="13"/>
      <c r="C886" s="13"/>
    </row>
    <row r="887" spans="1:3" ht="13" x14ac:dyDescent="0.15">
      <c r="A887" s="10"/>
      <c r="B887" s="13"/>
      <c r="C887" s="13"/>
    </row>
    <row r="888" spans="1:3" ht="13" x14ac:dyDescent="0.15">
      <c r="A888" s="10"/>
      <c r="B888" s="13"/>
      <c r="C888" s="13"/>
    </row>
    <row r="889" spans="1:3" ht="13" x14ac:dyDescent="0.15">
      <c r="A889" s="10"/>
      <c r="B889" s="13"/>
      <c r="C889" s="13"/>
    </row>
    <row r="890" spans="1:3" ht="13" x14ac:dyDescent="0.15">
      <c r="A890" s="10"/>
      <c r="B890" s="13"/>
      <c r="C890" s="13"/>
    </row>
    <row r="891" spans="1:3" ht="13" x14ac:dyDescent="0.15">
      <c r="A891" s="10"/>
      <c r="B891" s="13"/>
      <c r="C891" s="13"/>
    </row>
    <row r="892" spans="1:3" ht="13" x14ac:dyDescent="0.15">
      <c r="A892" s="10"/>
      <c r="B892" s="13"/>
      <c r="C892" s="13"/>
    </row>
    <row r="893" spans="1:3" ht="13" x14ac:dyDescent="0.15">
      <c r="A893" s="10"/>
      <c r="B893" s="13"/>
      <c r="C893" s="13"/>
    </row>
    <row r="894" spans="1:3" ht="13" x14ac:dyDescent="0.15">
      <c r="A894" s="10"/>
      <c r="B894" s="13"/>
      <c r="C894" s="13"/>
    </row>
    <row r="895" spans="1:3" ht="13" x14ac:dyDescent="0.15">
      <c r="A895" s="10"/>
      <c r="B895" s="13"/>
      <c r="C895" s="13"/>
    </row>
    <row r="896" spans="1:3" ht="13" x14ac:dyDescent="0.15">
      <c r="A896" s="10"/>
      <c r="B896" s="13"/>
      <c r="C896" s="13"/>
    </row>
    <row r="897" spans="1:3" ht="13" x14ac:dyDescent="0.15">
      <c r="A897" s="10"/>
      <c r="B897" s="13"/>
      <c r="C897" s="13"/>
    </row>
    <row r="898" spans="1:3" ht="13" x14ac:dyDescent="0.15">
      <c r="A898" s="10"/>
      <c r="B898" s="13"/>
      <c r="C898" s="13"/>
    </row>
    <row r="899" spans="1:3" ht="13" x14ac:dyDescent="0.15">
      <c r="A899" s="10"/>
      <c r="B899" s="13"/>
      <c r="C899" s="13"/>
    </row>
    <row r="900" spans="1:3" ht="13" x14ac:dyDescent="0.15">
      <c r="A900" s="10"/>
      <c r="B900" s="13"/>
      <c r="C900" s="13"/>
    </row>
    <row r="901" spans="1:3" ht="13" x14ac:dyDescent="0.15">
      <c r="A901" s="10"/>
      <c r="B901" s="13"/>
      <c r="C901" s="13"/>
    </row>
    <row r="902" spans="1:3" ht="13" x14ac:dyDescent="0.15">
      <c r="A902" s="10"/>
      <c r="B902" s="13"/>
      <c r="C902" s="13"/>
    </row>
    <row r="903" spans="1:3" ht="13" x14ac:dyDescent="0.15">
      <c r="A903" s="10"/>
      <c r="B903" s="13"/>
      <c r="C903" s="13"/>
    </row>
    <row r="904" spans="1:3" ht="13" x14ac:dyDescent="0.15">
      <c r="A904" s="10"/>
      <c r="B904" s="13"/>
      <c r="C904" s="13"/>
    </row>
    <row r="905" spans="1:3" ht="13" x14ac:dyDescent="0.15">
      <c r="A905" s="10"/>
      <c r="B905" s="13"/>
      <c r="C905" s="13"/>
    </row>
    <row r="906" spans="1:3" ht="13" x14ac:dyDescent="0.15">
      <c r="A906" s="10"/>
      <c r="B906" s="13"/>
      <c r="C906" s="13"/>
    </row>
    <row r="907" spans="1:3" ht="13" x14ac:dyDescent="0.15">
      <c r="A907" s="10"/>
      <c r="B907" s="13"/>
      <c r="C907" s="13"/>
    </row>
    <row r="908" spans="1:3" ht="13" x14ac:dyDescent="0.15">
      <c r="A908" s="10"/>
      <c r="B908" s="13"/>
      <c r="C908" s="13"/>
    </row>
    <row r="909" spans="1:3" ht="13" x14ac:dyDescent="0.15">
      <c r="A909" s="10"/>
      <c r="B909" s="13"/>
      <c r="C909" s="13"/>
    </row>
    <row r="910" spans="1:3" ht="13" x14ac:dyDescent="0.15">
      <c r="A910" s="10"/>
      <c r="B910" s="13"/>
      <c r="C910" s="13"/>
    </row>
    <row r="911" spans="1:3" ht="13" x14ac:dyDescent="0.15">
      <c r="A911" s="10"/>
      <c r="B911" s="13"/>
      <c r="C911" s="13"/>
    </row>
    <row r="912" spans="1:3" ht="13" x14ac:dyDescent="0.15">
      <c r="A912" s="10"/>
      <c r="B912" s="13"/>
      <c r="C912" s="13"/>
    </row>
    <row r="913" spans="1:3" ht="13" x14ac:dyDescent="0.15">
      <c r="A913" s="10"/>
      <c r="B913" s="13"/>
      <c r="C913" s="13"/>
    </row>
    <row r="914" spans="1:3" ht="13" x14ac:dyDescent="0.15">
      <c r="A914" s="10"/>
      <c r="B914" s="13"/>
      <c r="C914" s="13"/>
    </row>
    <row r="915" spans="1:3" ht="13" x14ac:dyDescent="0.15">
      <c r="A915" s="10"/>
      <c r="B915" s="13"/>
      <c r="C915" s="13"/>
    </row>
    <row r="916" spans="1:3" ht="13" x14ac:dyDescent="0.15">
      <c r="A916" s="10"/>
      <c r="B916" s="13"/>
      <c r="C916" s="13"/>
    </row>
    <row r="917" spans="1:3" ht="13" x14ac:dyDescent="0.15">
      <c r="A917" s="10"/>
      <c r="B917" s="13"/>
      <c r="C917" s="13"/>
    </row>
    <row r="918" spans="1:3" ht="13" x14ac:dyDescent="0.15">
      <c r="A918" s="10"/>
      <c r="B918" s="13"/>
      <c r="C918" s="13"/>
    </row>
    <row r="919" spans="1:3" ht="13" x14ac:dyDescent="0.15">
      <c r="A919" s="10"/>
      <c r="B919" s="13"/>
      <c r="C919" s="13"/>
    </row>
    <row r="920" spans="1:3" ht="13" x14ac:dyDescent="0.15">
      <c r="A920" s="10"/>
      <c r="B920" s="13"/>
      <c r="C920" s="13"/>
    </row>
    <row r="921" spans="1:3" ht="13" x14ac:dyDescent="0.15">
      <c r="A921" s="10"/>
      <c r="B921" s="13"/>
      <c r="C921" s="13"/>
    </row>
    <row r="922" spans="1:3" ht="13" x14ac:dyDescent="0.15">
      <c r="A922" s="10"/>
      <c r="B922" s="13"/>
      <c r="C922" s="13"/>
    </row>
    <row r="923" spans="1:3" ht="13" x14ac:dyDescent="0.15">
      <c r="A923" s="10"/>
      <c r="B923" s="13"/>
      <c r="C923" s="13"/>
    </row>
    <row r="924" spans="1:3" ht="13" x14ac:dyDescent="0.15">
      <c r="A924" s="10"/>
      <c r="B924" s="13"/>
      <c r="C924" s="13"/>
    </row>
    <row r="925" spans="1:3" ht="13" x14ac:dyDescent="0.15">
      <c r="A925" s="10"/>
      <c r="B925" s="13"/>
      <c r="C925" s="13"/>
    </row>
    <row r="926" spans="1:3" ht="13" x14ac:dyDescent="0.15">
      <c r="A926" s="10"/>
      <c r="B926" s="13"/>
      <c r="C926" s="13"/>
    </row>
    <row r="927" spans="1:3" ht="13" x14ac:dyDescent="0.15">
      <c r="A927" s="10"/>
      <c r="B927" s="13"/>
      <c r="C927" s="13"/>
    </row>
    <row r="928" spans="1:3" ht="13" x14ac:dyDescent="0.15">
      <c r="A928" s="10"/>
      <c r="B928" s="13"/>
      <c r="C928" s="13"/>
    </row>
    <row r="929" spans="1:3" ht="13" x14ac:dyDescent="0.15">
      <c r="A929" s="10"/>
      <c r="B929" s="13"/>
      <c r="C929" s="13"/>
    </row>
    <row r="930" spans="1:3" ht="13" x14ac:dyDescent="0.15">
      <c r="A930" s="10"/>
      <c r="B930" s="13"/>
      <c r="C930" s="13"/>
    </row>
    <row r="931" spans="1:3" ht="13" x14ac:dyDescent="0.15">
      <c r="A931" s="10"/>
      <c r="B931" s="13"/>
      <c r="C931" s="13"/>
    </row>
    <row r="932" spans="1:3" ht="13" x14ac:dyDescent="0.15">
      <c r="A932" s="10"/>
      <c r="B932" s="13"/>
      <c r="C932" s="13"/>
    </row>
    <row r="933" spans="1:3" ht="13" x14ac:dyDescent="0.15">
      <c r="A933" s="10"/>
      <c r="B933" s="13"/>
      <c r="C933" s="13"/>
    </row>
    <row r="934" spans="1:3" ht="13" x14ac:dyDescent="0.15">
      <c r="A934" s="10"/>
      <c r="B934" s="13"/>
      <c r="C934" s="13"/>
    </row>
    <row r="935" spans="1:3" ht="13" x14ac:dyDescent="0.15">
      <c r="A935" s="10"/>
      <c r="B935" s="13"/>
      <c r="C935" s="13"/>
    </row>
    <row r="936" spans="1:3" ht="13" x14ac:dyDescent="0.15">
      <c r="A936" s="10"/>
      <c r="B936" s="13"/>
      <c r="C936" s="13"/>
    </row>
    <row r="937" spans="1:3" ht="13" x14ac:dyDescent="0.15">
      <c r="A937" s="10"/>
      <c r="B937" s="13"/>
      <c r="C937" s="13"/>
    </row>
    <row r="938" spans="1:3" ht="13" x14ac:dyDescent="0.15">
      <c r="A938" s="10"/>
      <c r="B938" s="13"/>
      <c r="C938" s="13"/>
    </row>
    <row r="939" spans="1:3" ht="13" x14ac:dyDescent="0.15">
      <c r="A939" s="10"/>
      <c r="B939" s="13"/>
      <c r="C939" s="13"/>
    </row>
    <row r="940" spans="1:3" ht="13" x14ac:dyDescent="0.15">
      <c r="A940" s="10"/>
      <c r="B940" s="13"/>
      <c r="C940" s="13"/>
    </row>
    <row r="941" spans="1:3" ht="13" x14ac:dyDescent="0.15">
      <c r="A941" s="10"/>
      <c r="B941" s="13"/>
      <c r="C941" s="13"/>
    </row>
    <row r="942" spans="1:3" ht="13" x14ac:dyDescent="0.15">
      <c r="A942" s="10"/>
      <c r="B942" s="13"/>
      <c r="C942" s="13"/>
    </row>
    <row r="943" spans="1:3" ht="13" x14ac:dyDescent="0.15">
      <c r="A943" s="10"/>
      <c r="B943" s="13"/>
      <c r="C943" s="13"/>
    </row>
    <row r="944" spans="1:3" ht="13" x14ac:dyDescent="0.15">
      <c r="A944" s="10"/>
      <c r="B944" s="13"/>
      <c r="C944" s="13"/>
    </row>
    <row r="945" spans="1:3" ht="13" x14ac:dyDescent="0.15">
      <c r="A945" s="10"/>
      <c r="B945" s="13"/>
      <c r="C945" s="13"/>
    </row>
    <row r="946" spans="1:3" ht="13" x14ac:dyDescent="0.15">
      <c r="A946" s="10"/>
      <c r="B946" s="13"/>
      <c r="C946" s="13"/>
    </row>
    <row r="947" spans="1:3" ht="13" x14ac:dyDescent="0.15">
      <c r="A947" s="10"/>
      <c r="B947" s="13"/>
      <c r="C947" s="13"/>
    </row>
    <row r="948" spans="1:3" ht="13" x14ac:dyDescent="0.15">
      <c r="A948" s="10"/>
      <c r="B948" s="13"/>
      <c r="C948" s="13"/>
    </row>
    <row r="949" spans="1:3" ht="13" x14ac:dyDescent="0.15">
      <c r="A949" s="10"/>
      <c r="B949" s="13"/>
      <c r="C949" s="13"/>
    </row>
    <row r="950" spans="1:3" ht="13" x14ac:dyDescent="0.15">
      <c r="A950" s="10"/>
      <c r="B950" s="13"/>
      <c r="C950" s="13"/>
    </row>
    <row r="951" spans="1:3" ht="13" x14ac:dyDescent="0.15">
      <c r="A951" s="10"/>
      <c r="B951" s="13"/>
      <c r="C951" s="13"/>
    </row>
    <row r="952" spans="1:3" ht="13" x14ac:dyDescent="0.15">
      <c r="A952" s="10"/>
      <c r="B952" s="13"/>
      <c r="C952" s="13"/>
    </row>
    <row r="953" spans="1:3" ht="13" x14ac:dyDescent="0.15">
      <c r="A953" s="10"/>
      <c r="B953" s="13"/>
      <c r="C953" s="13"/>
    </row>
    <row r="954" spans="1:3" ht="13" x14ac:dyDescent="0.15">
      <c r="A954" s="10"/>
      <c r="B954" s="13"/>
      <c r="C954" s="13"/>
    </row>
    <row r="955" spans="1:3" ht="13" x14ac:dyDescent="0.15">
      <c r="A955" s="10"/>
      <c r="B955" s="13"/>
      <c r="C955" s="13"/>
    </row>
    <row r="956" spans="1:3" ht="13" x14ac:dyDescent="0.15">
      <c r="A956" s="10"/>
      <c r="B956" s="13"/>
      <c r="C956" s="13"/>
    </row>
    <row r="957" spans="1:3" ht="13" x14ac:dyDescent="0.15">
      <c r="A957" s="10"/>
      <c r="B957" s="13"/>
      <c r="C957" s="13"/>
    </row>
    <row r="958" spans="1:3" ht="13" x14ac:dyDescent="0.15">
      <c r="A958" s="10"/>
      <c r="B958" s="13"/>
      <c r="C958" s="13"/>
    </row>
    <row r="959" spans="1:3" ht="13" x14ac:dyDescent="0.15">
      <c r="A959" s="10"/>
      <c r="B959" s="13"/>
      <c r="C959" s="13"/>
    </row>
    <row r="960" spans="1:3" ht="13" x14ac:dyDescent="0.15">
      <c r="A960" s="10"/>
      <c r="B960" s="13"/>
      <c r="C960" s="13"/>
    </row>
    <row r="961" spans="1:3" ht="13" x14ac:dyDescent="0.15">
      <c r="A961" s="10"/>
      <c r="B961" s="13"/>
      <c r="C961" s="13"/>
    </row>
    <row r="962" spans="1:3" ht="13" x14ac:dyDescent="0.15">
      <c r="A962" s="10"/>
      <c r="B962" s="13"/>
      <c r="C962" s="13"/>
    </row>
    <row r="963" spans="1:3" ht="13" x14ac:dyDescent="0.15">
      <c r="A963" s="10"/>
      <c r="B963" s="13"/>
      <c r="C963" s="13"/>
    </row>
    <row r="964" spans="1:3" ht="13" x14ac:dyDescent="0.15">
      <c r="A964" s="10"/>
      <c r="B964" s="13"/>
      <c r="C964" s="13"/>
    </row>
    <row r="965" spans="1:3" ht="13" x14ac:dyDescent="0.15">
      <c r="A965" s="10"/>
      <c r="B965" s="13"/>
      <c r="C965" s="13"/>
    </row>
    <row r="966" spans="1:3" ht="13" x14ac:dyDescent="0.15">
      <c r="A966" s="10"/>
      <c r="B966" s="13"/>
      <c r="C966" s="13"/>
    </row>
    <row r="967" spans="1:3" ht="13" x14ac:dyDescent="0.15">
      <c r="A967" s="10"/>
      <c r="B967" s="13"/>
      <c r="C967" s="13"/>
    </row>
    <row r="968" spans="1:3" ht="13" x14ac:dyDescent="0.15">
      <c r="A968" s="10"/>
      <c r="B968" s="13"/>
      <c r="C968" s="13"/>
    </row>
    <row r="969" spans="1:3" ht="13" x14ac:dyDescent="0.15">
      <c r="A969" s="10"/>
      <c r="B969" s="13"/>
      <c r="C969" s="13"/>
    </row>
    <row r="970" spans="1:3" ht="13" x14ac:dyDescent="0.15">
      <c r="A970" s="10"/>
      <c r="B970" s="13"/>
      <c r="C970" s="13"/>
    </row>
    <row r="971" spans="1:3" ht="13" x14ac:dyDescent="0.15">
      <c r="A971" s="10"/>
      <c r="B971" s="13"/>
      <c r="C971" s="13"/>
    </row>
    <row r="972" spans="1:3" ht="13" x14ac:dyDescent="0.15">
      <c r="A972" s="10"/>
      <c r="B972" s="13"/>
      <c r="C972" s="13"/>
    </row>
    <row r="973" spans="1:3" ht="13" x14ac:dyDescent="0.15">
      <c r="A973" s="10"/>
      <c r="B973" s="13"/>
      <c r="C973" s="13"/>
    </row>
    <row r="974" spans="1:3" ht="13" x14ac:dyDescent="0.15">
      <c r="A974" s="10"/>
      <c r="B974" s="13"/>
      <c r="C974" s="13"/>
    </row>
    <row r="975" spans="1:3" ht="13" x14ac:dyDescent="0.15">
      <c r="A975" s="10"/>
      <c r="B975" s="13"/>
      <c r="C975" s="13"/>
    </row>
    <row r="976" spans="1:3" ht="13" x14ac:dyDescent="0.15">
      <c r="A976" s="10"/>
      <c r="B976" s="13"/>
      <c r="C976" s="13"/>
    </row>
    <row r="977" spans="1:3" ht="13" x14ac:dyDescent="0.15">
      <c r="A977" s="10"/>
      <c r="B977" s="13"/>
      <c r="C977" s="13"/>
    </row>
    <row r="978" spans="1:3" ht="13" x14ac:dyDescent="0.15">
      <c r="A978" s="10"/>
      <c r="B978" s="13"/>
      <c r="C978" s="13"/>
    </row>
    <row r="979" spans="1:3" ht="13" x14ac:dyDescent="0.15">
      <c r="A979" s="10"/>
      <c r="B979" s="13"/>
      <c r="C979" s="13"/>
    </row>
    <row r="980" spans="1:3" ht="13" x14ac:dyDescent="0.15">
      <c r="A980" s="10"/>
      <c r="B980" s="13"/>
      <c r="C980" s="13"/>
    </row>
    <row r="981" spans="1:3" ht="13" x14ac:dyDescent="0.15">
      <c r="A981" s="10"/>
      <c r="B981" s="13"/>
      <c r="C981" s="13"/>
    </row>
    <row r="982" spans="1:3" ht="13" x14ac:dyDescent="0.15">
      <c r="A982" s="10"/>
      <c r="B982" s="13"/>
      <c r="C982" s="13"/>
    </row>
    <row r="983" spans="1:3" ht="13" x14ac:dyDescent="0.15">
      <c r="A983" s="10"/>
      <c r="B983" s="13"/>
      <c r="C983" s="13"/>
    </row>
    <row r="984" spans="1:3" ht="13" x14ac:dyDescent="0.15">
      <c r="A984" s="10"/>
      <c r="B984" s="13"/>
      <c r="C984" s="13"/>
    </row>
    <row r="985" spans="1:3" ht="13" x14ac:dyDescent="0.15">
      <c r="A985" s="10"/>
      <c r="B985" s="13"/>
      <c r="C985" s="13"/>
    </row>
    <row r="986" spans="1:3" ht="13" x14ac:dyDescent="0.15">
      <c r="A986" s="10"/>
      <c r="B986" s="13"/>
      <c r="C986" s="13"/>
    </row>
    <row r="987" spans="1:3" ht="13" x14ac:dyDescent="0.15">
      <c r="A987" s="10"/>
      <c r="B987" s="13"/>
      <c r="C987" s="13"/>
    </row>
    <row r="988" spans="1:3" ht="13" x14ac:dyDescent="0.15">
      <c r="A988" s="10"/>
      <c r="B988" s="13"/>
      <c r="C988" s="13"/>
    </row>
    <row r="989" spans="1:3" ht="13" x14ac:dyDescent="0.15">
      <c r="A989" s="10"/>
      <c r="B989" s="13"/>
      <c r="C989" s="13"/>
    </row>
    <row r="990" spans="1:3" ht="13" x14ac:dyDescent="0.15">
      <c r="A990" s="10"/>
      <c r="B990" s="13"/>
      <c r="C990" s="13"/>
    </row>
    <row r="991" spans="1:3" ht="13" x14ac:dyDescent="0.15">
      <c r="A991" s="10"/>
      <c r="B991" s="13"/>
      <c r="C991" s="13"/>
    </row>
    <row r="992" spans="1:3" ht="13" x14ac:dyDescent="0.15">
      <c r="A992" s="10"/>
      <c r="B992" s="13"/>
      <c r="C992" s="13"/>
    </row>
    <row r="993" spans="1:3" ht="13" x14ac:dyDescent="0.15">
      <c r="A993" s="10"/>
      <c r="B993" s="13"/>
      <c r="C993" s="13"/>
    </row>
    <row r="994" spans="1:3" ht="13" x14ac:dyDescent="0.15">
      <c r="A994" s="10"/>
      <c r="B994" s="13"/>
      <c r="C994" s="13"/>
    </row>
    <row r="995" spans="1:3" ht="13" x14ac:dyDescent="0.15">
      <c r="A995" s="10"/>
      <c r="B995" s="13"/>
      <c r="C995" s="13"/>
    </row>
    <row r="996" spans="1:3" ht="13" x14ac:dyDescent="0.15">
      <c r="A996" s="10"/>
      <c r="B996" s="13"/>
      <c r="C996" s="13"/>
    </row>
    <row r="997" spans="1:3" ht="13" x14ac:dyDescent="0.15">
      <c r="A997" s="10"/>
      <c r="B997" s="13"/>
      <c r="C997" s="13"/>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outlinePr summaryBelow="0" summaryRight="0"/>
  </sheetPr>
  <dimension ref="A1:D997"/>
  <sheetViews>
    <sheetView workbookViewId="0"/>
  </sheetViews>
  <sheetFormatPr baseColWidth="10" defaultColWidth="12.6640625" defaultRowHeight="15.75" customHeight="1" x14ac:dyDescent="0.15"/>
  <cols>
    <col min="1" max="1" width="71.5" customWidth="1"/>
    <col min="2" max="4" width="37.6640625" customWidth="1"/>
  </cols>
  <sheetData>
    <row r="1" spans="1:4" ht="15.75" customHeight="1" x14ac:dyDescent="0.15">
      <c r="A1" s="1"/>
      <c r="B1" s="12" t="str">
        <f ca="1">IFERROR(__xludf.DUMMYFUNCTION("IMPORTRANGE(""https://docs.google.com/spreadsheets/d/13SmE7eku7nG0PwUe_FIOCUfCnXVjPMNZ0Q_x8FW6s5I"",""A51!B1:B22"")"),"Josiah Bolton")</f>
        <v>Josiah Bolton</v>
      </c>
      <c r="C1" s="10" t="str">
        <f ca="1">IFERROR(__xludf.DUMMYFUNCTION("IMPORTRANGE(""https://docs.google.com/spreadsheets/u/0/d/1DTeUShR903oScgwuFGuA8V8JqIoXmME8W-T3lNP0oHM"", ""A51!B1:B22"")"),"McKinzie Novak")</f>
        <v>McKinzie Novak</v>
      </c>
      <c r="D1" s="2" t="s">
        <v>1</v>
      </c>
    </row>
    <row r="2" spans="1:4" ht="15.75" customHeight="1" x14ac:dyDescent="0.15">
      <c r="A2" s="3" t="s">
        <v>2</v>
      </c>
      <c r="B2" s="15" t="str">
        <f ca="1">IFERROR(__xludf.DUMMYFUNCTION("""COMPUTED_VALUE"""),"29546-29857 FOR")</f>
        <v>29546-29857 FOR</v>
      </c>
      <c r="C2" s="15" t="str">
        <f ca="1">IFERROR(__xludf.DUMMYFUNCTION("""COMPUTED_VALUE"""),"START: 29546
STOP: 29857
Forward")</f>
        <v>START: 29546
STOP: 29857
Forward</v>
      </c>
      <c r="D2" s="4"/>
    </row>
    <row r="3" spans="1:4" ht="15.75" customHeight="1" x14ac:dyDescent="0.15">
      <c r="A3" s="5" t="s">
        <v>3</v>
      </c>
      <c r="B3" s="17" t="str">
        <f ca="1">IFERROR(__xludf.DUMMYFUNCTION("""COMPUTED_VALUE"""),"50 in DNA Master
51 on Phamerator map")</f>
        <v>50 in DNA Master
51 on Phamerator map</v>
      </c>
      <c r="C3" s="17" t="str">
        <f ca="1">IFERROR(__xludf.DUMMYFUNCTION("""COMPUTED_VALUE"""),"DNAM: 50
PHAM: 51
Phagesdb: 51")</f>
        <v>DNAM: 50
PHAM: 51
Phagesdb: 51</v>
      </c>
      <c r="D3" s="6"/>
    </row>
    <row r="4" spans="1:4" ht="15.75" customHeight="1" x14ac:dyDescent="0.15">
      <c r="A4" s="5" t="s">
        <v>4</v>
      </c>
      <c r="B4" s="17" t="str">
        <f ca="1">IFERROR(__xludf.DUMMYFUNCTION("""COMPUTED_VALUE"""),"86460 3/12/2025")</f>
        <v>86460 3/12/2025</v>
      </c>
      <c r="C4" s="17" t="str">
        <f ca="1">IFERROR(__xludf.DUMMYFUNCTION("""COMPUTED_VALUE"""),"#86460   3/24/25")</f>
        <v>#86460   3/24/25</v>
      </c>
      <c r="D4" s="6"/>
    </row>
    <row r="5" spans="1:4" ht="15.75" customHeight="1" x14ac:dyDescent="0.15">
      <c r="A5" s="5" t="s">
        <v>5</v>
      </c>
      <c r="B5" s="17" t="str">
        <f ca="1">IFERROR(__xludf.DUMMYFUNCTION("""COMPUTED_VALUE"""),"Kovu 51")</f>
        <v>Kovu 51</v>
      </c>
      <c r="C5" s="17" t="str">
        <f ca="1">IFERROR(__xludf.DUMMYFUNCTION("""COMPUTED_VALUE"""),"Kovu #51")</f>
        <v>Kovu #51</v>
      </c>
      <c r="D5" s="6"/>
    </row>
    <row r="6" spans="1:4" ht="15.75" customHeight="1" x14ac:dyDescent="0.15">
      <c r="A6" s="5" t="s">
        <v>6</v>
      </c>
      <c r="B6" s="17" t="str">
        <f ca="1">IFERROR(__xludf.DUMMYFUNCTION("""COMPUTED_VALUE"""),"Both programs call at 29546")</f>
        <v>Both programs call at 29546</v>
      </c>
      <c r="C6" s="17" t="str">
        <f ca="1">IFERROR(__xludf.DUMMYFUNCTION("""COMPUTED_VALUE"""),"Both glimmer and genemark agree on the start 29546")</f>
        <v>Both glimmer and genemark agree on the start 29546</v>
      </c>
      <c r="D6" s="6"/>
    </row>
    <row r="7" spans="1:4" ht="15.75" customHeight="1" x14ac:dyDescent="0.15">
      <c r="A7" s="5" t="s">
        <v>7</v>
      </c>
      <c r="B7" s="17" t="str">
        <f ca="1">IFERROR(__xludf.DUMMYFUNCTION("""COMPUTED_VALUE"""),"Has decent coding potential and captures all of the coding potential.")</f>
        <v>Has decent coding potential and captures all of the coding potential.</v>
      </c>
      <c r="C7" s="17" t="str">
        <f ca="1">IFERROR(__xludf.DUMMYFUNCTION("""COMPUTED_VALUE"""),"Yes, there is good coding potential and the start captures all of it")</f>
        <v>Yes, there is good coding potential and the start captures all of it</v>
      </c>
      <c r="D7" s="6"/>
    </row>
    <row r="8" spans="1:4" ht="15.75" customHeight="1" x14ac:dyDescent="0.15">
      <c r="A8" s="5" t="s">
        <v>8</v>
      </c>
      <c r="B8" s="17" t="str">
        <f ca="1">IFERROR(__xludf.DUMMYFUNCTION("""COMPUTED_VALUE"""),"This is not the longest ORF. There is another start at 29525. This would create overlap though.")</f>
        <v>This is not the longest ORF. There is another start at 29525. This would create overlap though.</v>
      </c>
      <c r="C8" s="17" t="str">
        <f ca="1">IFERROR(__xludf.DUMMYFUNCTION("""COMPUTED_VALUE"""),"No, there is an earlier start at 29525 ")</f>
        <v xml:space="preserve">No, there is an earlier start at 29525 </v>
      </c>
      <c r="D8" s="6"/>
    </row>
    <row r="9" spans="1:4" ht="15.75" customHeight="1" x14ac:dyDescent="0.15">
      <c r="A9" s="5" t="s">
        <v>9</v>
      </c>
      <c r="B9" s="17" t="str">
        <f ca="1">IFERROR(__xludf.DUMMYFUNCTION("""COMPUTED_VALUE"""),"There is a 3 bp overlap.")</f>
        <v>There is a 3 bp overlap.</v>
      </c>
      <c r="C9" s="17" t="str">
        <f ca="1">IFERROR(__xludf.DUMMYFUNCTION("""COMPUTED_VALUE"""),"There is a 3 basepair overlap with this chosen start")</f>
        <v>There is a 3 basepair overlap with this chosen start</v>
      </c>
      <c r="D9" s="6"/>
    </row>
    <row r="10" spans="1:4" ht="15.75" customHeight="1" x14ac:dyDescent="0.15">
      <c r="A10" s="5" t="s">
        <v>10</v>
      </c>
      <c r="B10" s="17" t="str">
        <f ca="1">IFERROR(__xludf.DUMMYFUNCTION("""COMPUTED_VALUE"""),"Z score for chosen start is 2.957 with final score of -2.523. This is the best score.")</f>
        <v>Z score for chosen start is 2.957 with final score of -2.523. This is the best score.</v>
      </c>
      <c r="C10" s="17" t="str">
        <f ca="1">IFERROR(__xludf.DUMMYFUNCTION("""COMPUTED_VALUE"""),"Start: 29546 z-score:2.96 rbs:-2.5")</f>
        <v>Start: 29546 z-score:2.96 rbs:-2.5</v>
      </c>
      <c r="D10" s="6"/>
    </row>
    <row r="11" spans="1:4" ht="15.75" customHeight="1" x14ac:dyDescent="0.15">
      <c r="A11" s="5" t="s">
        <v>11</v>
      </c>
      <c r="B11" s="17" t="str">
        <f ca="1">IFERROR(__xludf.DUMMYFUNCTION("""COMPUTED_VALUE"""),"Kovu 51 63.44% identity
e value is 2.9e-31 q 2- 93: s 3-91")</f>
        <v>Kovu 51 63.44% identity
e value is 2.9e-31 q 2- 93: s 3-91</v>
      </c>
      <c r="C11" s="17" t="str">
        <f ca="1">IFERROR(__xludf.DUMMYFUNCTION("""COMPUTED_VALUE"""),"Kovu #51 %ID:63.4 e-val:2.9e-31
Q:2 S:3")</f>
        <v>Kovu #51 %ID:63.4 e-val:2.9e-31
Q:2 S:3</v>
      </c>
      <c r="D11" s="6"/>
    </row>
    <row r="12" spans="1:4" ht="15.75" customHeight="1" x14ac:dyDescent="0.15">
      <c r="A12" s="5" t="s">
        <v>12</v>
      </c>
      <c r="B12" s="17" t="str">
        <f ca="1">IFERROR(__xludf.DUMMYFUNCTION("""COMPUTED_VALUE"""),"Start 35 called in kovu and is conserved in 30%. It is called 100% of time when present.")</f>
        <v>Start 35 called in kovu and is conserved in 30%. It is called 100% of time when present.</v>
      </c>
      <c r="C12" s="17" t="str">
        <f ca="1">IFERROR(__xludf.DUMMYFUNCTION("""COMPUTED_VALUE"""),"Yes the start is decently conserved. There are 11 phages calling the start, but 5 are still drafts, its the second most frequent start, apokipo does not have the most frequently called start.")</f>
        <v>Yes the start is decently conserved. There are 11 phages calling the start, but 5 are still drafts, its the second most frequent start, apokipo does not have the most frequently called start.</v>
      </c>
      <c r="D12" s="6"/>
    </row>
    <row r="13" spans="1:4" ht="15.75" customHeight="1" x14ac:dyDescent="0.15">
      <c r="A13" s="5" t="s">
        <v>13</v>
      </c>
      <c r="B13" s="17" t="str">
        <f ca="1">IFERROR(__xludf.DUMMYFUNCTION("""COMPUTED_VALUE"""),"No start change because this is the best z score and would not create a bigger overlap.")</f>
        <v>No start change because this is the best z score and would not create a bigger overlap.</v>
      </c>
      <c r="C13" s="17" t="str">
        <f ca="1">IFERROR(__xludf.DUMMYFUNCTION("""COMPUTED_VALUE"""),"No, its got the best z-score, theres no point in creating an even larger overlap especially when starterator supports this start so well.")</f>
        <v>No, its got the best z-score, theres no point in creating an even larger overlap especially when starterator supports this start so well.</v>
      </c>
      <c r="D13" s="6"/>
    </row>
    <row r="14" spans="1:4" ht="15.75" customHeight="1" x14ac:dyDescent="0.15">
      <c r="A14" s="5" t="s">
        <v>14</v>
      </c>
      <c r="B14" s="17" t="str">
        <f ca="1">IFERROR(__xludf.DUMMYFUNCTION("""COMPUTED_VALUE"""),"Unknown function in Kovu 51 e value is 2e-31.")</f>
        <v>Unknown function in Kovu 51 e value is 2e-31.</v>
      </c>
      <c r="C14" s="17" t="str">
        <f ca="1">IFERROR(__xludf.DUMMYFUNCTION("""COMPUTED_VALUE"""),"Kovu #51 e-val: 2.9e-31")</f>
        <v>Kovu #51 e-val: 2.9e-31</v>
      </c>
      <c r="D14" s="6"/>
    </row>
    <row r="15" spans="1:4" ht="15.75" customHeight="1" x14ac:dyDescent="0.15">
      <c r="A15" s="5" t="s">
        <v>15</v>
      </c>
      <c r="B15" s="17" t="str">
        <f ca="1">IFERROR(__xludf.DUMMYFUNCTION("""COMPUTED_VALUE"""),"Kovu 51.")</f>
        <v>Kovu 51.</v>
      </c>
      <c r="C15" s="17" t="str">
        <f ca="1">IFERROR(__xludf.DUMMYFUNCTION("""COMPUTED_VALUE"""),"Kovu #51 hypothetical protein")</f>
        <v>Kovu #51 hypothetical protein</v>
      </c>
      <c r="D15" s="6"/>
    </row>
    <row r="16" spans="1:4" ht="15.75" customHeight="1" x14ac:dyDescent="0.15">
      <c r="A16" s="5" t="s">
        <v>16</v>
      </c>
      <c r="B16" s="17" t="str">
        <f ca="1">IFERROR(__xludf.DUMMYFUNCTION("""COMPUTED_VALUE"""),"This function would be expected because of the alignment with Kovu from the AL cluster. Same cluster and gene.")</f>
        <v>This function would be expected because of the alignment with Kovu from the AL cluster. Same cluster and gene.</v>
      </c>
      <c r="C16" s="17" t="str">
        <f ca="1">IFERROR(__xludf.DUMMYFUNCTION("""COMPUTED_VALUE"""),"This gene seems to fit its genetic environment surrounded by hypothetical proteins; it also aligns decently with Kovu, although there are some extremely clear gaps")</f>
        <v>This gene seems to fit its genetic environment surrounded by hypothetical proteins; it also aligns decently with Kovu, although there are some extremely clear gaps</v>
      </c>
      <c r="D16" s="6"/>
    </row>
    <row r="17" spans="1:4" ht="15.75" customHeight="1" x14ac:dyDescent="0.15">
      <c r="A17" s="5" t="s">
        <v>17</v>
      </c>
      <c r="B17" s="17" t="str">
        <f ca="1">IFERROR(__xludf.DUMMYFUNCTION("""COMPUTED_VALUE"""),"Small CPxCG-related zinc finger protein; zinc-finger, METAL BINDING PROTEIN; NMR {Haloferax volcanii DS2}, probability is 95.82%, % alignment of query is 28.85% and % alignment of target is 53.57%
Function unknown so needs further exploration.")</f>
        <v>Small CPxCG-related zinc finger protein; zinc-finger, METAL BINDING PROTEIN; NMR {Haloferax volcanii DS2}, probability is 95.82%, % alignment of query is 28.85% and % alignment of target is 53.57%
Function unknown so needs further exploration.</v>
      </c>
      <c r="C17" s="17" t="str">
        <f ca="1">IFERROR(__xludf.DUMMYFUNCTION("""COMPUTED_VALUE"""),"DESC: Small CPxCG-related zinc finger protein; zinc-finger, METAL BINDING PROTEIN; NMR {Haloferax volcanii DS2}
Prob:95.84 %ALQ:36.9 %ALT:27.5
Yes, PhnA zinc-ribbon domain is aligned in the query but not the second domain (which might be a requirement) --"&amp;"&gt; could use some more research")</f>
        <v>DESC: Small CPxCG-related zinc finger protein; zinc-finger, METAL BINDING PROTEIN; NMR {Haloferax volcanii DS2}
Prob:95.84 %ALQ:36.9 %ALT:27.5
Yes, PhnA zinc-ribbon domain is aligned in the query but not the second domain (which might be a requirement) --&gt; could use some more research</v>
      </c>
      <c r="D17" s="6"/>
    </row>
    <row r="18" spans="1:4" ht="15.75" customHeight="1" x14ac:dyDescent="0.15">
      <c r="A18" s="5" t="s">
        <v>18</v>
      </c>
      <c r="B18" s="17" t="str">
        <f ca="1">IFERROR(__xludf.DUMMYFUNCTION("""COMPUTED_VALUE"""),"Unknown.")</f>
        <v>Unknown.</v>
      </c>
      <c r="C18" s="17" t="str">
        <f ca="1">IFERROR(__xludf.DUMMYFUNCTION("""COMPUTED_VALUE"""),"none")</f>
        <v>none</v>
      </c>
      <c r="D18" s="6"/>
    </row>
    <row r="19" spans="1:4" ht="15.75" customHeight="1" x14ac:dyDescent="0.15">
      <c r="A19" s="5" t="s">
        <v>19</v>
      </c>
      <c r="B19" s="17" t="str">
        <f ca="1">IFERROR(__xludf.DUMMYFUNCTION("""COMPUTED_VALUE"""),"None.")</f>
        <v>None.</v>
      </c>
      <c r="C19" s="17" t="str">
        <f ca="1">IFERROR(__xludf.DUMMYFUNCTION("""COMPUTED_VALUE"""),"none")</f>
        <v>none</v>
      </c>
      <c r="D19" s="6"/>
    </row>
    <row r="20" spans="1:4" ht="15.75" customHeight="1" x14ac:dyDescent="0.15">
      <c r="A20" s="5" t="s">
        <v>20</v>
      </c>
      <c r="B20" s="17" t="str">
        <f ca="1">IFERROR(__xludf.DUMMYFUNCTION("""COMPUTED_VALUE"""),"Hypothetical Protein based off the blast matches from PhagesDB, the starterator map, and DNA Master.")</f>
        <v>Hypothetical Protein based off the blast matches from PhagesDB, the starterator map, and DNA Master.</v>
      </c>
      <c r="C20" s="17" t="str">
        <f ca="1">IFERROR(__xludf.DUMMYFUNCTION("""COMPUTED_VALUE"""),"Hypothetical protein")</f>
        <v>Hypothetical protein</v>
      </c>
      <c r="D20" s="6"/>
    </row>
    <row r="21" spans="1:4" x14ac:dyDescent="0.2">
      <c r="A21" s="7"/>
      <c r="B21" s="19"/>
      <c r="C21" s="19"/>
      <c r="D21" s="8"/>
    </row>
    <row r="22" spans="1:4" ht="15.75" customHeight="1" x14ac:dyDescent="0.15">
      <c r="A22" s="9" t="s">
        <v>21</v>
      </c>
      <c r="B22" s="19"/>
      <c r="C22" s="19"/>
      <c r="D22" s="8"/>
    </row>
    <row r="23" spans="1:4" ht="15.75" customHeight="1" x14ac:dyDescent="0.15">
      <c r="A23" s="10"/>
      <c r="B23" s="13"/>
      <c r="C23" s="13"/>
    </row>
    <row r="24" spans="1:4" ht="15.75" customHeight="1" x14ac:dyDescent="0.15">
      <c r="A24" s="10"/>
      <c r="B24" s="13"/>
      <c r="C24" s="13"/>
    </row>
    <row r="25" spans="1:4" ht="15.75" customHeight="1" x14ac:dyDescent="0.15">
      <c r="A25" s="10"/>
      <c r="B25" s="13"/>
      <c r="C25" s="13"/>
    </row>
    <row r="26" spans="1:4" ht="15.75" customHeight="1" x14ac:dyDescent="0.15">
      <c r="A26" s="10"/>
      <c r="B26" s="13"/>
      <c r="C26" s="13"/>
    </row>
    <row r="27" spans="1:4" ht="15.75" customHeight="1" x14ac:dyDescent="0.15">
      <c r="A27" s="10"/>
      <c r="B27" s="13"/>
      <c r="C27" s="13"/>
    </row>
    <row r="28" spans="1:4" ht="15.75" customHeight="1" x14ac:dyDescent="0.15">
      <c r="A28" s="10"/>
      <c r="B28" s="13"/>
      <c r="C28" s="13"/>
    </row>
    <row r="29" spans="1:4" ht="15.75" customHeight="1" x14ac:dyDescent="0.15">
      <c r="A29" s="10"/>
      <c r="B29" s="13"/>
      <c r="C29" s="13"/>
    </row>
    <row r="30" spans="1:4" ht="15.75" customHeight="1" x14ac:dyDescent="0.15">
      <c r="A30" s="10"/>
      <c r="B30" s="13"/>
      <c r="C30" s="13"/>
    </row>
    <row r="31" spans="1:4" ht="15.75" customHeight="1" x14ac:dyDescent="0.15">
      <c r="A31" s="10"/>
      <c r="B31" s="13"/>
      <c r="C31" s="13"/>
    </row>
    <row r="32" spans="1:4" ht="15.75" customHeight="1" x14ac:dyDescent="0.15">
      <c r="A32" s="10"/>
      <c r="B32" s="13"/>
      <c r="C32" s="13"/>
    </row>
    <row r="33" spans="1:3" ht="15.75" customHeight="1" x14ac:dyDescent="0.15">
      <c r="A33" s="10"/>
      <c r="B33" s="13"/>
      <c r="C33" s="13"/>
    </row>
    <row r="34" spans="1:3" ht="15.75" customHeight="1" x14ac:dyDescent="0.15">
      <c r="A34" s="10"/>
      <c r="B34" s="13"/>
      <c r="C34" s="13"/>
    </row>
    <row r="35" spans="1:3" ht="15.75" customHeight="1" x14ac:dyDescent="0.15">
      <c r="A35" s="10"/>
      <c r="B35" s="13"/>
      <c r="C35" s="13"/>
    </row>
    <row r="36" spans="1:3" ht="15.75" customHeight="1" x14ac:dyDescent="0.15">
      <c r="A36" s="10"/>
      <c r="B36" s="13"/>
      <c r="C36" s="13"/>
    </row>
    <row r="37" spans="1:3" ht="15.75" customHeight="1" x14ac:dyDescent="0.15">
      <c r="A37" s="10"/>
      <c r="B37" s="13"/>
      <c r="C37" s="13"/>
    </row>
    <row r="38" spans="1:3" ht="15.75" customHeight="1" x14ac:dyDescent="0.15">
      <c r="A38" s="10"/>
      <c r="B38" s="13"/>
      <c r="C38" s="13"/>
    </row>
    <row r="39" spans="1:3" ht="13" x14ac:dyDescent="0.15">
      <c r="A39" s="10"/>
      <c r="B39" s="13"/>
      <c r="C39" s="13"/>
    </row>
    <row r="40" spans="1:3" ht="13" x14ac:dyDescent="0.15">
      <c r="A40" s="10"/>
      <c r="B40" s="13"/>
      <c r="C40" s="13"/>
    </row>
    <row r="41" spans="1:3" ht="13" x14ac:dyDescent="0.15">
      <c r="A41" s="10"/>
      <c r="B41" s="13"/>
      <c r="C41" s="13"/>
    </row>
    <row r="42" spans="1:3" ht="13" x14ac:dyDescent="0.15">
      <c r="A42" s="10"/>
      <c r="B42" s="13"/>
      <c r="C42" s="13"/>
    </row>
    <row r="43" spans="1:3" ht="13" x14ac:dyDescent="0.15">
      <c r="A43" s="10"/>
      <c r="B43" s="13"/>
      <c r="C43" s="13"/>
    </row>
    <row r="44" spans="1:3" ht="13" x14ac:dyDescent="0.15">
      <c r="A44" s="10"/>
      <c r="B44" s="13"/>
      <c r="C44" s="13"/>
    </row>
    <row r="45" spans="1:3" ht="13" x14ac:dyDescent="0.15">
      <c r="A45" s="10"/>
      <c r="B45" s="13"/>
      <c r="C45" s="13"/>
    </row>
    <row r="46" spans="1:3" ht="13" x14ac:dyDescent="0.15">
      <c r="A46" s="10"/>
      <c r="B46" s="13"/>
      <c r="C46" s="13"/>
    </row>
    <row r="47" spans="1:3" ht="13" x14ac:dyDescent="0.15">
      <c r="A47" s="10"/>
      <c r="B47" s="13"/>
      <c r="C47" s="13"/>
    </row>
    <row r="48" spans="1:3" ht="13" x14ac:dyDescent="0.15">
      <c r="A48" s="10"/>
      <c r="B48" s="13"/>
      <c r="C48" s="13"/>
    </row>
    <row r="49" spans="1:3" ht="13" x14ac:dyDescent="0.15">
      <c r="A49" s="10"/>
      <c r="B49" s="13"/>
      <c r="C49" s="13"/>
    </row>
    <row r="50" spans="1:3" ht="13" x14ac:dyDescent="0.15">
      <c r="A50" s="10"/>
      <c r="B50" s="13"/>
      <c r="C50" s="13"/>
    </row>
    <row r="51" spans="1:3" ht="13" x14ac:dyDescent="0.15">
      <c r="A51" s="10"/>
      <c r="B51" s="13"/>
      <c r="C51" s="13"/>
    </row>
    <row r="52" spans="1:3" ht="13" x14ac:dyDescent="0.15">
      <c r="A52" s="10"/>
      <c r="B52" s="13"/>
      <c r="C52" s="13"/>
    </row>
    <row r="53" spans="1:3" ht="13" x14ac:dyDescent="0.15">
      <c r="A53" s="10"/>
      <c r="B53" s="13"/>
      <c r="C53" s="13"/>
    </row>
    <row r="54" spans="1:3" ht="13" x14ac:dyDescent="0.15">
      <c r="A54" s="10"/>
      <c r="B54" s="13"/>
      <c r="C54" s="13"/>
    </row>
    <row r="55" spans="1:3" ht="13" x14ac:dyDescent="0.15">
      <c r="A55" s="10"/>
      <c r="B55" s="13"/>
      <c r="C55" s="13"/>
    </row>
    <row r="56" spans="1:3" ht="13" x14ac:dyDescent="0.15">
      <c r="A56" s="10"/>
      <c r="B56" s="13"/>
      <c r="C56" s="13"/>
    </row>
    <row r="57" spans="1:3" ht="13" x14ac:dyDescent="0.15">
      <c r="A57" s="10"/>
      <c r="B57" s="13"/>
      <c r="C57" s="13"/>
    </row>
    <row r="58" spans="1:3" ht="13" x14ac:dyDescent="0.15">
      <c r="A58" s="10"/>
      <c r="B58" s="13"/>
      <c r="C58" s="13"/>
    </row>
    <row r="59" spans="1:3" ht="13" x14ac:dyDescent="0.15">
      <c r="A59" s="10"/>
      <c r="B59" s="13"/>
      <c r="C59" s="13"/>
    </row>
    <row r="60" spans="1:3" ht="13" x14ac:dyDescent="0.15">
      <c r="A60" s="10"/>
      <c r="B60" s="13"/>
      <c r="C60" s="13"/>
    </row>
    <row r="61" spans="1:3" ht="13" x14ac:dyDescent="0.15">
      <c r="A61" s="10"/>
      <c r="B61" s="13"/>
      <c r="C61" s="13"/>
    </row>
    <row r="62" spans="1:3" ht="13" x14ac:dyDescent="0.15">
      <c r="A62" s="10"/>
      <c r="B62" s="13"/>
      <c r="C62" s="13"/>
    </row>
    <row r="63" spans="1:3" ht="13" x14ac:dyDescent="0.15">
      <c r="A63" s="10"/>
      <c r="B63" s="13"/>
      <c r="C63" s="13"/>
    </row>
    <row r="64" spans="1:3" ht="13" x14ac:dyDescent="0.15">
      <c r="A64" s="10"/>
      <c r="B64" s="13"/>
      <c r="C64" s="13"/>
    </row>
    <row r="65" spans="1:3" ht="13" x14ac:dyDescent="0.15">
      <c r="A65" s="10"/>
      <c r="B65" s="13"/>
      <c r="C65" s="13"/>
    </row>
    <row r="66" spans="1:3" ht="13" x14ac:dyDescent="0.15">
      <c r="A66" s="10"/>
      <c r="B66" s="13"/>
      <c r="C66" s="13"/>
    </row>
    <row r="67" spans="1:3" ht="13" x14ac:dyDescent="0.15">
      <c r="A67" s="10"/>
      <c r="B67" s="13"/>
      <c r="C67" s="13"/>
    </row>
    <row r="68" spans="1:3" ht="13" x14ac:dyDescent="0.15">
      <c r="A68" s="10"/>
      <c r="B68" s="13"/>
      <c r="C68" s="13"/>
    </row>
    <row r="69" spans="1:3" ht="13" x14ac:dyDescent="0.15">
      <c r="A69" s="10"/>
      <c r="B69" s="13"/>
      <c r="C69" s="13"/>
    </row>
    <row r="70" spans="1:3" ht="13" x14ac:dyDescent="0.15">
      <c r="A70" s="10"/>
      <c r="B70" s="13"/>
      <c r="C70" s="13"/>
    </row>
    <row r="71" spans="1:3" ht="13" x14ac:dyDescent="0.15">
      <c r="A71" s="10"/>
      <c r="B71" s="13"/>
      <c r="C71" s="13"/>
    </row>
    <row r="72" spans="1:3" ht="13" x14ac:dyDescent="0.15">
      <c r="A72" s="10"/>
      <c r="B72" s="13"/>
      <c r="C72" s="13"/>
    </row>
    <row r="73" spans="1:3" ht="13" x14ac:dyDescent="0.15">
      <c r="A73" s="10"/>
      <c r="B73" s="13"/>
      <c r="C73" s="13"/>
    </row>
    <row r="74" spans="1:3" ht="13" x14ac:dyDescent="0.15">
      <c r="A74" s="10"/>
      <c r="B74" s="13"/>
      <c r="C74" s="13"/>
    </row>
    <row r="75" spans="1:3" ht="13" x14ac:dyDescent="0.15">
      <c r="A75" s="10"/>
      <c r="B75" s="13"/>
      <c r="C75" s="13"/>
    </row>
    <row r="76" spans="1:3" ht="13" x14ac:dyDescent="0.15">
      <c r="A76" s="10"/>
      <c r="B76" s="13"/>
      <c r="C76" s="13"/>
    </row>
    <row r="77" spans="1:3" ht="13" x14ac:dyDescent="0.15">
      <c r="A77" s="10"/>
      <c r="B77" s="13"/>
      <c r="C77" s="13"/>
    </row>
    <row r="78" spans="1:3" ht="13" x14ac:dyDescent="0.15">
      <c r="A78" s="10"/>
      <c r="B78" s="13"/>
      <c r="C78" s="13"/>
    </row>
    <row r="79" spans="1:3" ht="13" x14ac:dyDescent="0.15">
      <c r="A79" s="10"/>
      <c r="B79" s="13"/>
      <c r="C79" s="13"/>
    </row>
    <row r="80" spans="1:3" ht="13" x14ac:dyDescent="0.15">
      <c r="A80" s="10"/>
      <c r="B80" s="13"/>
      <c r="C80" s="13"/>
    </row>
    <row r="81" spans="1:3" ht="13" x14ac:dyDescent="0.15">
      <c r="A81" s="10"/>
      <c r="B81" s="13"/>
      <c r="C81" s="13"/>
    </row>
    <row r="82" spans="1:3" ht="13" x14ac:dyDescent="0.15">
      <c r="A82" s="10"/>
      <c r="B82" s="13"/>
      <c r="C82" s="13"/>
    </row>
    <row r="83" spans="1:3" ht="13" x14ac:dyDescent="0.15">
      <c r="A83" s="10"/>
      <c r="B83" s="13"/>
      <c r="C83" s="13"/>
    </row>
    <row r="84" spans="1:3" ht="13" x14ac:dyDescent="0.15">
      <c r="A84" s="10"/>
      <c r="B84" s="13"/>
      <c r="C84" s="13"/>
    </row>
    <row r="85" spans="1:3" ht="13" x14ac:dyDescent="0.15">
      <c r="A85" s="10"/>
      <c r="B85" s="13"/>
      <c r="C85" s="13"/>
    </row>
    <row r="86" spans="1:3" ht="13" x14ac:dyDescent="0.15">
      <c r="A86" s="10"/>
      <c r="B86" s="13"/>
      <c r="C86" s="13"/>
    </row>
    <row r="87" spans="1:3" ht="13" x14ac:dyDescent="0.15">
      <c r="A87" s="10"/>
      <c r="B87" s="13"/>
      <c r="C87" s="13"/>
    </row>
    <row r="88" spans="1:3" ht="13" x14ac:dyDescent="0.15">
      <c r="A88" s="10"/>
      <c r="B88" s="13"/>
      <c r="C88" s="13"/>
    </row>
    <row r="89" spans="1:3" ht="13" x14ac:dyDescent="0.15">
      <c r="A89" s="10"/>
      <c r="B89" s="13"/>
      <c r="C89" s="13"/>
    </row>
    <row r="90" spans="1:3" ht="13" x14ac:dyDescent="0.15">
      <c r="A90" s="10"/>
      <c r="B90" s="13"/>
      <c r="C90" s="13"/>
    </row>
    <row r="91" spans="1:3" ht="13" x14ac:dyDescent="0.15">
      <c r="A91" s="10"/>
      <c r="B91" s="13"/>
      <c r="C91" s="13"/>
    </row>
    <row r="92" spans="1:3" ht="13" x14ac:dyDescent="0.15">
      <c r="A92" s="10"/>
      <c r="B92" s="13"/>
      <c r="C92" s="13"/>
    </row>
    <row r="93" spans="1:3" ht="13" x14ac:dyDescent="0.15">
      <c r="A93" s="10"/>
      <c r="B93" s="13"/>
      <c r="C93" s="13"/>
    </row>
    <row r="94" spans="1:3" ht="13" x14ac:dyDescent="0.15">
      <c r="A94" s="10"/>
      <c r="B94" s="13"/>
      <c r="C94" s="13"/>
    </row>
    <row r="95" spans="1:3" ht="13" x14ac:dyDescent="0.15">
      <c r="A95" s="10"/>
      <c r="B95" s="13"/>
      <c r="C95" s="13"/>
    </row>
    <row r="96" spans="1:3" ht="13" x14ac:dyDescent="0.15">
      <c r="A96" s="10"/>
      <c r="B96" s="13"/>
      <c r="C96" s="13"/>
    </row>
    <row r="97" spans="1:3" ht="13" x14ac:dyDescent="0.15">
      <c r="A97" s="10"/>
      <c r="B97" s="13"/>
      <c r="C97" s="13"/>
    </row>
    <row r="98" spans="1:3" ht="13" x14ac:dyDescent="0.15">
      <c r="A98" s="10"/>
      <c r="B98" s="13"/>
      <c r="C98" s="13"/>
    </row>
    <row r="99" spans="1:3" ht="13" x14ac:dyDescent="0.15">
      <c r="A99" s="10"/>
      <c r="B99" s="13"/>
      <c r="C99" s="13"/>
    </row>
    <row r="100" spans="1:3" ht="13" x14ac:dyDescent="0.15">
      <c r="A100" s="10"/>
      <c r="B100" s="13"/>
      <c r="C100" s="13"/>
    </row>
    <row r="101" spans="1:3" ht="13" x14ac:dyDescent="0.15">
      <c r="A101" s="10"/>
      <c r="B101" s="13"/>
      <c r="C101" s="13"/>
    </row>
    <row r="102" spans="1:3" ht="13" x14ac:dyDescent="0.15">
      <c r="A102" s="10"/>
      <c r="B102" s="13"/>
      <c r="C102" s="13"/>
    </row>
    <row r="103" spans="1:3" ht="13" x14ac:dyDescent="0.15">
      <c r="A103" s="10"/>
      <c r="B103" s="13"/>
      <c r="C103" s="13"/>
    </row>
    <row r="104" spans="1:3" ht="13" x14ac:dyDescent="0.15">
      <c r="A104" s="10"/>
      <c r="B104" s="13"/>
      <c r="C104" s="13"/>
    </row>
    <row r="105" spans="1:3" ht="13" x14ac:dyDescent="0.15">
      <c r="A105" s="10"/>
      <c r="B105" s="13"/>
      <c r="C105" s="13"/>
    </row>
    <row r="106" spans="1:3" ht="13" x14ac:dyDescent="0.15">
      <c r="A106" s="10"/>
      <c r="B106" s="13"/>
      <c r="C106" s="13"/>
    </row>
    <row r="107" spans="1:3" ht="13" x14ac:dyDescent="0.15">
      <c r="A107" s="10"/>
      <c r="B107" s="13"/>
      <c r="C107" s="13"/>
    </row>
    <row r="108" spans="1:3" ht="13" x14ac:dyDescent="0.15">
      <c r="A108" s="10"/>
      <c r="B108" s="13"/>
      <c r="C108" s="13"/>
    </row>
    <row r="109" spans="1:3" ht="13" x14ac:dyDescent="0.15">
      <c r="A109" s="10"/>
      <c r="B109" s="13"/>
      <c r="C109" s="13"/>
    </row>
    <row r="110" spans="1:3" ht="13" x14ac:dyDescent="0.15">
      <c r="A110" s="10"/>
      <c r="B110" s="13"/>
      <c r="C110" s="13"/>
    </row>
    <row r="111" spans="1:3" ht="13" x14ac:dyDescent="0.15">
      <c r="A111" s="10"/>
      <c r="B111" s="13"/>
      <c r="C111" s="13"/>
    </row>
    <row r="112" spans="1:3" ht="13" x14ac:dyDescent="0.15">
      <c r="A112" s="10"/>
      <c r="B112" s="13"/>
      <c r="C112" s="13"/>
    </row>
    <row r="113" spans="1:3" ht="13" x14ac:dyDescent="0.15">
      <c r="A113" s="10"/>
      <c r="B113" s="13"/>
      <c r="C113" s="13"/>
    </row>
    <row r="114" spans="1:3" ht="13" x14ac:dyDescent="0.15">
      <c r="A114" s="10"/>
      <c r="B114" s="13"/>
      <c r="C114" s="13"/>
    </row>
    <row r="115" spans="1:3" ht="13" x14ac:dyDescent="0.15">
      <c r="A115" s="10"/>
      <c r="B115" s="13"/>
      <c r="C115" s="13"/>
    </row>
    <row r="116" spans="1:3" ht="13" x14ac:dyDescent="0.15">
      <c r="A116" s="10"/>
      <c r="B116" s="13"/>
      <c r="C116" s="13"/>
    </row>
    <row r="117" spans="1:3" ht="13" x14ac:dyDescent="0.15">
      <c r="A117" s="10"/>
      <c r="B117" s="13"/>
      <c r="C117" s="13"/>
    </row>
    <row r="118" spans="1:3" ht="13" x14ac:dyDescent="0.15">
      <c r="A118" s="10"/>
      <c r="B118" s="13"/>
      <c r="C118" s="13"/>
    </row>
    <row r="119" spans="1:3" ht="13" x14ac:dyDescent="0.15">
      <c r="A119" s="10"/>
      <c r="B119" s="13"/>
      <c r="C119" s="13"/>
    </row>
    <row r="120" spans="1:3" ht="13" x14ac:dyDescent="0.15">
      <c r="A120" s="10"/>
      <c r="B120" s="13"/>
      <c r="C120" s="13"/>
    </row>
    <row r="121" spans="1:3" ht="13" x14ac:dyDescent="0.15">
      <c r="A121" s="10"/>
      <c r="B121" s="13"/>
      <c r="C121" s="13"/>
    </row>
    <row r="122" spans="1:3" ht="13" x14ac:dyDescent="0.15">
      <c r="A122" s="10"/>
      <c r="B122" s="13"/>
      <c r="C122" s="13"/>
    </row>
    <row r="123" spans="1:3" ht="13" x14ac:dyDescent="0.15">
      <c r="A123" s="10"/>
      <c r="B123" s="13"/>
      <c r="C123" s="13"/>
    </row>
    <row r="124" spans="1:3" ht="13" x14ac:dyDescent="0.15">
      <c r="A124" s="10"/>
      <c r="B124" s="13"/>
      <c r="C124" s="13"/>
    </row>
    <row r="125" spans="1:3" ht="13" x14ac:dyDescent="0.15">
      <c r="A125" s="10"/>
      <c r="B125" s="13"/>
      <c r="C125" s="13"/>
    </row>
    <row r="126" spans="1:3" ht="13" x14ac:dyDescent="0.15">
      <c r="A126" s="10"/>
      <c r="B126" s="13"/>
      <c r="C126" s="13"/>
    </row>
    <row r="127" spans="1:3" ht="13" x14ac:dyDescent="0.15">
      <c r="A127" s="10"/>
      <c r="B127" s="13"/>
      <c r="C127" s="13"/>
    </row>
    <row r="128" spans="1:3" ht="13" x14ac:dyDescent="0.15">
      <c r="A128" s="10"/>
      <c r="B128" s="13"/>
      <c r="C128" s="13"/>
    </row>
    <row r="129" spans="1:3" ht="13" x14ac:dyDescent="0.15">
      <c r="A129" s="10"/>
      <c r="B129" s="13"/>
      <c r="C129" s="13"/>
    </row>
    <row r="130" spans="1:3" ht="13" x14ac:dyDescent="0.15">
      <c r="A130" s="10"/>
      <c r="B130" s="13"/>
      <c r="C130" s="13"/>
    </row>
    <row r="131" spans="1:3" ht="13" x14ac:dyDescent="0.15">
      <c r="A131" s="10"/>
      <c r="B131" s="13"/>
      <c r="C131" s="13"/>
    </row>
    <row r="132" spans="1:3" ht="13" x14ac:dyDescent="0.15">
      <c r="A132" s="10"/>
      <c r="B132" s="13"/>
      <c r="C132" s="13"/>
    </row>
    <row r="133" spans="1:3" ht="13" x14ac:dyDescent="0.15">
      <c r="A133" s="10"/>
      <c r="B133" s="13"/>
      <c r="C133" s="13"/>
    </row>
    <row r="134" spans="1:3" ht="13" x14ac:dyDescent="0.15">
      <c r="A134" s="10"/>
      <c r="B134" s="13"/>
      <c r="C134" s="13"/>
    </row>
    <row r="135" spans="1:3" ht="13" x14ac:dyDescent="0.15">
      <c r="A135" s="10"/>
      <c r="B135" s="13"/>
      <c r="C135" s="13"/>
    </row>
    <row r="136" spans="1:3" ht="13" x14ac:dyDescent="0.15">
      <c r="A136" s="10"/>
      <c r="B136" s="13"/>
      <c r="C136" s="13"/>
    </row>
    <row r="137" spans="1:3" ht="13" x14ac:dyDescent="0.15">
      <c r="A137" s="10"/>
      <c r="B137" s="13"/>
      <c r="C137" s="13"/>
    </row>
    <row r="138" spans="1:3" ht="13" x14ac:dyDescent="0.15">
      <c r="A138" s="10"/>
      <c r="B138" s="13"/>
      <c r="C138" s="13"/>
    </row>
    <row r="139" spans="1:3" ht="13" x14ac:dyDescent="0.15">
      <c r="A139" s="10"/>
      <c r="B139" s="13"/>
      <c r="C139" s="13"/>
    </row>
    <row r="140" spans="1:3" ht="13" x14ac:dyDescent="0.15">
      <c r="A140" s="10"/>
      <c r="B140" s="13"/>
      <c r="C140" s="13"/>
    </row>
    <row r="141" spans="1:3" ht="13" x14ac:dyDescent="0.15">
      <c r="A141" s="10"/>
      <c r="B141" s="13"/>
      <c r="C141" s="13"/>
    </row>
    <row r="142" spans="1:3" ht="13" x14ac:dyDescent="0.15">
      <c r="A142" s="10"/>
      <c r="B142" s="13"/>
      <c r="C142" s="13"/>
    </row>
    <row r="143" spans="1:3" ht="13" x14ac:dyDescent="0.15">
      <c r="A143" s="10"/>
      <c r="B143" s="13"/>
      <c r="C143" s="13"/>
    </row>
    <row r="144" spans="1:3" ht="13" x14ac:dyDescent="0.15">
      <c r="A144" s="10"/>
      <c r="B144" s="13"/>
      <c r="C144" s="13"/>
    </row>
    <row r="145" spans="1:3" ht="13" x14ac:dyDescent="0.15">
      <c r="A145" s="10"/>
      <c r="B145" s="13"/>
      <c r="C145" s="13"/>
    </row>
    <row r="146" spans="1:3" ht="13" x14ac:dyDescent="0.15">
      <c r="A146" s="10"/>
      <c r="B146" s="13"/>
      <c r="C146" s="13"/>
    </row>
    <row r="147" spans="1:3" ht="13" x14ac:dyDescent="0.15">
      <c r="A147" s="10"/>
      <c r="B147" s="13"/>
      <c r="C147" s="13"/>
    </row>
    <row r="148" spans="1:3" ht="13" x14ac:dyDescent="0.15">
      <c r="A148" s="10"/>
      <c r="B148" s="13"/>
      <c r="C148" s="13"/>
    </row>
    <row r="149" spans="1:3" ht="13" x14ac:dyDescent="0.15">
      <c r="A149" s="10"/>
      <c r="B149" s="13"/>
      <c r="C149" s="13"/>
    </row>
    <row r="150" spans="1:3" ht="13" x14ac:dyDescent="0.15">
      <c r="A150" s="10"/>
      <c r="B150" s="13"/>
      <c r="C150" s="13"/>
    </row>
    <row r="151" spans="1:3" ht="13" x14ac:dyDescent="0.15">
      <c r="A151" s="10"/>
      <c r="B151" s="13"/>
      <c r="C151" s="13"/>
    </row>
    <row r="152" spans="1:3" ht="13" x14ac:dyDescent="0.15">
      <c r="A152" s="10"/>
      <c r="B152" s="13"/>
      <c r="C152" s="13"/>
    </row>
    <row r="153" spans="1:3" ht="13" x14ac:dyDescent="0.15">
      <c r="A153" s="10"/>
      <c r="B153" s="13"/>
      <c r="C153" s="13"/>
    </row>
    <row r="154" spans="1:3" ht="13" x14ac:dyDescent="0.15">
      <c r="A154" s="10"/>
      <c r="B154" s="13"/>
      <c r="C154" s="13"/>
    </row>
    <row r="155" spans="1:3" ht="13" x14ac:dyDescent="0.15">
      <c r="A155" s="10"/>
      <c r="B155" s="13"/>
      <c r="C155" s="13"/>
    </row>
    <row r="156" spans="1:3" ht="13" x14ac:dyDescent="0.15">
      <c r="A156" s="10"/>
      <c r="B156" s="13"/>
      <c r="C156" s="13"/>
    </row>
    <row r="157" spans="1:3" ht="13" x14ac:dyDescent="0.15">
      <c r="A157" s="10"/>
      <c r="B157" s="13"/>
      <c r="C157" s="13"/>
    </row>
    <row r="158" spans="1:3" ht="13" x14ac:dyDescent="0.15">
      <c r="A158" s="10"/>
      <c r="B158" s="13"/>
      <c r="C158" s="13"/>
    </row>
    <row r="159" spans="1:3" ht="13" x14ac:dyDescent="0.15">
      <c r="A159" s="10"/>
      <c r="B159" s="13"/>
      <c r="C159" s="13"/>
    </row>
    <row r="160" spans="1:3" ht="13" x14ac:dyDescent="0.15">
      <c r="A160" s="10"/>
      <c r="B160" s="13"/>
      <c r="C160" s="13"/>
    </row>
    <row r="161" spans="1:3" ht="13" x14ac:dyDescent="0.15">
      <c r="A161" s="10"/>
      <c r="B161" s="13"/>
      <c r="C161" s="13"/>
    </row>
    <row r="162" spans="1:3" ht="13" x14ac:dyDescent="0.15">
      <c r="A162" s="10"/>
      <c r="B162" s="13"/>
      <c r="C162" s="13"/>
    </row>
    <row r="163" spans="1:3" ht="13" x14ac:dyDescent="0.15">
      <c r="A163" s="10"/>
      <c r="B163" s="13"/>
      <c r="C163" s="13"/>
    </row>
    <row r="164" spans="1:3" ht="13" x14ac:dyDescent="0.15">
      <c r="A164" s="10"/>
      <c r="B164" s="13"/>
      <c r="C164" s="13"/>
    </row>
    <row r="165" spans="1:3" ht="13" x14ac:dyDescent="0.15">
      <c r="A165" s="10"/>
      <c r="B165" s="13"/>
      <c r="C165" s="13"/>
    </row>
    <row r="166" spans="1:3" ht="13" x14ac:dyDescent="0.15">
      <c r="A166" s="10"/>
      <c r="B166" s="13"/>
      <c r="C166" s="13"/>
    </row>
    <row r="167" spans="1:3" ht="13" x14ac:dyDescent="0.15">
      <c r="A167" s="10"/>
      <c r="B167" s="13"/>
      <c r="C167" s="13"/>
    </row>
    <row r="168" spans="1:3" ht="13" x14ac:dyDescent="0.15">
      <c r="A168" s="10"/>
      <c r="B168" s="13"/>
      <c r="C168" s="13"/>
    </row>
    <row r="169" spans="1:3" ht="13" x14ac:dyDescent="0.15">
      <c r="A169" s="10"/>
      <c r="B169" s="13"/>
      <c r="C169" s="13"/>
    </row>
    <row r="170" spans="1:3" ht="13" x14ac:dyDescent="0.15">
      <c r="A170" s="10"/>
      <c r="B170" s="13"/>
      <c r="C170" s="13"/>
    </row>
    <row r="171" spans="1:3" ht="13" x14ac:dyDescent="0.15">
      <c r="A171" s="10"/>
      <c r="B171" s="13"/>
      <c r="C171" s="13"/>
    </row>
    <row r="172" spans="1:3" ht="13" x14ac:dyDescent="0.15">
      <c r="A172" s="10"/>
      <c r="B172" s="13"/>
      <c r="C172" s="13"/>
    </row>
    <row r="173" spans="1:3" ht="13" x14ac:dyDescent="0.15">
      <c r="A173" s="10"/>
      <c r="B173" s="13"/>
      <c r="C173" s="13"/>
    </row>
    <row r="174" spans="1:3" ht="13" x14ac:dyDescent="0.15">
      <c r="A174" s="10"/>
      <c r="B174" s="13"/>
      <c r="C174" s="13"/>
    </row>
    <row r="175" spans="1:3" ht="13" x14ac:dyDescent="0.15">
      <c r="A175" s="10"/>
      <c r="B175" s="13"/>
      <c r="C175" s="13"/>
    </row>
    <row r="176" spans="1:3" ht="13" x14ac:dyDescent="0.15">
      <c r="A176" s="10"/>
      <c r="B176" s="13"/>
      <c r="C176" s="13"/>
    </row>
    <row r="177" spans="1:3" ht="13" x14ac:dyDescent="0.15">
      <c r="A177" s="10"/>
      <c r="B177" s="13"/>
      <c r="C177" s="13"/>
    </row>
    <row r="178" spans="1:3" ht="13" x14ac:dyDescent="0.15">
      <c r="A178" s="10"/>
      <c r="B178" s="13"/>
      <c r="C178" s="13"/>
    </row>
    <row r="179" spans="1:3" ht="13" x14ac:dyDescent="0.15">
      <c r="A179" s="10"/>
      <c r="B179" s="13"/>
      <c r="C179" s="13"/>
    </row>
    <row r="180" spans="1:3" ht="13" x14ac:dyDescent="0.15">
      <c r="A180" s="10"/>
      <c r="B180" s="13"/>
      <c r="C180" s="13"/>
    </row>
    <row r="181" spans="1:3" ht="13" x14ac:dyDescent="0.15">
      <c r="A181" s="10"/>
      <c r="B181" s="13"/>
      <c r="C181" s="13"/>
    </row>
    <row r="182" spans="1:3" ht="13" x14ac:dyDescent="0.15">
      <c r="A182" s="10"/>
      <c r="B182" s="13"/>
      <c r="C182" s="13"/>
    </row>
    <row r="183" spans="1:3" ht="13" x14ac:dyDescent="0.15">
      <c r="A183" s="10"/>
      <c r="B183" s="13"/>
      <c r="C183" s="13"/>
    </row>
    <row r="184" spans="1:3" ht="13" x14ac:dyDescent="0.15">
      <c r="A184" s="10"/>
      <c r="B184" s="13"/>
      <c r="C184" s="13"/>
    </row>
    <row r="185" spans="1:3" ht="13" x14ac:dyDescent="0.15">
      <c r="A185" s="10"/>
      <c r="B185" s="13"/>
      <c r="C185" s="13"/>
    </row>
    <row r="186" spans="1:3" ht="13" x14ac:dyDescent="0.15">
      <c r="A186" s="10"/>
      <c r="B186" s="13"/>
      <c r="C186" s="13"/>
    </row>
    <row r="187" spans="1:3" ht="13" x14ac:dyDescent="0.15">
      <c r="A187" s="10"/>
      <c r="B187" s="13"/>
      <c r="C187" s="13"/>
    </row>
    <row r="188" spans="1:3" ht="13" x14ac:dyDescent="0.15">
      <c r="A188" s="10"/>
      <c r="B188" s="13"/>
      <c r="C188" s="13"/>
    </row>
    <row r="189" spans="1:3" ht="13" x14ac:dyDescent="0.15">
      <c r="A189" s="10"/>
      <c r="B189" s="13"/>
      <c r="C189" s="13"/>
    </row>
    <row r="190" spans="1:3" ht="13" x14ac:dyDescent="0.15">
      <c r="A190" s="10"/>
      <c r="B190" s="13"/>
      <c r="C190" s="13"/>
    </row>
    <row r="191" spans="1:3" ht="13" x14ac:dyDescent="0.15">
      <c r="A191" s="10"/>
      <c r="B191" s="13"/>
      <c r="C191" s="13"/>
    </row>
    <row r="192" spans="1:3" ht="13" x14ac:dyDescent="0.15">
      <c r="A192" s="10"/>
      <c r="B192" s="13"/>
      <c r="C192" s="13"/>
    </row>
    <row r="193" spans="1:3" ht="13" x14ac:dyDescent="0.15">
      <c r="A193" s="10"/>
      <c r="B193" s="13"/>
      <c r="C193" s="13"/>
    </row>
    <row r="194" spans="1:3" ht="13" x14ac:dyDescent="0.15">
      <c r="A194" s="10"/>
      <c r="B194" s="13"/>
      <c r="C194" s="13"/>
    </row>
    <row r="195" spans="1:3" ht="13" x14ac:dyDescent="0.15">
      <c r="A195" s="10"/>
      <c r="B195" s="13"/>
      <c r="C195" s="13"/>
    </row>
    <row r="196" spans="1:3" ht="13" x14ac:dyDescent="0.15">
      <c r="A196" s="10"/>
      <c r="B196" s="13"/>
      <c r="C196" s="13"/>
    </row>
    <row r="197" spans="1:3" ht="13" x14ac:dyDescent="0.15">
      <c r="A197" s="10"/>
      <c r="B197" s="13"/>
      <c r="C197" s="13"/>
    </row>
    <row r="198" spans="1:3" ht="13" x14ac:dyDescent="0.15">
      <c r="A198" s="10"/>
      <c r="B198" s="13"/>
      <c r="C198" s="13"/>
    </row>
    <row r="199" spans="1:3" ht="13" x14ac:dyDescent="0.15">
      <c r="A199" s="10"/>
      <c r="B199" s="13"/>
      <c r="C199" s="13"/>
    </row>
    <row r="200" spans="1:3" ht="13" x14ac:dyDescent="0.15">
      <c r="A200" s="10"/>
      <c r="B200" s="13"/>
      <c r="C200" s="13"/>
    </row>
    <row r="201" spans="1:3" ht="13" x14ac:dyDescent="0.15">
      <c r="A201" s="10"/>
      <c r="B201" s="13"/>
      <c r="C201" s="13"/>
    </row>
    <row r="202" spans="1:3" ht="13" x14ac:dyDescent="0.15">
      <c r="A202" s="10"/>
      <c r="B202" s="13"/>
      <c r="C202" s="13"/>
    </row>
    <row r="203" spans="1:3" ht="13" x14ac:dyDescent="0.15">
      <c r="A203" s="10"/>
      <c r="B203" s="13"/>
      <c r="C203" s="13"/>
    </row>
    <row r="204" spans="1:3" ht="13" x14ac:dyDescent="0.15">
      <c r="A204" s="10"/>
      <c r="B204" s="13"/>
      <c r="C204" s="13"/>
    </row>
    <row r="205" spans="1:3" ht="13" x14ac:dyDescent="0.15">
      <c r="A205" s="10"/>
      <c r="B205" s="13"/>
      <c r="C205" s="13"/>
    </row>
    <row r="206" spans="1:3" ht="13" x14ac:dyDescent="0.15">
      <c r="A206" s="10"/>
      <c r="B206" s="13"/>
      <c r="C206" s="13"/>
    </row>
    <row r="207" spans="1:3" ht="13" x14ac:dyDescent="0.15">
      <c r="A207" s="10"/>
      <c r="B207" s="13"/>
      <c r="C207" s="13"/>
    </row>
    <row r="208" spans="1:3" ht="13" x14ac:dyDescent="0.15">
      <c r="A208" s="10"/>
      <c r="B208" s="13"/>
      <c r="C208" s="13"/>
    </row>
    <row r="209" spans="1:3" ht="13" x14ac:dyDescent="0.15">
      <c r="A209" s="10"/>
      <c r="B209" s="13"/>
      <c r="C209" s="13"/>
    </row>
    <row r="210" spans="1:3" ht="13" x14ac:dyDescent="0.15">
      <c r="A210" s="10"/>
      <c r="B210" s="13"/>
      <c r="C210" s="13"/>
    </row>
    <row r="211" spans="1:3" ht="13" x14ac:dyDescent="0.15">
      <c r="A211" s="10"/>
      <c r="B211" s="13"/>
      <c r="C211" s="13"/>
    </row>
    <row r="212" spans="1:3" ht="13" x14ac:dyDescent="0.15">
      <c r="A212" s="10"/>
      <c r="B212" s="13"/>
      <c r="C212" s="13"/>
    </row>
    <row r="213" spans="1:3" ht="13" x14ac:dyDescent="0.15">
      <c r="A213" s="10"/>
      <c r="B213" s="13"/>
      <c r="C213" s="13"/>
    </row>
    <row r="214" spans="1:3" ht="13" x14ac:dyDescent="0.15">
      <c r="A214" s="10"/>
      <c r="B214" s="13"/>
      <c r="C214" s="13"/>
    </row>
    <row r="215" spans="1:3" ht="13" x14ac:dyDescent="0.15">
      <c r="A215" s="10"/>
      <c r="B215" s="13"/>
      <c r="C215" s="13"/>
    </row>
    <row r="216" spans="1:3" ht="13" x14ac:dyDescent="0.15">
      <c r="A216" s="10"/>
      <c r="B216" s="13"/>
      <c r="C216" s="13"/>
    </row>
    <row r="217" spans="1:3" ht="13" x14ac:dyDescent="0.15">
      <c r="A217" s="10"/>
      <c r="B217" s="13"/>
      <c r="C217" s="13"/>
    </row>
    <row r="218" spans="1:3" ht="13" x14ac:dyDescent="0.15">
      <c r="A218" s="10"/>
      <c r="B218" s="13"/>
      <c r="C218" s="13"/>
    </row>
    <row r="219" spans="1:3" ht="13" x14ac:dyDescent="0.15">
      <c r="A219" s="10"/>
      <c r="B219" s="13"/>
      <c r="C219" s="13"/>
    </row>
    <row r="220" spans="1:3" ht="13" x14ac:dyDescent="0.15">
      <c r="A220" s="10"/>
      <c r="B220" s="13"/>
      <c r="C220" s="13"/>
    </row>
    <row r="221" spans="1:3" ht="13" x14ac:dyDescent="0.15">
      <c r="A221" s="10"/>
      <c r="B221" s="13"/>
      <c r="C221" s="13"/>
    </row>
    <row r="222" spans="1:3" ht="13" x14ac:dyDescent="0.15">
      <c r="A222" s="10"/>
      <c r="B222" s="13"/>
      <c r="C222" s="13"/>
    </row>
    <row r="223" spans="1:3" ht="13" x14ac:dyDescent="0.15">
      <c r="A223" s="10"/>
      <c r="B223" s="13"/>
      <c r="C223" s="13"/>
    </row>
    <row r="224" spans="1:3" ht="13" x14ac:dyDescent="0.15">
      <c r="A224" s="10"/>
      <c r="B224" s="13"/>
      <c r="C224" s="13"/>
    </row>
    <row r="225" spans="1:3" ht="13" x14ac:dyDescent="0.15">
      <c r="A225" s="10"/>
      <c r="B225" s="13"/>
      <c r="C225" s="13"/>
    </row>
    <row r="226" spans="1:3" ht="13" x14ac:dyDescent="0.15">
      <c r="A226" s="10"/>
      <c r="B226" s="13"/>
      <c r="C226" s="13"/>
    </row>
    <row r="227" spans="1:3" ht="13" x14ac:dyDescent="0.15">
      <c r="A227" s="10"/>
      <c r="B227" s="13"/>
      <c r="C227" s="13"/>
    </row>
    <row r="228" spans="1:3" ht="13" x14ac:dyDescent="0.15">
      <c r="A228" s="10"/>
      <c r="B228" s="13"/>
      <c r="C228" s="13"/>
    </row>
    <row r="229" spans="1:3" ht="13" x14ac:dyDescent="0.15">
      <c r="A229" s="10"/>
      <c r="B229" s="13"/>
      <c r="C229" s="13"/>
    </row>
    <row r="230" spans="1:3" ht="13" x14ac:dyDescent="0.15">
      <c r="A230" s="10"/>
      <c r="B230" s="13"/>
      <c r="C230" s="13"/>
    </row>
    <row r="231" spans="1:3" ht="13" x14ac:dyDescent="0.15">
      <c r="A231" s="10"/>
      <c r="B231" s="13"/>
      <c r="C231" s="13"/>
    </row>
    <row r="232" spans="1:3" ht="13" x14ac:dyDescent="0.15">
      <c r="A232" s="10"/>
      <c r="B232" s="13"/>
      <c r="C232" s="13"/>
    </row>
    <row r="233" spans="1:3" ht="13" x14ac:dyDescent="0.15">
      <c r="A233" s="10"/>
      <c r="B233" s="13"/>
      <c r="C233" s="13"/>
    </row>
    <row r="234" spans="1:3" ht="13" x14ac:dyDescent="0.15">
      <c r="A234" s="10"/>
      <c r="B234" s="13"/>
      <c r="C234" s="13"/>
    </row>
    <row r="235" spans="1:3" ht="13" x14ac:dyDescent="0.15">
      <c r="A235" s="10"/>
      <c r="B235" s="13"/>
      <c r="C235" s="13"/>
    </row>
    <row r="236" spans="1:3" ht="13" x14ac:dyDescent="0.15">
      <c r="A236" s="10"/>
      <c r="B236" s="13"/>
      <c r="C236" s="13"/>
    </row>
    <row r="237" spans="1:3" ht="13" x14ac:dyDescent="0.15">
      <c r="A237" s="10"/>
      <c r="B237" s="13"/>
      <c r="C237" s="13"/>
    </row>
    <row r="238" spans="1:3" ht="13" x14ac:dyDescent="0.15">
      <c r="A238" s="10"/>
      <c r="B238" s="13"/>
      <c r="C238" s="13"/>
    </row>
    <row r="239" spans="1:3" ht="13" x14ac:dyDescent="0.15">
      <c r="A239" s="10"/>
      <c r="B239" s="13"/>
      <c r="C239" s="13"/>
    </row>
    <row r="240" spans="1:3" ht="13" x14ac:dyDescent="0.15">
      <c r="A240" s="10"/>
      <c r="B240" s="13"/>
      <c r="C240" s="13"/>
    </row>
    <row r="241" spans="1:3" ht="13" x14ac:dyDescent="0.15">
      <c r="A241" s="10"/>
      <c r="B241" s="13"/>
      <c r="C241" s="13"/>
    </row>
    <row r="242" spans="1:3" ht="13" x14ac:dyDescent="0.15">
      <c r="A242" s="10"/>
      <c r="B242" s="13"/>
      <c r="C242" s="13"/>
    </row>
    <row r="243" spans="1:3" ht="13" x14ac:dyDescent="0.15">
      <c r="A243" s="10"/>
      <c r="B243" s="13"/>
      <c r="C243" s="13"/>
    </row>
    <row r="244" spans="1:3" ht="13" x14ac:dyDescent="0.15">
      <c r="A244" s="10"/>
      <c r="B244" s="13"/>
      <c r="C244" s="13"/>
    </row>
    <row r="245" spans="1:3" ht="13" x14ac:dyDescent="0.15">
      <c r="A245" s="10"/>
      <c r="B245" s="13"/>
      <c r="C245" s="13"/>
    </row>
    <row r="246" spans="1:3" ht="13" x14ac:dyDescent="0.15">
      <c r="A246" s="10"/>
      <c r="B246" s="13"/>
      <c r="C246" s="13"/>
    </row>
    <row r="247" spans="1:3" ht="13" x14ac:dyDescent="0.15">
      <c r="A247" s="10"/>
      <c r="B247" s="13"/>
      <c r="C247" s="13"/>
    </row>
    <row r="248" spans="1:3" ht="13" x14ac:dyDescent="0.15">
      <c r="A248" s="10"/>
      <c r="B248" s="13"/>
      <c r="C248" s="13"/>
    </row>
    <row r="249" spans="1:3" ht="13" x14ac:dyDescent="0.15">
      <c r="A249" s="10"/>
      <c r="B249" s="13"/>
      <c r="C249" s="13"/>
    </row>
    <row r="250" spans="1:3" ht="13" x14ac:dyDescent="0.15">
      <c r="A250" s="10"/>
      <c r="B250" s="13"/>
      <c r="C250" s="13"/>
    </row>
    <row r="251" spans="1:3" ht="13" x14ac:dyDescent="0.15">
      <c r="A251" s="10"/>
      <c r="B251" s="13"/>
      <c r="C251" s="13"/>
    </row>
    <row r="252" spans="1:3" ht="13" x14ac:dyDescent="0.15">
      <c r="A252" s="10"/>
      <c r="B252" s="13"/>
      <c r="C252" s="13"/>
    </row>
    <row r="253" spans="1:3" ht="13" x14ac:dyDescent="0.15">
      <c r="A253" s="10"/>
      <c r="B253" s="13"/>
      <c r="C253" s="13"/>
    </row>
    <row r="254" spans="1:3" ht="13" x14ac:dyDescent="0.15">
      <c r="A254" s="10"/>
      <c r="B254" s="13"/>
      <c r="C254" s="13"/>
    </row>
    <row r="255" spans="1:3" ht="13" x14ac:dyDescent="0.15">
      <c r="A255" s="10"/>
      <c r="B255" s="13"/>
      <c r="C255" s="13"/>
    </row>
    <row r="256" spans="1:3" ht="13" x14ac:dyDescent="0.15">
      <c r="A256" s="10"/>
      <c r="B256" s="13"/>
      <c r="C256" s="13"/>
    </row>
    <row r="257" spans="1:3" ht="13" x14ac:dyDescent="0.15">
      <c r="A257" s="10"/>
      <c r="B257" s="13"/>
      <c r="C257" s="13"/>
    </row>
    <row r="258" spans="1:3" ht="13" x14ac:dyDescent="0.15">
      <c r="A258" s="10"/>
      <c r="B258" s="13"/>
      <c r="C258" s="13"/>
    </row>
    <row r="259" spans="1:3" ht="13" x14ac:dyDescent="0.15">
      <c r="A259" s="10"/>
      <c r="B259" s="13"/>
      <c r="C259" s="13"/>
    </row>
    <row r="260" spans="1:3" ht="13" x14ac:dyDescent="0.15">
      <c r="A260" s="10"/>
      <c r="B260" s="13"/>
      <c r="C260" s="13"/>
    </row>
    <row r="261" spans="1:3" ht="13" x14ac:dyDescent="0.15">
      <c r="A261" s="10"/>
      <c r="B261" s="13"/>
      <c r="C261" s="13"/>
    </row>
    <row r="262" spans="1:3" ht="13" x14ac:dyDescent="0.15">
      <c r="A262" s="10"/>
      <c r="B262" s="13"/>
      <c r="C262" s="13"/>
    </row>
    <row r="263" spans="1:3" ht="13" x14ac:dyDescent="0.15">
      <c r="A263" s="10"/>
      <c r="B263" s="13"/>
      <c r="C263" s="13"/>
    </row>
    <row r="264" spans="1:3" ht="13" x14ac:dyDescent="0.15">
      <c r="A264" s="10"/>
      <c r="B264" s="13"/>
      <c r="C264" s="13"/>
    </row>
    <row r="265" spans="1:3" ht="13" x14ac:dyDescent="0.15">
      <c r="A265" s="10"/>
      <c r="B265" s="13"/>
      <c r="C265" s="13"/>
    </row>
    <row r="266" spans="1:3" ht="13" x14ac:dyDescent="0.15">
      <c r="A266" s="10"/>
      <c r="B266" s="13"/>
      <c r="C266" s="13"/>
    </row>
    <row r="267" spans="1:3" ht="13" x14ac:dyDescent="0.15">
      <c r="A267" s="10"/>
      <c r="B267" s="13"/>
      <c r="C267" s="13"/>
    </row>
    <row r="268" spans="1:3" ht="13" x14ac:dyDescent="0.15">
      <c r="A268" s="10"/>
      <c r="B268" s="13"/>
      <c r="C268" s="13"/>
    </row>
    <row r="269" spans="1:3" ht="13" x14ac:dyDescent="0.15">
      <c r="A269" s="10"/>
      <c r="B269" s="13"/>
      <c r="C269" s="13"/>
    </row>
    <row r="270" spans="1:3" ht="13" x14ac:dyDescent="0.15">
      <c r="A270" s="10"/>
      <c r="B270" s="13"/>
      <c r="C270" s="13"/>
    </row>
    <row r="271" spans="1:3" ht="13" x14ac:dyDescent="0.15">
      <c r="A271" s="10"/>
      <c r="B271" s="13"/>
      <c r="C271" s="13"/>
    </row>
    <row r="272" spans="1:3" ht="13" x14ac:dyDescent="0.15">
      <c r="A272" s="10"/>
      <c r="B272" s="13"/>
      <c r="C272" s="13"/>
    </row>
    <row r="273" spans="1:3" ht="13" x14ac:dyDescent="0.15">
      <c r="A273" s="10"/>
      <c r="B273" s="13"/>
      <c r="C273" s="13"/>
    </row>
    <row r="274" spans="1:3" ht="13" x14ac:dyDescent="0.15">
      <c r="A274" s="10"/>
      <c r="B274" s="13"/>
      <c r="C274" s="13"/>
    </row>
    <row r="275" spans="1:3" ht="13" x14ac:dyDescent="0.15">
      <c r="A275" s="10"/>
      <c r="B275" s="13"/>
      <c r="C275" s="13"/>
    </row>
    <row r="276" spans="1:3" ht="13" x14ac:dyDescent="0.15">
      <c r="A276" s="10"/>
      <c r="B276" s="13"/>
      <c r="C276" s="13"/>
    </row>
    <row r="277" spans="1:3" ht="13" x14ac:dyDescent="0.15">
      <c r="A277" s="10"/>
      <c r="B277" s="13"/>
      <c r="C277" s="13"/>
    </row>
    <row r="278" spans="1:3" ht="13" x14ac:dyDescent="0.15">
      <c r="A278" s="10"/>
      <c r="B278" s="13"/>
      <c r="C278" s="13"/>
    </row>
    <row r="279" spans="1:3" ht="13" x14ac:dyDescent="0.15">
      <c r="A279" s="10"/>
      <c r="B279" s="13"/>
      <c r="C279" s="13"/>
    </row>
    <row r="280" spans="1:3" ht="13" x14ac:dyDescent="0.15">
      <c r="A280" s="10"/>
      <c r="B280" s="13"/>
      <c r="C280" s="13"/>
    </row>
    <row r="281" spans="1:3" ht="13" x14ac:dyDescent="0.15">
      <c r="A281" s="10"/>
      <c r="B281" s="13"/>
      <c r="C281" s="13"/>
    </row>
    <row r="282" spans="1:3" ht="13" x14ac:dyDescent="0.15">
      <c r="A282" s="10"/>
      <c r="B282" s="13"/>
      <c r="C282" s="13"/>
    </row>
    <row r="283" spans="1:3" ht="13" x14ac:dyDescent="0.15">
      <c r="A283" s="10"/>
      <c r="B283" s="13"/>
      <c r="C283" s="13"/>
    </row>
    <row r="284" spans="1:3" ht="13" x14ac:dyDescent="0.15">
      <c r="A284" s="10"/>
      <c r="B284" s="13"/>
      <c r="C284" s="13"/>
    </row>
    <row r="285" spans="1:3" ht="13" x14ac:dyDescent="0.15">
      <c r="A285" s="10"/>
      <c r="B285" s="13"/>
      <c r="C285" s="13"/>
    </row>
    <row r="286" spans="1:3" ht="13" x14ac:dyDescent="0.15">
      <c r="A286" s="10"/>
      <c r="B286" s="13"/>
      <c r="C286" s="13"/>
    </row>
    <row r="287" spans="1:3" ht="13" x14ac:dyDescent="0.15">
      <c r="A287" s="10"/>
      <c r="B287" s="13"/>
      <c r="C287" s="13"/>
    </row>
    <row r="288" spans="1:3" ht="13" x14ac:dyDescent="0.15">
      <c r="A288" s="10"/>
      <c r="B288" s="13"/>
      <c r="C288" s="13"/>
    </row>
    <row r="289" spans="1:3" ht="13" x14ac:dyDescent="0.15">
      <c r="A289" s="10"/>
      <c r="B289" s="13"/>
      <c r="C289" s="13"/>
    </row>
    <row r="290" spans="1:3" ht="13" x14ac:dyDescent="0.15">
      <c r="A290" s="10"/>
      <c r="B290" s="13"/>
      <c r="C290" s="13"/>
    </row>
    <row r="291" spans="1:3" ht="13" x14ac:dyDescent="0.15">
      <c r="A291" s="10"/>
      <c r="B291" s="13"/>
      <c r="C291" s="13"/>
    </row>
    <row r="292" spans="1:3" ht="13" x14ac:dyDescent="0.15">
      <c r="A292" s="10"/>
      <c r="B292" s="13"/>
      <c r="C292" s="13"/>
    </row>
    <row r="293" spans="1:3" ht="13" x14ac:dyDescent="0.15">
      <c r="A293" s="10"/>
      <c r="B293" s="13"/>
      <c r="C293" s="13"/>
    </row>
    <row r="294" spans="1:3" ht="13" x14ac:dyDescent="0.15">
      <c r="A294" s="10"/>
      <c r="B294" s="13"/>
      <c r="C294" s="13"/>
    </row>
    <row r="295" spans="1:3" ht="13" x14ac:dyDescent="0.15">
      <c r="A295" s="10"/>
      <c r="B295" s="13"/>
      <c r="C295" s="13"/>
    </row>
    <row r="296" spans="1:3" ht="13" x14ac:dyDescent="0.15">
      <c r="A296" s="10"/>
      <c r="B296" s="13"/>
      <c r="C296" s="13"/>
    </row>
    <row r="297" spans="1:3" ht="13" x14ac:dyDescent="0.15">
      <c r="A297" s="10"/>
      <c r="B297" s="13"/>
      <c r="C297" s="13"/>
    </row>
    <row r="298" spans="1:3" ht="13" x14ac:dyDescent="0.15">
      <c r="A298" s="10"/>
      <c r="B298" s="13"/>
      <c r="C298" s="13"/>
    </row>
    <row r="299" spans="1:3" ht="13" x14ac:dyDescent="0.15">
      <c r="A299" s="10"/>
      <c r="B299" s="13"/>
      <c r="C299" s="13"/>
    </row>
    <row r="300" spans="1:3" ht="13" x14ac:dyDescent="0.15">
      <c r="A300" s="10"/>
      <c r="B300" s="13"/>
      <c r="C300" s="13"/>
    </row>
    <row r="301" spans="1:3" ht="13" x14ac:dyDescent="0.15">
      <c r="A301" s="10"/>
      <c r="B301" s="13"/>
      <c r="C301" s="13"/>
    </row>
    <row r="302" spans="1:3" ht="13" x14ac:dyDescent="0.15">
      <c r="A302" s="10"/>
      <c r="B302" s="13"/>
      <c r="C302" s="13"/>
    </row>
    <row r="303" spans="1:3" ht="13" x14ac:dyDescent="0.15">
      <c r="A303" s="10"/>
      <c r="B303" s="13"/>
      <c r="C303" s="13"/>
    </row>
    <row r="304" spans="1:3" ht="13" x14ac:dyDescent="0.15">
      <c r="A304" s="10"/>
      <c r="B304" s="13"/>
      <c r="C304" s="13"/>
    </row>
    <row r="305" spans="1:3" ht="13" x14ac:dyDescent="0.15">
      <c r="A305" s="10"/>
      <c r="B305" s="13"/>
      <c r="C305" s="13"/>
    </row>
    <row r="306" spans="1:3" ht="13" x14ac:dyDescent="0.15">
      <c r="A306" s="10"/>
      <c r="B306" s="13"/>
      <c r="C306" s="13"/>
    </row>
    <row r="307" spans="1:3" ht="13" x14ac:dyDescent="0.15">
      <c r="A307" s="10"/>
      <c r="B307" s="13"/>
      <c r="C307" s="13"/>
    </row>
    <row r="308" spans="1:3" ht="13" x14ac:dyDescent="0.15">
      <c r="A308" s="10"/>
      <c r="B308" s="13"/>
      <c r="C308" s="13"/>
    </row>
    <row r="309" spans="1:3" ht="13" x14ac:dyDescent="0.15">
      <c r="A309" s="10"/>
      <c r="B309" s="13"/>
      <c r="C309" s="13"/>
    </row>
    <row r="310" spans="1:3" ht="13" x14ac:dyDescent="0.15">
      <c r="A310" s="10"/>
      <c r="B310" s="13"/>
      <c r="C310" s="13"/>
    </row>
    <row r="311" spans="1:3" ht="13" x14ac:dyDescent="0.15">
      <c r="A311" s="10"/>
      <c r="B311" s="13"/>
      <c r="C311" s="13"/>
    </row>
    <row r="312" spans="1:3" ht="13" x14ac:dyDescent="0.15">
      <c r="A312" s="10"/>
      <c r="B312" s="13"/>
      <c r="C312" s="13"/>
    </row>
    <row r="313" spans="1:3" ht="13" x14ac:dyDescent="0.15">
      <c r="A313" s="10"/>
      <c r="B313" s="13"/>
      <c r="C313" s="13"/>
    </row>
    <row r="314" spans="1:3" ht="13" x14ac:dyDescent="0.15">
      <c r="A314" s="10"/>
      <c r="B314" s="13"/>
      <c r="C314" s="13"/>
    </row>
    <row r="315" spans="1:3" ht="13" x14ac:dyDescent="0.15">
      <c r="A315" s="10"/>
      <c r="B315" s="13"/>
      <c r="C315" s="13"/>
    </row>
    <row r="316" spans="1:3" ht="13" x14ac:dyDescent="0.15">
      <c r="A316" s="10"/>
      <c r="B316" s="13"/>
      <c r="C316" s="13"/>
    </row>
    <row r="317" spans="1:3" ht="13" x14ac:dyDescent="0.15">
      <c r="A317" s="10"/>
      <c r="B317" s="13"/>
      <c r="C317" s="13"/>
    </row>
    <row r="318" spans="1:3" ht="13" x14ac:dyDescent="0.15">
      <c r="A318" s="10"/>
      <c r="B318" s="13"/>
      <c r="C318" s="13"/>
    </row>
    <row r="319" spans="1:3" ht="13" x14ac:dyDescent="0.15">
      <c r="A319" s="10"/>
      <c r="B319" s="13"/>
      <c r="C319" s="13"/>
    </row>
    <row r="320" spans="1:3" ht="13" x14ac:dyDescent="0.15">
      <c r="A320" s="10"/>
      <c r="B320" s="13"/>
      <c r="C320" s="13"/>
    </row>
    <row r="321" spans="1:3" ht="13" x14ac:dyDescent="0.15">
      <c r="A321" s="10"/>
      <c r="B321" s="13"/>
      <c r="C321" s="13"/>
    </row>
    <row r="322" spans="1:3" ht="13" x14ac:dyDescent="0.15">
      <c r="A322" s="10"/>
      <c r="B322" s="13"/>
      <c r="C322" s="13"/>
    </row>
    <row r="323" spans="1:3" ht="13" x14ac:dyDescent="0.15">
      <c r="A323" s="10"/>
      <c r="B323" s="13"/>
      <c r="C323" s="13"/>
    </row>
    <row r="324" spans="1:3" ht="13" x14ac:dyDescent="0.15">
      <c r="A324" s="10"/>
      <c r="B324" s="13"/>
      <c r="C324" s="13"/>
    </row>
    <row r="325" spans="1:3" ht="13" x14ac:dyDescent="0.15">
      <c r="A325" s="10"/>
      <c r="B325" s="13"/>
      <c r="C325" s="13"/>
    </row>
    <row r="326" spans="1:3" ht="13" x14ac:dyDescent="0.15">
      <c r="A326" s="10"/>
      <c r="B326" s="13"/>
      <c r="C326" s="13"/>
    </row>
    <row r="327" spans="1:3" ht="13" x14ac:dyDescent="0.15">
      <c r="A327" s="10"/>
      <c r="B327" s="13"/>
      <c r="C327" s="13"/>
    </row>
    <row r="328" spans="1:3" ht="13" x14ac:dyDescent="0.15">
      <c r="A328" s="10"/>
      <c r="B328" s="13"/>
      <c r="C328" s="13"/>
    </row>
    <row r="329" spans="1:3" ht="13" x14ac:dyDescent="0.15">
      <c r="A329" s="10"/>
      <c r="B329" s="13"/>
      <c r="C329" s="13"/>
    </row>
    <row r="330" spans="1:3" ht="13" x14ac:dyDescent="0.15">
      <c r="A330" s="10"/>
      <c r="B330" s="13"/>
      <c r="C330" s="13"/>
    </row>
    <row r="331" spans="1:3" ht="13" x14ac:dyDescent="0.15">
      <c r="A331" s="10"/>
      <c r="B331" s="13"/>
      <c r="C331" s="13"/>
    </row>
    <row r="332" spans="1:3" ht="13" x14ac:dyDescent="0.15">
      <c r="A332" s="10"/>
      <c r="B332" s="13"/>
      <c r="C332" s="13"/>
    </row>
    <row r="333" spans="1:3" ht="13" x14ac:dyDescent="0.15">
      <c r="A333" s="10"/>
      <c r="B333" s="13"/>
      <c r="C333" s="13"/>
    </row>
    <row r="334" spans="1:3" ht="13" x14ac:dyDescent="0.15">
      <c r="A334" s="10"/>
      <c r="B334" s="13"/>
      <c r="C334" s="13"/>
    </row>
    <row r="335" spans="1:3" ht="13" x14ac:dyDescent="0.15">
      <c r="A335" s="10"/>
      <c r="B335" s="13"/>
      <c r="C335" s="13"/>
    </row>
    <row r="336" spans="1:3" ht="13" x14ac:dyDescent="0.15">
      <c r="A336" s="10"/>
      <c r="B336" s="13"/>
      <c r="C336" s="13"/>
    </row>
    <row r="337" spans="1:3" ht="13" x14ac:dyDescent="0.15">
      <c r="A337" s="10"/>
      <c r="B337" s="13"/>
      <c r="C337" s="13"/>
    </row>
    <row r="338" spans="1:3" ht="13" x14ac:dyDescent="0.15">
      <c r="A338" s="10"/>
      <c r="B338" s="13"/>
      <c r="C338" s="13"/>
    </row>
    <row r="339" spans="1:3" ht="13" x14ac:dyDescent="0.15">
      <c r="A339" s="10"/>
      <c r="B339" s="13"/>
      <c r="C339" s="13"/>
    </row>
    <row r="340" spans="1:3" ht="13" x14ac:dyDescent="0.15">
      <c r="A340" s="10"/>
      <c r="B340" s="13"/>
      <c r="C340" s="13"/>
    </row>
    <row r="341" spans="1:3" ht="13" x14ac:dyDescent="0.15">
      <c r="A341" s="10"/>
      <c r="B341" s="13"/>
      <c r="C341" s="13"/>
    </row>
    <row r="342" spans="1:3" ht="13" x14ac:dyDescent="0.15">
      <c r="A342" s="10"/>
      <c r="B342" s="13"/>
      <c r="C342" s="13"/>
    </row>
    <row r="343" spans="1:3" ht="13" x14ac:dyDescent="0.15">
      <c r="A343" s="10"/>
      <c r="B343" s="13"/>
      <c r="C343" s="13"/>
    </row>
    <row r="344" spans="1:3" ht="13" x14ac:dyDescent="0.15">
      <c r="A344" s="10"/>
      <c r="B344" s="13"/>
      <c r="C344" s="13"/>
    </row>
    <row r="345" spans="1:3" ht="13" x14ac:dyDescent="0.15">
      <c r="A345" s="10"/>
      <c r="B345" s="13"/>
      <c r="C345" s="13"/>
    </row>
    <row r="346" spans="1:3" ht="13" x14ac:dyDescent="0.15">
      <c r="A346" s="10"/>
      <c r="B346" s="13"/>
      <c r="C346" s="13"/>
    </row>
    <row r="347" spans="1:3" ht="13" x14ac:dyDescent="0.15">
      <c r="A347" s="10"/>
      <c r="B347" s="13"/>
      <c r="C347" s="13"/>
    </row>
    <row r="348" spans="1:3" ht="13" x14ac:dyDescent="0.15">
      <c r="A348" s="10"/>
      <c r="B348" s="13"/>
      <c r="C348" s="13"/>
    </row>
    <row r="349" spans="1:3" ht="13" x14ac:dyDescent="0.15">
      <c r="A349" s="10"/>
      <c r="B349" s="13"/>
      <c r="C349" s="13"/>
    </row>
    <row r="350" spans="1:3" ht="13" x14ac:dyDescent="0.15">
      <c r="A350" s="10"/>
      <c r="B350" s="13"/>
      <c r="C350" s="13"/>
    </row>
    <row r="351" spans="1:3" ht="13" x14ac:dyDescent="0.15">
      <c r="A351" s="10"/>
      <c r="B351" s="13"/>
      <c r="C351" s="13"/>
    </row>
    <row r="352" spans="1:3" ht="13" x14ac:dyDescent="0.15">
      <c r="A352" s="10"/>
      <c r="B352" s="13"/>
      <c r="C352" s="13"/>
    </row>
    <row r="353" spans="1:3" ht="13" x14ac:dyDescent="0.15">
      <c r="A353" s="10"/>
      <c r="B353" s="13"/>
      <c r="C353" s="13"/>
    </row>
    <row r="354" spans="1:3" ht="13" x14ac:dyDescent="0.15">
      <c r="A354" s="10"/>
      <c r="B354" s="13"/>
      <c r="C354" s="13"/>
    </row>
    <row r="355" spans="1:3" ht="13" x14ac:dyDescent="0.15">
      <c r="A355" s="10"/>
      <c r="B355" s="13"/>
      <c r="C355" s="13"/>
    </row>
    <row r="356" spans="1:3" ht="13" x14ac:dyDescent="0.15">
      <c r="A356" s="10"/>
      <c r="B356" s="13"/>
      <c r="C356" s="13"/>
    </row>
    <row r="357" spans="1:3" ht="13" x14ac:dyDescent="0.15">
      <c r="A357" s="10"/>
      <c r="B357" s="13"/>
      <c r="C357" s="13"/>
    </row>
    <row r="358" spans="1:3" ht="13" x14ac:dyDescent="0.15">
      <c r="A358" s="10"/>
      <c r="B358" s="13"/>
      <c r="C358" s="13"/>
    </row>
    <row r="359" spans="1:3" ht="13" x14ac:dyDescent="0.15">
      <c r="A359" s="10"/>
      <c r="B359" s="13"/>
      <c r="C359" s="13"/>
    </row>
    <row r="360" spans="1:3" ht="13" x14ac:dyDescent="0.15">
      <c r="A360" s="10"/>
      <c r="B360" s="13"/>
      <c r="C360" s="13"/>
    </row>
    <row r="361" spans="1:3" ht="13" x14ac:dyDescent="0.15">
      <c r="A361" s="10"/>
      <c r="B361" s="13"/>
      <c r="C361" s="13"/>
    </row>
    <row r="362" spans="1:3" ht="13" x14ac:dyDescent="0.15">
      <c r="A362" s="10"/>
      <c r="B362" s="13"/>
      <c r="C362" s="13"/>
    </row>
    <row r="363" spans="1:3" ht="13" x14ac:dyDescent="0.15">
      <c r="A363" s="10"/>
      <c r="B363" s="13"/>
      <c r="C363" s="13"/>
    </row>
    <row r="364" spans="1:3" ht="13" x14ac:dyDescent="0.15">
      <c r="A364" s="10"/>
      <c r="B364" s="13"/>
      <c r="C364" s="13"/>
    </row>
    <row r="365" spans="1:3" ht="13" x14ac:dyDescent="0.15">
      <c r="A365" s="10"/>
      <c r="B365" s="13"/>
      <c r="C365" s="13"/>
    </row>
    <row r="366" spans="1:3" ht="13" x14ac:dyDescent="0.15">
      <c r="A366" s="10"/>
      <c r="B366" s="13"/>
      <c r="C366" s="13"/>
    </row>
    <row r="367" spans="1:3" ht="13" x14ac:dyDescent="0.15">
      <c r="A367" s="10"/>
      <c r="B367" s="13"/>
      <c r="C367" s="13"/>
    </row>
    <row r="368" spans="1:3" ht="13" x14ac:dyDescent="0.15">
      <c r="A368" s="10"/>
      <c r="B368" s="13"/>
      <c r="C368" s="13"/>
    </row>
    <row r="369" spans="1:3" ht="13" x14ac:dyDescent="0.15">
      <c r="A369" s="10"/>
      <c r="B369" s="13"/>
      <c r="C369" s="13"/>
    </row>
    <row r="370" spans="1:3" ht="13" x14ac:dyDescent="0.15">
      <c r="A370" s="10"/>
      <c r="B370" s="13"/>
      <c r="C370" s="13"/>
    </row>
    <row r="371" spans="1:3" ht="13" x14ac:dyDescent="0.15">
      <c r="A371" s="10"/>
      <c r="B371" s="13"/>
      <c r="C371" s="13"/>
    </row>
    <row r="372" spans="1:3" ht="13" x14ac:dyDescent="0.15">
      <c r="A372" s="10"/>
      <c r="B372" s="13"/>
      <c r="C372" s="13"/>
    </row>
    <row r="373" spans="1:3" ht="13" x14ac:dyDescent="0.15">
      <c r="A373" s="10"/>
      <c r="B373" s="13"/>
      <c r="C373" s="13"/>
    </row>
    <row r="374" spans="1:3" ht="13" x14ac:dyDescent="0.15">
      <c r="A374" s="10"/>
      <c r="B374" s="13"/>
      <c r="C374" s="13"/>
    </row>
    <row r="375" spans="1:3" ht="13" x14ac:dyDescent="0.15">
      <c r="A375" s="10"/>
      <c r="B375" s="13"/>
      <c r="C375" s="13"/>
    </row>
    <row r="376" spans="1:3" ht="13" x14ac:dyDescent="0.15">
      <c r="A376" s="10"/>
      <c r="B376" s="13"/>
      <c r="C376" s="13"/>
    </row>
    <row r="377" spans="1:3" ht="13" x14ac:dyDescent="0.15">
      <c r="A377" s="10"/>
      <c r="B377" s="13"/>
      <c r="C377" s="13"/>
    </row>
    <row r="378" spans="1:3" ht="13" x14ac:dyDescent="0.15">
      <c r="A378" s="10"/>
      <c r="B378" s="13"/>
      <c r="C378" s="13"/>
    </row>
    <row r="379" spans="1:3" ht="13" x14ac:dyDescent="0.15">
      <c r="A379" s="10"/>
      <c r="B379" s="13"/>
      <c r="C379" s="13"/>
    </row>
    <row r="380" spans="1:3" ht="13" x14ac:dyDescent="0.15">
      <c r="A380" s="10"/>
      <c r="B380" s="13"/>
      <c r="C380" s="13"/>
    </row>
    <row r="381" spans="1:3" ht="13" x14ac:dyDescent="0.15">
      <c r="A381" s="10"/>
      <c r="B381" s="13"/>
      <c r="C381" s="13"/>
    </row>
    <row r="382" spans="1:3" ht="13" x14ac:dyDescent="0.15">
      <c r="A382" s="10"/>
      <c r="B382" s="13"/>
      <c r="C382" s="13"/>
    </row>
    <row r="383" spans="1:3" ht="13" x14ac:dyDescent="0.15">
      <c r="A383" s="10"/>
      <c r="B383" s="13"/>
      <c r="C383" s="13"/>
    </row>
    <row r="384" spans="1:3" ht="13" x14ac:dyDescent="0.15">
      <c r="A384" s="10"/>
      <c r="B384" s="13"/>
      <c r="C384" s="13"/>
    </row>
    <row r="385" spans="1:3" ht="13" x14ac:dyDescent="0.15">
      <c r="A385" s="10"/>
      <c r="B385" s="13"/>
      <c r="C385" s="13"/>
    </row>
    <row r="386" spans="1:3" ht="13" x14ac:dyDescent="0.15">
      <c r="A386" s="10"/>
      <c r="B386" s="13"/>
      <c r="C386" s="13"/>
    </row>
    <row r="387" spans="1:3" ht="13" x14ac:dyDescent="0.15">
      <c r="A387" s="10"/>
      <c r="B387" s="13"/>
      <c r="C387" s="13"/>
    </row>
    <row r="388" spans="1:3" ht="13" x14ac:dyDescent="0.15">
      <c r="A388" s="10"/>
      <c r="B388" s="13"/>
      <c r="C388" s="13"/>
    </row>
    <row r="389" spans="1:3" ht="13" x14ac:dyDescent="0.15">
      <c r="A389" s="10"/>
      <c r="B389" s="13"/>
      <c r="C389" s="13"/>
    </row>
    <row r="390" spans="1:3" ht="13" x14ac:dyDescent="0.15">
      <c r="A390" s="10"/>
      <c r="B390" s="13"/>
      <c r="C390" s="13"/>
    </row>
    <row r="391" spans="1:3" ht="13" x14ac:dyDescent="0.15">
      <c r="A391" s="10"/>
      <c r="B391" s="13"/>
      <c r="C391" s="13"/>
    </row>
    <row r="392" spans="1:3" ht="13" x14ac:dyDescent="0.15">
      <c r="A392" s="10"/>
      <c r="B392" s="13"/>
      <c r="C392" s="13"/>
    </row>
    <row r="393" spans="1:3" ht="13" x14ac:dyDescent="0.15">
      <c r="A393" s="10"/>
      <c r="B393" s="13"/>
      <c r="C393" s="13"/>
    </row>
    <row r="394" spans="1:3" ht="13" x14ac:dyDescent="0.15">
      <c r="A394" s="10"/>
      <c r="B394" s="13"/>
      <c r="C394" s="13"/>
    </row>
    <row r="395" spans="1:3" ht="13" x14ac:dyDescent="0.15">
      <c r="A395" s="10"/>
      <c r="B395" s="13"/>
      <c r="C395" s="13"/>
    </row>
    <row r="396" spans="1:3" ht="13" x14ac:dyDescent="0.15">
      <c r="A396" s="10"/>
      <c r="B396" s="13"/>
      <c r="C396" s="13"/>
    </row>
    <row r="397" spans="1:3" ht="13" x14ac:dyDescent="0.15">
      <c r="A397" s="10"/>
      <c r="B397" s="13"/>
      <c r="C397" s="13"/>
    </row>
    <row r="398" spans="1:3" ht="13" x14ac:dyDescent="0.15">
      <c r="A398" s="10"/>
      <c r="B398" s="13"/>
      <c r="C398" s="13"/>
    </row>
    <row r="399" spans="1:3" ht="13" x14ac:dyDescent="0.15">
      <c r="A399" s="10"/>
      <c r="B399" s="13"/>
      <c r="C399" s="13"/>
    </row>
    <row r="400" spans="1:3" ht="13" x14ac:dyDescent="0.15">
      <c r="A400" s="10"/>
      <c r="B400" s="13"/>
      <c r="C400" s="13"/>
    </row>
    <row r="401" spans="1:3" ht="13" x14ac:dyDescent="0.15">
      <c r="A401" s="10"/>
      <c r="B401" s="13"/>
      <c r="C401" s="13"/>
    </row>
    <row r="402" spans="1:3" ht="13" x14ac:dyDescent="0.15">
      <c r="A402" s="10"/>
      <c r="B402" s="13"/>
      <c r="C402" s="13"/>
    </row>
    <row r="403" spans="1:3" ht="13" x14ac:dyDescent="0.15">
      <c r="A403" s="10"/>
      <c r="B403" s="13"/>
      <c r="C403" s="13"/>
    </row>
    <row r="404" spans="1:3" ht="13" x14ac:dyDescent="0.15">
      <c r="A404" s="10"/>
      <c r="B404" s="13"/>
      <c r="C404" s="13"/>
    </row>
    <row r="405" spans="1:3" ht="13" x14ac:dyDescent="0.15">
      <c r="A405" s="10"/>
      <c r="B405" s="13"/>
      <c r="C405" s="13"/>
    </row>
    <row r="406" spans="1:3" ht="13" x14ac:dyDescent="0.15">
      <c r="A406" s="10"/>
      <c r="B406" s="13"/>
      <c r="C406" s="13"/>
    </row>
    <row r="407" spans="1:3" ht="13" x14ac:dyDescent="0.15">
      <c r="A407" s="10"/>
      <c r="B407" s="13"/>
      <c r="C407" s="13"/>
    </row>
    <row r="408" spans="1:3" ht="13" x14ac:dyDescent="0.15">
      <c r="A408" s="10"/>
      <c r="B408" s="13"/>
      <c r="C408" s="13"/>
    </row>
    <row r="409" spans="1:3" ht="13" x14ac:dyDescent="0.15">
      <c r="A409" s="10"/>
      <c r="B409" s="13"/>
      <c r="C409" s="13"/>
    </row>
    <row r="410" spans="1:3" ht="13" x14ac:dyDescent="0.15">
      <c r="A410" s="10"/>
      <c r="B410" s="13"/>
      <c r="C410" s="13"/>
    </row>
    <row r="411" spans="1:3" ht="13" x14ac:dyDescent="0.15">
      <c r="A411" s="10"/>
      <c r="B411" s="13"/>
      <c r="C411" s="13"/>
    </row>
    <row r="412" spans="1:3" ht="13" x14ac:dyDescent="0.15">
      <c r="A412" s="10"/>
      <c r="B412" s="13"/>
      <c r="C412" s="13"/>
    </row>
    <row r="413" spans="1:3" ht="13" x14ac:dyDescent="0.15">
      <c r="A413" s="10"/>
      <c r="B413" s="13"/>
      <c r="C413" s="13"/>
    </row>
    <row r="414" spans="1:3" ht="13" x14ac:dyDescent="0.15">
      <c r="A414" s="10"/>
      <c r="B414" s="13"/>
      <c r="C414" s="13"/>
    </row>
    <row r="415" spans="1:3" ht="13" x14ac:dyDescent="0.15">
      <c r="A415" s="10"/>
      <c r="B415" s="13"/>
      <c r="C415" s="13"/>
    </row>
    <row r="416" spans="1:3" ht="13" x14ac:dyDescent="0.15">
      <c r="A416" s="10"/>
      <c r="B416" s="13"/>
      <c r="C416" s="13"/>
    </row>
    <row r="417" spans="1:3" ht="13" x14ac:dyDescent="0.15">
      <c r="A417" s="10"/>
      <c r="B417" s="13"/>
      <c r="C417" s="13"/>
    </row>
    <row r="418" spans="1:3" ht="13" x14ac:dyDescent="0.15">
      <c r="A418" s="10"/>
      <c r="B418" s="13"/>
      <c r="C418" s="13"/>
    </row>
    <row r="419" spans="1:3" ht="13" x14ac:dyDescent="0.15">
      <c r="A419" s="10"/>
      <c r="B419" s="13"/>
      <c r="C419" s="13"/>
    </row>
    <row r="420" spans="1:3" ht="13" x14ac:dyDescent="0.15">
      <c r="A420" s="10"/>
      <c r="B420" s="13"/>
      <c r="C420" s="13"/>
    </row>
    <row r="421" spans="1:3" ht="13" x14ac:dyDescent="0.15">
      <c r="A421" s="10"/>
      <c r="B421" s="13"/>
      <c r="C421" s="13"/>
    </row>
    <row r="422" spans="1:3" ht="13" x14ac:dyDescent="0.15">
      <c r="A422" s="10"/>
      <c r="B422" s="13"/>
      <c r="C422" s="13"/>
    </row>
    <row r="423" spans="1:3" ht="13" x14ac:dyDescent="0.15">
      <c r="A423" s="10"/>
      <c r="B423" s="13"/>
      <c r="C423" s="13"/>
    </row>
    <row r="424" spans="1:3" ht="13" x14ac:dyDescent="0.15">
      <c r="A424" s="10"/>
      <c r="B424" s="13"/>
      <c r="C424" s="13"/>
    </row>
    <row r="425" spans="1:3" ht="13" x14ac:dyDescent="0.15">
      <c r="A425" s="10"/>
      <c r="B425" s="13"/>
      <c r="C425" s="13"/>
    </row>
    <row r="426" spans="1:3" ht="13" x14ac:dyDescent="0.15">
      <c r="A426" s="10"/>
      <c r="B426" s="13"/>
      <c r="C426" s="13"/>
    </row>
    <row r="427" spans="1:3" ht="13" x14ac:dyDescent="0.15">
      <c r="A427" s="10"/>
      <c r="B427" s="13"/>
      <c r="C427" s="13"/>
    </row>
    <row r="428" spans="1:3" ht="13" x14ac:dyDescent="0.15">
      <c r="A428" s="10"/>
      <c r="B428" s="13"/>
      <c r="C428" s="13"/>
    </row>
    <row r="429" spans="1:3" ht="13" x14ac:dyDescent="0.15">
      <c r="A429" s="10"/>
      <c r="B429" s="13"/>
      <c r="C429" s="13"/>
    </row>
    <row r="430" spans="1:3" ht="13" x14ac:dyDescent="0.15">
      <c r="A430" s="10"/>
      <c r="B430" s="13"/>
      <c r="C430" s="13"/>
    </row>
    <row r="431" spans="1:3" ht="13" x14ac:dyDescent="0.15">
      <c r="A431" s="10"/>
      <c r="B431" s="13"/>
      <c r="C431" s="13"/>
    </row>
    <row r="432" spans="1:3" ht="13" x14ac:dyDescent="0.15">
      <c r="A432" s="10"/>
      <c r="B432" s="13"/>
      <c r="C432" s="13"/>
    </row>
    <row r="433" spans="1:3" ht="13" x14ac:dyDescent="0.15">
      <c r="A433" s="10"/>
      <c r="B433" s="13"/>
      <c r="C433" s="13"/>
    </row>
    <row r="434" spans="1:3" ht="13" x14ac:dyDescent="0.15">
      <c r="A434" s="10"/>
      <c r="B434" s="13"/>
      <c r="C434" s="13"/>
    </row>
    <row r="435" spans="1:3" ht="13" x14ac:dyDescent="0.15">
      <c r="A435" s="10"/>
      <c r="B435" s="13"/>
      <c r="C435" s="13"/>
    </row>
    <row r="436" spans="1:3" ht="13" x14ac:dyDescent="0.15">
      <c r="A436" s="10"/>
      <c r="B436" s="13"/>
      <c r="C436" s="13"/>
    </row>
    <row r="437" spans="1:3" ht="13" x14ac:dyDescent="0.15">
      <c r="A437" s="10"/>
      <c r="B437" s="13"/>
      <c r="C437" s="13"/>
    </row>
    <row r="438" spans="1:3" ht="13" x14ac:dyDescent="0.15">
      <c r="A438" s="10"/>
      <c r="B438" s="13"/>
      <c r="C438" s="13"/>
    </row>
    <row r="439" spans="1:3" ht="13" x14ac:dyDescent="0.15">
      <c r="A439" s="10"/>
      <c r="B439" s="13"/>
      <c r="C439" s="13"/>
    </row>
    <row r="440" spans="1:3" ht="13" x14ac:dyDescent="0.15">
      <c r="A440" s="10"/>
      <c r="B440" s="13"/>
      <c r="C440" s="13"/>
    </row>
    <row r="441" spans="1:3" ht="13" x14ac:dyDescent="0.15">
      <c r="A441" s="10"/>
      <c r="B441" s="13"/>
      <c r="C441" s="13"/>
    </row>
    <row r="442" spans="1:3" ht="13" x14ac:dyDescent="0.15">
      <c r="A442" s="10"/>
      <c r="B442" s="13"/>
      <c r="C442" s="13"/>
    </row>
    <row r="443" spans="1:3" ht="13" x14ac:dyDescent="0.15">
      <c r="A443" s="10"/>
      <c r="B443" s="13"/>
      <c r="C443" s="13"/>
    </row>
    <row r="444" spans="1:3" ht="13" x14ac:dyDescent="0.15">
      <c r="A444" s="10"/>
      <c r="B444" s="13"/>
      <c r="C444" s="13"/>
    </row>
    <row r="445" spans="1:3" ht="13" x14ac:dyDescent="0.15">
      <c r="A445" s="10"/>
      <c r="B445" s="13"/>
      <c r="C445" s="13"/>
    </row>
    <row r="446" spans="1:3" ht="13" x14ac:dyDescent="0.15">
      <c r="A446" s="10"/>
      <c r="B446" s="13"/>
      <c r="C446" s="13"/>
    </row>
    <row r="447" spans="1:3" ht="13" x14ac:dyDescent="0.15">
      <c r="A447" s="10"/>
      <c r="B447" s="13"/>
      <c r="C447" s="13"/>
    </row>
    <row r="448" spans="1:3" ht="13" x14ac:dyDescent="0.15">
      <c r="A448" s="10"/>
      <c r="B448" s="13"/>
      <c r="C448" s="13"/>
    </row>
    <row r="449" spans="1:3" ht="13" x14ac:dyDescent="0.15">
      <c r="A449" s="10"/>
      <c r="B449" s="13"/>
      <c r="C449" s="13"/>
    </row>
    <row r="450" spans="1:3" ht="13" x14ac:dyDescent="0.15">
      <c r="A450" s="10"/>
      <c r="B450" s="13"/>
      <c r="C450" s="13"/>
    </row>
    <row r="451" spans="1:3" ht="13" x14ac:dyDescent="0.15">
      <c r="A451" s="10"/>
      <c r="B451" s="13"/>
      <c r="C451" s="13"/>
    </row>
    <row r="452" spans="1:3" ht="13" x14ac:dyDescent="0.15">
      <c r="A452" s="10"/>
      <c r="B452" s="13"/>
      <c r="C452" s="13"/>
    </row>
    <row r="453" spans="1:3" ht="13" x14ac:dyDescent="0.15">
      <c r="A453" s="10"/>
      <c r="B453" s="13"/>
      <c r="C453" s="13"/>
    </row>
    <row r="454" spans="1:3" ht="13" x14ac:dyDescent="0.15">
      <c r="A454" s="10"/>
      <c r="B454" s="13"/>
      <c r="C454" s="13"/>
    </row>
    <row r="455" spans="1:3" ht="13" x14ac:dyDescent="0.15">
      <c r="A455" s="10"/>
      <c r="B455" s="13"/>
      <c r="C455" s="13"/>
    </row>
    <row r="456" spans="1:3" ht="13" x14ac:dyDescent="0.15">
      <c r="A456" s="10"/>
      <c r="B456" s="13"/>
      <c r="C456" s="13"/>
    </row>
    <row r="457" spans="1:3" ht="13" x14ac:dyDescent="0.15">
      <c r="A457" s="10"/>
      <c r="B457" s="13"/>
      <c r="C457" s="13"/>
    </row>
    <row r="458" spans="1:3" ht="13" x14ac:dyDescent="0.15">
      <c r="A458" s="10"/>
      <c r="B458" s="13"/>
      <c r="C458" s="13"/>
    </row>
    <row r="459" spans="1:3" ht="13" x14ac:dyDescent="0.15">
      <c r="A459" s="10"/>
      <c r="B459" s="13"/>
      <c r="C459" s="13"/>
    </row>
    <row r="460" spans="1:3" ht="13" x14ac:dyDescent="0.15">
      <c r="A460" s="10"/>
      <c r="B460" s="13"/>
      <c r="C460" s="13"/>
    </row>
    <row r="461" spans="1:3" ht="13" x14ac:dyDescent="0.15">
      <c r="A461" s="10"/>
      <c r="B461" s="13"/>
      <c r="C461" s="13"/>
    </row>
    <row r="462" spans="1:3" ht="13" x14ac:dyDescent="0.15">
      <c r="A462" s="10"/>
      <c r="B462" s="13"/>
      <c r="C462" s="13"/>
    </row>
    <row r="463" spans="1:3" ht="13" x14ac:dyDescent="0.15">
      <c r="A463" s="10"/>
      <c r="B463" s="13"/>
      <c r="C463" s="13"/>
    </row>
    <row r="464" spans="1:3" ht="13" x14ac:dyDescent="0.15">
      <c r="A464" s="10"/>
      <c r="B464" s="13"/>
      <c r="C464" s="13"/>
    </row>
    <row r="465" spans="1:3" ht="13" x14ac:dyDescent="0.15">
      <c r="A465" s="10"/>
      <c r="B465" s="13"/>
      <c r="C465" s="13"/>
    </row>
    <row r="466" spans="1:3" ht="13" x14ac:dyDescent="0.15">
      <c r="A466" s="10"/>
      <c r="B466" s="13"/>
      <c r="C466" s="13"/>
    </row>
    <row r="467" spans="1:3" ht="13" x14ac:dyDescent="0.15">
      <c r="A467" s="10"/>
      <c r="B467" s="13"/>
      <c r="C467" s="13"/>
    </row>
    <row r="468" spans="1:3" ht="13" x14ac:dyDescent="0.15">
      <c r="A468" s="10"/>
      <c r="B468" s="13"/>
      <c r="C468" s="13"/>
    </row>
    <row r="469" spans="1:3" ht="13" x14ac:dyDescent="0.15">
      <c r="A469" s="10"/>
      <c r="B469" s="13"/>
      <c r="C469" s="13"/>
    </row>
    <row r="470" spans="1:3" ht="13" x14ac:dyDescent="0.15">
      <c r="A470" s="10"/>
      <c r="B470" s="13"/>
      <c r="C470" s="13"/>
    </row>
    <row r="471" spans="1:3" ht="13" x14ac:dyDescent="0.15">
      <c r="A471" s="10"/>
      <c r="B471" s="13"/>
      <c r="C471" s="13"/>
    </row>
    <row r="472" spans="1:3" ht="13" x14ac:dyDescent="0.15">
      <c r="A472" s="10"/>
      <c r="B472" s="13"/>
      <c r="C472" s="13"/>
    </row>
    <row r="473" spans="1:3" ht="13" x14ac:dyDescent="0.15">
      <c r="A473" s="10"/>
      <c r="B473" s="13"/>
      <c r="C473" s="13"/>
    </row>
    <row r="474" spans="1:3" ht="13" x14ac:dyDescent="0.15">
      <c r="A474" s="10"/>
      <c r="B474" s="13"/>
      <c r="C474" s="13"/>
    </row>
    <row r="475" spans="1:3" ht="13" x14ac:dyDescent="0.15">
      <c r="A475" s="10"/>
      <c r="B475" s="13"/>
      <c r="C475" s="13"/>
    </row>
    <row r="476" spans="1:3" ht="13" x14ac:dyDescent="0.15">
      <c r="A476" s="10"/>
      <c r="B476" s="13"/>
      <c r="C476" s="13"/>
    </row>
    <row r="477" spans="1:3" ht="13" x14ac:dyDescent="0.15">
      <c r="A477" s="10"/>
      <c r="B477" s="13"/>
      <c r="C477" s="13"/>
    </row>
    <row r="478" spans="1:3" ht="13" x14ac:dyDescent="0.15">
      <c r="A478" s="10"/>
      <c r="B478" s="13"/>
      <c r="C478" s="13"/>
    </row>
    <row r="479" spans="1:3" ht="13" x14ac:dyDescent="0.15">
      <c r="A479" s="10"/>
      <c r="B479" s="13"/>
      <c r="C479" s="13"/>
    </row>
    <row r="480" spans="1:3" ht="13" x14ac:dyDescent="0.15">
      <c r="A480" s="10"/>
      <c r="B480" s="13"/>
      <c r="C480" s="13"/>
    </row>
    <row r="481" spans="1:3" ht="13" x14ac:dyDescent="0.15">
      <c r="A481" s="10"/>
      <c r="B481" s="13"/>
      <c r="C481" s="13"/>
    </row>
    <row r="482" spans="1:3" ht="13" x14ac:dyDescent="0.15">
      <c r="A482" s="10"/>
      <c r="B482" s="13"/>
      <c r="C482" s="13"/>
    </row>
    <row r="483" spans="1:3" ht="13" x14ac:dyDescent="0.15">
      <c r="A483" s="10"/>
      <c r="B483" s="13"/>
      <c r="C483" s="13"/>
    </row>
    <row r="484" spans="1:3" ht="13" x14ac:dyDescent="0.15">
      <c r="A484" s="10"/>
      <c r="B484" s="13"/>
      <c r="C484" s="13"/>
    </row>
    <row r="485" spans="1:3" ht="13" x14ac:dyDescent="0.15">
      <c r="A485" s="10"/>
      <c r="B485" s="13"/>
      <c r="C485" s="13"/>
    </row>
    <row r="486" spans="1:3" ht="13" x14ac:dyDescent="0.15">
      <c r="A486" s="10"/>
      <c r="B486" s="13"/>
      <c r="C486" s="13"/>
    </row>
    <row r="487" spans="1:3" ht="13" x14ac:dyDescent="0.15">
      <c r="A487" s="10"/>
      <c r="B487" s="13"/>
      <c r="C487" s="13"/>
    </row>
    <row r="488" spans="1:3" ht="13" x14ac:dyDescent="0.15">
      <c r="A488" s="10"/>
      <c r="B488" s="13"/>
      <c r="C488" s="13"/>
    </row>
    <row r="489" spans="1:3" ht="13" x14ac:dyDescent="0.15">
      <c r="A489" s="10"/>
      <c r="B489" s="13"/>
      <c r="C489" s="13"/>
    </row>
    <row r="490" spans="1:3" ht="13" x14ac:dyDescent="0.15">
      <c r="A490" s="10"/>
      <c r="B490" s="13"/>
      <c r="C490" s="13"/>
    </row>
    <row r="491" spans="1:3" ht="13" x14ac:dyDescent="0.15">
      <c r="A491" s="10"/>
      <c r="B491" s="13"/>
      <c r="C491" s="13"/>
    </row>
    <row r="492" spans="1:3" ht="13" x14ac:dyDescent="0.15">
      <c r="A492" s="10"/>
      <c r="B492" s="13"/>
      <c r="C492" s="13"/>
    </row>
    <row r="493" spans="1:3" ht="13" x14ac:dyDescent="0.15">
      <c r="A493" s="10"/>
      <c r="B493" s="13"/>
      <c r="C493" s="13"/>
    </row>
    <row r="494" spans="1:3" ht="13" x14ac:dyDescent="0.15">
      <c r="A494" s="10"/>
      <c r="B494" s="13"/>
      <c r="C494" s="13"/>
    </row>
    <row r="495" spans="1:3" ht="13" x14ac:dyDescent="0.15">
      <c r="A495" s="10"/>
      <c r="B495" s="13"/>
      <c r="C495" s="13"/>
    </row>
    <row r="496" spans="1:3" ht="13" x14ac:dyDescent="0.15">
      <c r="A496" s="10"/>
      <c r="B496" s="13"/>
      <c r="C496" s="13"/>
    </row>
    <row r="497" spans="1:3" ht="13" x14ac:dyDescent="0.15">
      <c r="A497" s="10"/>
      <c r="B497" s="13"/>
      <c r="C497" s="13"/>
    </row>
    <row r="498" spans="1:3" ht="13" x14ac:dyDescent="0.15">
      <c r="A498" s="10"/>
      <c r="B498" s="13"/>
      <c r="C498" s="13"/>
    </row>
    <row r="499" spans="1:3" ht="13" x14ac:dyDescent="0.15">
      <c r="A499" s="10"/>
      <c r="B499" s="13"/>
      <c r="C499" s="13"/>
    </row>
    <row r="500" spans="1:3" ht="13" x14ac:dyDescent="0.15">
      <c r="A500" s="10"/>
      <c r="B500" s="13"/>
      <c r="C500" s="13"/>
    </row>
    <row r="501" spans="1:3" ht="13" x14ac:dyDescent="0.15">
      <c r="A501" s="10"/>
      <c r="B501" s="13"/>
      <c r="C501" s="13"/>
    </row>
    <row r="502" spans="1:3" ht="13" x14ac:dyDescent="0.15">
      <c r="A502" s="10"/>
      <c r="B502" s="13"/>
      <c r="C502" s="13"/>
    </row>
    <row r="503" spans="1:3" ht="13" x14ac:dyDescent="0.15">
      <c r="A503" s="10"/>
      <c r="B503" s="13"/>
      <c r="C503" s="13"/>
    </row>
    <row r="504" spans="1:3" ht="13" x14ac:dyDescent="0.15">
      <c r="A504" s="10"/>
      <c r="B504" s="13"/>
      <c r="C504" s="13"/>
    </row>
    <row r="505" spans="1:3" ht="13" x14ac:dyDescent="0.15">
      <c r="A505" s="10"/>
      <c r="B505" s="13"/>
      <c r="C505" s="13"/>
    </row>
    <row r="506" spans="1:3" ht="13" x14ac:dyDescent="0.15">
      <c r="A506" s="10"/>
      <c r="B506" s="13"/>
      <c r="C506" s="13"/>
    </row>
    <row r="507" spans="1:3" ht="13" x14ac:dyDescent="0.15">
      <c r="A507" s="10"/>
      <c r="B507" s="13"/>
      <c r="C507" s="13"/>
    </row>
    <row r="508" spans="1:3" ht="13" x14ac:dyDescent="0.15">
      <c r="A508" s="10"/>
      <c r="B508" s="13"/>
      <c r="C508" s="13"/>
    </row>
    <row r="509" spans="1:3" ht="13" x14ac:dyDescent="0.15">
      <c r="A509" s="10"/>
      <c r="B509" s="13"/>
      <c r="C509" s="13"/>
    </row>
    <row r="510" spans="1:3" ht="13" x14ac:dyDescent="0.15">
      <c r="A510" s="10"/>
      <c r="B510" s="13"/>
      <c r="C510" s="13"/>
    </row>
    <row r="511" spans="1:3" ht="13" x14ac:dyDescent="0.15">
      <c r="A511" s="10"/>
      <c r="B511" s="13"/>
      <c r="C511" s="13"/>
    </row>
    <row r="512" spans="1:3" ht="13" x14ac:dyDescent="0.15">
      <c r="A512" s="10"/>
      <c r="B512" s="13"/>
      <c r="C512" s="13"/>
    </row>
    <row r="513" spans="1:3" ht="13" x14ac:dyDescent="0.15">
      <c r="A513" s="10"/>
      <c r="B513" s="13"/>
      <c r="C513" s="13"/>
    </row>
    <row r="514" spans="1:3" ht="13" x14ac:dyDescent="0.15">
      <c r="A514" s="10"/>
      <c r="B514" s="13"/>
      <c r="C514" s="13"/>
    </row>
    <row r="515" spans="1:3" ht="13" x14ac:dyDescent="0.15">
      <c r="A515" s="10"/>
      <c r="B515" s="13"/>
      <c r="C515" s="13"/>
    </row>
    <row r="516" spans="1:3" ht="13" x14ac:dyDescent="0.15">
      <c r="A516" s="10"/>
      <c r="B516" s="13"/>
      <c r="C516" s="13"/>
    </row>
    <row r="517" spans="1:3" ht="13" x14ac:dyDescent="0.15">
      <c r="A517" s="10"/>
      <c r="B517" s="13"/>
      <c r="C517" s="13"/>
    </row>
    <row r="518" spans="1:3" ht="13" x14ac:dyDescent="0.15">
      <c r="A518" s="10"/>
      <c r="B518" s="13"/>
      <c r="C518" s="13"/>
    </row>
    <row r="519" spans="1:3" ht="13" x14ac:dyDescent="0.15">
      <c r="A519" s="10"/>
      <c r="B519" s="13"/>
      <c r="C519" s="13"/>
    </row>
    <row r="520" spans="1:3" ht="13" x14ac:dyDescent="0.15">
      <c r="A520" s="10"/>
      <c r="B520" s="13"/>
      <c r="C520" s="13"/>
    </row>
    <row r="521" spans="1:3" ht="13" x14ac:dyDescent="0.15">
      <c r="A521" s="10"/>
      <c r="B521" s="13"/>
      <c r="C521" s="13"/>
    </row>
    <row r="522" spans="1:3" ht="13" x14ac:dyDescent="0.15">
      <c r="A522" s="10"/>
      <c r="B522" s="13"/>
      <c r="C522" s="13"/>
    </row>
    <row r="523" spans="1:3" ht="13" x14ac:dyDescent="0.15">
      <c r="A523" s="10"/>
      <c r="B523" s="13"/>
      <c r="C523" s="13"/>
    </row>
    <row r="524" spans="1:3" ht="13" x14ac:dyDescent="0.15">
      <c r="A524" s="10"/>
      <c r="B524" s="13"/>
      <c r="C524" s="13"/>
    </row>
    <row r="525" spans="1:3" ht="13" x14ac:dyDescent="0.15">
      <c r="A525" s="10"/>
      <c r="B525" s="13"/>
      <c r="C525" s="13"/>
    </row>
    <row r="526" spans="1:3" ht="13" x14ac:dyDescent="0.15">
      <c r="A526" s="10"/>
      <c r="B526" s="13"/>
      <c r="C526" s="13"/>
    </row>
    <row r="527" spans="1:3" ht="13" x14ac:dyDescent="0.15">
      <c r="A527" s="10"/>
      <c r="B527" s="13"/>
      <c r="C527" s="13"/>
    </row>
    <row r="528" spans="1:3" ht="13" x14ac:dyDescent="0.15">
      <c r="A528" s="10"/>
      <c r="B528" s="13"/>
      <c r="C528" s="13"/>
    </row>
    <row r="529" spans="1:3" ht="13" x14ac:dyDescent="0.15">
      <c r="A529" s="10"/>
      <c r="B529" s="13"/>
      <c r="C529" s="13"/>
    </row>
    <row r="530" spans="1:3" ht="13" x14ac:dyDescent="0.15">
      <c r="A530" s="10"/>
      <c r="B530" s="13"/>
      <c r="C530" s="13"/>
    </row>
    <row r="531" spans="1:3" ht="13" x14ac:dyDescent="0.15">
      <c r="A531" s="10"/>
      <c r="B531" s="13"/>
      <c r="C531" s="13"/>
    </row>
    <row r="532" spans="1:3" ht="13" x14ac:dyDescent="0.15">
      <c r="A532" s="10"/>
      <c r="B532" s="13"/>
      <c r="C532" s="13"/>
    </row>
    <row r="533" spans="1:3" ht="13" x14ac:dyDescent="0.15">
      <c r="A533" s="10"/>
      <c r="B533" s="13"/>
      <c r="C533" s="13"/>
    </row>
    <row r="534" spans="1:3" ht="13" x14ac:dyDescent="0.15">
      <c r="A534" s="10"/>
      <c r="B534" s="13"/>
      <c r="C534" s="13"/>
    </row>
    <row r="535" spans="1:3" ht="13" x14ac:dyDescent="0.15">
      <c r="A535" s="10"/>
      <c r="B535" s="13"/>
      <c r="C535" s="13"/>
    </row>
    <row r="536" spans="1:3" ht="13" x14ac:dyDescent="0.15">
      <c r="A536" s="10"/>
      <c r="B536" s="13"/>
      <c r="C536" s="13"/>
    </row>
    <row r="537" spans="1:3" ht="13" x14ac:dyDescent="0.15">
      <c r="A537" s="10"/>
      <c r="B537" s="13"/>
      <c r="C537" s="13"/>
    </row>
    <row r="538" spans="1:3" ht="13" x14ac:dyDescent="0.15">
      <c r="A538" s="10"/>
      <c r="B538" s="13"/>
      <c r="C538" s="13"/>
    </row>
    <row r="539" spans="1:3" ht="13" x14ac:dyDescent="0.15">
      <c r="A539" s="10"/>
      <c r="B539" s="13"/>
      <c r="C539" s="13"/>
    </row>
    <row r="540" spans="1:3" ht="13" x14ac:dyDescent="0.15">
      <c r="A540" s="10"/>
      <c r="B540" s="13"/>
      <c r="C540" s="13"/>
    </row>
    <row r="541" spans="1:3" ht="13" x14ac:dyDescent="0.15">
      <c r="A541" s="10"/>
      <c r="B541" s="13"/>
      <c r="C541" s="13"/>
    </row>
    <row r="542" spans="1:3" ht="13" x14ac:dyDescent="0.15">
      <c r="A542" s="10"/>
      <c r="B542" s="13"/>
      <c r="C542" s="13"/>
    </row>
    <row r="543" spans="1:3" ht="13" x14ac:dyDescent="0.15">
      <c r="A543" s="10"/>
      <c r="B543" s="13"/>
      <c r="C543" s="13"/>
    </row>
    <row r="544" spans="1:3" ht="13" x14ac:dyDescent="0.15">
      <c r="A544" s="10"/>
      <c r="B544" s="13"/>
      <c r="C544" s="13"/>
    </row>
    <row r="545" spans="1:3" ht="13" x14ac:dyDescent="0.15">
      <c r="A545" s="10"/>
      <c r="B545" s="13"/>
      <c r="C545" s="13"/>
    </row>
    <row r="546" spans="1:3" ht="13" x14ac:dyDescent="0.15">
      <c r="A546" s="10"/>
      <c r="B546" s="13"/>
      <c r="C546" s="13"/>
    </row>
    <row r="547" spans="1:3" ht="13" x14ac:dyDescent="0.15">
      <c r="A547" s="10"/>
      <c r="B547" s="13"/>
      <c r="C547" s="13"/>
    </row>
    <row r="548" spans="1:3" ht="13" x14ac:dyDescent="0.15">
      <c r="A548" s="10"/>
      <c r="B548" s="13"/>
      <c r="C548" s="13"/>
    </row>
    <row r="549" spans="1:3" ht="13" x14ac:dyDescent="0.15">
      <c r="A549" s="10"/>
      <c r="B549" s="13"/>
      <c r="C549" s="13"/>
    </row>
    <row r="550" spans="1:3" ht="13" x14ac:dyDescent="0.15">
      <c r="A550" s="10"/>
      <c r="B550" s="13"/>
      <c r="C550" s="13"/>
    </row>
    <row r="551" spans="1:3" ht="13" x14ac:dyDescent="0.15">
      <c r="A551" s="10"/>
      <c r="B551" s="13"/>
      <c r="C551" s="13"/>
    </row>
    <row r="552" spans="1:3" ht="13" x14ac:dyDescent="0.15">
      <c r="A552" s="10"/>
      <c r="B552" s="13"/>
      <c r="C552" s="13"/>
    </row>
    <row r="553" spans="1:3" ht="13" x14ac:dyDescent="0.15">
      <c r="A553" s="10"/>
      <c r="B553" s="13"/>
      <c r="C553" s="13"/>
    </row>
    <row r="554" spans="1:3" ht="13" x14ac:dyDescent="0.15">
      <c r="A554" s="10"/>
      <c r="B554" s="13"/>
      <c r="C554" s="13"/>
    </row>
    <row r="555" spans="1:3" ht="13" x14ac:dyDescent="0.15">
      <c r="A555" s="10"/>
      <c r="B555" s="13"/>
      <c r="C555" s="13"/>
    </row>
    <row r="556" spans="1:3" ht="13" x14ac:dyDescent="0.15">
      <c r="A556" s="10"/>
      <c r="B556" s="13"/>
      <c r="C556" s="13"/>
    </row>
    <row r="557" spans="1:3" ht="13" x14ac:dyDescent="0.15">
      <c r="A557" s="10"/>
      <c r="B557" s="13"/>
      <c r="C557" s="13"/>
    </row>
    <row r="558" spans="1:3" ht="13" x14ac:dyDescent="0.15">
      <c r="A558" s="10"/>
      <c r="B558" s="13"/>
      <c r="C558" s="13"/>
    </row>
    <row r="559" spans="1:3" ht="13" x14ac:dyDescent="0.15">
      <c r="A559" s="10"/>
      <c r="B559" s="13"/>
      <c r="C559" s="13"/>
    </row>
    <row r="560" spans="1:3" ht="13" x14ac:dyDescent="0.15">
      <c r="A560" s="10"/>
      <c r="B560" s="13"/>
      <c r="C560" s="13"/>
    </row>
    <row r="561" spans="1:3" ht="13" x14ac:dyDescent="0.15">
      <c r="A561" s="10"/>
      <c r="B561" s="13"/>
      <c r="C561" s="13"/>
    </row>
    <row r="562" spans="1:3" ht="13" x14ac:dyDescent="0.15">
      <c r="A562" s="10"/>
      <c r="B562" s="13"/>
      <c r="C562" s="13"/>
    </row>
    <row r="563" spans="1:3" ht="13" x14ac:dyDescent="0.15">
      <c r="A563" s="10"/>
      <c r="B563" s="13"/>
      <c r="C563" s="13"/>
    </row>
    <row r="564" spans="1:3" ht="13" x14ac:dyDescent="0.15">
      <c r="A564" s="10"/>
      <c r="B564" s="13"/>
      <c r="C564" s="13"/>
    </row>
    <row r="565" spans="1:3" ht="13" x14ac:dyDescent="0.15">
      <c r="A565" s="10"/>
      <c r="B565" s="13"/>
      <c r="C565" s="13"/>
    </row>
    <row r="566" spans="1:3" ht="13" x14ac:dyDescent="0.15">
      <c r="A566" s="10"/>
      <c r="B566" s="13"/>
      <c r="C566" s="13"/>
    </row>
    <row r="567" spans="1:3" ht="13" x14ac:dyDescent="0.15">
      <c r="A567" s="10"/>
      <c r="B567" s="13"/>
      <c r="C567" s="13"/>
    </row>
    <row r="568" spans="1:3" ht="13" x14ac:dyDescent="0.15">
      <c r="A568" s="10"/>
      <c r="B568" s="13"/>
      <c r="C568" s="13"/>
    </row>
    <row r="569" spans="1:3" ht="13" x14ac:dyDescent="0.15">
      <c r="A569" s="10"/>
      <c r="B569" s="13"/>
      <c r="C569" s="13"/>
    </row>
    <row r="570" spans="1:3" ht="13" x14ac:dyDescent="0.15">
      <c r="A570" s="10"/>
      <c r="B570" s="13"/>
      <c r="C570" s="13"/>
    </row>
    <row r="571" spans="1:3" ht="13" x14ac:dyDescent="0.15">
      <c r="A571" s="10"/>
      <c r="B571" s="13"/>
      <c r="C571" s="13"/>
    </row>
    <row r="572" spans="1:3" ht="13" x14ac:dyDescent="0.15">
      <c r="A572" s="10"/>
      <c r="B572" s="13"/>
      <c r="C572" s="13"/>
    </row>
    <row r="573" spans="1:3" ht="13" x14ac:dyDescent="0.15">
      <c r="A573" s="10"/>
      <c r="B573" s="13"/>
      <c r="C573" s="13"/>
    </row>
    <row r="574" spans="1:3" ht="13" x14ac:dyDescent="0.15">
      <c r="A574" s="10"/>
      <c r="B574" s="13"/>
      <c r="C574" s="13"/>
    </row>
    <row r="575" spans="1:3" ht="13" x14ac:dyDescent="0.15">
      <c r="A575" s="10"/>
      <c r="B575" s="13"/>
      <c r="C575" s="13"/>
    </row>
    <row r="576" spans="1:3" ht="13" x14ac:dyDescent="0.15">
      <c r="A576" s="10"/>
      <c r="B576" s="13"/>
      <c r="C576" s="13"/>
    </row>
    <row r="577" spans="1:3" ht="13" x14ac:dyDescent="0.15">
      <c r="A577" s="10"/>
      <c r="B577" s="13"/>
      <c r="C577" s="13"/>
    </row>
    <row r="578" spans="1:3" ht="13" x14ac:dyDescent="0.15">
      <c r="A578" s="10"/>
      <c r="B578" s="13"/>
      <c r="C578" s="13"/>
    </row>
    <row r="579" spans="1:3" ht="13" x14ac:dyDescent="0.15">
      <c r="A579" s="10"/>
      <c r="B579" s="13"/>
      <c r="C579" s="13"/>
    </row>
    <row r="580" spans="1:3" ht="13" x14ac:dyDescent="0.15">
      <c r="A580" s="10"/>
      <c r="B580" s="13"/>
      <c r="C580" s="13"/>
    </row>
    <row r="581" spans="1:3" ht="13" x14ac:dyDescent="0.15">
      <c r="A581" s="10"/>
      <c r="B581" s="13"/>
      <c r="C581" s="13"/>
    </row>
    <row r="582" spans="1:3" ht="13" x14ac:dyDescent="0.15">
      <c r="A582" s="10"/>
      <c r="B582" s="13"/>
      <c r="C582" s="13"/>
    </row>
    <row r="583" spans="1:3" ht="13" x14ac:dyDescent="0.15">
      <c r="A583" s="10"/>
      <c r="B583" s="13"/>
      <c r="C583" s="13"/>
    </row>
    <row r="584" spans="1:3" ht="13" x14ac:dyDescent="0.15">
      <c r="A584" s="10"/>
      <c r="B584" s="13"/>
      <c r="C584" s="13"/>
    </row>
    <row r="585" spans="1:3" ht="13" x14ac:dyDescent="0.15">
      <c r="A585" s="10"/>
      <c r="B585" s="13"/>
      <c r="C585" s="13"/>
    </row>
    <row r="586" spans="1:3" ht="13" x14ac:dyDescent="0.15">
      <c r="A586" s="10"/>
      <c r="B586" s="13"/>
      <c r="C586" s="13"/>
    </row>
    <row r="587" spans="1:3" ht="13" x14ac:dyDescent="0.15">
      <c r="A587" s="10"/>
      <c r="B587" s="13"/>
      <c r="C587" s="13"/>
    </row>
    <row r="588" spans="1:3" ht="13" x14ac:dyDescent="0.15">
      <c r="A588" s="10"/>
      <c r="B588" s="13"/>
      <c r="C588" s="13"/>
    </row>
    <row r="589" spans="1:3" ht="13" x14ac:dyDescent="0.15">
      <c r="A589" s="10"/>
      <c r="B589" s="13"/>
      <c r="C589" s="13"/>
    </row>
    <row r="590" spans="1:3" ht="13" x14ac:dyDescent="0.15">
      <c r="A590" s="10"/>
      <c r="B590" s="13"/>
      <c r="C590" s="13"/>
    </row>
    <row r="591" spans="1:3" ht="13" x14ac:dyDescent="0.15">
      <c r="A591" s="10"/>
      <c r="B591" s="13"/>
      <c r="C591" s="13"/>
    </row>
    <row r="592" spans="1:3" ht="13" x14ac:dyDescent="0.15">
      <c r="A592" s="10"/>
      <c r="B592" s="13"/>
      <c r="C592" s="13"/>
    </row>
    <row r="593" spans="1:3" ht="13" x14ac:dyDescent="0.15">
      <c r="A593" s="10"/>
      <c r="B593" s="13"/>
      <c r="C593" s="13"/>
    </row>
    <row r="594" spans="1:3" ht="13" x14ac:dyDescent="0.15">
      <c r="A594" s="10"/>
      <c r="B594" s="13"/>
      <c r="C594" s="13"/>
    </row>
    <row r="595" spans="1:3" ht="13" x14ac:dyDescent="0.15">
      <c r="A595" s="10"/>
      <c r="B595" s="13"/>
      <c r="C595" s="13"/>
    </row>
    <row r="596" spans="1:3" ht="13" x14ac:dyDescent="0.15">
      <c r="A596" s="10"/>
      <c r="B596" s="13"/>
      <c r="C596" s="13"/>
    </row>
    <row r="597" spans="1:3" ht="13" x14ac:dyDescent="0.15">
      <c r="A597" s="10"/>
      <c r="B597" s="13"/>
      <c r="C597" s="13"/>
    </row>
    <row r="598" spans="1:3" ht="13" x14ac:dyDescent="0.15">
      <c r="A598" s="10"/>
      <c r="B598" s="13"/>
      <c r="C598" s="13"/>
    </row>
    <row r="599" spans="1:3" ht="13" x14ac:dyDescent="0.15">
      <c r="A599" s="10"/>
      <c r="B599" s="13"/>
      <c r="C599" s="13"/>
    </row>
    <row r="600" spans="1:3" ht="13" x14ac:dyDescent="0.15">
      <c r="A600" s="10"/>
      <c r="B600" s="13"/>
      <c r="C600" s="13"/>
    </row>
    <row r="601" spans="1:3" ht="13" x14ac:dyDescent="0.15">
      <c r="A601" s="10"/>
      <c r="B601" s="13"/>
      <c r="C601" s="13"/>
    </row>
    <row r="602" spans="1:3" ht="13" x14ac:dyDescent="0.15">
      <c r="A602" s="10"/>
      <c r="B602" s="13"/>
      <c r="C602" s="13"/>
    </row>
    <row r="603" spans="1:3" ht="13" x14ac:dyDescent="0.15">
      <c r="A603" s="10"/>
      <c r="B603" s="13"/>
      <c r="C603" s="13"/>
    </row>
    <row r="604" spans="1:3" ht="13" x14ac:dyDescent="0.15">
      <c r="A604" s="10"/>
      <c r="B604" s="13"/>
      <c r="C604" s="13"/>
    </row>
    <row r="605" spans="1:3" ht="13" x14ac:dyDescent="0.15">
      <c r="A605" s="10"/>
      <c r="B605" s="13"/>
      <c r="C605" s="13"/>
    </row>
    <row r="606" spans="1:3" ht="13" x14ac:dyDescent="0.15">
      <c r="A606" s="10"/>
      <c r="B606" s="13"/>
      <c r="C606" s="13"/>
    </row>
    <row r="607" spans="1:3" ht="13" x14ac:dyDescent="0.15">
      <c r="A607" s="10"/>
      <c r="B607" s="13"/>
      <c r="C607" s="13"/>
    </row>
    <row r="608" spans="1:3" ht="13" x14ac:dyDescent="0.15">
      <c r="A608" s="10"/>
      <c r="B608" s="13"/>
      <c r="C608" s="13"/>
    </row>
    <row r="609" spans="1:3" ht="13" x14ac:dyDescent="0.15">
      <c r="A609" s="10"/>
      <c r="B609" s="13"/>
      <c r="C609" s="13"/>
    </row>
    <row r="610" spans="1:3" ht="13" x14ac:dyDescent="0.15">
      <c r="A610" s="10"/>
      <c r="B610" s="13"/>
      <c r="C610" s="13"/>
    </row>
    <row r="611" spans="1:3" ht="13" x14ac:dyDescent="0.15">
      <c r="A611" s="10"/>
      <c r="B611" s="13"/>
      <c r="C611" s="13"/>
    </row>
    <row r="612" spans="1:3" ht="13" x14ac:dyDescent="0.15">
      <c r="A612" s="10"/>
      <c r="B612" s="13"/>
      <c r="C612" s="13"/>
    </row>
    <row r="613" spans="1:3" ht="13" x14ac:dyDescent="0.15">
      <c r="A613" s="10"/>
      <c r="B613" s="13"/>
      <c r="C613" s="13"/>
    </row>
    <row r="614" spans="1:3" ht="13" x14ac:dyDescent="0.15">
      <c r="A614" s="10"/>
      <c r="B614" s="13"/>
      <c r="C614" s="13"/>
    </row>
    <row r="615" spans="1:3" ht="13" x14ac:dyDescent="0.15">
      <c r="A615" s="10"/>
      <c r="B615" s="13"/>
      <c r="C615" s="13"/>
    </row>
    <row r="616" spans="1:3" ht="13" x14ac:dyDescent="0.15">
      <c r="A616" s="10"/>
      <c r="B616" s="13"/>
      <c r="C616" s="13"/>
    </row>
    <row r="617" spans="1:3" ht="13" x14ac:dyDescent="0.15">
      <c r="A617" s="10"/>
      <c r="B617" s="13"/>
      <c r="C617" s="13"/>
    </row>
    <row r="618" spans="1:3" ht="13" x14ac:dyDescent="0.15">
      <c r="A618" s="10"/>
      <c r="B618" s="13"/>
      <c r="C618" s="13"/>
    </row>
    <row r="619" spans="1:3" ht="13" x14ac:dyDescent="0.15">
      <c r="A619" s="10"/>
      <c r="B619" s="13"/>
      <c r="C619" s="13"/>
    </row>
    <row r="620" spans="1:3" ht="13" x14ac:dyDescent="0.15">
      <c r="A620" s="10"/>
      <c r="B620" s="13"/>
      <c r="C620" s="13"/>
    </row>
    <row r="621" spans="1:3" ht="13" x14ac:dyDescent="0.15">
      <c r="A621" s="10"/>
      <c r="B621" s="13"/>
      <c r="C621" s="13"/>
    </row>
    <row r="622" spans="1:3" ht="13" x14ac:dyDescent="0.15">
      <c r="A622" s="10"/>
      <c r="B622" s="13"/>
      <c r="C622" s="13"/>
    </row>
    <row r="623" spans="1:3" ht="13" x14ac:dyDescent="0.15">
      <c r="A623" s="10"/>
      <c r="B623" s="13"/>
      <c r="C623" s="13"/>
    </row>
    <row r="624" spans="1:3" ht="13" x14ac:dyDescent="0.15">
      <c r="A624" s="10"/>
      <c r="B624" s="13"/>
      <c r="C624" s="13"/>
    </row>
    <row r="625" spans="1:3" ht="13" x14ac:dyDescent="0.15">
      <c r="A625" s="10"/>
      <c r="B625" s="13"/>
      <c r="C625" s="13"/>
    </row>
    <row r="626" spans="1:3" ht="13" x14ac:dyDescent="0.15">
      <c r="A626" s="10"/>
      <c r="B626" s="13"/>
      <c r="C626" s="13"/>
    </row>
    <row r="627" spans="1:3" ht="13" x14ac:dyDescent="0.15">
      <c r="A627" s="10"/>
      <c r="B627" s="13"/>
      <c r="C627" s="13"/>
    </row>
    <row r="628" spans="1:3" ht="13" x14ac:dyDescent="0.15">
      <c r="A628" s="10"/>
      <c r="B628" s="13"/>
      <c r="C628" s="13"/>
    </row>
    <row r="629" spans="1:3" ht="13" x14ac:dyDescent="0.15">
      <c r="A629" s="10"/>
      <c r="B629" s="13"/>
      <c r="C629" s="13"/>
    </row>
    <row r="630" spans="1:3" ht="13" x14ac:dyDescent="0.15">
      <c r="A630" s="10"/>
      <c r="B630" s="13"/>
      <c r="C630" s="13"/>
    </row>
    <row r="631" spans="1:3" ht="13" x14ac:dyDescent="0.15">
      <c r="A631" s="10"/>
      <c r="B631" s="13"/>
      <c r="C631" s="13"/>
    </row>
    <row r="632" spans="1:3" ht="13" x14ac:dyDescent="0.15">
      <c r="A632" s="10"/>
      <c r="B632" s="13"/>
      <c r="C632" s="13"/>
    </row>
    <row r="633" spans="1:3" ht="13" x14ac:dyDescent="0.15">
      <c r="A633" s="10"/>
      <c r="B633" s="13"/>
      <c r="C633" s="13"/>
    </row>
    <row r="634" spans="1:3" ht="13" x14ac:dyDescent="0.15">
      <c r="A634" s="10"/>
      <c r="B634" s="13"/>
      <c r="C634" s="13"/>
    </row>
    <row r="635" spans="1:3" ht="13" x14ac:dyDescent="0.15">
      <c r="A635" s="10"/>
      <c r="B635" s="13"/>
      <c r="C635" s="13"/>
    </row>
    <row r="636" spans="1:3" ht="13" x14ac:dyDescent="0.15">
      <c r="A636" s="10"/>
      <c r="B636" s="13"/>
      <c r="C636" s="13"/>
    </row>
    <row r="637" spans="1:3" ht="13" x14ac:dyDescent="0.15">
      <c r="A637" s="10"/>
      <c r="B637" s="13"/>
      <c r="C637" s="13"/>
    </row>
    <row r="638" spans="1:3" ht="13" x14ac:dyDescent="0.15">
      <c r="A638" s="10"/>
      <c r="B638" s="13"/>
      <c r="C638" s="13"/>
    </row>
    <row r="639" spans="1:3" ht="13" x14ac:dyDescent="0.15">
      <c r="A639" s="10"/>
      <c r="B639" s="13"/>
      <c r="C639" s="13"/>
    </row>
    <row r="640" spans="1:3" ht="13" x14ac:dyDescent="0.15">
      <c r="A640" s="10"/>
      <c r="B640" s="13"/>
      <c r="C640" s="13"/>
    </row>
    <row r="641" spans="1:3" ht="13" x14ac:dyDescent="0.15">
      <c r="A641" s="10"/>
      <c r="B641" s="13"/>
      <c r="C641" s="13"/>
    </row>
    <row r="642" spans="1:3" ht="13" x14ac:dyDescent="0.15">
      <c r="A642" s="10"/>
      <c r="B642" s="13"/>
      <c r="C642" s="13"/>
    </row>
    <row r="643" spans="1:3" ht="13" x14ac:dyDescent="0.15">
      <c r="A643" s="10"/>
      <c r="B643" s="13"/>
      <c r="C643" s="13"/>
    </row>
    <row r="644" spans="1:3" ht="13" x14ac:dyDescent="0.15">
      <c r="A644" s="10"/>
      <c r="B644" s="13"/>
      <c r="C644" s="13"/>
    </row>
    <row r="645" spans="1:3" ht="13" x14ac:dyDescent="0.15">
      <c r="A645" s="10"/>
      <c r="B645" s="13"/>
      <c r="C645" s="13"/>
    </row>
    <row r="646" spans="1:3" ht="13" x14ac:dyDescent="0.15">
      <c r="A646" s="10"/>
      <c r="B646" s="13"/>
      <c r="C646" s="13"/>
    </row>
    <row r="647" spans="1:3" ht="13" x14ac:dyDescent="0.15">
      <c r="A647" s="10"/>
      <c r="B647" s="13"/>
      <c r="C647" s="13"/>
    </row>
    <row r="648" spans="1:3" ht="13" x14ac:dyDescent="0.15">
      <c r="A648" s="10"/>
      <c r="B648" s="13"/>
      <c r="C648" s="13"/>
    </row>
    <row r="649" spans="1:3" ht="13" x14ac:dyDescent="0.15">
      <c r="A649" s="10"/>
      <c r="B649" s="13"/>
      <c r="C649" s="13"/>
    </row>
    <row r="650" spans="1:3" ht="13" x14ac:dyDescent="0.15">
      <c r="A650" s="10"/>
      <c r="B650" s="13"/>
      <c r="C650" s="13"/>
    </row>
    <row r="651" spans="1:3" ht="13" x14ac:dyDescent="0.15">
      <c r="A651" s="10"/>
      <c r="B651" s="13"/>
      <c r="C651" s="13"/>
    </row>
    <row r="652" spans="1:3" ht="13" x14ac:dyDescent="0.15">
      <c r="A652" s="10"/>
      <c r="B652" s="13"/>
      <c r="C652" s="13"/>
    </row>
    <row r="653" spans="1:3" ht="13" x14ac:dyDescent="0.15">
      <c r="A653" s="10"/>
      <c r="B653" s="13"/>
      <c r="C653" s="13"/>
    </row>
    <row r="654" spans="1:3" ht="13" x14ac:dyDescent="0.15">
      <c r="A654" s="10"/>
      <c r="B654" s="13"/>
      <c r="C654" s="13"/>
    </row>
    <row r="655" spans="1:3" ht="13" x14ac:dyDescent="0.15">
      <c r="A655" s="10"/>
      <c r="B655" s="13"/>
      <c r="C655" s="13"/>
    </row>
    <row r="656" spans="1:3" ht="13" x14ac:dyDescent="0.15">
      <c r="A656" s="10"/>
      <c r="B656" s="13"/>
      <c r="C656" s="13"/>
    </row>
    <row r="657" spans="1:3" ht="13" x14ac:dyDescent="0.15">
      <c r="A657" s="10"/>
      <c r="B657" s="13"/>
      <c r="C657" s="13"/>
    </row>
    <row r="658" spans="1:3" ht="13" x14ac:dyDescent="0.15">
      <c r="A658" s="10"/>
      <c r="B658" s="13"/>
      <c r="C658" s="13"/>
    </row>
    <row r="659" spans="1:3" ht="13" x14ac:dyDescent="0.15">
      <c r="A659" s="10"/>
      <c r="B659" s="13"/>
      <c r="C659" s="13"/>
    </row>
    <row r="660" spans="1:3" ht="13" x14ac:dyDescent="0.15">
      <c r="A660" s="10"/>
      <c r="B660" s="13"/>
      <c r="C660" s="13"/>
    </row>
    <row r="661" spans="1:3" ht="13" x14ac:dyDescent="0.15">
      <c r="A661" s="10"/>
      <c r="B661" s="13"/>
      <c r="C661" s="13"/>
    </row>
    <row r="662" spans="1:3" ht="13" x14ac:dyDescent="0.15">
      <c r="A662" s="10"/>
      <c r="B662" s="13"/>
      <c r="C662" s="13"/>
    </row>
    <row r="663" spans="1:3" ht="13" x14ac:dyDescent="0.15">
      <c r="A663" s="10"/>
      <c r="B663" s="13"/>
      <c r="C663" s="13"/>
    </row>
    <row r="664" spans="1:3" ht="13" x14ac:dyDescent="0.15">
      <c r="A664" s="10"/>
      <c r="B664" s="13"/>
      <c r="C664" s="13"/>
    </row>
    <row r="665" spans="1:3" ht="13" x14ac:dyDescent="0.15">
      <c r="A665" s="10"/>
      <c r="B665" s="13"/>
      <c r="C665" s="13"/>
    </row>
    <row r="666" spans="1:3" ht="13" x14ac:dyDescent="0.15">
      <c r="A666" s="10"/>
      <c r="B666" s="13"/>
      <c r="C666" s="13"/>
    </row>
    <row r="667" spans="1:3" ht="13" x14ac:dyDescent="0.15">
      <c r="A667" s="10"/>
      <c r="B667" s="13"/>
      <c r="C667" s="13"/>
    </row>
    <row r="668" spans="1:3" ht="13" x14ac:dyDescent="0.15">
      <c r="A668" s="10"/>
      <c r="B668" s="13"/>
      <c r="C668" s="13"/>
    </row>
    <row r="669" spans="1:3" ht="13" x14ac:dyDescent="0.15">
      <c r="A669" s="10"/>
      <c r="B669" s="13"/>
      <c r="C669" s="13"/>
    </row>
    <row r="670" spans="1:3" ht="13" x14ac:dyDescent="0.15">
      <c r="A670" s="10"/>
      <c r="B670" s="13"/>
      <c r="C670" s="13"/>
    </row>
    <row r="671" spans="1:3" ht="13" x14ac:dyDescent="0.15">
      <c r="A671" s="10"/>
      <c r="B671" s="13"/>
      <c r="C671" s="13"/>
    </row>
    <row r="672" spans="1:3" ht="13" x14ac:dyDescent="0.15">
      <c r="A672" s="10"/>
      <c r="B672" s="13"/>
      <c r="C672" s="13"/>
    </row>
    <row r="673" spans="1:3" ht="13" x14ac:dyDescent="0.15">
      <c r="A673" s="10"/>
      <c r="B673" s="13"/>
      <c r="C673" s="13"/>
    </row>
    <row r="674" spans="1:3" ht="13" x14ac:dyDescent="0.15">
      <c r="A674" s="10"/>
      <c r="B674" s="13"/>
      <c r="C674" s="13"/>
    </row>
    <row r="675" spans="1:3" ht="13" x14ac:dyDescent="0.15">
      <c r="A675" s="10"/>
      <c r="B675" s="13"/>
      <c r="C675" s="13"/>
    </row>
    <row r="676" spans="1:3" ht="13" x14ac:dyDescent="0.15">
      <c r="A676" s="10"/>
      <c r="B676" s="13"/>
      <c r="C676" s="13"/>
    </row>
    <row r="677" spans="1:3" ht="13" x14ac:dyDescent="0.15">
      <c r="A677" s="10"/>
      <c r="B677" s="13"/>
      <c r="C677" s="13"/>
    </row>
    <row r="678" spans="1:3" ht="13" x14ac:dyDescent="0.15">
      <c r="A678" s="10"/>
      <c r="B678" s="13"/>
      <c r="C678" s="13"/>
    </row>
    <row r="679" spans="1:3" ht="13" x14ac:dyDescent="0.15">
      <c r="A679" s="10"/>
      <c r="B679" s="13"/>
      <c r="C679" s="13"/>
    </row>
    <row r="680" spans="1:3" ht="13" x14ac:dyDescent="0.15">
      <c r="A680" s="10"/>
      <c r="B680" s="13"/>
      <c r="C680" s="13"/>
    </row>
    <row r="681" spans="1:3" ht="13" x14ac:dyDescent="0.15">
      <c r="A681" s="10"/>
      <c r="B681" s="13"/>
      <c r="C681" s="13"/>
    </row>
    <row r="682" spans="1:3" ht="13" x14ac:dyDescent="0.15">
      <c r="A682" s="10"/>
      <c r="B682" s="13"/>
      <c r="C682" s="13"/>
    </row>
    <row r="683" spans="1:3" ht="13" x14ac:dyDescent="0.15">
      <c r="A683" s="10"/>
      <c r="B683" s="13"/>
      <c r="C683" s="13"/>
    </row>
    <row r="684" spans="1:3" ht="13" x14ac:dyDescent="0.15">
      <c r="A684" s="10"/>
      <c r="B684" s="13"/>
      <c r="C684" s="13"/>
    </row>
    <row r="685" spans="1:3" ht="13" x14ac:dyDescent="0.15">
      <c r="A685" s="10"/>
      <c r="B685" s="13"/>
      <c r="C685" s="13"/>
    </row>
    <row r="686" spans="1:3" ht="13" x14ac:dyDescent="0.15">
      <c r="A686" s="10"/>
      <c r="B686" s="13"/>
      <c r="C686" s="13"/>
    </row>
    <row r="687" spans="1:3" ht="13" x14ac:dyDescent="0.15">
      <c r="A687" s="10"/>
      <c r="B687" s="13"/>
      <c r="C687" s="13"/>
    </row>
    <row r="688" spans="1:3" ht="13" x14ac:dyDescent="0.15">
      <c r="A688" s="10"/>
      <c r="B688" s="13"/>
      <c r="C688" s="13"/>
    </row>
    <row r="689" spans="1:3" ht="13" x14ac:dyDescent="0.15">
      <c r="A689" s="10"/>
      <c r="B689" s="13"/>
      <c r="C689" s="13"/>
    </row>
    <row r="690" spans="1:3" ht="13" x14ac:dyDescent="0.15">
      <c r="A690" s="10"/>
      <c r="B690" s="13"/>
      <c r="C690" s="13"/>
    </row>
    <row r="691" spans="1:3" ht="13" x14ac:dyDescent="0.15">
      <c r="A691" s="10"/>
      <c r="B691" s="13"/>
      <c r="C691" s="13"/>
    </row>
    <row r="692" spans="1:3" ht="13" x14ac:dyDescent="0.15">
      <c r="A692" s="10"/>
      <c r="B692" s="13"/>
      <c r="C692" s="13"/>
    </row>
    <row r="693" spans="1:3" ht="13" x14ac:dyDescent="0.15">
      <c r="A693" s="10"/>
      <c r="B693" s="13"/>
      <c r="C693" s="13"/>
    </row>
    <row r="694" spans="1:3" ht="13" x14ac:dyDescent="0.15">
      <c r="A694" s="10"/>
      <c r="B694" s="13"/>
      <c r="C694" s="13"/>
    </row>
    <row r="695" spans="1:3" ht="13" x14ac:dyDescent="0.15">
      <c r="A695" s="10"/>
      <c r="B695" s="13"/>
      <c r="C695" s="13"/>
    </row>
    <row r="696" spans="1:3" ht="13" x14ac:dyDescent="0.15">
      <c r="A696" s="10"/>
      <c r="B696" s="13"/>
      <c r="C696" s="13"/>
    </row>
    <row r="697" spans="1:3" ht="13" x14ac:dyDescent="0.15">
      <c r="A697" s="10"/>
      <c r="B697" s="13"/>
      <c r="C697" s="13"/>
    </row>
    <row r="698" spans="1:3" ht="13" x14ac:dyDescent="0.15">
      <c r="A698" s="10"/>
      <c r="B698" s="13"/>
      <c r="C698" s="13"/>
    </row>
    <row r="699" spans="1:3" ht="13" x14ac:dyDescent="0.15">
      <c r="A699" s="10"/>
      <c r="B699" s="13"/>
      <c r="C699" s="13"/>
    </row>
    <row r="700" spans="1:3" ht="13" x14ac:dyDescent="0.15">
      <c r="A700" s="10"/>
      <c r="B700" s="13"/>
      <c r="C700" s="13"/>
    </row>
    <row r="701" spans="1:3" ht="13" x14ac:dyDescent="0.15">
      <c r="A701" s="10"/>
      <c r="B701" s="13"/>
      <c r="C701" s="13"/>
    </row>
    <row r="702" spans="1:3" ht="13" x14ac:dyDescent="0.15">
      <c r="A702" s="10"/>
      <c r="B702" s="13"/>
      <c r="C702" s="13"/>
    </row>
    <row r="703" spans="1:3" ht="13" x14ac:dyDescent="0.15">
      <c r="A703" s="10"/>
      <c r="B703" s="13"/>
      <c r="C703" s="13"/>
    </row>
    <row r="704" spans="1:3" ht="13" x14ac:dyDescent="0.15">
      <c r="A704" s="10"/>
      <c r="B704" s="13"/>
      <c r="C704" s="13"/>
    </row>
    <row r="705" spans="1:3" ht="13" x14ac:dyDescent="0.15">
      <c r="A705" s="10"/>
      <c r="B705" s="13"/>
      <c r="C705" s="13"/>
    </row>
    <row r="706" spans="1:3" ht="13" x14ac:dyDescent="0.15">
      <c r="A706" s="10"/>
      <c r="B706" s="13"/>
      <c r="C706" s="13"/>
    </row>
    <row r="707" spans="1:3" ht="13" x14ac:dyDescent="0.15">
      <c r="A707" s="10"/>
      <c r="B707" s="13"/>
      <c r="C707" s="13"/>
    </row>
    <row r="708" spans="1:3" ht="13" x14ac:dyDescent="0.15">
      <c r="A708" s="10"/>
      <c r="B708" s="13"/>
      <c r="C708" s="13"/>
    </row>
    <row r="709" spans="1:3" ht="13" x14ac:dyDescent="0.15">
      <c r="A709" s="10"/>
      <c r="B709" s="13"/>
      <c r="C709" s="13"/>
    </row>
    <row r="710" spans="1:3" ht="13" x14ac:dyDescent="0.15">
      <c r="A710" s="10"/>
      <c r="B710" s="13"/>
      <c r="C710" s="13"/>
    </row>
    <row r="711" spans="1:3" ht="13" x14ac:dyDescent="0.15">
      <c r="A711" s="10"/>
      <c r="B711" s="13"/>
      <c r="C711" s="13"/>
    </row>
    <row r="712" spans="1:3" ht="13" x14ac:dyDescent="0.15">
      <c r="A712" s="10"/>
      <c r="B712" s="13"/>
      <c r="C712" s="13"/>
    </row>
    <row r="713" spans="1:3" ht="13" x14ac:dyDescent="0.15">
      <c r="A713" s="10"/>
      <c r="B713" s="13"/>
      <c r="C713" s="13"/>
    </row>
    <row r="714" spans="1:3" ht="13" x14ac:dyDescent="0.15">
      <c r="A714" s="10"/>
      <c r="B714" s="13"/>
      <c r="C714" s="13"/>
    </row>
    <row r="715" spans="1:3" ht="13" x14ac:dyDescent="0.15">
      <c r="A715" s="10"/>
      <c r="B715" s="13"/>
      <c r="C715" s="13"/>
    </row>
    <row r="716" spans="1:3" ht="13" x14ac:dyDescent="0.15">
      <c r="A716" s="10"/>
      <c r="B716" s="13"/>
      <c r="C716" s="13"/>
    </row>
    <row r="717" spans="1:3" ht="13" x14ac:dyDescent="0.15">
      <c r="A717" s="10"/>
      <c r="B717" s="13"/>
      <c r="C717" s="13"/>
    </row>
    <row r="718" spans="1:3" ht="13" x14ac:dyDescent="0.15">
      <c r="A718" s="10"/>
      <c r="B718" s="13"/>
      <c r="C718" s="13"/>
    </row>
    <row r="719" spans="1:3" ht="13" x14ac:dyDescent="0.15">
      <c r="A719" s="10"/>
      <c r="B719" s="13"/>
      <c r="C719" s="13"/>
    </row>
    <row r="720" spans="1:3" ht="13" x14ac:dyDescent="0.15">
      <c r="A720" s="10"/>
      <c r="B720" s="13"/>
      <c r="C720" s="13"/>
    </row>
    <row r="721" spans="1:3" ht="13" x14ac:dyDescent="0.15">
      <c r="A721" s="10"/>
      <c r="B721" s="13"/>
      <c r="C721" s="13"/>
    </row>
    <row r="722" spans="1:3" ht="13" x14ac:dyDescent="0.15">
      <c r="A722" s="10"/>
      <c r="B722" s="13"/>
      <c r="C722" s="13"/>
    </row>
    <row r="723" spans="1:3" ht="13" x14ac:dyDescent="0.15">
      <c r="A723" s="10"/>
      <c r="B723" s="13"/>
      <c r="C723" s="13"/>
    </row>
    <row r="724" spans="1:3" ht="13" x14ac:dyDescent="0.15">
      <c r="A724" s="10"/>
      <c r="B724" s="13"/>
      <c r="C724" s="13"/>
    </row>
    <row r="725" spans="1:3" ht="13" x14ac:dyDescent="0.15">
      <c r="A725" s="10"/>
      <c r="B725" s="13"/>
      <c r="C725" s="13"/>
    </row>
    <row r="726" spans="1:3" ht="13" x14ac:dyDescent="0.15">
      <c r="A726" s="10"/>
      <c r="B726" s="13"/>
      <c r="C726" s="13"/>
    </row>
    <row r="727" spans="1:3" ht="13" x14ac:dyDescent="0.15">
      <c r="A727" s="10"/>
      <c r="B727" s="13"/>
      <c r="C727" s="13"/>
    </row>
    <row r="728" spans="1:3" ht="13" x14ac:dyDescent="0.15">
      <c r="A728" s="10"/>
      <c r="B728" s="13"/>
      <c r="C728" s="13"/>
    </row>
    <row r="729" spans="1:3" ht="13" x14ac:dyDescent="0.15">
      <c r="A729" s="10"/>
      <c r="B729" s="13"/>
      <c r="C729" s="13"/>
    </row>
    <row r="730" spans="1:3" ht="13" x14ac:dyDescent="0.15">
      <c r="A730" s="10"/>
      <c r="B730" s="13"/>
      <c r="C730" s="13"/>
    </row>
    <row r="731" spans="1:3" ht="13" x14ac:dyDescent="0.15">
      <c r="A731" s="10"/>
      <c r="B731" s="13"/>
      <c r="C731" s="13"/>
    </row>
    <row r="732" spans="1:3" ht="13" x14ac:dyDescent="0.15">
      <c r="A732" s="10"/>
      <c r="B732" s="13"/>
      <c r="C732" s="13"/>
    </row>
    <row r="733" spans="1:3" ht="13" x14ac:dyDescent="0.15">
      <c r="A733" s="10"/>
      <c r="B733" s="13"/>
      <c r="C733" s="13"/>
    </row>
    <row r="734" spans="1:3" ht="13" x14ac:dyDescent="0.15">
      <c r="A734" s="10"/>
      <c r="B734" s="13"/>
      <c r="C734" s="13"/>
    </row>
    <row r="735" spans="1:3" ht="13" x14ac:dyDescent="0.15">
      <c r="A735" s="10"/>
      <c r="B735" s="13"/>
      <c r="C735" s="13"/>
    </row>
    <row r="736" spans="1:3" ht="13" x14ac:dyDescent="0.15">
      <c r="A736" s="10"/>
      <c r="B736" s="13"/>
      <c r="C736" s="13"/>
    </row>
    <row r="737" spans="1:3" ht="13" x14ac:dyDescent="0.15">
      <c r="A737" s="10"/>
      <c r="B737" s="13"/>
      <c r="C737" s="13"/>
    </row>
    <row r="738" spans="1:3" ht="13" x14ac:dyDescent="0.15">
      <c r="A738" s="10"/>
      <c r="B738" s="13"/>
      <c r="C738" s="13"/>
    </row>
    <row r="739" spans="1:3" ht="13" x14ac:dyDescent="0.15">
      <c r="A739" s="10"/>
      <c r="B739" s="13"/>
      <c r="C739" s="13"/>
    </row>
    <row r="740" spans="1:3" ht="13" x14ac:dyDescent="0.15">
      <c r="A740" s="10"/>
      <c r="B740" s="13"/>
      <c r="C740" s="13"/>
    </row>
    <row r="741" spans="1:3" ht="13" x14ac:dyDescent="0.15">
      <c r="A741" s="10"/>
      <c r="B741" s="13"/>
      <c r="C741" s="13"/>
    </row>
    <row r="742" spans="1:3" ht="13" x14ac:dyDescent="0.15">
      <c r="A742" s="10"/>
      <c r="B742" s="13"/>
      <c r="C742" s="13"/>
    </row>
    <row r="743" spans="1:3" ht="13" x14ac:dyDescent="0.15">
      <c r="A743" s="10"/>
      <c r="B743" s="13"/>
      <c r="C743" s="13"/>
    </row>
    <row r="744" spans="1:3" ht="13" x14ac:dyDescent="0.15">
      <c r="A744" s="10"/>
      <c r="B744" s="13"/>
      <c r="C744" s="13"/>
    </row>
    <row r="745" spans="1:3" ht="13" x14ac:dyDescent="0.15">
      <c r="A745" s="10"/>
      <c r="B745" s="13"/>
      <c r="C745" s="13"/>
    </row>
    <row r="746" spans="1:3" ht="13" x14ac:dyDescent="0.15">
      <c r="A746" s="10"/>
      <c r="B746" s="13"/>
      <c r="C746" s="13"/>
    </row>
    <row r="747" spans="1:3" ht="13" x14ac:dyDescent="0.15">
      <c r="A747" s="10"/>
      <c r="B747" s="13"/>
      <c r="C747" s="13"/>
    </row>
    <row r="748" spans="1:3" ht="13" x14ac:dyDescent="0.15">
      <c r="A748" s="10"/>
      <c r="B748" s="13"/>
      <c r="C748" s="13"/>
    </row>
    <row r="749" spans="1:3" ht="13" x14ac:dyDescent="0.15">
      <c r="A749" s="10"/>
      <c r="B749" s="13"/>
      <c r="C749" s="13"/>
    </row>
    <row r="750" spans="1:3" ht="13" x14ac:dyDescent="0.15">
      <c r="A750" s="10"/>
      <c r="B750" s="13"/>
      <c r="C750" s="13"/>
    </row>
    <row r="751" spans="1:3" ht="13" x14ac:dyDescent="0.15">
      <c r="A751" s="10"/>
      <c r="B751" s="13"/>
      <c r="C751" s="13"/>
    </row>
    <row r="752" spans="1:3" ht="13" x14ac:dyDescent="0.15">
      <c r="A752" s="10"/>
      <c r="B752" s="13"/>
      <c r="C752" s="13"/>
    </row>
    <row r="753" spans="1:3" ht="13" x14ac:dyDescent="0.15">
      <c r="A753" s="10"/>
      <c r="B753" s="13"/>
      <c r="C753" s="13"/>
    </row>
    <row r="754" spans="1:3" ht="13" x14ac:dyDescent="0.15">
      <c r="A754" s="10"/>
      <c r="B754" s="13"/>
      <c r="C754" s="13"/>
    </row>
    <row r="755" spans="1:3" ht="13" x14ac:dyDescent="0.15">
      <c r="A755" s="10"/>
      <c r="B755" s="13"/>
      <c r="C755" s="13"/>
    </row>
    <row r="756" spans="1:3" ht="13" x14ac:dyDescent="0.15">
      <c r="A756" s="10"/>
      <c r="B756" s="13"/>
      <c r="C756" s="13"/>
    </row>
    <row r="757" spans="1:3" ht="13" x14ac:dyDescent="0.15">
      <c r="A757" s="10"/>
      <c r="B757" s="13"/>
      <c r="C757" s="13"/>
    </row>
    <row r="758" spans="1:3" ht="13" x14ac:dyDescent="0.15">
      <c r="A758" s="10"/>
      <c r="B758" s="13"/>
      <c r="C758" s="13"/>
    </row>
    <row r="759" spans="1:3" ht="13" x14ac:dyDescent="0.15">
      <c r="A759" s="10"/>
      <c r="B759" s="13"/>
      <c r="C759" s="13"/>
    </row>
    <row r="760" spans="1:3" ht="13" x14ac:dyDescent="0.15">
      <c r="A760" s="10"/>
      <c r="B760" s="13"/>
      <c r="C760" s="13"/>
    </row>
    <row r="761" spans="1:3" ht="13" x14ac:dyDescent="0.15">
      <c r="A761" s="10"/>
      <c r="B761" s="13"/>
      <c r="C761" s="13"/>
    </row>
    <row r="762" spans="1:3" ht="13" x14ac:dyDescent="0.15">
      <c r="A762" s="10"/>
      <c r="B762" s="13"/>
      <c r="C762" s="13"/>
    </row>
    <row r="763" spans="1:3" ht="13" x14ac:dyDescent="0.15">
      <c r="A763" s="10"/>
      <c r="B763" s="13"/>
      <c r="C763" s="13"/>
    </row>
    <row r="764" spans="1:3" ht="13" x14ac:dyDescent="0.15">
      <c r="A764" s="10"/>
      <c r="B764" s="13"/>
      <c r="C764" s="13"/>
    </row>
    <row r="765" spans="1:3" ht="13" x14ac:dyDescent="0.15">
      <c r="A765" s="10"/>
      <c r="B765" s="13"/>
      <c r="C765" s="13"/>
    </row>
    <row r="766" spans="1:3" ht="13" x14ac:dyDescent="0.15">
      <c r="A766" s="10"/>
      <c r="B766" s="13"/>
      <c r="C766" s="13"/>
    </row>
    <row r="767" spans="1:3" ht="13" x14ac:dyDescent="0.15">
      <c r="A767" s="10"/>
      <c r="B767" s="13"/>
      <c r="C767" s="13"/>
    </row>
    <row r="768" spans="1:3" ht="13" x14ac:dyDescent="0.15">
      <c r="A768" s="10"/>
      <c r="B768" s="13"/>
      <c r="C768" s="13"/>
    </row>
    <row r="769" spans="1:3" ht="13" x14ac:dyDescent="0.15">
      <c r="A769" s="10"/>
      <c r="B769" s="13"/>
      <c r="C769" s="13"/>
    </row>
    <row r="770" spans="1:3" ht="13" x14ac:dyDescent="0.15">
      <c r="A770" s="10"/>
      <c r="B770" s="13"/>
      <c r="C770" s="13"/>
    </row>
    <row r="771" spans="1:3" ht="13" x14ac:dyDescent="0.15">
      <c r="A771" s="10"/>
      <c r="B771" s="13"/>
      <c r="C771" s="13"/>
    </row>
    <row r="772" spans="1:3" ht="13" x14ac:dyDescent="0.15">
      <c r="A772" s="10"/>
      <c r="B772" s="13"/>
      <c r="C772" s="13"/>
    </row>
    <row r="773" spans="1:3" ht="13" x14ac:dyDescent="0.15">
      <c r="A773" s="10"/>
      <c r="B773" s="13"/>
      <c r="C773" s="13"/>
    </row>
    <row r="774" spans="1:3" ht="13" x14ac:dyDescent="0.15">
      <c r="A774" s="10"/>
      <c r="B774" s="13"/>
      <c r="C774" s="13"/>
    </row>
    <row r="775" spans="1:3" ht="13" x14ac:dyDescent="0.15">
      <c r="A775" s="10"/>
      <c r="B775" s="13"/>
      <c r="C775" s="13"/>
    </row>
    <row r="776" spans="1:3" ht="13" x14ac:dyDescent="0.15">
      <c r="A776" s="10"/>
      <c r="B776" s="13"/>
      <c r="C776" s="13"/>
    </row>
    <row r="777" spans="1:3" ht="13" x14ac:dyDescent="0.15">
      <c r="A777" s="10"/>
      <c r="B777" s="13"/>
      <c r="C777" s="13"/>
    </row>
    <row r="778" spans="1:3" ht="13" x14ac:dyDescent="0.15">
      <c r="A778" s="10"/>
      <c r="B778" s="13"/>
      <c r="C778" s="13"/>
    </row>
    <row r="779" spans="1:3" ht="13" x14ac:dyDescent="0.15">
      <c r="A779" s="10"/>
      <c r="B779" s="13"/>
      <c r="C779" s="13"/>
    </row>
    <row r="780" spans="1:3" ht="13" x14ac:dyDescent="0.15">
      <c r="A780" s="10"/>
      <c r="B780" s="13"/>
      <c r="C780" s="13"/>
    </row>
    <row r="781" spans="1:3" ht="13" x14ac:dyDescent="0.15">
      <c r="A781" s="10"/>
      <c r="B781" s="13"/>
      <c r="C781" s="13"/>
    </row>
    <row r="782" spans="1:3" ht="13" x14ac:dyDescent="0.15">
      <c r="A782" s="10"/>
      <c r="B782" s="13"/>
      <c r="C782" s="13"/>
    </row>
    <row r="783" spans="1:3" ht="13" x14ac:dyDescent="0.15">
      <c r="A783" s="10"/>
      <c r="B783" s="13"/>
      <c r="C783" s="13"/>
    </row>
    <row r="784" spans="1:3" ht="13" x14ac:dyDescent="0.15">
      <c r="A784" s="10"/>
      <c r="B784" s="13"/>
      <c r="C784" s="13"/>
    </row>
    <row r="785" spans="1:3" ht="13" x14ac:dyDescent="0.15">
      <c r="A785" s="10"/>
      <c r="B785" s="13"/>
      <c r="C785" s="13"/>
    </row>
    <row r="786" spans="1:3" ht="13" x14ac:dyDescent="0.15">
      <c r="A786" s="10"/>
      <c r="B786" s="13"/>
      <c r="C786" s="13"/>
    </row>
    <row r="787" spans="1:3" ht="13" x14ac:dyDescent="0.15">
      <c r="A787" s="10"/>
      <c r="B787" s="13"/>
      <c r="C787" s="13"/>
    </row>
    <row r="788" spans="1:3" ht="13" x14ac:dyDescent="0.15">
      <c r="A788" s="10"/>
      <c r="B788" s="13"/>
      <c r="C788" s="13"/>
    </row>
    <row r="789" spans="1:3" ht="13" x14ac:dyDescent="0.15">
      <c r="A789" s="10"/>
      <c r="B789" s="13"/>
      <c r="C789" s="13"/>
    </row>
    <row r="790" spans="1:3" ht="13" x14ac:dyDescent="0.15">
      <c r="A790" s="10"/>
      <c r="B790" s="13"/>
      <c r="C790" s="13"/>
    </row>
    <row r="791" spans="1:3" ht="13" x14ac:dyDescent="0.15">
      <c r="A791" s="10"/>
      <c r="B791" s="13"/>
      <c r="C791" s="13"/>
    </row>
    <row r="792" spans="1:3" ht="13" x14ac:dyDescent="0.15">
      <c r="A792" s="10"/>
      <c r="B792" s="13"/>
      <c r="C792" s="13"/>
    </row>
    <row r="793" spans="1:3" ht="13" x14ac:dyDescent="0.15">
      <c r="A793" s="10"/>
      <c r="B793" s="13"/>
      <c r="C793" s="13"/>
    </row>
    <row r="794" spans="1:3" ht="13" x14ac:dyDescent="0.15">
      <c r="A794" s="10"/>
      <c r="B794" s="13"/>
      <c r="C794" s="13"/>
    </row>
    <row r="795" spans="1:3" ht="13" x14ac:dyDescent="0.15">
      <c r="A795" s="10"/>
      <c r="B795" s="13"/>
      <c r="C795" s="13"/>
    </row>
    <row r="796" spans="1:3" ht="13" x14ac:dyDescent="0.15">
      <c r="A796" s="10"/>
      <c r="B796" s="13"/>
      <c r="C796" s="13"/>
    </row>
    <row r="797" spans="1:3" ht="13" x14ac:dyDescent="0.15">
      <c r="A797" s="10"/>
      <c r="B797" s="13"/>
      <c r="C797" s="13"/>
    </row>
    <row r="798" spans="1:3" ht="13" x14ac:dyDescent="0.15">
      <c r="A798" s="10"/>
      <c r="B798" s="13"/>
      <c r="C798" s="13"/>
    </row>
    <row r="799" spans="1:3" ht="13" x14ac:dyDescent="0.15">
      <c r="A799" s="10"/>
      <c r="B799" s="13"/>
      <c r="C799" s="13"/>
    </row>
    <row r="800" spans="1:3" ht="13" x14ac:dyDescent="0.15">
      <c r="A800" s="10"/>
      <c r="B800" s="13"/>
      <c r="C800" s="13"/>
    </row>
    <row r="801" spans="1:3" ht="13" x14ac:dyDescent="0.15">
      <c r="A801" s="10"/>
      <c r="B801" s="13"/>
      <c r="C801" s="13"/>
    </row>
    <row r="802" spans="1:3" ht="13" x14ac:dyDescent="0.15">
      <c r="A802" s="10"/>
      <c r="B802" s="13"/>
      <c r="C802" s="13"/>
    </row>
    <row r="803" spans="1:3" ht="13" x14ac:dyDescent="0.15">
      <c r="A803" s="10"/>
      <c r="B803" s="13"/>
      <c r="C803" s="13"/>
    </row>
    <row r="804" spans="1:3" ht="13" x14ac:dyDescent="0.15">
      <c r="A804" s="10"/>
      <c r="B804" s="13"/>
      <c r="C804" s="13"/>
    </row>
    <row r="805" spans="1:3" ht="13" x14ac:dyDescent="0.15">
      <c r="A805" s="10"/>
      <c r="B805" s="13"/>
      <c r="C805" s="13"/>
    </row>
    <row r="806" spans="1:3" ht="13" x14ac:dyDescent="0.15">
      <c r="A806" s="10"/>
      <c r="B806" s="13"/>
      <c r="C806" s="13"/>
    </row>
    <row r="807" spans="1:3" ht="13" x14ac:dyDescent="0.15">
      <c r="A807" s="10"/>
      <c r="B807" s="13"/>
      <c r="C807" s="13"/>
    </row>
    <row r="808" spans="1:3" ht="13" x14ac:dyDescent="0.15">
      <c r="A808" s="10"/>
      <c r="B808" s="13"/>
      <c r="C808" s="13"/>
    </row>
    <row r="809" spans="1:3" ht="13" x14ac:dyDescent="0.15">
      <c r="A809" s="10"/>
      <c r="B809" s="13"/>
      <c r="C809" s="13"/>
    </row>
    <row r="810" spans="1:3" ht="13" x14ac:dyDescent="0.15">
      <c r="A810" s="10"/>
      <c r="B810" s="13"/>
      <c r="C810" s="13"/>
    </row>
    <row r="811" spans="1:3" ht="13" x14ac:dyDescent="0.15">
      <c r="A811" s="10"/>
      <c r="B811" s="13"/>
      <c r="C811" s="13"/>
    </row>
    <row r="812" spans="1:3" ht="13" x14ac:dyDescent="0.15">
      <c r="A812" s="10"/>
      <c r="B812" s="13"/>
      <c r="C812" s="13"/>
    </row>
    <row r="813" spans="1:3" ht="13" x14ac:dyDescent="0.15">
      <c r="A813" s="10"/>
      <c r="B813" s="13"/>
      <c r="C813" s="13"/>
    </row>
    <row r="814" spans="1:3" ht="13" x14ac:dyDescent="0.15">
      <c r="A814" s="10"/>
      <c r="B814" s="13"/>
      <c r="C814" s="13"/>
    </row>
    <row r="815" spans="1:3" ht="13" x14ac:dyDescent="0.15">
      <c r="A815" s="10"/>
      <c r="B815" s="13"/>
      <c r="C815" s="13"/>
    </row>
    <row r="816" spans="1:3" ht="13" x14ac:dyDescent="0.15">
      <c r="A816" s="10"/>
      <c r="B816" s="13"/>
      <c r="C816" s="13"/>
    </row>
    <row r="817" spans="1:3" ht="13" x14ac:dyDescent="0.15">
      <c r="A817" s="10"/>
      <c r="B817" s="13"/>
      <c r="C817" s="13"/>
    </row>
    <row r="818" spans="1:3" ht="13" x14ac:dyDescent="0.15">
      <c r="A818" s="10"/>
      <c r="B818" s="13"/>
      <c r="C818" s="13"/>
    </row>
    <row r="819" spans="1:3" ht="13" x14ac:dyDescent="0.15">
      <c r="A819" s="10"/>
      <c r="B819" s="13"/>
      <c r="C819" s="13"/>
    </row>
    <row r="820" spans="1:3" ht="13" x14ac:dyDescent="0.15">
      <c r="A820" s="10"/>
      <c r="B820" s="13"/>
      <c r="C820" s="13"/>
    </row>
    <row r="821" spans="1:3" ht="13" x14ac:dyDescent="0.15">
      <c r="A821" s="10"/>
      <c r="B821" s="13"/>
      <c r="C821" s="13"/>
    </row>
    <row r="822" spans="1:3" ht="13" x14ac:dyDescent="0.15">
      <c r="A822" s="10"/>
      <c r="B822" s="13"/>
      <c r="C822" s="13"/>
    </row>
    <row r="823" spans="1:3" ht="13" x14ac:dyDescent="0.15">
      <c r="A823" s="10"/>
      <c r="B823" s="13"/>
      <c r="C823" s="13"/>
    </row>
    <row r="824" spans="1:3" ht="13" x14ac:dyDescent="0.15">
      <c r="A824" s="10"/>
      <c r="B824" s="13"/>
      <c r="C824" s="13"/>
    </row>
    <row r="825" spans="1:3" ht="13" x14ac:dyDescent="0.15">
      <c r="A825" s="10"/>
      <c r="B825" s="13"/>
      <c r="C825" s="13"/>
    </row>
    <row r="826" spans="1:3" ht="13" x14ac:dyDescent="0.15">
      <c r="A826" s="10"/>
      <c r="B826" s="13"/>
      <c r="C826" s="13"/>
    </row>
    <row r="827" spans="1:3" ht="13" x14ac:dyDescent="0.15">
      <c r="A827" s="10"/>
      <c r="B827" s="13"/>
      <c r="C827" s="13"/>
    </row>
    <row r="828" spans="1:3" ht="13" x14ac:dyDescent="0.15">
      <c r="A828" s="10"/>
      <c r="B828" s="13"/>
      <c r="C828" s="13"/>
    </row>
    <row r="829" spans="1:3" ht="13" x14ac:dyDescent="0.15">
      <c r="A829" s="10"/>
      <c r="B829" s="13"/>
      <c r="C829" s="13"/>
    </row>
    <row r="830" spans="1:3" ht="13" x14ac:dyDescent="0.15">
      <c r="A830" s="10"/>
      <c r="B830" s="13"/>
      <c r="C830" s="13"/>
    </row>
    <row r="831" spans="1:3" ht="13" x14ac:dyDescent="0.15">
      <c r="A831" s="10"/>
      <c r="B831" s="13"/>
      <c r="C831" s="13"/>
    </row>
    <row r="832" spans="1:3" ht="13" x14ac:dyDescent="0.15">
      <c r="A832" s="10"/>
      <c r="B832" s="13"/>
      <c r="C832" s="13"/>
    </row>
    <row r="833" spans="1:3" ht="13" x14ac:dyDescent="0.15">
      <c r="A833" s="10"/>
      <c r="B833" s="13"/>
      <c r="C833" s="13"/>
    </row>
    <row r="834" spans="1:3" ht="13" x14ac:dyDescent="0.15">
      <c r="A834" s="10"/>
      <c r="B834" s="13"/>
      <c r="C834" s="13"/>
    </row>
    <row r="835" spans="1:3" ht="13" x14ac:dyDescent="0.15">
      <c r="A835" s="10"/>
      <c r="B835" s="13"/>
      <c r="C835" s="13"/>
    </row>
    <row r="836" spans="1:3" ht="13" x14ac:dyDescent="0.15">
      <c r="A836" s="10"/>
      <c r="B836" s="13"/>
      <c r="C836" s="13"/>
    </row>
    <row r="837" spans="1:3" ht="13" x14ac:dyDescent="0.15">
      <c r="A837" s="10"/>
      <c r="B837" s="13"/>
      <c r="C837" s="13"/>
    </row>
    <row r="838" spans="1:3" ht="13" x14ac:dyDescent="0.15">
      <c r="A838" s="10"/>
      <c r="B838" s="13"/>
      <c r="C838" s="13"/>
    </row>
    <row r="839" spans="1:3" ht="13" x14ac:dyDescent="0.15">
      <c r="A839" s="10"/>
      <c r="B839" s="13"/>
      <c r="C839" s="13"/>
    </row>
    <row r="840" spans="1:3" ht="13" x14ac:dyDescent="0.15">
      <c r="A840" s="10"/>
      <c r="B840" s="13"/>
      <c r="C840" s="13"/>
    </row>
    <row r="841" spans="1:3" ht="13" x14ac:dyDescent="0.15">
      <c r="A841" s="10"/>
      <c r="B841" s="13"/>
      <c r="C841" s="13"/>
    </row>
    <row r="842" spans="1:3" ht="13" x14ac:dyDescent="0.15">
      <c r="A842" s="10"/>
      <c r="B842" s="13"/>
      <c r="C842" s="13"/>
    </row>
    <row r="843" spans="1:3" ht="13" x14ac:dyDescent="0.15">
      <c r="A843" s="10"/>
      <c r="B843" s="13"/>
      <c r="C843" s="13"/>
    </row>
    <row r="844" spans="1:3" ht="13" x14ac:dyDescent="0.15">
      <c r="A844" s="10"/>
      <c r="B844" s="13"/>
      <c r="C844" s="13"/>
    </row>
    <row r="845" spans="1:3" ht="13" x14ac:dyDescent="0.15">
      <c r="A845" s="10"/>
      <c r="B845" s="13"/>
      <c r="C845" s="13"/>
    </row>
    <row r="846" spans="1:3" ht="13" x14ac:dyDescent="0.15">
      <c r="A846" s="10"/>
      <c r="B846" s="13"/>
      <c r="C846" s="13"/>
    </row>
    <row r="847" spans="1:3" ht="13" x14ac:dyDescent="0.15">
      <c r="A847" s="10"/>
      <c r="B847" s="13"/>
      <c r="C847" s="13"/>
    </row>
    <row r="848" spans="1:3" ht="13" x14ac:dyDescent="0.15">
      <c r="A848" s="10"/>
      <c r="B848" s="13"/>
      <c r="C848" s="13"/>
    </row>
    <row r="849" spans="1:3" ht="13" x14ac:dyDescent="0.15">
      <c r="A849" s="10"/>
      <c r="B849" s="13"/>
      <c r="C849" s="13"/>
    </row>
    <row r="850" spans="1:3" ht="13" x14ac:dyDescent="0.15">
      <c r="A850" s="10"/>
      <c r="B850" s="13"/>
      <c r="C850" s="13"/>
    </row>
    <row r="851" spans="1:3" ht="13" x14ac:dyDescent="0.15">
      <c r="A851" s="10"/>
      <c r="B851" s="13"/>
      <c r="C851" s="13"/>
    </row>
    <row r="852" spans="1:3" ht="13" x14ac:dyDescent="0.15">
      <c r="A852" s="10"/>
      <c r="B852" s="13"/>
      <c r="C852" s="13"/>
    </row>
    <row r="853" spans="1:3" ht="13" x14ac:dyDescent="0.15">
      <c r="A853" s="10"/>
      <c r="B853" s="13"/>
      <c r="C853" s="13"/>
    </row>
    <row r="854" spans="1:3" ht="13" x14ac:dyDescent="0.15">
      <c r="A854" s="10"/>
      <c r="B854" s="13"/>
      <c r="C854" s="13"/>
    </row>
    <row r="855" spans="1:3" ht="13" x14ac:dyDescent="0.15">
      <c r="A855" s="10"/>
      <c r="B855" s="13"/>
      <c r="C855" s="13"/>
    </row>
    <row r="856" spans="1:3" ht="13" x14ac:dyDescent="0.15">
      <c r="A856" s="10"/>
      <c r="B856" s="13"/>
      <c r="C856" s="13"/>
    </row>
    <row r="857" spans="1:3" ht="13" x14ac:dyDescent="0.15">
      <c r="A857" s="10"/>
      <c r="B857" s="13"/>
      <c r="C857" s="13"/>
    </row>
    <row r="858" spans="1:3" ht="13" x14ac:dyDescent="0.15">
      <c r="A858" s="10"/>
      <c r="B858" s="13"/>
      <c r="C858" s="13"/>
    </row>
    <row r="859" spans="1:3" ht="13" x14ac:dyDescent="0.15">
      <c r="A859" s="10"/>
      <c r="B859" s="13"/>
      <c r="C859" s="13"/>
    </row>
    <row r="860" spans="1:3" ht="13" x14ac:dyDescent="0.15">
      <c r="A860" s="10"/>
      <c r="B860" s="13"/>
      <c r="C860" s="13"/>
    </row>
    <row r="861" spans="1:3" ht="13" x14ac:dyDescent="0.15">
      <c r="A861" s="10"/>
      <c r="B861" s="13"/>
      <c r="C861" s="13"/>
    </row>
    <row r="862" spans="1:3" ht="13" x14ac:dyDescent="0.15">
      <c r="A862" s="10"/>
      <c r="B862" s="13"/>
      <c r="C862" s="13"/>
    </row>
    <row r="863" spans="1:3" ht="13" x14ac:dyDescent="0.15">
      <c r="A863" s="10"/>
      <c r="B863" s="13"/>
      <c r="C863" s="13"/>
    </row>
    <row r="864" spans="1:3" ht="13" x14ac:dyDescent="0.15">
      <c r="A864" s="10"/>
      <c r="B864" s="13"/>
      <c r="C864" s="13"/>
    </row>
    <row r="865" spans="1:3" ht="13" x14ac:dyDescent="0.15">
      <c r="A865" s="10"/>
      <c r="B865" s="13"/>
      <c r="C865" s="13"/>
    </row>
    <row r="866" spans="1:3" ht="13" x14ac:dyDescent="0.15">
      <c r="A866" s="10"/>
      <c r="B866" s="13"/>
      <c r="C866" s="13"/>
    </row>
    <row r="867" spans="1:3" ht="13" x14ac:dyDescent="0.15">
      <c r="A867" s="10"/>
      <c r="B867" s="13"/>
      <c r="C867" s="13"/>
    </row>
    <row r="868" spans="1:3" ht="13" x14ac:dyDescent="0.15">
      <c r="A868" s="10"/>
      <c r="B868" s="13"/>
      <c r="C868" s="13"/>
    </row>
    <row r="869" spans="1:3" ht="13" x14ac:dyDescent="0.15">
      <c r="A869" s="10"/>
      <c r="B869" s="13"/>
      <c r="C869" s="13"/>
    </row>
    <row r="870" spans="1:3" ht="13" x14ac:dyDescent="0.15">
      <c r="A870" s="10"/>
      <c r="B870" s="13"/>
      <c r="C870" s="13"/>
    </row>
    <row r="871" spans="1:3" ht="13" x14ac:dyDescent="0.15">
      <c r="A871" s="10"/>
      <c r="B871" s="13"/>
      <c r="C871" s="13"/>
    </row>
    <row r="872" spans="1:3" ht="13" x14ac:dyDescent="0.15">
      <c r="A872" s="10"/>
      <c r="B872" s="13"/>
      <c r="C872" s="13"/>
    </row>
    <row r="873" spans="1:3" ht="13" x14ac:dyDescent="0.15">
      <c r="A873" s="10"/>
      <c r="B873" s="13"/>
      <c r="C873" s="13"/>
    </row>
    <row r="874" spans="1:3" ht="13" x14ac:dyDescent="0.15">
      <c r="A874" s="10"/>
      <c r="B874" s="13"/>
      <c r="C874" s="13"/>
    </row>
    <row r="875" spans="1:3" ht="13" x14ac:dyDescent="0.15">
      <c r="A875" s="10"/>
      <c r="B875" s="13"/>
      <c r="C875" s="13"/>
    </row>
    <row r="876" spans="1:3" ht="13" x14ac:dyDescent="0.15">
      <c r="A876" s="10"/>
      <c r="B876" s="13"/>
      <c r="C876" s="13"/>
    </row>
    <row r="877" spans="1:3" ht="13" x14ac:dyDescent="0.15">
      <c r="A877" s="10"/>
      <c r="B877" s="13"/>
      <c r="C877" s="13"/>
    </row>
    <row r="878" spans="1:3" ht="13" x14ac:dyDescent="0.15">
      <c r="A878" s="10"/>
      <c r="B878" s="13"/>
      <c r="C878" s="13"/>
    </row>
    <row r="879" spans="1:3" ht="13" x14ac:dyDescent="0.15">
      <c r="A879" s="10"/>
      <c r="B879" s="13"/>
      <c r="C879" s="13"/>
    </row>
    <row r="880" spans="1:3" ht="13" x14ac:dyDescent="0.15">
      <c r="A880" s="10"/>
      <c r="B880" s="13"/>
      <c r="C880" s="13"/>
    </row>
    <row r="881" spans="1:3" ht="13" x14ac:dyDescent="0.15">
      <c r="A881" s="10"/>
      <c r="B881" s="13"/>
      <c r="C881" s="13"/>
    </row>
    <row r="882" spans="1:3" ht="13" x14ac:dyDescent="0.15">
      <c r="A882" s="10"/>
      <c r="B882" s="13"/>
      <c r="C882" s="13"/>
    </row>
    <row r="883" spans="1:3" ht="13" x14ac:dyDescent="0.15">
      <c r="A883" s="10"/>
      <c r="B883" s="13"/>
      <c r="C883" s="13"/>
    </row>
    <row r="884" spans="1:3" ht="13" x14ac:dyDescent="0.15">
      <c r="A884" s="10"/>
      <c r="B884" s="13"/>
      <c r="C884" s="13"/>
    </row>
    <row r="885" spans="1:3" ht="13" x14ac:dyDescent="0.15">
      <c r="A885" s="10"/>
      <c r="B885" s="13"/>
      <c r="C885" s="13"/>
    </row>
    <row r="886" spans="1:3" ht="13" x14ac:dyDescent="0.15">
      <c r="A886" s="10"/>
      <c r="B886" s="13"/>
      <c r="C886" s="13"/>
    </row>
    <row r="887" spans="1:3" ht="13" x14ac:dyDescent="0.15">
      <c r="A887" s="10"/>
      <c r="B887" s="13"/>
      <c r="C887" s="13"/>
    </row>
    <row r="888" spans="1:3" ht="13" x14ac:dyDescent="0.15">
      <c r="A888" s="10"/>
      <c r="B888" s="13"/>
      <c r="C888" s="13"/>
    </row>
    <row r="889" spans="1:3" ht="13" x14ac:dyDescent="0.15">
      <c r="A889" s="10"/>
      <c r="B889" s="13"/>
      <c r="C889" s="13"/>
    </row>
    <row r="890" spans="1:3" ht="13" x14ac:dyDescent="0.15">
      <c r="A890" s="10"/>
      <c r="B890" s="13"/>
      <c r="C890" s="13"/>
    </row>
    <row r="891" spans="1:3" ht="13" x14ac:dyDescent="0.15">
      <c r="A891" s="10"/>
      <c r="B891" s="13"/>
      <c r="C891" s="13"/>
    </row>
    <row r="892" spans="1:3" ht="13" x14ac:dyDescent="0.15">
      <c r="A892" s="10"/>
      <c r="B892" s="13"/>
      <c r="C892" s="13"/>
    </row>
    <row r="893" spans="1:3" ht="13" x14ac:dyDescent="0.15">
      <c r="A893" s="10"/>
      <c r="B893" s="13"/>
      <c r="C893" s="13"/>
    </row>
    <row r="894" spans="1:3" ht="13" x14ac:dyDescent="0.15">
      <c r="A894" s="10"/>
      <c r="B894" s="13"/>
      <c r="C894" s="13"/>
    </row>
    <row r="895" spans="1:3" ht="13" x14ac:dyDescent="0.15">
      <c r="A895" s="10"/>
      <c r="B895" s="13"/>
      <c r="C895" s="13"/>
    </row>
    <row r="896" spans="1:3" ht="13" x14ac:dyDescent="0.15">
      <c r="A896" s="10"/>
      <c r="B896" s="13"/>
      <c r="C896" s="13"/>
    </row>
    <row r="897" spans="1:3" ht="13" x14ac:dyDescent="0.15">
      <c r="A897" s="10"/>
      <c r="B897" s="13"/>
      <c r="C897" s="13"/>
    </row>
    <row r="898" spans="1:3" ht="13" x14ac:dyDescent="0.15">
      <c r="A898" s="10"/>
      <c r="B898" s="13"/>
      <c r="C898" s="13"/>
    </row>
    <row r="899" spans="1:3" ht="13" x14ac:dyDescent="0.15">
      <c r="A899" s="10"/>
      <c r="B899" s="13"/>
      <c r="C899" s="13"/>
    </row>
    <row r="900" spans="1:3" ht="13" x14ac:dyDescent="0.15">
      <c r="A900" s="10"/>
      <c r="B900" s="13"/>
      <c r="C900" s="13"/>
    </row>
    <row r="901" spans="1:3" ht="13" x14ac:dyDescent="0.15">
      <c r="A901" s="10"/>
      <c r="B901" s="13"/>
      <c r="C901" s="13"/>
    </row>
    <row r="902" spans="1:3" ht="13" x14ac:dyDescent="0.15">
      <c r="A902" s="10"/>
      <c r="B902" s="13"/>
      <c r="C902" s="13"/>
    </row>
    <row r="903" spans="1:3" ht="13" x14ac:dyDescent="0.15">
      <c r="A903" s="10"/>
      <c r="B903" s="13"/>
      <c r="C903" s="13"/>
    </row>
    <row r="904" spans="1:3" ht="13" x14ac:dyDescent="0.15">
      <c r="A904" s="10"/>
      <c r="B904" s="13"/>
      <c r="C904" s="13"/>
    </row>
    <row r="905" spans="1:3" ht="13" x14ac:dyDescent="0.15">
      <c r="A905" s="10"/>
      <c r="B905" s="13"/>
      <c r="C905" s="13"/>
    </row>
    <row r="906" spans="1:3" ht="13" x14ac:dyDescent="0.15">
      <c r="A906" s="10"/>
      <c r="B906" s="13"/>
      <c r="C906" s="13"/>
    </row>
    <row r="907" spans="1:3" ht="13" x14ac:dyDescent="0.15">
      <c r="A907" s="10"/>
      <c r="B907" s="13"/>
      <c r="C907" s="13"/>
    </row>
    <row r="908" spans="1:3" ht="13" x14ac:dyDescent="0.15">
      <c r="A908" s="10"/>
      <c r="B908" s="13"/>
      <c r="C908" s="13"/>
    </row>
    <row r="909" spans="1:3" ht="13" x14ac:dyDescent="0.15">
      <c r="A909" s="10"/>
      <c r="B909" s="13"/>
      <c r="C909" s="13"/>
    </row>
    <row r="910" spans="1:3" ht="13" x14ac:dyDescent="0.15">
      <c r="A910" s="10"/>
      <c r="B910" s="13"/>
      <c r="C910" s="13"/>
    </row>
    <row r="911" spans="1:3" ht="13" x14ac:dyDescent="0.15">
      <c r="A911" s="10"/>
      <c r="B911" s="13"/>
      <c r="C911" s="13"/>
    </row>
    <row r="912" spans="1:3" ht="13" x14ac:dyDescent="0.15">
      <c r="A912" s="10"/>
      <c r="B912" s="13"/>
      <c r="C912" s="13"/>
    </row>
    <row r="913" spans="1:3" ht="13" x14ac:dyDescent="0.15">
      <c r="A913" s="10"/>
      <c r="B913" s="13"/>
      <c r="C913" s="13"/>
    </row>
    <row r="914" spans="1:3" ht="13" x14ac:dyDescent="0.15">
      <c r="A914" s="10"/>
      <c r="B914" s="13"/>
      <c r="C914" s="13"/>
    </row>
    <row r="915" spans="1:3" ht="13" x14ac:dyDescent="0.15">
      <c r="A915" s="10"/>
      <c r="B915" s="13"/>
      <c r="C915" s="13"/>
    </row>
    <row r="916" spans="1:3" ht="13" x14ac:dyDescent="0.15">
      <c r="A916" s="10"/>
      <c r="B916" s="13"/>
      <c r="C916" s="13"/>
    </row>
    <row r="917" spans="1:3" ht="13" x14ac:dyDescent="0.15">
      <c r="A917" s="10"/>
      <c r="B917" s="13"/>
      <c r="C917" s="13"/>
    </row>
    <row r="918" spans="1:3" ht="13" x14ac:dyDescent="0.15">
      <c r="A918" s="10"/>
      <c r="B918" s="13"/>
      <c r="C918" s="13"/>
    </row>
    <row r="919" spans="1:3" ht="13" x14ac:dyDescent="0.15">
      <c r="A919" s="10"/>
      <c r="B919" s="13"/>
      <c r="C919" s="13"/>
    </row>
    <row r="920" spans="1:3" ht="13" x14ac:dyDescent="0.15">
      <c r="A920" s="10"/>
      <c r="B920" s="13"/>
      <c r="C920" s="13"/>
    </row>
    <row r="921" spans="1:3" ht="13" x14ac:dyDescent="0.15">
      <c r="A921" s="10"/>
      <c r="B921" s="13"/>
      <c r="C921" s="13"/>
    </row>
    <row r="922" spans="1:3" ht="13" x14ac:dyDescent="0.15">
      <c r="A922" s="10"/>
      <c r="B922" s="13"/>
      <c r="C922" s="13"/>
    </row>
    <row r="923" spans="1:3" ht="13" x14ac:dyDescent="0.15">
      <c r="A923" s="10"/>
      <c r="B923" s="13"/>
      <c r="C923" s="13"/>
    </row>
    <row r="924" spans="1:3" ht="13" x14ac:dyDescent="0.15">
      <c r="A924" s="10"/>
      <c r="B924" s="13"/>
      <c r="C924" s="13"/>
    </row>
    <row r="925" spans="1:3" ht="13" x14ac:dyDescent="0.15">
      <c r="A925" s="10"/>
      <c r="B925" s="13"/>
      <c r="C925" s="13"/>
    </row>
    <row r="926" spans="1:3" ht="13" x14ac:dyDescent="0.15">
      <c r="A926" s="10"/>
      <c r="B926" s="13"/>
      <c r="C926" s="13"/>
    </row>
    <row r="927" spans="1:3" ht="13" x14ac:dyDescent="0.15">
      <c r="A927" s="10"/>
      <c r="B927" s="13"/>
      <c r="C927" s="13"/>
    </row>
    <row r="928" spans="1:3" ht="13" x14ac:dyDescent="0.15">
      <c r="A928" s="10"/>
      <c r="B928" s="13"/>
      <c r="C928" s="13"/>
    </row>
    <row r="929" spans="1:3" ht="13" x14ac:dyDescent="0.15">
      <c r="A929" s="10"/>
      <c r="B929" s="13"/>
      <c r="C929" s="13"/>
    </row>
    <row r="930" spans="1:3" ht="13" x14ac:dyDescent="0.15">
      <c r="A930" s="10"/>
      <c r="B930" s="13"/>
      <c r="C930" s="13"/>
    </row>
    <row r="931" spans="1:3" ht="13" x14ac:dyDescent="0.15">
      <c r="A931" s="10"/>
      <c r="B931" s="13"/>
      <c r="C931" s="13"/>
    </row>
    <row r="932" spans="1:3" ht="13" x14ac:dyDescent="0.15">
      <c r="A932" s="10"/>
      <c r="B932" s="13"/>
      <c r="C932" s="13"/>
    </row>
    <row r="933" spans="1:3" ht="13" x14ac:dyDescent="0.15">
      <c r="A933" s="10"/>
      <c r="B933" s="13"/>
      <c r="C933" s="13"/>
    </row>
    <row r="934" spans="1:3" ht="13" x14ac:dyDescent="0.15">
      <c r="A934" s="10"/>
      <c r="B934" s="13"/>
      <c r="C934" s="13"/>
    </row>
    <row r="935" spans="1:3" ht="13" x14ac:dyDescent="0.15">
      <c r="A935" s="10"/>
      <c r="B935" s="13"/>
      <c r="C935" s="13"/>
    </row>
    <row r="936" spans="1:3" ht="13" x14ac:dyDescent="0.15">
      <c r="A936" s="10"/>
      <c r="B936" s="13"/>
      <c r="C936" s="13"/>
    </row>
    <row r="937" spans="1:3" ht="13" x14ac:dyDescent="0.15">
      <c r="A937" s="10"/>
      <c r="B937" s="13"/>
      <c r="C937" s="13"/>
    </row>
    <row r="938" spans="1:3" ht="13" x14ac:dyDescent="0.15">
      <c r="A938" s="10"/>
      <c r="B938" s="13"/>
      <c r="C938" s="13"/>
    </row>
    <row r="939" spans="1:3" ht="13" x14ac:dyDescent="0.15">
      <c r="A939" s="10"/>
      <c r="B939" s="13"/>
      <c r="C939" s="13"/>
    </row>
    <row r="940" spans="1:3" ht="13" x14ac:dyDescent="0.15">
      <c r="A940" s="10"/>
      <c r="B940" s="13"/>
      <c r="C940" s="13"/>
    </row>
    <row r="941" spans="1:3" ht="13" x14ac:dyDescent="0.15">
      <c r="A941" s="10"/>
      <c r="B941" s="13"/>
      <c r="C941" s="13"/>
    </row>
    <row r="942" spans="1:3" ht="13" x14ac:dyDescent="0.15">
      <c r="A942" s="10"/>
      <c r="B942" s="13"/>
      <c r="C942" s="13"/>
    </row>
    <row r="943" spans="1:3" ht="13" x14ac:dyDescent="0.15">
      <c r="A943" s="10"/>
      <c r="B943" s="13"/>
      <c r="C943" s="13"/>
    </row>
    <row r="944" spans="1:3" ht="13" x14ac:dyDescent="0.15">
      <c r="A944" s="10"/>
      <c r="B944" s="13"/>
      <c r="C944" s="13"/>
    </row>
    <row r="945" spans="1:3" ht="13" x14ac:dyDescent="0.15">
      <c r="A945" s="10"/>
      <c r="B945" s="13"/>
      <c r="C945" s="13"/>
    </row>
    <row r="946" spans="1:3" ht="13" x14ac:dyDescent="0.15">
      <c r="A946" s="10"/>
      <c r="B946" s="13"/>
      <c r="C946" s="13"/>
    </row>
    <row r="947" spans="1:3" ht="13" x14ac:dyDescent="0.15">
      <c r="A947" s="10"/>
      <c r="B947" s="13"/>
      <c r="C947" s="13"/>
    </row>
    <row r="948" spans="1:3" ht="13" x14ac:dyDescent="0.15">
      <c r="A948" s="10"/>
      <c r="B948" s="13"/>
      <c r="C948" s="13"/>
    </row>
    <row r="949" spans="1:3" ht="13" x14ac:dyDescent="0.15">
      <c r="A949" s="10"/>
      <c r="B949" s="13"/>
      <c r="C949" s="13"/>
    </row>
    <row r="950" spans="1:3" ht="13" x14ac:dyDescent="0.15">
      <c r="A950" s="10"/>
      <c r="B950" s="13"/>
      <c r="C950" s="13"/>
    </row>
    <row r="951" spans="1:3" ht="13" x14ac:dyDescent="0.15">
      <c r="A951" s="10"/>
      <c r="B951" s="13"/>
      <c r="C951" s="13"/>
    </row>
    <row r="952" spans="1:3" ht="13" x14ac:dyDescent="0.15">
      <c r="A952" s="10"/>
      <c r="B952" s="13"/>
      <c r="C952" s="13"/>
    </row>
    <row r="953" spans="1:3" ht="13" x14ac:dyDescent="0.15">
      <c r="A953" s="10"/>
      <c r="B953" s="13"/>
      <c r="C953" s="13"/>
    </row>
    <row r="954" spans="1:3" ht="13" x14ac:dyDescent="0.15">
      <c r="A954" s="10"/>
      <c r="B954" s="13"/>
      <c r="C954" s="13"/>
    </row>
    <row r="955" spans="1:3" ht="13" x14ac:dyDescent="0.15">
      <c r="A955" s="10"/>
      <c r="B955" s="13"/>
      <c r="C955" s="13"/>
    </row>
    <row r="956" spans="1:3" ht="13" x14ac:dyDescent="0.15">
      <c r="A956" s="10"/>
      <c r="B956" s="13"/>
      <c r="C956" s="13"/>
    </row>
    <row r="957" spans="1:3" ht="13" x14ac:dyDescent="0.15">
      <c r="A957" s="10"/>
      <c r="B957" s="13"/>
      <c r="C957" s="13"/>
    </row>
    <row r="958" spans="1:3" ht="13" x14ac:dyDescent="0.15">
      <c r="A958" s="10"/>
      <c r="B958" s="13"/>
      <c r="C958" s="13"/>
    </row>
    <row r="959" spans="1:3" ht="13" x14ac:dyDescent="0.15">
      <c r="A959" s="10"/>
      <c r="B959" s="13"/>
      <c r="C959" s="13"/>
    </row>
    <row r="960" spans="1:3" ht="13" x14ac:dyDescent="0.15">
      <c r="A960" s="10"/>
      <c r="B960" s="13"/>
      <c r="C960" s="13"/>
    </row>
    <row r="961" spans="1:3" ht="13" x14ac:dyDescent="0.15">
      <c r="A961" s="10"/>
      <c r="B961" s="13"/>
      <c r="C961" s="13"/>
    </row>
    <row r="962" spans="1:3" ht="13" x14ac:dyDescent="0.15">
      <c r="A962" s="10"/>
      <c r="B962" s="13"/>
      <c r="C962" s="13"/>
    </row>
    <row r="963" spans="1:3" ht="13" x14ac:dyDescent="0.15">
      <c r="A963" s="10"/>
      <c r="B963" s="13"/>
      <c r="C963" s="13"/>
    </row>
    <row r="964" spans="1:3" ht="13" x14ac:dyDescent="0.15">
      <c r="A964" s="10"/>
      <c r="B964" s="13"/>
      <c r="C964" s="13"/>
    </row>
    <row r="965" spans="1:3" ht="13" x14ac:dyDescent="0.15">
      <c r="A965" s="10"/>
      <c r="B965" s="13"/>
      <c r="C965" s="13"/>
    </row>
    <row r="966" spans="1:3" ht="13" x14ac:dyDescent="0.15">
      <c r="A966" s="10"/>
      <c r="B966" s="13"/>
      <c r="C966" s="13"/>
    </row>
    <row r="967" spans="1:3" ht="13" x14ac:dyDescent="0.15">
      <c r="A967" s="10"/>
      <c r="B967" s="13"/>
      <c r="C967" s="13"/>
    </row>
    <row r="968" spans="1:3" ht="13" x14ac:dyDescent="0.15">
      <c r="A968" s="10"/>
      <c r="B968" s="13"/>
      <c r="C968" s="13"/>
    </row>
    <row r="969" spans="1:3" ht="13" x14ac:dyDescent="0.15">
      <c r="A969" s="10"/>
      <c r="B969" s="13"/>
      <c r="C969" s="13"/>
    </row>
    <row r="970" spans="1:3" ht="13" x14ac:dyDescent="0.15">
      <c r="A970" s="10"/>
      <c r="B970" s="13"/>
      <c r="C970" s="13"/>
    </row>
    <row r="971" spans="1:3" ht="13" x14ac:dyDescent="0.15">
      <c r="A971" s="10"/>
      <c r="B971" s="13"/>
      <c r="C971" s="13"/>
    </row>
    <row r="972" spans="1:3" ht="13" x14ac:dyDescent="0.15">
      <c r="A972" s="10"/>
      <c r="B972" s="13"/>
      <c r="C972" s="13"/>
    </row>
    <row r="973" spans="1:3" ht="13" x14ac:dyDescent="0.15">
      <c r="A973" s="10"/>
      <c r="B973" s="13"/>
      <c r="C973" s="13"/>
    </row>
    <row r="974" spans="1:3" ht="13" x14ac:dyDescent="0.15">
      <c r="A974" s="10"/>
      <c r="B974" s="13"/>
      <c r="C974" s="13"/>
    </row>
    <row r="975" spans="1:3" ht="13" x14ac:dyDescent="0.15">
      <c r="A975" s="10"/>
      <c r="B975" s="13"/>
      <c r="C975" s="13"/>
    </row>
    <row r="976" spans="1:3" ht="13" x14ac:dyDescent="0.15">
      <c r="A976" s="10"/>
      <c r="B976" s="13"/>
      <c r="C976" s="13"/>
    </row>
    <row r="977" spans="1:3" ht="13" x14ac:dyDescent="0.15">
      <c r="A977" s="10"/>
      <c r="B977" s="13"/>
      <c r="C977" s="13"/>
    </row>
    <row r="978" spans="1:3" ht="13" x14ac:dyDescent="0.15">
      <c r="A978" s="10"/>
      <c r="B978" s="13"/>
      <c r="C978" s="13"/>
    </row>
    <row r="979" spans="1:3" ht="13" x14ac:dyDescent="0.15">
      <c r="A979" s="10"/>
      <c r="B979" s="13"/>
      <c r="C979" s="13"/>
    </row>
    <row r="980" spans="1:3" ht="13" x14ac:dyDescent="0.15">
      <c r="A980" s="10"/>
      <c r="B980" s="13"/>
      <c r="C980" s="13"/>
    </row>
    <row r="981" spans="1:3" ht="13" x14ac:dyDescent="0.15">
      <c r="A981" s="10"/>
      <c r="B981" s="13"/>
      <c r="C981" s="13"/>
    </row>
    <row r="982" spans="1:3" ht="13" x14ac:dyDescent="0.15">
      <c r="A982" s="10"/>
      <c r="B982" s="13"/>
      <c r="C982" s="13"/>
    </row>
    <row r="983" spans="1:3" ht="13" x14ac:dyDescent="0.15">
      <c r="A983" s="10"/>
      <c r="B983" s="13"/>
      <c r="C983" s="13"/>
    </row>
    <row r="984" spans="1:3" ht="13" x14ac:dyDescent="0.15">
      <c r="A984" s="10"/>
      <c r="B984" s="13"/>
      <c r="C984" s="13"/>
    </row>
    <row r="985" spans="1:3" ht="13" x14ac:dyDescent="0.15">
      <c r="A985" s="10"/>
      <c r="B985" s="13"/>
      <c r="C985" s="13"/>
    </row>
    <row r="986" spans="1:3" ht="13" x14ac:dyDescent="0.15">
      <c r="A986" s="10"/>
      <c r="B986" s="13"/>
      <c r="C986" s="13"/>
    </row>
    <row r="987" spans="1:3" ht="13" x14ac:dyDescent="0.15">
      <c r="A987" s="10"/>
      <c r="B987" s="13"/>
      <c r="C987" s="13"/>
    </row>
    <row r="988" spans="1:3" ht="13" x14ac:dyDescent="0.15">
      <c r="A988" s="10"/>
      <c r="B988" s="13"/>
      <c r="C988" s="13"/>
    </row>
    <row r="989" spans="1:3" ht="13" x14ac:dyDescent="0.15">
      <c r="A989" s="10"/>
      <c r="B989" s="13"/>
      <c r="C989" s="13"/>
    </row>
    <row r="990" spans="1:3" ht="13" x14ac:dyDescent="0.15">
      <c r="A990" s="10"/>
      <c r="B990" s="13"/>
      <c r="C990" s="13"/>
    </row>
    <row r="991" spans="1:3" ht="13" x14ac:dyDescent="0.15">
      <c r="A991" s="10"/>
      <c r="B991" s="13"/>
      <c r="C991" s="13"/>
    </row>
    <row r="992" spans="1:3" ht="13" x14ac:dyDescent="0.15">
      <c r="A992" s="10"/>
      <c r="B992" s="13"/>
      <c r="C992" s="13"/>
    </row>
    <row r="993" spans="1:3" ht="13" x14ac:dyDescent="0.15">
      <c r="A993" s="10"/>
      <c r="B993" s="13"/>
      <c r="C993" s="13"/>
    </row>
    <row r="994" spans="1:3" ht="13" x14ac:dyDescent="0.15">
      <c r="A994" s="10"/>
      <c r="B994" s="13"/>
      <c r="C994" s="13"/>
    </row>
    <row r="995" spans="1:3" ht="13" x14ac:dyDescent="0.15">
      <c r="A995" s="10"/>
      <c r="B995" s="13"/>
      <c r="C995" s="13"/>
    </row>
    <row r="996" spans="1:3" ht="13" x14ac:dyDescent="0.15">
      <c r="A996" s="10"/>
      <c r="B996" s="13"/>
      <c r="C996" s="13"/>
    </row>
    <row r="997" spans="1:3" ht="13" x14ac:dyDescent="0.15">
      <c r="A997" s="10"/>
      <c r="B997" s="13"/>
      <c r="C997" s="13"/>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outlinePr summaryBelow="0" summaryRight="0"/>
  </sheetPr>
  <dimension ref="A1:D997"/>
  <sheetViews>
    <sheetView workbookViewId="0"/>
  </sheetViews>
  <sheetFormatPr baseColWidth="10" defaultColWidth="12.6640625" defaultRowHeight="15.75" customHeight="1" x14ac:dyDescent="0.15"/>
  <cols>
    <col min="1" max="1" width="71.5" customWidth="1"/>
    <col min="2" max="4" width="37.6640625" customWidth="1"/>
  </cols>
  <sheetData>
    <row r="1" spans="1:4" ht="15.75" customHeight="1" x14ac:dyDescent="0.15">
      <c r="A1" s="1"/>
      <c r="B1" s="10" t="str">
        <f ca="1">IFERROR(__xludf.DUMMYFUNCTION("IMPORTRANGE(""https://docs.google.com/spreadsheets/u/0/d/1v3alDV9sI-Ng7OoZouCf4a0CI5tv_Xg2T3WprxxRGRs"", ""A52!B1:B22"")"),"Tyler")</f>
        <v>Tyler</v>
      </c>
      <c r="C1" s="10" t="str">
        <f ca="1">IFERROR(__xludf.DUMMYFUNCTION("IMPORTRANGE(""https://docs.google.com/spreadsheets/u/0/d/1Rfwd61p8X8kU1VBE4PFTeYG7-2eZzi6BYhKfon6XtRs"", ""A52!B1:B22"")"),"Korie Hall")</f>
        <v>Korie Hall</v>
      </c>
      <c r="D1" s="2" t="s">
        <v>1</v>
      </c>
    </row>
    <row r="2" spans="1:4" ht="15.75" customHeight="1" x14ac:dyDescent="0.15">
      <c r="A2" s="3" t="s">
        <v>2</v>
      </c>
      <c r="B2" s="15" t="str">
        <f ca="1">IFERROR(__xludf.DUMMYFUNCTION("""COMPUTED_VALUE"""),"29850 to 30056 (Forward)
")</f>
        <v xml:space="preserve">29850 to 30056 (Forward)
</v>
      </c>
      <c r="C2" s="15" t="str">
        <f ca="1">IFERROR(__xludf.DUMMYFUNCTION("""COMPUTED_VALUE"""),"Start: 29850 / Stop: 30056")</f>
        <v>Start: 29850 / Stop: 30056</v>
      </c>
      <c r="D2" s="4"/>
    </row>
    <row r="3" spans="1:4" ht="15.75" customHeight="1" x14ac:dyDescent="0.15">
      <c r="A3" s="5" t="s">
        <v>3</v>
      </c>
      <c r="B3" s="17" t="str">
        <f ca="1">IFERROR(__xludf.DUMMYFUNCTION("""COMPUTED_VALUE"""),"DNA Master_51 
Phamerator_52
")</f>
        <v xml:space="preserve">DNA Master_51 
Phamerator_52
</v>
      </c>
      <c r="C3" s="17" t="str">
        <f ca="1">IFERROR(__xludf.DUMMYFUNCTION("""COMPUTED_VALUE"""),"DNA Master: 51 / Phamertor: 52")</f>
        <v>DNA Master: 51 / Phamertor: 52</v>
      </c>
      <c r="D3" s="6"/>
    </row>
    <row r="4" spans="1:4" ht="15.75" customHeight="1" x14ac:dyDescent="0.15">
      <c r="A4" s="5" t="s">
        <v>4</v>
      </c>
      <c r="B4" s="17" t="str">
        <f ca="1">IFERROR(__xludf.DUMMYFUNCTION("""COMPUTED_VALUE"""),"209743 3/10/25
")</f>
        <v xml:space="preserve">209743 3/10/25
</v>
      </c>
      <c r="C4" s="17">
        <f ca="1">IFERROR(__xludf.DUMMYFUNCTION("""COMPUTED_VALUE"""),209743)</f>
        <v>209743</v>
      </c>
      <c r="D4" s="6"/>
    </row>
    <row r="5" spans="1:4" ht="15.75" customHeight="1" x14ac:dyDescent="0.15">
      <c r="A5" s="5" t="s">
        <v>5</v>
      </c>
      <c r="B5" s="17" t="str">
        <f ca="1">IFERROR(__xludf.DUMMYFUNCTION("""COMPUTED_VALUE"""),"orpham")</f>
        <v>orpham</v>
      </c>
      <c r="C5" s="17" t="str">
        <f ca="1">IFERROR(__xludf.DUMMYFUNCTION("""COMPUTED_VALUE"""),"Orpham")</f>
        <v>Orpham</v>
      </c>
      <c r="D5" s="6"/>
    </row>
    <row r="6" spans="1:4" ht="15.75" customHeight="1" x14ac:dyDescent="0.15">
      <c r="A6" s="5" t="s">
        <v>6</v>
      </c>
      <c r="B6" s="17" t="str">
        <f ca="1">IFERROR(__xludf.DUMMYFUNCTION("""COMPUTED_VALUE"""),"Both call @bp 29850 strength 2.23")</f>
        <v>Both call @bp 29850 strength 2.23</v>
      </c>
      <c r="C6" s="17" t="str">
        <f ca="1">IFERROR(__xludf.DUMMYFUNCTION("""COMPUTED_VALUE"""),"Both support this gene")</f>
        <v>Both support this gene</v>
      </c>
      <c r="D6" s="6"/>
    </row>
    <row r="7" spans="1:4" ht="15.75" customHeight="1" x14ac:dyDescent="0.15">
      <c r="A7" s="5" t="s">
        <v>7</v>
      </c>
      <c r="B7" s="17" t="str">
        <f ca="1">IFERROR(__xludf.DUMMYFUNCTION("""COMPUTED_VALUE"""),"Current start has okay coding potential, it spikes later in the gene however, ")</f>
        <v xml:space="preserve">Current start has okay coding potential, it spikes later in the gene however, </v>
      </c>
      <c r="C7" s="17" t="str">
        <f ca="1">IFERROR(__xludf.DUMMYFUNCTION("""COMPUTED_VALUE"""),"All coding potential is included and looks good")</f>
        <v>All coding potential is included and looks good</v>
      </c>
      <c r="D7" s="6"/>
    </row>
    <row r="8" spans="1:4" ht="15.75" customHeight="1" x14ac:dyDescent="0.15">
      <c r="A8" s="5" t="s">
        <v>8</v>
      </c>
      <c r="B8" s="17" t="str">
        <f ca="1">IFERROR(__xludf.DUMMYFUNCTION("""COMPUTED_VALUE"""),"yes")</f>
        <v>yes</v>
      </c>
      <c r="C8" s="17" t="str">
        <f ca="1">IFERROR(__xludf.DUMMYFUNCTION("""COMPUTED_VALUE"""),"No - one possible start")</f>
        <v>No - one possible start</v>
      </c>
      <c r="D8" s="6"/>
    </row>
    <row r="9" spans="1:4" ht="15.75" customHeight="1" x14ac:dyDescent="0.15">
      <c r="A9" s="5" t="s">
        <v>9</v>
      </c>
      <c r="B9" s="17" t="str">
        <f ca="1">IFERROR(__xludf.DUMMYFUNCTION("""COMPUTED_VALUE"""),"overlap of 7nt
")</f>
        <v xml:space="preserve">overlap of 7nt
</v>
      </c>
      <c r="C9" s="17" t="str">
        <f ca="1">IFERROR(__xludf.DUMMYFUNCTION("""COMPUTED_VALUE"""),"7 bp overlap between gene 51")</f>
        <v>7 bp overlap between gene 51</v>
      </c>
      <c r="D9" s="6"/>
    </row>
    <row r="10" spans="1:4" ht="15.75" customHeight="1" x14ac:dyDescent="0.15">
      <c r="A10" s="5" t="s">
        <v>10</v>
      </c>
      <c r="B10" s="17" t="str">
        <f ca="1">IFERROR(__xludf.DUMMYFUNCTION("""COMPUTED_VALUE"""),"Current start has best Z score (2.341)")</f>
        <v>Current start has best Z score (2.341)</v>
      </c>
      <c r="C10" s="17" t="str">
        <f ca="1">IFERROR(__xludf.DUMMYFUNCTION("""COMPUTED_VALUE"""),"Z-score: 2.957 / Final score: -2.523")</f>
        <v>Z-score: 2.957 / Final score: -2.523</v>
      </c>
      <c r="D10" s="6"/>
    </row>
    <row r="11" spans="1:4" ht="15.75" customHeight="1" x14ac:dyDescent="0.15">
      <c r="A11" s="5" t="s">
        <v>11</v>
      </c>
      <c r="B11" s="17" t="str">
        <f ca="1">IFERROR(__xludf.DUMMYFUNCTION("""COMPUTED_VALUE"""),"orpham ")</f>
        <v xml:space="preserve">orpham </v>
      </c>
      <c r="C11" s="17" t="str">
        <f ca="1">IFERROR(__xludf.DUMMYFUNCTION("""COMPUTED_VALUE"""),"Orpham - NCBI BLAST found no similar sequences")</f>
        <v>Orpham - NCBI BLAST found no similar sequences</v>
      </c>
      <c r="D11" s="6"/>
    </row>
    <row r="12" spans="1:4" ht="15.75" customHeight="1" x14ac:dyDescent="0.15">
      <c r="A12" s="5" t="s">
        <v>12</v>
      </c>
      <c r="B12" s="17" t="str">
        <f ca="1">IFERROR(__xludf.DUMMYFUNCTION("""COMPUTED_VALUE"""),"orpham")</f>
        <v>orpham</v>
      </c>
      <c r="C12" s="17" t="str">
        <f ca="1">IFERROR(__xludf.DUMMYFUNCTION("""COMPUTED_VALUE"""),"Orpham")</f>
        <v>Orpham</v>
      </c>
      <c r="D12" s="6"/>
    </row>
    <row r="13" spans="1:4" ht="15.75" customHeight="1" x14ac:dyDescent="0.15">
      <c r="A13" s="5" t="s">
        <v>13</v>
      </c>
      <c r="B13" s="17" t="str">
        <f ca="1">IFERROR(__xludf.DUMMYFUNCTION("""COMPUTED_VALUE"""),"No, the current start has the best Z-score, the overlap is not large enough to be a concern.
")</f>
        <v xml:space="preserve">No, the current start has the best Z-score, the overlap is not large enough to be a concern.
</v>
      </c>
      <c r="C13" s="17" t="str">
        <f ca="1">IFERROR(__xludf.DUMMYFUNCTION("""COMPUTED_VALUE"""),"No, the start codon is good as is")</f>
        <v>No, the start codon is good as is</v>
      </c>
      <c r="D13" s="6"/>
    </row>
    <row r="14" spans="1:4" ht="15.75" customHeight="1" x14ac:dyDescent="0.15">
      <c r="A14" s="5" t="s">
        <v>14</v>
      </c>
      <c r="B14" s="17" t="str">
        <f ca="1">IFERROR(__xludf.DUMMYFUNCTION("""COMPUTED_VALUE"""),"Kromp_8;3.1
JKSyngboy_55; 4.0   
")</f>
        <v xml:space="preserve">Kromp_8;3.1
JKSyngboy_55; 4.0   
</v>
      </c>
      <c r="C14" s="17" t="str">
        <f ca="1">IFERROR(__xludf.DUMMYFUNCTION("""COMPUTED_VALUE"""),"Orpham")</f>
        <v>Orpham</v>
      </c>
      <c r="D14" s="6"/>
    </row>
    <row r="15" spans="1:4" ht="15.75" customHeight="1" x14ac:dyDescent="0.15">
      <c r="A15" s="5" t="s">
        <v>15</v>
      </c>
      <c r="B15" s="17" t="str">
        <f ca="1">IFERROR(__xludf.DUMMYFUNCTION("""COMPUTED_VALUE"""),"function unknown
function unknown
")</f>
        <v xml:space="preserve">function unknown
function unknown
</v>
      </c>
      <c r="C15" s="17" t="str">
        <f ca="1">IFERROR(__xludf.DUMMYFUNCTION("""COMPUTED_VALUE"""),"Orpham")</f>
        <v>Orpham</v>
      </c>
      <c r="D15" s="6"/>
    </row>
    <row r="16" spans="1:4" ht="15.75" customHeight="1" x14ac:dyDescent="0.15">
      <c r="A16" s="5" t="s">
        <v>16</v>
      </c>
      <c r="B16" s="17" t="str">
        <f ca="1">IFERROR(__xludf.DUMMYFUNCTION("""COMPUTED_VALUE"""),"orpham
")</f>
        <v xml:space="preserve">orpham
</v>
      </c>
      <c r="C16" s="17" t="str">
        <f ca="1">IFERROR(__xludf.DUMMYFUNCTION("""COMPUTED_VALUE"""),"There are no adjacent genes / function is still to be determined")</f>
        <v>There are no adjacent genes / function is still to be determined</v>
      </c>
      <c r="D16" s="6"/>
    </row>
    <row r="17" spans="1:4" ht="15.75" customHeight="1" x14ac:dyDescent="0.15">
      <c r="A17" s="5" t="s">
        <v>17</v>
      </c>
      <c r="B17" s="17" t="str">
        <f ca="1">IFERROR(__xludf.DUMMYFUNCTION("""COMPUTED_VALUE"""),"pectrin alpha chain, brain and P41 peptide chimera; chimer, Spc-SH3, P41, SIGNALING PROTEIN; NMR
Probability: 43.38%
% alignment Q: 29.4%
% alignment T: 26.0%
yes
")</f>
        <v xml:space="preserve">pectrin alpha chain, brain and P41 peptide chimera; chimer, Spc-SH3, P41, SIGNALING PROTEIN; NMR
Probability: 43.38%
% alignment Q: 29.4%
% alignment T: 26.0%
yes
</v>
      </c>
      <c r="C17" s="17" t="str">
        <f ca="1">IFERROR(__xludf.DUMMYFUNCTION("""COMPUTED_VALUE"""),"Matches as of now do not need further inquiry due to the gene being an orphan and the matches being unreliable ")</f>
        <v xml:space="preserve">Matches as of now do not need further inquiry due to the gene being an orphan and the matches being unreliable </v>
      </c>
      <c r="D17" s="6"/>
    </row>
    <row r="18" spans="1:4" ht="15.75" customHeight="1" x14ac:dyDescent="0.15">
      <c r="A18" s="5" t="s">
        <v>18</v>
      </c>
      <c r="B18" s="17" t="str">
        <f ca="1">IFERROR(__xludf.DUMMYFUNCTION("""COMPUTED_VALUE"""),"no ")</f>
        <v xml:space="preserve">no </v>
      </c>
      <c r="C18" s="17" t="str">
        <f ca="1">IFERROR(__xludf.DUMMYFUNCTION("""COMPUTED_VALUE"""),"No conserved domain identified")</f>
        <v>No conserved domain identified</v>
      </c>
      <c r="D18" s="6"/>
    </row>
    <row r="19" spans="1:4" ht="15.75" customHeight="1" x14ac:dyDescent="0.15">
      <c r="A19" s="5" t="s">
        <v>19</v>
      </c>
      <c r="B19" s="17" t="str">
        <f ca="1">IFERROR(__xludf.DUMMYFUNCTION("""COMPUTED_VALUE"""),"no ")</f>
        <v xml:space="preserve">no </v>
      </c>
      <c r="C19" s="17" t="str">
        <f ca="1">IFERROR(__xludf.DUMMYFUNCTION("""COMPUTED_VALUE"""),"No membrane protein identified")</f>
        <v>No membrane protein identified</v>
      </c>
      <c r="D19" s="6"/>
    </row>
    <row r="20" spans="1:4" ht="15.75" customHeight="1" x14ac:dyDescent="0.15">
      <c r="A20" s="5" t="s">
        <v>20</v>
      </c>
      <c r="B20" s="17" t="str">
        <f ca="1">IFERROR(__xludf.DUMMYFUNCTION("""COMPUTED_VALUE"""),"hypothetical protein, orpham with no comparable data. Blast results show genes with unknown function. The HHpred result shows a function that is found in Gallus gallus (Red junglefowl) which has a low % alignment to the query. ")</f>
        <v xml:space="preserve">hypothetical protein, orpham with no comparable data. Blast results show genes with unknown function. The HHpred result shows a function that is found in Gallus gallus (Red junglefowl) which has a low % alignment to the query. </v>
      </c>
      <c r="C20" s="17" t="str">
        <f ca="1">IFERROR(__xludf.DUMMYFUNCTION("""COMPUTED_VALUE"""),"Unknown function / Hypothetical protein ( Rationale: Being an orpham gene there is no way to compare and analyze the gene any further. )")</f>
        <v>Unknown function / Hypothetical protein ( Rationale: Being an orpham gene there is no way to compare and analyze the gene any further. )</v>
      </c>
      <c r="D20" s="6"/>
    </row>
    <row r="21" spans="1:4" x14ac:dyDescent="0.2">
      <c r="A21" s="7"/>
      <c r="B21" s="19"/>
      <c r="C21" s="19"/>
      <c r="D21" s="8"/>
    </row>
    <row r="22" spans="1:4" ht="15.75" customHeight="1" x14ac:dyDescent="0.15">
      <c r="A22" s="9" t="s">
        <v>21</v>
      </c>
      <c r="B22" s="19"/>
      <c r="C22" s="19"/>
      <c r="D22" s="8"/>
    </row>
    <row r="23" spans="1:4" ht="15.75" customHeight="1" x14ac:dyDescent="0.15">
      <c r="A23" s="10"/>
      <c r="B23" s="13"/>
      <c r="C23" s="13"/>
    </row>
    <row r="24" spans="1:4" ht="15.75" customHeight="1" x14ac:dyDescent="0.15">
      <c r="A24" s="10"/>
      <c r="B24" s="13"/>
      <c r="C24" s="13"/>
    </row>
    <row r="25" spans="1:4" ht="15.75" customHeight="1" x14ac:dyDescent="0.15">
      <c r="A25" s="10"/>
      <c r="B25" s="13"/>
      <c r="C25" s="13"/>
    </row>
    <row r="26" spans="1:4" ht="15.75" customHeight="1" x14ac:dyDescent="0.15">
      <c r="A26" s="10"/>
      <c r="B26" s="13"/>
      <c r="C26" s="13"/>
    </row>
    <row r="27" spans="1:4" ht="15.75" customHeight="1" x14ac:dyDescent="0.15">
      <c r="A27" s="10"/>
      <c r="B27" s="13"/>
      <c r="C27" s="13"/>
    </row>
    <row r="28" spans="1:4" ht="15.75" customHeight="1" x14ac:dyDescent="0.15">
      <c r="A28" s="10"/>
      <c r="B28" s="13"/>
      <c r="C28" s="13"/>
    </row>
    <row r="29" spans="1:4" ht="15.75" customHeight="1" x14ac:dyDescent="0.15">
      <c r="A29" s="10"/>
      <c r="B29" s="13"/>
      <c r="C29" s="13"/>
    </row>
    <row r="30" spans="1:4" ht="15.75" customHeight="1" x14ac:dyDescent="0.15">
      <c r="A30" s="10"/>
      <c r="B30" s="13"/>
      <c r="C30" s="13"/>
    </row>
    <row r="31" spans="1:4" ht="15.75" customHeight="1" x14ac:dyDescent="0.15">
      <c r="A31" s="10"/>
      <c r="B31" s="13"/>
      <c r="C31" s="13"/>
    </row>
    <row r="32" spans="1:4" ht="15.75" customHeight="1" x14ac:dyDescent="0.15">
      <c r="A32" s="10"/>
      <c r="B32" s="13"/>
      <c r="C32" s="13"/>
    </row>
    <row r="33" spans="1:3" ht="15.75" customHeight="1" x14ac:dyDescent="0.15">
      <c r="A33" s="10"/>
      <c r="B33" s="13"/>
      <c r="C33" s="13"/>
    </row>
    <row r="34" spans="1:3" ht="15.75" customHeight="1" x14ac:dyDescent="0.15">
      <c r="A34" s="10"/>
      <c r="B34" s="13"/>
      <c r="C34" s="13"/>
    </row>
    <row r="35" spans="1:3" ht="15.75" customHeight="1" x14ac:dyDescent="0.15">
      <c r="A35" s="10"/>
      <c r="B35" s="13"/>
      <c r="C35" s="13"/>
    </row>
    <row r="36" spans="1:3" ht="15.75" customHeight="1" x14ac:dyDescent="0.15">
      <c r="A36" s="10"/>
      <c r="B36" s="13"/>
      <c r="C36" s="13"/>
    </row>
    <row r="37" spans="1:3" ht="15.75" customHeight="1" x14ac:dyDescent="0.15">
      <c r="A37" s="10"/>
      <c r="B37" s="13"/>
      <c r="C37" s="13"/>
    </row>
    <row r="38" spans="1:3" ht="15.75" customHeight="1" x14ac:dyDescent="0.15">
      <c r="A38" s="10"/>
      <c r="B38" s="13"/>
      <c r="C38" s="13"/>
    </row>
    <row r="39" spans="1:3" ht="13" x14ac:dyDescent="0.15">
      <c r="A39" s="10"/>
      <c r="B39" s="13"/>
      <c r="C39" s="13"/>
    </row>
    <row r="40" spans="1:3" ht="13" x14ac:dyDescent="0.15">
      <c r="A40" s="10"/>
      <c r="B40" s="13"/>
      <c r="C40" s="13"/>
    </row>
    <row r="41" spans="1:3" ht="13" x14ac:dyDescent="0.15">
      <c r="A41" s="10"/>
      <c r="B41" s="13"/>
      <c r="C41" s="13"/>
    </row>
    <row r="42" spans="1:3" ht="13" x14ac:dyDescent="0.15">
      <c r="A42" s="10"/>
      <c r="B42" s="13"/>
      <c r="C42" s="13"/>
    </row>
    <row r="43" spans="1:3" ht="13" x14ac:dyDescent="0.15">
      <c r="A43" s="10"/>
      <c r="B43" s="13"/>
      <c r="C43" s="13"/>
    </row>
    <row r="44" spans="1:3" ht="13" x14ac:dyDescent="0.15">
      <c r="A44" s="10"/>
      <c r="B44" s="13"/>
      <c r="C44" s="13"/>
    </row>
    <row r="45" spans="1:3" ht="13" x14ac:dyDescent="0.15">
      <c r="A45" s="10"/>
      <c r="B45" s="13"/>
      <c r="C45" s="13"/>
    </row>
    <row r="46" spans="1:3" ht="13" x14ac:dyDescent="0.15">
      <c r="A46" s="10"/>
      <c r="B46" s="13"/>
      <c r="C46" s="13"/>
    </row>
    <row r="47" spans="1:3" ht="13" x14ac:dyDescent="0.15">
      <c r="A47" s="10"/>
      <c r="B47" s="13"/>
      <c r="C47" s="13"/>
    </row>
    <row r="48" spans="1:3" ht="13" x14ac:dyDescent="0.15">
      <c r="A48" s="10"/>
      <c r="B48" s="13"/>
      <c r="C48" s="13"/>
    </row>
    <row r="49" spans="1:3" ht="13" x14ac:dyDescent="0.15">
      <c r="A49" s="10"/>
      <c r="B49" s="13"/>
      <c r="C49" s="13"/>
    </row>
    <row r="50" spans="1:3" ht="13" x14ac:dyDescent="0.15">
      <c r="A50" s="10"/>
      <c r="B50" s="13"/>
      <c r="C50" s="13"/>
    </row>
    <row r="51" spans="1:3" ht="13" x14ac:dyDescent="0.15">
      <c r="A51" s="10"/>
      <c r="B51" s="13"/>
      <c r="C51" s="13"/>
    </row>
    <row r="52" spans="1:3" ht="13" x14ac:dyDescent="0.15">
      <c r="A52" s="10"/>
      <c r="B52" s="13"/>
      <c r="C52" s="13"/>
    </row>
    <row r="53" spans="1:3" ht="13" x14ac:dyDescent="0.15">
      <c r="A53" s="10"/>
      <c r="B53" s="13"/>
      <c r="C53" s="13"/>
    </row>
    <row r="54" spans="1:3" ht="13" x14ac:dyDescent="0.15">
      <c r="A54" s="10"/>
      <c r="B54" s="13"/>
      <c r="C54" s="13"/>
    </row>
    <row r="55" spans="1:3" ht="13" x14ac:dyDescent="0.15">
      <c r="A55" s="10"/>
      <c r="B55" s="13"/>
      <c r="C55" s="13"/>
    </row>
    <row r="56" spans="1:3" ht="13" x14ac:dyDescent="0.15">
      <c r="A56" s="10"/>
      <c r="B56" s="13"/>
      <c r="C56" s="13"/>
    </row>
    <row r="57" spans="1:3" ht="13" x14ac:dyDescent="0.15">
      <c r="A57" s="10"/>
      <c r="B57" s="13"/>
      <c r="C57" s="13"/>
    </row>
    <row r="58" spans="1:3" ht="13" x14ac:dyDescent="0.15">
      <c r="A58" s="10"/>
      <c r="B58" s="13"/>
      <c r="C58" s="13"/>
    </row>
    <row r="59" spans="1:3" ht="13" x14ac:dyDescent="0.15">
      <c r="A59" s="10"/>
      <c r="B59" s="13"/>
      <c r="C59" s="13"/>
    </row>
    <row r="60" spans="1:3" ht="13" x14ac:dyDescent="0.15">
      <c r="A60" s="10"/>
      <c r="B60" s="13"/>
      <c r="C60" s="13"/>
    </row>
    <row r="61" spans="1:3" ht="13" x14ac:dyDescent="0.15">
      <c r="A61" s="10"/>
      <c r="B61" s="13"/>
      <c r="C61" s="13"/>
    </row>
    <row r="62" spans="1:3" ht="13" x14ac:dyDescent="0.15">
      <c r="A62" s="10"/>
      <c r="B62" s="13"/>
      <c r="C62" s="13"/>
    </row>
    <row r="63" spans="1:3" ht="13" x14ac:dyDescent="0.15">
      <c r="A63" s="10"/>
      <c r="B63" s="13"/>
      <c r="C63" s="13"/>
    </row>
    <row r="64" spans="1:3" ht="13" x14ac:dyDescent="0.15">
      <c r="A64" s="10"/>
      <c r="B64" s="13"/>
      <c r="C64" s="13"/>
    </row>
    <row r="65" spans="1:3" ht="13" x14ac:dyDescent="0.15">
      <c r="A65" s="10"/>
      <c r="B65" s="13"/>
      <c r="C65" s="13"/>
    </row>
    <row r="66" spans="1:3" ht="13" x14ac:dyDescent="0.15">
      <c r="A66" s="10"/>
      <c r="B66" s="13"/>
      <c r="C66" s="13"/>
    </row>
    <row r="67" spans="1:3" ht="13" x14ac:dyDescent="0.15">
      <c r="A67" s="10"/>
      <c r="B67" s="13"/>
      <c r="C67" s="13"/>
    </row>
    <row r="68" spans="1:3" ht="13" x14ac:dyDescent="0.15">
      <c r="A68" s="10"/>
      <c r="B68" s="13"/>
      <c r="C68" s="13"/>
    </row>
    <row r="69" spans="1:3" ht="13" x14ac:dyDescent="0.15">
      <c r="A69" s="10"/>
      <c r="B69" s="13"/>
      <c r="C69" s="13"/>
    </row>
    <row r="70" spans="1:3" ht="13" x14ac:dyDescent="0.15">
      <c r="A70" s="10"/>
      <c r="B70" s="13"/>
      <c r="C70" s="13"/>
    </row>
    <row r="71" spans="1:3" ht="13" x14ac:dyDescent="0.15">
      <c r="A71" s="10"/>
      <c r="B71" s="13"/>
      <c r="C71" s="13"/>
    </row>
    <row r="72" spans="1:3" ht="13" x14ac:dyDescent="0.15">
      <c r="A72" s="10"/>
      <c r="B72" s="13"/>
      <c r="C72" s="13"/>
    </row>
    <row r="73" spans="1:3" ht="13" x14ac:dyDescent="0.15">
      <c r="A73" s="10"/>
      <c r="B73" s="13"/>
      <c r="C73" s="13"/>
    </row>
    <row r="74" spans="1:3" ht="13" x14ac:dyDescent="0.15">
      <c r="A74" s="10"/>
      <c r="B74" s="13"/>
      <c r="C74" s="13"/>
    </row>
    <row r="75" spans="1:3" ht="13" x14ac:dyDescent="0.15">
      <c r="A75" s="10"/>
      <c r="B75" s="13"/>
      <c r="C75" s="13"/>
    </row>
    <row r="76" spans="1:3" ht="13" x14ac:dyDescent="0.15">
      <c r="A76" s="10"/>
      <c r="B76" s="13"/>
      <c r="C76" s="13"/>
    </row>
    <row r="77" spans="1:3" ht="13" x14ac:dyDescent="0.15">
      <c r="A77" s="10"/>
      <c r="B77" s="13"/>
      <c r="C77" s="13"/>
    </row>
    <row r="78" spans="1:3" ht="13" x14ac:dyDescent="0.15">
      <c r="A78" s="10"/>
      <c r="B78" s="13"/>
      <c r="C78" s="13"/>
    </row>
    <row r="79" spans="1:3" ht="13" x14ac:dyDescent="0.15">
      <c r="A79" s="10"/>
      <c r="B79" s="13"/>
      <c r="C79" s="13"/>
    </row>
    <row r="80" spans="1:3" ht="13" x14ac:dyDescent="0.15">
      <c r="A80" s="10"/>
      <c r="B80" s="13"/>
      <c r="C80" s="13"/>
    </row>
    <row r="81" spans="1:3" ht="13" x14ac:dyDescent="0.15">
      <c r="A81" s="10"/>
      <c r="B81" s="13"/>
      <c r="C81" s="13"/>
    </row>
    <row r="82" spans="1:3" ht="13" x14ac:dyDescent="0.15">
      <c r="A82" s="10"/>
      <c r="B82" s="13"/>
      <c r="C82" s="13"/>
    </row>
    <row r="83" spans="1:3" ht="13" x14ac:dyDescent="0.15">
      <c r="A83" s="10"/>
      <c r="B83" s="13"/>
      <c r="C83" s="13"/>
    </row>
    <row r="84" spans="1:3" ht="13" x14ac:dyDescent="0.15">
      <c r="A84" s="10"/>
      <c r="B84" s="13"/>
      <c r="C84" s="13"/>
    </row>
    <row r="85" spans="1:3" ht="13" x14ac:dyDescent="0.15">
      <c r="A85" s="10"/>
      <c r="B85" s="13"/>
      <c r="C85" s="13"/>
    </row>
    <row r="86" spans="1:3" ht="13" x14ac:dyDescent="0.15">
      <c r="A86" s="10"/>
      <c r="B86" s="13"/>
      <c r="C86" s="13"/>
    </row>
    <row r="87" spans="1:3" ht="13" x14ac:dyDescent="0.15">
      <c r="A87" s="10"/>
      <c r="B87" s="13"/>
      <c r="C87" s="13"/>
    </row>
    <row r="88" spans="1:3" ht="13" x14ac:dyDescent="0.15">
      <c r="A88" s="10"/>
      <c r="B88" s="13"/>
      <c r="C88" s="13"/>
    </row>
    <row r="89" spans="1:3" ht="13" x14ac:dyDescent="0.15">
      <c r="A89" s="10"/>
      <c r="B89" s="13"/>
      <c r="C89" s="13"/>
    </row>
    <row r="90" spans="1:3" ht="13" x14ac:dyDescent="0.15">
      <c r="A90" s="10"/>
      <c r="B90" s="13"/>
      <c r="C90" s="13"/>
    </row>
    <row r="91" spans="1:3" ht="13" x14ac:dyDescent="0.15">
      <c r="A91" s="10"/>
      <c r="B91" s="13"/>
      <c r="C91" s="13"/>
    </row>
    <row r="92" spans="1:3" ht="13" x14ac:dyDescent="0.15">
      <c r="A92" s="10"/>
      <c r="B92" s="13"/>
      <c r="C92" s="13"/>
    </row>
    <row r="93" spans="1:3" ht="13" x14ac:dyDescent="0.15">
      <c r="A93" s="10"/>
      <c r="B93" s="13"/>
      <c r="C93" s="13"/>
    </row>
    <row r="94" spans="1:3" ht="13" x14ac:dyDescent="0.15">
      <c r="A94" s="10"/>
      <c r="B94" s="13"/>
      <c r="C94" s="13"/>
    </row>
    <row r="95" spans="1:3" ht="13" x14ac:dyDescent="0.15">
      <c r="A95" s="10"/>
      <c r="B95" s="13"/>
      <c r="C95" s="13"/>
    </row>
    <row r="96" spans="1:3" ht="13" x14ac:dyDescent="0.15">
      <c r="A96" s="10"/>
      <c r="B96" s="13"/>
      <c r="C96" s="13"/>
    </row>
    <row r="97" spans="1:3" ht="13" x14ac:dyDescent="0.15">
      <c r="A97" s="10"/>
      <c r="B97" s="13"/>
      <c r="C97" s="13"/>
    </row>
    <row r="98" spans="1:3" ht="13" x14ac:dyDescent="0.15">
      <c r="A98" s="10"/>
      <c r="B98" s="13"/>
      <c r="C98" s="13"/>
    </row>
    <row r="99" spans="1:3" ht="13" x14ac:dyDescent="0.15">
      <c r="A99" s="10"/>
      <c r="B99" s="13"/>
      <c r="C99" s="13"/>
    </row>
    <row r="100" spans="1:3" ht="13" x14ac:dyDescent="0.15">
      <c r="A100" s="10"/>
      <c r="B100" s="13"/>
      <c r="C100" s="13"/>
    </row>
    <row r="101" spans="1:3" ht="13" x14ac:dyDescent="0.15">
      <c r="A101" s="10"/>
      <c r="B101" s="13"/>
      <c r="C101" s="13"/>
    </row>
    <row r="102" spans="1:3" ht="13" x14ac:dyDescent="0.15">
      <c r="A102" s="10"/>
      <c r="B102" s="13"/>
      <c r="C102" s="13"/>
    </row>
    <row r="103" spans="1:3" ht="13" x14ac:dyDescent="0.15">
      <c r="A103" s="10"/>
      <c r="B103" s="13"/>
      <c r="C103" s="13"/>
    </row>
    <row r="104" spans="1:3" ht="13" x14ac:dyDescent="0.15">
      <c r="A104" s="10"/>
      <c r="B104" s="13"/>
      <c r="C104" s="13"/>
    </row>
    <row r="105" spans="1:3" ht="13" x14ac:dyDescent="0.15">
      <c r="A105" s="10"/>
      <c r="B105" s="13"/>
      <c r="C105" s="13"/>
    </row>
    <row r="106" spans="1:3" ht="13" x14ac:dyDescent="0.15">
      <c r="A106" s="10"/>
      <c r="B106" s="13"/>
      <c r="C106" s="13"/>
    </row>
    <row r="107" spans="1:3" ht="13" x14ac:dyDescent="0.15">
      <c r="A107" s="10"/>
      <c r="B107" s="13"/>
      <c r="C107" s="13"/>
    </row>
    <row r="108" spans="1:3" ht="13" x14ac:dyDescent="0.15">
      <c r="A108" s="10"/>
      <c r="B108" s="13"/>
      <c r="C108" s="13"/>
    </row>
    <row r="109" spans="1:3" ht="13" x14ac:dyDescent="0.15">
      <c r="A109" s="10"/>
      <c r="B109" s="13"/>
      <c r="C109" s="13"/>
    </row>
    <row r="110" spans="1:3" ht="13" x14ac:dyDescent="0.15">
      <c r="A110" s="10"/>
      <c r="B110" s="13"/>
      <c r="C110" s="13"/>
    </row>
    <row r="111" spans="1:3" ht="13" x14ac:dyDescent="0.15">
      <c r="A111" s="10"/>
      <c r="B111" s="13"/>
      <c r="C111" s="13"/>
    </row>
    <row r="112" spans="1:3" ht="13" x14ac:dyDescent="0.15">
      <c r="A112" s="10"/>
      <c r="B112" s="13"/>
      <c r="C112" s="13"/>
    </row>
    <row r="113" spans="1:3" ht="13" x14ac:dyDescent="0.15">
      <c r="A113" s="10"/>
      <c r="B113" s="13"/>
      <c r="C113" s="13"/>
    </row>
    <row r="114" spans="1:3" ht="13" x14ac:dyDescent="0.15">
      <c r="A114" s="10"/>
      <c r="B114" s="13"/>
      <c r="C114" s="13"/>
    </row>
    <row r="115" spans="1:3" ht="13" x14ac:dyDescent="0.15">
      <c r="A115" s="10"/>
      <c r="B115" s="13"/>
      <c r="C115" s="13"/>
    </row>
    <row r="116" spans="1:3" ht="13" x14ac:dyDescent="0.15">
      <c r="A116" s="10"/>
      <c r="B116" s="13"/>
      <c r="C116" s="13"/>
    </row>
    <row r="117" spans="1:3" ht="13" x14ac:dyDescent="0.15">
      <c r="A117" s="10"/>
      <c r="B117" s="13"/>
      <c r="C117" s="13"/>
    </row>
    <row r="118" spans="1:3" ht="13" x14ac:dyDescent="0.15">
      <c r="A118" s="10"/>
      <c r="B118" s="13"/>
      <c r="C118" s="13"/>
    </row>
    <row r="119" spans="1:3" ht="13" x14ac:dyDescent="0.15">
      <c r="A119" s="10"/>
      <c r="B119" s="13"/>
      <c r="C119" s="13"/>
    </row>
    <row r="120" spans="1:3" ht="13" x14ac:dyDescent="0.15">
      <c r="A120" s="10"/>
      <c r="B120" s="13"/>
      <c r="C120" s="13"/>
    </row>
    <row r="121" spans="1:3" ht="13" x14ac:dyDescent="0.15">
      <c r="A121" s="10"/>
      <c r="B121" s="13"/>
      <c r="C121" s="13"/>
    </row>
    <row r="122" spans="1:3" ht="13" x14ac:dyDescent="0.15">
      <c r="A122" s="10"/>
      <c r="B122" s="13"/>
      <c r="C122" s="13"/>
    </row>
    <row r="123" spans="1:3" ht="13" x14ac:dyDescent="0.15">
      <c r="A123" s="10"/>
      <c r="B123" s="13"/>
      <c r="C123" s="13"/>
    </row>
    <row r="124" spans="1:3" ht="13" x14ac:dyDescent="0.15">
      <c r="A124" s="10"/>
      <c r="B124" s="13"/>
      <c r="C124" s="13"/>
    </row>
    <row r="125" spans="1:3" ht="13" x14ac:dyDescent="0.15">
      <c r="A125" s="10"/>
      <c r="B125" s="13"/>
      <c r="C125" s="13"/>
    </row>
    <row r="126" spans="1:3" ht="13" x14ac:dyDescent="0.15">
      <c r="A126" s="10"/>
      <c r="B126" s="13"/>
      <c r="C126" s="13"/>
    </row>
    <row r="127" spans="1:3" ht="13" x14ac:dyDescent="0.15">
      <c r="A127" s="10"/>
      <c r="B127" s="13"/>
      <c r="C127" s="13"/>
    </row>
    <row r="128" spans="1:3" ht="13" x14ac:dyDescent="0.15">
      <c r="A128" s="10"/>
      <c r="B128" s="13"/>
      <c r="C128" s="13"/>
    </row>
    <row r="129" spans="1:3" ht="13" x14ac:dyDescent="0.15">
      <c r="A129" s="10"/>
      <c r="B129" s="13"/>
      <c r="C129" s="13"/>
    </row>
    <row r="130" spans="1:3" ht="13" x14ac:dyDescent="0.15">
      <c r="A130" s="10"/>
      <c r="B130" s="13"/>
      <c r="C130" s="13"/>
    </row>
    <row r="131" spans="1:3" ht="13" x14ac:dyDescent="0.15">
      <c r="A131" s="10"/>
      <c r="B131" s="13"/>
      <c r="C131" s="13"/>
    </row>
    <row r="132" spans="1:3" ht="13" x14ac:dyDescent="0.15">
      <c r="A132" s="10"/>
      <c r="B132" s="13"/>
      <c r="C132" s="13"/>
    </row>
    <row r="133" spans="1:3" ht="13" x14ac:dyDescent="0.15">
      <c r="A133" s="10"/>
      <c r="B133" s="13"/>
      <c r="C133" s="13"/>
    </row>
    <row r="134" spans="1:3" ht="13" x14ac:dyDescent="0.15">
      <c r="A134" s="10"/>
      <c r="B134" s="13"/>
      <c r="C134" s="13"/>
    </row>
    <row r="135" spans="1:3" ht="13" x14ac:dyDescent="0.15">
      <c r="A135" s="10"/>
      <c r="B135" s="13"/>
      <c r="C135" s="13"/>
    </row>
    <row r="136" spans="1:3" ht="13" x14ac:dyDescent="0.15">
      <c r="A136" s="10"/>
      <c r="B136" s="13"/>
      <c r="C136" s="13"/>
    </row>
    <row r="137" spans="1:3" ht="13" x14ac:dyDescent="0.15">
      <c r="A137" s="10"/>
      <c r="B137" s="13"/>
      <c r="C137" s="13"/>
    </row>
    <row r="138" spans="1:3" ht="13" x14ac:dyDescent="0.15">
      <c r="A138" s="10"/>
      <c r="B138" s="13"/>
      <c r="C138" s="13"/>
    </row>
    <row r="139" spans="1:3" ht="13" x14ac:dyDescent="0.15">
      <c r="A139" s="10"/>
      <c r="B139" s="13"/>
      <c r="C139" s="13"/>
    </row>
    <row r="140" spans="1:3" ht="13" x14ac:dyDescent="0.15">
      <c r="A140" s="10"/>
      <c r="B140" s="13"/>
      <c r="C140" s="13"/>
    </row>
    <row r="141" spans="1:3" ht="13" x14ac:dyDescent="0.15">
      <c r="A141" s="10"/>
      <c r="B141" s="13"/>
      <c r="C141" s="13"/>
    </row>
    <row r="142" spans="1:3" ht="13" x14ac:dyDescent="0.15">
      <c r="A142" s="10"/>
      <c r="B142" s="13"/>
      <c r="C142" s="13"/>
    </row>
    <row r="143" spans="1:3" ht="13" x14ac:dyDescent="0.15">
      <c r="A143" s="10"/>
      <c r="B143" s="13"/>
      <c r="C143" s="13"/>
    </row>
    <row r="144" spans="1:3" ht="13" x14ac:dyDescent="0.15">
      <c r="A144" s="10"/>
      <c r="B144" s="13"/>
      <c r="C144" s="13"/>
    </row>
    <row r="145" spans="1:3" ht="13" x14ac:dyDescent="0.15">
      <c r="A145" s="10"/>
      <c r="B145" s="13"/>
      <c r="C145" s="13"/>
    </row>
    <row r="146" spans="1:3" ht="13" x14ac:dyDescent="0.15">
      <c r="A146" s="10"/>
      <c r="B146" s="13"/>
      <c r="C146" s="13"/>
    </row>
    <row r="147" spans="1:3" ht="13" x14ac:dyDescent="0.15">
      <c r="A147" s="10"/>
      <c r="B147" s="13"/>
      <c r="C147" s="13"/>
    </row>
    <row r="148" spans="1:3" ht="13" x14ac:dyDescent="0.15">
      <c r="A148" s="10"/>
      <c r="B148" s="13"/>
      <c r="C148" s="13"/>
    </row>
    <row r="149" spans="1:3" ht="13" x14ac:dyDescent="0.15">
      <c r="A149" s="10"/>
      <c r="B149" s="13"/>
      <c r="C149" s="13"/>
    </row>
    <row r="150" spans="1:3" ht="13" x14ac:dyDescent="0.15">
      <c r="A150" s="10"/>
      <c r="B150" s="13"/>
      <c r="C150" s="13"/>
    </row>
    <row r="151" spans="1:3" ht="13" x14ac:dyDescent="0.15">
      <c r="A151" s="10"/>
      <c r="B151" s="13"/>
      <c r="C151" s="13"/>
    </row>
    <row r="152" spans="1:3" ht="13" x14ac:dyDescent="0.15">
      <c r="A152" s="10"/>
      <c r="B152" s="13"/>
      <c r="C152" s="13"/>
    </row>
    <row r="153" spans="1:3" ht="13" x14ac:dyDescent="0.15">
      <c r="A153" s="10"/>
      <c r="B153" s="13"/>
      <c r="C153" s="13"/>
    </row>
    <row r="154" spans="1:3" ht="13" x14ac:dyDescent="0.15">
      <c r="A154" s="10"/>
      <c r="B154" s="13"/>
      <c r="C154" s="13"/>
    </row>
    <row r="155" spans="1:3" ht="13" x14ac:dyDescent="0.15">
      <c r="A155" s="10"/>
      <c r="B155" s="13"/>
      <c r="C155" s="13"/>
    </row>
    <row r="156" spans="1:3" ht="13" x14ac:dyDescent="0.15">
      <c r="A156" s="10"/>
      <c r="B156" s="13"/>
      <c r="C156" s="13"/>
    </row>
    <row r="157" spans="1:3" ht="13" x14ac:dyDescent="0.15">
      <c r="A157" s="10"/>
      <c r="B157" s="13"/>
      <c r="C157" s="13"/>
    </row>
    <row r="158" spans="1:3" ht="13" x14ac:dyDescent="0.15">
      <c r="A158" s="10"/>
      <c r="B158" s="13"/>
      <c r="C158" s="13"/>
    </row>
    <row r="159" spans="1:3" ht="13" x14ac:dyDescent="0.15">
      <c r="A159" s="10"/>
      <c r="B159" s="13"/>
      <c r="C159" s="13"/>
    </row>
    <row r="160" spans="1:3" ht="13" x14ac:dyDescent="0.15">
      <c r="A160" s="10"/>
      <c r="B160" s="13"/>
      <c r="C160" s="13"/>
    </row>
    <row r="161" spans="1:3" ht="13" x14ac:dyDescent="0.15">
      <c r="A161" s="10"/>
      <c r="B161" s="13"/>
      <c r="C161" s="13"/>
    </row>
    <row r="162" spans="1:3" ht="13" x14ac:dyDescent="0.15">
      <c r="A162" s="10"/>
      <c r="B162" s="13"/>
      <c r="C162" s="13"/>
    </row>
    <row r="163" spans="1:3" ht="13" x14ac:dyDescent="0.15">
      <c r="A163" s="10"/>
      <c r="B163" s="13"/>
      <c r="C163" s="13"/>
    </row>
    <row r="164" spans="1:3" ht="13" x14ac:dyDescent="0.15">
      <c r="A164" s="10"/>
      <c r="B164" s="13"/>
      <c r="C164" s="13"/>
    </row>
    <row r="165" spans="1:3" ht="13" x14ac:dyDescent="0.15">
      <c r="A165" s="10"/>
      <c r="B165" s="13"/>
      <c r="C165" s="13"/>
    </row>
    <row r="166" spans="1:3" ht="13" x14ac:dyDescent="0.15">
      <c r="A166" s="10"/>
      <c r="B166" s="13"/>
      <c r="C166" s="13"/>
    </row>
    <row r="167" spans="1:3" ht="13" x14ac:dyDescent="0.15">
      <c r="A167" s="10"/>
      <c r="B167" s="13"/>
      <c r="C167" s="13"/>
    </row>
    <row r="168" spans="1:3" ht="13" x14ac:dyDescent="0.15">
      <c r="A168" s="10"/>
      <c r="B168" s="13"/>
      <c r="C168" s="13"/>
    </row>
    <row r="169" spans="1:3" ht="13" x14ac:dyDescent="0.15">
      <c r="A169" s="10"/>
      <c r="B169" s="13"/>
      <c r="C169" s="13"/>
    </row>
    <row r="170" spans="1:3" ht="13" x14ac:dyDescent="0.15">
      <c r="A170" s="10"/>
      <c r="B170" s="13"/>
      <c r="C170" s="13"/>
    </row>
    <row r="171" spans="1:3" ht="13" x14ac:dyDescent="0.15">
      <c r="A171" s="10"/>
      <c r="B171" s="13"/>
      <c r="C171" s="13"/>
    </row>
    <row r="172" spans="1:3" ht="13" x14ac:dyDescent="0.15">
      <c r="A172" s="10"/>
      <c r="B172" s="13"/>
      <c r="C172" s="13"/>
    </row>
    <row r="173" spans="1:3" ht="13" x14ac:dyDescent="0.15">
      <c r="A173" s="10"/>
      <c r="B173" s="13"/>
      <c r="C173" s="13"/>
    </row>
    <row r="174" spans="1:3" ht="13" x14ac:dyDescent="0.15">
      <c r="A174" s="10"/>
      <c r="B174" s="13"/>
      <c r="C174" s="13"/>
    </row>
    <row r="175" spans="1:3" ht="13" x14ac:dyDescent="0.15">
      <c r="A175" s="10"/>
      <c r="B175" s="13"/>
      <c r="C175" s="13"/>
    </row>
    <row r="176" spans="1:3" ht="13" x14ac:dyDescent="0.15">
      <c r="A176" s="10"/>
      <c r="B176" s="13"/>
      <c r="C176" s="13"/>
    </row>
    <row r="177" spans="1:3" ht="13" x14ac:dyDescent="0.15">
      <c r="A177" s="10"/>
      <c r="B177" s="13"/>
      <c r="C177" s="13"/>
    </row>
    <row r="178" spans="1:3" ht="13" x14ac:dyDescent="0.15">
      <c r="A178" s="10"/>
      <c r="B178" s="13"/>
      <c r="C178" s="13"/>
    </row>
    <row r="179" spans="1:3" ht="13" x14ac:dyDescent="0.15">
      <c r="A179" s="10"/>
      <c r="B179" s="13"/>
      <c r="C179" s="13"/>
    </row>
    <row r="180" spans="1:3" ht="13" x14ac:dyDescent="0.15">
      <c r="A180" s="10"/>
      <c r="B180" s="13"/>
      <c r="C180" s="13"/>
    </row>
    <row r="181" spans="1:3" ht="13" x14ac:dyDescent="0.15">
      <c r="A181" s="10"/>
      <c r="B181" s="13"/>
      <c r="C181" s="13"/>
    </row>
    <row r="182" spans="1:3" ht="13" x14ac:dyDescent="0.15">
      <c r="A182" s="10"/>
      <c r="B182" s="13"/>
      <c r="C182" s="13"/>
    </row>
    <row r="183" spans="1:3" ht="13" x14ac:dyDescent="0.15">
      <c r="A183" s="10"/>
      <c r="B183" s="13"/>
      <c r="C183" s="13"/>
    </row>
    <row r="184" spans="1:3" ht="13" x14ac:dyDescent="0.15">
      <c r="A184" s="10"/>
      <c r="B184" s="13"/>
      <c r="C184" s="13"/>
    </row>
    <row r="185" spans="1:3" ht="13" x14ac:dyDescent="0.15">
      <c r="A185" s="10"/>
      <c r="B185" s="13"/>
      <c r="C185" s="13"/>
    </row>
    <row r="186" spans="1:3" ht="13" x14ac:dyDescent="0.15">
      <c r="A186" s="10"/>
      <c r="B186" s="13"/>
      <c r="C186" s="13"/>
    </row>
    <row r="187" spans="1:3" ht="13" x14ac:dyDescent="0.15">
      <c r="A187" s="10"/>
      <c r="B187" s="13"/>
      <c r="C187" s="13"/>
    </row>
    <row r="188" spans="1:3" ht="13" x14ac:dyDescent="0.15">
      <c r="A188" s="10"/>
      <c r="B188" s="13"/>
      <c r="C188" s="13"/>
    </row>
    <row r="189" spans="1:3" ht="13" x14ac:dyDescent="0.15">
      <c r="A189" s="10"/>
      <c r="B189" s="13"/>
      <c r="C189" s="13"/>
    </row>
    <row r="190" spans="1:3" ht="13" x14ac:dyDescent="0.15">
      <c r="A190" s="10"/>
      <c r="B190" s="13"/>
      <c r="C190" s="13"/>
    </row>
    <row r="191" spans="1:3" ht="13" x14ac:dyDescent="0.15">
      <c r="A191" s="10"/>
      <c r="B191" s="13"/>
      <c r="C191" s="13"/>
    </row>
    <row r="192" spans="1:3" ht="13" x14ac:dyDescent="0.15">
      <c r="A192" s="10"/>
      <c r="B192" s="13"/>
      <c r="C192" s="13"/>
    </row>
    <row r="193" spans="1:3" ht="13" x14ac:dyDescent="0.15">
      <c r="A193" s="10"/>
      <c r="B193" s="13"/>
      <c r="C193" s="13"/>
    </row>
    <row r="194" spans="1:3" ht="13" x14ac:dyDescent="0.15">
      <c r="A194" s="10"/>
      <c r="B194" s="13"/>
      <c r="C194" s="13"/>
    </row>
    <row r="195" spans="1:3" ht="13" x14ac:dyDescent="0.15">
      <c r="A195" s="10"/>
      <c r="B195" s="13"/>
      <c r="C195" s="13"/>
    </row>
    <row r="196" spans="1:3" ht="13" x14ac:dyDescent="0.15">
      <c r="A196" s="10"/>
      <c r="B196" s="13"/>
      <c r="C196" s="13"/>
    </row>
    <row r="197" spans="1:3" ht="13" x14ac:dyDescent="0.15">
      <c r="A197" s="10"/>
      <c r="B197" s="13"/>
      <c r="C197" s="13"/>
    </row>
    <row r="198" spans="1:3" ht="13" x14ac:dyDescent="0.15">
      <c r="A198" s="10"/>
      <c r="B198" s="13"/>
      <c r="C198" s="13"/>
    </row>
    <row r="199" spans="1:3" ht="13" x14ac:dyDescent="0.15">
      <c r="A199" s="10"/>
      <c r="B199" s="13"/>
      <c r="C199" s="13"/>
    </row>
    <row r="200" spans="1:3" ht="13" x14ac:dyDescent="0.15">
      <c r="A200" s="10"/>
      <c r="B200" s="13"/>
      <c r="C200" s="13"/>
    </row>
    <row r="201" spans="1:3" ht="13" x14ac:dyDescent="0.15">
      <c r="A201" s="10"/>
      <c r="B201" s="13"/>
      <c r="C201" s="13"/>
    </row>
    <row r="202" spans="1:3" ht="13" x14ac:dyDescent="0.15">
      <c r="A202" s="10"/>
      <c r="B202" s="13"/>
      <c r="C202" s="13"/>
    </row>
    <row r="203" spans="1:3" ht="13" x14ac:dyDescent="0.15">
      <c r="A203" s="10"/>
      <c r="B203" s="13"/>
      <c r="C203" s="13"/>
    </row>
    <row r="204" spans="1:3" ht="13" x14ac:dyDescent="0.15">
      <c r="A204" s="10"/>
      <c r="B204" s="13"/>
      <c r="C204" s="13"/>
    </row>
    <row r="205" spans="1:3" ht="13" x14ac:dyDescent="0.15">
      <c r="A205" s="10"/>
      <c r="B205" s="13"/>
      <c r="C205" s="13"/>
    </row>
    <row r="206" spans="1:3" ht="13" x14ac:dyDescent="0.15">
      <c r="A206" s="10"/>
      <c r="B206" s="13"/>
      <c r="C206" s="13"/>
    </row>
    <row r="207" spans="1:3" ht="13" x14ac:dyDescent="0.15">
      <c r="A207" s="10"/>
      <c r="B207" s="13"/>
      <c r="C207" s="13"/>
    </row>
    <row r="208" spans="1:3" ht="13" x14ac:dyDescent="0.15">
      <c r="A208" s="10"/>
      <c r="B208" s="13"/>
      <c r="C208" s="13"/>
    </row>
    <row r="209" spans="1:3" ht="13" x14ac:dyDescent="0.15">
      <c r="A209" s="10"/>
      <c r="B209" s="13"/>
      <c r="C209" s="13"/>
    </row>
    <row r="210" spans="1:3" ht="13" x14ac:dyDescent="0.15">
      <c r="A210" s="10"/>
      <c r="B210" s="13"/>
      <c r="C210" s="13"/>
    </row>
    <row r="211" spans="1:3" ht="13" x14ac:dyDescent="0.15">
      <c r="A211" s="10"/>
      <c r="B211" s="13"/>
      <c r="C211" s="13"/>
    </row>
    <row r="212" spans="1:3" ht="13" x14ac:dyDescent="0.15">
      <c r="A212" s="10"/>
      <c r="B212" s="13"/>
      <c r="C212" s="13"/>
    </row>
    <row r="213" spans="1:3" ht="13" x14ac:dyDescent="0.15">
      <c r="A213" s="10"/>
      <c r="B213" s="13"/>
      <c r="C213" s="13"/>
    </row>
    <row r="214" spans="1:3" ht="13" x14ac:dyDescent="0.15">
      <c r="A214" s="10"/>
      <c r="B214" s="13"/>
      <c r="C214" s="13"/>
    </row>
    <row r="215" spans="1:3" ht="13" x14ac:dyDescent="0.15">
      <c r="A215" s="10"/>
      <c r="B215" s="13"/>
      <c r="C215" s="13"/>
    </row>
    <row r="216" spans="1:3" ht="13" x14ac:dyDescent="0.15">
      <c r="A216" s="10"/>
      <c r="B216" s="13"/>
      <c r="C216" s="13"/>
    </row>
    <row r="217" spans="1:3" ht="13" x14ac:dyDescent="0.15">
      <c r="A217" s="10"/>
      <c r="B217" s="13"/>
      <c r="C217" s="13"/>
    </row>
    <row r="218" spans="1:3" ht="13" x14ac:dyDescent="0.15">
      <c r="A218" s="10"/>
      <c r="B218" s="13"/>
      <c r="C218" s="13"/>
    </row>
    <row r="219" spans="1:3" ht="13" x14ac:dyDescent="0.15">
      <c r="A219" s="10"/>
      <c r="B219" s="13"/>
      <c r="C219" s="13"/>
    </row>
    <row r="220" spans="1:3" ht="13" x14ac:dyDescent="0.15">
      <c r="A220" s="10"/>
      <c r="B220" s="13"/>
      <c r="C220" s="13"/>
    </row>
    <row r="221" spans="1:3" ht="13" x14ac:dyDescent="0.15">
      <c r="A221" s="10"/>
      <c r="B221" s="13"/>
      <c r="C221" s="13"/>
    </row>
    <row r="222" spans="1:3" ht="13" x14ac:dyDescent="0.15">
      <c r="A222" s="10"/>
      <c r="B222" s="13"/>
      <c r="C222" s="13"/>
    </row>
    <row r="223" spans="1:3" ht="13" x14ac:dyDescent="0.15">
      <c r="A223" s="10"/>
      <c r="B223" s="13"/>
      <c r="C223" s="13"/>
    </row>
    <row r="224" spans="1:3" ht="13" x14ac:dyDescent="0.15">
      <c r="A224" s="10"/>
      <c r="B224" s="13"/>
      <c r="C224" s="13"/>
    </row>
    <row r="225" spans="1:3" ht="13" x14ac:dyDescent="0.15">
      <c r="A225" s="10"/>
      <c r="B225" s="13"/>
      <c r="C225" s="13"/>
    </row>
    <row r="226" spans="1:3" ht="13" x14ac:dyDescent="0.15">
      <c r="A226" s="10"/>
      <c r="B226" s="13"/>
      <c r="C226" s="13"/>
    </row>
    <row r="227" spans="1:3" ht="13" x14ac:dyDescent="0.15">
      <c r="A227" s="10"/>
      <c r="B227" s="13"/>
      <c r="C227" s="13"/>
    </row>
    <row r="228" spans="1:3" ht="13" x14ac:dyDescent="0.15">
      <c r="A228" s="10"/>
      <c r="B228" s="13"/>
      <c r="C228" s="13"/>
    </row>
    <row r="229" spans="1:3" ht="13" x14ac:dyDescent="0.15">
      <c r="A229" s="10"/>
      <c r="B229" s="13"/>
      <c r="C229" s="13"/>
    </row>
    <row r="230" spans="1:3" ht="13" x14ac:dyDescent="0.15">
      <c r="A230" s="10"/>
      <c r="B230" s="13"/>
      <c r="C230" s="13"/>
    </row>
    <row r="231" spans="1:3" ht="13" x14ac:dyDescent="0.15">
      <c r="A231" s="10"/>
      <c r="B231" s="13"/>
      <c r="C231" s="13"/>
    </row>
    <row r="232" spans="1:3" ht="13" x14ac:dyDescent="0.15">
      <c r="A232" s="10"/>
      <c r="B232" s="13"/>
      <c r="C232" s="13"/>
    </row>
    <row r="233" spans="1:3" ht="13" x14ac:dyDescent="0.15">
      <c r="A233" s="10"/>
      <c r="B233" s="13"/>
      <c r="C233" s="13"/>
    </row>
    <row r="234" spans="1:3" ht="13" x14ac:dyDescent="0.15">
      <c r="A234" s="10"/>
      <c r="B234" s="13"/>
      <c r="C234" s="13"/>
    </row>
    <row r="235" spans="1:3" ht="13" x14ac:dyDescent="0.15">
      <c r="A235" s="10"/>
      <c r="B235" s="13"/>
      <c r="C235" s="13"/>
    </row>
    <row r="236" spans="1:3" ht="13" x14ac:dyDescent="0.15">
      <c r="A236" s="10"/>
      <c r="B236" s="13"/>
      <c r="C236" s="13"/>
    </row>
    <row r="237" spans="1:3" ht="13" x14ac:dyDescent="0.15">
      <c r="A237" s="10"/>
      <c r="B237" s="13"/>
      <c r="C237" s="13"/>
    </row>
    <row r="238" spans="1:3" ht="13" x14ac:dyDescent="0.15">
      <c r="A238" s="10"/>
      <c r="B238" s="13"/>
      <c r="C238" s="13"/>
    </row>
    <row r="239" spans="1:3" ht="13" x14ac:dyDescent="0.15">
      <c r="A239" s="10"/>
      <c r="B239" s="13"/>
      <c r="C239" s="13"/>
    </row>
    <row r="240" spans="1:3" ht="13" x14ac:dyDescent="0.15">
      <c r="A240" s="10"/>
      <c r="B240" s="13"/>
      <c r="C240" s="13"/>
    </row>
    <row r="241" spans="1:3" ht="13" x14ac:dyDescent="0.15">
      <c r="A241" s="10"/>
      <c r="B241" s="13"/>
      <c r="C241" s="13"/>
    </row>
    <row r="242" spans="1:3" ht="13" x14ac:dyDescent="0.15">
      <c r="A242" s="10"/>
      <c r="B242" s="13"/>
      <c r="C242" s="13"/>
    </row>
    <row r="243" spans="1:3" ht="13" x14ac:dyDescent="0.15">
      <c r="A243" s="10"/>
      <c r="B243" s="13"/>
      <c r="C243" s="13"/>
    </row>
    <row r="244" spans="1:3" ht="13" x14ac:dyDescent="0.15">
      <c r="A244" s="10"/>
      <c r="B244" s="13"/>
      <c r="C244" s="13"/>
    </row>
    <row r="245" spans="1:3" ht="13" x14ac:dyDescent="0.15">
      <c r="A245" s="10"/>
      <c r="B245" s="13"/>
      <c r="C245" s="13"/>
    </row>
    <row r="246" spans="1:3" ht="13" x14ac:dyDescent="0.15">
      <c r="A246" s="10"/>
      <c r="B246" s="13"/>
      <c r="C246" s="13"/>
    </row>
    <row r="247" spans="1:3" ht="13" x14ac:dyDescent="0.15">
      <c r="A247" s="10"/>
      <c r="B247" s="13"/>
      <c r="C247" s="13"/>
    </row>
    <row r="248" spans="1:3" ht="13" x14ac:dyDescent="0.15">
      <c r="A248" s="10"/>
      <c r="B248" s="13"/>
      <c r="C248" s="13"/>
    </row>
    <row r="249" spans="1:3" ht="13" x14ac:dyDescent="0.15">
      <c r="A249" s="10"/>
      <c r="B249" s="13"/>
      <c r="C249" s="13"/>
    </row>
    <row r="250" spans="1:3" ht="13" x14ac:dyDescent="0.15">
      <c r="A250" s="10"/>
      <c r="B250" s="13"/>
      <c r="C250" s="13"/>
    </row>
    <row r="251" spans="1:3" ht="13" x14ac:dyDescent="0.15">
      <c r="A251" s="10"/>
      <c r="B251" s="13"/>
      <c r="C251" s="13"/>
    </row>
    <row r="252" spans="1:3" ht="13" x14ac:dyDescent="0.15">
      <c r="A252" s="10"/>
      <c r="B252" s="13"/>
      <c r="C252" s="13"/>
    </row>
    <row r="253" spans="1:3" ht="13" x14ac:dyDescent="0.15">
      <c r="A253" s="10"/>
      <c r="B253" s="13"/>
      <c r="C253" s="13"/>
    </row>
    <row r="254" spans="1:3" ht="13" x14ac:dyDescent="0.15">
      <c r="A254" s="10"/>
      <c r="B254" s="13"/>
      <c r="C254" s="13"/>
    </row>
    <row r="255" spans="1:3" ht="13" x14ac:dyDescent="0.15">
      <c r="A255" s="10"/>
      <c r="B255" s="13"/>
      <c r="C255" s="13"/>
    </row>
    <row r="256" spans="1:3" ht="13" x14ac:dyDescent="0.15">
      <c r="A256" s="10"/>
      <c r="B256" s="13"/>
      <c r="C256" s="13"/>
    </row>
    <row r="257" spans="1:3" ht="13" x14ac:dyDescent="0.15">
      <c r="A257" s="10"/>
      <c r="B257" s="13"/>
      <c r="C257" s="13"/>
    </row>
    <row r="258" spans="1:3" ht="13" x14ac:dyDescent="0.15">
      <c r="A258" s="10"/>
      <c r="B258" s="13"/>
      <c r="C258" s="13"/>
    </row>
    <row r="259" spans="1:3" ht="13" x14ac:dyDescent="0.15">
      <c r="A259" s="10"/>
      <c r="B259" s="13"/>
      <c r="C259" s="13"/>
    </row>
    <row r="260" spans="1:3" ht="13" x14ac:dyDescent="0.15">
      <c r="A260" s="10"/>
      <c r="B260" s="13"/>
      <c r="C260" s="13"/>
    </row>
    <row r="261" spans="1:3" ht="13" x14ac:dyDescent="0.15">
      <c r="A261" s="10"/>
      <c r="B261" s="13"/>
      <c r="C261" s="13"/>
    </row>
    <row r="262" spans="1:3" ht="13" x14ac:dyDescent="0.15">
      <c r="A262" s="10"/>
      <c r="B262" s="13"/>
      <c r="C262" s="13"/>
    </row>
    <row r="263" spans="1:3" ht="13" x14ac:dyDescent="0.15">
      <c r="A263" s="10"/>
      <c r="B263" s="13"/>
      <c r="C263" s="13"/>
    </row>
    <row r="264" spans="1:3" ht="13" x14ac:dyDescent="0.15">
      <c r="A264" s="10"/>
      <c r="B264" s="13"/>
      <c r="C264" s="13"/>
    </row>
    <row r="265" spans="1:3" ht="13" x14ac:dyDescent="0.15">
      <c r="A265" s="10"/>
      <c r="B265" s="13"/>
      <c r="C265" s="13"/>
    </row>
    <row r="266" spans="1:3" ht="13" x14ac:dyDescent="0.15">
      <c r="A266" s="10"/>
      <c r="B266" s="13"/>
      <c r="C266" s="13"/>
    </row>
    <row r="267" spans="1:3" ht="13" x14ac:dyDescent="0.15">
      <c r="A267" s="10"/>
      <c r="B267" s="13"/>
      <c r="C267" s="13"/>
    </row>
    <row r="268" spans="1:3" ht="13" x14ac:dyDescent="0.15">
      <c r="A268" s="10"/>
      <c r="B268" s="13"/>
      <c r="C268" s="13"/>
    </row>
    <row r="269" spans="1:3" ht="13" x14ac:dyDescent="0.15">
      <c r="A269" s="10"/>
      <c r="B269" s="13"/>
      <c r="C269" s="13"/>
    </row>
    <row r="270" spans="1:3" ht="13" x14ac:dyDescent="0.15">
      <c r="A270" s="10"/>
      <c r="B270" s="13"/>
      <c r="C270" s="13"/>
    </row>
    <row r="271" spans="1:3" ht="13" x14ac:dyDescent="0.15">
      <c r="A271" s="10"/>
      <c r="B271" s="13"/>
      <c r="C271" s="13"/>
    </row>
    <row r="272" spans="1:3" ht="13" x14ac:dyDescent="0.15">
      <c r="A272" s="10"/>
      <c r="B272" s="13"/>
      <c r="C272" s="13"/>
    </row>
    <row r="273" spans="1:3" ht="13" x14ac:dyDescent="0.15">
      <c r="A273" s="10"/>
      <c r="B273" s="13"/>
      <c r="C273" s="13"/>
    </row>
    <row r="274" spans="1:3" ht="13" x14ac:dyDescent="0.15">
      <c r="A274" s="10"/>
      <c r="B274" s="13"/>
      <c r="C274" s="13"/>
    </row>
    <row r="275" spans="1:3" ht="13" x14ac:dyDescent="0.15">
      <c r="A275" s="10"/>
      <c r="B275" s="13"/>
      <c r="C275" s="13"/>
    </row>
    <row r="276" spans="1:3" ht="13" x14ac:dyDescent="0.15">
      <c r="A276" s="10"/>
      <c r="B276" s="13"/>
      <c r="C276" s="13"/>
    </row>
    <row r="277" spans="1:3" ht="13" x14ac:dyDescent="0.15">
      <c r="A277" s="10"/>
      <c r="B277" s="13"/>
      <c r="C277" s="13"/>
    </row>
    <row r="278" spans="1:3" ht="13" x14ac:dyDescent="0.15">
      <c r="A278" s="10"/>
      <c r="B278" s="13"/>
      <c r="C278" s="13"/>
    </row>
    <row r="279" spans="1:3" ht="13" x14ac:dyDescent="0.15">
      <c r="A279" s="10"/>
      <c r="B279" s="13"/>
      <c r="C279" s="13"/>
    </row>
    <row r="280" spans="1:3" ht="13" x14ac:dyDescent="0.15">
      <c r="A280" s="10"/>
      <c r="B280" s="13"/>
      <c r="C280" s="13"/>
    </row>
    <row r="281" spans="1:3" ht="13" x14ac:dyDescent="0.15">
      <c r="A281" s="10"/>
      <c r="B281" s="13"/>
      <c r="C281" s="13"/>
    </row>
    <row r="282" spans="1:3" ht="13" x14ac:dyDescent="0.15">
      <c r="A282" s="10"/>
      <c r="B282" s="13"/>
      <c r="C282" s="13"/>
    </row>
    <row r="283" spans="1:3" ht="13" x14ac:dyDescent="0.15">
      <c r="A283" s="10"/>
      <c r="B283" s="13"/>
      <c r="C283" s="13"/>
    </row>
    <row r="284" spans="1:3" ht="13" x14ac:dyDescent="0.15">
      <c r="A284" s="10"/>
      <c r="B284" s="13"/>
      <c r="C284" s="13"/>
    </row>
    <row r="285" spans="1:3" ht="13" x14ac:dyDescent="0.15">
      <c r="A285" s="10"/>
      <c r="B285" s="13"/>
      <c r="C285" s="13"/>
    </row>
    <row r="286" spans="1:3" ht="13" x14ac:dyDescent="0.15">
      <c r="A286" s="10"/>
      <c r="B286" s="13"/>
      <c r="C286" s="13"/>
    </row>
    <row r="287" spans="1:3" ht="13" x14ac:dyDescent="0.15">
      <c r="A287" s="10"/>
      <c r="B287" s="13"/>
      <c r="C287" s="13"/>
    </row>
    <row r="288" spans="1:3" ht="13" x14ac:dyDescent="0.15">
      <c r="A288" s="10"/>
      <c r="B288" s="13"/>
      <c r="C288" s="13"/>
    </row>
    <row r="289" spans="1:3" ht="13" x14ac:dyDescent="0.15">
      <c r="A289" s="10"/>
      <c r="B289" s="13"/>
      <c r="C289" s="13"/>
    </row>
    <row r="290" spans="1:3" ht="13" x14ac:dyDescent="0.15">
      <c r="A290" s="10"/>
      <c r="B290" s="13"/>
      <c r="C290" s="13"/>
    </row>
    <row r="291" spans="1:3" ht="13" x14ac:dyDescent="0.15">
      <c r="A291" s="10"/>
      <c r="B291" s="13"/>
      <c r="C291" s="13"/>
    </row>
    <row r="292" spans="1:3" ht="13" x14ac:dyDescent="0.15">
      <c r="A292" s="10"/>
      <c r="B292" s="13"/>
      <c r="C292" s="13"/>
    </row>
    <row r="293" spans="1:3" ht="13" x14ac:dyDescent="0.15">
      <c r="A293" s="10"/>
      <c r="B293" s="13"/>
      <c r="C293" s="13"/>
    </row>
    <row r="294" spans="1:3" ht="13" x14ac:dyDescent="0.15">
      <c r="A294" s="10"/>
      <c r="B294" s="13"/>
      <c r="C294" s="13"/>
    </row>
    <row r="295" spans="1:3" ht="13" x14ac:dyDescent="0.15">
      <c r="A295" s="10"/>
      <c r="B295" s="13"/>
      <c r="C295" s="13"/>
    </row>
    <row r="296" spans="1:3" ht="13" x14ac:dyDescent="0.15">
      <c r="A296" s="10"/>
      <c r="B296" s="13"/>
      <c r="C296" s="13"/>
    </row>
    <row r="297" spans="1:3" ht="13" x14ac:dyDescent="0.15">
      <c r="A297" s="10"/>
      <c r="B297" s="13"/>
      <c r="C297" s="13"/>
    </row>
    <row r="298" spans="1:3" ht="13" x14ac:dyDescent="0.15">
      <c r="A298" s="10"/>
      <c r="B298" s="13"/>
      <c r="C298" s="13"/>
    </row>
    <row r="299" spans="1:3" ht="13" x14ac:dyDescent="0.15">
      <c r="A299" s="10"/>
      <c r="B299" s="13"/>
      <c r="C299" s="13"/>
    </row>
    <row r="300" spans="1:3" ht="13" x14ac:dyDescent="0.15">
      <c r="A300" s="10"/>
      <c r="B300" s="13"/>
      <c r="C300" s="13"/>
    </row>
    <row r="301" spans="1:3" ht="13" x14ac:dyDescent="0.15">
      <c r="A301" s="10"/>
      <c r="B301" s="13"/>
      <c r="C301" s="13"/>
    </row>
    <row r="302" spans="1:3" ht="13" x14ac:dyDescent="0.15">
      <c r="A302" s="10"/>
      <c r="B302" s="13"/>
      <c r="C302" s="13"/>
    </row>
    <row r="303" spans="1:3" ht="13" x14ac:dyDescent="0.15">
      <c r="A303" s="10"/>
      <c r="B303" s="13"/>
      <c r="C303" s="13"/>
    </row>
    <row r="304" spans="1:3" ht="13" x14ac:dyDescent="0.15">
      <c r="A304" s="10"/>
      <c r="B304" s="13"/>
      <c r="C304" s="13"/>
    </row>
    <row r="305" spans="1:3" ht="13" x14ac:dyDescent="0.15">
      <c r="A305" s="10"/>
      <c r="B305" s="13"/>
      <c r="C305" s="13"/>
    </row>
    <row r="306" spans="1:3" ht="13" x14ac:dyDescent="0.15">
      <c r="A306" s="10"/>
      <c r="B306" s="13"/>
      <c r="C306" s="13"/>
    </row>
    <row r="307" spans="1:3" ht="13" x14ac:dyDescent="0.15">
      <c r="A307" s="10"/>
      <c r="B307" s="13"/>
      <c r="C307" s="13"/>
    </row>
    <row r="308" spans="1:3" ht="13" x14ac:dyDescent="0.15">
      <c r="A308" s="10"/>
      <c r="B308" s="13"/>
      <c r="C308" s="13"/>
    </row>
    <row r="309" spans="1:3" ht="13" x14ac:dyDescent="0.15">
      <c r="A309" s="10"/>
      <c r="B309" s="13"/>
      <c r="C309" s="13"/>
    </row>
    <row r="310" spans="1:3" ht="13" x14ac:dyDescent="0.15">
      <c r="A310" s="10"/>
      <c r="B310" s="13"/>
      <c r="C310" s="13"/>
    </row>
    <row r="311" spans="1:3" ht="13" x14ac:dyDescent="0.15">
      <c r="A311" s="10"/>
      <c r="B311" s="13"/>
      <c r="C311" s="13"/>
    </row>
    <row r="312" spans="1:3" ht="13" x14ac:dyDescent="0.15">
      <c r="A312" s="10"/>
      <c r="B312" s="13"/>
      <c r="C312" s="13"/>
    </row>
    <row r="313" spans="1:3" ht="13" x14ac:dyDescent="0.15">
      <c r="A313" s="10"/>
      <c r="B313" s="13"/>
      <c r="C313" s="13"/>
    </row>
    <row r="314" spans="1:3" ht="13" x14ac:dyDescent="0.15">
      <c r="A314" s="10"/>
      <c r="B314" s="13"/>
      <c r="C314" s="13"/>
    </row>
    <row r="315" spans="1:3" ht="13" x14ac:dyDescent="0.15">
      <c r="A315" s="10"/>
      <c r="B315" s="13"/>
      <c r="C315" s="13"/>
    </row>
    <row r="316" spans="1:3" ht="13" x14ac:dyDescent="0.15">
      <c r="A316" s="10"/>
      <c r="B316" s="13"/>
      <c r="C316" s="13"/>
    </row>
    <row r="317" spans="1:3" ht="13" x14ac:dyDescent="0.15">
      <c r="A317" s="10"/>
      <c r="B317" s="13"/>
      <c r="C317" s="13"/>
    </row>
    <row r="318" spans="1:3" ht="13" x14ac:dyDescent="0.15">
      <c r="A318" s="10"/>
      <c r="B318" s="13"/>
      <c r="C318" s="13"/>
    </row>
    <row r="319" spans="1:3" ht="13" x14ac:dyDescent="0.15">
      <c r="A319" s="10"/>
      <c r="B319" s="13"/>
      <c r="C319" s="13"/>
    </row>
    <row r="320" spans="1:3" ht="13" x14ac:dyDescent="0.15">
      <c r="A320" s="10"/>
      <c r="B320" s="13"/>
      <c r="C320" s="13"/>
    </row>
    <row r="321" spans="1:3" ht="13" x14ac:dyDescent="0.15">
      <c r="A321" s="10"/>
      <c r="B321" s="13"/>
      <c r="C321" s="13"/>
    </row>
    <row r="322" spans="1:3" ht="13" x14ac:dyDescent="0.15">
      <c r="A322" s="10"/>
      <c r="B322" s="13"/>
      <c r="C322" s="13"/>
    </row>
    <row r="323" spans="1:3" ht="13" x14ac:dyDescent="0.15">
      <c r="A323" s="10"/>
      <c r="B323" s="13"/>
      <c r="C323" s="13"/>
    </row>
    <row r="324" spans="1:3" ht="13" x14ac:dyDescent="0.15">
      <c r="A324" s="10"/>
      <c r="B324" s="13"/>
      <c r="C324" s="13"/>
    </row>
    <row r="325" spans="1:3" ht="13" x14ac:dyDescent="0.15">
      <c r="A325" s="10"/>
      <c r="B325" s="13"/>
      <c r="C325" s="13"/>
    </row>
    <row r="326" spans="1:3" ht="13" x14ac:dyDescent="0.15">
      <c r="A326" s="10"/>
      <c r="B326" s="13"/>
      <c r="C326" s="13"/>
    </row>
    <row r="327" spans="1:3" ht="13" x14ac:dyDescent="0.15">
      <c r="A327" s="10"/>
      <c r="B327" s="13"/>
      <c r="C327" s="13"/>
    </row>
    <row r="328" spans="1:3" ht="13" x14ac:dyDescent="0.15">
      <c r="A328" s="10"/>
      <c r="B328" s="13"/>
      <c r="C328" s="13"/>
    </row>
    <row r="329" spans="1:3" ht="13" x14ac:dyDescent="0.15">
      <c r="A329" s="10"/>
      <c r="B329" s="13"/>
      <c r="C329" s="13"/>
    </row>
    <row r="330" spans="1:3" ht="13" x14ac:dyDescent="0.15">
      <c r="A330" s="10"/>
      <c r="B330" s="13"/>
      <c r="C330" s="13"/>
    </row>
    <row r="331" spans="1:3" ht="13" x14ac:dyDescent="0.15">
      <c r="A331" s="10"/>
      <c r="B331" s="13"/>
      <c r="C331" s="13"/>
    </row>
    <row r="332" spans="1:3" ht="13" x14ac:dyDescent="0.15">
      <c r="A332" s="10"/>
      <c r="B332" s="13"/>
      <c r="C332" s="13"/>
    </row>
    <row r="333" spans="1:3" ht="13" x14ac:dyDescent="0.15">
      <c r="A333" s="10"/>
      <c r="B333" s="13"/>
      <c r="C333" s="13"/>
    </row>
    <row r="334" spans="1:3" ht="13" x14ac:dyDescent="0.15">
      <c r="A334" s="10"/>
      <c r="B334" s="13"/>
      <c r="C334" s="13"/>
    </row>
    <row r="335" spans="1:3" ht="13" x14ac:dyDescent="0.15">
      <c r="A335" s="10"/>
      <c r="B335" s="13"/>
      <c r="C335" s="13"/>
    </row>
    <row r="336" spans="1:3" ht="13" x14ac:dyDescent="0.15">
      <c r="A336" s="10"/>
      <c r="B336" s="13"/>
      <c r="C336" s="13"/>
    </row>
    <row r="337" spans="1:3" ht="13" x14ac:dyDescent="0.15">
      <c r="A337" s="10"/>
      <c r="B337" s="13"/>
      <c r="C337" s="13"/>
    </row>
    <row r="338" spans="1:3" ht="13" x14ac:dyDescent="0.15">
      <c r="A338" s="10"/>
      <c r="B338" s="13"/>
      <c r="C338" s="13"/>
    </row>
    <row r="339" spans="1:3" ht="13" x14ac:dyDescent="0.15">
      <c r="A339" s="10"/>
      <c r="B339" s="13"/>
      <c r="C339" s="13"/>
    </row>
    <row r="340" spans="1:3" ht="13" x14ac:dyDescent="0.15">
      <c r="A340" s="10"/>
      <c r="B340" s="13"/>
      <c r="C340" s="13"/>
    </row>
    <row r="341" spans="1:3" ht="13" x14ac:dyDescent="0.15">
      <c r="A341" s="10"/>
      <c r="B341" s="13"/>
      <c r="C341" s="13"/>
    </row>
    <row r="342" spans="1:3" ht="13" x14ac:dyDescent="0.15">
      <c r="A342" s="10"/>
      <c r="B342" s="13"/>
      <c r="C342" s="13"/>
    </row>
    <row r="343" spans="1:3" ht="13" x14ac:dyDescent="0.15">
      <c r="A343" s="10"/>
      <c r="B343" s="13"/>
      <c r="C343" s="13"/>
    </row>
    <row r="344" spans="1:3" ht="13" x14ac:dyDescent="0.15">
      <c r="A344" s="10"/>
      <c r="B344" s="13"/>
      <c r="C344" s="13"/>
    </row>
    <row r="345" spans="1:3" ht="13" x14ac:dyDescent="0.15">
      <c r="A345" s="10"/>
      <c r="B345" s="13"/>
      <c r="C345" s="13"/>
    </row>
    <row r="346" spans="1:3" ht="13" x14ac:dyDescent="0.15">
      <c r="A346" s="10"/>
      <c r="B346" s="13"/>
      <c r="C346" s="13"/>
    </row>
    <row r="347" spans="1:3" ht="13" x14ac:dyDescent="0.15">
      <c r="A347" s="10"/>
      <c r="B347" s="13"/>
      <c r="C347" s="13"/>
    </row>
    <row r="348" spans="1:3" ht="13" x14ac:dyDescent="0.15">
      <c r="A348" s="10"/>
      <c r="B348" s="13"/>
      <c r="C348" s="13"/>
    </row>
    <row r="349" spans="1:3" ht="13" x14ac:dyDescent="0.15">
      <c r="A349" s="10"/>
      <c r="B349" s="13"/>
      <c r="C349" s="13"/>
    </row>
    <row r="350" spans="1:3" ht="13" x14ac:dyDescent="0.15">
      <c r="A350" s="10"/>
      <c r="B350" s="13"/>
      <c r="C350" s="13"/>
    </row>
    <row r="351" spans="1:3" ht="13" x14ac:dyDescent="0.15">
      <c r="A351" s="10"/>
      <c r="B351" s="13"/>
      <c r="C351" s="13"/>
    </row>
    <row r="352" spans="1:3" ht="13" x14ac:dyDescent="0.15">
      <c r="A352" s="10"/>
      <c r="B352" s="13"/>
      <c r="C352" s="13"/>
    </row>
    <row r="353" spans="1:3" ht="13" x14ac:dyDescent="0.15">
      <c r="A353" s="10"/>
      <c r="B353" s="13"/>
      <c r="C353" s="13"/>
    </row>
    <row r="354" spans="1:3" ht="13" x14ac:dyDescent="0.15">
      <c r="A354" s="10"/>
      <c r="B354" s="13"/>
      <c r="C354" s="13"/>
    </row>
    <row r="355" spans="1:3" ht="13" x14ac:dyDescent="0.15">
      <c r="A355" s="10"/>
      <c r="B355" s="13"/>
      <c r="C355" s="13"/>
    </row>
    <row r="356" spans="1:3" ht="13" x14ac:dyDescent="0.15">
      <c r="A356" s="10"/>
      <c r="B356" s="13"/>
      <c r="C356" s="13"/>
    </row>
    <row r="357" spans="1:3" ht="13" x14ac:dyDescent="0.15">
      <c r="A357" s="10"/>
      <c r="B357" s="13"/>
      <c r="C357" s="13"/>
    </row>
    <row r="358" spans="1:3" ht="13" x14ac:dyDescent="0.15">
      <c r="A358" s="10"/>
      <c r="B358" s="13"/>
      <c r="C358" s="13"/>
    </row>
    <row r="359" spans="1:3" ht="13" x14ac:dyDescent="0.15">
      <c r="A359" s="10"/>
      <c r="B359" s="13"/>
      <c r="C359" s="13"/>
    </row>
    <row r="360" spans="1:3" ht="13" x14ac:dyDescent="0.15">
      <c r="A360" s="10"/>
      <c r="B360" s="13"/>
      <c r="C360" s="13"/>
    </row>
    <row r="361" spans="1:3" ht="13" x14ac:dyDescent="0.15">
      <c r="A361" s="10"/>
      <c r="B361" s="13"/>
      <c r="C361" s="13"/>
    </row>
    <row r="362" spans="1:3" ht="13" x14ac:dyDescent="0.15">
      <c r="A362" s="10"/>
      <c r="B362" s="13"/>
      <c r="C362" s="13"/>
    </row>
    <row r="363" spans="1:3" ht="13" x14ac:dyDescent="0.15">
      <c r="A363" s="10"/>
      <c r="B363" s="13"/>
      <c r="C363" s="13"/>
    </row>
    <row r="364" spans="1:3" ht="13" x14ac:dyDescent="0.15">
      <c r="A364" s="10"/>
      <c r="B364" s="13"/>
      <c r="C364" s="13"/>
    </row>
    <row r="365" spans="1:3" ht="13" x14ac:dyDescent="0.15">
      <c r="A365" s="10"/>
      <c r="B365" s="13"/>
      <c r="C365" s="13"/>
    </row>
    <row r="366" spans="1:3" ht="13" x14ac:dyDescent="0.15">
      <c r="A366" s="10"/>
      <c r="B366" s="13"/>
      <c r="C366" s="13"/>
    </row>
    <row r="367" spans="1:3" ht="13" x14ac:dyDescent="0.15">
      <c r="A367" s="10"/>
      <c r="B367" s="13"/>
      <c r="C367" s="13"/>
    </row>
    <row r="368" spans="1:3" ht="13" x14ac:dyDescent="0.15">
      <c r="A368" s="10"/>
      <c r="B368" s="13"/>
      <c r="C368" s="13"/>
    </row>
    <row r="369" spans="1:3" ht="13" x14ac:dyDescent="0.15">
      <c r="A369" s="10"/>
      <c r="B369" s="13"/>
      <c r="C369" s="13"/>
    </row>
    <row r="370" spans="1:3" ht="13" x14ac:dyDescent="0.15">
      <c r="A370" s="10"/>
      <c r="B370" s="13"/>
      <c r="C370" s="13"/>
    </row>
    <row r="371" spans="1:3" ht="13" x14ac:dyDescent="0.15">
      <c r="A371" s="10"/>
      <c r="B371" s="13"/>
      <c r="C371" s="13"/>
    </row>
    <row r="372" spans="1:3" ht="13" x14ac:dyDescent="0.15">
      <c r="A372" s="10"/>
      <c r="B372" s="13"/>
      <c r="C372" s="13"/>
    </row>
    <row r="373" spans="1:3" ht="13" x14ac:dyDescent="0.15">
      <c r="A373" s="10"/>
      <c r="B373" s="13"/>
      <c r="C373" s="13"/>
    </row>
    <row r="374" spans="1:3" ht="13" x14ac:dyDescent="0.15">
      <c r="A374" s="10"/>
      <c r="B374" s="13"/>
      <c r="C374" s="13"/>
    </row>
    <row r="375" spans="1:3" ht="13" x14ac:dyDescent="0.15">
      <c r="A375" s="10"/>
      <c r="B375" s="13"/>
      <c r="C375" s="13"/>
    </row>
    <row r="376" spans="1:3" ht="13" x14ac:dyDescent="0.15">
      <c r="A376" s="10"/>
      <c r="B376" s="13"/>
      <c r="C376" s="13"/>
    </row>
    <row r="377" spans="1:3" ht="13" x14ac:dyDescent="0.15">
      <c r="A377" s="10"/>
      <c r="B377" s="13"/>
      <c r="C377" s="13"/>
    </row>
    <row r="378" spans="1:3" ht="13" x14ac:dyDescent="0.15">
      <c r="A378" s="10"/>
      <c r="B378" s="13"/>
      <c r="C378" s="13"/>
    </row>
    <row r="379" spans="1:3" ht="13" x14ac:dyDescent="0.15">
      <c r="A379" s="10"/>
      <c r="B379" s="13"/>
      <c r="C379" s="13"/>
    </row>
    <row r="380" spans="1:3" ht="13" x14ac:dyDescent="0.15">
      <c r="A380" s="10"/>
      <c r="B380" s="13"/>
      <c r="C380" s="13"/>
    </row>
    <row r="381" spans="1:3" ht="13" x14ac:dyDescent="0.15">
      <c r="A381" s="10"/>
      <c r="B381" s="13"/>
      <c r="C381" s="13"/>
    </row>
    <row r="382" spans="1:3" ht="13" x14ac:dyDescent="0.15">
      <c r="A382" s="10"/>
      <c r="B382" s="13"/>
      <c r="C382" s="13"/>
    </row>
    <row r="383" spans="1:3" ht="13" x14ac:dyDescent="0.15">
      <c r="A383" s="10"/>
      <c r="B383" s="13"/>
      <c r="C383" s="13"/>
    </row>
    <row r="384" spans="1:3" ht="13" x14ac:dyDescent="0.15">
      <c r="A384" s="10"/>
      <c r="B384" s="13"/>
      <c r="C384" s="13"/>
    </row>
    <row r="385" spans="1:3" ht="13" x14ac:dyDescent="0.15">
      <c r="A385" s="10"/>
      <c r="B385" s="13"/>
      <c r="C385" s="13"/>
    </row>
    <row r="386" spans="1:3" ht="13" x14ac:dyDescent="0.15">
      <c r="A386" s="10"/>
      <c r="B386" s="13"/>
      <c r="C386" s="13"/>
    </row>
    <row r="387" spans="1:3" ht="13" x14ac:dyDescent="0.15">
      <c r="A387" s="10"/>
      <c r="B387" s="13"/>
      <c r="C387" s="13"/>
    </row>
    <row r="388" spans="1:3" ht="13" x14ac:dyDescent="0.15">
      <c r="A388" s="10"/>
      <c r="B388" s="13"/>
      <c r="C388" s="13"/>
    </row>
    <row r="389" spans="1:3" ht="13" x14ac:dyDescent="0.15">
      <c r="A389" s="10"/>
      <c r="B389" s="13"/>
      <c r="C389" s="13"/>
    </row>
    <row r="390" spans="1:3" ht="13" x14ac:dyDescent="0.15">
      <c r="A390" s="10"/>
      <c r="B390" s="13"/>
      <c r="C390" s="13"/>
    </row>
    <row r="391" spans="1:3" ht="13" x14ac:dyDescent="0.15">
      <c r="A391" s="10"/>
      <c r="B391" s="13"/>
      <c r="C391" s="13"/>
    </row>
    <row r="392" spans="1:3" ht="13" x14ac:dyDescent="0.15">
      <c r="A392" s="10"/>
      <c r="B392" s="13"/>
      <c r="C392" s="13"/>
    </row>
    <row r="393" spans="1:3" ht="13" x14ac:dyDescent="0.15">
      <c r="A393" s="10"/>
      <c r="B393" s="13"/>
      <c r="C393" s="13"/>
    </row>
    <row r="394" spans="1:3" ht="13" x14ac:dyDescent="0.15">
      <c r="A394" s="10"/>
      <c r="B394" s="13"/>
      <c r="C394" s="13"/>
    </row>
    <row r="395" spans="1:3" ht="13" x14ac:dyDescent="0.15">
      <c r="A395" s="10"/>
      <c r="B395" s="13"/>
      <c r="C395" s="13"/>
    </row>
    <row r="396" spans="1:3" ht="13" x14ac:dyDescent="0.15">
      <c r="A396" s="10"/>
      <c r="B396" s="13"/>
      <c r="C396" s="13"/>
    </row>
    <row r="397" spans="1:3" ht="13" x14ac:dyDescent="0.15">
      <c r="A397" s="10"/>
      <c r="B397" s="13"/>
      <c r="C397" s="13"/>
    </row>
    <row r="398" spans="1:3" ht="13" x14ac:dyDescent="0.15">
      <c r="A398" s="10"/>
      <c r="B398" s="13"/>
      <c r="C398" s="13"/>
    </row>
    <row r="399" spans="1:3" ht="13" x14ac:dyDescent="0.15">
      <c r="A399" s="10"/>
      <c r="B399" s="13"/>
      <c r="C399" s="13"/>
    </row>
    <row r="400" spans="1:3" ht="13" x14ac:dyDescent="0.15">
      <c r="A400" s="10"/>
      <c r="B400" s="13"/>
      <c r="C400" s="13"/>
    </row>
    <row r="401" spans="1:3" ht="13" x14ac:dyDescent="0.15">
      <c r="A401" s="10"/>
      <c r="B401" s="13"/>
      <c r="C401" s="13"/>
    </row>
    <row r="402" spans="1:3" ht="13" x14ac:dyDescent="0.15">
      <c r="A402" s="10"/>
      <c r="B402" s="13"/>
      <c r="C402" s="13"/>
    </row>
    <row r="403" spans="1:3" ht="13" x14ac:dyDescent="0.15">
      <c r="A403" s="10"/>
      <c r="B403" s="13"/>
      <c r="C403" s="13"/>
    </row>
    <row r="404" spans="1:3" ht="13" x14ac:dyDescent="0.15">
      <c r="A404" s="10"/>
      <c r="B404" s="13"/>
      <c r="C404" s="13"/>
    </row>
    <row r="405" spans="1:3" ht="13" x14ac:dyDescent="0.15">
      <c r="A405" s="10"/>
      <c r="B405" s="13"/>
      <c r="C405" s="13"/>
    </row>
    <row r="406" spans="1:3" ht="13" x14ac:dyDescent="0.15">
      <c r="A406" s="10"/>
      <c r="B406" s="13"/>
      <c r="C406" s="13"/>
    </row>
    <row r="407" spans="1:3" ht="13" x14ac:dyDescent="0.15">
      <c r="A407" s="10"/>
      <c r="B407" s="13"/>
      <c r="C407" s="13"/>
    </row>
    <row r="408" spans="1:3" ht="13" x14ac:dyDescent="0.15">
      <c r="A408" s="10"/>
      <c r="B408" s="13"/>
      <c r="C408" s="13"/>
    </row>
    <row r="409" spans="1:3" ht="13" x14ac:dyDescent="0.15">
      <c r="A409" s="10"/>
      <c r="B409" s="13"/>
      <c r="C409" s="13"/>
    </row>
    <row r="410" spans="1:3" ht="13" x14ac:dyDescent="0.15">
      <c r="A410" s="10"/>
      <c r="B410" s="13"/>
      <c r="C410" s="13"/>
    </row>
    <row r="411" spans="1:3" ht="13" x14ac:dyDescent="0.15">
      <c r="A411" s="10"/>
      <c r="B411" s="13"/>
      <c r="C411" s="13"/>
    </row>
    <row r="412" spans="1:3" ht="13" x14ac:dyDescent="0.15">
      <c r="A412" s="10"/>
      <c r="B412" s="13"/>
      <c r="C412" s="13"/>
    </row>
    <row r="413" spans="1:3" ht="13" x14ac:dyDescent="0.15">
      <c r="A413" s="10"/>
      <c r="B413" s="13"/>
      <c r="C413" s="13"/>
    </row>
    <row r="414" spans="1:3" ht="13" x14ac:dyDescent="0.15">
      <c r="A414" s="10"/>
      <c r="B414" s="13"/>
      <c r="C414" s="13"/>
    </row>
    <row r="415" spans="1:3" ht="13" x14ac:dyDescent="0.15">
      <c r="A415" s="10"/>
      <c r="B415" s="13"/>
      <c r="C415" s="13"/>
    </row>
    <row r="416" spans="1:3" ht="13" x14ac:dyDescent="0.15">
      <c r="A416" s="10"/>
      <c r="B416" s="13"/>
      <c r="C416" s="13"/>
    </row>
    <row r="417" spans="1:3" ht="13" x14ac:dyDescent="0.15">
      <c r="A417" s="10"/>
      <c r="B417" s="13"/>
      <c r="C417" s="13"/>
    </row>
    <row r="418" spans="1:3" ht="13" x14ac:dyDescent="0.15">
      <c r="A418" s="10"/>
      <c r="B418" s="13"/>
      <c r="C418" s="13"/>
    </row>
    <row r="419" spans="1:3" ht="13" x14ac:dyDescent="0.15">
      <c r="A419" s="10"/>
      <c r="B419" s="13"/>
      <c r="C419" s="13"/>
    </row>
    <row r="420" spans="1:3" ht="13" x14ac:dyDescent="0.15">
      <c r="A420" s="10"/>
      <c r="B420" s="13"/>
      <c r="C420" s="13"/>
    </row>
    <row r="421" spans="1:3" ht="13" x14ac:dyDescent="0.15">
      <c r="A421" s="10"/>
      <c r="B421" s="13"/>
      <c r="C421" s="13"/>
    </row>
    <row r="422" spans="1:3" ht="13" x14ac:dyDescent="0.15">
      <c r="A422" s="10"/>
      <c r="B422" s="13"/>
      <c r="C422" s="13"/>
    </row>
    <row r="423" spans="1:3" ht="13" x14ac:dyDescent="0.15">
      <c r="A423" s="10"/>
      <c r="B423" s="13"/>
      <c r="C423" s="13"/>
    </row>
    <row r="424" spans="1:3" ht="13" x14ac:dyDescent="0.15">
      <c r="A424" s="10"/>
      <c r="B424" s="13"/>
      <c r="C424" s="13"/>
    </row>
    <row r="425" spans="1:3" ht="13" x14ac:dyDescent="0.15">
      <c r="A425" s="10"/>
      <c r="B425" s="13"/>
      <c r="C425" s="13"/>
    </row>
    <row r="426" spans="1:3" ht="13" x14ac:dyDescent="0.15">
      <c r="A426" s="10"/>
      <c r="B426" s="13"/>
      <c r="C426" s="13"/>
    </row>
    <row r="427" spans="1:3" ht="13" x14ac:dyDescent="0.15">
      <c r="A427" s="10"/>
      <c r="B427" s="13"/>
      <c r="C427" s="13"/>
    </row>
    <row r="428" spans="1:3" ht="13" x14ac:dyDescent="0.15">
      <c r="A428" s="10"/>
      <c r="B428" s="13"/>
      <c r="C428" s="13"/>
    </row>
    <row r="429" spans="1:3" ht="13" x14ac:dyDescent="0.15">
      <c r="A429" s="10"/>
      <c r="B429" s="13"/>
      <c r="C429" s="13"/>
    </row>
    <row r="430" spans="1:3" ht="13" x14ac:dyDescent="0.15">
      <c r="A430" s="10"/>
      <c r="B430" s="13"/>
      <c r="C430" s="13"/>
    </row>
    <row r="431" spans="1:3" ht="13" x14ac:dyDescent="0.15">
      <c r="A431" s="10"/>
      <c r="B431" s="13"/>
      <c r="C431" s="13"/>
    </row>
    <row r="432" spans="1:3" ht="13" x14ac:dyDescent="0.15">
      <c r="A432" s="10"/>
      <c r="B432" s="13"/>
      <c r="C432" s="13"/>
    </row>
    <row r="433" spans="1:3" ht="13" x14ac:dyDescent="0.15">
      <c r="A433" s="10"/>
      <c r="B433" s="13"/>
      <c r="C433" s="13"/>
    </row>
    <row r="434" spans="1:3" ht="13" x14ac:dyDescent="0.15">
      <c r="A434" s="10"/>
      <c r="B434" s="13"/>
      <c r="C434" s="13"/>
    </row>
    <row r="435" spans="1:3" ht="13" x14ac:dyDescent="0.15">
      <c r="A435" s="10"/>
      <c r="B435" s="13"/>
      <c r="C435" s="13"/>
    </row>
    <row r="436" spans="1:3" ht="13" x14ac:dyDescent="0.15">
      <c r="A436" s="10"/>
      <c r="B436" s="13"/>
      <c r="C436" s="13"/>
    </row>
    <row r="437" spans="1:3" ht="13" x14ac:dyDescent="0.15">
      <c r="A437" s="10"/>
      <c r="B437" s="13"/>
      <c r="C437" s="13"/>
    </row>
    <row r="438" spans="1:3" ht="13" x14ac:dyDescent="0.15">
      <c r="A438" s="10"/>
      <c r="B438" s="13"/>
      <c r="C438" s="13"/>
    </row>
    <row r="439" spans="1:3" ht="13" x14ac:dyDescent="0.15">
      <c r="A439" s="10"/>
      <c r="B439" s="13"/>
      <c r="C439" s="13"/>
    </row>
    <row r="440" spans="1:3" ht="13" x14ac:dyDescent="0.15">
      <c r="A440" s="10"/>
      <c r="B440" s="13"/>
      <c r="C440" s="13"/>
    </row>
    <row r="441" spans="1:3" ht="13" x14ac:dyDescent="0.15">
      <c r="A441" s="10"/>
      <c r="B441" s="13"/>
      <c r="C441" s="13"/>
    </row>
    <row r="442" spans="1:3" ht="13" x14ac:dyDescent="0.15">
      <c r="A442" s="10"/>
      <c r="B442" s="13"/>
      <c r="C442" s="13"/>
    </row>
    <row r="443" spans="1:3" ht="13" x14ac:dyDescent="0.15">
      <c r="A443" s="10"/>
      <c r="B443" s="13"/>
      <c r="C443" s="13"/>
    </row>
    <row r="444" spans="1:3" ht="13" x14ac:dyDescent="0.15">
      <c r="A444" s="10"/>
      <c r="B444" s="13"/>
      <c r="C444" s="13"/>
    </row>
    <row r="445" spans="1:3" ht="13" x14ac:dyDescent="0.15">
      <c r="A445" s="10"/>
      <c r="B445" s="13"/>
      <c r="C445" s="13"/>
    </row>
    <row r="446" spans="1:3" ht="13" x14ac:dyDescent="0.15">
      <c r="A446" s="10"/>
      <c r="B446" s="13"/>
      <c r="C446" s="13"/>
    </row>
    <row r="447" spans="1:3" ht="13" x14ac:dyDescent="0.15">
      <c r="A447" s="10"/>
      <c r="B447" s="13"/>
      <c r="C447" s="13"/>
    </row>
    <row r="448" spans="1:3" ht="13" x14ac:dyDescent="0.15">
      <c r="A448" s="10"/>
      <c r="B448" s="13"/>
      <c r="C448" s="13"/>
    </row>
    <row r="449" spans="1:3" ht="13" x14ac:dyDescent="0.15">
      <c r="A449" s="10"/>
      <c r="B449" s="13"/>
      <c r="C449" s="13"/>
    </row>
    <row r="450" spans="1:3" ht="13" x14ac:dyDescent="0.15">
      <c r="A450" s="10"/>
      <c r="B450" s="13"/>
      <c r="C450" s="13"/>
    </row>
    <row r="451" spans="1:3" ht="13" x14ac:dyDescent="0.15">
      <c r="A451" s="10"/>
      <c r="B451" s="13"/>
      <c r="C451" s="13"/>
    </row>
    <row r="452" spans="1:3" ht="13" x14ac:dyDescent="0.15">
      <c r="A452" s="10"/>
      <c r="B452" s="13"/>
      <c r="C452" s="13"/>
    </row>
    <row r="453" spans="1:3" ht="13" x14ac:dyDescent="0.15">
      <c r="A453" s="10"/>
      <c r="B453" s="13"/>
      <c r="C453" s="13"/>
    </row>
    <row r="454" spans="1:3" ht="13" x14ac:dyDescent="0.15">
      <c r="A454" s="10"/>
      <c r="B454" s="13"/>
      <c r="C454" s="13"/>
    </row>
    <row r="455" spans="1:3" ht="13" x14ac:dyDescent="0.15">
      <c r="A455" s="10"/>
      <c r="B455" s="13"/>
      <c r="C455" s="13"/>
    </row>
    <row r="456" spans="1:3" ht="13" x14ac:dyDescent="0.15">
      <c r="A456" s="10"/>
      <c r="B456" s="13"/>
      <c r="C456" s="13"/>
    </row>
    <row r="457" spans="1:3" ht="13" x14ac:dyDescent="0.15">
      <c r="A457" s="10"/>
      <c r="B457" s="13"/>
      <c r="C457" s="13"/>
    </row>
    <row r="458" spans="1:3" ht="13" x14ac:dyDescent="0.15">
      <c r="A458" s="10"/>
      <c r="B458" s="13"/>
      <c r="C458" s="13"/>
    </row>
    <row r="459" spans="1:3" ht="13" x14ac:dyDescent="0.15">
      <c r="A459" s="10"/>
      <c r="B459" s="13"/>
      <c r="C459" s="13"/>
    </row>
    <row r="460" spans="1:3" ht="13" x14ac:dyDescent="0.15">
      <c r="A460" s="10"/>
      <c r="B460" s="13"/>
      <c r="C460" s="13"/>
    </row>
    <row r="461" spans="1:3" ht="13" x14ac:dyDescent="0.15">
      <c r="A461" s="10"/>
      <c r="B461" s="13"/>
      <c r="C461" s="13"/>
    </row>
    <row r="462" spans="1:3" ht="13" x14ac:dyDescent="0.15">
      <c r="A462" s="10"/>
      <c r="B462" s="13"/>
      <c r="C462" s="13"/>
    </row>
    <row r="463" spans="1:3" ht="13" x14ac:dyDescent="0.15">
      <c r="A463" s="10"/>
      <c r="B463" s="13"/>
      <c r="C463" s="13"/>
    </row>
    <row r="464" spans="1:3" ht="13" x14ac:dyDescent="0.15">
      <c r="A464" s="10"/>
      <c r="B464" s="13"/>
      <c r="C464" s="13"/>
    </row>
    <row r="465" spans="1:3" ht="13" x14ac:dyDescent="0.15">
      <c r="A465" s="10"/>
      <c r="B465" s="13"/>
      <c r="C465" s="13"/>
    </row>
    <row r="466" spans="1:3" ht="13" x14ac:dyDescent="0.15">
      <c r="A466" s="10"/>
      <c r="B466" s="13"/>
      <c r="C466" s="13"/>
    </row>
    <row r="467" spans="1:3" ht="13" x14ac:dyDescent="0.15">
      <c r="A467" s="10"/>
      <c r="B467" s="13"/>
      <c r="C467" s="13"/>
    </row>
    <row r="468" spans="1:3" ht="13" x14ac:dyDescent="0.15">
      <c r="A468" s="10"/>
      <c r="B468" s="13"/>
      <c r="C468" s="13"/>
    </row>
    <row r="469" spans="1:3" ht="13" x14ac:dyDescent="0.15">
      <c r="A469" s="10"/>
      <c r="B469" s="13"/>
      <c r="C469" s="13"/>
    </row>
    <row r="470" spans="1:3" ht="13" x14ac:dyDescent="0.15">
      <c r="A470" s="10"/>
      <c r="B470" s="13"/>
      <c r="C470" s="13"/>
    </row>
    <row r="471" spans="1:3" ht="13" x14ac:dyDescent="0.15">
      <c r="A471" s="10"/>
      <c r="B471" s="13"/>
      <c r="C471" s="13"/>
    </row>
    <row r="472" spans="1:3" ht="13" x14ac:dyDescent="0.15">
      <c r="A472" s="10"/>
      <c r="B472" s="13"/>
      <c r="C472" s="13"/>
    </row>
    <row r="473" spans="1:3" ht="13" x14ac:dyDescent="0.15">
      <c r="A473" s="10"/>
      <c r="B473" s="13"/>
      <c r="C473" s="13"/>
    </row>
    <row r="474" spans="1:3" ht="13" x14ac:dyDescent="0.15">
      <c r="A474" s="10"/>
      <c r="B474" s="13"/>
      <c r="C474" s="13"/>
    </row>
    <row r="475" spans="1:3" ht="13" x14ac:dyDescent="0.15">
      <c r="A475" s="10"/>
      <c r="B475" s="13"/>
      <c r="C475" s="13"/>
    </row>
    <row r="476" spans="1:3" ht="13" x14ac:dyDescent="0.15">
      <c r="A476" s="10"/>
      <c r="B476" s="13"/>
      <c r="C476" s="13"/>
    </row>
    <row r="477" spans="1:3" ht="13" x14ac:dyDescent="0.15">
      <c r="A477" s="10"/>
      <c r="B477" s="13"/>
      <c r="C477" s="13"/>
    </row>
    <row r="478" spans="1:3" ht="13" x14ac:dyDescent="0.15">
      <c r="A478" s="10"/>
      <c r="B478" s="13"/>
      <c r="C478" s="13"/>
    </row>
    <row r="479" spans="1:3" ht="13" x14ac:dyDescent="0.15">
      <c r="A479" s="10"/>
      <c r="B479" s="13"/>
      <c r="C479" s="13"/>
    </row>
    <row r="480" spans="1:3" ht="13" x14ac:dyDescent="0.15">
      <c r="A480" s="10"/>
      <c r="B480" s="13"/>
      <c r="C480" s="13"/>
    </row>
    <row r="481" spans="1:3" ht="13" x14ac:dyDescent="0.15">
      <c r="A481" s="10"/>
      <c r="B481" s="13"/>
      <c r="C481" s="13"/>
    </row>
    <row r="482" spans="1:3" ht="13" x14ac:dyDescent="0.15">
      <c r="A482" s="10"/>
      <c r="B482" s="13"/>
      <c r="C482" s="13"/>
    </row>
    <row r="483" spans="1:3" ht="13" x14ac:dyDescent="0.15">
      <c r="A483" s="10"/>
      <c r="B483" s="13"/>
      <c r="C483" s="13"/>
    </row>
    <row r="484" spans="1:3" ht="13" x14ac:dyDescent="0.15">
      <c r="A484" s="10"/>
      <c r="B484" s="13"/>
      <c r="C484" s="13"/>
    </row>
    <row r="485" spans="1:3" ht="13" x14ac:dyDescent="0.15">
      <c r="A485" s="10"/>
      <c r="B485" s="13"/>
      <c r="C485" s="13"/>
    </row>
    <row r="486" spans="1:3" ht="13" x14ac:dyDescent="0.15">
      <c r="A486" s="10"/>
      <c r="B486" s="13"/>
      <c r="C486" s="13"/>
    </row>
    <row r="487" spans="1:3" ht="13" x14ac:dyDescent="0.15">
      <c r="A487" s="10"/>
      <c r="B487" s="13"/>
      <c r="C487" s="13"/>
    </row>
    <row r="488" spans="1:3" ht="13" x14ac:dyDescent="0.15">
      <c r="A488" s="10"/>
      <c r="B488" s="13"/>
      <c r="C488" s="13"/>
    </row>
    <row r="489" spans="1:3" ht="13" x14ac:dyDescent="0.15">
      <c r="A489" s="10"/>
      <c r="B489" s="13"/>
      <c r="C489" s="13"/>
    </row>
    <row r="490" spans="1:3" ht="13" x14ac:dyDescent="0.15">
      <c r="A490" s="10"/>
      <c r="B490" s="13"/>
      <c r="C490" s="13"/>
    </row>
    <row r="491" spans="1:3" ht="13" x14ac:dyDescent="0.15">
      <c r="A491" s="10"/>
      <c r="B491" s="13"/>
      <c r="C491" s="13"/>
    </row>
    <row r="492" spans="1:3" ht="13" x14ac:dyDescent="0.15">
      <c r="A492" s="10"/>
      <c r="B492" s="13"/>
      <c r="C492" s="13"/>
    </row>
    <row r="493" spans="1:3" ht="13" x14ac:dyDescent="0.15">
      <c r="A493" s="10"/>
      <c r="B493" s="13"/>
      <c r="C493" s="13"/>
    </row>
    <row r="494" spans="1:3" ht="13" x14ac:dyDescent="0.15">
      <c r="A494" s="10"/>
      <c r="B494" s="13"/>
      <c r="C494" s="13"/>
    </row>
    <row r="495" spans="1:3" ht="13" x14ac:dyDescent="0.15">
      <c r="A495" s="10"/>
      <c r="B495" s="13"/>
      <c r="C495" s="13"/>
    </row>
    <row r="496" spans="1:3" ht="13" x14ac:dyDescent="0.15">
      <c r="A496" s="10"/>
      <c r="B496" s="13"/>
      <c r="C496" s="13"/>
    </row>
    <row r="497" spans="1:3" ht="13" x14ac:dyDescent="0.15">
      <c r="A497" s="10"/>
      <c r="B497" s="13"/>
      <c r="C497" s="13"/>
    </row>
    <row r="498" spans="1:3" ht="13" x14ac:dyDescent="0.15">
      <c r="A498" s="10"/>
      <c r="B498" s="13"/>
      <c r="C498" s="13"/>
    </row>
    <row r="499" spans="1:3" ht="13" x14ac:dyDescent="0.15">
      <c r="A499" s="10"/>
      <c r="B499" s="13"/>
      <c r="C499" s="13"/>
    </row>
    <row r="500" spans="1:3" ht="13" x14ac:dyDescent="0.15">
      <c r="A500" s="10"/>
      <c r="B500" s="13"/>
      <c r="C500" s="13"/>
    </row>
    <row r="501" spans="1:3" ht="13" x14ac:dyDescent="0.15">
      <c r="A501" s="10"/>
      <c r="B501" s="13"/>
      <c r="C501" s="13"/>
    </row>
    <row r="502" spans="1:3" ht="13" x14ac:dyDescent="0.15">
      <c r="A502" s="10"/>
      <c r="B502" s="13"/>
      <c r="C502" s="13"/>
    </row>
    <row r="503" spans="1:3" ht="13" x14ac:dyDescent="0.15">
      <c r="A503" s="10"/>
      <c r="B503" s="13"/>
      <c r="C503" s="13"/>
    </row>
    <row r="504" spans="1:3" ht="13" x14ac:dyDescent="0.15">
      <c r="A504" s="10"/>
      <c r="B504" s="13"/>
      <c r="C504" s="13"/>
    </row>
    <row r="505" spans="1:3" ht="13" x14ac:dyDescent="0.15">
      <c r="A505" s="10"/>
      <c r="B505" s="13"/>
      <c r="C505" s="13"/>
    </row>
    <row r="506" spans="1:3" ht="13" x14ac:dyDescent="0.15">
      <c r="A506" s="10"/>
      <c r="B506" s="13"/>
      <c r="C506" s="13"/>
    </row>
    <row r="507" spans="1:3" ht="13" x14ac:dyDescent="0.15">
      <c r="A507" s="10"/>
      <c r="B507" s="13"/>
      <c r="C507" s="13"/>
    </row>
    <row r="508" spans="1:3" ht="13" x14ac:dyDescent="0.15">
      <c r="A508" s="10"/>
      <c r="B508" s="13"/>
      <c r="C508" s="13"/>
    </row>
    <row r="509" spans="1:3" ht="13" x14ac:dyDescent="0.15">
      <c r="A509" s="10"/>
      <c r="B509" s="13"/>
      <c r="C509" s="13"/>
    </row>
    <row r="510" spans="1:3" ht="13" x14ac:dyDescent="0.15">
      <c r="A510" s="10"/>
      <c r="B510" s="13"/>
      <c r="C510" s="13"/>
    </row>
    <row r="511" spans="1:3" ht="13" x14ac:dyDescent="0.15">
      <c r="A511" s="10"/>
      <c r="B511" s="13"/>
      <c r="C511" s="13"/>
    </row>
    <row r="512" spans="1:3" ht="13" x14ac:dyDescent="0.15">
      <c r="A512" s="10"/>
      <c r="B512" s="13"/>
      <c r="C512" s="13"/>
    </row>
    <row r="513" spans="1:3" ht="13" x14ac:dyDescent="0.15">
      <c r="A513" s="10"/>
      <c r="B513" s="13"/>
      <c r="C513" s="13"/>
    </row>
    <row r="514" spans="1:3" ht="13" x14ac:dyDescent="0.15">
      <c r="A514" s="10"/>
      <c r="B514" s="13"/>
      <c r="C514" s="13"/>
    </row>
    <row r="515" spans="1:3" ht="13" x14ac:dyDescent="0.15">
      <c r="A515" s="10"/>
      <c r="B515" s="13"/>
      <c r="C515" s="13"/>
    </row>
    <row r="516" spans="1:3" ht="13" x14ac:dyDescent="0.15">
      <c r="A516" s="10"/>
      <c r="B516" s="13"/>
      <c r="C516" s="13"/>
    </row>
    <row r="517" spans="1:3" ht="13" x14ac:dyDescent="0.15">
      <c r="A517" s="10"/>
      <c r="B517" s="13"/>
      <c r="C517" s="13"/>
    </row>
    <row r="518" spans="1:3" ht="13" x14ac:dyDescent="0.15">
      <c r="A518" s="10"/>
      <c r="B518" s="13"/>
      <c r="C518" s="13"/>
    </row>
    <row r="519" spans="1:3" ht="13" x14ac:dyDescent="0.15">
      <c r="A519" s="10"/>
      <c r="B519" s="13"/>
      <c r="C519" s="13"/>
    </row>
    <row r="520" spans="1:3" ht="13" x14ac:dyDescent="0.15">
      <c r="A520" s="10"/>
      <c r="B520" s="13"/>
      <c r="C520" s="13"/>
    </row>
    <row r="521" spans="1:3" ht="13" x14ac:dyDescent="0.15">
      <c r="A521" s="10"/>
      <c r="B521" s="13"/>
      <c r="C521" s="13"/>
    </row>
    <row r="522" spans="1:3" ht="13" x14ac:dyDescent="0.15">
      <c r="A522" s="10"/>
      <c r="B522" s="13"/>
      <c r="C522" s="13"/>
    </row>
    <row r="523" spans="1:3" ht="13" x14ac:dyDescent="0.15">
      <c r="A523" s="10"/>
      <c r="B523" s="13"/>
      <c r="C523" s="13"/>
    </row>
    <row r="524" spans="1:3" ht="13" x14ac:dyDescent="0.15">
      <c r="A524" s="10"/>
      <c r="B524" s="13"/>
      <c r="C524" s="13"/>
    </row>
    <row r="525" spans="1:3" ht="13" x14ac:dyDescent="0.15">
      <c r="A525" s="10"/>
      <c r="B525" s="13"/>
      <c r="C525" s="13"/>
    </row>
    <row r="526" spans="1:3" ht="13" x14ac:dyDescent="0.15">
      <c r="A526" s="10"/>
      <c r="B526" s="13"/>
      <c r="C526" s="13"/>
    </row>
    <row r="527" spans="1:3" ht="13" x14ac:dyDescent="0.15">
      <c r="A527" s="10"/>
      <c r="B527" s="13"/>
      <c r="C527" s="13"/>
    </row>
    <row r="528" spans="1:3" ht="13" x14ac:dyDescent="0.15">
      <c r="A528" s="10"/>
      <c r="B528" s="13"/>
      <c r="C528" s="13"/>
    </row>
    <row r="529" spans="1:3" ht="13" x14ac:dyDescent="0.15">
      <c r="A529" s="10"/>
      <c r="B529" s="13"/>
      <c r="C529" s="13"/>
    </row>
    <row r="530" spans="1:3" ht="13" x14ac:dyDescent="0.15">
      <c r="A530" s="10"/>
      <c r="B530" s="13"/>
      <c r="C530" s="13"/>
    </row>
    <row r="531" spans="1:3" ht="13" x14ac:dyDescent="0.15">
      <c r="A531" s="10"/>
      <c r="B531" s="13"/>
      <c r="C531" s="13"/>
    </row>
    <row r="532" spans="1:3" ht="13" x14ac:dyDescent="0.15">
      <c r="A532" s="10"/>
      <c r="B532" s="13"/>
      <c r="C532" s="13"/>
    </row>
    <row r="533" spans="1:3" ht="13" x14ac:dyDescent="0.15">
      <c r="A533" s="10"/>
      <c r="B533" s="13"/>
      <c r="C533" s="13"/>
    </row>
    <row r="534" spans="1:3" ht="13" x14ac:dyDescent="0.15">
      <c r="A534" s="10"/>
      <c r="B534" s="13"/>
      <c r="C534" s="13"/>
    </row>
    <row r="535" spans="1:3" ht="13" x14ac:dyDescent="0.15">
      <c r="A535" s="10"/>
      <c r="B535" s="13"/>
      <c r="C535" s="13"/>
    </row>
    <row r="536" spans="1:3" ht="13" x14ac:dyDescent="0.15">
      <c r="A536" s="10"/>
      <c r="B536" s="13"/>
      <c r="C536" s="13"/>
    </row>
    <row r="537" spans="1:3" ht="13" x14ac:dyDescent="0.15">
      <c r="A537" s="10"/>
      <c r="B537" s="13"/>
      <c r="C537" s="13"/>
    </row>
    <row r="538" spans="1:3" ht="13" x14ac:dyDescent="0.15">
      <c r="A538" s="10"/>
      <c r="B538" s="13"/>
      <c r="C538" s="13"/>
    </row>
    <row r="539" spans="1:3" ht="13" x14ac:dyDescent="0.15">
      <c r="A539" s="10"/>
      <c r="B539" s="13"/>
      <c r="C539" s="13"/>
    </row>
    <row r="540" spans="1:3" ht="13" x14ac:dyDescent="0.15">
      <c r="A540" s="10"/>
      <c r="B540" s="13"/>
      <c r="C540" s="13"/>
    </row>
    <row r="541" spans="1:3" ht="13" x14ac:dyDescent="0.15">
      <c r="A541" s="10"/>
      <c r="B541" s="13"/>
      <c r="C541" s="13"/>
    </row>
    <row r="542" spans="1:3" ht="13" x14ac:dyDescent="0.15">
      <c r="A542" s="10"/>
      <c r="B542" s="13"/>
      <c r="C542" s="13"/>
    </row>
    <row r="543" spans="1:3" ht="13" x14ac:dyDescent="0.15">
      <c r="A543" s="10"/>
      <c r="B543" s="13"/>
      <c r="C543" s="13"/>
    </row>
    <row r="544" spans="1:3" ht="13" x14ac:dyDescent="0.15">
      <c r="A544" s="10"/>
      <c r="B544" s="13"/>
      <c r="C544" s="13"/>
    </row>
    <row r="545" spans="1:3" ht="13" x14ac:dyDescent="0.15">
      <c r="A545" s="10"/>
      <c r="B545" s="13"/>
      <c r="C545" s="13"/>
    </row>
    <row r="546" spans="1:3" ht="13" x14ac:dyDescent="0.15">
      <c r="A546" s="10"/>
      <c r="B546" s="13"/>
      <c r="C546" s="13"/>
    </row>
    <row r="547" spans="1:3" ht="13" x14ac:dyDescent="0.15">
      <c r="A547" s="10"/>
      <c r="B547" s="13"/>
      <c r="C547" s="13"/>
    </row>
    <row r="548" spans="1:3" ht="13" x14ac:dyDescent="0.15">
      <c r="A548" s="10"/>
      <c r="B548" s="13"/>
      <c r="C548" s="13"/>
    </row>
    <row r="549" spans="1:3" ht="13" x14ac:dyDescent="0.15">
      <c r="A549" s="10"/>
      <c r="B549" s="13"/>
      <c r="C549" s="13"/>
    </row>
    <row r="550" spans="1:3" ht="13" x14ac:dyDescent="0.15">
      <c r="A550" s="10"/>
      <c r="B550" s="13"/>
      <c r="C550" s="13"/>
    </row>
    <row r="551" spans="1:3" ht="13" x14ac:dyDescent="0.15">
      <c r="A551" s="10"/>
      <c r="B551" s="13"/>
      <c r="C551" s="13"/>
    </row>
    <row r="552" spans="1:3" ht="13" x14ac:dyDescent="0.15">
      <c r="A552" s="10"/>
      <c r="B552" s="13"/>
      <c r="C552" s="13"/>
    </row>
    <row r="553" spans="1:3" ht="13" x14ac:dyDescent="0.15">
      <c r="A553" s="10"/>
      <c r="B553" s="13"/>
      <c r="C553" s="13"/>
    </row>
    <row r="554" spans="1:3" ht="13" x14ac:dyDescent="0.15">
      <c r="A554" s="10"/>
      <c r="B554" s="13"/>
      <c r="C554" s="13"/>
    </row>
    <row r="555" spans="1:3" ht="13" x14ac:dyDescent="0.15">
      <c r="A555" s="10"/>
      <c r="B555" s="13"/>
      <c r="C555" s="13"/>
    </row>
    <row r="556" spans="1:3" ht="13" x14ac:dyDescent="0.15">
      <c r="A556" s="10"/>
      <c r="B556" s="13"/>
      <c r="C556" s="13"/>
    </row>
    <row r="557" spans="1:3" ht="13" x14ac:dyDescent="0.15">
      <c r="A557" s="10"/>
      <c r="B557" s="13"/>
      <c r="C557" s="13"/>
    </row>
    <row r="558" spans="1:3" ht="13" x14ac:dyDescent="0.15">
      <c r="A558" s="10"/>
      <c r="B558" s="13"/>
      <c r="C558" s="13"/>
    </row>
    <row r="559" spans="1:3" ht="13" x14ac:dyDescent="0.15">
      <c r="A559" s="10"/>
      <c r="B559" s="13"/>
      <c r="C559" s="13"/>
    </row>
    <row r="560" spans="1:3" ht="13" x14ac:dyDescent="0.15">
      <c r="A560" s="10"/>
      <c r="B560" s="13"/>
      <c r="C560" s="13"/>
    </row>
    <row r="561" spans="1:3" ht="13" x14ac:dyDescent="0.15">
      <c r="A561" s="10"/>
      <c r="B561" s="13"/>
      <c r="C561" s="13"/>
    </row>
    <row r="562" spans="1:3" ht="13" x14ac:dyDescent="0.15">
      <c r="A562" s="10"/>
      <c r="B562" s="13"/>
      <c r="C562" s="13"/>
    </row>
    <row r="563" spans="1:3" ht="13" x14ac:dyDescent="0.15">
      <c r="A563" s="10"/>
      <c r="B563" s="13"/>
      <c r="C563" s="13"/>
    </row>
    <row r="564" spans="1:3" ht="13" x14ac:dyDescent="0.15">
      <c r="A564" s="10"/>
      <c r="B564" s="13"/>
      <c r="C564" s="13"/>
    </row>
    <row r="565" spans="1:3" ht="13" x14ac:dyDescent="0.15">
      <c r="A565" s="10"/>
      <c r="B565" s="13"/>
      <c r="C565" s="13"/>
    </row>
    <row r="566" spans="1:3" ht="13" x14ac:dyDescent="0.15">
      <c r="A566" s="10"/>
      <c r="B566" s="13"/>
      <c r="C566" s="13"/>
    </row>
    <row r="567" spans="1:3" ht="13" x14ac:dyDescent="0.15">
      <c r="A567" s="10"/>
      <c r="B567" s="13"/>
      <c r="C567" s="13"/>
    </row>
    <row r="568" spans="1:3" ht="13" x14ac:dyDescent="0.15">
      <c r="A568" s="10"/>
      <c r="B568" s="13"/>
      <c r="C568" s="13"/>
    </row>
    <row r="569" spans="1:3" ht="13" x14ac:dyDescent="0.15">
      <c r="A569" s="10"/>
      <c r="B569" s="13"/>
      <c r="C569" s="13"/>
    </row>
    <row r="570" spans="1:3" ht="13" x14ac:dyDescent="0.15">
      <c r="A570" s="10"/>
      <c r="B570" s="13"/>
      <c r="C570" s="13"/>
    </row>
    <row r="571" spans="1:3" ht="13" x14ac:dyDescent="0.15">
      <c r="A571" s="10"/>
      <c r="B571" s="13"/>
      <c r="C571" s="13"/>
    </row>
    <row r="572" spans="1:3" ht="13" x14ac:dyDescent="0.15">
      <c r="A572" s="10"/>
      <c r="B572" s="13"/>
      <c r="C572" s="13"/>
    </row>
    <row r="573" spans="1:3" ht="13" x14ac:dyDescent="0.15">
      <c r="A573" s="10"/>
      <c r="B573" s="13"/>
      <c r="C573" s="13"/>
    </row>
    <row r="574" spans="1:3" ht="13" x14ac:dyDescent="0.15">
      <c r="A574" s="10"/>
      <c r="B574" s="13"/>
      <c r="C574" s="13"/>
    </row>
    <row r="575" spans="1:3" ht="13" x14ac:dyDescent="0.15">
      <c r="A575" s="10"/>
      <c r="B575" s="13"/>
      <c r="C575" s="13"/>
    </row>
    <row r="576" spans="1:3" ht="13" x14ac:dyDescent="0.15">
      <c r="A576" s="10"/>
      <c r="B576" s="13"/>
      <c r="C576" s="13"/>
    </row>
    <row r="577" spans="1:3" ht="13" x14ac:dyDescent="0.15">
      <c r="A577" s="10"/>
      <c r="B577" s="13"/>
      <c r="C577" s="13"/>
    </row>
    <row r="578" spans="1:3" ht="13" x14ac:dyDescent="0.15">
      <c r="A578" s="10"/>
      <c r="B578" s="13"/>
      <c r="C578" s="13"/>
    </row>
    <row r="579" spans="1:3" ht="13" x14ac:dyDescent="0.15">
      <c r="A579" s="10"/>
      <c r="B579" s="13"/>
      <c r="C579" s="13"/>
    </row>
    <row r="580" spans="1:3" ht="13" x14ac:dyDescent="0.15">
      <c r="A580" s="10"/>
      <c r="B580" s="13"/>
      <c r="C580" s="13"/>
    </row>
    <row r="581" spans="1:3" ht="13" x14ac:dyDescent="0.15">
      <c r="A581" s="10"/>
      <c r="B581" s="13"/>
      <c r="C581" s="13"/>
    </row>
    <row r="582" spans="1:3" ht="13" x14ac:dyDescent="0.15">
      <c r="A582" s="10"/>
      <c r="B582" s="13"/>
      <c r="C582" s="13"/>
    </row>
    <row r="583" spans="1:3" ht="13" x14ac:dyDescent="0.15">
      <c r="A583" s="10"/>
      <c r="B583" s="13"/>
      <c r="C583" s="13"/>
    </row>
    <row r="584" spans="1:3" ht="13" x14ac:dyDescent="0.15">
      <c r="A584" s="10"/>
      <c r="B584" s="13"/>
      <c r="C584" s="13"/>
    </row>
    <row r="585" spans="1:3" ht="13" x14ac:dyDescent="0.15">
      <c r="A585" s="10"/>
      <c r="B585" s="13"/>
      <c r="C585" s="13"/>
    </row>
    <row r="586" spans="1:3" ht="13" x14ac:dyDescent="0.15">
      <c r="A586" s="10"/>
      <c r="B586" s="13"/>
      <c r="C586" s="13"/>
    </row>
    <row r="587" spans="1:3" ht="13" x14ac:dyDescent="0.15">
      <c r="A587" s="10"/>
      <c r="B587" s="13"/>
      <c r="C587" s="13"/>
    </row>
    <row r="588" spans="1:3" ht="13" x14ac:dyDescent="0.15">
      <c r="A588" s="10"/>
      <c r="B588" s="13"/>
      <c r="C588" s="13"/>
    </row>
    <row r="589" spans="1:3" ht="13" x14ac:dyDescent="0.15">
      <c r="A589" s="10"/>
      <c r="B589" s="13"/>
      <c r="C589" s="13"/>
    </row>
    <row r="590" spans="1:3" ht="13" x14ac:dyDescent="0.15">
      <c r="A590" s="10"/>
      <c r="B590" s="13"/>
      <c r="C590" s="13"/>
    </row>
    <row r="591" spans="1:3" ht="13" x14ac:dyDescent="0.15">
      <c r="A591" s="10"/>
      <c r="B591" s="13"/>
      <c r="C591" s="13"/>
    </row>
    <row r="592" spans="1:3" ht="13" x14ac:dyDescent="0.15">
      <c r="A592" s="10"/>
      <c r="B592" s="13"/>
      <c r="C592" s="13"/>
    </row>
    <row r="593" spans="1:3" ht="13" x14ac:dyDescent="0.15">
      <c r="A593" s="10"/>
      <c r="B593" s="13"/>
      <c r="C593" s="13"/>
    </row>
    <row r="594" spans="1:3" ht="13" x14ac:dyDescent="0.15">
      <c r="A594" s="10"/>
      <c r="B594" s="13"/>
      <c r="C594" s="13"/>
    </row>
    <row r="595" spans="1:3" ht="13" x14ac:dyDescent="0.15">
      <c r="A595" s="10"/>
      <c r="B595" s="13"/>
      <c r="C595" s="13"/>
    </row>
    <row r="596" spans="1:3" ht="13" x14ac:dyDescent="0.15">
      <c r="A596" s="10"/>
      <c r="B596" s="13"/>
      <c r="C596" s="13"/>
    </row>
    <row r="597" spans="1:3" ht="13" x14ac:dyDescent="0.15">
      <c r="A597" s="10"/>
      <c r="B597" s="13"/>
      <c r="C597" s="13"/>
    </row>
    <row r="598" spans="1:3" ht="13" x14ac:dyDescent="0.15">
      <c r="A598" s="10"/>
      <c r="B598" s="13"/>
      <c r="C598" s="13"/>
    </row>
    <row r="599" spans="1:3" ht="13" x14ac:dyDescent="0.15">
      <c r="A599" s="10"/>
      <c r="B599" s="13"/>
      <c r="C599" s="13"/>
    </row>
    <row r="600" spans="1:3" ht="13" x14ac:dyDescent="0.15">
      <c r="A600" s="10"/>
      <c r="B600" s="13"/>
      <c r="C600" s="13"/>
    </row>
    <row r="601" spans="1:3" ht="13" x14ac:dyDescent="0.15">
      <c r="A601" s="10"/>
      <c r="B601" s="13"/>
      <c r="C601" s="13"/>
    </row>
    <row r="602" spans="1:3" ht="13" x14ac:dyDescent="0.15">
      <c r="A602" s="10"/>
      <c r="B602" s="13"/>
      <c r="C602" s="13"/>
    </row>
    <row r="603" spans="1:3" ht="13" x14ac:dyDescent="0.15">
      <c r="A603" s="10"/>
      <c r="B603" s="13"/>
      <c r="C603" s="13"/>
    </row>
    <row r="604" spans="1:3" ht="13" x14ac:dyDescent="0.15">
      <c r="A604" s="10"/>
      <c r="B604" s="13"/>
      <c r="C604" s="13"/>
    </row>
    <row r="605" spans="1:3" ht="13" x14ac:dyDescent="0.15">
      <c r="A605" s="10"/>
      <c r="B605" s="13"/>
      <c r="C605" s="13"/>
    </row>
    <row r="606" spans="1:3" ht="13" x14ac:dyDescent="0.15">
      <c r="A606" s="10"/>
      <c r="B606" s="13"/>
      <c r="C606" s="13"/>
    </row>
    <row r="607" spans="1:3" ht="13" x14ac:dyDescent="0.15">
      <c r="A607" s="10"/>
      <c r="B607" s="13"/>
      <c r="C607" s="13"/>
    </row>
    <row r="608" spans="1:3" ht="13" x14ac:dyDescent="0.15">
      <c r="A608" s="10"/>
      <c r="B608" s="13"/>
      <c r="C608" s="13"/>
    </row>
    <row r="609" spans="1:3" ht="13" x14ac:dyDescent="0.15">
      <c r="A609" s="10"/>
      <c r="B609" s="13"/>
      <c r="C609" s="13"/>
    </row>
    <row r="610" spans="1:3" ht="13" x14ac:dyDescent="0.15">
      <c r="A610" s="10"/>
      <c r="B610" s="13"/>
      <c r="C610" s="13"/>
    </row>
    <row r="611" spans="1:3" ht="13" x14ac:dyDescent="0.15">
      <c r="A611" s="10"/>
      <c r="B611" s="13"/>
      <c r="C611" s="13"/>
    </row>
    <row r="612" spans="1:3" ht="13" x14ac:dyDescent="0.15">
      <c r="A612" s="10"/>
      <c r="B612" s="13"/>
      <c r="C612" s="13"/>
    </row>
    <row r="613" spans="1:3" ht="13" x14ac:dyDescent="0.15">
      <c r="A613" s="10"/>
      <c r="B613" s="13"/>
      <c r="C613" s="13"/>
    </row>
    <row r="614" spans="1:3" ht="13" x14ac:dyDescent="0.15">
      <c r="A614" s="10"/>
      <c r="B614" s="13"/>
      <c r="C614" s="13"/>
    </row>
    <row r="615" spans="1:3" ht="13" x14ac:dyDescent="0.15">
      <c r="A615" s="10"/>
      <c r="B615" s="13"/>
      <c r="C615" s="13"/>
    </row>
    <row r="616" spans="1:3" ht="13" x14ac:dyDescent="0.15">
      <c r="A616" s="10"/>
      <c r="B616" s="13"/>
      <c r="C616" s="13"/>
    </row>
    <row r="617" spans="1:3" ht="13" x14ac:dyDescent="0.15">
      <c r="A617" s="10"/>
      <c r="B617" s="13"/>
      <c r="C617" s="13"/>
    </row>
    <row r="618" spans="1:3" ht="13" x14ac:dyDescent="0.15">
      <c r="A618" s="10"/>
      <c r="B618" s="13"/>
      <c r="C618" s="13"/>
    </row>
    <row r="619" spans="1:3" ht="13" x14ac:dyDescent="0.15">
      <c r="A619" s="10"/>
      <c r="B619" s="13"/>
      <c r="C619" s="13"/>
    </row>
    <row r="620" spans="1:3" ht="13" x14ac:dyDescent="0.15">
      <c r="A620" s="10"/>
      <c r="B620" s="13"/>
      <c r="C620" s="13"/>
    </row>
    <row r="621" spans="1:3" ht="13" x14ac:dyDescent="0.15">
      <c r="A621" s="10"/>
      <c r="B621" s="13"/>
      <c r="C621" s="13"/>
    </row>
    <row r="622" spans="1:3" ht="13" x14ac:dyDescent="0.15">
      <c r="A622" s="10"/>
      <c r="B622" s="13"/>
      <c r="C622" s="13"/>
    </row>
    <row r="623" spans="1:3" ht="13" x14ac:dyDescent="0.15">
      <c r="A623" s="10"/>
      <c r="B623" s="13"/>
      <c r="C623" s="13"/>
    </row>
    <row r="624" spans="1:3" ht="13" x14ac:dyDescent="0.15">
      <c r="A624" s="10"/>
      <c r="B624" s="13"/>
      <c r="C624" s="13"/>
    </row>
    <row r="625" spans="1:3" ht="13" x14ac:dyDescent="0.15">
      <c r="A625" s="10"/>
      <c r="B625" s="13"/>
      <c r="C625" s="13"/>
    </row>
    <row r="626" spans="1:3" ht="13" x14ac:dyDescent="0.15">
      <c r="A626" s="10"/>
      <c r="B626" s="13"/>
      <c r="C626" s="13"/>
    </row>
    <row r="627" spans="1:3" ht="13" x14ac:dyDescent="0.15">
      <c r="A627" s="10"/>
      <c r="B627" s="13"/>
      <c r="C627" s="13"/>
    </row>
    <row r="628" spans="1:3" ht="13" x14ac:dyDescent="0.15">
      <c r="A628" s="10"/>
      <c r="B628" s="13"/>
      <c r="C628" s="13"/>
    </row>
    <row r="629" spans="1:3" ht="13" x14ac:dyDescent="0.15">
      <c r="A629" s="10"/>
      <c r="B629" s="13"/>
      <c r="C629" s="13"/>
    </row>
    <row r="630" spans="1:3" ht="13" x14ac:dyDescent="0.15">
      <c r="A630" s="10"/>
      <c r="B630" s="13"/>
      <c r="C630" s="13"/>
    </row>
    <row r="631" spans="1:3" ht="13" x14ac:dyDescent="0.15">
      <c r="A631" s="10"/>
      <c r="B631" s="13"/>
      <c r="C631" s="13"/>
    </row>
    <row r="632" spans="1:3" ht="13" x14ac:dyDescent="0.15">
      <c r="A632" s="10"/>
      <c r="B632" s="13"/>
      <c r="C632" s="13"/>
    </row>
    <row r="633" spans="1:3" ht="13" x14ac:dyDescent="0.15">
      <c r="A633" s="10"/>
      <c r="B633" s="13"/>
      <c r="C633" s="13"/>
    </row>
    <row r="634" spans="1:3" ht="13" x14ac:dyDescent="0.15">
      <c r="A634" s="10"/>
      <c r="B634" s="13"/>
      <c r="C634" s="13"/>
    </row>
    <row r="635" spans="1:3" ht="13" x14ac:dyDescent="0.15">
      <c r="A635" s="10"/>
      <c r="B635" s="13"/>
      <c r="C635" s="13"/>
    </row>
    <row r="636" spans="1:3" ht="13" x14ac:dyDescent="0.15">
      <c r="A636" s="10"/>
      <c r="B636" s="13"/>
      <c r="C636" s="13"/>
    </row>
    <row r="637" spans="1:3" ht="13" x14ac:dyDescent="0.15">
      <c r="A637" s="10"/>
      <c r="B637" s="13"/>
      <c r="C637" s="13"/>
    </row>
    <row r="638" spans="1:3" ht="13" x14ac:dyDescent="0.15">
      <c r="A638" s="10"/>
      <c r="B638" s="13"/>
      <c r="C638" s="13"/>
    </row>
    <row r="639" spans="1:3" ht="13" x14ac:dyDescent="0.15">
      <c r="A639" s="10"/>
      <c r="B639" s="13"/>
      <c r="C639" s="13"/>
    </row>
    <row r="640" spans="1:3" ht="13" x14ac:dyDescent="0.15">
      <c r="A640" s="10"/>
      <c r="B640" s="13"/>
      <c r="C640" s="13"/>
    </row>
    <row r="641" spans="1:3" ht="13" x14ac:dyDescent="0.15">
      <c r="A641" s="10"/>
      <c r="B641" s="13"/>
      <c r="C641" s="13"/>
    </row>
    <row r="642" spans="1:3" ht="13" x14ac:dyDescent="0.15">
      <c r="A642" s="10"/>
      <c r="B642" s="13"/>
      <c r="C642" s="13"/>
    </row>
    <row r="643" spans="1:3" ht="13" x14ac:dyDescent="0.15">
      <c r="A643" s="10"/>
      <c r="B643" s="13"/>
      <c r="C643" s="13"/>
    </row>
    <row r="644" spans="1:3" ht="13" x14ac:dyDescent="0.15">
      <c r="A644" s="10"/>
      <c r="B644" s="13"/>
      <c r="C644" s="13"/>
    </row>
    <row r="645" spans="1:3" ht="13" x14ac:dyDescent="0.15">
      <c r="A645" s="10"/>
      <c r="B645" s="13"/>
      <c r="C645" s="13"/>
    </row>
    <row r="646" spans="1:3" ht="13" x14ac:dyDescent="0.15">
      <c r="A646" s="10"/>
      <c r="B646" s="13"/>
      <c r="C646" s="13"/>
    </row>
    <row r="647" spans="1:3" ht="13" x14ac:dyDescent="0.15">
      <c r="A647" s="10"/>
      <c r="B647" s="13"/>
      <c r="C647" s="13"/>
    </row>
    <row r="648" spans="1:3" ht="13" x14ac:dyDescent="0.15">
      <c r="A648" s="10"/>
      <c r="B648" s="13"/>
      <c r="C648" s="13"/>
    </row>
    <row r="649" spans="1:3" ht="13" x14ac:dyDescent="0.15">
      <c r="A649" s="10"/>
      <c r="B649" s="13"/>
      <c r="C649" s="13"/>
    </row>
    <row r="650" spans="1:3" ht="13" x14ac:dyDescent="0.15">
      <c r="A650" s="10"/>
      <c r="B650" s="13"/>
      <c r="C650" s="13"/>
    </row>
    <row r="651" spans="1:3" ht="13" x14ac:dyDescent="0.15">
      <c r="A651" s="10"/>
      <c r="B651" s="13"/>
      <c r="C651" s="13"/>
    </row>
    <row r="652" spans="1:3" ht="13" x14ac:dyDescent="0.15">
      <c r="A652" s="10"/>
      <c r="B652" s="13"/>
      <c r="C652" s="13"/>
    </row>
    <row r="653" spans="1:3" ht="13" x14ac:dyDescent="0.15">
      <c r="A653" s="10"/>
      <c r="B653" s="13"/>
      <c r="C653" s="13"/>
    </row>
    <row r="654" spans="1:3" ht="13" x14ac:dyDescent="0.15">
      <c r="A654" s="10"/>
      <c r="B654" s="13"/>
      <c r="C654" s="13"/>
    </row>
    <row r="655" spans="1:3" ht="13" x14ac:dyDescent="0.15">
      <c r="A655" s="10"/>
      <c r="B655" s="13"/>
      <c r="C655" s="13"/>
    </row>
    <row r="656" spans="1:3" ht="13" x14ac:dyDescent="0.15">
      <c r="A656" s="10"/>
      <c r="B656" s="13"/>
      <c r="C656" s="13"/>
    </row>
    <row r="657" spans="1:3" ht="13" x14ac:dyDescent="0.15">
      <c r="A657" s="10"/>
      <c r="B657" s="13"/>
      <c r="C657" s="13"/>
    </row>
    <row r="658" spans="1:3" ht="13" x14ac:dyDescent="0.15">
      <c r="A658" s="10"/>
      <c r="B658" s="13"/>
      <c r="C658" s="13"/>
    </row>
    <row r="659" spans="1:3" ht="13" x14ac:dyDescent="0.15">
      <c r="A659" s="10"/>
      <c r="B659" s="13"/>
      <c r="C659" s="13"/>
    </row>
    <row r="660" spans="1:3" ht="13" x14ac:dyDescent="0.15">
      <c r="A660" s="10"/>
      <c r="B660" s="13"/>
      <c r="C660" s="13"/>
    </row>
    <row r="661" spans="1:3" ht="13" x14ac:dyDescent="0.15">
      <c r="A661" s="10"/>
      <c r="B661" s="13"/>
      <c r="C661" s="13"/>
    </row>
    <row r="662" spans="1:3" ht="13" x14ac:dyDescent="0.15">
      <c r="A662" s="10"/>
      <c r="B662" s="13"/>
      <c r="C662" s="13"/>
    </row>
    <row r="663" spans="1:3" ht="13" x14ac:dyDescent="0.15">
      <c r="A663" s="10"/>
      <c r="B663" s="13"/>
      <c r="C663" s="13"/>
    </row>
    <row r="664" spans="1:3" ht="13" x14ac:dyDescent="0.15">
      <c r="A664" s="10"/>
      <c r="B664" s="13"/>
      <c r="C664" s="13"/>
    </row>
    <row r="665" spans="1:3" ht="13" x14ac:dyDescent="0.15">
      <c r="A665" s="10"/>
      <c r="B665" s="13"/>
      <c r="C665" s="13"/>
    </row>
    <row r="666" spans="1:3" ht="13" x14ac:dyDescent="0.15">
      <c r="A666" s="10"/>
      <c r="B666" s="13"/>
      <c r="C666" s="13"/>
    </row>
    <row r="667" spans="1:3" ht="13" x14ac:dyDescent="0.15">
      <c r="A667" s="10"/>
      <c r="B667" s="13"/>
      <c r="C667" s="13"/>
    </row>
    <row r="668" spans="1:3" ht="13" x14ac:dyDescent="0.15">
      <c r="A668" s="10"/>
      <c r="B668" s="13"/>
      <c r="C668" s="13"/>
    </row>
    <row r="669" spans="1:3" ht="13" x14ac:dyDescent="0.15">
      <c r="A669" s="10"/>
      <c r="B669" s="13"/>
      <c r="C669" s="13"/>
    </row>
    <row r="670" spans="1:3" ht="13" x14ac:dyDescent="0.15">
      <c r="A670" s="10"/>
      <c r="B670" s="13"/>
      <c r="C670" s="13"/>
    </row>
    <row r="671" spans="1:3" ht="13" x14ac:dyDescent="0.15">
      <c r="A671" s="10"/>
      <c r="B671" s="13"/>
      <c r="C671" s="13"/>
    </row>
    <row r="672" spans="1:3" ht="13" x14ac:dyDescent="0.15">
      <c r="A672" s="10"/>
      <c r="B672" s="13"/>
      <c r="C672" s="13"/>
    </row>
    <row r="673" spans="1:3" ht="13" x14ac:dyDescent="0.15">
      <c r="A673" s="10"/>
      <c r="B673" s="13"/>
      <c r="C673" s="13"/>
    </row>
    <row r="674" spans="1:3" ht="13" x14ac:dyDescent="0.15">
      <c r="A674" s="10"/>
      <c r="B674" s="13"/>
      <c r="C674" s="13"/>
    </row>
    <row r="675" spans="1:3" ht="13" x14ac:dyDescent="0.15">
      <c r="A675" s="10"/>
      <c r="B675" s="13"/>
      <c r="C675" s="13"/>
    </row>
    <row r="676" spans="1:3" ht="13" x14ac:dyDescent="0.15">
      <c r="A676" s="10"/>
      <c r="B676" s="13"/>
      <c r="C676" s="13"/>
    </row>
    <row r="677" spans="1:3" ht="13" x14ac:dyDescent="0.15">
      <c r="A677" s="10"/>
      <c r="B677" s="13"/>
      <c r="C677" s="13"/>
    </row>
    <row r="678" spans="1:3" ht="13" x14ac:dyDescent="0.15">
      <c r="A678" s="10"/>
      <c r="B678" s="13"/>
      <c r="C678" s="13"/>
    </row>
    <row r="679" spans="1:3" ht="13" x14ac:dyDescent="0.15">
      <c r="A679" s="10"/>
      <c r="B679" s="13"/>
      <c r="C679" s="13"/>
    </row>
    <row r="680" spans="1:3" ht="13" x14ac:dyDescent="0.15">
      <c r="A680" s="10"/>
      <c r="B680" s="13"/>
      <c r="C680" s="13"/>
    </row>
    <row r="681" spans="1:3" ht="13" x14ac:dyDescent="0.15">
      <c r="A681" s="10"/>
      <c r="B681" s="13"/>
      <c r="C681" s="13"/>
    </row>
    <row r="682" spans="1:3" ht="13" x14ac:dyDescent="0.15">
      <c r="A682" s="10"/>
      <c r="B682" s="13"/>
      <c r="C682" s="13"/>
    </row>
    <row r="683" spans="1:3" ht="13" x14ac:dyDescent="0.15">
      <c r="A683" s="10"/>
      <c r="B683" s="13"/>
      <c r="C683" s="13"/>
    </row>
    <row r="684" spans="1:3" ht="13" x14ac:dyDescent="0.15">
      <c r="A684" s="10"/>
      <c r="B684" s="13"/>
      <c r="C684" s="13"/>
    </row>
    <row r="685" spans="1:3" ht="13" x14ac:dyDescent="0.15">
      <c r="A685" s="10"/>
      <c r="B685" s="13"/>
      <c r="C685" s="13"/>
    </row>
    <row r="686" spans="1:3" ht="13" x14ac:dyDescent="0.15">
      <c r="A686" s="10"/>
      <c r="B686" s="13"/>
      <c r="C686" s="13"/>
    </row>
    <row r="687" spans="1:3" ht="13" x14ac:dyDescent="0.15">
      <c r="A687" s="10"/>
      <c r="B687" s="13"/>
      <c r="C687" s="13"/>
    </row>
    <row r="688" spans="1:3" ht="13" x14ac:dyDescent="0.15">
      <c r="A688" s="10"/>
      <c r="B688" s="13"/>
      <c r="C688" s="13"/>
    </row>
    <row r="689" spans="1:3" ht="13" x14ac:dyDescent="0.15">
      <c r="A689" s="10"/>
      <c r="B689" s="13"/>
      <c r="C689" s="13"/>
    </row>
    <row r="690" spans="1:3" ht="13" x14ac:dyDescent="0.15">
      <c r="A690" s="10"/>
      <c r="B690" s="13"/>
      <c r="C690" s="13"/>
    </row>
    <row r="691" spans="1:3" ht="13" x14ac:dyDescent="0.15">
      <c r="A691" s="10"/>
      <c r="B691" s="13"/>
      <c r="C691" s="13"/>
    </row>
    <row r="692" spans="1:3" ht="13" x14ac:dyDescent="0.15">
      <c r="A692" s="10"/>
      <c r="B692" s="13"/>
      <c r="C692" s="13"/>
    </row>
    <row r="693" spans="1:3" ht="13" x14ac:dyDescent="0.15">
      <c r="A693" s="10"/>
      <c r="B693" s="13"/>
      <c r="C693" s="13"/>
    </row>
    <row r="694" spans="1:3" ht="13" x14ac:dyDescent="0.15">
      <c r="A694" s="10"/>
      <c r="B694" s="13"/>
      <c r="C694" s="13"/>
    </row>
    <row r="695" spans="1:3" ht="13" x14ac:dyDescent="0.15">
      <c r="A695" s="10"/>
      <c r="B695" s="13"/>
      <c r="C695" s="13"/>
    </row>
    <row r="696" spans="1:3" ht="13" x14ac:dyDescent="0.15">
      <c r="A696" s="10"/>
      <c r="B696" s="13"/>
      <c r="C696" s="13"/>
    </row>
    <row r="697" spans="1:3" ht="13" x14ac:dyDescent="0.15">
      <c r="A697" s="10"/>
      <c r="B697" s="13"/>
      <c r="C697" s="13"/>
    </row>
    <row r="698" spans="1:3" ht="13" x14ac:dyDescent="0.15">
      <c r="A698" s="10"/>
      <c r="B698" s="13"/>
      <c r="C698" s="13"/>
    </row>
    <row r="699" spans="1:3" ht="13" x14ac:dyDescent="0.15">
      <c r="A699" s="10"/>
      <c r="B699" s="13"/>
      <c r="C699" s="13"/>
    </row>
    <row r="700" spans="1:3" ht="13" x14ac:dyDescent="0.15">
      <c r="A700" s="10"/>
      <c r="B700" s="13"/>
      <c r="C700" s="13"/>
    </row>
    <row r="701" spans="1:3" ht="13" x14ac:dyDescent="0.15">
      <c r="A701" s="10"/>
      <c r="B701" s="13"/>
      <c r="C701" s="13"/>
    </row>
    <row r="702" spans="1:3" ht="13" x14ac:dyDescent="0.15">
      <c r="A702" s="10"/>
      <c r="B702" s="13"/>
      <c r="C702" s="13"/>
    </row>
    <row r="703" spans="1:3" ht="13" x14ac:dyDescent="0.15">
      <c r="A703" s="10"/>
      <c r="B703" s="13"/>
      <c r="C703" s="13"/>
    </row>
    <row r="704" spans="1:3" ht="13" x14ac:dyDescent="0.15">
      <c r="A704" s="10"/>
      <c r="B704" s="13"/>
      <c r="C704" s="13"/>
    </row>
    <row r="705" spans="1:3" ht="13" x14ac:dyDescent="0.15">
      <c r="A705" s="10"/>
      <c r="B705" s="13"/>
      <c r="C705" s="13"/>
    </row>
    <row r="706" spans="1:3" ht="13" x14ac:dyDescent="0.15">
      <c r="A706" s="10"/>
      <c r="B706" s="13"/>
      <c r="C706" s="13"/>
    </row>
    <row r="707" spans="1:3" ht="13" x14ac:dyDescent="0.15">
      <c r="A707" s="10"/>
      <c r="B707" s="13"/>
      <c r="C707" s="13"/>
    </row>
    <row r="708" spans="1:3" ht="13" x14ac:dyDescent="0.15">
      <c r="A708" s="10"/>
      <c r="B708" s="13"/>
      <c r="C708" s="13"/>
    </row>
    <row r="709" spans="1:3" ht="13" x14ac:dyDescent="0.15">
      <c r="A709" s="10"/>
      <c r="B709" s="13"/>
      <c r="C709" s="13"/>
    </row>
    <row r="710" spans="1:3" ht="13" x14ac:dyDescent="0.15">
      <c r="A710" s="10"/>
      <c r="B710" s="13"/>
      <c r="C710" s="13"/>
    </row>
    <row r="711" spans="1:3" ht="13" x14ac:dyDescent="0.15">
      <c r="A711" s="10"/>
      <c r="B711" s="13"/>
      <c r="C711" s="13"/>
    </row>
    <row r="712" spans="1:3" ht="13" x14ac:dyDescent="0.15">
      <c r="A712" s="10"/>
      <c r="B712" s="13"/>
      <c r="C712" s="13"/>
    </row>
    <row r="713" spans="1:3" ht="13" x14ac:dyDescent="0.15">
      <c r="A713" s="10"/>
      <c r="B713" s="13"/>
      <c r="C713" s="13"/>
    </row>
    <row r="714" spans="1:3" ht="13" x14ac:dyDescent="0.15">
      <c r="A714" s="10"/>
      <c r="B714" s="13"/>
      <c r="C714" s="13"/>
    </row>
    <row r="715" spans="1:3" ht="13" x14ac:dyDescent="0.15">
      <c r="A715" s="10"/>
      <c r="B715" s="13"/>
      <c r="C715" s="13"/>
    </row>
    <row r="716" spans="1:3" ht="13" x14ac:dyDescent="0.15">
      <c r="A716" s="10"/>
      <c r="B716" s="13"/>
      <c r="C716" s="13"/>
    </row>
    <row r="717" spans="1:3" ht="13" x14ac:dyDescent="0.15">
      <c r="A717" s="10"/>
      <c r="B717" s="13"/>
      <c r="C717" s="13"/>
    </row>
    <row r="718" spans="1:3" ht="13" x14ac:dyDescent="0.15">
      <c r="A718" s="10"/>
      <c r="B718" s="13"/>
      <c r="C718" s="13"/>
    </row>
    <row r="719" spans="1:3" ht="13" x14ac:dyDescent="0.15">
      <c r="A719" s="10"/>
      <c r="B719" s="13"/>
      <c r="C719" s="13"/>
    </row>
    <row r="720" spans="1:3" ht="13" x14ac:dyDescent="0.15">
      <c r="A720" s="10"/>
      <c r="B720" s="13"/>
      <c r="C720" s="13"/>
    </row>
    <row r="721" spans="1:3" ht="13" x14ac:dyDescent="0.15">
      <c r="A721" s="10"/>
      <c r="B721" s="13"/>
      <c r="C721" s="13"/>
    </row>
    <row r="722" spans="1:3" ht="13" x14ac:dyDescent="0.15">
      <c r="A722" s="10"/>
      <c r="B722" s="13"/>
      <c r="C722" s="13"/>
    </row>
    <row r="723" spans="1:3" ht="13" x14ac:dyDescent="0.15">
      <c r="A723" s="10"/>
      <c r="B723" s="13"/>
      <c r="C723" s="13"/>
    </row>
    <row r="724" spans="1:3" ht="13" x14ac:dyDescent="0.15">
      <c r="A724" s="10"/>
      <c r="B724" s="13"/>
      <c r="C724" s="13"/>
    </row>
    <row r="725" spans="1:3" ht="13" x14ac:dyDescent="0.15">
      <c r="A725" s="10"/>
      <c r="B725" s="13"/>
      <c r="C725" s="13"/>
    </row>
    <row r="726" spans="1:3" ht="13" x14ac:dyDescent="0.15">
      <c r="A726" s="10"/>
      <c r="B726" s="13"/>
      <c r="C726" s="13"/>
    </row>
    <row r="727" spans="1:3" ht="13" x14ac:dyDescent="0.15">
      <c r="A727" s="10"/>
      <c r="B727" s="13"/>
      <c r="C727" s="13"/>
    </row>
    <row r="728" spans="1:3" ht="13" x14ac:dyDescent="0.15">
      <c r="A728" s="10"/>
      <c r="B728" s="13"/>
      <c r="C728" s="13"/>
    </row>
    <row r="729" spans="1:3" ht="13" x14ac:dyDescent="0.15">
      <c r="A729" s="10"/>
      <c r="B729" s="13"/>
      <c r="C729" s="13"/>
    </row>
    <row r="730" spans="1:3" ht="13" x14ac:dyDescent="0.15">
      <c r="A730" s="10"/>
      <c r="B730" s="13"/>
      <c r="C730" s="13"/>
    </row>
    <row r="731" spans="1:3" ht="13" x14ac:dyDescent="0.15">
      <c r="A731" s="10"/>
      <c r="B731" s="13"/>
      <c r="C731" s="13"/>
    </row>
    <row r="732" spans="1:3" ht="13" x14ac:dyDescent="0.15">
      <c r="A732" s="10"/>
      <c r="B732" s="13"/>
      <c r="C732" s="13"/>
    </row>
    <row r="733" spans="1:3" ht="13" x14ac:dyDescent="0.15">
      <c r="A733" s="10"/>
      <c r="B733" s="13"/>
      <c r="C733" s="13"/>
    </row>
    <row r="734" spans="1:3" ht="13" x14ac:dyDescent="0.15">
      <c r="A734" s="10"/>
      <c r="B734" s="13"/>
      <c r="C734" s="13"/>
    </row>
    <row r="735" spans="1:3" ht="13" x14ac:dyDescent="0.15">
      <c r="A735" s="10"/>
      <c r="B735" s="13"/>
      <c r="C735" s="13"/>
    </row>
    <row r="736" spans="1:3" ht="13" x14ac:dyDescent="0.15">
      <c r="A736" s="10"/>
      <c r="B736" s="13"/>
      <c r="C736" s="13"/>
    </row>
    <row r="737" spans="1:3" ht="13" x14ac:dyDescent="0.15">
      <c r="A737" s="10"/>
      <c r="B737" s="13"/>
      <c r="C737" s="13"/>
    </row>
    <row r="738" spans="1:3" ht="13" x14ac:dyDescent="0.15">
      <c r="A738" s="10"/>
      <c r="B738" s="13"/>
      <c r="C738" s="13"/>
    </row>
    <row r="739" spans="1:3" ht="13" x14ac:dyDescent="0.15">
      <c r="A739" s="10"/>
      <c r="B739" s="13"/>
      <c r="C739" s="13"/>
    </row>
    <row r="740" spans="1:3" ht="13" x14ac:dyDescent="0.15">
      <c r="A740" s="10"/>
      <c r="B740" s="13"/>
      <c r="C740" s="13"/>
    </row>
    <row r="741" spans="1:3" ht="13" x14ac:dyDescent="0.15">
      <c r="A741" s="10"/>
      <c r="B741" s="13"/>
      <c r="C741" s="13"/>
    </row>
    <row r="742" spans="1:3" ht="13" x14ac:dyDescent="0.15">
      <c r="A742" s="10"/>
      <c r="B742" s="13"/>
      <c r="C742" s="13"/>
    </row>
    <row r="743" spans="1:3" ht="13" x14ac:dyDescent="0.15">
      <c r="A743" s="10"/>
      <c r="B743" s="13"/>
      <c r="C743" s="13"/>
    </row>
    <row r="744" spans="1:3" ht="13" x14ac:dyDescent="0.15">
      <c r="A744" s="10"/>
      <c r="B744" s="13"/>
      <c r="C744" s="13"/>
    </row>
    <row r="745" spans="1:3" ht="13" x14ac:dyDescent="0.15">
      <c r="A745" s="10"/>
      <c r="B745" s="13"/>
      <c r="C745" s="13"/>
    </row>
    <row r="746" spans="1:3" ht="13" x14ac:dyDescent="0.15">
      <c r="A746" s="10"/>
      <c r="B746" s="13"/>
      <c r="C746" s="13"/>
    </row>
    <row r="747" spans="1:3" ht="13" x14ac:dyDescent="0.15">
      <c r="A747" s="10"/>
      <c r="B747" s="13"/>
      <c r="C747" s="13"/>
    </row>
    <row r="748" spans="1:3" ht="13" x14ac:dyDescent="0.15">
      <c r="A748" s="10"/>
      <c r="B748" s="13"/>
      <c r="C748" s="13"/>
    </row>
    <row r="749" spans="1:3" ht="13" x14ac:dyDescent="0.15">
      <c r="A749" s="10"/>
      <c r="B749" s="13"/>
      <c r="C749" s="13"/>
    </row>
    <row r="750" spans="1:3" ht="13" x14ac:dyDescent="0.15">
      <c r="A750" s="10"/>
      <c r="B750" s="13"/>
      <c r="C750" s="13"/>
    </row>
    <row r="751" spans="1:3" ht="13" x14ac:dyDescent="0.15">
      <c r="A751" s="10"/>
      <c r="B751" s="13"/>
      <c r="C751" s="13"/>
    </row>
    <row r="752" spans="1:3" ht="13" x14ac:dyDescent="0.15">
      <c r="A752" s="10"/>
      <c r="B752" s="13"/>
      <c r="C752" s="13"/>
    </row>
    <row r="753" spans="1:3" ht="13" x14ac:dyDescent="0.15">
      <c r="A753" s="10"/>
      <c r="B753" s="13"/>
      <c r="C753" s="13"/>
    </row>
    <row r="754" spans="1:3" ht="13" x14ac:dyDescent="0.15">
      <c r="A754" s="10"/>
      <c r="B754" s="13"/>
      <c r="C754" s="13"/>
    </row>
    <row r="755" spans="1:3" ht="13" x14ac:dyDescent="0.15">
      <c r="A755" s="10"/>
      <c r="B755" s="13"/>
      <c r="C755" s="13"/>
    </row>
    <row r="756" spans="1:3" ht="13" x14ac:dyDescent="0.15">
      <c r="A756" s="10"/>
      <c r="B756" s="13"/>
      <c r="C756" s="13"/>
    </row>
    <row r="757" spans="1:3" ht="13" x14ac:dyDescent="0.15">
      <c r="A757" s="10"/>
      <c r="B757" s="13"/>
      <c r="C757" s="13"/>
    </row>
    <row r="758" spans="1:3" ht="13" x14ac:dyDescent="0.15">
      <c r="A758" s="10"/>
      <c r="B758" s="13"/>
      <c r="C758" s="13"/>
    </row>
    <row r="759" spans="1:3" ht="13" x14ac:dyDescent="0.15">
      <c r="A759" s="10"/>
      <c r="B759" s="13"/>
      <c r="C759" s="13"/>
    </row>
    <row r="760" spans="1:3" ht="13" x14ac:dyDescent="0.15">
      <c r="A760" s="10"/>
      <c r="B760" s="13"/>
      <c r="C760" s="13"/>
    </row>
    <row r="761" spans="1:3" ht="13" x14ac:dyDescent="0.15">
      <c r="A761" s="10"/>
      <c r="B761" s="13"/>
      <c r="C761" s="13"/>
    </row>
    <row r="762" spans="1:3" ht="13" x14ac:dyDescent="0.15">
      <c r="A762" s="10"/>
      <c r="B762" s="13"/>
      <c r="C762" s="13"/>
    </row>
    <row r="763" spans="1:3" ht="13" x14ac:dyDescent="0.15">
      <c r="A763" s="10"/>
      <c r="B763" s="13"/>
      <c r="C763" s="13"/>
    </row>
    <row r="764" spans="1:3" ht="13" x14ac:dyDescent="0.15">
      <c r="A764" s="10"/>
      <c r="B764" s="13"/>
      <c r="C764" s="13"/>
    </row>
    <row r="765" spans="1:3" ht="13" x14ac:dyDescent="0.15">
      <c r="A765" s="10"/>
      <c r="B765" s="13"/>
      <c r="C765" s="13"/>
    </row>
    <row r="766" spans="1:3" ht="13" x14ac:dyDescent="0.15">
      <c r="A766" s="10"/>
      <c r="B766" s="13"/>
      <c r="C766" s="13"/>
    </row>
    <row r="767" spans="1:3" ht="13" x14ac:dyDescent="0.15">
      <c r="A767" s="10"/>
      <c r="B767" s="13"/>
      <c r="C767" s="13"/>
    </row>
    <row r="768" spans="1:3" ht="13" x14ac:dyDescent="0.15">
      <c r="A768" s="10"/>
      <c r="B768" s="13"/>
      <c r="C768" s="13"/>
    </row>
    <row r="769" spans="1:3" ht="13" x14ac:dyDescent="0.15">
      <c r="A769" s="10"/>
      <c r="B769" s="13"/>
      <c r="C769" s="13"/>
    </row>
    <row r="770" spans="1:3" ht="13" x14ac:dyDescent="0.15">
      <c r="A770" s="10"/>
      <c r="B770" s="13"/>
      <c r="C770" s="13"/>
    </row>
    <row r="771" spans="1:3" ht="13" x14ac:dyDescent="0.15">
      <c r="A771" s="10"/>
      <c r="B771" s="13"/>
      <c r="C771" s="13"/>
    </row>
    <row r="772" spans="1:3" ht="13" x14ac:dyDescent="0.15">
      <c r="A772" s="10"/>
      <c r="B772" s="13"/>
      <c r="C772" s="13"/>
    </row>
    <row r="773" spans="1:3" ht="13" x14ac:dyDescent="0.15">
      <c r="A773" s="10"/>
      <c r="B773" s="13"/>
      <c r="C773" s="13"/>
    </row>
    <row r="774" spans="1:3" ht="13" x14ac:dyDescent="0.15">
      <c r="A774" s="10"/>
      <c r="B774" s="13"/>
      <c r="C774" s="13"/>
    </row>
    <row r="775" spans="1:3" ht="13" x14ac:dyDescent="0.15">
      <c r="A775" s="10"/>
      <c r="B775" s="13"/>
      <c r="C775" s="13"/>
    </row>
    <row r="776" spans="1:3" ht="13" x14ac:dyDescent="0.15">
      <c r="A776" s="10"/>
      <c r="B776" s="13"/>
      <c r="C776" s="13"/>
    </row>
    <row r="777" spans="1:3" ht="13" x14ac:dyDescent="0.15">
      <c r="A777" s="10"/>
      <c r="B777" s="13"/>
      <c r="C777" s="13"/>
    </row>
    <row r="778" spans="1:3" ht="13" x14ac:dyDescent="0.15">
      <c r="A778" s="10"/>
      <c r="B778" s="13"/>
      <c r="C778" s="13"/>
    </row>
    <row r="779" spans="1:3" ht="13" x14ac:dyDescent="0.15">
      <c r="A779" s="10"/>
      <c r="B779" s="13"/>
      <c r="C779" s="13"/>
    </row>
    <row r="780" spans="1:3" ht="13" x14ac:dyDescent="0.15">
      <c r="A780" s="10"/>
      <c r="B780" s="13"/>
      <c r="C780" s="13"/>
    </row>
    <row r="781" spans="1:3" ht="13" x14ac:dyDescent="0.15">
      <c r="A781" s="10"/>
      <c r="B781" s="13"/>
      <c r="C781" s="13"/>
    </row>
    <row r="782" spans="1:3" ht="13" x14ac:dyDescent="0.15">
      <c r="A782" s="10"/>
      <c r="B782" s="13"/>
      <c r="C782" s="13"/>
    </row>
    <row r="783" spans="1:3" ht="13" x14ac:dyDescent="0.15">
      <c r="A783" s="10"/>
      <c r="B783" s="13"/>
      <c r="C783" s="13"/>
    </row>
    <row r="784" spans="1:3" ht="13" x14ac:dyDescent="0.15">
      <c r="A784" s="10"/>
      <c r="B784" s="13"/>
      <c r="C784" s="13"/>
    </row>
    <row r="785" spans="1:3" ht="13" x14ac:dyDescent="0.15">
      <c r="A785" s="10"/>
      <c r="B785" s="13"/>
      <c r="C785" s="13"/>
    </row>
    <row r="786" spans="1:3" ht="13" x14ac:dyDescent="0.15">
      <c r="A786" s="10"/>
      <c r="B786" s="13"/>
      <c r="C786" s="13"/>
    </row>
    <row r="787" spans="1:3" ht="13" x14ac:dyDescent="0.15">
      <c r="A787" s="10"/>
      <c r="B787" s="13"/>
      <c r="C787" s="13"/>
    </row>
    <row r="788" spans="1:3" ht="13" x14ac:dyDescent="0.15">
      <c r="A788" s="10"/>
      <c r="B788" s="13"/>
      <c r="C788" s="13"/>
    </row>
    <row r="789" spans="1:3" ht="13" x14ac:dyDescent="0.15">
      <c r="A789" s="10"/>
      <c r="B789" s="13"/>
      <c r="C789" s="13"/>
    </row>
    <row r="790" spans="1:3" ht="13" x14ac:dyDescent="0.15">
      <c r="A790" s="10"/>
      <c r="B790" s="13"/>
      <c r="C790" s="13"/>
    </row>
    <row r="791" spans="1:3" ht="13" x14ac:dyDescent="0.15">
      <c r="A791" s="10"/>
      <c r="B791" s="13"/>
      <c r="C791" s="13"/>
    </row>
    <row r="792" spans="1:3" ht="13" x14ac:dyDescent="0.15">
      <c r="A792" s="10"/>
      <c r="B792" s="13"/>
      <c r="C792" s="13"/>
    </row>
    <row r="793" spans="1:3" ht="13" x14ac:dyDescent="0.15">
      <c r="A793" s="10"/>
      <c r="B793" s="13"/>
      <c r="C793" s="13"/>
    </row>
    <row r="794" spans="1:3" ht="13" x14ac:dyDescent="0.15">
      <c r="A794" s="10"/>
      <c r="B794" s="13"/>
      <c r="C794" s="13"/>
    </row>
    <row r="795" spans="1:3" ht="13" x14ac:dyDescent="0.15">
      <c r="A795" s="10"/>
      <c r="B795" s="13"/>
      <c r="C795" s="13"/>
    </row>
    <row r="796" spans="1:3" ht="13" x14ac:dyDescent="0.15">
      <c r="A796" s="10"/>
      <c r="B796" s="13"/>
      <c r="C796" s="13"/>
    </row>
    <row r="797" spans="1:3" ht="13" x14ac:dyDescent="0.15">
      <c r="A797" s="10"/>
      <c r="B797" s="13"/>
      <c r="C797" s="13"/>
    </row>
    <row r="798" spans="1:3" ht="13" x14ac:dyDescent="0.15">
      <c r="A798" s="10"/>
      <c r="B798" s="13"/>
      <c r="C798" s="13"/>
    </row>
    <row r="799" spans="1:3" ht="13" x14ac:dyDescent="0.15">
      <c r="A799" s="10"/>
      <c r="B799" s="13"/>
      <c r="C799" s="13"/>
    </row>
    <row r="800" spans="1:3" ht="13" x14ac:dyDescent="0.15">
      <c r="A800" s="10"/>
      <c r="B800" s="13"/>
      <c r="C800" s="13"/>
    </row>
    <row r="801" spans="1:3" ht="13" x14ac:dyDescent="0.15">
      <c r="A801" s="10"/>
      <c r="B801" s="13"/>
      <c r="C801" s="13"/>
    </row>
    <row r="802" spans="1:3" ht="13" x14ac:dyDescent="0.15">
      <c r="A802" s="10"/>
      <c r="B802" s="13"/>
      <c r="C802" s="13"/>
    </row>
    <row r="803" spans="1:3" ht="13" x14ac:dyDescent="0.15">
      <c r="A803" s="10"/>
      <c r="B803" s="13"/>
      <c r="C803" s="13"/>
    </row>
    <row r="804" spans="1:3" ht="13" x14ac:dyDescent="0.15">
      <c r="A804" s="10"/>
      <c r="B804" s="13"/>
      <c r="C804" s="13"/>
    </row>
    <row r="805" spans="1:3" ht="13" x14ac:dyDescent="0.15">
      <c r="A805" s="10"/>
      <c r="B805" s="13"/>
      <c r="C805" s="13"/>
    </row>
    <row r="806" spans="1:3" ht="13" x14ac:dyDescent="0.15">
      <c r="A806" s="10"/>
      <c r="B806" s="13"/>
      <c r="C806" s="13"/>
    </row>
    <row r="807" spans="1:3" ht="13" x14ac:dyDescent="0.15">
      <c r="A807" s="10"/>
      <c r="B807" s="13"/>
      <c r="C807" s="13"/>
    </row>
    <row r="808" spans="1:3" ht="13" x14ac:dyDescent="0.15">
      <c r="A808" s="10"/>
      <c r="B808" s="13"/>
      <c r="C808" s="13"/>
    </row>
    <row r="809" spans="1:3" ht="13" x14ac:dyDescent="0.15">
      <c r="A809" s="10"/>
      <c r="B809" s="13"/>
      <c r="C809" s="13"/>
    </row>
    <row r="810" spans="1:3" ht="13" x14ac:dyDescent="0.15">
      <c r="A810" s="10"/>
      <c r="B810" s="13"/>
      <c r="C810" s="13"/>
    </row>
    <row r="811" spans="1:3" ht="13" x14ac:dyDescent="0.15">
      <c r="A811" s="10"/>
      <c r="B811" s="13"/>
      <c r="C811" s="13"/>
    </row>
    <row r="812" spans="1:3" ht="13" x14ac:dyDescent="0.15">
      <c r="A812" s="10"/>
      <c r="B812" s="13"/>
      <c r="C812" s="13"/>
    </row>
    <row r="813" spans="1:3" ht="13" x14ac:dyDescent="0.15">
      <c r="A813" s="10"/>
      <c r="B813" s="13"/>
      <c r="C813" s="13"/>
    </row>
    <row r="814" spans="1:3" ht="13" x14ac:dyDescent="0.15">
      <c r="A814" s="10"/>
      <c r="B814" s="13"/>
      <c r="C814" s="13"/>
    </row>
    <row r="815" spans="1:3" ht="13" x14ac:dyDescent="0.15">
      <c r="A815" s="10"/>
      <c r="B815" s="13"/>
      <c r="C815" s="13"/>
    </row>
    <row r="816" spans="1:3" ht="13" x14ac:dyDescent="0.15">
      <c r="A816" s="10"/>
      <c r="B816" s="13"/>
      <c r="C816" s="13"/>
    </row>
    <row r="817" spans="1:3" ht="13" x14ac:dyDescent="0.15">
      <c r="A817" s="10"/>
      <c r="B817" s="13"/>
      <c r="C817" s="13"/>
    </row>
    <row r="818" spans="1:3" ht="13" x14ac:dyDescent="0.15">
      <c r="A818" s="10"/>
      <c r="B818" s="13"/>
      <c r="C818" s="13"/>
    </row>
    <row r="819" spans="1:3" ht="13" x14ac:dyDescent="0.15">
      <c r="A819" s="10"/>
      <c r="B819" s="13"/>
      <c r="C819" s="13"/>
    </row>
    <row r="820" spans="1:3" ht="13" x14ac:dyDescent="0.15">
      <c r="A820" s="10"/>
      <c r="B820" s="13"/>
      <c r="C820" s="13"/>
    </row>
    <row r="821" spans="1:3" ht="13" x14ac:dyDescent="0.15">
      <c r="A821" s="10"/>
      <c r="B821" s="13"/>
      <c r="C821" s="13"/>
    </row>
    <row r="822" spans="1:3" ht="13" x14ac:dyDescent="0.15">
      <c r="A822" s="10"/>
      <c r="B822" s="13"/>
      <c r="C822" s="13"/>
    </row>
    <row r="823" spans="1:3" ht="13" x14ac:dyDescent="0.15">
      <c r="A823" s="10"/>
      <c r="B823" s="13"/>
      <c r="C823" s="13"/>
    </row>
    <row r="824" spans="1:3" ht="13" x14ac:dyDescent="0.15">
      <c r="A824" s="10"/>
      <c r="B824" s="13"/>
      <c r="C824" s="13"/>
    </row>
    <row r="825" spans="1:3" ht="13" x14ac:dyDescent="0.15">
      <c r="A825" s="10"/>
      <c r="B825" s="13"/>
      <c r="C825" s="13"/>
    </row>
    <row r="826" spans="1:3" ht="13" x14ac:dyDescent="0.15">
      <c r="A826" s="10"/>
      <c r="B826" s="13"/>
      <c r="C826" s="13"/>
    </row>
    <row r="827" spans="1:3" ht="13" x14ac:dyDescent="0.15">
      <c r="A827" s="10"/>
      <c r="B827" s="13"/>
      <c r="C827" s="13"/>
    </row>
    <row r="828" spans="1:3" ht="13" x14ac:dyDescent="0.15">
      <c r="A828" s="10"/>
      <c r="B828" s="13"/>
      <c r="C828" s="13"/>
    </row>
    <row r="829" spans="1:3" ht="13" x14ac:dyDescent="0.15">
      <c r="A829" s="10"/>
      <c r="B829" s="13"/>
      <c r="C829" s="13"/>
    </row>
    <row r="830" spans="1:3" ht="13" x14ac:dyDescent="0.15">
      <c r="A830" s="10"/>
      <c r="B830" s="13"/>
      <c r="C830" s="13"/>
    </row>
    <row r="831" spans="1:3" ht="13" x14ac:dyDescent="0.15">
      <c r="A831" s="10"/>
      <c r="B831" s="13"/>
      <c r="C831" s="13"/>
    </row>
    <row r="832" spans="1:3" ht="13" x14ac:dyDescent="0.15">
      <c r="A832" s="10"/>
      <c r="B832" s="13"/>
      <c r="C832" s="13"/>
    </row>
    <row r="833" spans="1:3" ht="13" x14ac:dyDescent="0.15">
      <c r="A833" s="10"/>
      <c r="B833" s="13"/>
      <c r="C833" s="13"/>
    </row>
    <row r="834" spans="1:3" ht="13" x14ac:dyDescent="0.15">
      <c r="A834" s="10"/>
      <c r="B834" s="13"/>
      <c r="C834" s="13"/>
    </row>
    <row r="835" spans="1:3" ht="13" x14ac:dyDescent="0.15">
      <c r="A835" s="10"/>
      <c r="B835" s="13"/>
      <c r="C835" s="13"/>
    </row>
    <row r="836" spans="1:3" ht="13" x14ac:dyDescent="0.15">
      <c r="A836" s="10"/>
      <c r="B836" s="13"/>
      <c r="C836" s="13"/>
    </row>
    <row r="837" spans="1:3" ht="13" x14ac:dyDescent="0.15">
      <c r="A837" s="10"/>
      <c r="B837" s="13"/>
      <c r="C837" s="13"/>
    </row>
    <row r="838" spans="1:3" ht="13" x14ac:dyDescent="0.15">
      <c r="A838" s="10"/>
      <c r="B838" s="13"/>
      <c r="C838" s="13"/>
    </row>
    <row r="839" spans="1:3" ht="13" x14ac:dyDescent="0.15">
      <c r="A839" s="10"/>
      <c r="B839" s="13"/>
      <c r="C839" s="13"/>
    </row>
    <row r="840" spans="1:3" ht="13" x14ac:dyDescent="0.15">
      <c r="A840" s="10"/>
      <c r="B840" s="13"/>
      <c r="C840" s="13"/>
    </row>
    <row r="841" spans="1:3" ht="13" x14ac:dyDescent="0.15">
      <c r="A841" s="10"/>
      <c r="B841" s="13"/>
      <c r="C841" s="13"/>
    </row>
    <row r="842" spans="1:3" ht="13" x14ac:dyDescent="0.15">
      <c r="A842" s="10"/>
      <c r="B842" s="13"/>
      <c r="C842" s="13"/>
    </row>
    <row r="843" spans="1:3" ht="13" x14ac:dyDescent="0.15">
      <c r="A843" s="10"/>
      <c r="B843" s="13"/>
      <c r="C843" s="13"/>
    </row>
    <row r="844" spans="1:3" ht="13" x14ac:dyDescent="0.15">
      <c r="A844" s="10"/>
      <c r="B844" s="13"/>
      <c r="C844" s="13"/>
    </row>
    <row r="845" spans="1:3" ht="13" x14ac:dyDescent="0.15">
      <c r="A845" s="10"/>
      <c r="B845" s="13"/>
      <c r="C845" s="13"/>
    </row>
    <row r="846" spans="1:3" ht="13" x14ac:dyDescent="0.15">
      <c r="A846" s="10"/>
      <c r="B846" s="13"/>
      <c r="C846" s="13"/>
    </row>
    <row r="847" spans="1:3" ht="13" x14ac:dyDescent="0.15">
      <c r="A847" s="10"/>
      <c r="B847" s="13"/>
      <c r="C847" s="13"/>
    </row>
    <row r="848" spans="1:3" ht="13" x14ac:dyDescent="0.15">
      <c r="A848" s="10"/>
      <c r="B848" s="13"/>
      <c r="C848" s="13"/>
    </row>
    <row r="849" spans="1:3" ht="13" x14ac:dyDescent="0.15">
      <c r="A849" s="10"/>
      <c r="B849" s="13"/>
      <c r="C849" s="13"/>
    </row>
    <row r="850" spans="1:3" ht="13" x14ac:dyDescent="0.15">
      <c r="A850" s="10"/>
      <c r="B850" s="13"/>
      <c r="C850" s="13"/>
    </row>
    <row r="851" spans="1:3" ht="13" x14ac:dyDescent="0.15">
      <c r="A851" s="10"/>
      <c r="B851" s="13"/>
      <c r="C851" s="13"/>
    </row>
    <row r="852" spans="1:3" ht="13" x14ac:dyDescent="0.15">
      <c r="A852" s="10"/>
      <c r="B852" s="13"/>
      <c r="C852" s="13"/>
    </row>
    <row r="853" spans="1:3" ht="13" x14ac:dyDescent="0.15">
      <c r="A853" s="10"/>
      <c r="B853" s="13"/>
      <c r="C853" s="13"/>
    </row>
    <row r="854" spans="1:3" ht="13" x14ac:dyDescent="0.15">
      <c r="A854" s="10"/>
      <c r="B854" s="13"/>
      <c r="C854" s="13"/>
    </row>
    <row r="855" spans="1:3" ht="13" x14ac:dyDescent="0.15">
      <c r="A855" s="10"/>
      <c r="B855" s="13"/>
      <c r="C855" s="13"/>
    </row>
    <row r="856" spans="1:3" ht="13" x14ac:dyDescent="0.15">
      <c r="A856" s="10"/>
      <c r="B856" s="13"/>
      <c r="C856" s="13"/>
    </row>
    <row r="857" spans="1:3" ht="13" x14ac:dyDescent="0.15">
      <c r="A857" s="10"/>
      <c r="B857" s="13"/>
      <c r="C857" s="13"/>
    </row>
    <row r="858" spans="1:3" ht="13" x14ac:dyDescent="0.15">
      <c r="A858" s="10"/>
      <c r="B858" s="13"/>
      <c r="C858" s="13"/>
    </row>
    <row r="859" spans="1:3" ht="13" x14ac:dyDescent="0.15">
      <c r="A859" s="10"/>
      <c r="B859" s="13"/>
      <c r="C859" s="13"/>
    </row>
    <row r="860" spans="1:3" ht="13" x14ac:dyDescent="0.15">
      <c r="A860" s="10"/>
      <c r="B860" s="13"/>
      <c r="C860" s="13"/>
    </row>
    <row r="861" spans="1:3" ht="13" x14ac:dyDescent="0.15">
      <c r="A861" s="10"/>
      <c r="B861" s="13"/>
      <c r="C861" s="13"/>
    </row>
    <row r="862" spans="1:3" ht="13" x14ac:dyDescent="0.15">
      <c r="A862" s="10"/>
      <c r="B862" s="13"/>
      <c r="C862" s="13"/>
    </row>
    <row r="863" spans="1:3" ht="13" x14ac:dyDescent="0.15">
      <c r="A863" s="10"/>
      <c r="B863" s="13"/>
      <c r="C863" s="13"/>
    </row>
    <row r="864" spans="1:3" ht="13" x14ac:dyDescent="0.15">
      <c r="A864" s="10"/>
      <c r="B864" s="13"/>
      <c r="C864" s="13"/>
    </row>
    <row r="865" spans="1:3" ht="13" x14ac:dyDescent="0.15">
      <c r="A865" s="10"/>
      <c r="B865" s="13"/>
      <c r="C865" s="13"/>
    </row>
    <row r="866" spans="1:3" ht="13" x14ac:dyDescent="0.15">
      <c r="A866" s="10"/>
      <c r="B866" s="13"/>
      <c r="C866" s="13"/>
    </row>
    <row r="867" spans="1:3" ht="13" x14ac:dyDescent="0.15">
      <c r="A867" s="10"/>
      <c r="B867" s="13"/>
      <c r="C867" s="13"/>
    </row>
    <row r="868" spans="1:3" ht="13" x14ac:dyDescent="0.15">
      <c r="A868" s="10"/>
      <c r="B868" s="13"/>
      <c r="C868" s="13"/>
    </row>
    <row r="869" spans="1:3" ht="13" x14ac:dyDescent="0.15">
      <c r="A869" s="10"/>
      <c r="B869" s="13"/>
      <c r="C869" s="13"/>
    </row>
    <row r="870" spans="1:3" ht="13" x14ac:dyDescent="0.15">
      <c r="A870" s="10"/>
      <c r="B870" s="13"/>
      <c r="C870" s="13"/>
    </row>
    <row r="871" spans="1:3" ht="13" x14ac:dyDescent="0.15">
      <c r="A871" s="10"/>
      <c r="B871" s="13"/>
      <c r="C871" s="13"/>
    </row>
    <row r="872" spans="1:3" ht="13" x14ac:dyDescent="0.15">
      <c r="A872" s="10"/>
      <c r="B872" s="13"/>
      <c r="C872" s="13"/>
    </row>
    <row r="873" spans="1:3" ht="13" x14ac:dyDescent="0.15">
      <c r="A873" s="10"/>
      <c r="B873" s="13"/>
      <c r="C873" s="13"/>
    </row>
    <row r="874" spans="1:3" ht="13" x14ac:dyDescent="0.15">
      <c r="A874" s="10"/>
      <c r="B874" s="13"/>
      <c r="C874" s="13"/>
    </row>
    <row r="875" spans="1:3" ht="13" x14ac:dyDescent="0.15">
      <c r="A875" s="10"/>
      <c r="B875" s="13"/>
      <c r="C875" s="13"/>
    </row>
    <row r="876" spans="1:3" ht="13" x14ac:dyDescent="0.15">
      <c r="A876" s="10"/>
      <c r="B876" s="13"/>
      <c r="C876" s="13"/>
    </row>
    <row r="877" spans="1:3" ht="13" x14ac:dyDescent="0.15">
      <c r="A877" s="10"/>
      <c r="B877" s="13"/>
      <c r="C877" s="13"/>
    </row>
    <row r="878" spans="1:3" ht="13" x14ac:dyDescent="0.15">
      <c r="A878" s="10"/>
      <c r="B878" s="13"/>
      <c r="C878" s="13"/>
    </row>
    <row r="879" spans="1:3" ht="13" x14ac:dyDescent="0.15">
      <c r="A879" s="10"/>
      <c r="B879" s="13"/>
      <c r="C879" s="13"/>
    </row>
    <row r="880" spans="1:3" ht="13" x14ac:dyDescent="0.15">
      <c r="A880" s="10"/>
      <c r="B880" s="13"/>
      <c r="C880" s="13"/>
    </row>
    <row r="881" spans="1:3" ht="13" x14ac:dyDescent="0.15">
      <c r="A881" s="10"/>
      <c r="B881" s="13"/>
      <c r="C881" s="13"/>
    </row>
    <row r="882" spans="1:3" ht="13" x14ac:dyDescent="0.15">
      <c r="A882" s="10"/>
      <c r="B882" s="13"/>
      <c r="C882" s="13"/>
    </row>
    <row r="883" spans="1:3" ht="13" x14ac:dyDescent="0.15">
      <c r="A883" s="10"/>
      <c r="B883" s="13"/>
      <c r="C883" s="13"/>
    </row>
    <row r="884" spans="1:3" ht="13" x14ac:dyDescent="0.15">
      <c r="A884" s="10"/>
      <c r="B884" s="13"/>
      <c r="C884" s="13"/>
    </row>
    <row r="885" spans="1:3" ht="13" x14ac:dyDescent="0.15">
      <c r="A885" s="10"/>
      <c r="B885" s="13"/>
      <c r="C885" s="13"/>
    </row>
    <row r="886" spans="1:3" ht="13" x14ac:dyDescent="0.15">
      <c r="A886" s="10"/>
      <c r="B886" s="13"/>
      <c r="C886" s="13"/>
    </row>
    <row r="887" spans="1:3" ht="13" x14ac:dyDescent="0.15">
      <c r="A887" s="10"/>
      <c r="B887" s="13"/>
      <c r="C887" s="13"/>
    </row>
    <row r="888" spans="1:3" ht="13" x14ac:dyDescent="0.15">
      <c r="A888" s="10"/>
      <c r="B888" s="13"/>
      <c r="C888" s="13"/>
    </row>
    <row r="889" spans="1:3" ht="13" x14ac:dyDescent="0.15">
      <c r="A889" s="10"/>
      <c r="B889" s="13"/>
      <c r="C889" s="13"/>
    </row>
    <row r="890" spans="1:3" ht="13" x14ac:dyDescent="0.15">
      <c r="A890" s="10"/>
      <c r="B890" s="13"/>
      <c r="C890" s="13"/>
    </row>
    <row r="891" spans="1:3" ht="13" x14ac:dyDescent="0.15">
      <c r="A891" s="10"/>
      <c r="B891" s="13"/>
      <c r="C891" s="13"/>
    </row>
    <row r="892" spans="1:3" ht="13" x14ac:dyDescent="0.15">
      <c r="A892" s="10"/>
      <c r="B892" s="13"/>
      <c r="C892" s="13"/>
    </row>
    <row r="893" spans="1:3" ht="13" x14ac:dyDescent="0.15">
      <c r="A893" s="10"/>
      <c r="B893" s="13"/>
      <c r="C893" s="13"/>
    </row>
    <row r="894" spans="1:3" ht="13" x14ac:dyDescent="0.15">
      <c r="A894" s="10"/>
      <c r="B894" s="13"/>
      <c r="C894" s="13"/>
    </row>
    <row r="895" spans="1:3" ht="13" x14ac:dyDescent="0.15">
      <c r="A895" s="10"/>
      <c r="B895" s="13"/>
      <c r="C895" s="13"/>
    </row>
    <row r="896" spans="1:3" ht="13" x14ac:dyDescent="0.15">
      <c r="A896" s="10"/>
      <c r="B896" s="13"/>
      <c r="C896" s="13"/>
    </row>
    <row r="897" spans="1:3" ht="13" x14ac:dyDescent="0.15">
      <c r="A897" s="10"/>
      <c r="B897" s="13"/>
      <c r="C897" s="13"/>
    </row>
    <row r="898" spans="1:3" ht="13" x14ac:dyDescent="0.15">
      <c r="A898" s="10"/>
      <c r="B898" s="13"/>
      <c r="C898" s="13"/>
    </row>
    <row r="899" spans="1:3" ht="13" x14ac:dyDescent="0.15">
      <c r="A899" s="10"/>
      <c r="B899" s="13"/>
      <c r="C899" s="13"/>
    </row>
    <row r="900" spans="1:3" ht="13" x14ac:dyDescent="0.15">
      <c r="A900" s="10"/>
      <c r="B900" s="13"/>
      <c r="C900" s="13"/>
    </row>
    <row r="901" spans="1:3" ht="13" x14ac:dyDescent="0.15">
      <c r="A901" s="10"/>
      <c r="B901" s="13"/>
      <c r="C901" s="13"/>
    </row>
    <row r="902" spans="1:3" ht="13" x14ac:dyDescent="0.15">
      <c r="A902" s="10"/>
      <c r="B902" s="13"/>
      <c r="C902" s="13"/>
    </row>
    <row r="903" spans="1:3" ht="13" x14ac:dyDescent="0.15">
      <c r="A903" s="10"/>
      <c r="B903" s="13"/>
      <c r="C903" s="13"/>
    </row>
    <row r="904" spans="1:3" ht="13" x14ac:dyDescent="0.15">
      <c r="A904" s="10"/>
      <c r="B904" s="13"/>
      <c r="C904" s="13"/>
    </row>
    <row r="905" spans="1:3" ht="13" x14ac:dyDescent="0.15">
      <c r="A905" s="10"/>
      <c r="B905" s="13"/>
      <c r="C905" s="13"/>
    </row>
    <row r="906" spans="1:3" ht="13" x14ac:dyDescent="0.15">
      <c r="A906" s="10"/>
      <c r="B906" s="13"/>
      <c r="C906" s="13"/>
    </row>
    <row r="907" spans="1:3" ht="13" x14ac:dyDescent="0.15">
      <c r="A907" s="10"/>
      <c r="B907" s="13"/>
      <c r="C907" s="13"/>
    </row>
    <row r="908" spans="1:3" ht="13" x14ac:dyDescent="0.15">
      <c r="A908" s="10"/>
      <c r="B908" s="13"/>
      <c r="C908" s="13"/>
    </row>
    <row r="909" spans="1:3" ht="13" x14ac:dyDescent="0.15">
      <c r="A909" s="10"/>
      <c r="B909" s="13"/>
      <c r="C909" s="13"/>
    </row>
    <row r="910" spans="1:3" ht="13" x14ac:dyDescent="0.15">
      <c r="A910" s="10"/>
      <c r="B910" s="13"/>
      <c r="C910" s="13"/>
    </row>
    <row r="911" spans="1:3" ht="13" x14ac:dyDescent="0.15">
      <c r="A911" s="10"/>
      <c r="B911" s="13"/>
      <c r="C911" s="13"/>
    </row>
    <row r="912" spans="1:3" ht="13" x14ac:dyDescent="0.15">
      <c r="A912" s="10"/>
      <c r="B912" s="13"/>
      <c r="C912" s="13"/>
    </row>
    <row r="913" spans="1:3" ht="13" x14ac:dyDescent="0.15">
      <c r="A913" s="10"/>
      <c r="B913" s="13"/>
      <c r="C913" s="13"/>
    </row>
    <row r="914" spans="1:3" ht="13" x14ac:dyDescent="0.15">
      <c r="A914" s="10"/>
      <c r="B914" s="13"/>
      <c r="C914" s="13"/>
    </row>
    <row r="915" spans="1:3" ht="13" x14ac:dyDescent="0.15">
      <c r="A915" s="10"/>
      <c r="B915" s="13"/>
      <c r="C915" s="13"/>
    </row>
    <row r="916" spans="1:3" ht="13" x14ac:dyDescent="0.15">
      <c r="A916" s="10"/>
      <c r="B916" s="13"/>
      <c r="C916" s="13"/>
    </row>
    <row r="917" spans="1:3" ht="13" x14ac:dyDescent="0.15">
      <c r="A917" s="10"/>
      <c r="B917" s="13"/>
      <c r="C917" s="13"/>
    </row>
    <row r="918" spans="1:3" ht="13" x14ac:dyDescent="0.15">
      <c r="A918" s="10"/>
      <c r="B918" s="13"/>
      <c r="C918" s="13"/>
    </row>
    <row r="919" spans="1:3" ht="13" x14ac:dyDescent="0.15">
      <c r="A919" s="10"/>
      <c r="B919" s="13"/>
      <c r="C919" s="13"/>
    </row>
    <row r="920" spans="1:3" ht="13" x14ac:dyDescent="0.15">
      <c r="A920" s="10"/>
      <c r="B920" s="13"/>
      <c r="C920" s="13"/>
    </row>
    <row r="921" spans="1:3" ht="13" x14ac:dyDescent="0.15">
      <c r="A921" s="10"/>
      <c r="B921" s="13"/>
      <c r="C921" s="13"/>
    </row>
    <row r="922" spans="1:3" ht="13" x14ac:dyDescent="0.15">
      <c r="A922" s="10"/>
      <c r="B922" s="13"/>
      <c r="C922" s="13"/>
    </row>
    <row r="923" spans="1:3" ht="13" x14ac:dyDescent="0.15">
      <c r="A923" s="10"/>
      <c r="B923" s="13"/>
      <c r="C923" s="13"/>
    </row>
    <row r="924" spans="1:3" ht="13" x14ac:dyDescent="0.15">
      <c r="A924" s="10"/>
      <c r="B924" s="13"/>
      <c r="C924" s="13"/>
    </row>
    <row r="925" spans="1:3" ht="13" x14ac:dyDescent="0.15">
      <c r="A925" s="10"/>
      <c r="B925" s="13"/>
      <c r="C925" s="13"/>
    </row>
    <row r="926" spans="1:3" ht="13" x14ac:dyDescent="0.15">
      <c r="A926" s="10"/>
      <c r="B926" s="13"/>
      <c r="C926" s="13"/>
    </row>
    <row r="927" spans="1:3" ht="13" x14ac:dyDescent="0.15">
      <c r="A927" s="10"/>
      <c r="B927" s="13"/>
      <c r="C927" s="13"/>
    </row>
    <row r="928" spans="1:3" ht="13" x14ac:dyDescent="0.15">
      <c r="A928" s="10"/>
      <c r="B928" s="13"/>
      <c r="C928" s="13"/>
    </row>
    <row r="929" spans="1:3" ht="13" x14ac:dyDescent="0.15">
      <c r="A929" s="10"/>
      <c r="B929" s="13"/>
      <c r="C929" s="13"/>
    </row>
    <row r="930" spans="1:3" ht="13" x14ac:dyDescent="0.15">
      <c r="A930" s="10"/>
      <c r="B930" s="13"/>
      <c r="C930" s="13"/>
    </row>
    <row r="931" spans="1:3" ht="13" x14ac:dyDescent="0.15">
      <c r="A931" s="10"/>
      <c r="B931" s="13"/>
      <c r="C931" s="13"/>
    </row>
    <row r="932" spans="1:3" ht="13" x14ac:dyDescent="0.15">
      <c r="A932" s="10"/>
      <c r="B932" s="13"/>
      <c r="C932" s="13"/>
    </row>
    <row r="933" spans="1:3" ht="13" x14ac:dyDescent="0.15">
      <c r="A933" s="10"/>
      <c r="B933" s="13"/>
      <c r="C933" s="13"/>
    </row>
    <row r="934" spans="1:3" ht="13" x14ac:dyDescent="0.15">
      <c r="A934" s="10"/>
      <c r="B934" s="13"/>
      <c r="C934" s="13"/>
    </row>
    <row r="935" spans="1:3" ht="13" x14ac:dyDescent="0.15">
      <c r="A935" s="10"/>
      <c r="B935" s="13"/>
      <c r="C935" s="13"/>
    </row>
    <row r="936" spans="1:3" ht="13" x14ac:dyDescent="0.15">
      <c r="A936" s="10"/>
      <c r="B936" s="13"/>
      <c r="C936" s="13"/>
    </row>
    <row r="937" spans="1:3" ht="13" x14ac:dyDescent="0.15">
      <c r="A937" s="10"/>
      <c r="B937" s="13"/>
      <c r="C937" s="13"/>
    </row>
    <row r="938" spans="1:3" ht="13" x14ac:dyDescent="0.15">
      <c r="A938" s="10"/>
      <c r="B938" s="13"/>
      <c r="C938" s="13"/>
    </row>
    <row r="939" spans="1:3" ht="13" x14ac:dyDescent="0.15">
      <c r="A939" s="10"/>
      <c r="B939" s="13"/>
      <c r="C939" s="13"/>
    </row>
    <row r="940" spans="1:3" ht="13" x14ac:dyDescent="0.15">
      <c r="A940" s="10"/>
      <c r="B940" s="13"/>
      <c r="C940" s="13"/>
    </row>
    <row r="941" spans="1:3" ht="13" x14ac:dyDescent="0.15">
      <c r="A941" s="10"/>
      <c r="B941" s="13"/>
      <c r="C941" s="13"/>
    </row>
    <row r="942" spans="1:3" ht="13" x14ac:dyDescent="0.15">
      <c r="A942" s="10"/>
      <c r="B942" s="13"/>
      <c r="C942" s="13"/>
    </row>
    <row r="943" spans="1:3" ht="13" x14ac:dyDescent="0.15">
      <c r="A943" s="10"/>
      <c r="B943" s="13"/>
      <c r="C943" s="13"/>
    </row>
    <row r="944" spans="1:3" ht="13" x14ac:dyDescent="0.15">
      <c r="A944" s="10"/>
      <c r="B944" s="13"/>
      <c r="C944" s="13"/>
    </row>
    <row r="945" spans="1:3" ht="13" x14ac:dyDescent="0.15">
      <c r="A945" s="10"/>
      <c r="B945" s="13"/>
      <c r="C945" s="13"/>
    </row>
    <row r="946" spans="1:3" ht="13" x14ac:dyDescent="0.15">
      <c r="A946" s="10"/>
      <c r="B946" s="13"/>
      <c r="C946" s="13"/>
    </row>
    <row r="947" spans="1:3" ht="13" x14ac:dyDescent="0.15">
      <c r="A947" s="10"/>
      <c r="B947" s="13"/>
      <c r="C947" s="13"/>
    </row>
    <row r="948" spans="1:3" ht="13" x14ac:dyDescent="0.15">
      <c r="A948" s="10"/>
      <c r="B948" s="13"/>
      <c r="C948" s="13"/>
    </row>
    <row r="949" spans="1:3" ht="13" x14ac:dyDescent="0.15">
      <c r="A949" s="10"/>
      <c r="B949" s="13"/>
      <c r="C949" s="13"/>
    </row>
    <row r="950" spans="1:3" ht="13" x14ac:dyDescent="0.15">
      <c r="A950" s="10"/>
      <c r="B950" s="13"/>
      <c r="C950" s="13"/>
    </row>
    <row r="951" spans="1:3" ht="13" x14ac:dyDescent="0.15">
      <c r="A951" s="10"/>
      <c r="B951" s="13"/>
      <c r="C951" s="13"/>
    </row>
    <row r="952" spans="1:3" ht="13" x14ac:dyDescent="0.15">
      <c r="A952" s="10"/>
      <c r="B952" s="13"/>
      <c r="C952" s="13"/>
    </row>
    <row r="953" spans="1:3" ht="13" x14ac:dyDescent="0.15">
      <c r="A953" s="10"/>
      <c r="B953" s="13"/>
      <c r="C953" s="13"/>
    </row>
    <row r="954" spans="1:3" ht="13" x14ac:dyDescent="0.15">
      <c r="A954" s="10"/>
      <c r="B954" s="13"/>
      <c r="C954" s="13"/>
    </row>
    <row r="955" spans="1:3" ht="13" x14ac:dyDescent="0.15">
      <c r="A955" s="10"/>
      <c r="B955" s="13"/>
      <c r="C955" s="13"/>
    </row>
    <row r="956" spans="1:3" ht="13" x14ac:dyDescent="0.15">
      <c r="A956" s="10"/>
      <c r="B956" s="13"/>
      <c r="C956" s="13"/>
    </row>
    <row r="957" spans="1:3" ht="13" x14ac:dyDescent="0.15">
      <c r="A957" s="10"/>
      <c r="B957" s="13"/>
      <c r="C957" s="13"/>
    </row>
    <row r="958" spans="1:3" ht="13" x14ac:dyDescent="0.15">
      <c r="A958" s="10"/>
      <c r="B958" s="13"/>
      <c r="C958" s="13"/>
    </row>
    <row r="959" spans="1:3" ht="13" x14ac:dyDescent="0.15">
      <c r="A959" s="10"/>
      <c r="B959" s="13"/>
      <c r="C959" s="13"/>
    </row>
    <row r="960" spans="1:3" ht="13" x14ac:dyDescent="0.15">
      <c r="A960" s="10"/>
      <c r="B960" s="13"/>
      <c r="C960" s="13"/>
    </row>
    <row r="961" spans="1:3" ht="13" x14ac:dyDescent="0.15">
      <c r="A961" s="10"/>
      <c r="B961" s="13"/>
      <c r="C961" s="13"/>
    </row>
    <row r="962" spans="1:3" ht="13" x14ac:dyDescent="0.15">
      <c r="A962" s="10"/>
      <c r="B962" s="13"/>
      <c r="C962" s="13"/>
    </row>
    <row r="963" spans="1:3" ht="13" x14ac:dyDescent="0.15">
      <c r="A963" s="10"/>
      <c r="B963" s="13"/>
      <c r="C963" s="13"/>
    </row>
    <row r="964" spans="1:3" ht="13" x14ac:dyDescent="0.15">
      <c r="A964" s="10"/>
      <c r="B964" s="13"/>
      <c r="C964" s="13"/>
    </row>
    <row r="965" spans="1:3" ht="13" x14ac:dyDescent="0.15">
      <c r="A965" s="10"/>
      <c r="B965" s="13"/>
      <c r="C965" s="13"/>
    </row>
    <row r="966" spans="1:3" ht="13" x14ac:dyDescent="0.15">
      <c r="A966" s="10"/>
      <c r="B966" s="13"/>
      <c r="C966" s="13"/>
    </row>
    <row r="967" spans="1:3" ht="13" x14ac:dyDescent="0.15">
      <c r="A967" s="10"/>
      <c r="B967" s="13"/>
      <c r="C967" s="13"/>
    </row>
    <row r="968" spans="1:3" ht="13" x14ac:dyDescent="0.15">
      <c r="A968" s="10"/>
      <c r="B968" s="13"/>
      <c r="C968" s="13"/>
    </row>
    <row r="969" spans="1:3" ht="13" x14ac:dyDescent="0.15">
      <c r="A969" s="10"/>
      <c r="B969" s="13"/>
      <c r="C969" s="13"/>
    </row>
    <row r="970" spans="1:3" ht="13" x14ac:dyDescent="0.15">
      <c r="A970" s="10"/>
      <c r="B970" s="13"/>
      <c r="C970" s="13"/>
    </row>
    <row r="971" spans="1:3" ht="13" x14ac:dyDescent="0.15">
      <c r="A971" s="10"/>
      <c r="B971" s="13"/>
      <c r="C971" s="13"/>
    </row>
    <row r="972" spans="1:3" ht="13" x14ac:dyDescent="0.15">
      <c r="A972" s="10"/>
      <c r="B972" s="13"/>
      <c r="C972" s="13"/>
    </row>
    <row r="973" spans="1:3" ht="13" x14ac:dyDescent="0.15">
      <c r="A973" s="10"/>
      <c r="B973" s="13"/>
      <c r="C973" s="13"/>
    </row>
    <row r="974" spans="1:3" ht="13" x14ac:dyDescent="0.15">
      <c r="A974" s="10"/>
      <c r="B974" s="13"/>
      <c r="C974" s="13"/>
    </row>
    <row r="975" spans="1:3" ht="13" x14ac:dyDescent="0.15">
      <c r="A975" s="10"/>
      <c r="B975" s="13"/>
      <c r="C975" s="13"/>
    </row>
    <row r="976" spans="1:3" ht="13" x14ac:dyDescent="0.15">
      <c r="A976" s="10"/>
      <c r="B976" s="13"/>
      <c r="C976" s="13"/>
    </row>
    <row r="977" spans="1:3" ht="13" x14ac:dyDescent="0.15">
      <c r="A977" s="10"/>
      <c r="B977" s="13"/>
      <c r="C977" s="13"/>
    </row>
    <row r="978" spans="1:3" ht="13" x14ac:dyDescent="0.15">
      <c r="A978" s="10"/>
      <c r="B978" s="13"/>
      <c r="C978" s="13"/>
    </row>
    <row r="979" spans="1:3" ht="13" x14ac:dyDescent="0.15">
      <c r="A979" s="10"/>
      <c r="B979" s="13"/>
      <c r="C979" s="13"/>
    </row>
    <row r="980" spans="1:3" ht="13" x14ac:dyDescent="0.15">
      <c r="A980" s="10"/>
      <c r="B980" s="13"/>
      <c r="C980" s="13"/>
    </row>
    <row r="981" spans="1:3" ht="13" x14ac:dyDescent="0.15">
      <c r="A981" s="10"/>
      <c r="B981" s="13"/>
      <c r="C981" s="13"/>
    </row>
    <row r="982" spans="1:3" ht="13" x14ac:dyDescent="0.15">
      <c r="A982" s="10"/>
      <c r="B982" s="13"/>
      <c r="C982" s="13"/>
    </row>
    <row r="983" spans="1:3" ht="13" x14ac:dyDescent="0.15">
      <c r="A983" s="10"/>
      <c r="B983" s="13"/>
      <c r="C983" s="13"/>
    </row>
    <row r="984" spans="1:3" ht="13" x14ac:dyDescent="0.15">
      <c r="A984" s="10"/>
      <c r="B984" s="13"/>
      <c r="C984" s="13"/>
    </row>
    <row r="985" spans="1:3" ht="13" x14ac:dyDescent="0.15">
      <c r="A985" s="10"/>
      <c r="B985" s="13"/>
      <c r="C985" s="13"/>
    </row>
    <row r="986" spans="1:3" ht="13" x14ac:dyDescent="0.15">
      <c r="A986" s="10"/>
      <c r="B986" s="13"/>
      <c r="C986" s="13"/>
    </row>
    <row r="987" spans="1:3" ht="13" x14ac:dyDescent="0.15">
      <c r="A987" s="10"/>
      <c r="B987" s="13"/>
      <c r="C987" s="13"/>
    </row>
    <row r="988" spans="1:3" ht="13" x14ac:dyDescent="0.15">
      <c r="A988" s="10"/>
      <c r="B988" s="13"/>
      <c r="C988" s="13"/>
    </row>
    <row r="989" spans="1:3" ht="13" x14ac:dyDescent="0.15">
      <c r="A989" s="10"/>
      <c r="B989" s="13"/>
      <c r="C989" s="13"/>
    </row>
    <row r="990" spans="1:3" ht="13" x14ac:dyDescent="0.15">
      <c r="A990" s="10"/>
      <c r="B990" s="13"/>
      <c r="C990" s="13"/>
    </row>
    <row r="991" spans="1:3" ht="13" x14ac:dyDescent="0.15">
      <c r="A991" s="10"/>
      <c r="B991" s="13"/>
      <c r="C991" s="13"/>
    </row>
    <row r="992" spans="1:3" ht="13" x14ac:dyDescent="0.15">
      <c r="A992" s="10"/>
      <c r="B992" s="13"/>
      <c r="C992" s="13"/>
    </row>
    <row r="993" spans="1:3" ht="13" x14ac:dyDescent="0.15">
      <c r="A993" s="10"/>
      <c r="B993" s="13"/>
      <c r="C993" s="13"/>
    </row>
    <row r="994" spans="1:3" ht="13" x14ac:dyDescent="0.15">
      <c r="A994" s="10"/>
      <c r="B994" s="13"/>
      <c r="C994" s="13"/>
    </row>
    <row r="995" spans="1:3" ht="13" x14ac:dyDescent="0.15">
      <c r="A995" s="10"/>
      <c r="B995" s="13"/>
      <c r="C995" s="13"/>
    </row>
    <row r="996" spans="1:3" ht="13" x14ac:dyDescent="0.15">
      <c r="A996" s="10"/>
      <c r="B996" s="13"/>
      <c r="C996" s="13"/>
    </row>
    <row r="997" spans="1:3" ht="13" x14ac:dyDescent="0.15">
      <c r="A997" s="10"/>
      <c r="B997" s="13"/>
      <c r="C997" s="13"/>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outlinePr summaryBelow="0" summaryRight="0"/>
  </sheetPr>
  <dimension ref="A1:D997"/>
  <sheetViews>
    <sheetView workbookViewId="0"/>
  </sheetViews>
  <sheetFormatPr baseColWidth="10" defaultColWidth="12.6640625" defaultRowHeight="15.75" customHeight="1" x14ac:dyDescent="0.15"/>
  <cols>
    <col min="1" max="1" width="71.5" customWidth="1"/>
    <col min="2" max="4" width="37.6640625" customWidth="1"/>
  </cols>
  <sheetData>
    <row r="1" spans="1:4" x14ac:dyDescent="0.2">
      <c r="A1" s="1"/>
      <c r="B1" s="22" t="str">
        <f ca="1">IFERROR(__xludf.DUMMYFUNCTION("IMPORTRANGE(""https://docs.google.com/spreadsheets/u/0/d/1_NcUY7_L0-VKMwwoDwesshr7eGsHFBVPNg4YI6jkjhk"", ""A53!B1:B22"")"),"Noelle Labadens")</f>
        <v>Noelle Labadens</v>
      </c>
      <c r="C1" s="10" t="str">
        <f ca="1">IFERROR(__xludf.DUMMYFUNCTION("IMPORTRANGE(""https://docs.google.com/spreadsheets/u/0/d/1QLAeYl5D81_Myo-agZdCgYFm7rliPzxg4xkt-QHL9OA"", ""A53!B1:B22"")"),"Rin Godfrey")</f>
        <v>Rin Godfrey</v>
      </c>
      <c r="D1" s="2" t="s">
        <v>1</v>
      </c>
    </row>
    <row r="2" spans="1:4" ht="15.75" customHeight="1" x14ac:dyDescent="0.15">
      <c r="A2" s="3" t="s">
        <v>2</v>
      </c>
      <c r="B2" s="15" t="str">
        <f ca="1">IFERROR(__xludf.DUMMYFUNCTION("""COMPUTED_VALUE"""),"30053-30409 FOR")</f>
        <v>30053-30409 FOR</v>
      </c>
      <c r="C2" s="15" t="str">
        <f ca="1">IFERROR(__xludf.DUMMYFUNCTION("""COMPUTED_VALUE"""),"Start: 30053
Stop: 30409 FOR")</f>
        <v>Start: 30053
Stop: 30409 FOR</v>
      </c>
      <c r="D2" s="4"/>
    </row>
    <row r="3" spans="1:4" ht="15.75" customHeight="1" x14ac:dyDescent="0.15">
      <c r="A3" s="5" t="s">
        <v>3</v>
      </c>
      <c r="B3" s="17" t="str">
        <f ca="1">IFERROR(__xludf.DUMMYFUNCTION("""COMPUTED_VALUE"""),"DNA Master: 52; Phamerator: 53")</f>
        <v>DNA Master: 52; Phamerator: 53</v>
      </c>
      <c r="C3" s="17" t="str">
        <f ca="1">IFERROR(__xludf.DUMMYFUNCTION("""COMPUTED_VALUE"""),"DNA Master 52
Phamerator 53")</f>
        <v>DNA Master 52
Phamerator 53</v>
      </c>
      <c r="D3" s="6"/>
    </row>
    <row r="4" spans="1:4" ht="15.75" customHeight="1" x14ac:dyDescent="0.15">
      <c r="A4" s="5" t="s">
        <v>4</v>
      </c>
      <c r="B4" s="17" t="str">
        <f ca="1">IFERROR(__xludf.DUMMYFUNCTION("""COMPUTED_VALUE"""),"199542 3/12/25")</f>
        <v>199542 3/12/25</v>
      </c>
      <c r="C4" s="17" t="str">
        <f ca="1">IFERROR(__xludf.DUMMYFUNCTION("""COMPUTED_VALUE"""),"199542 3/13/25")</f>
        <v>199542 3/13/25</v>
      </c>
      <c r="D4" s="6"/>
    </row>
    <row r="5" spans="1:4" ht="15.75" customHeight="1" x14ac:dyDescent="0.15">
      <c r="A5" s="5" t="s">
        <v>5</v>
      </c>
      <c r="B5" s="17"/>
      <c r="C5" s="17" t="str">
        <f ca="1">IFERROR(__xludf.DUMMYFUNCTION("""COMPUTED_VALUE"""),"Kovu_52")</f>
        <v>Kovu_52</v>
      </c>
      <c r="D5" s="6"/>
    </row>
    <row r="6" spans="1:4" ht="15.75" customHeight="1" x14ac:dyDescent="0.15">
      <c r="A6" s="5" t="s">
        <v>6</v>
      </c>
      <c r="B6" s="17" t="str">
        <f ca="1">IFERROR(__xludf.DUMMYFUNCTION("""COMPUTED_VALUE"""),"both")</f>
        <v>both</v>
      </c>
      <c r="C6" s="17" t="str">
        <f ca="1">IFERROR(__xludf.DUMMYFUNCTION("""COMPUTED_VALUE"""),"Both with a strength of 6.40")</f>
        <v>Both with a strength of 6.40</v>
      </c>
      <c r="D6" s="6"/>
    </row>
    <row r="7" spans="1:4" ht="15.75" customHeight="1" x14ac:dyDescent="0.15">
      <c r="A7" s="5" t="s">
        <v>7</v>
      </c>
      <c r="B7" s="17" t="str">
        <f ca="1">IFERROR(__xludf.DUMMYFUNCTION("""COMPUTED_VALUE"""),"good coding potential, captures all potential")</f>
        <v>good coding potential, captures all potential</v>
      </c>
      <c r="C7" s="17" t="str">
        <f ca="1">IFERROR(__xludf.DUMMYFUNCTION("""COMPUTED_VALUE"""),"This gene has good coding potential but there is a small triangle at the start of the gene.")</f>
        <v>This gene has good coding potential but there is a small triangle at the start of the gene.</v>
      </c>
      <c r="D7" s="6"/>
    </row>
    <row r="8" spans="1:4" ht="15.75" customHeight="1" x14ac:dyDescent="0.15">
      <c r="A8" s="5" t="s">
        <v>8</v>
      </c>
      <c r="B8" s="17" t="str">
        <f ca="1">IFERROR(__xludf.DUMMYFUNCTION("""COMPUTED_VALUE"""),"yes")</f>
        <v>yes</v>
      </c>
      <c r="C8" s="17" t="str">
        <f ca="1">IFERROR(__xludf.DUMMYFUNCTION("""COMPUTED_VALUE"""),"This is the longest possible ORF.")</f>
        <v>This is the longest possible ORF.</v>
      </c>
      <c r="D8" s="6"/>
    </row>
    <row r="9" spans="1:4" ht="15.75" customHeight="1" x14ac:dyDescent="0.15">
      <c r="A9" s="5" t="s">
        <v>9</v>
      </c>
      <c r="B9" s="17" t="str">
        <f ca="1">IFERROR(__xludf.DUMMYFUNCTION("""COMPUTED_VALUE"""),"3 nt overlap")</f>
        <v>3 nt overlap</v>
      </c>
      <c r="C9" s="17" t="str">
        <f ca="1">IFERROR(__xludf.DUMMYFUNCTION("""COMPUTED_VALUE"""),"A small overlap of 3 nucleotides with the previous gene")</f>
        <v>A small overlap of 3 nucleotides with the previous gene</v>
      </c>
      <c r="D9" s="6"/>
    </row>
    <row r="10" spans="1:4" ht="15.75" customHeight="1" x14ac:dyDescent="0.15">
      <c r="A10" s="5" t="s">
        <v>10</v>
      </c>
      <c r="B10" s="17" t="str">
        <f ca="1">IFERROR(__xludf.DUMMYFUNCTION("""COMPUTED_VALUE"""),"SD:  -4.827 Z: 2.136, rest are bad")</f>
        <v>SD:  -4.827 Z: 2.136, rest are bad</v>
      </c>
      <c r="C10" s="17" t="str">
        <f ca="1">IFERROR(__xludf.DUMMYFUNCTION("""COMPUTED_VALUE"""),"The z-score 1.913 and the F-score -4.828 and it the best scores.")</f>
        <v>The z-score 1.913 and the F-score -4.828 and it the best scores.</v>
      </c>
      <c r="D10" s="6"/>
    </row>
    <row r="11" spans="1:4" ht="15.75" customHeight="1" x14ac:dyDescent="0.15">
      <c r="A11" s="5" t="s">
        <v>11</v>
      </c>
      <c r="B11" s="17" t="str">
        <f ca="1">IFERROR(__xludf.DUMMYFUNCTION("""COMPUTED_VALUE"""),"Kovu_52, 71%, 9e-45, q:3  t:7")</f>
        <v>Kovu_52, 71%, 9e-45, q:3  t:7</v>
      </c>
      <c r="C11" s="17" t="str">
        <f ca="1">IFERROR(__xludf.DUMMYFUNCTION("""COMPUTED_VALUE"""),"Kovu_52, 71% identity, 2e-51, q:3-116, t: 7-118")</f>
        <v>Kovu_52, 71% identity, 2e-51, q:3-116, t: 7-118</v>
      </c>
      <c r="D11" s="6"/>
    </row>
    <row r="12" spans="1:4" ht="15.75" customHeight="1" x14ac:dyDescent="0.15">
      <c r="A12" s="5" t="s">
        <v>12</v>
      </c>
      <c r="B12" s="17" t="str">
        <f ca="1">IFERROR(__xludf.DUMMYFUNCTION("""COMPUTED_VALUE"""),"no, only ApoKipo has start 3. The only other gene in the pham is Kovu, called 2. ")</f>
        <v xml:space="preserve">no, only ApoKipo has start 3. The only other gene in the pham is Kovu, called 2. </v>
      </c>
      <c r="C12" s="17" t="str">
        <f ca="1">IFERROR(__xludf.DUMMYFUNCTION("""COMPUTED_VALUE"""),"It is only present in Apokipo and has a 100% called when present. Found in 50% of pham.")</f>
        <v>It is only present in Apokipo and has a 100% called when present. Found in 50% of pham.</v>
      </c>
      <c r="D12" s="6"/>
    </row>
    <row r="13" spans="1:4" ht="15.75" customHeight="1" x14ac:dyDescent="0.15">
      <c r="A13" s="5" t="s">
        <v>13</v>
      </c>
      <c r="B13" s="17" t="str">
        <f ca="1">IFERROR(__xludf.DUMMYFUNCTION("""COMPUTED_VALUE"""),"no. the other starts have weaker z scores and create a gap. cannot make it match Kovu because they don't have the same start options. no compelling eivdence to move.")</f>
        <v>no. the other starts have weaker z scores and create a gap. cannot make it match Kovu because they don't have the same start options. no compelling eivdence to move.</v>
      </c>
      <c r="C13" s="17" t="str">
        <f ca="1">IFERROR(__xludf.DUMMYFUNCTION("""COMPUTED_VALUE"""),"No change to the start. ")</f>
        <v xml:space="preserve">No change to the start. </v>
      </c>
      <c r="D13" s="6"/>
    </row>
    <row r="14" spans="1:4" ht="15.75" customHeight="1" x14ac:dyDescent="0.15">
      <c r="A14" s="5" t="s">
        <v>14</v>
      </c>
      <c r="B14" s="17" t="str">
        <f ca="1">IFERROR(__xludf.DUMMYFUNCTION("""COMPUTED_VALUE"""),"Kovu_52, 9e-45")</f>
        <v>Kovu_52, 9e-45</v>
      </c>
      <c r="C14" s="17" t="str">
        <f ca="1">IFERROR(__xludf.DUMMYFUNCTION("""COMPUTED_VALUE"""),"Kromp_8, e3.1
JKSyngboy_55, e4.0")</f>
        <v>Kromp_8, e3.1
JKSyngboy_55, e4.0</v>
      </c>
      <c r="D14" s="6"/>
    </row>
    <row r="15" spans="1:4" ht="15.75" customHeight="1" x14ac:dyDescent="0.15">
      <c r="A15" s="5" t="s">
        <v>15</v>
      </c>
      <c r="B15" s="17" t="str">
        <f ca="1">IFERROR(__xludf.DUMMYFUNCTION("""COMPUTED_VALUE"""),"function unknown Kovu_52")</f>
        <v>function unknown Kovu_52</v>
      </c>
      <c r="C15" s="17" t="str">
        <f ca="1">IFERROR(__xludf.DUMMYFUNCTION("""COMPUTED_VALUE"""),"unknown function")</f>
        <v>unknown function</v>
      </c>
      <c r="D15" s="6"/>
    </row>
    <row r="16" spans="1:4" ht="15.75" customHeight="1" x14ac:dyDescent="0.15">
      <c r="A16" s="5" t="s">
        <v>16</v>
      </c>
      <c r="B16" s="17" t="str">
        <f ca="1">IFERROR(__xludf.DUMMYFUNCTION("""COMPUTED_VALUE"""),"honestly not very good synteny. the genes are all different sizes and in different places. somewhat similar, but the differences are noticable.")</f>
        <v>honestly not very good synteny. the genes are all different sizes and in different places. somewhat similar, but the differences are noticable.</v>
      </c>
      <c r="C16" s="17" t="str">
        <f ca="1">IFERROR(__xludf.DUMMYFUNCTION("""COMPUTED_VALUE"""),"Yes this matches up with kovu and the surrounding genes.")</f>
        <v>Yes this matches up with kovu and the surrounding genes.</v>
      </c>
      <c r="D16" s="6"/>
    </row>
    <row r="17" spans="1:4" ht="15.75" customHeight="1" x14ac:dyDescent="0.15">
      <c r="A17" s="5" t="s">
        <v>17</v>
      </c>
      <c r="B17" s="17" t="str">
        <f ca="1">IFERROR(__xludf.DUMMYFUNCTION("""COMPUTED_VALUE"""),"all matches are bad! all percents are in the 70s")</f>
        <v>all matches are bad! all percents are in the 70s</v>
      </c>
      <c r="C17" s="17" t="str">
        <f ca="1">IFERROR(__xludf.DUMMYFUNCTION("""COMPUTED_VALUE"""),"8GTZ_A Ppx/GppA phosphatase; Polyphosphate, PPX/GppA, METAL BINDING PROTEIN; 1.56A {Zymomonas mobilis subsp. mobilis ZM4 = ATCC 31821}
Probability: 41.78%
Query: 26%
Target: 6%
The functional domain cover the last half but does not fully align with the ta"&amp;"rgeted domain.
")</f>
        <v xml:space="preserve">8GTZ_A Ppx/GppA phosphatase; Polyphosphate, PPX/GppA, METAL BINDING PROTEIN; 1.56A {Zymomonas mobilis subsp. mobilis ZM4 = ATCC 31821}
Probability: 41.78%
Query: 26%
Target: 6%
The functional domain cover the last half but does not fully align with the targeted domain.
</v>
      </c>
      <c r="D17" s="6"/>
    </row>
    <row r="18" spans="1:4" ht="15.75" customHeight="1" x14ac:dyDescent="0.15">
      <c r="A18" s="5" t="s">
        <v>18</v>
      </c>
      <c r="B18" s="17" t="str">
        <f ca="1">IFERROR(__xludf.DUMMYFUNCTION("""COMPUTED_VALUE"""),"none")</f>
        <v>none</v>
      </c>
      <c r="C18" s="17" t="str">
        <f ca="1">IFERROR(__xludf.DUMMYFUNCTION("""COMPUTED_VALUE"""),"none")</f>
        <v>none</v>
      </c>
      <c r="D18" s="6"/>
    </row>
    <row r="19" spans="1:4" ht="15.75" customHeight="1" x14ac:dyDescent="0.15">
      <c r="A19" s="5" t="s">
        <v>19</v>
      </c>
      <c r="B19" s="17" t="str">
        <f ca="1">IFERROR(__xludf.DUMMYFUNCTION("""COMPUTED_VALUE"""),"none")</f>
        <v>none</v>
      </c>
      <c r="C19" s="17" t="str">
        <f ca="1">IFERROR(__xludf.DUMMYFUNCTION("""COMPUTED_VALUE"""),"none")</f>
        <v>none</v>
      </c>
      <c r="D19" s="6"/>
    </row>
    <row r="20" spans="1:4" ht="15.75" customHeight="1" x14ac:dyDescent="0.15">
      <c r="A20" s="5" t="s">
        <v>20</v>
      </c>
      <c r="B20" s="17" t="str">
        <f ca="1">IFERROR(__xludf.DUMMYFUNCTION("""COMPUTED_VALUE"""),"function unknown. Kovu's is unknown and there are no good hhpred matches")</f>
        <v>function unknown. Kovu's is unknown and there are no good hhpred matches</v>
      </c>
      <c r="C20" s="17" t="str">
        <f ca="1">IFERROR(__xludf.DUMMYFUNCTION("""COMPUTED_VALUE"""),"No function to call because HHpred and the homologous gene show that this had no function.")</f>
        <v>No function to call because HHpred and the homologous gene show that this had no function.</v>
      </c>
      <c r="D20" s="6"/>
    </row>
    <row r="21" spans="1:4" x14ac:dyDescent="0.2">
      <c r="A21" s="7"/>
      <c r="B21" s="19"/>
      <c r="C21" s="19"/>
      <c r="D21" s="8"/>
    </row>
    <row r="22" spans="1:4" ht="15.75" customHeight="1" x14ac:dyDescent="0.15">
      <c r="A22" s="9" t="s">
        <v>21</v>
      </c>
      <c r="B22" s="19"/>
      <c r="C22" s="19" t="str">
        <f ca="1">IFERROR(__xludf.DUMMYFUNCTION("""COMPUTED_VALUE"""),"I was wondering if we could possibly connect gene 52 and 53 in phamoracter together. 52 looks out of place but i might have to talk with the person that has that gene. If it is possible to combine the two.")</f>
        <v>I was wondering if we could possibly connect gene 52 and 53 in phamoracter together. 52 looks out of place but i might have to talk with the person that has that gene. If it is possible to combine the two.</v>
      </c>
      <c r="D22" s="8"/>
    </row>
    <row r="23" spans="1:4" ht="15.75" customHeight="1" x14ac:dyDescent="0.15">
      <c r="A23" s="10"/>
      <c r="B23" s="13"/>
      <c r="C23" s="13"/>
    </row>
    <row r="24" spans="1:4" ht="15.75" customHeight="1" x14ac:dyDescent="0.15">
      <c r="A24" s="10"/>
      <c r="B24" s="13"/>
      <c r="C24" s="13"/>
    </row>
    <row r="25" spans="1:4" ht="15.75" customHeight="1" x14ac:dyDescent="0.15">
      <c r="A25" s="10"/>
      <c r="B25" s="13"/>
      <c r="C25" s="13"/>
    </row>
    <row r="26" spans="1:4" ht="15.75" customHeight="1" x14ac:dyDescent="0.15">
      <c r="A26" s="10"/>
      <c r="B26" s="13"/>
      <c r="C26" s="13"/>
    </row>
    <row r="27" spans="1:4" ht="15.75" customHeight="1" x14ac:dyDescent="0.15">
      <c r="A27" s="10"/>
      <c r="B27" s="13"/>
      <c r="C27" s="13"/>
    </row>
    <row r="28" spans="1:4" ht="15.75" customHeight="1" x14ac:dyDescent="0.15">
      <c r="A28" s="10"/>
      <c r="B28" s="13"/>
      <c r="C28" s="13"/>
    </row>
    <row r="29" spans="1:4" ht="15.75" customHeight="1" x14ac:dyDescent="0.15">
      <c r="A29" s="10"/>
      <c r="B29" s="13"/>
      <c r="C29" s="13"/>
    </row>
    <row r="30" spans="1:4" ht="15.75" customHeight="1" x14ac:dyDescent="0.15">
      <c r="A30" s="10"/>
      <c r="B30" s="13"/>
      <c r="C30" s="13"/>
    </row>
    <row r="31" spans="1:4" ht="15.75" customHeight="1" x14ac:dyDescent="0.15">
      <c r="A31" s="10"/>
      <c r="B31" s="13"/>
      <c r="C31" s="13"/>
    </row>
    <row r="32" spans="1:4" ht="15.75" customHeight="1" x14ac:dyDescent="0.15">
      <c r="A32" s="10"/>
      <c r="B32" s="13"/>
      <c r="C32" s="13"/>
    </row>
    <row r="33" spans="1:3" ht="15.75" customHeight="1" x14ac:dyDescent="0.15">
      <c r="A33" s="10"/>
      <c r="B33" s="13"/>
      <c r="C33" s="13"/>
    </row>
    <row r="34" spans="1:3" ht="15.75" customHeight="1" x14ac:dyDescent="0.15">
      <c r="A34" s="10"/>
      <c r="B34" s="13"/>
      <c r="C34" s="13"/>
    </row>
    <row r="35" spans="1:3" ht="15.75" customHeight="1" x14ac:dyDescent="0.15">
      <c r="A35" s="10"/>
      <c r="B35" s="13"/>
      <c r="C35" s="13"/>
    </row>
    <row r="36" spans="1:3" ht="15.75" customHeight="1" x14ac:dyDescent="0.15">
      <c r="A36" s="10"/>
      <c r="B36" s="13"/>
      <c r="C36" s="13"/>
    </row>
    <row r="37" spans="1:3" ht="15.75" customHeight="1" x14ac:dyDescent="0.15">
      <c r="A37" s="10"/>
      <c r="B37" s="13"/>
      <c r="C37" s="13"/>
    </row>
    <row r="38" spans="1:3" ht="15.75" customHeight="1" x14ac:dyDescent="0.15">
      <c r="A38" s="10"/>
      <c r="B38" s="13"/>
      <c r="C38" s="13"/>
    </row>
    <row r="39" spans="1:3" ht="13" x14ac:dyDescent="0.15">
      <c r="A39" s="10"/>
      <c r="B39" s="13"/>
      <c r="C39" s="13"/>
    </row>
    <row r="40" spans="1:3" ht="13" x14ac:dyDescent="0.15">
      <c r="A40" s="10"/>
      <c r="B40" s="13"/>
      <c r="C40" s="13"/>
    </row>
    <row r="41" spans="1:3" ht="13" x14ac:dyDescent="0.15">
      <c r="A41" s="10"/>
      <c r="B41" s="13"/>
      <c r="C41" s="13"/>
    </row>
    <row r="42" spans="1:3" ht="13" x14ac:dyDescent="0.15">
      <c r="A42" s="10"/>
      <c r="B42" s="13"/>
      <c r="C42" s="13"/>
    </row>
    <row r="43" spans="1:3" ht="13" x14ac:dyDescent="0.15">
      <c r="A43" s="10"/>
      <c r="B43" s="13"/>
      <c r="C43" s="13"/>
    </row>
    <row r="44" spans="1:3" ht="13" x14ac:dyDescent="0.15">
      <c r="A44" s="10"/>
      <c r="B44" s="13"/>
      <c r="C44" s="13"/>
    </row>
    <row r="45" spans="1:3" ht="13" x14ac:dyDescent="0.15">
      <c r="A45" s="10"/>
      <c r="B45" s="13"/>
      <c r="C45" s="13"/>
    </row>
    <row r="46" spans="1:3" ht="13" x14ac:dyDescent="0.15">
      <c r="A46" s="10"/>
      <c r="B46" s="13"/>
      <c r="C46" s="13"/>
    </row>
    <row r="47" spans="1:3" ht="13" x14ac:dyDescent="0.15">
      <c r="A47" s="10"/>
      <c r="B47" s="13"/>
      <c r="C47" s="13"/>
    </row>
    <row r="48" spans="1:3" ht="13" x14ac:dyDescent="0.15">
      <c r="A48" s="10"/>
      <c r="B48" s="13"/>
      <c r="C48" s="13"/>
    </row>
    <row r="49" spans="1:3" ht="13" x14ac:dyDescent="0.15">
      <c r="A49" s="10"/>
      <c r="B49" s="13"/>
      <c r="C49" s="13"/>
    </row>
    <row r="50" spans="1:3" ht="13" x14ac:dyDescent="0.15">
      <c r="A50" s="10"/>
      <c r="B50" s="13"/>
      <c r="C50" s="13"/>
    </row>
    <row r="51" spans="1:3" ht="13" x14ac:dyDescent="0.15">
      <c r="A51" s="10"/>
      <c r="B51" s="13"/>
      <c r="C51" s="13"/>
    </row>
    <row r="52" spans="1:3" ht="13" x14ac:dyDescent="0.15">
      <c r="A52" s="10"/>
      <c r="B52" s="13"/>
      <c r="C52" s="13"/>
    </row>
    <row r="53" spans="1:3" ht="13" x14ac:dyDescent="0.15">
      <c r="A53" s="10"/>
      <c r="B53" s="13"/>
      <c r="C53" s="13"/>
    </row>
    <row r="54" spans="1:3" ht="13" x14ac:dyDescent="0.15">
      <c r="A54" s="10"/>
      <c r="B54" s="13"/>
      <c r="C54" s="13"/>
    </row>
    <row r="55" spans="1:3" ht="13" x14ac:dyDescent="0.15">
      <c r="A55" s="10"/>
      <c r="B55" s="13"/>
      <c r="C55" s="13"/>
    </row>
    <row r="56" spans="1:3" ht="13" x14ac:dyDescent="0.15">
      <c r="A56" s="10"/>
      <c r="B56" s="13"/>
      <c r="C56" s="13"/>
    </row>
    <row r="57" spans="1:3" ht="13" x14ac:dyDescent="0.15">
      <c r="A57" s="10"/>
      <c r="B57" s="13"/>
      <c r="C57" s="13"/>
    </row>
    <row r="58" spans="1:3" ht="13" x14ac:dyDescent="0.15">
      <c r="A58" s="10"/>
      <c r="B58" s="13"/>
      <c r="C58" s="13"/>
    </row>
    <row r="59" spans="1:3" ht="13" x14ac:dyDescent="0.15">
      <c r="A59" s="10"/>
      <c r="B59" s="13"/>
      <c r="C59" s="13"/>
    </row>
    <row r="60" spans="1:3" ht="13" x14ac:dyDescent="0.15">
      <c r="A60" s="10"/>
      <c r="B60" s="13"/>
      <c r="C60" s="13"/>
    </row>
    <row r="61" spans="1:3" ht="13" x14ac:dyDescent="0.15">
      <c r="A61" s="10"/>
      <c r="B61" s="13"/>
      <c r="C61" s="13"/>
    </row>
    <row r="62" spans="1:3" ht="13" x14ac:dyDescent="0.15">
      <c r="A62" s="10"/>
      <c r="B62" s="13"/>
      <c r="C62" s="13"/>
    </row>
    <row r="63" spans="1:3" ht="13" x14ac:dyDescent="0.15">
      <c r="A63" s="10"/>
      <c r="B63" s="13"/>
      <c r="C63" s="13"/>
    </row>
    <row r="64" spans="1:3" ht="13" x14ac:dyDescent="0.15">
      <c r="A64" s="10"/>
      <c r="B64" s="13"/>
      <c r="C64" s="13"/>
    </row>
    <row r="65" spans="1:3" ht="13" x14ac:dyDescent="0.15">
      <c r="A65" s="10"/>
      <c r="B65" s="13"/>
      <c r="C65" s="13"/>
    </row>
    <row r="66" spans="1:3" ht="13" x14ac:dyDescent="0.15">
      <c r="A66" s="10"/>
      <c r="B66" s="13"/>
      <c r="C66" s="13"/>
    </row>
    <row r="67" spans="1:3" ht="13" x14ac:dyDescent="0.15">
      <c r="A67" s="10"/>
      <c r="B67" s="13"/>
      <c r="C67" s="13"/>
    </row>
    <row r="68" spans="1:3" ht="13" x14ac:dyDescent="0.15">
      <c r="A68" s="10"/>
      <c r="B68" s="13"/>
      <c r="C68" s="13"/>
    </row>
    <row r="69" spans="1:3" ht="13" x14ac:dyDescent="0.15">
      <c r="A69" s="10"/>
      <c r="B69" s="13"/>
      <c r="C69" s="13"/>
    </row>
    <row r="70" spans="1:3" ht="13" x14ac:dyDescent="0.15">
      <c r="A70" s="10"/>
      <c r="B70" s="13"/>
      <c r="C70" s="13"/>
    </row>
    <row r="71" spans="1:3" ht="13" x14ac:dyDescent="0.15">
      <c r="A71" s="10"/>
      <c r="B71" s="13"/>
      <c r="C71" s="13"/>
    </row>
    <row r="72" spans="1:3" ht="13" x14ac:dyDescent="0.15">
      <c r="A72" s="10"/>
      <c r="B72" s="13"/>
      <c r="C72" s="13"/>
    </row>
    <row r="73" spans="1:3" ht="13" x14ac:dyDescent="0.15">
      <c r="A73" s="10"/>
      <c r="B73" s="13"/>
      <c r="C73" s="13"/>
    </row>
    <row r="74" spans="1:3" ht="13" x14ac:dyDescent="0.15">
      <c r="A74" s="10"/>
      <c r="B74" s="13"/>
      <c r="C74" s="13"/>
    </row>
    <row r="75" spans="1:3" ht="13" x14ac:dyDescent="0.15">
      <c r="A75" s="10"/>
      <c r="B75" s="13"/>
      <c r="C75" s="13"/>
    </row>
    <row r="76" spans="1:3" ht="13" x14ac:dyDescent="0.15">
      <c r="A76" s="10"/>
      <c r="B76" s="13"/>
      <c r="C76" s="13"/>
    </row>
    <row r="77" spans="1:3" ht="13" x14ac:dyDescent="0.15">
      <c r="A77" s="10"/>
      <c r="B77" s="13"/>
      <c r="C77" s="13"/>
    </row>
    <row r="78" spans="1:3" ht="13" x14ac:dyDescent="0.15">
      <c r="A78" s="10"/>
      <c r="B78" s="13"/>
      <c r="C78" s="13"/>
    </row>
    <row r="79" spans="1:3" ht="13" x14ac:dyDescent="0.15">
      <c r="A79" s="10"/>
      <c r="B79" s="13"/>
      <c r="C79" s="13"/>
    </row>
    <row r="80" spans="1:3" ht="13" x14ac:dyDescent="0.15">
      <c r="A80" s="10"/>
      <c r="B80" s="13"/>
      <c r="C80" s="13"/>
    </row>
    <row r="81" spans="1:3" ht="13" x14ac:dyDescent="0.15">
      <c r="A81" s="10"/>
      <c r="B81" s="13"/>
      <c r="C81" s="13"/>
    </row>
    <row r="82" spans="1:3" ht="13" x14ac:dyDescent="0.15">
      <c r="A82" s="10"/>
      <c r="B82" s="13"/>
      <c r="C82" s="13"/>
    </row>
    <row r="83" spans="1:3" ht="13" x14ac:dyDescent="0.15">
      <c r="A83" s="10"/>
      <c r="B83" s="13"/>
      <c r="C83" s="13"/>
    </row>
    <row r="84" spans="1:3" ht="13" x14ac:dyDescent="0.15">
      <c r="A84" s="10"/>
      <c r="B84" s="13"/>
      <c r="C84" s="13"/>
    </row>
    <row r="85" spans="1:3" ht="13" x14ac:dyDescent="0.15">
      <c r="A85" s="10"/>
      <c r="B85" s="13"/>
      <c r="C85" s="13"/>
    </row>
    <row r="86" spans="1:3" ht="13" x14ac:dyDescent="0.15">
      <c r="A86" s="10"/>
      <c r="B86" s="13"/>
      <c r="C86" s="13"/>
    </row>
    <row r="87" spans="1:3" ht="13" x14ac:dyDescent="0.15">
      <c r="A87" s="10"/>
      <c r="B87" s="13"/>
      <c r="C87" s="13"/>
    </row>
    <row r="88" spans="1:3" ht="13" x14ac:dyDescent="0.15">
      <c r="A88" s="10"/>
      <c r="B88" s="13"/>
      <c r="C88" s="13"/>
    </row>
    <row r="89" spans="1:3" ht="13" x14ac:dyDescent="0.15">
      <c r="A89" s="10"/>
      <c r="B89" s="13"/>
      <c r="C89" s="13"/>
    </row>
    <row r="90" spans="1:3" ht="13" x14ac:dyDescent="0.15">
      <c r="A90" s="10"/>
      <c r="B90" s="13"/>
      <c r="C90" s="13"/>
    </row>
    <row r="91" spans="1:3" ht="13" x14ac:dyDescent="0.15">
      <c r="A91" s="10"/>
      <c r="B91" s="13"/>
      <c r="C91" s="13"/>
    </row>
    <row r="92" spans="1:3" ht="13" x14ac:dyDescent="0.15">
      <c r="A92" s="10"/>
      <c r="B92" s="13"/>
      <c r="C92" s="13"/>
    </row>
    <row r="93" spans="1:3" ht="13" x14ac:dyDescent="0.15">
      <c r="A93" s="10"/>
      <c r="B93" s="13"/>
      <c r="C93" s="13"/>
    </row>
    <row r="94" spans="1:3" ht="13" x14ac:dyDescent="0.15">
      <c r="A94" s="10"/>
      <c r="B94" s="13"/>
      <c r="C94" s="13"/>
    </row>
    <row r="95" spans="1:3" ht="13" x14ac:dyDescent="0.15">
      <c r="A95" s="10"/>
      <c r="B95" s="13"/>
      <c r="C95" s="13"/>
    </row>
    <row r="96" spans="1:3" ht="13" x14ac:dyDescent="0.15">
      <c r="A96" s="10"/>
      <c r="B96" s="13"/>
      <c r="C96" s="13"/>
    </row>
    <row r="97" spans="1:3" ht="13" x14ac:dyDescent="0.15">
      <c r="A97" s="10"/>
      <c r="B97" s="13"/>
      <c r="C97" s="13"/>
    </row>
    <row r="98" spans="1:3" ht="13" x14ac:dyDescent="0.15">
      <c r="A98" s="10"/>
      <c r="B98" s="13"/>
      <c r="C98" s="13"/>
    </row>
    <row r="99" spans="1:3" ht="13" x14ac:dyDescent="0.15">
      <c r="A99" s="10"/>
      <c r="B99" s="13"/>
      <c r="C99" s="13"/>
    </row>
    <row r="100" spans="1:3" ht="13" x14ac:dyDescent="0.15">
      <c r="A100" s="10"/>
      <c r="B100" s="13"/>
      <c r="C100" s="13"/>
    </row>
    <row r="101" spans="1:3" ht="13" x14ac:dyDescent="0.15">
      <c r="A101" s="10"/>
      <c r="B101" s="13"/>
      <c r="C101" s="13"/>
    </row>
    <row r="102" spans="1:3" ht="13" x14ac:dyDescent="0.15">
      <c r="A102" s="10"/>
      <c r="B102" s="13"/>
      <c r="C102" s="13"/>
    </row>
    <row r="103" spans="1:3" ht="13" x14ac:dyDescent="0.15">
      <c r="A103" s="10"/>
      <c r="B103" s="13"/>
      <c r="C103" s="13"/>
    </row>
    <row r="104" spans="1:3" ht="13" x14ac:dyDescent="0.15">
      <c r="A104" s="10"/>
      <c r="B104" s="13"/>
      <c r="C104" s="13"/>
    </row>
    <row r="105" spans="1:3" ht="13" x14ac:dyDescent="0.15">
      <c r="A105" s="10"/>
      <c r="B105" s="13"/>
      <c r="C105" s="13"/>
    </row>
    <row r="106" spans="1:3" ht="13" x14ac:dyDescent="0.15">
      <c r="A106" s="10"/>
      <c r="B106" s="13"/>
      <c r="C106" s="13"/>
    </row>
    <row r="107" spans="1:3" ht="13" x14ac:dyDescent="0.15">
      <c r="A107" s="10"/>
      <c r="B107" s="13"/>
      <c r="C107" s="13"/>
    </row>
    <row r="108" spans="1:3" ht="13" x14ac:dyDescent="0.15">
      <c r="A108" s="10"/>
      <c r="B108" s="13"/>
      <c r="C108" s="13"/>
    </row>
    <row r="109" spans="1:3" ht="13" x14ac:dyDescent="0.15">
      <c r="A109" s="10"/>
      <c r="B109" s="13"/>
      <c r="C109" s="13"/>
    </row>
    <row r="110" spans="1:3" ht="13" x14ac:dyDescent="0.15">
      <c r="A110" s="10"/>
      <c r="B110" s="13"/>
      <c r="C110" s="13"/>
    </row>
    <row r="111" spans="1:3" ht="13" x14ac:dyDescent="0.15">
      <c r="A111" s="10"/>
      <c r="B111" s="13"/>
      <c r="C111" s="13"/>
    </row>
    <row r="112" spans="1:3" ht="13" x14ac:dyDescent="0.15">
      <c r="A112" s="10"/>
      <c r="B112" s="13"/>
      <c r="C112" s="13"/>
    </row>
    <row r="113" spans="1:3" ht="13" x14ac:dyDescent="0.15">
      <c r="A113" s="10"/>
      <c r="B113" s="13"/>
      <c r="C113" s="13"/>
    </row>
    <row r="114" spans="1:3" ht="13" x14ac:dyDescent="0.15">
      <c r="A114" s="10"/>
      <c r="B114" s="13"/>
      <c r="C114" s="13"/>
    </row>
    <row r="115" spans="1:3" ht="13" x14ac:dyDescent="0.15">
      <c r="A115" s="10"/>
      <c r="B115" s="13"/>
      <c r="C115" s="13"/>
    </row>
    <row r="116" spans="1:3" ht="13" x14ac:dyDescent="0.15">
      <c r="A116" s="10"/>
      <c r="B116" s="13"/>
      <c r="C116" s="13"/>
    </row>
    <row r="117" spans="1:3" ht="13" x14ac:dyDescent="0.15">
      <c r="A117" s="10"/>
      <c r="B117" s="13"/>
      <c r="C117" s="13"/>
    </row>
    <row r="118" spans="1:3" ht="13" x14ac:dyDescent="0.15">
      <c r="A118" s="10"/>
      <c r="B118" s="13"/>
      <c r="C118" s="13"/>
    </row>
    <row r="119" spans="1:3" ht="13" x14ac:dyDescent="0.15">
      <c r="A119" s="10"/>
      <c r="B119" s="13"/>
      <c r="C119" s="13"/>
    </row>
    <row r="120" spans="1:3" ht="13" x14ac:dyDescent="0.15">
      <c r="A120" s="10"/>
      <c r="B120" s="13"/>
      <c r="C120" s="13"/>
    </row>
    <row r="121" spans="1:3" ht="13" x14ac:dyDescent="0.15">
      <c r="A121" s="10"/>
      <c r="B121" s="13"/>
      <c r="C121" s="13"/>
    </row>
    <row r="122" spans="1:3" ht="13" x14ac:dyDescent="0.15">
      <c r="A122" s="10"/>
      <c r="B122" s="13"/>
      <c r="C122" s="13"/>
    </row>
    <row r="123" spans="1:3" ht="13" x14ac:dyDescent="0.15">
      <c r="A123" s="10"/>
      <c r="B123" s="13"/>
      <c r="C123" s="13"/>
    </row>
    <row r="124" spans="1:3" ht="13" x14ac:dyDescent="0.15">
      <c r="A124" s="10"/>
      <c r="B124" s="13"/>
      <c r="C124" s="13"/>
    </row>
    <row r="125" spans="1:3" ht="13" x14ac:dyDescent="0.15">
      <c r="A125" s="10"/>
      <c r="B125" s="13"/>
      <c r="C125" s="13"/>
    </row>
    <row r="126" spans="1:3" ht="13" x14ac:dyDescent="0.15">
      <c r="A126" s="10"/>
      <c r="B126" s="13"/>
      <c r="C126" s="13"/>
    </row>
    <row r="127" spans="1:3" ht="13" x14ac:dyDescent="0.15">
      <c r="A127" s="10"/>
      <c r="B127" s="13"/>
      <c r="C127" s="13"/>
    </row>
    <row r="128" spans="1:3" ht="13" x14ac:dyDescent="0.15">
      <c r="A128" s="10"/>
      <c r="B128" s="13"/>
      <c r="C128" s="13"/>
    </row>
    <row r="129" spans="1:3" ht="13" x14ac:dyDescent="0.15">
      <c r="A129" s="10"/>
      <c r="B129" s="13"/>
      <c r="C129" s="13"/>
    </row>
    <row r="130" spans="1:3" ht="13" x14ac:dyDescent="0.15">
      <c r="A130" s="10"/>
      <c r="B130" s="13"/>
      <c r="C130" s="13"/>
    </row>
    <row r="131" spans="1:3" ht="13" x14ac:dyDescent="0.15">
      <c r="A131" s="10"/>
      <c r="B131" s="13"/>
      <c r="C131" s="13"/>
    </row>
    <row r="132" spans="1:3" ht="13" x14ac:dyDescent="0.15">
      <c r="A132" s="10"/>
      <c r="B132" s="13"/>
      <c r="C132" s="13"/>
    </row>
    <row r="133" spans="1:3" ht="13" x14ac:dyDescent="0.15">
      <c r="A133" s="10"/>
      <c r="B133" s="13"/>
      <c r="C133" s="13"/>
    </row>
    <row r="134" spans="1:3" ht="13" x14ac:dyDescent="0.15">
      <c r="A134" s="10"/>
      <c r="B134" s="13"/>
      <c r="C134" s="13"/>
    </row>
    <row r="135" spans="1:3" ht="13" x14ac:dyDescent="0.15">
      <c r="A135" s="10"/>
      <c r="B135" s="13"/>
      <c r="C135" s="13"/>
    </row>
    <row r="136" spans="1:3" ht="13" x14ac:dyDescent="0.15">
      <c r="A136" s="10"/>
      <c r="B136" s="13"/>
      <c r="C136" s="13"/>
    </row>
    <row r="137" spans="1:3" ht="13" x14ac:dyDescent="0.15">
      <c r="A137" s="10"/>
      <c r="B137" s="13"/>
      <c r="C137" s="13"/>
    </row>
    <row r="138" spans="1:3" ht="13" x14ac:dyDescent="0.15">
      <c r="A138" s="10"/>
      <c r="B138" s="13"/>
      <c r="C138" s="13"/>
    </row>
    <row r="139" spans="1:3" ht="13" x14ac:dyDescent="0.15">
      <c r="A139" s="10"/>
      <c r="B139" s="13"/>
      <c r="C139" s="13"/>
    </row>
    <row r="140" spans="1:3" ht="13" x14ac:dyDescent="0.15">
      <c r="A140" s="10"/>
      <c r="B140" s="13"/>
      <c r="C140" s="13"/>
    </row>
    <row r="141" spans="1:3" ht="13" x14ac:dyDescent="0.15">
      <c r="A141" s="10"/>
      <c r="B141" s="13"/>
      <c r="C141" s="13"/>
    </row>
    <row r="142" spans="1:3" ht="13" x14ac:dyDescent="0.15">
      <c r="A142" s="10"/>
      <c r="B142" s="13"/>
      <c r="C142" s="13"/>
    </row>
    <row r="143" spans="1:3" ht="13" x14ac:dyDescent="0.15">
      <c r="A143" s="10"/>
      <c r="B143" s="13"/>
      <c r="C143" s="13"/>
    </row>
    <row r="144" spans="1:3" ht="13" x14ac:dyDescent="0.15">
      <c r="A144" s="10"/>
      <c r="B144" s="13"/>
      <c r="C144" s="13"/>
    </row>
    <row r="145" spans="1:3" ht="13" x14ac:dyDescent="0.15">
      <c r="A145" s="10"/>
      <c r="B145" s="13"/>
      <c r="C145" s="13"/>
    </row>
    <row r="146" spans="1:3" ht="13" x14ac:dyDescent="0.15">
      <c r="A146" s="10"/>
      <c r="B146" s="13"/>
      <c r="C146" s="13"/>
    </row>
    <row r="147" spans="1:3" ht="13" x14ac:dyDescent="0.15">
      <c r="A147" s="10"/>
      <c r="B147" s="13"/>
      <c r="C147" s="13"/>
    </row>
    <row r="148" spans="1:3" ht="13" x14ac:dyDescent="0.15">
      <c r="A148" s="10"/>
      <c r="B148" s="13"/>
      <c r="C148" s="13"/>
    </row>
    <row r="149" spans="1:3" ht="13" x14ac:dyDescent="0.15">
      <c r="A149" s="10"/>
      <c r="B149" s="13"/>
      <c r="C149" s="13"/>
    </row>
    <row r="150" spans="1:3" ht="13" x14ac:dyDescent="0.15">
      <c r="A150" s="10"/>
      <c r="B150" s="13"/>
      <c r="C150" s="13"/>
    </row>
    <row r="151" spans="1:3" ht="13" x14ac:dyDescent="0.15">
      <c r="A151" s="10"/>
      <c r="B151" s="13"/>
      <c r="C151" s="13"/>
    </row>
    <row r="152" spans="1:3" ht="13" x14ac:dyDescent="0.15">
      <c r="A152" s="10"/>
      <c r="B152" s="13"/>
      <c r="C152" s="13"/>
    </row>
    <row r="153" spans="1:3" ht="13" x14ac:dyDescent="0.15">
      <c r="A153" s="10"/>
      <c r="B153" s="13"/>
      <c r="C153" s="13"/>
    </row>
    <row r="154" spans="1:3" ht="13" x14ac:dyDescent="0.15">
      <c r="A154" s="10"/>
      <c r="B154" s="13"/>
      <c r="C154" s="13"/>
    </row>
    <row r="155" spans="1:3" ht="13" x14ac:dyDescent="0.15">
      <c r="A155" s="10"/>
      <c r="B155" s="13"/>
      <c r="C155" s="13"/>
    </row>
    <row r="156" spans="1:3" ht="13" x14ac:dyDescent="0.15">
      <c r="A156" s="10"/>
      <c r="B156" s="13"/>
      <c r="C156" s="13"/>
    </row>
    <row r="157" spans="1:3" ht="13" x14ac:dyDescent="0.15">
      <c r="A157" s="10"/>
      <c r="B157" s="13"/>
      <c r="C157" s="13"/>
    </row>
    <row r="158" spans="1:3" ht="13" x14ac:dyDescent="0.15">
      <c r="A158" s="10"/>
      <c r="B158" s="13"/>
      <c r="C158" s="13"/>
    </row>
    <row r="159" spans="1:3" ht="13" x14ac:dyDescent="0.15">
      <c r="A159" s="10"/>
      <c r="B159" s="13"/>
      <c r="C159" s="13"/>
    </row>
    <row r="160" spans="1:3" ht="13" x14ac:dyDescent="0.15">
      <c r="A160" s="10"/>
      <c r="B160" s="13"/>
      <c r="C160" s="13"/>
    </row>
    <row r="161" spans="1:3" ht="13" x14ac:dyDescent="0.15">
      <c r="A161" s="10"/>
      <c r="B161" s="13"/>
      <c r="C161" s="13"/>
    </row>
    <row r="162" spans="1:3" ht="13" x14ac:dyDescent="0.15">
      <c r="A162" s="10"/>
      <c r="B162" s="13"/>
      <c r="C162" s="13"/>
    </row>
    <row r="163" spans="1:3" ht="13" x14ac:dyDescent="0.15">
      <c r="A163" s="10"/>
      <c r="B163" s="13"/>
      <c r="C163" s="13"/>
    </row>
    <row r="164" spans="1:3" ht="13" x14ac:dyDescent="0.15">
      <c r="A164" s="10"/>
      <c r="B164" s="13"/>
      <c r="C164" s="13"/>
    </row>
    <row r="165" spans="1:3" ht="13" x14ac:dyDescent="0.15">
      <c r="A165" s="10"/>
      <c r="B165" s="13"/>
      <c r="C165" s="13"/>
    </row>
    <row r="166" spans="1:3" ht="13" x14ac:dyDescent="0.15">
      <c r="A166" s="10"/>
      <c r="B166" s="13"/>
      <c r="C166" s="13"/>
    </row>
    <row r="167" spans="1:3" ht="13" x14ac:dyDescent="0.15">
      <c r="A167" s="10"/>
      <c r="B167" s="13"/>
      <c r="C167" s="13"/>
    </row>
    <row r="168" spans="1:3" ht="13" x14ac:dyDescent="0.15">
      <c r="A168" s="10"/>
      <c r="B168" s="13"/>
      <c r="C168" s="13"/>
    </row>
    <row r="169" spans="1:3" ht="13" x14ac:dyDescent="0.15">
      <c r="A169" s="10"/>
      <c r="B169" s="13"/>
      <c r="C169" s="13"/>
    </row>
    <row r="170" spans="1:3" ht="13" x14ac:dyDescent="0.15">
      <c r="A170" s="10"/>
      <c r="B170" s="13"/>
      <c r="C170" s="13"/>
    </row>
    <row r="171" spans="1:3" ht="13" x14ac:dyDescent="0.15">
      <c r="A171" s="10"/>
      <c r="B171" s="13"/>
      <c r="C171" s="13"/>
    </row>
    <row r="172" spans="1:3" ht="13" x14ac:dyDescent="0.15">
      <c r="A172" s="10"/>
      <c r="B172" s="13"/>
      <c r="C172" s="13"/>
    </row>
    <row r="173" spans="1:3" ht="13" x14ac:dyDescent="0.15">
      <c r="A173" s="10"/>
      <c r="B173" s="13"/>
      <c r="C173" s="13"/>
    </row>
    <row r="174" spans="1:3" ht="13" x14ac:dyDescent="0.15">
      <c r="A174" s="10"/>
      <c r="B174" s="13"/>
      <c r="C174" s="13"/>
    </row>
    <row r="175" spans="1:3" ht="13" x14ac:dyDescent="0.15">
      <c r="A175" s="10"/>
      <c r="B175" s="13"/>
      <c r="C175" s="13"/>
    </row>
    <row r="176" spans="1:3" ht="13" x14ac:dyDescent="0.15">
      <c r="A176" s="10"/>
      <c r="B176" s="13"/>
      <c r="C176" s="13"/>
    </row>
    <row r="177" spans="1:3" ht="13" x14ac:dyDescent="0.15">
      <c r="A177" s="10"/>
      <c r="B177" s="13"/>
      <c r="C177" s="13"/>
    </row>
    <row r="178" spans="1:3" ht="13" x14ac:dyDescent="0.15">
      <c r="A178" s="10"/>
      <c r="B178" s="13"/>
      <c r="C178" s="13"/>
    </row>
    <row r="179" spans="1:3" ht="13" x14ac:dyDescent="0.15">
      <c r="A179" s="10"/>
      <c r="B179" s="13"/>
      <c r="C179" s="13"/>
    </row>
    <row r="180" spans="1:3" ht="13" x14ac:dyDescent="0.15">
      <c r="A180" s="10"/>
      <c r="B180" s="13"/>
      <c r="C180" s="13"/>
    </row>
    <row r="181" spans="1:3" ht="13" x14ac:dyDescent="0.15">
      <c r="A181" s="10"/>
      <c r="B181" s="13"/>
      <c r="C181" s="13"/>
    </row>
    <row r="182" spans="1:3" ht="13" x14ac:dyDescent="0.15">
      <c r="A182" s="10"/>
      <c r="B182" s="13"/>
      <c r="C182" s="13"/>
    </row>
    <row r="183" spans="1:3" ht="13" x14ac:dyDescent="0.15">
      <c r="A183" s="10"/>
      <c r="B183" s="13"/>
      <c r="C183" s="13"/>
    </row>
    <row r="184" spans="1:3" ht="13" x14ac:dyDescent="0.15">
      <c r="A184" s="10"/>
      <c r="B184" s="13"/>
      <c r="C184" s="13"/>
    </row>
    <row r="185" spans="1:3" ht="13" x14ac:dyDescent="0.15">
      <c r="A185" s="10"/>
      <c r="B185" s="13"/>
      <c r="C185" s="13"/>
    </row>
    <row r="186" spans="1:3" ht="13" x14ac:dyDescent="0.15">
      <c r="A186" s="10"/>
      <c r="B186" s="13"/>
      <c r="C186" s="13"/>
    </row>
    <row r="187" spans="1:3" ht="13" x14ac:dyDescent="0.15">
      <c r="A187" s="10"/>
      <c r="B187" s="13"/>
      <c r="C187" s="13"/>
    </row>
    <row r="188" spans="1:3" ht="13" x14ac:dyDescent="0.15">
      <c r="A188" s="10"/>
      <c r="B188" s="13"/>
      <c r="C188" s="13"/>
    </row>
    <row r="189" spans="1:3" ht="13" x14ac:dyDescent="0.15">
      <c r="A189" s="10"/>
      <c r="B189" s="13"/>
      <c r="C189" s="13"/>
    </row>
    <row r="190" spans="1:3" ht="13" x14ac:dyDescent="0.15">
      <c r="A190" s="10"/>
      <c r="B190" s="13"/>
      <c r="C190" s="13"/>
    </row>
    <row r="191" spans="1:3" ht="13" x14ac:dyDescent="0.15">
      <c r="A191" s="10"/>
      <c r="B191" s="13"/>
      <c r="C191" s="13"/>
    </row>
    <row r="192" spans="1:3" ht="13" x14ac:dyDescent="0.15">
      <c r="A192" s="10"/>
      <c r="B192" s="13"/>
      <c r="C192" s="13"/>
    </row>
    <row r="193" spans="1:3" ht="13" x14ac:dyDescent="0.15">
      <c r="A193" s="10"/>
      <c r="B193" s="13"/>
      <c r="C193" s="13"/>
    </row>
    <row r="194" spans="1:3" ht="13" x14ac:dyDescent="0.15">
      <c r="A194" s="10"/>
      <c r="B194" s="13"/>
      <c r="C194" s="13"/>
    </row>
    <row r="195" spans="1:3" ht="13" x14ac:dyDescent="0.15">
      <c r="A195" s="10"/>
      <c r="B195" s="13"/>
      <c r="C195" s="13"/>
    </row>
    <row r="196" spans="1:3" ht="13" x14ac:dyDescent="0.15">
      <c r="A196" s="10"/>
      <c r="B196" s="13"/>
      <c r="C196" s="13"/>
    </row>
    <row r="197" spans="1:3" ht="13" x14ac:dyDescent="0.15">
      <c r="A197" s="10"/>
      <c r="B197" s="13"/>
      <c r="C197" s="13"/>
    </row>
    <row r="198" spans="1:3" ht="13" x14ac:dyDescent="0.15">
      <c r="A198" s="10"/>
      <c r="B198" s="13"/>
      <c r="C198" s="13"/>
    </row>
    <row r="199" spans="1:3" ht="13" x14ac:dyDescent="0.15">
      <c r="A199" s="10"/>
      <c r="B199" s="13"/>
      <c r="C199" s="13"/>
    </row>
    <row r="200" spans="1:3" ht="13" x14ac:dyDescent="0.15">
      <c r="A200" s="10"/>
      <c r="B200" s="13"/>
      <c r="C200" s="13"/>
    </row>
    <row r="201" spans="1:3" ht="13" x14ac:dyDescent="0.15">
      <c r="A201" s="10"/>
      <c r="B201" s="13"/>
      <c r="C201" s="13"/>
    </row>
    <row r="202" spans="1:3" ht="13" x14ac:dyDescent="0.15">
      <c r="A202" s="10"/>
      <c r="B202" s="13"/>
      <c r="C202" s="13"/>
    </row>
    <row r="203" spans="1:3" ht="13" x14ac:dyDescent="0.15">
      <c r="A203" s="10"/>
      <c r="B203" s="13"/>
      <c r="C203" s="13"/>
    </row>
    <row r="204" spans="1:3" ht="13" x14ac:dyDescent="0.15">
      <c r="A204" s="10"/>
      <c r="B204" s="13"/>
      <c r="C204" s="13"/>
    </row>
    <row r="205" spans="1:3" ht="13" x14ac:dyDescent="0.15">
      <c r="A205" s="10"/>
      <c r="B205" s="13"/>
      <c r="C205" s="13"/>
    </row>
    <row r="206" spans="1:3" ht="13" x14ac:dyDescent="0.15">
      <c r="A206" s="10"/>
      <c r="B206" s="13"/>
      <c r="C206" s="13"/>
    </row>
    <row r="207" spans="1:3" ht="13" x14ac:dyDescent="0.15">
      <c r="A207" s="10"/>
      <c r="B207" s="13"/>
      <c r="C207" s="13"/>
    </row>
    <row r="208" spans="1:3" ht="13" x14ac:dyDescent="0.15">
      <c r="A208" s="10"/>
      <c r="B208" s="13"/>
      <c r="C208" s="13"/>
    </row>
    <row r="209" spans="1:3" ht="13" x14ac:dyDescent="0.15">
      <c r="A209" s="10"/>
      <c r="B209" s="13"/>
      <c r="C209" s="13"/>
    </row>
    <row r="210" spans="1:3" ht="13" x14ac:dyDescent="0.15">
      <c r="A210" s="10"/>
      <c r="B210" s="13"/>
      <c r="C210" s="13"/>
    </row>
    <row r="211" spans="1:3" ht="13" x14ac:dyDescent="0.15">
      <c r="A211" s="10"/>
      <c r="B211" s="13"/>
      <c r="C211" s="13"/>
    </row>
    <row r="212" spans="1:3" ht="13" x14ac:dyDescent="0.15">
      <c r="A212" s="10"/>
      <c r="B212" s="13"/>
      <c r="C212" s="13"/>
    </row>
    <row r="213" spans="1:3" ht="13" x14ac:dyDescent="0.15">
      <c r="A213" s="10"/>
      <c r="B213" s="13"/>
      <c r="C213" s="13"/>
    </row>
    <row r="214" spans="1:3" ht="13" x14ac:dyDescent="0.15">
      <c r="A214" s="10"/>
      <c r="B214" s="13"/>
      <c r="C214" s="13"/>
    </row>
    <row r="215" spans="1:3" ht="13" x14ac:dyDescent="0.15">
      <c r="A215" s="10"/>
      <c r="B215" s="13"/>
      <c r="C215" s="13"/>
    </row>
    <row r="216" spans="1:3" ht="13" x14ac:dyDescent="0.15">
      <c r="A216" s="10"/>
      <c r="B216" s="13"/>
      <c r="C216" s="13"/>
    </row>
    <row r="217" spans="1:3" ht="13" x14ac:dyDescent="0.15">
      <c r="A217" s="10"/>
      <c r="B217" s="13"/>
      <c r="C217" s="13"/>
    </row>
    <row r="218" spans="1:3" ht="13" x14ac:dyDescent="0.15">
      <c r="A218" s="10"/>
      <c r="B218" s="13"/>
      <c r="C218" s="13"/>
    </row>
    <row r="219" spans="1:3" ht="13" x14ac:dyDescent="0.15">
      <c r="A219" s="10"/>
      <c r="B219" s="13"/>
      <c r="C219" s="13"/>
    </row>
    <row r="220" spans="1:3" ht="13" x14ac:dyDescent="0.15">
      <c r="A220" s="10"/>
      <c r="B220" s="13"/>
      <c r="C220" s="13"/>
    </row>
    <row r="221" spans="1:3" ht="13" x14ac:dyDescent="0.15">
      <c r="A221" s="10"/>
      <c r="B221" s="13"/>
      <c r="C221" s="13"/>
    </row>
    <row r="222" spans="1:3" ht="13" x14ac:dyDescent="0.15">
      <c r="A222" s="10"/>
      <c r="B222" s="13"/>
      <c r="C222" s="13"/>
    </row>
    <row r="223" spans="1:3" ht="13" x14ac:dyDescent="0.15">
      <c r="A223" s="10"/>
      <c r="B223" s="13"/>
      <c r="C223" s="13"/>
    </row>
    <row r="224" spans="1:3" ht="13" x14ac:dyDescent="0.15">
      <c r="A224" s="10"/>
      <c r="B224" s="13"/>
      <c r="C224" s="13"/>
    </row>
    <row r="225" spans="1:3" ht="13" x14ac:dyDescent="0.15">
      <c r="A225" s="10"/>
      <c r="B225" s="13"/>
      <c r="C225" s="13"/>
    </row>
    <row r="226" spans="1:3" ht="13" x14ac:dyDescent="0.15">
      <c r="A226" s="10"/>
      <c r="B226" s="13"/>
      <c r="C226" s="13"/>
    </row>
    <row r="227" spans="1:3" ht="13" x14ac:dyDescent="0.15">
      <c r="A227" s="10"/>
      <c r="B227" s="13"/>
      <c r="C227" s="13"/>
    </row>
    <row r="228" spans="1:3" ht="13" x14ac:dyDescent="0.15">
      <c r="A228" s="10"/>
      <c r="B228" s="13"/>
      <c r="C228" s="13"/>
    </row>
    <row r="229" spans="1:3" ht="13" x14ac:dyDescent="0.15">
      <c r="A229" s="10"/>
      <c r="B229" s="13"/>
      <c r="C229" s="13"/>
    </row>
    <row r="230" spans="1:3" ht="13" x14ac:dyDescent="0.15">
      <c r="A230" s="10"/>
      <c r="B230" s="13"/>
      <c r="C230" s="13"/>
    </row>
    <row r="231" spans="1:3" ht="13" x14ac:dyDescent="0.15">
      <c r="A231" s="10"/>
      <c r="B231" s="13"/>
      <c r="C231" s="13"/>
    </row>
    <row r="232" spans="1:3" ht="13" x14ac:dyDescent="0.15">
      <c r="A232" s="10"/>
      <c r="B232" s="13"/>
      <c r="C232" s="13"/>
    </row>
    <row r="233" spans="1:3" ht="13" x14ac:dyDescent="0.15">
      <c r="A233" s="10"/>
      <c r="B233" s="13"/>
      <c r="C233" s="13"/>
    </row>
    <row r="234" spans="1:3" ht="13" x14ac:dyDescent="0.15">
      <c r="A234" s="10"/>
      <c r="B234" s="13"/>
      <c r="C234" s="13"/>
    </row>
    <row r="235" spans="1:3" ht="13" x14ac:dyDescent="0.15">
      <c r="A235" s="10"/>
      <c r="B235" s="13"/>
      <c r="C235" s="13"/>
    </row>
    <row r="236" spans="1:3" ht="13" x14ac:dyDescent="0.15">
      <c r="A236" s="10"/>
      <c r="B236" s="13"/>
      <c r="C236" s="13"/>
    </row>
    <row r="237" spans="1:3" ht="13" x14ac:dyDescent="0.15">
      <c r="A237" s="10"/>
      <c r="B237" s="13"/>
      <c r="C237" s="13"/>
    </row>
    <row r="238" spans="1:3" ht="13" x14ac:dyDescent="0.15">
      <c r="A238" s="10"/>
      <c r="B238" s="13"/>
      <c r="C238" s="13"/>
    </row>
    <row r="239" spans="1:3" ht="13" x14ac:dyDescent="0.15">
      <c r="A239" s="10"/>
      <c r="B239" s="13"/>
      <c r="C239" s="13"/>
    </row>
    <row r="240" spans="1:3" ht="13" x14ac:dyDescent="0.15">
      <c r="A240" s="10"/>
      <c r="B240" s="13"/>
      <c r="C240" s="13"/>
    </row>
    <row r="241" spans="1:3" ht="13" x14ac:dyDescent="0.15">
      <c r="A241" s="10"/>
      <c r="B241" s="13"/>
      <c r="C241" s="13"/>
    </row>
    <row r="242" spans="1:3" ht="13" x14ac:dyDescent="0.15">
      <c r="A242" s="10"/>
      <c r="B242" s="13"/>
      <c r="C242" s="13"/>
    </row>
    <row r="243" spans="1:3" ht="13" x14ac:dyDescent="0.15">
      <c r="A243" s="10"/>
      <c r="B243" s="13"/>
      <c r="C243" s="13"/>
    </row>
    <row r="244" spans="1:3" ht="13" x14ac:dyDescent="0.15">
      <c r="A244" s="10"/>
      <c r="B244" s="13"/>
      <c r="C244" s="13"/>
    </row>
    <row r="245" spans="1:3" ht="13" x14ac:dyDescent="0.15">
      <c r="A245" s="10"/>
      <c r="B245" s="13"/>
      <c r="C245" s="13"/>
    </row>
    <row r="246" spans="1:3" ht="13" x14ac:dyDescent="0.15">
      <c r="A246" s="10"/>
      <c r="B246" s="13"/>
      <c r="C246" s="13"/>
    </row>
    <row r="247" spans="1:3" ht="13" x14ac:dyDescent="0.15">
      <c r="A247" s="10"/>
      <c r="B247" s="13"/>
      <c r="C247" s="13"/>
    </row>
    <row r="248" spans="1:3" ht="13" x14ac:dyDescent="0.15">
      <c r="A248" s="10"/>
      <c r="B248" s="13"/>
      <c r="C248" s="13"/>
    </row>
    <row r="249" spans="1:3" ht="13" x14ac:dyDescent="0.15">
      <c r="A249" s="10"/>
      <c r="B249" s="13"/>
      <c r="C249" s="13"/>
    </row>
    <row r="250" spans="1:3" ht="13" x14ac:dyDescent="0.15">
      <c r="A250" s="10"/>
      <c r="B250" s="13"/>
      <c r="C250" s="13"/>
    </row>
    <row r="251" spans="1:3" ht="13" x14ac:dyDescent="0.15">
      <c r="A251" s="10"/>
      <c r="B251" s="13"/>
      <c r="C251" s="13"/>
    </row>
    <row r="252" spans="1:3" ht="13" x14ac:dyDescent="0.15">
      <c r="A252" s="10"/>
      <c r="B252" s="13"/>
      <c r="C252" s="13"/>
    </row>
    <row r="253" spans="1:3" ht="13" x14ac:dyDescent="0.15">
      <c r="A253" s="10"/>
      <c r="B253" s="13"/>
      <c r="C253" s="13"/>
    </row>
    <row r="254" spans="1:3" ht="13" x14ac:dyDescent="0.15">
      <c r="A254" s="10"/>
      <c r="B254" s="13"/>
      <c r="C254" s="13"/>
    </row>
    <row r="255" spans="1:3" ht="13" x14ac:dyDescent="0.15">
      <c r="A255" s="10"/>
      <c r="B255" s="13"/>
      <c r="C255" s="13"/>
    </row>
    <row r="256" spans="1:3" ht="13" x14ac:dyDescent="0.15">
      <c r="A256" s="10"/>
      <c r="B256" s="13"/>
      <c r="C256" s="13"/>
    </row>
    <row r="257" spans="1:3" ht="13" x14ac:dyDescent="0.15">
      <c r="A257" s="10"/>
      <c r="B257" s="13"/>
      <c r="C257" s="13"/>
    </row>
    <row r="258" spans="1:3" ht="13" x14ac:dyDescent="0.15">
      <c r="A258" s="10"/>
      <c r="B258" s="13"/>
      <c r="C258" s="13"/>
    </row>
    <row r="259" spans="1:3" ht="13" x14ac:dyDescent="0.15">
      <c r="A259" s="10"/>
      <c r="B259" s="13"/>
      <c r="C259" s="13"/>
    </row>
    <row r="260" spans="1:3" ht="13" x14ac:dyDescent="0.15">
      <c r="A260" s="10"/>
      <c r="B260" s="13"/>
      <c r="C260" s="13"/>
    </row>
    <row r="261" spans="1:3" ht="13" x14ac:dyDescent="0.15">
      <c r="A261" s="10"/>
      <c r="B261" s="13"/>
      <c r="C261" s="13"/>
    </row>
    <row r="262" spans="1:3" ht="13" x14ac:dyDescent="0.15">
      <c r="A262" s="10"/>
      <c r="B262" s="13"/>
      <c r="C262" s="13"/>
    </row>
    <row r="263" spans="1:3" ht="13" x14ac:dyDescent="0.15">
      <c r="A263" s="10"/>
      <c r="B263" s="13"/>
      <c r="C263" s="13"/>
    </row>
    <row r="264" spans="1:3" ht="13" x14ac:dyDescent="0.15">
      <c r="A264" s="10"/>
      <c r="B264" s="13"/>
      <c r="C264" s="13"/>
    </row>
    <row r="265" spans="1:3" ht="13" x14ac:dyDescent="0.15">
      <c r="A265" s="10"/>
      <c r="B265" s="13"/>
      <c r="C265" s="13"/>
    </row>
    <row r="266" spans="1:3" ht="13" x14ac:dyDescent="0.15">
      <c r="A266" s="10"/>
      <c r="B266" s="13"/>
      <c r="C266" s="13"/>
    </row>
    <row r="267" spans="1:3" ht="13" x14ac:dyDescent="0.15">
      <c r="A267" s="10"/>
      <c r="B267" s="13"/>
      <c r="C267" s="13"/>
    </row>
    <row r="268" spans="1:3" ht="13" x14ac:dyDescent="0.15">
      <c r="A268" s="10"/>
      <c r="B268" s="13"/>
      <c r="C268" s="13"/>
    </row>
    <row r="269" spans="1:3" ht="13" x14ac:dyDescent="0.15">
      <c r="A269" s="10"/>
      <c r="B269" s="13"/>
      <c r="C269" s="13"/>
    </row>
    <row r="270" spans="1:3" ht="13" x14ac:dyDescent="0.15">
      <c r="A270" s="10"/>
      <c r="B270" s="13"/>
      <c r="C270" s="13"/>
    </row>
    <row r="271" spans="1:3" ht="13" x14ac:dyDescent="0.15">
      <c r="A271" s="10"/>
      <c r="B271" s="13"/>
      <c r="C271" s="13"/>
    </row>
    <row r="272" spans="1:3" ht="13" x14ac:dyDescent="0.15">
      <c r="A272" s="10"/>
      <c r="B272" s="13"/>
      <c r="C272" s="13"/>
    </row>
    <row r="273" spans="1:3" ht="13" x14ac:dyDescent="0.15">
      <c r="A273" s="10"/>
      <c r="B273" s="13"/>
      <c r="C273" s="13"/>
    </row>
    <row r="274" spans="1:3" ht="13" x14ac:dyDescent="0.15">
      <c r="A274" s="10"/>
      <c r="B274" s="13"/>
      <c r="C274" s="13"/>
    </row>
    <row r="275" spans="1:3" ht="13" x14ac:dyDescent="0.15">
      <c r="A275" s="10"/>
      <c r="B275" s="13"/>
      <c r="C275" s="13"/>
    </row>
    <row r="276" spans="1:3" ht="13" x14ac:dyDescent="0.15">
      <c r="A276" s="10"/>
      <c r="B276" s="13"/>
      <c r="C276" s="13"/>
    </row>
    <row r="277" spans="1:3" ht="13" x14ac:dyDescent="0.15">
      <c r="A277" s="10"/>
      <c r="B277" s="13"/>
      <c r="C277" s="13"/>
    </row>
    <row r="278" spans="1:3" ht="13" x14ac:dyDescent="0.15">
      <c r="A278" s="10"/>
      <c r="B278" s="13"/>
      <c r="C278" s="13"/>
    </row>
    <row r="279" spans="1:3" ht="13" x14ac:dyDescent="0.15">
      <c r="A279" s="10"/>
      <c r="B279" s="13"/>
      <c r="C279" s="13"/>
    </row>
    <row r="280" spans="1:3" ht="13" x14ac:dyDescent="0.15">
      <c r="A280" s="10"/>
      <c r="B280" s="13"/>
      <c r="C280" s="13"/>
    </row>
    <row r="281" spans="1:3" ht="13" x14ac:dyDescent="0.15">
      <c r="A281" s="10"/>
      <c r="B281" s="13"/>
      <c r="C281" s="13"/>
    </row>
    <row r="282" spans="1:3" ht="13" x14ac:dyDescent="0.15">
      <c r="A282" s="10"/>
      <c r="B282" s="13"/>
      <c r="C282" s="13"/>
    </row>
    <row r="283" spans="1:3" ht="13" x14ac:dyDescent="0.15">
      <c r="A283" s="10"/>
      <c r="B283" s="13"/>
      <c r="C283" s="13"/>
    </row>
    <row r="284" spans="1:3" ht="13" x14ac:dyDescent="0.15">
      <c r="A284" s="10"/>
      <c r="B284" s="13"/>
      <c r="C284" s="13"/>
    </row>
    <row r="285" spans="1:3" ht="13" x14ac:dyDescent="0.15">
      <c r="A285" s="10"/>
      <c r="B285" s="13"/>
      <c r="C285" s="13"/>
    </row>
    <row r="286" spans="1:3" ht="13" x14ac:dyDescent="0.15">
      <c r="A286" s="10"/>
      <c r="B286" s="13"/>
      <c r="C286" s="13"/>
    </row>
    <row r="287" spans="1:3" ht="13" x14ac:dyDescent="0.15">
      <c r="A287" s="10"/>
      <c r="B287" s="13"/>
      <c r="C287" s="13"/>
    </row>
    <row r="288" spans="1:3" ht="13" x14ac:dyDescent="0.15">
      <c r="A288" s="10"/>
      <c r="B288" s="13"/>
      <c r="C288" s="13"/>
    </row>
    <row r="289" spans="1:3" ht="13" x14ac:dyDescent="0.15">
      <c r="A289" s="10"/>
      <c r="B289" s="13"/>
      <c r="C289" s="13"/>
    </row>
    <row r="290" spans="1:3" ht="13" x14ac:dyDescent="0.15">
      <c r="A290" s="10"/>
      <c r="B290" s="13"/>
      <c r="C290" s="13"/>
    </row>
    <row r="291" spans="1:3" ht="13" x14ac:dyDescent="0.15">
      <c r="A291" s="10"/>
      <c r="B291" s="13"/>
      <c r="C291" s="13"/>
    </row>
    <row r="292" spans="1:3" ht="13" x14ac:dyDescent="0.15">
      <c r="A292" s="10"/>
      <c r="B292" s="13"/>
      <c r="C292" s="13"/>
    </row>
    <row r="293" spans="1:3" ht="13" x14ac:dyDescent="0.15">
      <c r="A293" s="10"/>
      <c r="B293" s="13"/>
      <c r="C293" s="13"/>
    </row>
    <row r="294" spans="1:3" ht="13" x14ac:dyDescent="0.15">
      <c r="A294" s="10"/>
      <c r="B294" s="13"/>
      <c r="C294" s="13"/>
    </row>
    <row r="295" spans="1:3" ht="13" x14ac:dyDescent="0.15">
      <c r="A295" s="10"/>
      <c r="B295" s="13"/>
      <c r="C295" s="13"/>
    </row>
    <row r="296" spans="1:3" ht="13" x14ac:dyDescent="0.15">
      <c r="A296" s="10"/>
      <c r="B296" s="13"/>
      <c r="C296" s="13"/>
    </row>
    <row r="297" spans="1:3" ht="13" x14ac:dyDescent="0.15">
      <c r="A297" s="10"/>
      <c r="B297" s="13"/>
      <c r="C297" s="13"/>
    </row>
    <row r="298" spans="1:3" ht="13" x14ac:dyDescent="0.15">
      <c r="A298" s="10"/>
      <c r="B298" s="13"/>
      <c r="C298" s="13"/>
    </row>
    <row r="299" spans="1:3" ht="13" x14ac:dyDescent="0.15">
      <c r="A299" s="10"/>
      <c r="B299" s="13"/>
      <c r="C299" s="13"/>
    </row>
    <row r="300" spans="1:3" ht="13" x14ac:dyDescent="0.15">
      <c r="A300" s="10"/>
      <c r="B300" s="13"/>
      <c r="C300" s="13"/>
    </row>
    <row r="301" spans="1:3" ht="13" x14ac:dyDescent="0.15">
      <c r="A301" s="10"/>
      <c r="B301" s="13"/>
      <c r="C301" s="13"/>
    </row>
    <row r="302" spans="1:3" ht="13" x14ac:dyDescent="0.15">
      <c r="A302" s="10"/>
      <c r="B302" s="13"/>
      <c r="C302" s="13"/>
    </row>
    <row r="303" spans="1:3" ht="13" x14ac:dyDescent="0.15">
      <c r="A303" s="10"/>
      <c r="B303" s="13"/>
      <c r="C303" s="13"/>
    </row>
    <row r="304" spans="1:3" ht="13" x14ac:dyDescent="0.15">
      <c r="A304" s="10"/>
      <c r="B304" s="13"/>
      <c r="C304" s="13"/>
    </row>
    <row r="305" spans="1:3" ht="13" x14ac:dyDescent="0.15">
      <c r="A305" s="10"/>
      <c r="B305" s="13"/>
      <c r="C305" s="13"/>
    </row>
    <row r="306" spans="1:3" ht="13" x14ac:dyDescent="0.15">
      <c r="A306" s="10"/>
      <c r="B306" s="13"/>
      <c r="C306" s="13"/>
    </row>
    <row r="307" spans="1:3" ht="13" x14ac:dyDescent="0.15">
      <c r="A307" s="10"/>
      <c r="B307" s="13"/>
      <c r="C307" s="13"/>
    </row>
    <row r="308" spans="1:3" ht="13" x14ac:dyDescent="0.15">
      <c r="A308" s="10"/>
      <c r="B308" s="13"/>
      <c r="C308" s="13"/>
    </row>
    <row r="309" spans="1:3" ht="13" x14ac:dyDescent="0.15">
      <c r="A309" s="10"/>
      <c r="B309" s="13"/>
      <c r="C309" s="13"/>
    </row>
    <row r="310" spans="1:3" ht="13" x14ac:dyDescent="0.15">
      <c r="A310" s="10"/>
      <c r="B310" s="13"/>
      <c r="C310" s="13"/>
    </row>
    <row r="311" spans="1:3" ht="13" x14ac:dyDescent="0.15">
      <c r="A311" s="10"/>
      <c r="B311" s="13"/>
      <c r="C311" s="13"/>
    </row>
    <row r="312" spans="1:3" ht="13" x14ac:dyDescent="0.15">
      <c r="A312" s="10"/>
      <c r="B312" s="13"/>
      <c r="C312" s="13"/>
    </row>
    <row r="313" spans="1:3" ht="13" x14ac:dyDescent="0.15">
      <c r="A313" s="10"/>
      <c r="B313" s="13"/>
      <c r="C313" s="13"/>
    </row>
    <row r="314" spans="1:3" ht="13" x14ac:dyDescent="0.15">
      <c r="A314" s="10"/>
      <c r="B314" s="13"/>
      <c r="C314" s="13"/>
    </row>
    <row r="315" spans="1:3" ht="13" x14ac:dyDescent="0.15">
      <c r="A315" s="10"/>
      <c r="B315" s="13"/>
      <c r="C315" s="13"/>
    </row>
    <row r="316" spans="1:3" ht="13" x14ac:dyDescent="0.15">
      <c r="A316" s="10"/>
      <c r="B316" s="13"/>
      <c r="C316" s="13"/>
    </row>
    <row r="317" spans="1:3" ht="13" x14ac:dyDescent="0.15">
      <c r="A317" s="10"/>
      <c r="B317" s="13"/>
      <c r="C317" s="13"/>
    </row>
    <row r="318" spans="1:3" ht="13" x14ac:dyDescent="0.15">
      <c r="A318" s="10"/>
      <c r="B318" s="13"/>
      <c r="C318" s="13"/>
    </row>
    <row r="319" spans="1:3" ht="13" x14ac:dyDescent="0.15">
      <c r="A319" s="10"/>
      <c r="B319" s="13"/>
      <c r="C319" s="13"/>
    </row>
    <row r="320" spans="1:3" ht="13" x14ac:dyDescent="0.15">
      <c r="A320" s="10"/>
      <c r="B320" s="13"/>
      <c r="C320" s="13"/>
    </row>
    <row r="321" spans="1:3" ht="13" x14ac:dyDescent="0.15">
      <c r="A321" s="10"/>
      <c r="B321" s="13"/>
      <c r="C321" s="13"/>
    </row>
    <row r="322" spans="1:3" ht="13" x14ac:dyDescent="0.15">
      <c r="A322" s="10"/>
      <c r="B322" s="13"/>
      <c r="C322" s="13"/>
    </row>
    <row r="323" spans="1:3" ht="13" x14ac:dyDescent="0.15">
      <c r="A323" s="10"/>
      <c r="B323" s="13"/>
      <c r="C323" s="13"/>
    </row>
    <row r="324" spans="1:3" ht="13" x14ac:dyDescent="0.15">
      <c r="A324" s="10"/>
      <c r="B324" s="13"/>
      <c r="C324" s="13"/>
    </row>
    <row r="325" spans="1:3" ht="13" x14ac:dyDescent="0.15">
      <c r="A325" s="10"/>
      <c r="B325" s="13"/>
      <c r="C325" s="13"/>
    </row>
    <row r="326" spans="1:3" ht="13" x14ac:dyDescent="0.15">
      <c r="A326" s="10"/>
      <c r="B326" s="13"/>
      <c r="C326" s="13"/>
    </row>
    <row r="327" spans="1:3" ht="13" x14ac:dyDescent="0.15">
      <c r="A327" s="10"/>
      <c r="B327" s="13"/>
      <c r="C327" s="13"/>
    </row>
    <row r="328" spans="1:3" ht="13" x14ac:dyDescent="0.15">
      <c r="A328" s="10"/>
      <c r="B328" s="13"/>
      <c r="C328" s="13"/>
    </row>
    <row r="329" spans="1:3" ht="13" x14ac:dyDescent="0.15">
      <c r="A329" s="10"/>
      <c r="B329" s="13"/>
      <c r="C329" s="13"/>
    </row>
    <row r="330" spans="1:3" ht="13" x14ac:dyDescent="0.15">
      <c r="A330" s="10"/>
      <c r="B330" s="13"/>
      <c r="C330" s="13"/>
    </row>
    <row r="331" spans="1:3" ht="13" x14ac:dyDescent="0.15">
      <c r="A331" s="10"/>
      <c r="B331" s="13"/>
      <c r="C331" s="13"/>
    </row>
    <row r="332" spans="1:3" ht="13" x14ac:dyDescent="0.15">
      <c r="A332" s="10"/>
      <c r="B332" s="13"/>
      <c r="C332" s="13"/>
    </row>
    <row r="333" spans="1:3" ht="13" x14ac:dyDescent="0.15">
      <c r="A333" s="10"/>
      <c r="B333" s="13"/>
      <c r="C333" s="13"/>
    </row>
    <row r="334" spans="1:3" ht="13" x14ac:dyDescent="0.15">
      <c r="A334" s="10"/>
      <c r="B334" s="13"/>
      <c r="C334" s="13"/>
    </row>
    <row r="335" spans="1:3" ht="13" x14ac:dyDescent="0.15">
      <c r="A335" s="10"/>
      <c r="B335" s="13"/>
      <c r="C335" s="13"/>
    </row>
    <row r="336" spans="1:3" ht="13" x14ac:dyDescent="0.15">
      <c r="A336" s="10"/>
      <c r="B336" s="13"/>
      <c r="C336" s="13"/>
    </row>
    <row r="337" spans="1:3" ht="13" x14ac:dyDescent="0.15">
      <c r="A337" s="10"/>
      <c r="B337" s="13"/>
      <c r="C337" s="13"/>
    </row>
    <row r="338" spans="1:3" ht="13" x14ac:dyDescent="0.15">
      <c r="A338" s="10"/>
      <c r="B338" s="13"/>
      <c r="C338" s="13"/>
    </row>
    <row r="339" spans="1:3" ht="13" x14ac:dyDescent="0.15">
      <c r="A339" s="10"/>
      <c r="B339" s="13"/>
      <c r="C339" s="13"/>
    </row>
    <row r="340" spans="1:3" ht="13" x14ac:dyDescent="0.15">
      <c r="A340" s="10"/>
      <c r="B340" s="13"/>
      <c r="C340" s="13"/>
    </row>
    <row r="341" spans="1:3" ht="13" x14ac:dyDescent="0.15">
      <c r="A341" s="10"/>
      <c r="B341" s="13"/>
      <c r="C341" s="13"/>
    </row>
    <row r="342" spans="1:3" ht="13" x14ac:dyDescent="0.15">
      <c r="A342" s="10"/>
      <c r="B342" s="13"/>
      <c r="C342" s="13"/>
    </row>
    <row r="343" spans="1:3" ht="13" x14ac:dyDescent="0.15">
      <c r="A343" s="10"/>
      <c r="B343" s="13"/>
      <c r="C343" s="13"/>
    </row>
    <row r="344" spans="1:3" ht="13" x14ac:dyDescent="0.15">
      <c r="A344" s="10"/>
      <c r="B344" s="13"/>
      <c r="C344" s="13"/>
    </row>
    <row r="345" spans="1:3" ht="13" x14ac:dyDescent="0.15">
      <c r="A345" s="10"/>
      <c r="B345" s="13"/>
      <c r="C345" s="13"/>
    </row>
    <row r="346" spans="1:3" ht="13" x14ac:dyDescent="0.15">
      <c r="A346" s="10"/>
      <c r="B346" s="13"/>
      <c r="C346" s="13"/>
    </row>
    <row r="347" spans="1:3" ht="13" x14ac:dyDescent="0.15">
      <c r="A347" s="10"/>
      <c r="B347" s="13"/>
      <c r="C347" s="13"/>
    </row>
    <row r="348" spans="1:3" ht="13" x14ac:dyDescent="0.15">
      <c r="A348" s="10"/>
      <c r="B348" s="13"/>
      <c r="C348" s="13"/>
    </row>
    <row r="349" spans="1:3" ht="13" x14ac:dyDescent="0.15">
      <c r="A349" s="10"/>
      <c r="B349" s="13"/>
      <c r="C349" s="13"/>
    </row>
    <row r="350" spans="1:3" ht="13" x14ac:dyDescent="0.15">
      <c r="A350" s="10"/>
      <c r="B350" s="13"/>
      <c r="C350" s="13"/>
    </row>
    <row r="351" spans="1:3" ht="13" x14ac:dyDescent="0.15">
      <c r="A351" s="10"/>
      <c r="B351" s="13"/>
      <c r="C351" s="13"/>
    </row>
    <row r="352" spans="1:3" ht="13" x14ac:dyDescent="0.15">
      <c r="A352" s="10"/>
      <c r="B352" s="13"/>
      <c r="C352" s="13"/>
    </row>
    <row r="353" spans="1:3" ht="13" x14ac:dyDescent="0.15">
      <c r="A353" s="10"/>
      <c r="B353" s="13"/>
      <c r="C353" s="13"/>
    </row>
    <row r="354" spans="1:3" ht="13" x14ac:dyDescent="0.15">
      <c r="A354" s="10"/>
      <c r="B354" s="13"/>
      <c r="C354" s="13"/>
    </row>
    <row r="355" spans="1:3" ht="13" x14ac:dyDescent="0.15">
      <c r="A355" s="10"/>
      <c r="B355" s="13"/>
      <c r="C355" s="13"/>
    </row>
    <row r="356" spans="1:3" ht="13" x14ac:dyDescent="0.15">
      <c r="A356" s="10"/>
      <c r="B356" s="13"/>
      <c r="C356" s="13"/>
    </row>
    <row r="357" spans="1:3" ht="13" x14ac:dyDescent="0.15">
      <c r="A357" s="10"/>
      <c r="B357" s="13"/>
      <c r="C357" s="13"/>
    </row>
    <row r="358" spans="1:3" ht="13" x14ac:dyDescent="0.15">
      <c r="A358" s="10"/>
      <c r="B358" s="13"/>
      <c r="C358" s="13"/>
    </row>
    <row r="359" spans="1:3" ht="13" x14ac:dyDescent="0.15">
      <c r="A359" s="10"/>
      <c r="B359" s="13"/>
      <c r="C359" s="13"/>
    </row>
    <row r="360" spans="1:3" ht="13" x14ac:dyDescent="0.15">
      <c r="A360" s="10"/>
      <c r="B360" s="13"/>
      <c r="C360" s="13"/>
    </row>
    <row r="361" spans="1:3" ht="13" x14ac:dyDescent="0.15">
      <c r="A361" s="10"/>
      <c r="B361" s="13"/>
      <c r="C361" s="13"/>
    </row>
    <row r="362" spans="1:3" ht="13" x14ac:dyDescent="0.15">
      <c r="A362" s="10"/>
      <c r="B362" s="13"/>
      <c r="C362" s="13"/>
    </row>
    <row r="363" spans="1:3" ht="13" x14ac:dyDescent="0.15">
      <c r="A363" s="10"/>
      <c r="B363" s="13"/>
      <c r="C363" s="13"/>
    </row>
    <row r="364" spans="1:3" ht="13" x14ac:dyDescent="0.15">
      <c r="A364" s="10"/>
      <c r="B364" s="13"/>
      <c r="C364" s="13"/>
    </row>
    <row r="365" spans="1:3" ht="13" x14ac:dyDescent="0.15">
      <c r="A365" s="10"/>
      <c r="B365" s="13"/>
      <c r="C365" s="13"/>
    </row>
    <row r="366" spans="1:3" ht="13" x14ac:dyDescent="0.15">
      <c r="A366" s="10"/>
      <c r="B366" s="13"/>
      <c r="C366" s="13"/>
    </row>
    <row r="367" spans="1:3" ht="13" x14ac:dyDescent="0.15">
      <c r="A367" s="10"/>
      <c r="B367" s="13"/>
      <c r="C367" s="13"/>
    </row>
    <row r="368" spans="1:3" ht="13" x14ac:dyDescent="0.15">
      <c r="A368" s="10"/>
      <c r="B368" s="13"/>
      <c r="C368" s="13"/>
    </row>
    <row r="369" spans="1:3" ht="13" x14ac:dyDescent="0.15">
      <c r="A369" s="10"/>
      <c r="B369" s="13"/>
      <c r="C369" s="13"/>
    </row>
    <row r="370" spans="1:3" ht="13" x14ac:dyDescent="0.15">
      <c r="A370" s="10"/>
      <c r="B370" s="13"/>
      <c r="C370" s="13"/>
    </row>
    <row r="371" spans="1:3" ht="13" x14ac:dyDescent="0.15">
      <c r="A371" s="10"/>
      <c r="B371" s="13"/>
      <c r="C371" s="13"/>
    </row>
    <row r="372" spans="1:3" ht="13" x14ac:dyDescent="0.15">
      <c r="A372" s="10"/>
      <c r="B372" s="13"/>
      <c r="C372" s="13"/>
    </row>
    <row r="373" spans="1:3" ht="13" x14ac:dyDescent="0.15">
      <c r="A373" s="10"/>
      <c r="B373" s="13"/>
      <c r="C373" s="13"/>
    </row>
    <row r="374" spans="1:3" ht="13" x14ac:dyDescent="0.15">
      <c r="A374" s="10"/>
      <c r="B374" s="13"/>
      <c r="C374" s="13"/>
    </row>
    <row r="375" spans="1:3" ht="13" x14ac:dyDescent="0.15">
      <c r="A375" s="10"/>
      <c r="B375" s="13"/>
      <c r="C375" s="13"/>
    </row>
    <row r="376" spans="1:3" ht="13" x14ac:dyDescent="0.15">
      <c r="A376" s="10"/>
      <c r="B376" s="13"/>
      <c r="C376" s="13"/>
    </row>
    <row r="377" spans="1:3" ht="13" x14ac:dyDescent="0.15">
      <c r="A377" s="10"/>
      <c r="B377" s="13"/>
      <c r="C377" s="13"/>
    </row>
    <row r="378" spans="1:3" ht="13" x14ac:dyDescent="0.15">
      <c r="A378" s="10"/>
      <c r="B378" s="13"/>
      <c r="C378" s="13"/>
    </row>
    <row r="379" spans="1:3" ht="13" x14ac:dyDescent="0.15">
      <c r="A379" s="10"/>
      <c r="B379" s="13"/>
      <c r="C379" s="13"/>
    </row>
    <row r="380" spans="1:3" ht="13" x14ac:dyDescent="0.15">
      <c r="A380" s="10"/>
      <c r="B380" s="13"/>
      <c r="C380" s="13"/>
    </row>
    <row r="381" spans="1:3" ht="13" x14ac:dyDescent="0.15">
      <c r="A381" s="10"/>
      <c r="B381" s="13"/>
      <c r="C381" s="13"/>
    </row>
    <row r="382" spans="1:3" ht="13" x14ac:dyDescent="0.15">
      <c r="A382" s="10"/>
      <c r="B382" s="13"/>
      <c r="C382" s="13"/>
    </row>
    <row r="383" spans="1:3" ht="13" x14ac:dyDescent="0.15">
      <c r="A383" s="10"/>
      <c r="B383" s="13"/>
      <c r="C383" s="13"/>
    </row>
    <row r="384" spans="1:3" ht="13" x14ac:dyDescent="0.15">
      <c r="A384" s="10"/>
      <c r="B384" s="13"/>
      <c r="C384" s="13"/>
    </row>
    <row r="385" spans="1:3" ht="13" x14ac:dyDescent="0.15">
      <c r="A385" s="10"/>
      <c r="B385" s="13"/>
      <c r="C385" s="13"/>
    </row>
    <row r="386" spans="1:3" ht="13" x14ac:dyDescent="0.15">
      <c r="A386" s="10"/>
      <c r="B386" s="13"/>
      <c r="C386" s="13"/>
    </row>
    <row r="387" spans="1:3" ht="13" x14ac:dyDescent="0.15">
      <c r="A387" s="10"/>
      <c r="B387" s="13"/>
      <c r="C387" s="13"/>
    </row>
    <row r="388" spans="1:3" ht="13" x14ac:dyDescent="0.15">
      <c r="A388" s="10"/>
      <c r="B388" s="13"/>
      <c r="C388" s="13"/>
    </row>
    <row r="389" spans="1:3" ht="13" x14ac:dyDescent="0.15">
      <c r="A389" s="10"/>
      <c r="B389" s="13"/>
      <c r="C389" s="13"/>
    </row>
    <row r="390" spans="1:3" ht="13" x14ac:dyDescent="0.15">
      <c r="A390" s="10"/>
      <c r="B390" s="13"/>
      <c r="C390" s="13"/>
    </row>
    <row r="391" spans="1:3" ht="13" x14ac:dyDescent="0.15">
      <c r="A391" s="10"/>
      <c r="B391" s="13"/>
      <c r="C391" s="13"/>
    </row>
    <row r="392" spans="1:3" ht="13" x14ac:dyDescent="0.15">
      <c r="A392" s="10"/>
      <c r="B392" s="13"/>
      <c r="C392" s="13"/>
    </row>
    <row r="393" spans="1:3" ht="13" x14ac:dyDescent="0.15">
      <c r="A393" s="10"/>
      <c r="B393" s="13"/>
      <c r="C393" s="13"/>
    </row>
    <row r="394" spans="1:3" ht="13" x14ac:dyDescent="0.15">
      <c r="A394" s="10"/>
      <c r="B394" s="13"/>
      <c r="C394" s="13"/>
    </row>
    <row r="395" spans="1:3" ht="13" x14ac:dyDescent="0.15">
      <c r="A395" s="10"/>
      <c r="B395" s="13"/>
      <c r="C395" s="13"/>
    </row>
    <row r="396" spans="1:3" ht="13" x14ac:dyDescent="0.15">
      <c r="A396" s="10"/>
      <c r="B396" s="13"/>
      <c r="C396" s="13"/>
    </row>
    <row r="397" spans="1:3" ht="13" x14ac:dyDescent="0.15">
      <c r="A397" s="10"/>
      <c r="B397" s="13"/>
      <c r="C397" s="13"/>
    </row>
    <row r="398" spans="1:3" ht="13" x14ac:dyDescent="0.15">
      <c r="A398" s="10"/>
      <c r="B398" s="13"/>
      <c r="C398" s="13"/>
    </row>
    <row r="399" spans="1:3" ht="13" x14ac:dyDescent="0.15">
      <c r="A399" s="10"/>
      <c r="B399" s="13"/>
      <c r="C399" s="13"/>
    </row>
    <row r="400" spans="1:3" ht="13" x14ac:dyDescent="0.15">
      <c r="A400" s="10"/>
      <c r="B400" s="13"/>
      <c r="C400" s="13"/>
    </row>
    <row r="401" spans="1:3" ht="13" x14ac:dyDescent="0.15">
      <c r="A401" s="10"/>
      <c r="B401" s="13"/>
      <c r="C401" s="13"/>
    </row>
    <row r="402" spans="1:3" ht="13" x14ac:dyDescent="0.15">
      <c r="A402" s="10"/>
      <c r="B402" s="13"/>
      <c r="C402" s="13"/>
    </row>
    <row r="403" spans="1:3" ht="13" x14ac:dyDescent="0.15">
      <c r="A403" s="10"/>
      <c r="B403" s="13"/>
      <c r="C403" s="13"/>
    </row>
    <row r="404" spans="1:3" ht="13" x14ac:dyDescent="0.15">
      <c r="A404" s="10"/>
      <c r="B404" s="13"/>
      <c r="C404" s="13"/>
    </row>
    <row r="405" spans="1:3" ht="13" x14ac:dyDescent="0.15">
      <c r="A405" s="10"/>
      <c r="B405" s="13"/>
      <c r="C405" s="13"/>
    </row>
    <row r="406" spans="1:3" ht="13" x14ac:dyDescent="0.15">
      <c r="A406" s="10"/>
      <c r="B406" s="13"/>
      <c r="C406" s="13"/>
    </row>
    <row r="407" spans="1:3" ht="13" x14ac:dyDescent="0.15">
      <c r="A407" s="10"/>
      <c r="B407" s="13"/>
      <c r="C407" s="13"/>
    </row>
    <row r="408" spans="1:3" ht="13" x14ac:dyDescent="0.15">
      <c r="A408" s="10"/>
      <c r="B408" s="13"/>
      <c r="C408" s="13"/>
    </row>
    <row r="409" spans="1:3" ht="13" x14ac:dyDescent="0.15">
      <c r="A409" s="10"/>
      <c r="B409" s="13"/>
      <c r="C409" s="13"/>
    </row>
    <row r="410" spans="1:3" ht="13" x14ac:dyDescent="0.15">
      <c r="A410" s="10"/>
      <c r="B410" s="13"/>
      <c r="C410" s="13"/>
    </row>
    <row r="411" spans="1:3" ht="13" x14ac:dyDescent="0.15">
      <c r="A411" s="10"/>
      <c r="B411" s="13"/>
      <c r="C411" s="13"/>
    </row>
    <row r="412" spans="1:3" ht="13" x14ac:dyDescent="0.15">
      <c r="A412" s="10"/>
      <c r="B412" s="13"/>
      <c r="C412" s="13"/>
    </row>
    <row r="413" spans="1:3" ht="13" x14ac:dyDescent="0.15">
      <c r="A413" s="10"/>
      <c r="B413" s="13"/>
      <c r="C413" s="13"/>
    </row>
    <row r="414" spans="1:3" ht="13" x14ac:dyDescent="0.15">
      <c r="A414" s="10"/>
      <c r="B414" s="13"/>
      <c r="C414" s="13"/>
    </row>
    <row r="415" spans="1:3" ht="13" x14ac:dyDescent="0.15">
      <c r="A415" s="10"/>
      <c r="B415" s="13"/>
      <c r="C415" s="13"/>
    </row>
    <row r="416" spans="1:3" ht="13" x14ac:dyDescent="0.15">
      <c r="A416" s="10"/>
      <c r="B416" s="13"/>
      <c r="C416" s="13"/>
    </row>
    <row r="417" spans="1:3" ht="13" x14ac:dyDescent="0.15">
      <c r="A417" s="10"/>
      <c r="B417" s="13"/>
      <c r="C417" s="13"/>
    </row>
    <row r="418" spans="1:3" ht="13" x14ac:dyDescent="0.15">
      <c r="A418" s="10"/>
      <c r="B418" s="13"/>
      <c r="C418" s="13"/>
    </row>
    <row r="419" spans="1:3" ht="13" x14ac:dyDescent="0.15">
      <c r="A419" s="10"/>
      <c r="B419" s="13"/>
      <c r="C419" s="13"/>
    </row>
    <row r="420" spans="1:3" ht="13" x14ac:dyDescent="0.15">
      <c r="A420" s="10"/>
      <c r="B420" s="13"/>
      <c r="C420" s="13"/>
    </row>
    <row r="421" spans="1:3" ht="13" x14ac:dyDescent="0.15">
      <c r="A421" s="10"/>
      <c r="B421" s="13"/>
      <c r="C421" s="13"/>
    </row>
    <row r="422" spans="1:3" ht="13" x14ac:dyDescent="0.15">
      <c r="A422" s="10"/>
      <c r="B422" s="13"/>
      <c r="C422" s="13"/>
    </row>
    <row r="423" spans="1:3" ht="13" x14ac:dyDescent="0.15">
      <c r="A423" s="10"/>
      <c r="B423" s="13"/>
      <c r="C423" s="13"/>
    </row>
    <row r="424" spans="1:3" ht="13" x14ac:dyDescent="0.15">
      <c r="A424" s="10"/>
      <c r="B424" s="13"/>
      <c r="C424" s="13"/>
    </row>
    <row r="425" spans="1:3" ht="13" x14ac:dyDescent="0.15">
      <c r="A425" s="10"/>
      <c r="B425" s="13"/>
      <c r="C425" s="13"/>
    </row>
    <row r="426" spans="1:3" ht="13" x14ac:dyDescent="0.15">
      <c r="A426" s="10"/>
      <c r="B426" s="13"/>
      <c r="C426" s="13"/>
    </row>
    <row r="427" spans="1:3" ht="13" x14ac:dyDescent="0.15">
      <c r="A427" s="10"/>
      <c r="B427" s="13"/>
      <c r="C427" s="13"/>
    </row>
    <row r="428" spans="1:3" ht="13" x14ac:dyDescent="0.15">
      <c r="A428" s="10"/>
      <c r="B428" s="13"/>
      <c r="C428" s="13"/>
    </row>
    <row r="429" spans="1:3" ht="13" x14ac:dyDescent="0.15">
      <c r="A429" s="10"/>
      <c r="B429" s="13"/>
      <c r="C429" s="13"/>
    </row>
    <row r="430" spans="1:3" ht="13" x14ac:dyDescent="0.15">
      <c r="A430" s="10"/>
      <c r="B430" s="13"/>
      <c r="C430" s="13"/>
    </row>
    <row r="431" spans="1:3" ht="13" x14ac:dyDescent="0.15">
      <c r="A431" s="10"/>
      <c r="B431" s="13"/>
      <c r="C431" s="13"/>
    </row>
    <row r="432" spans="1:3" ht="13" x14ac:dyDescent="0.15">
      <c r="A432" s="10"/>
      <c r="B432" s="13"/>
      <c r="C432" s="13"/>
    </row>
    <row r="433" spans="1:3" ht="13" x14ac:dyDescent="0.15">
      <c r="A433" s="10"/>
      <c r="B433" s="13"/>
      <c r="C433" s="13"/>
    </row>
    <row r="434" spans="1:3" ht="13" x14ac:dyDescent="0.15">
      <c r="A434" s="10"/>
      <c r="B434" s="13"/>
      <c r="C434" s="13"/>
    </row>
    <row r="435" spans="1:3" ht="13" x14ac:dyDescent="0.15">
      <c r="A435" s="10"/>
      <c r="B435" s="13"/>
      <c r="C435" s="13"/>
    </row>
    <row r="436" spans="1:3" ht="13" x14ac:dyDescent="0.15">
      <c r="A436" s="10"/>
      <c r="B436" s="13"/>
      <c r="C436" s="13"/>
    </row>
    <row r="437" spans="1:3" ht="13" x14ac:dyDescent="0.15">
      <c r="A437" s="10"/>
      <c r="B437" s="13"/>
      <c r="C437" s="13"/>
    </row>
    <row r="438" spans="1:3" ht="13" x14ac:dyDescent="0.15">
      <c r="A438" s="10"/>
      <c r="B438" s="13"/>
      <c r="C438" s="13"/>
    </row>
    <row r="439" spans="1:3" ht="13" x14ac:dyDescent="0.15">
      <c r="A439" s="10"/>
      <c r="B439" s="13"/>
      <c r="C439" s="13"/>
    </row>
    <row r="440" spans="1:3" ht="13" x14ac:dyDescent="0.15">
      <c r="A440" s="10"/>
      <c r="B440" s="13"/>
      <c r="C440" s="13"/>
    </row>
    <row r="441" spans="1:3" ht="13" x14ac:dyDescent="0.15">
      <c r="A441" s="10"/>
      <c r="B441" s="13"/>
      <c r="C441" s="13"/>
    </row>
    <row r="442" spans="1:3" ht="13" x14ac:dyDescent="0.15">
      <c r="A442" s="10"/>
      <c r="B442" s="13"/>
      <c r="C442" s="13"/>
    </row>
    <row r="443" spans="1:3" ht="13" x14ac:dyDescent="0.15">
      <c r="A443" s="10"/>
      <c r="B443" s="13"/>
      <c r="C443" s="13"/>
    </row>
    <row r="444" spans="1:3" ht="13" x14ac:dyDescent="0.15">
      <c r="A444" s="10"/>
      <c r="B444" s="13"/>
      <c r="C444" s="13"/>
    </row>
    <row r="445" spans="1:3" ht="13" x14ac:dyDescent="0.15">
      <c r="A445" s="10"/>
      <c r="B445" s="13"/>
      <c r="C445" s="13"/>
    </row>
    <row r="446" spans="1:3" ht="13" x14ac:dyDescent="0.15">
      <c r="A446" s="10"/>
      <c r="B446" s="13"/>
      <c r="C446" s="13"/>
    </row>
    <row r="447" spans="1:3" ht="13" x14ac:dyDescent="0.15">
      <c r="A447" s="10"/>
      <c r="B447" s="13"/>
      <c r="C447" s="13"/>
    </row>
    <row r="448" spans="1:3" ht="13" x14ac:dyDescent="0.15">
      <c r="A448" s="10"/>
      <c r="B448" s="13"/>
      <c r="C448" s="13"/>
    </row>
    <row r="449" spans="1:3" ht="13" x14ac:dyDescent="0.15">
      <c r="A449" s="10"/>
      <c r="B449" s="13"/>
      <c r="C449" s="13"/>
    </row>
    <row r="450" spans="1:3" ht="13" x14ac:dyDescent="0.15">
      <c r="A450" s="10"/>
      <c r="B450" s="13"/>
      <c r="C450" s="13"/>
    </row>
    <row r="451" spans="1:3" ht="13" x14ac:dyDescent="0.15">
      <c r="A451" s="10"/>
      <c r="B451" s="13"/>
      <c r="C451" s="13"/>
    </row>
    <row r="452" spans="1:3" ht="13" x14ac:dyDescent="0.15">
      <c r="A452" s="10"/>
      <c r="B452" s="13"/>
      <c r="C452" s="13"/>
    </row>
    <row r="453" spans="1:3" ht="13" x14ac:dyDescent="0.15">
      <c r="A453" s="10"/>
      <c r="B453" s="13"/>
      <c r="C453" s="13"/>
    </row>
    <row r="454" spans="1:3" ht="13" x14ac:dyDescent="0.15">
      <c r="A454" s="10"/>
      <c r="B454" s="13"/>
      <c r="C454" s="13"/>
    </row>
    <row r="455" spans="1:3" ht="13" x14ac:dyDescent="0.15">
      <c r="A455" s="10"/>
      <c r="B455" s="13"/>
      <c r="C455" s="13"/>
    </row>
    <row r="456" spans="1:3" ht="13" x14ac:dyDescent="0.15">
      <c r="A456" s="10"/>
      <c r="B456" s="13"/>
      <c r="C456" s="13"/>
    </row>
    <row r="457" spans="1:3" ht="13" x14ac:dyDescent="0.15">
      <c r="A457" s="10"/>
      <c r="B457" s="13"/>
      <c r="C457" s="13"/>
    </row>
    <row r="458" spans="1:3" ht="13" x14ac:dyDescent="0.15">
      <c r="A458" s="10"/>
      <c r="B458" s="13"/>
      <c r="C458" s="13"/>
    </row>
    <row r="459" spans="1:3" ht="13" x14ac:dyDescent="0.15">
      <c r="A459" s="10"/>
      <c r="B459" s="13"/>
      <c r="C459" s="13"/>
    </row>
    <row r="460" spans="1:3" ht="13" x14ac:dyDescent="0.15">
      <c r="A460" s="10"/>
      <c r="B460" s="13"/>
      <c r="C460" s="13"/>
    </row>
    <row r="461" spans="1:3" ht="13" x14ac:dyDescent="0.15">
      <c r="A461" s="10"/>
      <c r="B461" s="13"/>
      <c r="C461" s="13"/>
    </row>
    <row r="462" spans="1:3" ht="13" x14ac:dyDescent="0.15">
      <c r="A462" s="10"/>
      <c r="B462" s="13"/>
      <c r="C462" s="13"/>
    </row>
    <row r="463" spans="1:3" ht="13" x14ac:dyDescent="0.15">
      <c r="A463" s="10"/>
      <c r="B463" s="13"/>
      <c r="C463" s="13"/>
    </row>
    <row r="464" spans="1:3" ht="13" x14ac:dyDescent="0.15">
      <c r="A464" s="10"/>
      <c r="B464" s="13"/>
      <c r="C464" s="13"/>
    </row>
    <row r="465" spans="1:3" ht="13" x14ac:dyDescent="0.15">
      <c r="A465" s="10"/>
      <c r="B465" s="13"/>
      <c r="C465" s="13"/>
    </row>
    <row r="466" spans="1:3" ht="13" x14ac:dyDescent="0.15">
      <c r="A466" s="10"/>
      <c r="B466" s="13"/>
      <c r="C466" s="13"/>
    </row>
    <row r="467" spans="1:3" ht="13" x14ac:dyDescent="0.15">
      <c r="A467" s="10"/>
      <c r="B467" s="13"/>
      <c r="C467" s="13"/>
    </row>
    <row r="468" spans="1:3" ht="13" x14ac:dyDescent="0.15">
      <c r="A468" s="10"/>
      <c r="B468" s="13"/>
      <c r="C468" s="13"/>
    </row>
    <row r="469" spans="1:3" ht="13" x14ac:dyDescent="0.15">
      <c r="A469" s="10"/>
      <c r="B469" s="13"/>
      <c r="C469" s="13"/>
    </row>
    <row r="470" spans="1:3" ht="13" x14ac:dyDescent="0.15">
      <c r="A470" s="10"/>
      <c r="B470" s="13"/>
      <c r="C470" s="13"/>
    </row>
    <row r="471" spans="1:3" ht="13" x14ac:dyDescent="0.15">
      <c r="A471" s="10"/>
      <c r="B471" s="13"/>
      <c r="C471" s="13"/>
    </row>
    <row r="472" spans="1:3" ht="13" x14ac:dyDescent="0.15">
      <c r="A472" s="10"/>
      <c r="B472" s="13"/>
      <c r="C472" s="13"/>
    </row>
    <row r="473" spans="1:3" ht="13" x14ac:dyDescent="0.15">
      <c r="A473" s="10"/>
      <c r="B473" s="13"/>
      <c r="C473" s="13"/>
    </row>
    <row r="474" spans="1:3" ht="13" x14ac:dyDescent="0.15">
      <c r="A474" s="10"/>
      <c r="B474" s="13"/>
      <c r="C474" s="13"/>
    </row>
    <row r="475" spans="1:3" ht="13" x14ac:dyDescent="0.15">
      <c r="A475" s="10"/>
      <c r="B475" s="13"/>
      <c r="C475" s="13"/>
    </row>
    <row r="476" spans="1:3" ht="13" x14ac:dyDescent="0.15">
      <c r="A476" s="10"/>
      <c r="B476" s="13"/>
      <c r="C476" s="13"/>
    </row>
    <row r="477" spans="1:3" ht="13" x14ac:dyDescent="0.15">
      <c r="A477" s="10"/>
      <c r="B477" s="13"/>
      <c r="C477" s="13"/>
    </row>
    <row r="478" spans="1:3" ht="13" x14ac:dyDescent="0.15">
      <c r="A478" s="10"/>
      <c r="B478" s="13"/>
      <c r="C478" s="13"/>
    </row>
    <row r="479" spans="1:3" ht="13" x14ac:dyDescent="0.15">
      <c r="A479" s="10"/>
      <c r="B479" s="13"/>
      <c r="C479" s="13"/>
    </row>
    <row r="480" spans="1:3" ht="13" x14ac:dyDescent="0.15">
      <c r="A480" s="10"/>
      <c r="B480" s="13"/>
      <c r="C480" s="13"/>
    </row>
    <row r="481" spans="1:3" ht="13" x14ac:dyDescent="0.15">
      <c r="A481" s="10"/>
      <c r="B481" s="13"/>
      <c r="C481" s="13"/>
    </row>
    <row r="482" spans="1:3" ht="13" x14ac:dyDescent="0.15">
      <c r="A482" s="10"/>
      <c r="B482" s="13"/>
      <c r="C482" s="13"/>
    </row>
    <row r="483" spans="1:3" ht="13" x14ac:dyDescent="0.15">
      <c r="A483" s="10"/>
      <c r="B483" s="13"/>
      <c r="C483" s="13"/>
    </row>
    <row r="484" spans="1:3" ht="13" x14ac:dyDescent="0.15">
      <c r="A484" s="10"/>
      <c r="B484" s="13"/>
      <c r="C484" s="13"/>
    </row>
    <row r="485" spans="1:3" ht="13" x14ac:dyDescent="0.15">
      <c r="A485" s="10"/>
      <c r="B485" s="13"/>
      <c r="C485" s="13"/>
    </row>
    <row r="486" spans="1:3" ht="13" x14ac:dyDescent="0.15">
      <c r="A486" s="10"/>
      <c r="B486" s="13"/>
      <c r="C486" s="13"/>
    </row>
    <row r="487" spans="1:3" ht="13" x14ac:dyDescent="0.15">
      <c r="A487" s="10"/>
      <c r="B487" s="13"/>
      <c r="C487" s="13"/>
    </row>
    <row r="488" spans="1:3" ht="13" x14ac:dyDescent="0.15">
      <c r="A488" s="10"/>
      <c r="B488" s="13"/>
      <c r="C488" s="13"/>
    </row>
    <row r="489" spans="1:3" ht="13" x14ac:dyDescent="0.15">
      <c r="A489" s="10"/>
      <c r="B489" s="13"/>
      <c r="C489" s="13"/>
    </row>
    <row r="490" spans="1:3" ht="13" x14ac:dyDescent="0.15">
      <c r="A490" s="10"/>
      <c r="B490" s="13"/>
      <c r="C490" s="13"/>
    </row>
    <row r="491" spans="1:3" ht="13" x14ac:dyDescent="0.15">
      <c r="A491" s="10"/>
      <c r="B491" s="13"/>
      <c r="C491" s="13"/>
    </row>
    <row r="492" spans="1:3" ht="13" x14ac:dyDescent="0.15">
      <c r="A492" s="10"/>
      <c r="B492" s="13"/>
      <c r="C492" s="13"/>
    </row>
    <row r="493" spans="1:3" ht="13" x14ac:dyDescent="0.15">
      <c r="A493" s="10"/>
      <c r="B493" s="13"/>
      <c r="C493" s="13"/>
    </row>
    <row r="494" spans="1:3" ht="13" x14ac:dyDescent="0.15">
      <c r="A494" s="10"/>
      <c r="B494" s="13"/>
      <c r="C494" s="13"/>
    </row>
    <row r="495" spans="1:3" ht="13" x14ac:dyDescent="0.15">
      <c r="A495" s="10"/>
      <c r="B495" s="13"/>
      <c r="C495" s="13"/>
    </row>
    <row r="496" spans="1:3" ht="13" x14ac:dyDescent="0.15">
      <c r="A496" s="10"/>
      <c r="B496" s="13"/>
      <c r="C496" s="13"/>
    </row>
    <row r="497" spans="1:3" ht="13" x14ac:dyDescent="0.15">
      <c r="A497" s="10"/>
      <c r="B497" s="13"/>
      <c r="C497" s="13"/>
    </row>
    <row r="498" spans="1:3" ht="13" x14ac:dyDescent="0.15">
      <c r="A498" s="10"/>
      <c r="B498" s="13"/>
      <c r="C498" s="13"/>
    </row>
    <row r="499" spans="1:3" ht="13" x14ac:dyDescent="0.15">
      <c r="A499" s="10"/>
      <c r="B499" s="13"/>
      <c r="C499" s="13"/>
    </row>
    <row r="500" spans="1:3" ht="13" x14ac:dyDescent="0.15">
      <c r="A500" s="10"/>
      <c r="B500" s="13"/>
      <c r="C500" s="13"/>
    </row>
    <row r="501" spans="1:3" ht="13" x14ac:dyDescent="0.15">
      <c r="A501" s="10"/>
      <c r="B501" s="13"/>
      <c r="C501" s="13"/>
    </row>
    <row r="502" spans="1:3" ht="13" x14ac:dyDescent="0.15">
      <c r="A502" s="10"/>
      <c r="B502" s="13"/>
      <c r="C502" s="13"/>
    </row>
    <row r="503" spans="1:3" ht="13" x14ac:dyDescent="0.15">
      <c r="A503" s="10"/>
      <c r="B503" s="13"/>
      <c r="C503" s="13"/>
    </row>
    <row r="504" spans="1:3" ht="13" x14ac:dyDescent="0.15">
      <c r="A504" s="10"/>
      <c r="B504" s="13"/>
      <c r="C504" s="13"/>
    </row>
    <row r="505" spans="1:3" ht="13" x14ac:dyDescent="0.15">
      <c r="A505" s="10"/>
      <c r="B505" s="13"/>
      <c r="C505" s="13"/>
    </row>
    <row r="506" spans="1:3" ht="13" x14ac:dyDescent="0.15">
      <c r="A506" s="10"/>
      <c r="B506" s="13"/>
      <c r="C506" s="13"/>
    </row>
    <row r="507" spans="1:3" ht="13" x14ac:dyDescent="0.15">
      <c r="A507" s="10"/>
      <c r="B507" s="13"/>
      <c r="C507" s="13"/>
    </row>
    <row r="508" spans="1:3" ht="13" x14ac:dyDescent="0.15">
      <c r="A508" s="10"/>
      <c r="B508" s="13"/>
      <c r="C508" s="13"/>
    </row>
    <row r="509" spans="1:3" ht="13" x14ac:dyDescent="0.15">
      <c r="A509" s="10"/>
      <c r="B509" s="13"/>
      <c r="C509" s="13"/>
    </row>
    <row r="510" spans="1:3" ht="13" x14ac:dyDescent="0.15">
      <c r="A510" s="10"/>
      <c r="B510" s="13"/>
      <c r="C510" s="13"/>
    </row>
    <row r="511" spans="1:3" ht="13" x14ac:dyDescent="0.15">
      <c r="A511" s="10"/>
      <c r="B511" s="13"/>
      <c r="C511" s="13"/>
    </row>
    <row r="512" spans="1:3" ht="13" x14ac:dyDescent="0.15">
      <c r="A512" s="10"/>
      <c r="B512" s="13"/>
      <c r="C512" s="13"/>
    </row>
    <row r="513" spans="1:3" ht="13" x14ac:dyDescent="0.15">
      <c r="A513" s="10"/>
      <c r="B513" s="13"/>
      <c r="C513" s="13"/>
    </row>
    <row r="514" spans="1:3" ht="13" x14ac:dyDescent="0.15">
      <c r="A514" s="10"/>
      <c r="B514" s="13"/>
      <c r="C514" s="13"/>
    </row>
    <row r="515" spans="1:3" ht="13" x14ac:dyDescent="0.15">
      <c r="A515" s="10"/>
      <c r="B515" s="13"/>
      <c r="C515" s="13"/>
    </row>
    <row r="516" spans="1:3" ht="13" x14ac:dyDescent="0.15">
      <c r="A516" s="10"/>
      <c r="B516" s="13"/>
      <c r="C516" s="13"/>
    </row>
    <row r="517" spans="1:3" ht="13" x14ac:dyDescent="0.15">
      <c r="A517" s="10"/>
      <c r="B517" s="13"/>
      <c r="C517" s="13"/>
    </row>
    <row r="518" spans="1:3" ht="13" x14ac:dyDescent="0.15">
      <c r="A518" s="10"/>
      <c r="B518" s="13"/>
      <c r="C518" s="13"/>
    </row>
    <row r="519" spans="1:3" ht="13" x14ac:dyDescent="0.15">
      <c r="A519" s="10"/>
      <c r="B519" s="13"/>
      <c r="C519" s="13"/>
    </row>
    <row r="520" spans="1:3" ht="13" x14ac:dyDescent="0.15">
      <c r="A520" s="10"/>
      <c r="B520" s="13"/>
      <c r="C520" s="13"/>
    </row>
    <row r="521" spans="1:3" ht="13" x14ac:dyDescent="0.15">
      <c r="A521" s="10"/>
      <c r="B521" s="13"/>
      <c r="C521" s="13"/>
    </row>
    <row r="522" spans="1:3" ht="13" x14ac:dyDescent="0.15">
      <c r="A522" s="10"/>
      <c r="B522" s="13"/>
      <c r="C522" s="13"/>
    </row>
    <row r="523" spans="1:3" ht="13" x14ac:dyDescent="0.15">
      <c r="A523" s="10"/>
      <c r="B523" s="13"/>
      <c r="C523" s="13"/>
    </row>
    <row r="524" spans="1:3" ht="13" x14ac:dyDescent="0.15">
      <c r="A524" s="10"/>
      <c r="B524" s="13"/>
      <c r="C524" s="13"/>
    </row>
    <row r="525" spans="1:3" ht="13" x14ac:dyDescent="0.15">
      <c r="A525" s="10"/>
      <c r="B525" s="13"/>
      <c r="C525" s="13"/>
    </row>
    <row r="526" spans="1:3" ht="13" x14ac:dyDescent="0.15">
      <c r="A526" s="10"/>
      <c r="B526" s="13"/>
      <c r="C526" s="13"/>
    </row>
    <row r="527" spans="1:3" ht="13" x14ac:dyDescent="0.15">
      <c r="A527" s="10"/>
      <c r="B527" s="13"/>
      <c r="C527" s="13"/>
    </row>
    <row r="528" spans="1:3" ht="13" x14ac:dyDescent="0.15">
      <c r="A528" s="10"/>
      <c r="B528" s="13"/>
      <c r="C528" s="13"/>
    </row>
    <row r="529" spans="1:3" ht="13" x14ac:dyDescent="0.15">
      <c r="A529" s="10"/>
      <c r="B529" s="13"/>
      <c r="C529" s="13"/>
    </row>
    <row r="530" spans="1:3" ht="13" x14ac:dyDescent="0.15">
      <c r="A530" s="10"/>
      <c r="B530" s="13"/>
      <c r="C530" s="13"/>
    </row>
    <row r="531" spans="1:3" ht="13" x14ac:dyDescent="0.15">
      <c r="A531" s="10"/>
      <c r="B531" s="13"/>
      <c r="C531" s="13"/>
    </row>
    <row r="532" spans="1:3" ht="13" x14ac:dyDescent="0.15">
      <c r="A532" s="10"/>
      <c r="B532" s="13"/>
      <c r="C532" s="13"/>
    </row>
    <row r="533" spans="1:3" ht="13" x14ac:dyDescent="0.15">
      <c r="A533" s="10"/>
      <c r="B533" s="13"/>
      <c r="C533" s="13"/>
    </row>
    <row r="534" spans="1:3" ht="13" x14ac:dyDescent="0.15">
      <c r="A534" s="10"/>
      <c r="B534" s="13"/>
      <c r="C534" s="13"/>
    </row>
    <row r="535" spans="1:3" ht="13" x14ac:dyDescent="0.15">
      <c r="A535" s="10"/>
      <c r="B535" s="13"/>
      <c r="C535" s="13"/>
    </row>
    <row r="536" spans="1:3" ht="13" x14ac:dyDescent="0.15">
      <c r="A536" s="10"/>
      <c r="B536" s="13"/>
      <c r="C536" s="13"/>
    </row>
    <row r="537" spans="1:3" ht="13" x14ac:dyDescent="0.15">
      <c r="A537" s="10"/>
      <c r="B537" s="13"/>
      <c r="C537" s="13"/>
    </row>
    <row r="538" spans="1:3" ht="13" x14ac:dyDescent="0.15">
      <c r="A538" s="10"/>
      <c r="B538" s="13"/>
      <c r="C538" s="13"/>
    </row>
    <row r="539" spans="1:3" ht="13" x14ac:dyDescent="0.15">
      <c r="A539" s="10"/>
      <c r="B539" s="13"/>
      <c r="C539" s="13"/>
    </row>
    <row r="540" spans="1:3" ht="13" x14ac:dyDescent="0.15">
      <c r="A540" s="10"/>
      <c r="B540" s="13"/>
      <c r="C540" s="13"/>
    </row>
    <row r="541" spans="1:3" ht="13" x14ac:dyDescent="0.15">
      <c r="A541" s="10"/>
      <c r="B541" s="13"/>
      <c r="C541" s="13"/>
    </row>
    <row r="542" spans="1:3" ht="13" x14ac:dyDescent="0.15">
      <c r="A542" s="10"/>
      <c r="B542" s="13"/>
      <c r="C542" s="13"/>
    </row>
    <row r="543" spans="1:3" ht="13" x14ac:dyDescent="0.15">
      <c r="A543" s="10"/>
      <c r="B543" s="13"/>
      <c r="C543" s="13"/>
    </row>
    <row r="544" spans="1:3" ht="13" x14ac:dyDescent="0.15">
      <c r="A544" s="10"/>
      <c r="B544" s="13"/>
      <c r="C544" s="13"/>
    </row>
    <row r="545" spans="1:3" ht="13" x14ac:dyDescent="0.15">
      <c r="A545" s="10"/>
      <c r="B545" s="13"/>
      <c r="C545" s="13"/>
    </row>
    <row r="546" spans="1:3" ht="13" x14ac:dyDescent="0.15">
      <c r="A546" s="10"/>
      <c r="B546" s="13"/>
      <c r="C546" s="13"/>
    </row>
    <row r="547" spans="1:3" ht="13" x14ac:dyDescent="0.15">
      <c r="A547" s="10"/>
      <c r="B547" s="13"/>
      <c r="C547" s="13"/>
    </row>
    <row r="548" spans="1:3" ht="13" x14ac:dyDescent="0.15">
      <c r="A548" s="10"/>
      <c r="B548" s="13"/>
      <c r="C548" s="13"/>
    </row>
    <row r="549" spans="1:3" ht="13" x14ac:dyDescent="0.15">
      <c r="A549" s="10"/>
      <c r="B549" s="13"/>
      <c r="C549" s="13"/>
    </row>
    <row r="550" spans="1:3" ht="13" x14ac:dyDescent="0.15">
      <c r="A550" s="10"/>
      <c r="B550" s="13"/>
      <c r="C550" s="13"/>
    </row>
    <row r="551" spans="1:3" ht="13" x14ac:dyDescent="0.15">
      <c r="A551" s="10"/>
      <c r="B551" s="13"/>
      <c r="C551" s="13"/>
    </row>
    <row r="552" spans="1:3" ht="13" x14ac:dyDescent="0.15">
      <c r="A552" s="10"/>
      <c r="B552" s="13"/>
      <c r="C552" s="13"/>
    </row>
    <row r="553" spans="1:3" ht="13" x14ac:dyDescent="0.15">
      <c r="A553" s="10"/>
      <c r="B553" s="13"/>
      <c r="C553" s="13"/>
    </row>
    <row r="554" spans="1:3" ht="13" x14ac:dyDescent="0.15">
      <c r="A554" s="10"/>
      <c r="B554" s="13"/>
      <c r="C554" s="13"/>
    </row>
    <row r="555" spans="1:3" ht="13" x14ac:dyDescent="0.15">
      <c r="A555" s="10"/>
      <c r="B555" s="13"/>
      <c r="C555" s="13"/>
    </row>
    <row r="556" spans="1:3" ht="13" x14ac:dyDescent="0.15">
      <c r="A556" s="10"/>
      <c r="B556" s="13"/>
      <c r="C556" s="13"/>
    </row>
    <row r="557" spans="1:3" ht="13" x14ac:dyDescent="0.15">
      <c r="A557" s="10"/>
      <c r="B557" s="13"/>
      <c r="C557" s="13"/>
    </row>
    <row r="558" spans="1:3" ht="13" x14ac:dyDescent="0.15">
      <c r="A558" s="10"/>
      <c r="B558" s="13"/>
      <c r="C558" s="13"/>
    </row>
    <row r="559" spans="1:3" ht="13" x14ac:dyDescent="0.15">
      <c r="A559" s="10"/>
      <c r="B559" s="13"/>
      <c r="C559" s="13"/>
    </row>
    <row r="560" spans="1:3" ht="13" x14ac:dyDescent="0.15">
      <c r="A560" s="10"/>
      <c r="B560" s="13"/>
      <c r="C560" s="13"/>
    </row>
    <row r="561" spans="1:3" ht="13" x14ac:dyDescent="0.15">
      <c r="A561" s="10"/>
      <c r="B561" s="13"/>
      <c r="C561" s="13"/>
    </row>
    <row r="562" spans="1:3" ht="13" x14ac:dyDescent="0.15">
      <c r="A562" s="10"/>
      <c r="B562" s="13"/>
      <c r="C562" s="13"/>
    </row>
    <row r="563" spans="1:3" ht="13" x14ac:dyDescent="0.15">
      <c r="A563" s="10"/>
      <c r="B563" s="13"/>
      <c r="C563" s="13"/>
    </row>
    <row r="564" spans="1:3" ht="13" x14ac:dyDescent="0.15">
      <c r="A564" s="10"/>
      <c r="B564" s="13"/>
      <c r="C564" s="13"/>
    </row>
    <row r="565" spans="1:3" ht="13" x14ac:dyDescent="0.15">
      <c r="A565" s="10"/>
      <c r="B565" s="13"/>
      <c r="C565" s="13"/>
    </row>
    <row r="566" spans="1:3" ht="13" x14ac:dyDescent="0.15">
      <c r="A566" s="10"/>
      <c r="B566" s="13"/>
      <c r="C566" s="13"/>
    </row>
    <row r="567" spans="1:3" ht="13" x14ac:dyDescent="0.15">
      <c r="A567" s="10"/>
      <c r="B567" s="13"/>
      <c r="C567" s="13"/>
    </row>
    <row r="568" spans="1:3" ht="13" x14ac:dyDescent="0.15">
      <c r="A568" s="10"/>
      <c r="B568" s="13"/>
      <c r="C568" s="13"/>
    </row>
    <row r="569" spans="1:3" ht="13" x14ac:dyDescent="0.15">
      <c r="A569" s="10"/>
      <c r="B569" s="13"/>
      <c r="C569" s="13"/>
    </row>
    <row r="570" spans="1:3" ht="13" x14ac:dyDescent="0.15">
      <c r="A570" s="10"/>
      <c r="B570" s="13"/>
      <c r="C570" s="13"/>
    </row>
    <row r="571" spans="1:3" ht="13" x14ac:dyDescent="0.15">
      <c r="A571" s="10"/>
      <c r="B571" s="13"/>
      <c r="C571" s="13"/>
    </row>
    <row r="572" spans="1:3" ht="13" x14ac:dyDescent="0.15">
      <c r="A572" s="10"/>
      <c r="B572" s="13"/>
      <c r="C572" s="13"/>
    </row>
    <row r="573" spans="1:3" ht="13" x14ac:dyDescent="0.15">
      <c r="A573" s="10"/>
      <c r="B573" s="13"/>
      <c r="C573" s="13"/>
    </row>
    <row r="574" spans="1:3" ht="13" x14ac:dyDescent="0.15">
      <c r="A574" s="10"/>
      <c r="B574" s="13"/>
      <c r="C574" s="13"/>
    </row>
    <row r="575" spans="1:3" ht="13" x14ac:dyDescent="0.15">
      <c r="A575" s="10"/>
      <c r="B575" s="13"/>
      <c r="C575" s="13"/>
    </row>
    <row r="576" spans="1:3" ht="13" x14ac:dyDescent="0.15">
      <c r="A576" s="10"/>
      <c r="B576" s="13"/>
      <c r="C576" s="13"/>
    </row>
    <row r="577" spans="1:3" ht="13" x14ac:dyDescent="0.15">
      <c r="A577" s="10"/>
      <c r="B577" s="13"/>
      <c r="C577" s="13"/>
    </row>
    <row r="578" spans="1:3" ht="13" x14ac:dyDescent="0.15">
      <c r="A578" s="10"/>
      <c r="B578" s="13"/>
      <c r="C578" s="13"/>
    </row>
    <row r="579" spans="1:3" ht="13" x14ac:dyDescent="0.15">
      <c r="A579" s="10"/>
      <c r="B579" s="13"/>
      <c r="C579" s="13"/>
    </row>
    <row r="580" spans="1:3" ht="13" x14ac:dyDescent="0.15">
      <c r="A580" s="10"/>
      <c r="B580" s="13"/>
      <c r="C580" s="13"/>
    </row>
    <row r="581" spans="1:3" ht="13" x14ac:dyDescent="0.15">
      <c r="A581" s="10"/>
      <c r="B581" s="13"/>
      <c r="C581" s="13"/>
    </row>
    <row r="582" spans="1:3" ht="13" x14ac:dyDescent="0.15">
      <c r="A582" s="10"/>
      <c r="B582" s="13"/>
      <c r="C582" s="13"/>
    </row>
    <row r="583" spans="1:3" ht="13" x14ac:dyDescent="0.15">
      <c r="A583" s="10"/>
      <c r="B583" s="13"/>
      <c r="C583" s="13"/>
    </row>
    <row r="584" spans="1:3" ht="13" x14ac:dyDescent="0.15">
      <c r="A584" s="10"/>
      <c r="B584" s="13"/>
      <c r="C584" s="13"/>
    </row>
    <row r="585" spans="1:3" ht="13" x14ac:dyDescent="0.15">
      <c r="A585" s="10"/>
      <c r="B585" s="13"/>
      <c r="C585" s="13"/>
    </row>
    <row r="586" spans="1:3" ht="13" x14ac:dyDescent="0.15">
      <c r="A586" s="10"/>
      <c r="B586" s="13"/>
      <c r="C586" s="13"/>
    </row>
    <row r="587" spans="1:3" ht="13" x14ac:dyDescent="0.15">
      <c r="A587" s="10"/>
      <c r="B587" s="13"/>
      <c r="C587" s="13"/>
    </row>
    <row r="588" spans="1:3" ht="13" x14ac:dyDescent="0.15">
      <c r="A588" s="10"/>
      <c r="B588" s="13"/>
      <c r="C588" s="13"/>
    </row>
    <row r="589" spans="1:3" ht="13" x14ac:dyDescent="0.15">
      <c r="A589" s="10"/>
      <c r="B589" s="13"/>
      <c r="C589" s="13"/>
    </row>
    <row r="590" spans="1:3" ht="13" x14ac:dyDescent="0.15">
      <c r="A590" s="10"/>
      <c r="B590" s="13"/>
      <c r="C590" s="13"/>
    </row>
    <row r="591" spans="1:3" ht="13" x14ac:dyDescent="0.15">
      <c r="A591" s="10"/>
      <c r="B591" s="13"/>
      <c r="C591" s="13"/>
    </row>
    <row r="592" spans="1:3" ht="13" x14ac:dyDescent="0.15">
      <c r="A592" s="10"/>
      <c r="B592" s="13"/>
      <c r="C592" s="13"/>
    </row>
    <row r="593" spans="1:3" ht="13" x14ac:dyDescent="0.15">
      <c r="A593" s="10"/>
      <c r="B593" s="13"/>
      <c r="C593" s="13"/>
    </row>
    <row r="594" spans="1:3" ht="13" x14ac:dyDescent="0.15">
      <c r="A594" s="10"/>
      <c r="B594" s="13"/>
      <c r="C594" s="13"/>
    </row>
    <row r="595" spans="1:3" ht="13" x14ac:dyDescent="0.15">
      <c r="A595" s="10"/>
      <c r="B595" s="13"/>
      <c r="C595" s="13"/>
    </row>
    <row r="596" spans="1:3" ht="13" x14ac:dyDescent="0.15">
      <c r="A596" s="10"/>
      <c r="B596" s="13"/>
      <c r="C596" s="13"/>
    </row>
    <row r="597" spans="1:3" ht="13" x14ac:dyDescent="0.15">
      <c r="A597" s="10"/>
      <c r="B597" s="13"/>
      <c r="C597" s="13"/>
    </row>
    <row r="598" spans="1:3" ht="13" x14ac:dyDescent="0.15">
      <c r="A598" s="10"/>
      <c r="B598" s="13"/>
      <c r="C598" s="13"/>
    </row>
    <row r="599" spans="1:3" ht="13" x14ac:dyDescent="0.15">
      <c r="A599" s="10"/>
      <c r="B599" s="13"/>
      <c r="C599" s="13"/>
    </row>
    <row r="600" spans="1:3" ht="13" x14ac:dyDescent="0.15">
      <c r="A600" s="10"/>
      <c r="B600" s="13"/>
      <c r="C600" s="13"/>
    </row>
    <row r="601" spans="1:3" ht="13" x14ac:dyDescent="0.15">
      <c r="A601" s="10"/>
      <c r="B601" s="13"/>
      <c r="C601" s="13"/>
    </row>
    <row r="602" spans="1:3" ht="13" x14ac:dyDescent="0.15">
      <c r="A602" s="10"/>
      <c r="B602" s="13"/>
      <c r="C602" s="13"/>
    </row>
    <row r="603" spans="1:3" ht="13" x14ac:dyDescent="0.15">
      <c r="A603" s="10"/>
      <c r="B603" s="13"/>
      <c r="C603" s="13"/>
    </row>
    <row r="604" spans="1:3" ht="13" x14ac:dyDescent="0.15">
      <c r="A604" s="10"/>
      <c r="B604" s="13"/>
      <c r="C604" s="13"/>
    </row>
    <row r="605" spans="1:3" ht="13" x14ac:dyDescent="0.15">
      <c r="A605" s="10"/>
      <c r="B605" s="13"/>
      <c r="C605" s="13"/>
    </row>
    <row r="606" spans="1:3" ht="13" x14ac:dyDescent="0.15">
      <c r="A606" s="10"/>
      <c r="B606" s="13"/>
      <c r="C606" s="13"/>
    </row>
    <row r="607" spans="1:3" ht="13" x14ac:dyDescent="0.15">
      <c r="A607" s="10"/>
      <c r="B607" s="13"/>
      <c r="C607" s="13"/>
    </row>
    <row r="608" spans="1:3" ht="13" x14ac:dyDescent="0.15">
      <c r="A608" s="10"/>
      <c r="B608" s="13"/>
      <c r="C608" s="13"/>
    </row>
    <row r="609" spans="1:3" ht="13" x14ac:dyDescent="0.15">
      <c r="A609" s="10"/>
      <c r="B609" s="13"/>
      <c r="C609" s="13"/>
    </row>
    <row r="610" spans="1:3" ht="13" x14ac:dyDescent="0.15">
      <c r="A610" s="10"/>
      <c r="B610" s="13"/>
      <c r="C610" s="13"/>
    </row>
    <row r="611" spans="1:3" ht="13" x14ac:dyDescent="0.15">
      <c r="A611" s="10"/>
      <c r="B611" s="13"/>
      <c r="C611" s="13"/>
    </row>
    <row r="612" spans="1:3" ht="13" x14ac:dyDescent="0.15">
      <c r="A612" s="10"/>
      <c r="B612" s="13"/>
      <c r="C612" s="13"/>
    </row>
    <row r="613" spans="1:3" ht="13" x14ac:dyDescent="0.15">
      <c r="A613" s="10"/>
      <c r="B613" s="13"/>
      <c r="C613" s="13"/>
    </row>
    <row r="614" spans="1:3" ht="13" x14ac:dyDescent="0.15">
      <c r="A614" s="10"/>
      <c r="B614" s="13"/>
      <c r="C614" s="13"/>
    </row>
    <row r="615" spans="1:3" ht="13" x14ac:dyDescent="0.15">
      <c r="A615" s="10"/>
      <c r="B615" s="13"/>
      <c r="C615" s="13"/>
    </row>
    <row r="616" spans="1:3" ht="13" x14ac:dyDescent="0.15">
      <c r="A616" s="10"/>
      <c r="B616" s="13"/>
      <c r="C616" s="13"/>
    </row>
    <row r="617" spans="1:3" ht="13" x14ac:dyDescent="0.15">
      <c r="A617" s="10"/>
      <c r="B617" s="13"/>
      <c r="C617" s="13"/>
    </row>
    <row r="618" spans="1:3" ht="13" x14ac:dyDescent="0.15">
      <c r="A618" s="10"/>
      <c r="B618" s="13"/>
      <c r="C618" s="13"/>
    </row>
    <row r="619" spans="1:3" ht="13" x14ac:dyDescent="0.15">
      <c r="A619" s="10"/>
      <c r="B619" s="13"/>
      <c r="C619" s="13"/>
    </row>
    <row r="620" spans="1:3" ht="13" x14ac:dyDescent="0.15">
      <c r="A620" s="10"/>
      <c r="B620" s="13"/>
      <c r="C620" s="13"/>
    </row>
    <row r="621" spans="1:3" ht="13" x14ac:dyDescent="0.15">
      <c r="A621" s="10"/>
      <c r="B621" s="13"/>
      <c r="C621" s="13"/>
    </row>
    <row r="622" spans="1:3" ht="13" x14ac:dyDescent="0.15">
      <c r="A622" s="10"/>
      <c r="B622" s="13"/>
      <c r="C622" s="13"/>
    </row>
    <row r="623" spans="1:3" ht="13" x14ac:dyDescent="0.15">
      <c r="A623" s="10"/>
      <c r="B623" s="13"/>
      <c r="C623" s="13"/>
    </row>
    <row r="624" spans="1:3" ht="13" x14ac:dyDescent="0.15">
      <c r="A624" s="10"/>
      <c r="B624" s="13"/>
      <c r="C624" s="13"/>
    </row>
    <row r="625" spans="1:3" ht="13" x14ac:dyDescent="0.15">
      <c r="A625" s="10"/>
      <c r="B625" s="13"/>
      <c r="C625" s="13"/>
    </row>
    <row r="626" spans="1:3" ht="13" x14ac:dyDescent="0.15">
      <c r="A626" s="10"/>
      <c r="B626" s="13"/>
      <c r="C626" s="13"/>
    </row>
    <row r="627" spans="1:3" ht="13" x14ac:dyDescent="0.15">
      <c r="A627" s="10"/>
      <c r="B627" s="13"/>
      <c r="C627" s="13"/>
    </row>
    <row r="628" spans="1:3" ht="13" x14ac:dyDescent="0.15">
      <c r="A628" s="10"/>
      <c r="B628" s="13"/>
      <c r="C628" s="13"/>
    </row>
    <row r="629" spans="1:3" ht="13" x14ac:dyDescent="0.15">
      <c r="A629" s="10"/>
      <c r="B629" s="13"/>
      <c r="C629" s="13"/>
    </row>
    <row r="630" spans="1:3" ht="13" x14ac:dyDescent="0.15">
      <c r="A630" s="10"/>
      <c r="B630" s="13"/>
      <c r="C630" s="13"/>
    </row>
    <row r="631" spans="1:3" ht="13" x14ac:dyDescent="0.15">
      <c r="A631" s="10"/>
      <c r="B631" s="13"/>
      <c r="C631" s="13"/>
    </row>
    <row r="632" spans="1:3" ht="13" x14ac:dyDescent="0.15">
      <c r="A632" s="10"/>
      <c r="B632" s="13"/>
      <c r="C632" s="13"/>
    </row>
    <row r="633" spans="1:3" ht="13" x14ac:dyDescent="0.15">
      <c r="A633" s="10"/>
      <c r="B633" s="13"/>
      <c r="C633" s="13"/>
    </row>
    <row r="634" spans="1:3" ht="13" x14ac:dyDescent="0.15">
      <c r="A634" s="10"/>
      <c r="B634" s="13"/>
      <c r="C634" s="13"/>
    </row>
    <row r="635" spans="1:3" ht="13" x14ac:dyDescent="0.15">
      <c r="A635" s="10"/>
      <c r="B635" s="13"/>
      <c r="C635" s="13"/>
    </row>
    <row r="636" spans="1:3" ht="13" x14ac:dyDescent="0.15">
      <c r="A636" s="10"/>
      <c r="B636" s="13"/>
      <c r="C636" s="13"/>
    </row>
    <row r="637" spans="1:3" ht="13" x14ac:dyDescent="0.15">
      <c r="A637" s="10"/>
      <c r="B637" s="13"/>
      <c r="C637" s="13"/>
    </row>
    <row r="638" spans="1:3" ht="13" x14ac:dyDescent="0.15">
      <c r="A638" s="10"/>
      <c r="B638" s="13"/>
      <c r="C638" s="13"/>
    </row>
    <row r="639" spans="1:3" ht="13" x14ac:dyDescent="0.15">
      <c r="A639" s="10"/>
      <c r="B639" s="13"/>
      <c r="C639" s="13"/>
    </row>
    <row r="640" spans="1:3" ht="13" x14ac:dyDescent="0.15">
      <c r="A640" s="10"/>
      <c r="B640" s="13"/>
      <c r="C640" s="13"/>
    </row>
    <row r="641" spans="1:3" ht="13" x14ac:dyDescent="0.15">
      <c r="A641" s="10"/>
      <c r="B641" s="13"/>
      <c r="C641" s="13"/>
    </row>
    <row r="642" spans="1:3" ht="13" x14ac:dyDescent="0.15">
      <c r="A642" s="10"/>
      <c r="B642" s="13"/>
      <c r="C642" s="13"/>
    </row>
    <row r="643" spans="1:3" ht="13" x14ac:dyDescent="0.15">
      <c r="A643" s="10"/>
      <c r="B643" s="13"/>
      <c r="C643" s="13"/>
    </row>
    <row r="644" spans="1:3" ht="13" x14ac:dyDescent="0.15">
      <c r="A644" s="10"/>
      <c r="B644" s="13"/>
      <c r="C644" s="13"/>
    </row>
    <row r="645" spans="1:3" ht="13" x14ac:dyDescent="0.15">
      <c r="A645" s="10"/>
      <c r="B645" s="13"/>
      <c r="C645" s="13"/>
    </row>
    <row r="646" spans="1:3" ht="13" x14ac:dyDescent="0.15">
      <c r="A646" s="10"/>
      <c r="B646" s="13"/>
      <c r="C646" s="13"/>
    </row>
    <row r="647" spans="1:3" ht="13" x14ac:dyDescent="0.15">
      <c r="A647" s="10"/>
      <c r="B647" s="13"/>
      <c r="C647" s="13"/>
    </row>
    <row r="648" spans="1:3" ht="13" x14ac:dyDescent="0.15">
      <c r="A648" s="10"/>
      <c r="B648" s="13"/>
      <c r="C648" s="13"/>
    </row>
    <row r="649" spans="1:3" ht="13" x14ac:dyDescent="0.15">
      <c r="A649" s="10"/>
      <c r="B649" s="13"/>
      <c r="C649" s="13"/>
    </row>
    <row r="650" spans="1:3" ht="13" x14ac:dyDescent="0.15">
      <c r="A650" s="10"/>
      <c r="B650" s="13"/>
      <c r="C650" s="13"/>
    </row>
    <row r="651" spans="1:3" ht="13" x14ac:dyDescent="0.15">
      <c r="A651" s="10"/>
      <c r="B651" s="13"/>
      <c r="C651" s="13"/>
    </row>
    <row r="652" spans="1:3" ht="13" x14ac:dyDescent="0.15">
      <c r="A652" s="10"/>
      <c r="B652" s="13"/>
      <c r="C652" s="13"/>
    </row>
    <row r="653" spans="1:3" ht="13" x14ac:dyDescent="0.15">
      <c r="A653" s="10"/>
      <c r="B653" s="13"/>
      <c r="C653" s="13"/>
    </row>
    <row r="654" spans="1:3" ht="13" x14ac:dyDescent="0.15">
      <c r="A654" s="10"/>
      <c r="B654" s="13"/>
      <c r="C654" s="13"/>
    </row>
    <row r="655" spans="1:3" ht="13" x14ac:dyDescent="0.15">
      <c r="A655" s="10"/>
      <c r="B655" s="13"/>
      <c r="C655" s="13"/>
    </row>
    <row r="656" spans="1:3" ht="13" x14ac:dyDescent="0.15">
      <c r="A656" s="10"/>
      <c r="B656" s="13"/>
      <c r="C656" s="13"/>
    </row>
    <row r="657" spans="1:3" ht="13" x14ac:dyDescent="0.15">
      <c r="A657" s="10"/>
      <c r="B657" s="13"/>
      <c r="C657" s="13"/>
    </row>
    <row r="658" spans="1:3" ht="13" x14ac:dyDescent="0.15">
      <c r="A658" s="10"/>
      <c r="B658" s="13"/>
      <c r="C658" s="13"/>
    </row>
    <row r="659" spans="1:3" ht="13" x14ac:dyDescent="0.15">
      <c r="A659" s="10"/>
      <c r="B659" s="13"/>
      <c r="C659" s="13"/>
    </row>
    <row r="660" spans="1:3" ht="13" x14ac:dyDescent="0.15">
      <c r="A660" s="10"/>
      <c r="B660" s="13"/>
      <c r="C660" s="13"/>
    </row>
    <row r="661" spans="1:3" ht="13" x14ac:dyDescent="0.15">
      <c r="A661" s="10"/>
      <c r="B661" s="13"/>
      <c r="C661" s="13"/>
    </row>
    <row r="662" spans="1:3" ht="13" x14ac:dyDescent="0.15">
      <c r="A662" s="10"/>
      <c r="B662" s="13"/>
      <c r="C662" s="13"/>
    </row>
    <row r="663" spans="1:3" ht="13" x14ac:dyDescent="0.15">
      <c r="A663" s="10"/>
      <c r="B663" s="13"/>
      <c r="C663" s="13"/>
    </row>
    <row r="664" spans="1:3" ht="13" x14ac:dyDescent="0.15">
      <c r="A664" s="10"/>
      <c r="B664" s="13"/>
      <c r="C664" s="13"/>
    </row>
    <row r="665" spans="1:3" ht="13" x14ac:dyDescent="0.15">
      <c r="A665" s="10"/>
      <c r="B665" s="13"/>
      <c r="C665" s="13"/>
    </row>
    <row r="666" spans="1:3" ht="13" x14ac:dyDescent="0.15">
      <c r="A666" s="10"/>
      <c r="B666" s="13"/>
      <c r="C666" s="13"/>
    </row>
    <row r="667" spans="1:3" ht="13" x14ac:dyDescent="0.15">
      <c r="A667" s="10"/>
      <c r="B667" s="13"/>
      <c r="C667" s="13"/>
    </row>
    <row r="668" spans="1:3" ht="13" x14ac:dyDescent="0.15">
      <c r="A668" s="10"/>
      <c r="B668" s="13"/>
      <c r="C668" s="13"/>
    </row>
    <row r="669" spans="1:3" ht="13" x14ac:dyDescent="0.15">
      <c r="A669" s="10"/>
      <c r="B669" s="13"/>
      <c r="C669" s="13"/>
    </row>
    <row r="670" spans="1:3" ht="13" x14ac:dyDescent="0.15">
      <c r="A670" s="10"/>
      <c r="B670" s="13"/>
      <c r="C670" s="13"/>
    </row>
    <row r="671" spans="1:3" ht="13" x14ac:dyDescent="0.15">
      <c r="A671" s="10"/>
      <c r="B671" s="13"/>
      <c r="C671" s="13"/>
    </row>
    <row r="672" spans="1:3" ht="13" x14ac:dyDescent="0.15">
      <c r="A672" s="10"/>
      <c r="B672" s="13"/>
      <c r="C672" s="13"/>
    </row>
    <row r="673" spans="1:3" ht="13" x14ac:dyDescent="0.15">
      <c r="A673" s="10"/>
      <c r="B673" s="13"/>
      <c r="C673" s="13"/>
    </row>
    <row r="674" spans="1:3" ht="13" x14ac:dyDescent="0.15">
      <c r="A674" s="10"/>
      <c r="B674" s="13"/>
      <c r="C674" s="13"/>
    </row>
    <row r="675" spans="1:3" ht="13" x14ac:dyDescent="0.15">
      <c r="A675" s="10"/>
      <c r="B675" s="13"/>
      <c r="C675" s="13"/>
    </row>
    <row r="676" spans="1:3" ht="13" x14ac:dyDescent="0.15">
      <c r="A676" s="10"/>
      <c r="B676" s="13"/>
      <c r="C676" s="13"/>
    </row>
    <row r="677" spans="1:3" ht="13" x14ac:dyDescent="0.15">
      <c r="A677" s="10"/>
      <c r="B677" s="13"/>
      <c r="C677" s="13"/>
    </row>
    <row r="678" spans="1:3" ht="13" x14ac:dyDescent="0.15">
      <c r="A678" s="10"/>
      <c r="B678" s="13"/>
      <c r="C678" s="13"/>
    </row>
    <row r="679" spans="1:3" ht="13" x14ac:dyDescent="0.15">
      <c r="A679" s="10"/>
      <c r="B679" s="13"/>
      <c r="C679" s="13"/>
    </row>
    <row r="680" spans="1:3" ht="13" x14ac:dyDescent="0.15">
      <c r="A680" s="10"/>
      <c r="B680" s="13"/>
      <c r="C680" s="13"/>
    </row>
    <row r="681" spans="1:3" ht="13" x14ac:dyDescent="0.15">
      <c r="A681" s="10"/>
      <c r="B681" s="13"/>
      <c r="C681" s="13"/>
    </row>
    <row r="682" spans="1:3" ht="13" x14ac:dyDescent="0.15">
      <c r="A682" s="10"/>
      <c r="B682" s="13"/>
      <c r="C682" s="13"/>
    </row>
    <row r="683" spans="1:3" ht="13" x14ac:dyDescent="0.15">
      <c r="A683" s="10"/>
      <c r="B683" s="13"/>
      <c r="C683" s="13"/>
    </row>
    <row r="684" spans="1:3" ht="13" x14ac:dyDescent="0.15">
      <c r="A684" s="10"/>
      <c r="B684" s="13"/>
      <c r="C684" s="13"/>
    </row>
    <row r="685" spans="1:3" ht="13" x14ac:dyDescent="0.15">
      <c r="A685" s="10"/>
      <c r="B685" s="13"/>
      <c r="C685" s="13"/>
    </row>
    <row r="686" spans="1:3" ht="13" x14ac:dyDescent="0.15">
      <c r="A686" s="10"/>
      <c r="B686" s="13"/>
      <c r="C686" s="13"/>
    </row>
    <row r="687" spans="1:3" ht="13" x14ac:dyDescent="0.15">
      <c r="A687" s="10"/>
      <c r="B687" s="13"/>
      <c r="C687" s="13"/>
    </row>
    <row r="688" spans="1:3" ht="13" x14ac:dyDescent="0.15">
      <c r="A688" s="10"/>
      <c r="B688" s="13"/>
      <c r="C688" s="13"/>
    </row>
    <row r="689" spans="1:3" ht="13" x14ac:dyDescent="0.15">
      <c r="A689" s="10"/>
      <c r="B689" s="13"/>
      <c r="C689" s="13"/>
    </row>
    <row r="690" spans="1:3" ht="13" x14ac:dyDescent="0.15">
      <c r="A690" s="10"/>
      <c r="B690" s="13"/>
      <c r="C690" s="13"/>
    </row>
    <row r="691" spans="1:3" ht="13" x14ac:dyDescent="0.15">
      <c r="A691" s="10"/>
      <c r="B691" s="13"/>
      <c r="C691" s="13"/>
    </row>
    <row r="692" spans="1:3" ht="13" x14ac:dyDescent="0.15">
      <c r="A692" s="10"/>
      <c r="B692" s="13"/>
      <c r="C692" s="13"/>
    </row>
    <row r="693" spans="1:3" ht="13" x14ac:dyDescent="0.15">
      <c r="A693" s="10"/>
      <c r="B693" s="13"/>
      <c r="C693" s="13"/>
    </row>
    <row r="694" spans="1:3" ht="13" x14ac:dyDescent="0.15">
      <c r="A694" s="10"/>
      <c r="B694" s="13"/>
      <c r="C694" s="13"/>
    </row>
    <row r="695" spans="1:3" ht="13" x14ac:dyDescent="0.15">
      <c r="A695" s="10"/>
      <c r="B695" s="13"/>
      <c r="C695" s="13"/>
    </row>
    <row r="696" spans="1:3" ht="13" x14ac:dyDescent="0.15">
      <c r="A696" s="10"/>
      <c r="B696" s="13"/>
      <c r="C696" s="13"/>
    </row>
    <row r="697" spans="1:3" ht="13" x14ac:dyDescent="0.15">
      <c r="A697" s="10"/>
      <c r="B697" s="13"/>
      <c r="C697" s="13"/>
    </row>
    <row r="698" spans="1:3" ht="13" x14ac:dyDescent="0.15">
      <c r="A698" s="10"/>
      <c r="B698" s="13"/>
      <c r="C698" s="13"/>
    </row>
    <row r="699" spans="1:3" ht="13" x14ac:dyDescent="0.15">
      <c r="A699" s="10"/>
      <c r="B699" s="13"/>
      <c r="C699" s="13"/>
    </row>
    <row r="700" spans="1:3" ht="13" x14ac:dyDescent="0.15">
      <c r="A700" s="10"/>
      <c r="B700" s="13"/>
      <c r="C700" s="13"/>
    </row>
    <row r="701" spans="1:3" ht="13" x14ac:dyDescent="0.15">
      <c r="A701" s="10"/>
      <c r="B701" s="13"/>
      <c r="C701" s="13"/>
    </row>
    <row r="702" spans="1:3" ht="13" x14ac:dyDescent="0.15">
      <c r="A702" s="10"/>
      <c r="B702" s="13"/>
      <c r="C702" s="13"/>
    </row>
    <row r="703" spans="1:3" ht="13" x14ac:dyDescent="0.15">
      <c r="A703" s="10"/>
      <c r="B703" s="13"/>
      <c r="C703" s="13"/>
    </row>
    <row r="704" spans="1:3" ht="13" x14ac:dyDescent="0.15">
      <c r="A704" s="10"/>
      <c r="B704" s="13"/>
      <c r="C704" s="13"/>
    </row>
    <row r="705" spans="1:3" ht="13" x14ac:dyDescent="0.15">
      <c r="A705" s="10"/>
      <c r="B705" s="13"/>
      <c r="C705" s="13"/>
    </row>
    <row r="706" spans="1:3" ht="13" x14ac:dyDescent="0.15">
      <c r="A706" s="10"/>
      <c r="B706" s="13"/>
      <c r="C706" s="13"/>
    </row>
    <row r="707" spans="1:3" ht="13" x14ac:dyDescent="0.15">
      <c r="A707" s="10"/>
      <c r="B707" s="13"/>
      <c r="C707" s="13"/>
    </row>
    <row r="708" spans="1:3" ht="13" x14ac:dyDescent="0.15">
      <c r="A708" s="10"/>
      <c r="B708" s="13"/>
      <c r="C708" s="13"/>
    </row>
    <row r="709" spans="1:3" ht="13" x14ac:dyDescent="0.15">
      <c r="A709" s="10"/>
      <c r="B709" s="13"/>
      <c r="C709" s="13"/>
    </row>
    <row r="710" spans="1:3" ht="13" x14ac:dyDescent="0.15">
      <c r="A710" s="10"/>
      <c r="B710" s="13"/>
      <c r="C710" s="13"/>
    </row>
    <row r="711" spans="1:3" ht="13" x14ac:dyDescent="0.15">
      <c r="A711" s="10"/>
      <c r="B711" s="13"/>
      <c r="C711" s="13"/>
    </row>
    <row r="712" spans="1:3" ht="13" x14ac:dyDescent="0.15">
      <c r="A712" s="10"/>
      <c r="B712" s="13"/>
      <c r="C712" s="13"/>
    </row>
    <row r="713" spans="1:3" ht="13" x14ac:dyDescent="0.15">
      <c r="A713" s="10"/>
      <c r="B713" s="13"/>
      <c r="C713" s="13"/>
    </row>
    <row r="714" spans="1:3" ht="13" x14ac:dyDescent="0.15">
      <c r="A714" s="10"/>
      <c r="B714" s="13"/>
      <c r="C714" s="13"/>
    </row>
    <row r="715" spans="1:3" ht="13" x14ac:dyDescent="0.15">
      <c r="A715" s="10"/>
      <c r="B715" s="13"/>
      <c r="C715" s="13"/>
    </row>
    <row r="716" spans="1:3" ht="13" x14ac:dyDescent="0.15">
      <c r="A716" s="10"/>
      <c r="B716" s="13"/>
      <c r="C716" s="13"/>
    </row>
    <row r="717" spans="1:3" ht="13" x14ac:dyDescent="0.15">
      <c r="A717" s="10"/>
      <c r="B717" s="13"/>
      <c r="C717" s="13"/>
    </row>
    <row r="718" spans="1:3" ht="13" x14ac:dyDescent="0.15">
      <c r="A718" s="10"/>
      <c r="B718" s="13"/>
      <c r="C718" s="13"/>
    </row>
    <row r="719" spans="1:3" ht="13" x14ac:dyDescent="0.15">
      <c r="A719" s="10"/>
      <c r="B719" s="13"/>
      <c r="C719" s="13"/>
    </row>
    <row r="720" spans="1:3" ht="13" x14ac:dyDescent="0.15">
      <c r="A720" s="10"/>
      <c r="B720" s="13"/>
      <c r="C720" s="13"/>
    </row>
    <row r="721" spans="1:3" ht="13" x14ac:dyDescent="0.15">
      <c r="A721" s="10"/>
      <c r="B721" s="13"/>
      <c r="C721" s="13"/>
    </row>
    <row r="722" spans="1:3" ht="13" x14ac:dyDescent="0.15">
      <c r="A722" s="10"/>
      <c r="B722" s="13"/>
      <c r="C722" s="13"/>
    </row>
    <row r="723" spans="1:3" ht="13" x14ac:dyDescent="0.15">
      <c r="A723" s="10"/>
      <c r="B723" s="13"/>
      <c r="C723" s="13"/>
    </row>
    <row r="724" spans="1:3" ht="13" x14ac:dyDescent="0.15">
      <c r="A724" s="10"/>
      <c r="B724" s="13"/>
      <c r="C724" s="13"/>
    </row>
    <row r="725" spans="1:3" ht="13" x14ac:dyDescent="0.15">
      <c r="A725" s="10"/>
      <c r="B725" s="13"/>
      <c r="C725" s="13"/>
    </row>
    <row r="726" spans="1:3" ht="13" x14ac:dyDescent="0.15">
      <c r="A726" s="10"/>
      <c r="B726" s="13"/>
      <c r="C726" s="13"/>
    </row>
    <row r="727" spans="1:3" ht="13" x14ac:dyDescent="0.15">
      <c r="A727" s="10"/>
      <c r="B727" s="13"/>
      <c r="C727" s="13"/>
    </row>
    <row r="728" spans="1:3" ht="13" x14ac:dyDescent="0.15">
      <c r="A728" s="10"/>
      <c r="B728" s="13"/>
      <c r="C728" s="13"/>
    </row>
    <row r="729" spans="1:3" ht="13" x14ac:dyDescent="0.15">
      <c r="A729" s="10"/>
      <c r="B729" s="13"/>
      <c r="C729" s="13"/>
    </row>
    <row r="730" spans="1:3" ht="13" x14ac:dyDescent="0.15">
      <c r="A730" s="10"/>
      <c r="B730" s="13"/>
      <c r="C730" s="13"/>
    </row>
    <row r="731" spans="1:3" ht="13" x14ac:dyDescent="0.15">
      <c r="A731" s="10"/>
      <c r="B731" s="13"/>
      <c r="C731" s="13"/>
    </row>
    <row r="732" spans="1:3" ht="13" x14ac:dyDescent="0.15">
      <c r="A732" s="10"/>
      <c r="B732" s="13"/>
      <c r="C732" s="13"/>
    </row>
    <row r="733" spans="1:3" ht="13" x14ac:dyDescent="0.15">
      <c r="A733" s="10"/>
      <c r="B733" s="13"/>
      <c r="C733" s="13"/>
    </row>
    <row r="734" spans="1:3" ht="13" x14ac:dyDescent="0.15">
      <c r="A734" s="10"/>
      <c r="B734" s="13"/>
      <c r="C734" s="13"/>
    </row>
    <row r="735" spans="1:3" ht="13" x14ac:dyDescent="0.15">
      <c r="A735" s="10"/>
      <c r="B735" s="13"/>
      <c r="C735" s="13"/>
    </row>
    <row r="736" spans="1:3" ht="13" x14ac:dyDescent="0.15">
      <c r="A736" s="10"/>
      <c r="B736" s="13"/>
      <c r="C736" s="13"/>
    </row>
    <row r="737" spans="1:3" ht="13" x14ac:dyDescent="0.15">
      <c r="A737" s="10"/>
      <c r="B737" s="13"/>
      <c r="C737" s="13"/>
    </row>
    <row r="738" spans="1:3" ht="13" x14ac:dyDescent="0.15">
      <c r="A738" s="10"/>
      <c r="B738" s="13"/>
      <c r="C738" s="13"/>
    </row>
    <row r="739" spans="1:3" ht="13" x14ac:dyDescent="0.15">
      <c r="A739" s="10"/>
      <c r="B739" s="13"/>
      <c r="C739" s="13"/>
    </row>
    <row r="740" spans="1:3" ht="13" x14ac:dyDescent="0.15">
      <c r="A740" s="10"/>
      <c r="B740" s="13"/>
      <c r="C740" s="13"/>
    </row>
    <row r="741" spans="1:3" ht="13" x14ac:dyDescent="0.15">
      <c r="A741" s="10"/>
      <c r="B741" s="13"/>
      <c r="C741" s="13"/>
    </row>
    <row r="742" spans="1:3" ht="13" x14ac:dyDescent="0.15">
      <c r="A742" s="10"/>
      <c r="B742" s="13"/>
      <c r="C742" s="13"/>
    </row>
    <row r="743" spans="1:3" ht="13" x14ac:dyDescent="0.15">
      <c r="A743" s="10"/>
      <c r="B743" s="13"/>
      <c r="C743" s="13"/>
    </row>
    <row r="744" spans="1:3" ht="13" x14ac:dyDescent="0.15">
      <c r="A744" s="10"/>
      <c r="B744" s="13"/>
      <c r="C744" s="13"/>
    </row>
    <row r="745" spans="1:3" ht="13" x14ac:dyDescent="0.15">
      <c r="A745" s="10"/>
      <c r="B745" s="13"/>
      <c r="C745" s="13"/>
    </row>
    <row r="746" spans="1:3" ht="13" x14ac:dyDescent="0.15">
      <c r="A746" s="10"/>
      <c r="B746" s="13"/>
      <c r="C746" s="13"/>
    </row>
    <row r="747" spans="1:3" ht="13" x14ac:dyDescent="0.15">
      <c r="A747" s="10"/>
      <c r="B747" s="13"/>
      <c r="C747" s="13"/>
    </row>
    <row r="748" spans="1:3" ht="13" x14ac:dyDescent="0.15">
      <c r="A748" s="10"/>
      <c r="B748" s="13"/>
      <c r="C748" s="13"/>
    </row>
    <row r="749" spans="1:3" ht="13" x14ac:dyDescent="0.15">
      <c r="A749" s="10"/>
      <c r="B749" s="13"/>
      <c r="C749" s="13"/>
    </row>
    <row r="750" spans="1:3" ht="13" x14ac:dyDescent="0.15">
      <c r="A750" s="10"/>
      <c r="B750" s="13"/>
      <c r="C750" s="13"/>
    </row>
    <row r="751" spans="1:3" ht="13" x14ac:dyDescent="0.15">
      <c r="A751" s="10"/>
      <c r="B751" s="13"/>
      <c r="C751" s="13"/>
    </row>
    <row r="752" spans="1:3" ht="13" x14ac:dyDescent="0.15">
      <c r="A752" s="10"/>
      <c r="B752" s="13"/>
      <c r="C752" s="13"/>
    </row>
    <row r="753" spans="1:3" ht="13" x14ac:dyDescent="0.15">
      <c r="A753" s="10"/>
      <c r="B753" s="13"/>
      <c r="C753" s="13"/>
    </row>
    <row r="754" spans="1:3" ht="13" x14ac:dyDescent="0.15">
      <c r="A754" s="10"/>
      <c r="B754" s="13"/>
      <c r="C754" s="13"/>
    </row>
    <row r="755" spans="1:3" ht="13" x14ac:dyDescent="0.15">
      <c r="A755" s="10"/>
      <c r="B755" s="13"/>
      <c r="C755" s="13"/>
    </row>
    <row r="756" spans="1:3" ht="13" x14ac:dyDescent="0.15">
      <c r="A756" s="10"/>
      <c r="B756" s="13"/>
      <c r="C756" s="13"/>
    </row>
    <row r="757" spans="1:3" ht="13" x14ac:dyDescent="0.15">
      <c r="A757" s="10"/>
      <c r="B757" s="13"/>
      <c r="C757" s="13"/>
    </row>
    <row r="758" spans="1:3" ht="13" x14ac:dyDescent="0.15">
      <c r="A758" s="10"/>
      <c r="B758" s="13"/>
      <c r="C758" s="13"/>
    </row>
    <row r="759" spans="1:3" ht="13" x14ac:dyDescent="0.15">
      <c r="A759" s="10"/>
      <c r="B759" s="13"/>
      <c r="C759" s="13"/>
    </row>
    <row r="760" spans="1:3" ht="13" x14ac:dyDescent="0.15">
      <c r="A760" s="10"/>
      <c r="B760" s="13"/>
      <c r="C760" s="13"/>
    </row>
    <row r="761" spans="1:3" ht="13" x14ac:dyDescent="0.15">
      <c r="A761" s="10"/>
      <c r="B761" s="13"/>
      <c r="C761" s="13"/>
    </row>
    <row r="762" spans="1:3" ht="13" x14ac:dyDescent="0.15">
      <c r="A762" s="10"/>
      <c r="B762" s="13"/>
      <c r="C762" s="13"/>
    </row>
    <row r="763" spans="1:3" ht="13" x14ac:dyDescent="0.15">
      <c r="A763" s="10"/>
      <c r="B763" s="13"/>
      <c r="C763" s="13"/>
    </row>
    <row r="764" spans="1:3" ht="13" x14ac:dyDescent="0.15">
      <c r="A764" s="10"/>
      <c r="B764" s="13"/>
      <c r="C764" s="13"/>
    </row>
    <row r="765" spans="1:3" ht="13" x14ac:dyDescent="0.15">
      <c r="A765" s="10"/>
      <c r="B765" s="13"/>
      <c r="C765" s="13"/>
    </row>
    <row r="766" spans="1:3" ht="13" x14ac:dyDescent="0.15">
      <c r="A766" s="10"/>
      <c r="B766" s="13"/>
      <c r="C766" s="13"/>
    </row>
    <row r="767" spans="1:3" ht="13" x14ac:dyDescent="0.15">
      <c r="A767" s="10"/>
      <c r="B767" s="13"/>
      <c r="C767" s="13"/>
    </row>
    <row r="768" spans="1:3" ht="13" x14ac:dyDescent="0.15">
      <c r="A768" s="10"/>
      <c r="B768" s="13"/>
      <c r="C768" s="13"/>
    </row>
    <row r="769" spans="1:3" ht="13" x14ac:dyDescent="0.15">
      <c r="A769" s="10"/>
      <c r="B769" s="13"/>
      <c r="C769" s="13"/>
    </row>
    <row r="770" spans="1:3" ht="13" x14ac:dyDescent="0.15">
      <c r="A770" s="10"/>
      <c r="B770" s="13"/>
      <c r="C770" s="13"/>
    </row>
    <row r="771" spans="1:3" ht="13" x14ac:dyDescent="0.15">
      <c r="A771" s="10"/>
      <c r="B771" s="13"/>
      <c r="C771" s="13"/>
    </row>
    <row r="772" spans="1:3" ht="13" x14ac:dyDescent="0.15">
      <c r="A772" s="10"/>
      <c r="B772" s="13"/>
      <c r="C772" s="13"/>
    </row>
    <row r="773" spans="1:3" ht="13" x14ac:dyDescent="0.15">
      <c r="A773" s="10"/>
      <c r="B773" s="13"/>
      <c r="C773" s="13"/>
    </row>
    <row r="774" spans="1:3" ht="13" x14ac:dyDescent="0.15">
      <c r="A774" s="10"/>
      <c r="B774" s="13"/>
      <c r="C774" s="13"/>
    </row>
    <row r="775" spans="1:3" ht="13" x14ac:dyDescent="0.15">
      <c r="A775" s="10"/>
      <c r="B775" s="13"/>
      <c r="C775" s="13"/>
    </row>
    <row r="776" spans="1:3" ht="13" x14ac:dyDescent="0.15">
      <c r="A776" s="10"/>
      <c r="B776" s="13"/>
      <c r="C776" s="13"/>
    </row>
    <row r="777" spans="1:3" ht="13" x14ac:dyDescent="0.15">
      <c r="A777" s="10"/>
      <c r="B777" s="13"/>
      <c r="C777" s="13"/>
    </row>
    <row r="778" spans="1:3" ht="13" x14ac:dyDescent="0.15">
      <c r="A778" s="10"/>
      <c r="B778" s="13"/>
      <c r="C778" s="13"/>
    </row>
    <row r="779" spans="1:3" ht="13" x14ac:dyDescent="0.15">
      <c r="A779" s="10"/>
      <c r="B779" s="13"/>
      <c r="C779" s="13"/>
    </row>
    <row r="780" spans="1:3" ht="13" x14ac:dyDescent="0.15">
      <c r="A780" s="10"/>
      <c r="B780" s="13"/>
      <c r="C780" s="13"/>
    </row>
    <row r="781" spans="1:3" ht="13" x14ac:dyDescent="0.15">
      <c r="A781" s="10"/>
      <c r="B781" s="13"/>
      <c r="C781" s="13"/>
    </row>
    <row r="782" spans="1:3" ht="13" x14ac:dyDescent="0.15">
      <c r="A782" s="10"/>
      <c r="B782" s="13"/>
      <c r="C782" s="13"/>
    </row>
    <row r="783" spans="1:3" ht="13" x14ac:dyDescent="0.15">
      <c r="A783" s="10"/>
      <c r="B783" s="13"/>
      <c r="C783" s="13"/>
    </row>
    <row r="784" spans="1:3" ht="13" x14ac:dyDescent="0.15">
      <c r="A784" s="10"/>
      <c r="B784" s="13"/>
      <c r="C784" s="13"/>
    </row>
    <row r="785" spans="1:3" ht="13" x14ac:dyDescent="0.15">
      <c r="A785" s="10"/>
      <c r="B785" s="13"/>
      <c r="C785" s="13"/>
    </row>
    <row r="786" spans="1:3" ht="13" x14ac:dyDescent="0.15">
      <c r="A786" s="10"/>
      <c r="B786" s="13"/>
      <c r="C786" s="13"/>
    </row>
    <row r="787" spans="1:3" ht="13" x14ac:dyDescent="0.15">
      <c r="A787" s="10"/>
      <c r="B787" s="13"/>
      <c r="C787" s="13"/>
    </row>
    <row r="788" spans="1:3" ht="13" x14ac:dyDescent="0.15">
      <c r="A788" s="10"/>
      <c r="B788" s="13"/>
      <c r="C788" s="13"/>
    </row>
    <row r="789" spans="1:3" ht="13" x14ac:dyDescent="0.15">
      <c r="A789" s="10"/>
      <c r="B789" s="13"/>
      <c r="C789" s="13"/>
    </row>
    <row r="790" spans="1:3" ht="13" x14ac:dyDescent="0.15">
      <c r="A790" s="10"/>
      <c r="B790" s="13"/>
      <c r="C790" s="13"/>
    </row>
    <row r="791" spans="1:3" ht="13" x14ac:dyDescent="0.15">
      <c r="A791" s="10"/>
      <c r="B791" s="13"/>
      <c r="C791" s="13"/>
    </row>
    <row r="792" spans="1:3" ht="13" x14ac:dyDescent="0.15">
      <c r="A792" s="10"/>
      <c r="B792" s="13"/>
      <c r="C792" s="13"/>
    </row>
    <row r="793" spans="1:3" ht="13" x14ac:dyDescent="0.15">
      <c r="A793" s="10"/>
      <c r="B793" s="13"/>
      <c r="C793" s="13"/>
    </row>
    <row r="794" spans="1:3" ht="13" x14ac:dyDescent="0.15">
      <c r="A794" s="10"/>
      <c r="B794" s="13"/>
      <c r="C794" s="13"/>
    </row>
    <row r="795" spans="1:3" ht="13" x14ac:dyDescent="0.15">
      <c r="A795" s="10"/>
      <c r="B795" s="13"/>
      <c r="C795" s="13"/>
    </row>
    <row r="796" spans="1:3" ht="13" x14ac:dyDescent="0.15">
      <c r="A796" s="10"/>
      <c r="B796" s="13"/>
      <c r="C796" s="13"/>
    </row>
    <row r="797" spans="1:3" ht="13" x14ac:dyDescent="0.15">
      <c r="A797" s="10"/>
      <c r="B797" s="13"/>
      <c r="C797" s="13"/>
    </row>
    <row r="798" spans="1:3" ht="13" x14ac:dyDescent="0.15">
      <c r="A798" s="10"/>
      <c r="B798" s="13"/>
      <c r="C798" s="13"/>
    </row>
    <row r="799" spans="1:3" ht="13" x14ac:dyDescent="0.15">
      <c r="A799" s="10"/>
      <c r="B799" s="13"/>
      <c r="C799" s="13"/>
    </row>
    <row r="800" spans="1:3" ht="13" x14ac:dyDescent="0.15">
      <c r="A800" s="10"/>
      <c r="B800" s="13"/>
      <c r="C800" s="13"/>
    </row>
    <row r="801" spans="1:3" ht="13" x14ac:dyDescent="0.15">
      <c r="A801" s="10"/>
      <c r="B801" s="13"/>
      <c r="C801" s="13"/>
    </row>
    <row r="802" spans="1:3" ht="13" x14ac:dyDescent="0.15">
      <c r="A802" s="10"/>
      <c r="B802" s="13"/>
      <c r="C802" s="13"/>
    </row>
    <row r="803" spans="1:3" ht="13" x14ac:dyDescent="0.15">
      <c r="A803" s="10"/>
      <c r="B803" s="13"/>
      <c r="C803" s="13"/>
    </row>
    <row r="804" spans="1:3" ht="13" x14ac:dyDescent="0.15">
      <c r="A804" s="10"/>
      <c r="B804" s="13"/>
      <c r="C804" s="13"/>
    </row>
    <row r="805" spans="1:3" ht="13" x14ac:dyDescent="0.15">
      <c r="A805" s="10"/>
      <c r="B805" s="13"/>
      <c r="C805" s="13"/>
    </row>
    <row r="806" spans="1:3" ht="13" x14ac:dyDescent="0.15">
      <c r="A806" s="10"/>
      <c r="B806" s="13"/>
      <c r="C806" s="13"/>
    </row>
    <row r="807" spans="1:3" ht="13" x14ac:dyDescent="0.15">
      <c r="A807" s="10"/>
      <c r="B807" s="13"/>
      <c r="C807" s="13"/>
    </row>
    <row r="808" spans="1:3" ht="13" x14ac:dyDescent="0.15">
      <c r="A808" s="10"/>
      <c r="B808" s="13"/>
      <c r="C808" s="13"/>
    </row>
    <row r="809" spans="1:3" ht="13" x14ac:dyDescent="0.15">
      <c r="A809" s="10"/>
      <c r="B809" s="13"/>
      <c r="C809" s="13"/>
    </row>
    <row r="810" spans="1:3" ht="13" x14ac:dyDescent="0.15">
      <c r="A810" s="10"/>
      <c r="B810" s="13"/>
      <c r="C810" s="13"/>
    </row>
    <row r="811" spans="1:3" ht="13" x14ac:dyDescent="0.15">
      <c r="A811" s="10"/>
      <c r="B811" s="13"/>
      <c r="C811" s="13"/>
    </row>
    <row r="812" spans="1:3" ht="13" x14ac:dyDescent="0.15">
      <c r="A812" s="10"/>
      <c r="B812" s="13"/>
      <c r="C812" s="13"/>
    </row>
    <row r="813" spans="1:3" ht="13" x14ac:dyDescent="0.15">
      <c r="A813" s="10"/>
      <c r="B813" s="13"/>
      <c r="C813" s="13"/>
    </row>
    <row r="814" spans="1:3" ht="13" x14ac:dyDescent="0.15">
      <c r="A814" s="10"/>
      <c r="B814" s="13"/>
      <c r="C814" s="13"/>
    </row>
    <row r="815" spans="1:3" ht="13" x14ac:dyDescent="0.15">
      <c r="A815" s="10"/>
      <c r="B815" s="13"/>
      <c r="C815" s="13"/>
    </row>
    <row r="816" spans="1:3" ht="13" x14ac:dyDescent="0.15">
      <c r="A816" s="10"/>
      <c r="B816" s="13"/>
      <c r="C816" s="13"/>
    </row>
    <row r="817" spans="1:3" ht="13" x14ac:dyDescent="0.15">
      <c r="A817" s="10"/>
      <c r="B817" s="13"/>
      <c r="C817" s="13"/>
    </row>
    <row r="818" spans="1:3" ht="13" x14ac:dyDescent="0.15">
      <c r="A818" s="10"/>
      <c r="B818" s="13"/>
      <c r="C818" s="13"/>
    </row>
    <row r="819" spans="1:3" ht="13" x14ac:dyDescent="0.15">
      <c r="A819" s="10"/>
      <c r="B819" s="13"/>
      <c r="C819" s="13"/>
    </row>
    <row r="820" spans="1:3" ht="13" x14ac:dyDescent="0.15">
      <c r="A820" s="10"/>
      <c r="B820" s="13"/>
      <c r="C820" s="13"/>
    </row>
    <row r="821" spans="1:3" ht="13" x14ac:dyDescent="0.15">
      <c r="A821" s="10"/>
      <c r="B821" s="13"/>
      <c r="C821" s="13"/>
    </row>
    <row r="822" spans="1:3" ht="13" x14ac:dyDescent="0.15">
      <c r="A822" s="10"/>
      <c r="B822" s="13"/>
      <c r="C822" s="13"/>
    </row>
    <row r="823" spans="1:3" ht="13" x14ac:dyDescent="0.15">
      <c r="A823" s="10"/>
      <c r="B823" s="13"/>
      <c r="C823" s="13"/>
    </row>
    <row r="824" spans="1:3" ht="13" x14ac:dyDescent="0.15">
      <c r="A824" s="10"/>
      <c r="B824" s="13"/>
      <c r="C824" s="13"/>
    </row>
    <row r="825" spans="1:3" ht="13" x14ac:dyDescent="0.15">
      <c r="A825" s="10"/>
      <c r="B825" s="13"/>
      <c r="C825" s="13"/>
    </row>
    <row r="826" spans="1:3" ht="13" x14ac:dyDescent="0.15">
      <c r="A826" s="10"/>
      <c r="B826" s="13"/>
      <c r="C826" s="13"/>
    </row>
    <row r="827" spans="1:3" ht="13" x14ac:dyDescent="0.15">
      <c r="A827" s="10"/>
      <c r="B827" s="13"/>
      <c r="C827" s="13"/>
    </row>
    <row r="828" spans="1:3" ht="13" x14ac:dyDescent="0.15">
      <c r="A828" s="10"/>
      <c r="B828" s="13"/>
      <c r="C828" s="13"/>
    </row>
    <row r="829" spans="1:3" ht="13" x14ac:dyDescent="0.15">
      <c r="A829" s="10"/>
      <c r="B829" s="13"/>
      <c r="C829" s="13"/>
    </row>
    <row r="830" spans="1:3" ht="13" x14ac:dyDescent="0.15">
      <c r="A830" s="10"/>
      <c r="B830" s="13"/>
      <c r="C830" s="13"/>
    </row>
    <row r="831" spans="1:3" ht="13" x14ac:dyDescent="0.15">
      <c r="A831" s="10"/>
      <c r="B831" s="13"/>
      <c r="C831" s="13"/>
    </row>
    <row r="832" spans="1:3" ht="13" x14ac:dyDescent="0.15">
      <c r="A832" s="10"/>
      <c r="B832" s="13"/>
      <c r="C832" s="13"/>
    </row>
    <row r="833" spans="1:3" ht="13" x14ac:dyDescent="0.15">
      <c r="A833" s="10"/>
      <c r="B833" s="13"/>
      <c r="C833" s="13"/>
    </row>
    <row r="834" spans="1:3" ht="13" x14ac:dyDescent="0.15">
      <c r="A834" s="10"/>
      <c r="B834" s="13"/>
      <c r="C834" s="13"/>
    </row>
    <row r="835" spans="1:3" ht="13" x14ac:dyDescent="0.15">
      <c r="A835" s="10"/>
      <c r="B835" s="13"/>
      <c r="C835" s="13"/>
    </row>
    <row r="836" spans="1:3" ht="13" x14ac:dyDescent="0.15">
      <c r="A836" s="10"/>
      <c r="B836" s="13"/>
      <c r="C836" s="13"/>
    </row>
    <row r="837" spans="1:3" ht="13" x14ac:dyDescent="0.15">
      <c r="A837" s="10"/>
      <c r="B837" s="13"/>
      <c r="C837" s="13"/>
    </row>
    <row r="838" spans="1:3" ht="13" x14ac:dyDescent="0.15">
      <c r="A838" s="10"/>
      <c r="B838" s="13"/>
      <c r="C838" s="13"/>
    </row>
    <row r="839" spans="1:3" ht="13" x14ac:dyDescent="0.15">
      <c r="A839" s="10"/>
      <c r="B839" s="13"/>
      <c r="C839" s="13"/>
    </row>
    <row r="840" spans="1:3" ht="13" x14ac:dyDescent="0.15">
      <c r="A840" s="10"/>
      <c r="B840" s="13"/>
      <c r="C840" s="13"/>
    </row>
    <row r="841" spans="1:3" ht="13" x14ac:dyDescent="0.15">
      <c r="A841" s="10"/>
      <c r="B841" s="13"/>
      <c r="C841" s="13"/>
    </row>
    <row r="842" spans="1:3" ht="13" x14ac:dyDescent="0.15">
      <c r="A842" s="10"/>
      <c r="B842" s="13"/>
      <c r="C842" s="13"/>
    </row>
    <row r="843" spans="1:3" ht="13" x14ac:dyDescent="0.15">
      <c r="A843" s="10"/>
      <c r="B843" s="13"/>
      <c r="C843" s="13"/>
    </row>
    <row r="844" spans="1:3" ht="13" x14ac:dyDescent="0.15">
      <c r="A844" s="10"/>
      <c r="B844" s="13"/>
      <c r="C844" s="13"/>
    </row>
    <row r="845" spans="1:3" ht="13" x14ac:dyDescent="0.15">
      <c r="A845" s="10"/>
      <c r="B845" s="13"/>
      <c r="C845" s="13"/>
    </row>
    <row r="846" spans="1:3" ht="13" x14ac:dyDescent="0.15">
      <c r="A846" s="10"/>
      <c r="B846" s="13"/>
      <c r="C846" s="13"/>
    </row>
    <row r="847" spans="1:3" ht="13" x14ac:dyDescent="0.15">
      <c r="A847" s="10"/>
      <c r="B847" s="13"/>
      <c r="C847" s="13"/>
    </row>
    <row r="848" spans="1:3" ht="13" x14ac:dyDescent="0.15">
      <c r="A848" s="10"/>
      <c r="B848" s="13"/>
      <c r="C848" s="13"/>
    </row>
    <row r="849" spans="1:3" ht="13" x14ac:dyDescent="0.15">
      <c r="A849" s="10"/>
      <c r="B849" s="13"/>
      <c r="C849" s="13"/>
    </row>
    <row r="850" spans="1:3" ht="13" x14ac:dyDescent="0.15">
      <c r="A850" s="10"/>
      <c r="B850" s="13"/>
      <c r="C850" s="13"/>
    </row>
    <row r="851" spans="1:3" ht="13" x14ac:dyDescent="0.15">
      <c r="A851" s="10"/>
      <c r="B851" s="13"/>
      <c r="C851" s="13"/>
    </row>
    <row r="852" spans="1:3" ht="13" x14ac:dyDescent="0.15">
      <c r="A852" s="10"/>
      <c r="B852" s="13"/>
      <c r="C852" s="13"/>
    </row>
    <row r="853" spans="1:3" ht="13" x14ac:dyDescent="0.15">
      <c r="A853" s="10"/>
      <c r="B853" s="13"/>
      <c r="C853" s="13"/>
    </row>
    <row r="854" spans="1:3" ht="13" x14ac:dyDescent="0.15">
      <c r="A854" s="10"/>
      <c r="B854" s="13"/>
      <c r="C854" s="13"/>
    </row>
    <row r="855" spans="1:3" ht="13" x14ac:dyDescent="0.15">
      <c r="A855" s="10"/>
      <c r="B855" s="13"/>
      <c r="C855" s="13"/>
    </row>
    <row r="856" spans="1:3" ht="13" x14ac:dyDescent="0.15">
      <c r="A856" s="10"/>
      <c r="B856" s="13"/>
      <c r="C856" s="13"/>
    </row>
    <row r="857" spans="1:3" ht="13" x14ac:dyDescent="0.15">
      <c r="A857" s="10"/>
      <c r="B857" s="13"/>
      <c r="C857" s="13"/>
    </row>
    <row r="858" spans="1:3" ht="13" x14ac:dyDescent="0.15">
      <c r="A858" s="10"/>
      <c r="B858" s="13"/>
      <c r="C858" s="13"/>
    </row>
    <row r="859" spans="1:3" ht="13" x14ac:dyDescent="0.15">
      <c r="A859" s="10"/>
      <c r="B859" s="13"/>
      <c r="C859" s="13"/>
    </row>
    <row r="860" spans="1:3" ht="13" x14ac:dyDescent="0.15">
      <c r="A860" s="10"/>
      <c r="B860" s="13"/>
      <c r="C860" s="13"/>
    </row>
    <row r="861" spans="1:3" ht="13" x14ac:dyDescent="0.15">
      <c r="A861" s="10"/>
      <c r="B861" s="13"/>
      <c r="C861" s="13"/>
    </row>
    <row r="862" spans="1:3" ht="13" x14ac:dyDescent="0.15">
      <c r="A862" s="10"/>
      <c r="B862" s="13"/>
      <c r="C862" s="13"/>
    </row>
    <row r="863" spans="1:3" ht="13" x14ac:dyDescent="0.15">
      <c r="A863" s="10"/>
      <c r="B863" s="13"/>
      <c r="C863" s="13"/>
    </row>
    <row r="864" spans="1:3" ht="13" x14ac:dyDescent="0.15">
      <c r="A864" s="10"/>
      <c r="B864" s="13"/>
      <c r="C864" s="13"/>
    </row>
    <row r="865" spans="1:3" ht="13" x14ac:dyDescent="0.15">
      <c r="A865" s="10"/>
      <c r="B865" s="13"/>
      <c r="C865" s="13"/>
    </row>
    <row r="866" spans="1:3" ht="13" x14ac:dyDescent="0.15">
      <c r="A866" s="10"/>
      <c r="B866" s="13"/>
      <c r="C866" s="13"/>
    </row>
    <row r="867" spans="1:3" ht="13" x14ac:dyDescent="0.15">
      <c r="A867" s="10"/>
      <c r="B867" s="13"/>
      <c r="C867" s="13"/>
    </row>
    <row r="868" spans="1:3" ht="13" x14ac:dyDescent="0.15">
      <c r="A868" s="10"/>
      <c r="B868" s="13"/>
      <c r="C868" s="13"/>
    </row>
    <row r="869" spans="1:3" ht="13" x14ac:dyDescent="0.15">
      <c r="A869" s="10"/>
      <c r="B869" s="13"/>
      <c r="C869" s="13"/>
    </row>
    <row r="870" spans="1:3" ht="13" x14ac:dyDescent="0.15">
      <c r="A870" s="10"/>
      <c r="B870" s="13"/>
      <c r="C870" s="13"/>
    </row>
    <row r="871" spans="1:3" ht="13" x14ac:dyDescent="0.15">
      <c r="A871" s="10"/>
      <c r="B871" s="13"/>
      <c r="C871" s="13"/>
    </row>
    <row r="872" spans="1:3" ht="13" x14ac:dyDescent="0.15">
      <c r="A872" s="10"/>
      <c r="B872" s="13"/>
      <c r="C872" s="13"/>
    </row>
    <row r="873" spans="1:3" ht="13" x14ac:dyDescent="0.15">
      <c r="A873" s="10"/>
      <c r="B873" s="13"/>
      <c r="C873" s="13"/>
    </row>
    <row r="874" spans="1:3" ht="13" x14ac:dyDescent="0.15">
      <c r="A874" s="10"/>
      <c r="B874" s="13"/>
      <c r="C874" s="13"/>
    </row>
    <row r="875" spans="1:3" ht="13" x14ac:dyDescent="0.15">
      <c r="A875" s="10"/>
      <c r="B875" s="13"/>
      <c r="C875" s="13"/>
    </row>
    <row r="876" spans="1:3" ht="13" x14ac:dyDescent="0.15">
      <c r="A876" s="10"/>
      <c r="B876" s="13"/>
      <c r="C876" s="13"/>
    </row>
    <row r="877" spans="1:3" ht="13" x14ac:dyDescent="0.15">
      <c r="A877" s="10"/>
      <c r="B877" s="13"/>
      <c r="C877" s="13"/>
    </row>
    <row r="878" spans="1:3" ht="13" x14ac:dyDescent="0.15">
      <c r="A878" s="10"/>
      <c r="B878" s="13"/>
      <c r="C878" s="13"/>
    </row>
    <row r="879" spans="1:3" ht="13" x14ac:dyDescent="0.15">
      <c r="A879" s="10"/>
      <c r="B879" s="13"/>
      <c r="C879" s="13"/>
    </row>
    <row r="880" spans="1:3" ht="13" x14ac:dyDescent="0.15">
      <c r="A880" s="10"/>
      <c r="B880" s="13"/>
      <c r="C880" s="13"/>
    </row>
    <row r="881" spans="1:3" ht="13" x14ac:dyDescent="0.15">
      <c r="A881" s="10"/>
      <c r="B881" s="13"/>
      <c r="C881" s="13"/>
    </row>
    <row r="882" spans="1:3" ht="13" x14ac:dyDescent="0.15">
      <c r="A882" s="10"/>
      <c r="B882" s="13"/>
      <c r="C882" s="13"/>
    </row>
    <row r="883" spans="1:3" ht="13" x14ac:dyDescent="0.15">
      <c r="A883" s="10"/>
      <c r="B883" s="13"/>
      <c r="C883" s="13"/>
    </row>
    <row r="884" spans="1:3" ht="13" x14ac:dyDescent="0.15">
      <c r="A884" s="10"/>
      <c r="B884" s="13"/>
      <c r="C884" s="13"/>
    </row>
    <row r="885" spans="1:3" ht="13" x14ac:dyDescent="0.15">
      <c r="A885" s="10"/>
      <c r="B885" s="13"/>
      <c r="C885" s="13"/>
    </row>
    <row r="886" spans="1:3" ht="13" x14ac:dyDescent="0.15">
      <c r="A886" s="10"/>
      <c r="B886" s="13"/>
      <c r="C886" s="13"/>
    </row>
    <row r="887" spans="1:3" ht="13" x14ac:dyDescent="0.15">
      <c r="A887" s="10"/>
      <c r="B887" s="13"/>
      <c r="C887" s="13"/>
    </row>
    <row r="888" spans="1:3" ht="13" x14ac:dyDescent="0.15">
      <c r="A888" s="10"/>
      <c r="B888" s="13"/>
      <c r="C888" s="13"/>
    </row>
    <row r="889" spans="1:3" ht="13" x14ac:dyDescent="0.15">
      <c r="A889" s="10"/>
      <c r="B889" s="13"/>
      <c r="C889" s="13"/>
    </row>
    <row r="890" spans="1:3" ht="13" x14ac:dyDescent="0.15">
      <c r="A890" s="10"/>
      <c r="B890" s="13"/>
      <c r="C890" s="13"/>
    </row>
    <row r="891" spans="1:3" ht="13" x14ac:dyDescent="0.15">
      <c r="A891" s="10"/>
      <c r="B891" s="13"/>
      <c r="C891" s="13"/>
    </row>
    <row r="892" spans="1:3" ht="13" x14ac:dyDescent="0.15">
      <c r="A892" s="10"/>
      <c r="B892" s="13"/>
      <c r="C892" s="13"/>
    </row>
    <row r="893" spans="1:3" ht="13" x14ac:dyDescent="0.15">
      <c r="A893" s="10"/>
      <c r="B893" s="13"/>
      <c r="C893" s="13"/>
    </row>
    <row r="894" spans="1:3" ht="13" x14ac:dyDescent="0.15">
      <c r="A894" s="10"/>
      <c r="B894" s="13"/>
      <c r="C894" s="13"/>
    </row>
    <row r="895" spans="1:3" ht="13" x14ac:dyDescent="0.15">
      <c r="A895" s="10"/>
      <c r="B895" s="13"/>
      <c r="C895" s="13"/>
    </row>
    <row r="896" spans="1:3" ht="13" x14ac:dyDescent="0.15">
      <c r="A896" s="10"/>
      <c r="B896" s="13"/>
      <c r="C896" s="13"/>
    </row>
    <row r="897" spans="1:3" ht="13" x14ac:dyDescent="0.15">
      <c r="A897" s="10"/>
      <c r="B897" s="13"/>
      <c r="C897" s="13"/>
    </row>
    <row r="898" spans="1:3" ht="13" x14ac:dyDescent="0.15">
      <c r="A898" s="10"/>
      <c r="B898" s="13"/>
      <c r="C898" s="13"/>
    </row>
    <row r="899" spans="1:3" ht="13" x14ac:dyDescent="0.15">
      <c r="A899" s="10"/>
      <c r="B899" s="13"/>
      <c r="C899" s="13"/>
    </row>
    <row r="900" spans="1:3" ht="13" x14ac:dyDescent="0.15">
      <c r="A900" s="10"/>
      <c r="B900" s="13"/>
      <c r="C900" s="13"/>
    </row>
    <row r="901" spans="1:3" ht="13" x14ac:dyDescent="0.15">
      <c r="A901" s="10"/>
      <c r="B901" s="13"/>
      <c r="C901" s="13"/>
    </row>
    <row r="902" spans="1:3" ht="13" x14ac:dyDescent="0.15">
      <c r="A902" s="10"/>
      <c r="B902" s="13"/>
      <c r="C902" s="13"/>
    </row>
    <row r="903" spans="1:3" ht="13" x14ac:dyDescent="0.15">
      <c r="A903" s="10"/>
      <c r="B903" s="13"/>
      <c r="C903" s="13"/>
    </row>
    <row r="904" spans="1:3" ht="13" x14ac:dyDescent="0.15">
      <c r="A904" s="10"/>
      <c r="B904" s="13"/>
      <c r="C904" s="13"/>
    </row>
    <row r="905" spans="1:3" ht="13" x14ac:dyDescent="0.15">
      <c r="A905" s="10"/>
      <c r="B905" s="13"/>
      <c r="C905" s="13"/>
    </row>
    <row r="906" spans="1:3" ht="13" x14ac:dyDescent="0.15">
      <c r="A906" s="10"/>
      <c r="B906" s="13"/>
      <c r="C906" s="13"/>
    </row>
    <row r="907" spans="1:3" ht="13" x14ac:dyDescent="0.15">
      <c r="A907" s="10"/>
      <c r="B907" s="13"/>
      <c r="C907" s="13"/>
    </row>
    <row r="908" spans="1:3" ht="13" x14ac:dyDescent="0.15">
      <c r="A908" s="10"/>
      <c r="B908" s="13"/>
      <c r="C908" s="13"/>
    </row>
    <row r="909" spans="1:3" ht="13" x14ac:dyDescent="0.15">
      <c r="A909" s="10"/>
      <c r="B909" s="13"/>
      <c r="C909" s="13"/>
    </row>
    <row r="910" spans="1:3" ht="13" x14ac:dyDescent="0.15">
      <c r="A910" s="10"/>
      <c r="B910" s="13"/>
      <c r="C910" s="13"/>
    </row>
    <row r="911" spans="1:3" ht="13" x14ac:dyDescent="0.15">
      <c r="A911" s="10"/>
      <c r="B911" s="13"/>
      <c r="C911" s="13"/>
    </row>
    <row r="912" spans="1:3" ht="13" x14ac:dyDescent="0.15">
      <c r="A912" s="10"/>
      <c r="B912" s="13"/>
      <c r="C912" s="13"/>
    </row>
    <row r="913" spans="1:3" ht="13" x14ac:dyDescent="0.15">
      <c r="A913" s="10"/>
      <c r="B913" s="13"/>
      <c r="C913" s="13"/>
    </row>
    <row r="914" spans="1:3" ht="13" x14ac:dyDescent="0.15">
      <c r="A914" s="10"/>
      <c r="B914" s="13"/>
      <c r="C914" s="13"/>
    </row>
    <row r="915" spans="1:3" ht="13" x14ac:dyDescent="0.15">
      <c r="A915" s="10"/>
      <c r="B915" s="13"/>
      <c r="C915" s="13"/>
    </row>
    <row r="916" spans="1:3" ht="13" x14ac:dyDescent="0.15">
      <c r="A916" s="10"/>
      <c r="B916" s="13"/>
      <c r="C916" s="13"/>
    </row>
    <row r="917" spans="1:3" ht="13" x14ac:dyDescent="0.15">
      <c r="A917" s="10"/>
      <c r="B917" s="13"/>
      <c r="C917" s="13"/>
    </row>
    <row r="918" spans="1:3" ht="13" x14ac:dyDescent="0.15">
      <c r="A918" s="10"/>
      <c r="B918" s="13"/>
      <c r="C918" s="13"/>
    </row>
    <row r="919" spans="1:3" ht="13" x14ac:dyDescent="0.15">
      <c r="A919" s="10"/>
      <c r="B919" s="13"/>
      <c r="C919" s="13"/>
    </row>
    <row r="920" spans="1:3" ht="13" x14ac:dyDescent="0.15">
      <c r="A920" s="10"/>
      <c r="B920" s="13"/>
      <c r="C920" s="13"/>
    </row>
    <row r="921" spans="1:3" ht="13" x14ac:dyDescent="0.15">
      <c r="A921" s="10"/>
      <c r="B921" s="13"/>
      <c r="C921" s="13"/>
    </row>
    <row r="922" spans="1:3" ht="13" x14ac:dyDescent="0.15">
      <c r="A922" s="10"/>
      <c r="B922" s="13"/>
      <c r="C922" s="13"/>
    </row>
    <row r="923" spans="1:3" ht="13" x14ac:dyDescent="0.15">
      <c r="A923" s="10"/>
      <c r="B923" s="13"/>
      <c r="C923" s="13"/>
    </row>
    <row r="924" spans="1:3" ht="13" x14ac:dyDescent="0.15">
      <c r="A924" s="10"/>
      <c r="B924" s="13"/>
      <c r="C924" s="13"/>
    </row>
    <row r="925" spans="1:3" ht="13" x14ac:dyDescent="0.15">
      <c r="A925" s="10"/>
      <c r="B925" s="13"/>
      <c r="C925" s="13"/>
    </row>
    <row r="926" spans="1:3" ht="13" x14ac:dyDescent="0.15">
      <c r="A926" s="10"/>
      <c r="B926" s="13"/>
      <c r="C926" s="13"/>
    </row>
    <row r="927" spans="1:3" ht="13" x14ac:dyDescent="0.15">
      <c r="A927" s="10"/>
      <c r="B927" s="13"/>
      <c r="C927" s="13"/>
    </row>
    <row r="928" spans="1:3" ht="13" x14ac:dyDescent="0.15">
      <c r="A928" s="10"/>
      <c r="B928" s="13"/>
      <c r="C928" s="13"/>
    </row>
    <row r="929" spans="1:3" ht="13" x14ac:dyDescent="0.15">
      <c r="A929" s="10"/>
      <c r="B929" s="13"/>
      <c r="C929" s="13"/>
    </row>
    <row r="930" spans="1:3" ht="13" x14ac:dyDescent="0.15">
      <c r="A930" s="10"/>
      <c r="B930" s="13"/>
      <c r="C930" s="13"/>
    </row>
    <row r="931" spans="1:3" ht="13" x14ac:dyDescent="0.15">
      <c r="A931" s="10"/>
      <c r="B931" s="13"/>
      <c r="C931" s="13"/>
    </row>
    <row r="932" spans="1:3" ht="13" x14ac:dyDescent="0.15">
      <c r="A932" s="10"/>
      <c r="B932" s="13"/>
      <c r="C932" s="13"/>
    </row>
    <row r="933" spans="1:3" ht="13" x14ac:dyDescent="0.15">
      <c r="A933" s="10"/>
      <c r="B933" s="13"/>
      <c r="C933" s="13"/>
    </row>
    <row r="934" spans="1:3" ht="13" x14ac:dyDescent="0.15">
      <c r="A934" s="10"/>
      <c r="B934" s="13"/>
      <c r="C934" s="13"/>
    </row>
    <row r="935" spans="1:3" ht="13" x14ac:dyDescent="0.15">
      <c r="A935" s="10"/>
      <c r="B935" s="13"/>
      <c r="C935" s="13"/>
    </row>
    <row r="936" spans="1:3" ht="13" x14ac:dyDescent="0.15">
      <c r="A936" s="10"/>
      <c r="B936" s="13"/>
      <c r="C936" s="13"/>
    </row>
    <row r="937" spans="1:3" ht="13" x14ac:dyDescent="0.15">
      <c r="A937" s="10"/>
      <c r="B937" s="13"/>
      <c r="C937" s="13"/>
    </row>
    <row r="938" spans="1:3" ht="13" x14ac:dyDescent="0.15">
      <c r="A938" s="10"/>
      <c r="B938" s="13"/>
      <c r="C938" s="13"/>
    </row>
    <row r="939" spans="1:3" ht="13" x14ac:dyDescent="0.15">
      <c r="A939" s="10"/>
      <c r="B939" s="13"/>
      <c r="C939" s="13"/>
    </row>
    <row r="940" spans="1:3" ht="13" x14ac:dyDescent="0.15">
      <c r="A940" s="10"/>
      <c r="B940" s="13"/>
      <c r="C940" s="13"/>
    </row>
    <row r="941" spans="1:3" ht="13" x14ac:dyDescent="0.15">
      <c r="A941" s="10"/>
      <c r="B941" s="13"/>
      <c r="C941" s="13"/>
    </row>
    <row r="942" spans="1:3" ht="13" x14ac:dyDescent="0.15">
      <c r="A942" s="10"/>
      <c r="B942" s="13"/>
      <c r="C942" s="13"/>
    </row>
    <row r="943" spans="1:3" ht="13" x14ac:dyDescent="0.15">
      <c r="A943" s="10"/>
      <c r="B943" s="13"/>
      <c r="C943" s="13"/>
    </row>
    <row r="944" spans="1:3" ht="13" x14ac:dyDescent="0.15">
      <c r="A944" s="10"/>
      <c r="B944" s="13"/>
      <c r="C944" s="13"/>
    </row>
    <row r="945" spans="1:3" ht="13" x14ac:dyDescent="0.15">
      <c r="A945" s="10"/>
      <c r="B945" s="13"/>
      <c r="C945" s="13"/>
    </row>
    <row r="946" spans="1:3" ht="13" x14ac:dyDescent="0.15">
      <c r="A946" s="10"/>
      <c r="B946" s="13"/>
      <c r="C946" s="13"/>
    </row>
    <row r="947" spans="1:3" ht="13" x14ac:dyDescent="0.15">
      <c r="A947" s="10"/>
      <c r="B947" s="13"/>
      <c r="C947" s="13"/>
    </row>
    <row r="948" spans="1:3" ht="13" x14ac:dyDescent="0.15">
      <c r="A948" s="10"/>
      <c r="B948" s="13"/>
      <c r="C948" s="13"/>
    </row>
    <row r="949" spans="1:3" ht="13" x14ac:dyDescent="0.15">
      <c r="A949" s="10"/>
      <c r="B949" s="13"/>
      <c r="C949" s="13"/>
    </row>
    <row r="950" spans="1:3" ht="13" x14ac:dyDescent="0.15">
      <c r="A950" s="10"/>
      <c r="B950" s="13"/>
      <c r="C950" s="13"/>
    </row>
    <row r="951" spans="1:3" ht="13" x14ac:dyDescent="0.15">
      <c r="A951" s="10"/>
      <c r="B951" s="13"/>
      <c r="C951" s="13"/>
    </row>
    <row r="952" spans="1:3" ht="13" x14ac:dyDescent="0.15">
      <c r="A952" s="10"/>
      <c r="B952" s="13"/>
      <c r="C952" s="13"/>
    </row>
    <row r="953" spans="1:3" ht="13" x14ac:dyDescent="0.15">
      <c r="A953" s="10"/>
      <c r="B953" s="13"/>
      <c r="C953" s="13"/>
    </row>
    <row r="954" spans="1:3" ht="13" x14ac:dyDescent="0.15">
      <c r="A954" s="10"/>
      <c r="B954" s="13"/>
      <c r="C954" s="13"/>
    </row>
    <row r="955" spans="1:3" ht="13" x14ac:dyDescent="0.15">
      <c r="A955" s="10"/>
      <c r="B955" s="13"/>
      <c r="C955" s="13"/>
    </row>
    <row r="956" spans="1:3" ht="13" x14ac:dyDescent="0.15">
      <c r="A956" s="10"/>
      <c r="B956" s="13"/>
      <c r="C956" s="13"/>
    </row>
    <row r="957" spans="1:3" ht="13" x14ac:dyDescent="0.15">
      <c r="A957" s="10"/>
      <c r="B957" s="13"/>
      <c r="C957" s="13"/>
    </row>
    <row r="958" spans="1:3" ht="13" x14ac:dyDescent="0.15">
      <c r="A958" s="10"/>
      <c r="B958" s="13"/>
      <c r="C958" s="13"/>
    </row>
    <row r="959" spans="1:3" ht="13" x14ac:dyDescent="0.15">
      <c r="A959" s="10"/>
      <c r="B959" s="13"/>
      <c r="C959" s="13"/>
    </row>
    <row r="960" spans="1:3" ht="13" x14ac:dyDescent="0.15">
      <c r="A960" s="10"/>
      <c r="B960" s="13"/>
      <c r="C960" s="13"/>
    </row>
    <row r="961" spans="1:3" ht="13" x14ac:dyDescent="0.15">
      <c r="A961" s="10"/>
      <c r="B961" s="13"/>
      <c r="C961" s="13"/>
    </row>
    <row r="962" spans="1:3" ht="13" x14ac:dyDescent="0.15">
      <c r="A962" s="10"/>
      <c r="B962" s="13"/>
      <c r="C962" s="13"/>
    </row>
    <row r="963" spans="1:3" ht="13" x14ac:dyDescent="0.15">
      <c r="A963" s="10"/>
      <c r="B963" s="13"/>
      <c r="C963" s="13"/>
    </row>
    <row r="964" spans="1:3" ht="13" x14ac:dyDescent="0.15">
      <c r="A964" s="10"/>
      <c r="B964" s="13"/>
      <c r="C964" s="13"/>
    </row>
    <row r="965" spans="1:3" ht="13" x14ac:dyDescent="0.15">
      <c r="A965" s="10"/>
      <c r="B965" s="13"/>
      <c r="C965" s="13"/>
    </row>
    <row r="966" spans="1:3" ht="13" x14ac:dyDescent="0.15">
      <c r="A966" s="10"/>
      <c r="B966" s="13"/>
      <c r="C966" s="13"/>
    </row>
    <row r="967" spans="1:3" ht="13" x14ac:dyDescent="0.15">
      <c r="A967" s="10"/>
      <c r="B967" s="13"/>
      <c r="C967" s="13"/>
    </row>
    <row r="968" spans="1:3" ht="13" x14ac:dyDescent="0.15">
      <c r="A968" s="10"/>
      <c r="B968" s="13"/>
      <c r="C968" s="13"/>
    </row>
    <row r="969" spans="1:3" ht="13" x14ac:dyDescent="0.15">
      <c r="A969" s="10"/>
      <c r="B969" s="13"/>
      <c r="C969" s="13"/>
    </row>
    <row r="970" spans="1:3" ht="13" x14ac:dyDescent="0.15">
      <c r="A970" s="10"/>
      <c r="B970" s="13"/>
      <c r="C970" s="13"/>
    </row>
    <row r="971" spans="1:3" ht="13" x14ac:dyDescent="0.15">
      <c r="A971" s="10"/>
      <c r="B971" s="13"/>
      <c r="C971" s="13"/>
    </row>
    <row r="972" spans="1:3" ht="13" x14ac:dyDescent="0.15">
      <c r="A972" s="10"/>
      <c r="B972" s="13"/>
      <c r="C972" s="13"/>
    </row>
    <row r="973" spans="1:3" ht="13" x14ac:dyDescent="0.15">
      <c r="A973" s="10"/>
      <c r="B973" s="13"/>
      <c r="C973" s="13"/>
    </row>
    <row r="974" spans="1:3" ht="13" x14ac:dyDescent="0.15">
      <c r="A974" s="10"/>
      <c r="B974" s="13"/>
      <c r="C974" s="13"/>
    </row>
    <row r="975" spans="1:3" ht="13" x14ac:dyDescent="0.15">
      <c r="A975" s="10"/>
      <c r="B975" s="13"/>
      <c r="C975" s="13"/>
    </row>
    <row r="976" spans="1:3" ht="13" x14ac:dyDescent="0.15">
      <c r="A976" s="10"/>
      <c r="B976" s="13"/>
      <c r="C976" s="13"/>
    </row>
    <row r="977" spans="1:3" ht="13" x14ac:dyDescent="0.15">
      <c r="A977" s="10"/>
      <c r="B977" s="13"/>
      <c r="C977" s="13"/>
    </row>
    <row r="978" spans="1:3" ht="13" x14ac:dyDescent="0.15">
      <c r="A978" s="10"/>
      <c r="B978" s="13"/>
      <c r="C978" s="13"/>
    </row>
    <row r="979" spans="1:3" ht="13" x14ac:dyDescent="0.15">
      <c r="A979" s="10"/>
      <c r="B979" s="13"/>
      <c r="C979" s="13"/>
    </row>
    <row r="980" spans="1:3" ht="13" x14ac:dyDescent="0.15">
      <c r="A980" s="10"/>
      <c r="B980" s="13"/>
      <c r="C980" s="13"/>
    </row>
    <row r="981" spans="1:3" ht="13" x14ac:dyDescent="0.15">
      <c r="A981" s="10"/>
      <c r="B981" s="13"/>
      <c r="C981" s="13"/>
    </row>
    <row r="982" spans="1:3" ht="13" x14ac:dyDescent="0.15">
      <c r="A982" s="10"/>
      <c r="B982" s="13"/>
      <c r="C982" s="13"/>
    </row>
    <row r="983" spans="1:3" ht="13" x14ac:dyDescent="0.15">
      <c r="A983" s="10"/>
      <c r="B983" s="13"/>
      <c r="C983" s="13"/>
    </row>
    <row r="984" spans="1:3" ht="13" x14ac:dyDescent="0.15">
      <c r="A984" s="10"/>
      <c r="B984" s="13"/>
      <c r="C984" s="13"/>
    </row>
    <row r="985" spans="1:3" ht="13" x14ac:dyDescent="0.15">
      <c r="A985" s="10"/>
      <c r="B985" s="13"/>
      <c r="C985" s="13"/>
    </row>
    <row r="986" spans="1:3" ht="13" x14ac:dyDescent="0.15">
      <c r="A986" s="10"/>
      <c r="B986" s="13"/>
      <c r="C986" s="13"/>
    </row>
    <row r="987" spans="1:3" ht="13" x14ac:dyDescent="0.15">
      <c r="A987" s="10"/>
      <c r="B987" s="13"/>
      <c r="C987" s="13"/>
    </row>
    <row r="988" spans="1:3" ht="13" x14ac:dyDescent="0.15">
      <c r="A988" s="10"/>
      <c r="B988" s="13"/>
      <c r="C988" s="13"/>
    </row>
    <row r="989" spans="1:3" ht="13" x14ac:dyDescent="0.15">
      <c r="A989" s="10"/>
      <c r="B989" s="13"/>
      <c r="C989" s="13"/>
    </row>
    <row r="990" spans="1:3" ht="13" x14ac:dyDescent="0.15">
      <c r="A990" s="10"/>
      <c r="B990" s="13"/>
      <c r="C990" s="13"/>
    </row>
    <row r="991" spans="1:3" ht="13" x14ac:dyDescent="0.15">
      <c r="A991" s="10"/>
      <c r="B991" s="13"/>
      <c r="C991" s="13"/>
    </row>
    <row r="992" spans="1:3" ht="13" x14ac:dyDescent="0.15">
      <c r="A992" s="10"/>
      <c r="B992" s="13"/>
      <c r="C992" s="13"/>
    </row>
    <row r="993" spans="1:3" ht="13" x14ac:dyDescent="0.15">
      <c r="A993" s="10"/>
      <c r="B993" s="13"/>
      <c r="C993" s="13"/>
    </row>
    <row r="994" spans="1:3" ht="13" x14ac:dyDescent="0.15">
      <c r="A994" s="10"/>
      <c r="B994" s="13"/>
      <c r="C994" s="13"/>
    </row>
    <row r="995" spans="1:3" ht="13" x14ac:dyDescent="0.15">
      <c r="A995" s="10"/>
      <c r="B995" s="13"/>
      <c r="C995" s="13"/>
    </row>
    <row r="996" spans="1:3" ht="13" x14ac:dyDescent="0.15">
      <c r="A996" s="10"/>
      <c r="B996" s="13"/>
      <c r="C996" s="13"/>
    </row>
    <row r="997" spans="1:3" ht="13" x14ac:dyDescent="0.15">
      <c r="A997" s="10"/>
      <c r="B997" s="13"/>
      <c r="C997" s="13"/>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outlinePr summaryBelow="0" summaryRight="0"/>
  </sheetPr>
  <dimension ref="A1:D997"/>
  <sheetViews>
    <sheetView workbookViewId="0"/>
  </sheetViews>
  <sheetFormatPr baseColWidth="10" defaultColWidth="12.6640625" defaultRowHeight="15.75" customHeight="1" x14ac:dyDescent="0.15"/>
  <cols>
    <col min="1" max="1" width="71.5" customWidth="1"/>
    <col min="2" max="4" width="37.6640625" customWidth="1"/>
  </cols>
  <sheetData>
    <row r="1" spans="1:4" ht="15.75" customHeight="1" x14ac:dyDescent="0.15">
      <c r="A1" s="1"/>
      <c r="B1" s="10" t="str">
        <f ca="1">IFERROR(__xludf.DUMMYFUNCTION("IMPORTRANGE(""https://docs.google.com/spreadsheets/u/0/d/1etLQb97lMSNWG4ebq9e4mMf5V6Y_IPpBxMswZpIG47E"", ""A54!B1:B22"")"),"Erin Loudermilk")</f>
        <v>Erin Loudermilk</v>
      </c>
      <c r="C1" s="10" t="str">
        <f ca="1">IFERROR(__xludf.DUMMYFUNCTION("IMPORTRANGE(""https://docs.google.com/spreadsheets/u/0/d/1v3alDV9sI-Ng7OoZouCf4a0CI5tv_Xg2T3WprxxRGRs"", ""A54!B1:B22"")"),"Tyler")</f>
        <v>Tyler</v>
      </c>
      <c r="D1" s="2" t="s">
        <v>1</v>
      </c>
    </row>
    <row r="2" spans="1:4" ht="15.75" customHeight="1" x14ac:dyDescent="0.15">
      <c r="A2" s="3" t="s">
        <v>2</v>
      </c>
      <c r="B2" s="15" t="str">
        <f ca="1">IFERROR(__xludf.DUMMYFUNCTION("""COMPUTED_VALUE"""),"30521 - 31468 FOR")</f>
        <v>30521 - 31468 FOR</v>
      </c>
      <c r="C2" s="15" t="str">
        <f ca="1">IFERROR(__xludf.DUMMYFUNCTION("""COMPUTED_VALUE"""),"30521 to 31468 (Forward)")</f>
        <v>30521 to 31468 (Forward)</v>
      </c>
      <c r="D2" s="4"/>
    </row>
    <row r="3" spans="1:4" ht="15.75" customHeight="1" x14ac:dyDescent="0.15">
      <c r="A3" s="5" t="s">
        <v>3</v>
      </c>
      <c r="B3" s="17" t="str">
        <f ca="1">IFERROR(__xludf.DUMMYFUNCTION("""COMPUTED_VALUE"""),"DNA- 53 Pham- 54")</f>
        <v>DNA- 53 Pham- 54</v>
      </c>
      <c r="C3" s="17" t="str">
        <f ca="1">IFERROR(__xludf.DUMMYFUNCTION("""COMPUTED_VALUE"""),"DNA Master_53
Phamerator_54
")</f>
        <v xml:space="preserve">DNA Master_53
Phamerator_54
</v>
      </c>
      <c r="D3" s="6"/>
    </row>
    <row r="4" spans="1:4" ht="15.75" customHeight="1" x14ac:dyDescent="0.15">
      <c r="A4" s="5" t="s">
        <v>4</v>
      </c>
      <c r="B4" s="17" t="str">
        <f ca="1">IFERROR(__xludf.DUMMYFUNCTION("""COMPUTED_VALUE""")," Pham 221663 (3/17/25)")</f>
        <v xml:space="preserve"> Pham 221663 (3/17/25)</v>
      </c>
      <c r="C4" s="17" t="str">
        <f ca="1">IFERROR(__xludf.DUMMYFUNCTION("""COMPUTED_VALUE"""),"219904 3/10/25")</f>
        <v>219904 3/10/25</v>
      </c>
      <c r="D4" s="6"/>
    </row>
    <row r="5" spans="1:4" ht="15.75" customHeight="1" x14ac:dyDescent="0.15">
      <c r="A5" s="5" t="s">
        <v>5</v>
      </c>
      <c r="B5" s="17" t="str">
        <f ca="1">IFERROR(__xludf.DUMMYFUNCTION("""COMPUTED_VALUE"""),"Exile_42, Pitbull_54 ")</f>
        <v xml:space="preserve">Exile_42, Pitbull_54 </v>
      </c>
      <c r="C5" s="17" t="str">
        <f ca="1">IFERROR(__xludf.DUMMYFUNCTION("""COMPUTED_VALUE"""),"Pitbull_54 ")</f>
        <v xml:space="preserve">Pitbull_54 </v>
      </c>
      <c r="D5" s="6"/>
    </row>
    <row r="6" spans="1:4" ht="15.75" customHeight="1" x14ac:dyDescent="0.15">
      <c r="A6" s="5" t="s">
        <v>6</v>
      </c>
      <c r="B6" s="17" t="str">
        <f ca="1">IFERROR(__xludf.DUMMYFUNCTION("""COMPUTED_VALUE"""),"Both call start @ 30521")</f>
        <v>Both call start @ 30521</v>
      </c>
      <c r="C6" s="17" t="str">
        <f ca="1">IFERROR(__xludf.DUMMYFUNCTION("""COMPUTED_VALUE"""),"Both call @bp 30521 strength 3.60 ")</f>
        <v xml:space="preserve">Both call @bp 30521 strength 3.60 </v>
      </c>
      <c r="D6" s="6"/>
    </row>
    <row r="7" spans="1:4" ht="15.75" customHeight="1" x14ac:dyDescent="0.15">
      <c r="A7" s="5" t="s">
        <v>7</v>
      </c>
      <c r="B7" s="17" t="str">
        <f ca="1">IFERROR(__xludf.DUMMYFUNCTION("""COMPUTED_VALUE"""),"Gene has good coding potential, all coding potential included with start")</f>
        <v>Gene has good coding potential, all coding potential included with start</v>
      </c>
      <c r="C7" s="17" t="str">
        <f ca="1">IFERROR(__xludf.DUMMYFUNCTION("""COMPUTED_VALUE"""),"Yes, all potential included with current start, there is a drop in potential towards the end. ")</f>
        <v xml:space="preserve">Yes, all potential included with current start, there is a drop in potential towards the end. </v>
      </c>
      <c r="D7" s="6"/>
    </row>
    <row r="8" spans="1:4" ht="15.75" customHeight="1" x14ac:dyDescent="0.15">
      <c r="A8" s="5" t="s">
        <v>8</v>
      </c>
      <c r="B8" s="17" t="str">
        <f ca="1">IFERROR(__xludf.DUMMYFUNCTION("""COMPUTED_VALUE"""),"Yes")</f>
        <v>Yes</v>
      </c>
      <c r="C8" s="17" t="str">
        <f ca="1">IFERROR(__xludf.DUMMYFUNCTION("""COMPUTED_VALUE"""),"Yes")</f>
        <v>Yes</v>
      </c>
      <c r="D8" s="6"/>
    </row>
    <row r="9" spans="1:4" ht="15.75" customHeight="1" x14ac:dyDescent="0.15">
      <c r="A9" s="5" t="s">
        <v>9</v>
      </c>
      <c r="B9" s="17" t="str">
        <f ca="1">IFERROR(__xludf.DUMMYFUNCTION("""COMPUTED_VALUE"""),"112 gap, smallest gap possible")</f>
        <v>112 gap, smallest gap possible</v>
      </c>
      <c r="C9" s="17" t="str">
        <f ca="1">IFERROR(__xludf.DUMMYFUNCTION("""COMPUTED_VALUE"""),"114 nt gap ")</f>
        <v xml:space="preserve">114 nt gap </v>
      </c>
      <c r="D9" s="6"/>
    </row>
    <row r="10" spans="1:4" ht="15.75" customHeight="1" x14ac:dyDescent="0.15">
      <c r="A10" s="5" t="s">
        <v>10</v>
      </c>
      <c r="B10" s="17" t="str">
        <f ca="1">IFERROR(__xludf.DUMMYFUNCTION("""COMPUTED_VALUE"""),"1.581, best z-score")</f>
        <v>1.581, best z-score</v>
      </c>
      <c r="C10" s="17" t="str">
        <f ca="1">IFERROR(__xludf.DUMMYFUNCTION("""COMPUTED_VALUE"""),"The current start has an okay Z score (1.591). Start 6 at start 31052 has the best Z score (2.807) ")</f>
        <v xml:space="preserve">The current start has an okay Z score (1.591). Start 6 at start 31052 has the best Z score (2.807) </v>
      </c>
      <c r="D10" s="6"/>
    </row>
    <row r="11" spans="1:4" ht="15.75" customHeight="1" x14ac:dyDescent="0.15">
      <c r="A11" s="5" t="s">
        <v>11</v>
      </c>
      <c r="B11" s="17" t="str">
        <f ca="1">IFERROR(__xludf.DUMMYFUNCTION("""COMPUTED_VALUE"""),"Pitbull_54, 52.81% identity, 0.0E0 e value, q:303, s: 325")</f>
        <v>Pitbull_54, 52.81% identity, 0.0E0 e value, q:303, s: 325</v>
      </c>
      <c r="C11" s="17" t="str">
        <f ca="1">IFERROR(__xludf.DUMMYFUNCTION("""COMPUTED_VALUE"""),"Pitbull_54; 52.81% identity; 0.0E0")</f>
        <v>Pitbull_54; 52.81% identity; 0.0E0</v>
      </c>
      <c r="D11" s="6"/>
    </row>
    <row r="12" spans="1:4" ht="15.75" customHeight="1" x14ac:dyDescent="0.15">
      <c r="A12" s="5" t="s">
        <v>12</v>
      </c>
      <c r="B12" s="17" t="str">
        <f ca="1">IFERROR(__xludf.DUMMYFUNCTION("""COMPUTED_VALUE"""),"Not conserved in all members, 100% called when present")</f>
        <v>Not conserved in all members, 100% called when present</v>
      </c>
      <c r="C12" s="17" t="str">
        <f ca="1">IFERROR(__xludf.DUMMYFUNCTION("""COMPUTED_VALUE"""),"No, called only one other time. But ApoKipo does not have the most common start")</f>
        <v>No, called only one other time. But ApoKipo does not have the most common start</v>
      </c>
      <c r="D12" s="6"/>
    </row>
    <row r="13" spans="1:4" ht="15.75" customHeight="1" x14ac:dyDescent="0.15">
      <c r="A13" s="5" t="s">
        <v>13</v>
      </c>
      <c r="B13" s="17" t="str">
        <f ca="1">IFERROR(__xludf.DUMMYFUNCTION("""COMPUTED_VALUE"""),"No ")</f>
        <v xml:space="preserve">No </v>
      </c>
      <c r="C13" s="17" t="str">
        <f ca="1">IFERROR(__xludf.DUMMYFUNCTION("""COMPUTED_VALUE"""),"No, there is a large gap, but no previous start to lessen the gap. Moving the start would make the gap larger. ")</f>
        <v xml:space="preserve">No, there is a large gap, but no previous start to lessen the gap. Moving the start would make the gap larger. </v>
      </c>
      <c r="D13" s="6"/>
    </row>
    <row r="14" spans="1:4" ht="15.75" customHeight="1" x14ac:dyDescent="0.15">
      <c r="A14" s="5" t="s">
        <v>14</v>
      </c>
      <c r="B14" s="17" t="str">
        <f ca="1">IFERROR(__xludf.DUMMYFUNCTION("""COMPUTED_VALUE"""),"Pitbull_54, 6e-81 e-value")</f>
        <v>Pitbull_54, 6e-81 e-value</v>
      </c>
      <c r="C14" s="17" t="str">
        <f ca="1">IFERROR(__xludf.DUMMYFUNCTION("""COMPUTED_VALUE"""),"Pitbull_54; 6e-81
Yeet_112; 3e-29
")</f>
        <v xml:space="preserve">Pitbull_54; 6e-81
Yeet_112; 3e-29
</v>
      </c>
      <c r="D14" s="6"/>
    </row>
    <row r="15" spans="1:4" ht="15.75" customHeight="1" x14ac:dyDescent="0.15">
      <c r="A15" s="5" t="s">
        <v>15</v>
      </c>
      <c r="B15" s="17" t="str">
        <f ca="1">IFERROR(__xludf.DUMMYFUNCTION("""COMPUTED_VALUE"""),"DNA methyltransferase")</f>
        <v>DNA methyltransferase</v>
      </c>
      <c r="C15" s="17" t="str">
        <f ca="1">IFERROR(__xludf.DUMMYFUNCTION("""COMPUTED_VALUE"""),"DNA Methyltransferase
Methyltransferase
")</f>
        <v xml:space="preserve">DNA Methyltransferase
Methyltransferase
</v>
      </c>
      <c r="D15" s="6"/>
    </row>
    <row r="16" spans="1:4" ht="15.75" customHeight="1" x14ac:dyDescent="0.15">
      <c r="A16" s="5" t="s">
        <v>16</v>
      </c>
      <c r="B16" s="17" t="str">
        <f ca="1">IFERROR(__xludf.DUMMYFUNCTION("""COMPUTED_VALUE"""),"Not found in syntenty with other genes of the AL cluster")</f>
        <v>Not found in syntenty with other genes of the AL cluster</v>
      </c>
      <c r="C16" s="17" t="str">
        <f ca="1">IFERROR(__xludf.DUMMYFUNCTION("""COMPUTED_VALUE"""),"There no synteny,")</f>
        <v>There no synteny,</v>
      </c>
      <c r="D16" s="6"/>
    </row>
    <row r="17" spans="1:4" ht="15.75" customHeight="1" x14ac:dyDescent="0.15">
      <c r="A17" s="5" t="s">
        <v>17</v>
      </c>
      <c r="B17" s="17" t="str">
        <f ca="1">IFERROR(__xludf.DUMMYFUNCTION("""COMPUTED_VALUE"""),"DNA cytosine-5 methyltransferase, 100% probability, 95.87% Q, 97.25% T, Functional domain in target part of alignment")</f>
        <v>DNA cytosine-5 methyltransferase, 100% probability, 95.87% Q, 97.25% T, Functional domain in target part of alignment</v>
      </c>
      <c r="C17" s="17" t="str">
        <f ca="1">IFERROR(__xludf.DUMMYFUNCTION("""COMPUTED_VALUE"""),"Modification methylase HhaI; CG-SPECIFICITY, CPG SEQUENCE, C5-METHYLCYTOSINE, NUCLEOTIDE FLIPPING, S-ADENOSYL-L-HOMOCYSTEINE, COMPLEX (METHYLTRANSFERASE- DNA), transferase-DNA complex
Probability:100%
% alignment of Q: 94.6%
% alignment of T: 91.1%
ye"&amp;"s
Modification methylase HaeIII; Protein-DNA complex, DNA cytosine-5 methyltransferase, DNA binding, S-Adenosyl methionine binding, Cytosine-5 DNA methylation, TRANSFERASE-DNA complex
Probability:100%
% alignment of Q: 95.2%
% alignment of T: 90.6%
"&amp;"
yes
")</f>
        <v xml:space="preserve">Modification methylase HhaI; CG-SPECIFICITY, CPG SEQUENCE, C5-METHYLCYTOSINE, NUCLEOTIDE FLIPPING, S-ADENOSYL-L-HOMOCYSTEINE, COMPLEX (METHYLTRANSFERASE- DNA), transferase-DNA complex
Probability:100%
% alignment of Q: 94.6%
% alignment of T: 91.1%
yes
Modification methylase HaeIII; Protein-DNA complex, DNA cytosine-5 methyltransferase, DNA binding, S-Adenosyl methionine binding, Cytosine-5 DNA methylation, TRANSFERASE-DNA complex
Probability:100%
% alignment of Q: 95.2%
% alignment of T: 90.6%
yes
</v>
      </c>
      <c r="D17" s="6"/>
    </row>
    <row r="18" spans="1:4" ht="15.75" customHeight="1" x14ac:dyDescent="0.15">
      <c r="A18" s="5" t="s">
        <v>18</v>
      </c>
      <c r="B18" s="17" t="str">
        <f ca="1">IFERROR(__xludf.DUMMYFUNCTION("""COMPUTED_VALUE"""),"DNA_methylase")</f>
        <v>DNA_methylase</v>
      </c>
      <c r="C18" s="17" t="str">
        <f ca="1">IFERROR(__xludf.DUMMYFUNCTION("""COMPUTED_VALUE"""),"Modification_methylase
PRK10458
Cyt_C5_DNA_methylase
Dcm
DNA_methylase
")</f>
        <v xml:space="preserve">Modification_methylase
PRK10458
Cyt_C5_DNA_methylase
Dcm
DNA_methylase
</v>
      </c>
      <c r="D18" s="6"/>
    </row>
    <row r="19" spans="1:4" ht="15.75" customHeight="1" x14ac:dyDescent="0.15">
      <c r="A19" s="5" t="s">
        <v>19</v>
      </c>
      <c r="B19" s="17" t="str">
        <f ca="1">IFERROR(__xludf.DUMMYFUNCTION("""COMPUTED_VALUE"""),"None")</f>
        <v>None</v>
      </c>
      <c r="C19" s="17" t="str">
        <f ca="1">IFERROR(__xludf.DUMMYFUNCTION("""COMPUTED_VALUE"""),"no")</f>
        <v>no</v>
      </c>
      <c r="D19" s="6"/>
    </row>
    <row r="20" spans="1:4" ht="15.75" customHeight="1" x14ac:dyDescent="0.15">
      <c r="A20" s="5" t="s">
        <v>20</v>
      </c>
      <c r="B20" s="17" t="str">
        <f ca="1">IFERROR(__xludf.DUMMYFUNCTION("""COMPUTED_VALUE"""),"DNA Methyltransferase")</f>
        <v>DNA Methyltransferase</v>
      </c>
      <c r="C20" s="17" t="str">
        <f ca="1">IFERROR(__xludf.DUMMYFUNCTION("""COMPUTED_VALUE"""),"DNA methyltransferase; blast results and HHpred results support this. Also, all of the functional domains of this gene relate to DNA methylase which is an equivalent term to DNA methyltransferase. ")</f>
        <v xml:space="preserve">DNA methyltransferase; blast results and HHpred results support this. Also, all of the functional domains of this gene relate to DNA methylase which is an equivalent term to DNA methyltransferase. </v>
      </c>
      <c r="D20" s="6"/>
    </row>
    <row r="21" spans="1:4" x14ac:dyDescent="0.2">
      <c r="A21" s="7"/>
      <c r="B21" s="19"/>
      <c r="C21" s="19"/>
      <c r="D21" s="8"/>
    </row>
    <row r="22" spans="1:4" ht="15.75" customHeight="1" x14ac:dyDescent="0.15">
      <c r="A22" s="9" t="s">
        <v>21</v>
      </c>
      <c r="B22" s="19"/>
      <c r="C22" s="19"/>
      <c r="D22" s="8"/>
    </row>
    <row r="23" spans="1:4" ht="15.75" customHeight="1" x14ac:dyDescent="0.15">
      <c r="A23" s="10"/>
      <c r="B23" s="13"/>
      <c r="C23" s="13"/>
    </row>
    <row r="24" spans="1:4" ht="15.75" customHeight="1" x14ac:dyDescent="0.15">
      <c r="A24" s="10"/>
      <c r="B24" s="13"/>
      <c r="C24" s="13"/>
    </row>
    <row r="25" spans="1:4" ht="15.75" customHeight="1" x14ac:dyDescent="0.15">
      <c r="A25" s="10"/>
      <c r="B25" s="13"/>
      <c r="C25" s="13"/>
    </row>
    <row r="26" spans="1:4" ht="15.75" customHeight="1" x14ac:dyDescent="0.15">
      <c r="A26" s="10"/>
      <c r="B26" s="13"/>
      <c r="C26" s="13"/>
    </row>
    <row r="27" spans="1:4" ht="15.75" customHeight="1" x14ac:dyDescent="0.15">
      <c r="A27" s="10"/>
      <c r="B27" s="13"/>
      <c r="C27" s="13"/>
    </row>
    <row r="28" spans="1:4" ht="15.75" customHeight="1" x14ac:dyDescent="0.15">
      <c r="A28" s="10"/>
      <c r="B28" s="13"/>
      <c r="C28" s="13"/>
    </row>
    <row r="29" spans="1:4" ht="15.75" customHeight="1" x14ac:dyDescent="0.15">
      <c r="A29" s="10"/>
      <c r="B29" s="13"/>
      <c r="C29" s="13"/>
    </row>
    <row r="30" spans="1:4" ht="15.75" customHeight="1" x14ac:dyDescent="0.15">
      <c r="A30" s="10"/>
      <c r="B30" s="13"/>
      <c r="C30" s="13"/>
    </row>
    <row r="31" spans="1:4" ht="15.75" customHeight="1" x14ac:dyDescent="0.15">
      <c r="A31" s="10"/>
      <c r="B31" s="13"/>
      <c r="C31" s="13"/>
    </row>
    <row r="32" spans="1:4" ht="15.75" customHeight="1" x14ac:dyDescent="0.15">
      <c r="A32" s="10"/>
      <c r="B32" s="13"/>
      <c r="C32" s="13"/>
    </row>
    <row r="33" spans="1:3" ht="15.75" customHeight="1" x14ac:dyDescent="0.15">
      <c r="A33" s="10"/>
      <c r="B33" s="13"/>
      <c r="C33" s="13"/>
    </row>
    <row r="34" spans="1:3" ht="15.75" customHeight="1" x14ac:dyDescent="0.15">
      <c r="A34" s="10"/>
      <c r="B34" s="13"/>
      <c r="C34" s="13"/>
    </row>
    <row r="35" spans="1:3" ht="15.75" customHeight="1" x14ac:dyDescent="0.15">
      <c r="A35" s="10"/>
      <c r="B35" s="13"/>
      <c r="C35" s="13"/>
    </row>
    <row r="36" spans="1:3" ht="15.75" customHeight="1" x14ac:dyDescent="0.15">
      <c r="A36" s="10"/>
      <c r="B36" s="13"/>
      <c r="C36" s="13"/>
    </row>
    <row r="37" spans="1:3" ht="15.75" customHeight="1" x14ac:dyDescent="0.15">
      <c r="A37" s="10"/>
      <c r="B37" s="13"/>
      <c r="C37" s="13"/>
    </row>
    <row r="38" spans="1:3" ht="15.75" customHeight="1" x14ac:dyDescent="0.15">
      <c r="A38" s="10"/>
      <c r="B38" s="13"/>
      <c r="C38" s="13"/>
    </row>
    <row r="39" spans="1:3" ht="13" x14ac:dyDescent="0.15">
      <c r="A39" s="10"/>
      <c r="B39" s="13"/>
      <c r="C39" s="13"/>
    </row>
    <row r="40" spans="1:3" ht="13" x14ac:dyDescent="0.15">
      <c r="A40" s="10"/>
      <c r="B40" s="13"/>
      <c r="C40" s="13"/>
    </row>
    <row r="41" spans="1:3" ht="13" x14ac:dyDescent="0.15">
      <c r="A41" s="10"/>
      <c r="B41" s="13"/>
      <c r="C41" s="13"/>
    </row>
    <row r="42" spans="1:3" ht="13" x14ac:dyDescent="0.15">
      <c r="A42" s="10"/>
      <c r="B42" s="13"/>
      <c r="C42" s="13"/>
    </row>
    <row r="43" spans="1:3" ht="13" x14ac:dyDescent="0.15">
      <c r="A43" s="10"/>
      <c r="B43" s="13"/>
      <c r="C43" s="13"/>
    </row>
    <row r="44" spans="1:3" ht="13" x14ac:dyDescent="0.15">
      <c r="A44" s="10"/>
      <c r="B44" s="13"/>
      <c r="C44" s="13"/>
    </row>
    <row r="45" spans="1:3" ht="13" x14ac:dyDescent="0.15">
      <c r="A45" s="10"/>
      <c r="B45" s="13"/>
      <c r="C45" s="13"/>
    </row>
    <row r="46" spans="1:3" ht="13" x14ac:dyDescent="0.15">
      <c r="A46" s="10"/>
      <c r="B46" s="13"/>
      <c r="C46" s="13"/>
    </row>
    <row r="47" spans="1:3" ht="13" x14ac:dyDescent="0.15">
      <c r="A47" s="10"/>
      <c r="B47" s="13"/>
      <c r="C47" s="13"/>
    </row>
    <row r="48" spans="1:3" ht="13" x14ac:dyDescent="0.15">
      <c r="A48" s="10"/>
      <c r="B48" s="13"/>
      <c r="C48" s="13"/>
    </row>
    <row r="49" spans="1:3" ht="13" x14ac:dyDescent="0.15">
      <c r="A49" s="10"/>
      <c r="B49" s="13"/>
      <c r="C49" s="13"/>
    </row>
    <row r="50" spans="1:3" ht="13" x14ac:dyDescent="0.15">
      <c r="A50" s="10"/>
      <c r="B50" s="13"/>
      <c r="C50" s="13"/>
    </row>
    <row r="51" spans="1:3" ht="13" x14ac:dyDescent="0.15">
      <c r="A51" s="10"/>
      <c r="B51" s="13"/>
      <c r="C51" s="13"/>
    </row>
    <row r="52" spans="1:3" ht="13" x14ac:dyDescent="0.15">
      <c r="A52" s="10"/>
      <c r="B52" s="13"/>
      <c r="C52" s="13"/>
    </row>
    <row r="53" spans="1:3" ht="13" x14ac:dyDescent="0.15">
      <c r="A53" s="10"/>
      <c r="B53" s="13"/>
      <c r="C53" s="13"/>
    </row>
    <row r="54" spans="1:3" ht="13" x14ac:dyDescent="0.15">
      <c r="A54" s="10"/>
      <c r="B54" s="13"/>
      <c r="C54" s="13"/>
    </row>
    <row r="55" spans="1:3" ht="13" x14ac:dyDescent="0.15">
      <c r="A55" s="10"/>
      <c r="B55" s="13"/>
      <c r="C55" s="13"/>
    </row>
    <row r="56" spans="1:3" ht="13" x14ac:dyDescent="0.15">
      <c r="A56" s="10"/>
      <c r="B56" s="13"/>
      <c r="C56" s="13"/>
    </row>
    <row r="57" spans="1:3" ht="13" x14ac:dyDescent="0.15">
      <c r="A57" s="10"/>
      <c r="B57" s="13"/>
      <c r="C57" s="13"/>
    </row>
    <row r="58" spans="1:3" ht="13" x14ac:dyDescent="0.15">
      <c r="A58" s="10"/>
      <c r="B58" s="13"/>
      <c r="C58" s="13"/>
    </row>
    <row r="59" spans="1:3" ht="13" x14ac:dyDescent="0.15">
      <c r="A59" s="10"/>
      <c r="B59" s="13"/>
      <c r="C59" s="13"/>
    </row>
    <row r="60" spans="1:3" ht="13" x14ac:dyDescent="0.15">
      <c r="A60" s="10"/>
      <c r="B60" s="13"/>
      <c r="C60" s="13"/>
    </row>
    <row r="61" spans="1:3" ht="13" x14ac:dyDescent="0.15">
      <c r="A61" s="10"/>
      <c r="B61" s="13"/>
      <c r="C61" s="13"/>
    </row>
    <row r="62" spans="1:3" ht="13" x14ac:dyDescent="0.15">
      <c r="A62" s="10"/>
      <c r="B62" s="13"/>
      <c r="C62" s="13"/>
    </row>
    <row r="63" spans="1:3" ht="13" x14ac:dyDescent="0.15">
      <c r="A63" s="10"/>
      <c r="B63" s="13"/>
      <c r="C63" s="13"/>
    </row>
    <row r="64" spans="1:3" ht="13" x14ac:dyDescent="0.15">
      <c r="A64" s="10"/>
      <c r="B64" s="13"/>
      <c r="C64" s="13"/>
    </row>
    <row r="65" spans="1:3" ht="13" x14ac:dyDescent="0.15">
      <c r="A65" s="10"/>
      <c r="B65" s="13"/>
      <c r="C65" s="13"/>
    </row>
    <row r="66" spans="1:3" ht="13" x14ac:dyDescent="0.15">
      <c r="A66" s="10"/>
      <c r="B66" s="13"/>
      <c r="C66" s="13"/>
    </row>
    <row r="67" spans="1:3" ht="13" x14ac:dyDescent="0.15">
      <c r="A67" s="10"/>
      <c r="B67" s="13"/>
      <c r="C67" s="13"/>
    </row>
    <row r="68" spans="1:3" ht="13" x14ac:dyDescent="0.15">
      <c r="A68" s="10"/>
      <c r="B68" s="13"/>
      <c r="C68" s="13"/>
    </row>
    <row r="69" spans="1:3" ht="13" x14ac:dyDescent="0.15">
      <c r="A69" s="10"/>
      <c r="B69" s="13"/>
      <c r="C69" s="13"/>
    </row>
    <row r="70" spans="1:3" ht="13" x14ac:dyDescent="0.15">
      <c r="A70" s="10"/>
      <c r="B70" s="13"/>
      <c r="C70" s="13"/>
    </row>
    <row r="71" spans="1:3" ht="13" x14ac:dyDescent="0.15">
      <c r="A71" s="10"/>
      <c r="B71" s="13"/>
      <c r="C71" s="13"/>
    </row>
    <row r="72" spans="1:3" ht="13" x14ac:dyDescent="0.15">
      <c r="A72" s="10"/>
      <c r="B72" s="13"/>
      <c r="C72" s="13"/>
    </row>
    <row r="73" spans="1:3" ht="13" x14ac:dyDescent="0.15">
      <c r="A73" s="10"/>
      <c r="B73" s="13"/>
      <c r="C73" s="13"/>
    </row>
    <row r="74" spans="1:3" ht="13" x14ac:dyDescent="0.15">
      <c r="A74" s="10"/>
      <c r="B74" s="13"/>
      <c r="C74" s="13"/>
    </row>
    <row r="75" spans="1:3" ht="13" x14ac:dyDescent="0.15">
      <c r="A75" s="10"/>
      <c r="B75" s="13"/>
      <c r="C75" s="13"/>
    </row>
    <row r="76" spans="1:3" ht="13" x14ac:dyDescent="0.15">
      <c r="A76" s="10"/>
      <c r="B76" s="13"/>
      <c r="C76" s="13"/>
    </row>
    <row r="77" spans="1:3" ht="13" x14ac:dyDescent="0.15">
      <c r="A77" s="10"/>
      <c r="B77" s="13"/>
      <c r="C77" s="13"/>
    </row>
    <row r="78" spans="1:3" ht="13" x14ac:dyDescent="0.15">
      <c r="A78" s="10"/>
      <c r="B78" s="13"/>
      <c r="C78" s="13"/>
    </row>
    <row r="79" spans="1:3" ht="13" x14ac:dyDescent="0.15">
      <c r="A79" s="10"/>
      <c r="B79" s="13"/>
      <c r="C79" s="13"/>
    </row>
    <row r="80" spans="1:3" ht="13" x14ac:dyDescent="0.15">
      <c r="A80" s="10"/>
      <c r="B80" s="13"/>
      <c r="C80" s="13"/>
    </row>
    <row r="81" spans="1:3" ht="13" x14ac:dyDescent="0.15">
      <c r="A81" s="10"/>
      <c r="B81" s="13"/>
      <c r="C81" s="13"/>
    </row>
    <row r="82" spans="1:3" ht="13" x14ac:dyDescent="0.15">
      <c r="A82" s="10"/>
      <c r="B82" s="13"/>
      <c r="C82" s="13"/>
    </row>
    <row r="83" spans="1:3" ht="13" x14ac:dyDescent="0.15">
      <c r="A83" s="10"/>
      <c r="B83" s="13"/>
      <c r="C83" s="13"/>
    </row>
    <row r="84" spans="1:3" ht="13" x14ac:dyDescent="0.15">
      <c r="A84" s="10"/>
      <c r="B84" s="13"/>
      <c r="C84" s="13"/>
    </row>
    <row r="85" spans="1:3" ht="13" x14ac:dyDescent="0.15">
      <c r="A85" s="10"/>
      <c r="B85" s="13"/>
      <c r="C85" s="13"/>
    </row>
    <row r="86" spans="1:3" ht="13" x14ac:dyDescent="0.15">
      <c r="A86" s="10"/>
      <c r="B86" s="13"/>
      <c r="C86" s="13"/>
    </row>
    <row r="87" spans="1:3" ht="13" x14ac:dyDescent="0.15">
      <c r="A87" s="10"/>
      <c r="B87" s="13"/>
      <c r="C87" s="13"/>
    </row>
    <row r="88" spans="1:3" ht="13" x14ac:dyDescent="0.15">
      <c r="A88" s="10"/>
      <c r="B88" s="13"/>
      <c r="C88" s="13"/>
    </row>
    <row r="89" spans="1:3" ht="13" x14ac:dyDescent="0.15">
      <c r="A89" s="10"/>
      <c r="B89" s="13"/>
      <c r="C89" s="13"/>
    </row>
    <row r="90" spans="1:3" ht="13" x14ac:dyDescent="0.15">
      <c r="A90" s="10"/>
      <c r="B90" s="13"/>
      <c r="C90" s="13"/>
    </row>
    <row r="91" spans="1:3" ht="13" x14ac:dyDescent="0.15">
      <c r="A91" s="10"/>
      <c r="B91" s="13"/>
      <c r="C91" s="13"/>
    </row>
    <row r="92" spans="1:3" ht="13" x14ac:dyDescent="0.15">
      <c r="A92" s="10"/>
      <c r="B92" s="13"/>
      <c r="C92" s="13"/>
    </row>
    <row r="93" spans="1:3" ht="13" x14ac:dyDescent="0.15">
      <c r="A93" s="10"/>
      <c r="B93" s="13"/>
      <c r="C93" s="13"/>
    </row>
    <row r="94" spans="1:3" ht="13" x14ac:dyDescent="0.15">
      <c r="A94" s="10"/>
      <c r="B94" s="13"/>
      <c r="C94" s="13"/>
    </row>
    <row r="95" spans="1:3" ht="13" x14ac:dyDescent="0.15">
      <c r="A95" s="10"/>
      <c r="B95" s="13"/>
      <c r="C95" s="13"/>
    </row>
    <row r="96" spans="1:3" ht="13" x14ac:dyDescent="0.15">
      <c r="A96" s="10"/>
      <c r="B96" s="13"/>
      <c r="C96" s="13"/>
    </row>
    <row r="97" spans="1:3" ht="13" x14ac:dyDescent="0.15">
      <c r="A97" s="10"/>
      <c r="B97" s="13"/>
      <c r="C97" s="13"/>
    </row>
    <row r="98" spans="1:3" ht="13" x14ac:dyDescent="0.15">
      <c r="A98" s="10"/>
      <c r="B98" s="13"/>
      <c r="C98" s="13"/>
    </row>
    <row r="99" spans="1:3" ht="13" x14ac:dyDescent="0.15">
      <c r="A99" s="10"/>
      <c r="B99" s="13"/>
      <c r="C99" s="13"/>
    </row>
    <row r="100" spans="1:3" ht="13" x14ac:dyDescent="0.15">
      <c r="A100" s="10"/>
      <c r="B100" s="13"/>
      <c r="C100" s="13"/>
    </row>
    <row r="101" spans="1:3" ht="13" x14ac:dyDescent="0.15">
      <c r="A101" s="10"/>
      <c r="B101" s="13"/>
      <c r="C101" s="13"/>
    </row>
    <row r="102" spans="1:3" ht="13" x14ac:dyDescent="0.15">
      <c r="A102" s="10"/>
      <c r="B102" s="13"/>
      <c r="C102" s="13"/>
    </row>
    <row r="103" spans="1:3" ht="13" x14ac:dyDescent="0.15">
      <c r="A103" s="10"/>
      <c r="B103" s="13"/>
      <c r="C103" s="13"/>
    </row>
    <row r="104" spans="1:3" ht="13" x14ac:dyDescent="0.15">
      <c r="A104" s="10"/>
      <c r="B104" s="13"/>
      <c r="C104" s="13"/>
    </row>
    <row r="105" spans="1:3" ht="13" x14ac:dyDescent="0.15">
      <c r="A105" s="10"/>
      <c r="B105" s="13"/>
      <c r="C105" s="13"/>
    </row>
    <row r="106" spans="1:3" ht="13" x14ac:dyDescent="0.15">
      <c r="A106" s="10"/>
      <c r="B106" s="13"/>
      <c r="C106" s="13"/>
    </row>
    <row r="107" spans="1:3" ht="13" x14ac:dyDescent="0.15">
      <c r="A107" s="10"/>
      <c r="B107" s="13"/>
      <c r="C107" s="13"/>
    </row>
    <row r="108" spans="1:3" ht="13" x14ac:dyDescent="0.15">
      <c r="A108" s="10"/>
      <c r="B108" s="13"/>
      <c r="C108" s="13"/>
    </row>
    <row r="109" spans="1:3" ht="13" x14ac:dyDescent="0.15">
      <c r="A109" s="10"/>
      <c r="B109" s="13"/>
      <c r="C109" s="13"/>
    </row>
    <row r="110" spans="1:3" ht="13" x14ac:dyDescent="0.15">
      <c r="A110" s="10"/>
      <c r="B110" s="13"/>
      <c r="C110" s="13"/>
    </row>
    <row r="111" spans="1:3" ht="13" x14ac:dyDescent="0.15">
      <c r="A111" s="10"/>
      <c r="B111" s="13"/>
      <c r="C111" s="13"/>
    </row>
    <row r="112" spans="1:3" ht="13" x14ac:dyDescent="0.15">
      <c r="A112" s="10"/>
      <c r="B112" s="13"/>
      <c r="C112" s="13"/>
    </row>
    <row r="113" spans="1:3" ht="13" x14ac:dyDescent="0.15">
      <c r="A113" s="10"/>
      <c r="B113" s="13"/>
      <c r="C113" s="13"/>
    </row>
    <row r="114" spans="1:3" ht="13" x14ac:dyDescent="0.15">
      <c r="A114" s="10"/>
      <c r="B114" s="13"/>
      <c r="C114" s="13"/>
    </row>
    <row r="115" spans="1:3" ht="13" x14ac:dyDescent="0.15">
      <c r="A115" s="10"/>
      <c r="B115" s="13"/>
      <c r="C115" s="13"/>
    </row>
    <row r="116" spans="1:3" ht="13" x14ac:dyDescent="0.15">
      <c r="A116" s="10"/>
      <c r="B116" s="13"/>
      <c r="C116" s="13"/>
    </row>
    <row r="117" spans="1:3" ht="13" x14ac:dyDescent="0.15">
      <c r="A117" s="10"/>
      <c r="B117" s="13"/>
      <c r="C117" s="13"/>
    </row>
    <row r="118" spans="1:3" ht="13" x14ac:dyDescent="0.15">
      <c r="A118" s="10"/>
      <c r="B118" s="13"/>
      <c r="C118" s="13"/>
    </row>
    <row r="119" spans="1:3" ht="13" x14ac:dyDescent="0.15">
      <c r="A119" s="10"/>
      <c r="B119" s="13"/>
      <c r="C119" s="13"/>
    </row>
    <row r="120" spans="1:3" ht="13" x14ac:dyDescent="0.15">
      <c r="A120" s="10"/>
      <c r="B120" s="13"/>
      <c r="C120" s="13"/>
    </row>
    <row r="121" spans="1:3" ht="13" x14ac:dyDescent="0.15">
      <c r="A121" s="10"/>
      <c r="B121" s="13"/>
      <c r="C121" s="13"/>
    </row>
    <row r="122" spans="1:3" ht="13" x14ac:dyDescent="0.15">
      <c r="A122" s="10"/>
      <c r="B122" s="13"/>
      <c r="C122" s="13"/>
    </row>
    <row r="123" spans="1:3" ht="13" x14ac:dyDescent="0.15">
      <c r="A123" s="10"/>
      <c r="B123" s="13"/>
      <c r="C123" s="13"/>
    </row>
    <row r="124" spans="1:3" ht="13" x14ac:dyDescent="0.15">
      <c r="A124" s="10"/>
      <c r="B124" s="13"/>
      <c r="C124" s="13"/>
    </row>
    <row r="125" spans="1:3" ht="13" x14ac:dyDescent="0.15">
      <c r="A125" s="10"/>
      <c r="B125" s="13"/>
      <c r="C125" s="13"/>
    </row>
    <row r="126" spans="1:3" ht="13" x14ac:dyDescent="0.15">
      <c r="A126" s="10"/>
      <c r="B126" s="13"/>
      <c r="C126" s="13"/>
    </row>
    <row r="127" spans="1:3" ht="13" x14ac:dyDescent="0.15">
      <c r="A127" s="10"/>
      <c r="B127" s="13"/>
      <c r="C127" s="13"/>
    </row>
    <row r="128" spans="1:3" ht="13" x14ac:dyDescent="0.15">
      <c r="A128" s="10"/>
      <c r="B128" s="13"/>
      <c r="C128" s="13"/>
    </row>
    <row r="129" spans="1:3" ht="13" x14ac:dyDescent="0.15">
      <c r="A129" s="10"/>
      <c r="B129" s="13"/>
      <c r="C129" s="13"/>
    </row>
    <row r="130" spans="1:3" ht="13" x14ac:dyDescent="0.15">
      <c r="A130" s="10"/>
      <c r="B130" s="13"/>
      <c r="C130" s="13"/>
    </row>
    <row r="131" spans="1:3" ht="13" x14ac:dyDescent="0.15">
      <c r="A131" s="10"/>
      <c r="B131" s="13"/>
      <c r="C131" s="13"/>
    </row>
    <row r="132" spans="1:3" ht="13" x14ac:dyDescent="0.15">
      <c r="A132" s="10"/>
      <c r="B132" s="13"/>
      <c r="C132" s="13"/>
    </row>
    <row r="133" spans="1:3" ht="13" x14ac:dyDescent="0.15">
      <c r="A133" s="10"/>
      <c r="B133" s="13"/>
      <c r="C133" s="13"/>
    </row>
    <row r="134" spans="1:3" ht="13" x14ac:dyDescent="0.15">
      <c r="A134" s="10"/>
      <c r="B134" s="13"/>
      <c r="C134" s="13"/>
    </row>
    <row r="135" spans="1:3" ht="13" x14ac:dyDescent="0.15">
      <c r="A135" s="10"/>
      <c r="B135" s="13"/>
      <c r="C135" s="13"/>
    </row>
    <row r="136" spans="1:3" ht="13" x14ac:dyDescent="0.15">
      <c r="A136" s="10"/>
      <c r="B136" s="13"/>
      <c r="C136" s="13"/>
    </row>
    <row r="137" spans="1:3" ht="13" x14ac:dyDescent="0.15">
      <c r="A137" s="10"/>
      <c r="B137" s="13"/>
      <c r="C137" s="13"/>
    </row>
    <row r="138" spans="1:3" ht="13" x14ac:dyDescent="0.15">
      <c r="A138" s="10"/>
      <c r="B138" s="13"/>
      <c r="C138" s="13"/>
    </row>
    <row r="139" spans="1:3" ht="13" x14ac:dyDescent="0.15">
      <c r="A139" s="10"/>
      <c r="B139" s="13"/>
      <c r="C139" s="13"/>
    </row>
    <row r="140" spans="1:3" ht="13" x14ac:dyDescent="0.15">
      <c r="A140" s="10"/>
      <c r="B140" s="13"/>
      <c r="C140" s="13"/>
    </row>
    <row r="141" spans="1:3" ht="13" x14ac:dyDescent="0.15">
      <c r="A141" s="10"/>
      <c r="B141" s="13"/>
      <c r="C141" s="13"/>
    </row>
    <row r="142" spans="1:3" ht="13" x14ac:dyDescent="0.15">
      <c r="A142" s="10"/>
      <c r="B142" s="13"/>
      <c r="C142" s="13"/>
    </row>
    <row r="143" spans="1:3" ht="13" x14ac:dyDescent="0.15">
      <c r="A143" s="10"/>
      <c r="B143" s="13"/>
      <c r="C143" s="13"/>
    </row>
    <row r="144" spans="1:3" ht="13" x14ac:dyDescent="0.15">
      <c r="A144" s="10"/>
      <c r="B144" s="13"/>
      <c r="C144" s="13"/>
    </row>
    <row r="145" spans="1:3" ht="13" x14ac:dyDescent="0.15">
      <c r="A145" s="10"/>
      <c r="B145" s="13"/>
      <c r="C145" s="13"/>
    </row>
    <row r="146" spans="1:3" ht="13" x14ac:dyDescent="0.15">
      <c r="A146" s="10"/>
      <c r="B146" s="13"/>
      <c r="C146" s="13"/>
    </row>
    <row r="147" spans="1:3" ht="13" x14ac:dyDescent="0.15">
      <c r="A147" s="10"/>
      <c r="B147" s="13"/>
      <c r="C147" s="13"/>
    </row>
    <row r="148" spans="1:3" ht="13" x14ac:dyDescent="0.15">
      <c r="A148" s="10"/>
      <c r="B148" s="13"/>
      <c r="C148" s="13"/>
    </row>
    <row r="149" spans="1:3" ht="13" x14ac:dyDescent="0.15">
      <c r="A149" s="10"/>
      <c r="B149" s="13"/>
      <c r="C149" s="13"/>
    </row>
    <row r="150" spans="1:3" ht="13" x14ac:dyDescent="0.15">
      <c r="A150" s="10"/>
      <c r="B150" s="13"/>
      <c r="C150" s="13"/>
    </row>
    <row r="151" spans="1:3" ht="13" x14ac:dyDescent="0.15">
      <c r="A151" s="10"/>
      <c r="B151" s="13"/>
      <c r="C151" s="13"/>
    </row>
    <row r="152" spans="1:3" ht="13" x14ac:dyDescent="0.15">
      <c r="A152" s="10"/>
      <c r="B152" s="13"/>
      <c r="C152" s="13"/>
    </row>
    <row r="153" spans="1:3" ht="13" x14ac:dyDescent="0.15">
      <c r="A153" s="10"/>
      <c r="B153" s="13"/>
      <c r="C153" s="13"/>
    </row>
    <row r="154" spans="1:3" ht="13" x14ac:dyDescent="0.15">
      <c r="A154" s="10"/>
      <c r="B154" s="13"/>
      <c r="C154" s="13"/>
    </row>
    <row r="155" spans="1:3" ht="13" x14ac:dyDescent="0.15">
      <c r="A155" s="10"/>
      <c r="B155" s="13"/>
      <c r="C155" s="13"/>
    </row>
    <row r="156" spans="1:3" ht="13" x14ac:dyDescent="0.15">
      <c r="A156" s="10"/>
      <c r="B156" s="13"/>
      <c r="C156" s="13"/>
    </row>
    <row r="157" spans="1:3" ht="13" x14ac:dyDescent="0.15">
      <c r="A157" s="10"/>
      <c r="B157" s="13"/>
      <c r="C157" s="13"/>
    </row>
    <row r="158" spans="1:3" ht="13" x14ac:dyDescent="0.15">
      <c r="A158" s="10"/>
      <c r="B158" s="13"/>
      <c r="C158" s="13"/>
    </row>
    <row r="159" spans="1:3" ht="13" x14ac:dyDescent="0.15">
      <c r="A159" s="10"/>
      <c r="B159" s="13"/>
      <c r="C159" s="13"/>
    </row>
    <row r="160" spans="1:3" ht="13" x14ac:dyDescent="0.15">
      <c r="A160" s="10"/>
      <c r="B160" s="13"/>
      <c r="C160" s="13"/>
    </row>
    <row r="161" spans="1:3" ht="13" x14ac:dyDescent="0.15">
      <c r="A161" s="10"/>
      <c r="B161" s="13"/>
      <c r="C161" s="13"/>
    </row>
    <row r="162" spans="1:3" ht="13" x14ac:dyDescent="0.15">
      <c r="A162" s="10"/>
      <c r="B162" s="13"/>
      <c r="C162" s="13"/>
    </row>
    <row r="163" spans="1:3" ht="13" x14ac:dyDescent="0.15">
      <c r="A163" s="10"/>
      <c r="B163" s="13"/>
      <c r="C163" s="13"/>
    </row>
    <row r="164" spans="1:3" ht="13" x14ac:dyDescent="0.15">
      <c r="A164" s="10"/>
      <c r="B164" s="13"/>
      <c r="C164" s="13"/>
    </row>
    <row r="165" spans="1:3" ht="13" x14ac:dyDescent="0.15">
      <c r="A165" s="10"/>
      <c r="B165" s="13"/>
      <c r="C165" s="13"/>
    </row>
    <row r="166" spans="1:3" ht="13" x14ac:dyDescent="0.15">
      <c r="A166" s="10"/>
      <c r="B166" s="13"/>
      <c r="C166" s="13"/>
    </row>
    <row r="167" spans="1:3" ht="13" x14ac:dyDescent="0.15">
      <c r="A167" s="10"/>
      <c r="B167" s="13"/>
      <c r="C167" s="13"/>
    </row>
    <row r="168" spans="1:3" ht="13" x14ac:dyDescent="0.15">
      <c r="A168" s="10"/>
      <c r="B168" s="13"/>
      <c r="C168" s="13"/>
    </row>
    <row r="169" spans="1:3" ht="13" x14ac:dyDescent="0.15">
      <c r="A169" s="10"/>
      <c r="B169" s="13"/>
      <c r="C169" s="13"/>
    </row>
    <row r="170" spans="1:3" ht="13" x14ac:dyDescent="0.15">
      <c r="A170" s="10"/>
      <c r="B170" s="13"/>
      <c r="C170" s="13"/>
    </row>
    <row r="171" spans="1:3" ht="13" x14ac:dyDescent="0.15">
      <c r="A171" s="10"/>
      <c r="B171" s="13"/>
      <c r="C171" s="13"/>
    </row>
    <row r="172" spans="1:3" ht="13" x14ac:dyDescent="0.15">
      <c r="A172" s="10"/>
      <c r="B172" s="13"/>
      <c r="C172" s="13"/>
    </row>
    <row r="173" spans="1:3" ht="13" x14ac:dyDescent="0.15">
      <c r="A173" s="10"/>
      <c r="B173" s="13"/>
      <c r="C173" s="13"/>
    </row>
    <row r="174" spans="1:3" ht="13" x14ac:dyDescent="0.15">
      <c r="A174" s="10"/>
      <c r="B174" s="13"/>
      <c r="C174" s="13"/>
    </row>
    <row r="175" spans="1:3" ht="13" x14ac:dyDescent="0.15">
      <c r="A175" s="10"/>
      <c r="B175" s="13"/>
      <c r="C175" s="13"/>
    </row>
    <row r="176" spans="1:3" ht="13" x14ac:dyDescent="0.15">
      <c r="A176" s="10"/>
      <c r="B176" s="13"/>
      <c r="C176" s="13"/>
    </row>
    <row r="177" spans="1:3" ht="13" x14ac:dyDescent="0.15">
      <c r="A177" s="10"/>
      <c r="B177" s="13"/>
      <c r="C177" s="13"/>
    </row>
    <row r="178" spans="1:3" ht="13" x14ac:dyDescent="0.15">
      <c r="A178" s="10"/>
      <c r="B178" s="13"/>
      <c r="C178" s="13"/>
    </row>
    <row r="179" spans="1:3" ht="13" x14ac:dyDescent="0.15">
      <c r="A179" s="10"/>
      <c r="B179" s="13"/>
      <c r="C179" s="13"/>
    </row>
    <row r="180" spans="1:3" ht="13" x14ac:dyDescent="0.15">
      <c r="A180" s="10"/>
      <c r="B180" s="13"/>
      <c r="C180" s="13"/>
    </row>
    <row r="181" spans="1:3" ht="13" x14ac:dyDescent="0.15">
      <c r="A181" s="10"/>
      <c r="B181" s="13"/>
      <c r="C181" s="13"/>
    </row>
    <row r="182" spans="1:3" ht="13" x14ac:dyDescent="0.15">
      <c r="A182" s="10"/>
      <c r="B182" s="13"/>
      <c r="C182" s="13"/>
    </row>
    <row r="183" spans="1:3" ht="13" x14ac:dyDescent="0.15">
      <c r="A183" s="10"/>
      <c r="B183" s="13"/>
      <c r="C183" s="13"/>
    </row>
    <row r="184" spans="1:3" ht="13" x14ac:dyDescent="0.15">
      <c r="A184" s="10"/>
      <c r="B184" s="13"/>
      <c r="C184" s="13"/>
    </row>
    <row r="185" spans="1:3" ht="13" x14ac:dyDescent="0.15">
      <c r="A185" s="10"/>
      <c r="B185" s="13"/>
      <c r="C185" s="13"/>
    </row>
    <row r="186" spans="1:3" ht="13" x14ac:dyDescent="0.15">
      <c r="A186" s="10"/>
      <c r="B186" s="13"/>
      <c r="C186" s="13"/>
    </row>
    <row r="187" spans="1:3" ht="13" x14ac:dyDescent="0.15">
      <c r="A187" s="10"/>
      <c r="B187" s="13"/>
      <c r="C187" s="13"/>
    </row>
    <row r="188" spans="1:3" ht="13" x14ac:dyDescent="0.15">
      <c r="A188" s="10"/>
      <c r="B188" s="13"/>
      <c r="C188" s="13"/>
    </row>
    <row r="189" spans="1:3" ht="13" x14ac:dyDescent="0.15">
      <c r="A189" s="10"/>
      <c r="B189" s="13"/>
      <c r="C189" s="13"/>
    </row>
    <row r="190" spans="1:3" ht="13" x14ac:dyDescent="0.15">
      <c r="A190" s="10"/>
      <c r="B190" s="13"/>
      <c r="C190" s="13"/>
    </row>
    <row r="191" spans="1:3" ht="13" x14ac:dyDescent="0.15">
      <c r="A191" s="10"/>
      <c r="B191" s="13"/>
      <c r="C191" s="13"/>
    </row>
    <row r="192" spans="1:3" ht="13" x14ac:dyDescent="0.15">
      <c r="A192" s="10"/>
      <c r="B192" s="13"/>
      <c r="C192" s="13"/>
    </row>
    <row r="193" spans="1:3" ht="13" x14ac:dyDescent="0.15">
      <c r="A193" s="10"/>
      <c r="B193" s="13"/>
      <c r="C193" s="13"/>
    </row>
    <row r="194" spans="1:3" ht="13" x14ac:dyDescent="0.15">
      <c r="A194" s="10"/>
      <c r="B194" s="13"/>
      <c r="C194" s="13"/>
    </row>
    <row r="195" spans="1:3" ht="13" x14ac:dyDescent="0.15">
      <c r="A195" s="10"/>
      <c r="B195" s="13"/>
      <c r="C195" s="13"/>
    </row>
    <row r="196" spans="1:3" ht="13" x14ac:dyDescent="0.15">
      <c r="A196" s="10"/>
      <c r="B196" s="13"/>
      <c r="C196" s="13"/>
    </row>
    <row r="197" spans="1:3" ht="13" x14ac:dyDescent="0.15">
      <c r="A197" s="10"/>
      <c r="B197" s="13"/>
      <c r="C197" s="13"/>
    </row>
    <row r="198" spans="1:3" ht="13" x14ac:dyDescent="0.15">
      <c r="A198" s="10"/>
      <c r="B198" s="13"/>
      <c r="C198" s="13"/>
    </row>
    <row r="199" spans="1:3" ht="13" x14ac:dyDescent="0.15">
      <c r="A199" s="10"/>
      <c r="B199" s="13"/>
      <c r="C199" s="13"/>
    </row>
    <row r="200" spans="1:3" ht="13" x14ac:dyDescent="0.15">
      <c r="A200" s="10"/>
      <c r="B200" s="13"/>
      <c r="C200" s="13"/>
    </row>
    <row r="201" spans="1:3" ht="13" x14ac:dyDescent="0.15">
      <c r="A201" s="10"/>
      <c r="B201" s="13"/>
      <c r="C201" s="13"/>
    </row>
    <row r="202" spans="1:3" ht="13" x14ac:dyDescent="0.15">
      <c r="A202" s="10"/>
      <c r="B202" s="13"/>
      <c r="C202" s="13"/>
    </row>
    <row r="203" spans="1:3" ht="13" x14ac:dyDescent="0.15">
      <c r="A203" s="10"/>
      <c r="B203" s="13"/>
      <c r="C203" s="13"/>
    </row>
    <row r="204" spans="1:3" ht="13" x14ac:dyDescent="0.15">
      <c r="A204" s="10"/>
      <c r="B204" s="13"/>
      <c r="C204" s="13"/>
    </row>
    <row r="205" spans="1:3" ht="13" x14ac:dyDescent="0.15">
      <c r="A205" s="10"/>
      <c r="B205" s="13"/>
      <c r="C205" s="13"/>
    </row>
    <row r="206" spans="1:3" ht="13" x14ac:dyDescent="0.15">
      <c r="A206" s="10"/>
      <c r="B206" s="13"/>
      <c r="C206" s="13"/>
    </row>
    <row r="207" spans="1:3" ht="13" x14ac:dyDescent="0.15">
      <c r="A207" s="10"/>
      <c r="B207" s="13"/>
      <c r="C207" s="13"/>
    </row>
    <row r="208" spans="1:3" ht="13" x14ac:dyDescent="0.15">
      <c r="A208" s="10"/>
      <c r="B208" s="13"/>
      <c r="C208" s="13"/>
    </row>
    <row r="209" spans="1:3" ht="13" x14ac:dyDescent="0.15">
      <c r="A209" s="10"/>
      <c r="B209" s="13"/>
      <c r="C209" s="13"/>
    </row>
    <row r="210" spans="1:3" ht="13" x14ac:dyDescent="0.15">
      <c r="A210" s="10"/>
      <c r="B210" s="13"/>
      <c r="C210" s="13"/>
    </row>
    <row r="211" spans="1:3" ht="13" x14ac:dyDescent="0.15">
      <c r="A211" s="10"/>
      <c r="B211" s="13"/>
      <c r="C211" s="13"/>
    </row>
    <row r="212" spans="1:3" ht="13" x14ac:dyDescent="0.15">
      <c r="A212" s="10"/>
      <c r="B212" s="13"/>
      <c r="C212" s="13"/>
    </row>
    <row r="213" spans="1:3" ht="13" x14ac:dyDescent="0.15">
      <c r="A213" s="10"/>
      <c r="B213" s="13"/>
      <c r="C213" s="13"/>
    </row>
    <row r="214" spans="1:3" ht="13" x14ac:dyDescent="0.15">
      <c r="A214" s="10"/>
      <c r="B214" s="13"/>
      <c r="C214" s="13"/>
    </row>
    <row r="215" spans="1:3" ht="13" x14ac:dyDescent="0.15">
      <c r="A215" s="10"/>
      <c r="B215" s="13"/>
      <c r="C215" s="13"/>
    </row>
    <row r="216" spans="1:3" ht="13" x14ac:dyDescent="0.15">
      <c r="A216" s="10"/>
      <c r="B216" s="13"/>
      <c r="C216" s="13"/>
    </row>
    <row r="217" spans="1:3" ht="13" x14ac:dyDescent="0.15">
      <c r="A217" s="10"/>
      <c r="B217" s="13"/>
      <c r="C217" s="13"/>
    </row>
    <row r="218" spans="1:3" ht="13" x14ac:dyDescent="0.15">
      <c r="A218" s="10"/>
      <c r="B218" s="13"/>
      <c r="C218" s="13"/>
    </row>
    <row r="219" spans="1:3" ht="13" x14ac:dyDescent="0.15">
      <c r="A219" s="10"/>
      <c r="B219" s="13"/>
      <c r="C219" s="13"/>
    </row>
    <row r="220" spans="1:3" ht="13" x14ac:dyDescent="0.15">
      <c r="A220" s="10"/>
      <c r="B220" s="13"/>
      <c r="C220" s="13"/>
    </row>
    <row r="221" spans="1:3" ht="13" x14ac:dyDescent="0.15">
      <c r="A221" s="10"/>
      <c r="B221" s="13"/>
      <c r="C221" s="13"/>
    </row>
    <row r="222" spans="1:3" ht="13" x14ac:dyDescent="0.15">
      <c r="A222" s="10"/>
      <c r="B222" s="13"/>
      <c r="C222" s="13"/>
    </row>
    <row r="223" spans="1:3" ht="13" x14ac:dyDescent="0.15">
      <c r="A223" s="10"/>
      <c r="B223" s="13"/>
      <c r="C223" s="13"/>
    </row>
    <row r="224" spans="1:3" ht="13" x14ac:dyDescent="0.15">
      <c r="A224" s="10"/>
      <c r="B224" s="13"/>
      <c r="C224" s="13"/>
    </row>
    <row r="225" spans="1:3" ht="13" x14ac:dyDescent="0.15">
      <c r="A225" s="10"/>
      <c r="B225" s="13"/>
      <c r="C225" s="13"/>
    </row>
    <row r="226" spans="1:3" ht="13" x14ac:dyDescent="0.15">
      <c r="A226" s="10"/>
      <c r="B226" s="13"/>
      <c r="C226" s="13"/>
    </row>
    <row r="227" spans="1:3" ht="13" x14ac:dyDescent="0.15">
      <c r="A227" s="10"/>
      <c r="B227" s="13"/>
      <c r="C227" s="13"/>
    </row>
    <row r="228" spans="1:3" ht="13" x14ac:dyDescent="0.15">
      <c r="A228" s="10"/>
      <c r="B228" s="13"/>
      <c r="C228" s="13"/>
    </row>
    <row r="229" spans="1:3" ht="13" x14ac:dyDescent="0.15">
      <c r="A229" s="10"/>
      <c r="B229" s="13"/>
      <c r="C229" s="13"/>
    </row>
    <row r="230" spans="1:3" ht="13" x14ac:dyDescent="0.15">
      <c r="A230" s="10"/>
      <c r="B230" s="13"/>
      <c r="C230" s="13"/>
    </row>
    <row r="231" spans="1:3" ht="13" x14ac:dyDescent="0.15">
      <c r="A231" s="10"/>
      <c r="B231" s="13"/>
      <c r="C231" s="13"/>
    </row>
    <row r="232" spans="1:3" ht="13" x14ac:dyDescent="0.15">
      <c r="A232" s="10"/>
      <c r="B232" s="13"/>
      <c r="C232" s="13"/>
    </row>
    <row r="233" spans="1:3" ht="13" x14ac:dyDescent="0.15">
      <c r="A233" s="10"/>
      <c r="B233" s="13"/>
      <c r="C233" s="13"/>
    </row>
    <row r="234" spans="1:3" ht="13" x14ac:dyDescent="0.15">
      <c r="A234" s="10"/>
      <c r="B234" s="13"/>
      <c r="C234" s="13"/>
    </row>
    <row r="235" spans="1:3" ht="13" x14ac:dyDescent="0.15">
      <c r="A235" s="10"/>
      <c r="B235" s="13"/>
      <c r="C235" s="13"/>
    </row>
    <row r="236" spans="1:3" ht="13" x14ac:dyDescent="0.15">
      <c r="A236" s="10"/>
      <c r="B236" s="13"/>
      <c r="C236" s="13"/>
    </row>
    <row r="237" spans="1:3" ht="13" x14ac:dyDescent="0.15">
      <c r="A237" s="10"/>
      <c r="B237" s="13"/>
      <c r="C237" s="13"/>
    </row>
    <row r="238" spans="1:3" ht="13" x14ac:dyDescent="0.15">
      <c r="A238" s="10"/>
      <c r="B238" s="13"/>
      <c r="C238" s="13"/>
    </row>
    <row r="239" spans="1:3" ht="13" x14ac:dyDescent="0.15">
      <c r="A239" s="10"/>
      <c r="B239" s="13"/>
      <c r="C239" s="13"/>
    </row>
    <row r="240" spans="1:3" ht="13" x14ac:dyDescent="0.15">
      <c r="A240" s="10"/>
      <c r="B240" s="13"/>
      <c r="C240" s="13"/>
    </row>
    <row r="241" spans="1:3" ht="13" x14ac:dyDescent="0.15">
      <c r="A241" s="10"/>
      <c r="B241" s="13"/>
      <c r="C241" s="13"/>
    </row>
    <row r="242" spans="1:3" ht="13" x14ac:dyDescent="0.15">
      <c r="A242" s="10"/>
      <c r="B242" s="13"/>
      <c r="C242" s="13"/>
    </row>
    <row r="243" spans="1:3" ht="13" x14ac:dyDescent="0.15">
      <c r="A243" s="10"/>
      <c r="B243" s="13"/>
      <c r="C243" s="13"/>
    </row>
    <row r="244" spans="1:3" ht="13" x14ac:dyDescent="0.15">
      <c r="A244" s="10"/>
      <c r="B244" s="13"/>
      <c r="C244" s="13"/>
    </row>
    <row r="245" spans="1:3" ht="13" x14ac:dyDescent="0.15">
      <c r="A245" s="10"/>
      <c r="B245" s="13"/>
      <c r="C245" s="13"/>
    </row>
    <row r="246" spans="1:3" ht="13" x14ac:dyDescent="0.15">
      <c r="A246" s="10"/>
      <c r="B246" s="13"/>
      <c r="C246" s="13"/>
    </row>
    <row r="247" spans="1:3" ht="13" x14ac:dyDescent="0.15">
      <c r="A247" s="10"/>
      <c r="B247" s="13"/>
      <c r="C247" s="13"/>
    </row>
    <row r="248" spans="1:3" ht="13" x14ac:dyDescent="0.15">
      <c r="A248" s="10"/>
      <c r="B248" s="13"/>
      <c r="C248" s="13"/>
    </row>
    <row r="249" spans="1:3" ht="13" x14ac:dyDescent="0.15">
      <c r="A249" s="10"/>
      <c r="B249" s="13"/>
      <c r="C249" s="13"/>
    </row>
    <row r="250" spans="1:3" ht="13" x14ac:dyDescent="0.15">
      <c r="A250" s="10"/>
      <c r="B250" s="13"/>
      <c r="C250" s="13"/>
    </row>
    <row r="251" spans="1:3" ht="13" x14ac:dyDescent="0.15">
      <c r="A251" s="10"/>
      <c r="B251" s="13"/>
      <c r="C251" s="13"/>
    </row>
    <row r="252" spans="1:3" ht="13" x14ac:dyDescent="0.15">
      <c r="A252" s="10"/>
      <c r="B252" s="13"/>
      <c r="C252" s="13"/>
    </row>
    <row r="253" spans="1:3" ht="13" x14ac:dyDescent="0.15">
      <c r="A253" s="10"/>
      <c r="B253" s="13"/>
      <c r="C253" s="13"/>
    </row>
    <row r="254" spans="1:3" ht="13" x14ac:dyDescent="0.15">
      <c r="A254" s="10"/>
      <c r="B254" s="13"/>
      <c r="C254" s="13"/>
    </row>
    <row r="255" spans="1:3" ht="13" x14ac:dyDescent="0.15">
      <c r="A255" s="10"/>
      <c r="B255" s="13"/>
      <c r="C255" s="13"/>
    </row>
    <row r="256" spans="1:3" ht="13" x14ac:dyDescent="0.15">
      <c r="A256" s="10"/>
      <c r="B256" s="13"/>
      <c r="C256" s="13"/>
    </row>
    <row r="257" spans="1:3" ht="13" x14ac:dyDescent="0.15">
      <c r="A257" s="10"/>
      <c r="B257" s="13"/>
      <c r="C257" s="13"/>
    </row>
    <row r="258" spans="1:3" ht="13" x14ac:dyDescent="0.15">
      <c r="A258" s="10"/>
      <c r="B258" s="13"/>
      <c r="C258" s="13"/>
    </row>
    <row r="259" spans="1:3" ht="13" x14ac:dyDescent="0.15">
      <c r="A259" s="10"/>
      <c r="B259" s="13"/>
      <c r="C259" s="13"/>
    </row>
    <row r="260" spans="1:3" ht="13" x14ac:dyDescent="0.15">
      <c r="A260" s="10"/>
      <c r="B260" s="13"/>
      <c r="C260" s="13"/>
    </row>
    <row r="261" spans="1:3" ht="13" x14ac:dyDescent="0.15">
      <c r="A261" s="10"/>
      <c r="B261" s="13"/>
      <c r="C261" s="13"/>
    </row>
    <row r="262" spans="1:3" ht="13" x14ac:dyDescent="0.15">
      <c r="A262" s="10"/>
      <c r="B262" s="13"/>
      <c r="C262" s="13"/>
    </row>
    <row r="263" spans="1:3" ht="13" x14ac:dyDescent="0.15">
      <c r="A263" s="10"/>
      <c r="B263" s="13"/>
      <c r="C263" s="13"/>
    </row>
    <row r="264" spans="1:3" ht="13" x14ac:dyDescent="0.15">
      <c r="A264" s="10"/>
      <c r="B264" s="13"/>
      <c r="C264" s="13"/>
    </row>
    <row r="265" spans="1:3" ht="13" x14ac:dyDescent="0.15">
      <c r="A265" s="10"/>
      <c r="B265" s="13"/>
      <c r="C265" s="13"/>
    </row>
    <row r="266" spans="1:3" ht="13" x14ac:dyDescent="0.15">
      <c r="A266" s="10"/>
      <c r="B266" s="13"/>
      <c r="C266" s="13"/>
    </row>
    <row r="267" spans="1:3" ht="13" x14ac:dyDescent="0.15">
      <c r="A267" s="10"/>
      <c r="B267" s="13"/>
      <c r="C267" s="13"/>
    </row>
    <row r="268" spans="1:3" ht="13" x14ac:dyDescent="0.15">
      <c r="A268" s="10"/>
      <c r="B268" s="13"/>
      <c r="C268" s="13"/>
    </row>
    <row r="269" spans="1:3" ht="13" x14ac:dyDescent="0.15">
      <c r="A269" s="10"/>
      <c r="B269" s="13"/>
      <c r="C269" s="13"/>
    </row>
    <row r="270" spans="1:3" ht="13" x14ac:dyDescent="0.15">
      <c r="A270" s="10"/>
      <c r="B270" s="13"/>
      <c r="C270" s="13"/>
    </row>
    <row r="271" spans="1:3" ht="13" x14ac:dyDescent="0.15">
      <c r="A271" s="10"/>
      <c r="B271" s="13"/>
      <c r="C271" s="13"/>
    </row>
    <row r="272" spans="1:3" ht="13" x14ac:dyDescent="0.15">
      <c r="A272" s="10"/>
      <c r="B272" s="13"/>
      <c r="C272" s="13"/>
    </row>
    <row r="273" spans="1:3" ht="13" x14ac:dyDescent="0.15">
      <c r="A273" s="10"/>
      <c r="B273" s="13"/>
      <c r="C273" s="13"/>
    </row>
    <row r="274" spans="1:3" ht="13" x14ac:dyDescent="0.15">
      <c r="A274" s="10"/>
      <c r="B274" s="13"/>
      <c r="C274" s="13"/>
    </row>
    <row r="275" spans="1:3" ht="13" x14ac:dyDescent="0.15">
      <c r="A275" s="10"/>
      <c r="B275" s="13"/>
      <c r="C275" s="13"/>
    </row>
    <row r="276" spans="1:3" ht="13" x14ac:dyDescent="0.15">
      <c r="A276" s="10"/>
      <c r="B276" s="13"/>
      <c r="C276" s="13"/>
    </row>
    <row r="277" spans="1:3" ht="13" x14ac:dyDescent="0.15">
      <c r="A277" s="10"/>
      <c r="B277" s="13"/>
      <c r="C277" s="13"/>
    </row>
    <row r="278" spans="1:3" ht="13" x14ac:dyDescent="0.15">
      <c r="A278" s="10"/>
      <c r="B278" s="13"/>
      <c r="C278" s="13"/>
    </row>
    <row r="279" spans="1:3" ht="13" x14ac:dyDescent="0.15">
      <c r="A279" s="10"/>
      <c r="B279" s="13"/>
      <c r="C279" s="13"/>
    </row>
    <row r="280" spans="1:3" ht="13" x14ac:dyDescent="0.15">
      <c r="A280" s="10"/>
      <c r="B280" s="13"/>
      <c r="C280" s="13"/>
    </row>
    <row r="281" spans="1:3" ht="13" x14ac:dyDescent="0.15">
      <c r="A281" s="10"/>
      <c r="B281" s="13"/>
      <c r="C281" s="13"/>
    </row>
    <row r="282" spans="1:3" ht="13" x14ac:dyDescent="0.15">
      <c r="A282" s="10"/>
      <c r="B282" s="13"/>
      <c r="C282" s="13"/>
    </row>
    <row r="283" spans="1:3" ht="13" x14ac:dyDescent="0.15">
      <c r="A283" s="10"/>
      <c r="B283" s="13"/>
      <c r="C283" s="13"/>
    </row>
    <row r="284" spans="1:3" ht="13" x14ac:dyDescent="0.15">
      <c r="A284" s="10"/>
      <c r="B284" s="13"/>
      <c r="C284" s="13"/>
    </row>
    <row r="285" spans="1:3" ht="13" x14ac:dyDescent="0.15">
      <c r="A285" s="10"/>
      <c r="B285" s="13"/>
      <c r="C285" s="13"/>
    </row>
    <row r="286" spans="1:3" ht="13" x14ac:dyDescent="0.15">
      <c r="A286" s="10"/>
      <c r="B286" s="13"/>
      <c r="C286" s="13"/>
    </row>
    <row r="287" spans="1:3" ht="13" x14ac:dyDescent="0.15">
      <c r="A287" s="10"/>
      <c r="B287" s="13"/>
      <c r="C287" s="13"/>
    </row>
    <row r="288" spans="1:3" ht="13" x14ac:dyDescent="0.15">
      <c r="A288" s="10"/>
      <c r="B288" s="13"/>
      <c r="C288" s="13"/>
    </row>
    <row r="289" spans="1:3" ht="13" x14ac:dyDescent="0.15">
      <c r="A289" s="10"/>
      <c r="B289" s="13"/>
      <c r="C289" s="13"/>
    </row>
    <row r="290" spans="1:3" ht="13" x14ac:dyDescent="0.15">
      <c r="A290" s="10"/>
      <c r="B290" s="13"/>
      <c r="C290" s="13"/>
    </row>
    <row r="291" spans="1:3" ht="13" x14ac:dyDescent="0.15">
      <c r="A291" s="10"/>
      <c r="B291" s="13"/>
      <c r="C291" s="13"/>
    </row>
    <row r="292" spans="1:3" ht="13" x14ac:dyDescent="0.15">
      <c r="A292" s="10"/>
      <c r="B292" s="13"/>
      <c r="C292" s="13"/>
    </row>
    <row r="293" spans="1:3" ht="13" x14ac:dyDescent="0.15">
      <c r="A293" s="10"/>
      <c r="B293" s="13"/>
      <c r="C293" s="13"/>
    </row>
    <row r="294" spans="1:3" ht="13" x14ac:dyDescent="0.15">
      <c r="A294" s="10"/>
      <c r="B294" s="13"/>
      <c r="C294" s="13"/>
    </row>
    <row r="295" spans="1:3" ht="13" x14ac:dyDescent="0.15">
      <c r="A295" s="10"/>
      <c r="B295" s="13"/>
      <c r="C295" s="13"/>
    </row>
    <row r="296" spans="1:3" ht="13" x14ac:dyDescent="0.15">
      <c r="A296" s="10"/>
      <c r="B296" s="13"/>
      <c r="C296" s="13"/>
    </row>
    <row r="297" spans="1:3" ht="13" x14ac:dyDescent="0.15">
      <c r="A297" s="10"/>
      <c r="B297" s="13"/>
      <c r="C297" s="13"/>
    </row>
    <row r="298" spans="1:3" ht="13" x14ac:dyDescent="0.15">
      <c r="A298" s="10"/>
      <c r="B298" s="13"/>
      <c r="C298" s="13"/>
    </row>
    <row r="299" spans="1:3" ht="13" x14ac:dyDescent="0.15">
      <c r="A299" s="10"/>
      <c r="B299" s="13"/>
      <c r="C299" s="13"/>
    </row>
    <row r="300" spans="1:3" ht="13" x14ac:dyDescent="0.15">
      <c r="A300" s="10"/>
      <c r="B300" s="13"/>
      <c r="C300" s="13"/>
    </row>
    <row r="301" spans="1:3" ht="13" x14ac:dyDescent="0.15">
      <c r="A301" s="10"/>
      <c r="B301" s="13"/>
      <c r="C301" s="13"/>
    </row>
    <row r="302" spans="1:3" ht="13" x14ac:dyDescent="0.15">
      <c r="A302" s="10"/>
      <c r="B302" s="13"/>
      <c r="C302" s="13"/>
    </row>
    <row r="303" spans="1:3" ht="13" x14ac:dyDescent="0.15">
      <c r="A303" s="10"/>
      <c r="B303" s="13"/>
      <c r="C303" s="13"/>
    </row>
    <row r="304" spans="1:3" ht="13" x14ac:dyDescent="0.15">
      <c r="A304" s="10"/>
      <c r="B304" s="13"/>
      <c r="C304" s="13"/>
    </row>
    <row r="305" spans="1:3" ht="13" x14ac:dyDescent="0.15">
      <c r="A305" s="10"/>
      <c r="B305" s="13"/>
      <c r="C305" s="13"/>
    </row>
    <row r="306" spans="1:3" ht="13" x14ac:dyDescent="0.15">
      <c r="A306" s="10"/>
      <c r="B306" s="13"/>
      <c r="C306" s="13"/>
    </row>
    <row r="307" spans="1:3" ht="13" x14ac:dyDescent="0.15">
      <c r="A307" s="10"/>
      <c r="B307" s="13"/>
      <c r="C307" s="13"/>
    </row>
    <row r="308" spans="1:3" ht="13" x14ac:dyDescent="0.15">
      <c r="A308" s="10"/>
      <c r="B308" s="13"/>
      <c r="C308" s="13"/>
    </row>
    <row r="309" spans="1:3" ht="13" x14ac:dyDescent="0.15">
      <c r="A309" s="10"/>
      <c r="B309" s="13"/>
      <c r="C309" s="13"/>
    </row>
    <row r="310" spans="1:3" ht="13" x14ac:dyDescent="0.15">
      <c r="A310" s="10"/>
      <c r="B310" s="13"/>
      <c r="C310" s="13"/>
    </row>
    <row r="311" spans="1:3" ht="13" x14ac:dyDescent="0.15">
      <c r="A311" s="10"/>
      <c r="B311" s="13"/>
      <c r="C311" s="13"/>
    </row>
    <row r="312" spans="1:3" ht="13" x14ac:dyDescent="0.15">
      <c r="A312" s="10"/>
      <c r="B312" s="13"/>
      <c r="C312" s="13"/>
    </row>
    <row r="313" spans="1:3" ht="13" x14ac:dyDescent="0.15">
      <c r="A313" s="10"/>
      <c r="B313" s="13"/>
      <c r="C313" s="13"/>
    </row>
    <row r="314" spans="1:3" ht="13" x14ac:dyDescent="0.15">
      <c r="A314" s="10"/>
      <c r="B314" s="13"/>
      <c r="C314" s="13"/>
    </row>
    <row r="315" spans="1:3" ht="13" x14ac:dyDescent="0.15">
      <c r="A315" s="10"/>
      <c r="B315" s="13"/>
      <c r="C315" s="13"/>
    </row>
    <row r="316" spans="1:3" ht="13" x14ac:dyDescent="0.15">
      <c r="A316" s="10"/>
      <c r="B316" s="13"/>
      <c r="C316" s="13"/>
    </row>
    <row r="317" spans="1:3" ht="13" x14ac:dyDescent="0.15">
      <c r="A317" s="10"/>
      <c r="B317" s="13"/>
      <c r="C317" s="13"/>
    </row>
    <row r="318" spans="1:3" ht="13" x14ac:dyDescent="0.15">
      <c r="A318" s="10"/>
      <c r="B318" s="13"/>
      <c r="C318" s="13"/>
    </row>
    <row r="319" spans="1:3" ht="13" x14ac:dyDescent="0.15">
      <c r="A319" s="10"/>
      <c r="B319" s="13"/>
      <c r="C319" s="13"/>
    </row>
    <row r="320" spans="1:3" ht="13" x14ac:dyDescent="0.15">
      <c r="A320" s="10"/>
      <c r="B320" s="13"/>
      <c r="C320" s="13"/>
    </row>
    <row r="321" spans="1:3" ht="13" x14ac:dyDescent="0.15">
      <c r="A321" s="10"/>
      <c r="B321" s="13"/>
      <c r="C321" s="13"/>
    </row>
    <row r="322" spans="1:3" ht="13" x14ac:dyDescent="0.15">
      <c r="A322" s="10"/>
      <c r="B322" s="13"/>
      <c r="C322" s="13"/>
    </row>
    <row r="323" spans="1:3" ht="13" x14ac:dyDescent="0.15">
      <c r="A323" s="10"/>
      <c r="B323" s="13"/>
      <c r="C323" s="13"/>
    </row>
    <row r="324" spans="1:3" ht="13" x14ac:dyDescent="0.15">
      <c r="A324" s="10"/>
      <c r="B324" s="13"/>
      <c r="C324" s="13"/>
    </row>
    <row r="325" spans="1:3" ht="13" x14ac:dyDescent="0.15">
      <c r="A325" s="10"/>
      <c r="B325" s="13"/>
      <c r="C325" s="13"/>
    </row>
    <row r="326" spans="1:3" ht="13" x14ac:dyDescent="0.15">
      <c r="A326" s="10"/>
      <c r="B326" s="13"/>
      <c r="C326" s="13"/>
    </row>
    <row r="327" spans="1:3" ht="13" x14ac:dyDescent="0.15">
      <c r="A327" s="10"/>
      <c r="B327" s="13"/>
      <c r="C327" s="13"/>
    </row>
    <row r="328" spans="1:3" ht="13" x14ac:dyDescent="0.15">
      <c r="A328" s="10"/>
      <c r="B328" s="13"/>
      <c r="C328" s="13"/>
    </row>
    <row r="329" spans="1:3" ht="13" x14ac:dyDescent="0.15">
      <c r="A329" s="10"/>
      <c r="B329" s="13"/>
      <c r="C329" s="13"/>
    </row>
    <row r="330" spans="1:3" ht="13" x14ac:dyDescent="0.15">
      <c r="A330" s="10"/>
      <c r="B330" s="13"/>
      <c r="C330" s="13"/>
    </row>
    <row r="331" spans="1:3" ht="13" x14ac:dyDescent="0.15">
      <c r="A331" s="10"/>
      <c r="B331" s="13"/>
      <c r="C331" s="13"/>
    </row>
    <row r="332" spans="1:3" ht="13" x14ac:dyDescent="0.15">
      <c r="A332" s="10"/>
      <c r="B332" s="13"/>
      <c r="C332" s="13"/>
    </row>
    <row r="333" spans="1:3" ht="13" x14ac:dyDescent="0.15">
      <c r="A333" s="10"/>
      <c r="B333" s="13"/>
      <c r="C333" s="13"/>
    </row>
    <row r="334" spans="1:3" ht="13" x14ac:dyDescent="0.15">
      <c r="A334" s="10"/>
      <c r="B334" s="13"/>
      <c r="C334" s="13"/>
    </row>
    <row r="335" spans="1:3" ht="13" x14ac:dyDescent="0.15">
      <c r="A335" s="10"/>
      <c r="B335" s="13"/>
      <c r="C335" s="13"/>
    </row>
    <row r="336" spans="1:3" ht="13" x14ac:dyDescent="0.15">
      <c r="A336" s="10"/>
      <c r="B336" s="13"/>
      <c r="C336" s="13"/>
    </row>
    <row r="337" spans="1:3" ht="13" x14ac:dyDescent="0.15">
      <c r="A337" s="10"/>
      <c r="B337" s="13"/>
      <c r="C337" s="13"/>
    </row>
    <row r="338" spans="1:3" ht="13" x14ac:dyDescent="0.15">
      <c r="A338" s="10"/>
      <c r="B338" s="13"/>
      <c r="C338" s="13"/>
    </row>
    <row r="339" spans="1:3" ht="13" x14ac:dyDescent="0.15">
      <c r="A339" s="10"/>
      <c r="B339" s="13"/>
      <c r="C339" s="13"/>
    </row>
    <row r="340" spans="1:3" ht="13" x14ac:dyDescent="0.15">
      <c r="A340" s="10"/>
      <c r="B340" s="13"/>
      <c r="C340" s="13"/>
    </row>
    <row r="341" spans="1:3" ht="13" x14ac:dyDescent="0.15">
      <c r="A341" s="10"/>
      <c r="B341" s="13"/>
      <c r="C341" s="13"/>
    </row>
    <row r="342" spans="1:3" ht="13" x14ac:dyDescent="0.15">
      <c r="A342" s="10"/>
      <c r="B342" s="13"/>
      <c r="C342" s="13"/>
    </row>
    <row r="343" spans="1:3" ht="13" x14ac:dyDescent="0.15">
      <c r="A343" s="10"/>
      <c r="B343" s="13"/>
      <c r="C343" s="13"/>
    </row>
    <row r="344" spans="1:3" ht="13" x14ac:dyDescent="0.15">
      <c r="A344" s="10"/>
      <c r="B344" s="13"/>
      <c r="C344" s="13"/>
    </row>
    <row r="345" spans="1:3" ht="13" x14ac:dyDescent="0.15">
      <c r="A345" s="10"/>
      <c r="B345" s="13"/>
      <c r="C345" s="13"/>
    </row>
    <row r="346" spans="1:3" ht="13" x14ac:dyDescent="0.15">
      <c r="A346" s="10"/>
      <c r="B346" s="13"/>
      <c r="C346" s="13"/>
    </row>
    <row r="347" spans="1:3" ht="13" x14ac:dyDescent="0.15">
      <c r="A347" s="10"/>
      <c r="B347" s="13"/>
      <c r="C347" s="13"/>
    </row>
    <row r="348" spans="1:3" ht="13" x14ac:dyDescent="0.15">
      <c r="A348" s="10"/>
      <c r="B348" s="13"/>
      <c r="C348" s="13"/>
    </row>
    <row r="349" spans="1:3" ht="13" x14ac:dyDescent="0.15">
      <c r="A349" s="10"/>
      <c r="B349" s="13"/>
      <c r="C349" s="13"/>
    </row>
    <row r="350" spans="1:3" ht="13" x14ac:dyDescent="0.15">
      <c r="A350" s="10"/>
      <c r="B350" s="13"/>
      <c r="C350" s="13"/>
    </row>
    <row r="351" spans="1:3" ht="13" x14ac:dyDescent="0.15">
      <c r="A351" s="10"/>
      <c r="B351" s="13"/>
      <c r="C351" s="13"/>
    </row>
    <row r="352" spans="1:3" ht="13" x14ac:dyDescent="0.15">
      <c r="A352" s="10"/>
      <c r="B352" s="13"/>
      <c r="C352" s="13"/>
    </row>
    <row r="353" spans="1:3" ht="13" x14ac:dyDescent="0.15">
      <c r="A353" s="10"/>
      <c r="B353" s="13"/>
      <c r="C353" s="13"/>
    </row>
    <row r="354" spans="1:3" ht="13" x14ac:dyDescent="0.15">
      <c r="A354" s="10"/>
      <c r="B354" s="13"/>
      <c r="C354" s="13"/>
    </row>
    <row r="355" spans="1:3" ht="13" x14ac:dyDescent="0.15">
      <c r="A355" s="10"/>
      <c r="B355" s="13"/>
      <c r="C355" s="13"/>
    </row>
    <row r="356" spans="1:3" ht="13" x14ac:dyDescent="0.15">
      <c r="A356" s="10"/>
      <c r="B356" s="13"/>
      <c r="C356" s="13"/>
    </row>
    <row r="357" spans="1:3" ht="13" x14ac:dyDescent="0.15">
      <c r="A357" s="10"/>
      <c r="B357" s="13"/>
      <c r="C357" s="13"/>
    </row>
    <row r="358" spans="1:3" ht="13" x14ac:dyDescent="0.15">
      <c r="A358" s="10"/>
      <c r="B358" s="13"/>
      <c r="C358" s="13"/>
    </row>
    <row r="359" spans="1:3" ht="13" x14ac:dyDescent="0.15">
      <c r="A359" s="10"/>
      <c r="B359" s="13"/>
      <c r="C359" s="13"/>
    </row>
    <row r="360" spans="1:3" ht="13" x14ac:dyDescent="0.15">
      <c r="A360" s="10"/>
      <c r="B360" s="13"/>
      <c r="C360" s="13"/>
    </row>
    <row r="361" spans="1:3" ht="13" x14ac:dyDescent="0.15">
      <c r="A361" s="10"/>
      <c r="B361" s="13"/>
      <c r="C361" s="13"/>
    </row>
    <row r="362" spans="1:3" ht="13" x14ac:dyDescent="0.15">
      <c r="A362" s="10"/>
      <c r="B362" s="13"/>
      <c r="C362" s="13"/>
    </row>
    <row r="363" spans="1:3" ht="13" x14ac:dyDescent="0.15">
      <c r="A363" s="10"/>
      <c r="B363" s="13"/>
      <c r="C363" s="13"/>
    </row>
    <row r="364" spans="1:3" ht="13" x14ac:dyDescent="0.15">
      <c r="A364" s="10"/>
      <c r="B364" s="13"/>
      <c r="C364" s="13"/>
    </row>
    <row r="365" spans="1:3" ht="13" x14ac:dyDescent="0.15">
      <c r="A365" s="10"/>
      <c r="B365" s="13"/>
      <c r="C365" s="13"/>
    </row>
    <row r="366" spans="1:3" ht="13" x14ac:dyDescent="0.15">
      <c r="A366" s="10"/>
      <c r="B366" s="13"/>
      <c r="C366" s="13"/>
    </row>
    <row r="367" spans="1:3" ht="13" x14ac:dyDescent="0.15">
      <c r="A367" s="10"/>
      <c r="B367" s="13"/>
      <c r="C367" s="13"/>
    </row>
    <row r="368" spans="1:3" ht="13" x14ac:dyDescent="0.15">
      <c r="A368" s="10"/>
      <c r="B368" s="13"/>
      <c r="C368" s="13"/>
    </row>
    <row r="369" spans="1:3" ht="13" x14ac:dyDescent="0.15">
      <c r="A369" s="10"/>
      <c r="B369" s="13"/>
      <c r="C369" s="13"/>
    </row>
    <row r="370" spans="1:3" ht="13" x14ac:dyDescent="0.15">
      <c r="A370" s="10"/>
      <c r="B370" s="13"/>
      <c r="C370" s="13"/>
    </row>
    <row r="371" spans="1:3" ht="13" x14ac:dyDescent="0.15">
      <c r="A371" s="10"/>
      <c r="B371" s="13"/>
      <c r="C371" s="13"/>
    </row>
    <row r="372" spans="1:3" ht="13" x14ac:dyDescent="0.15">
      <c r="A372" s="10"/>
      <c r="B372" s="13"/>
      <c r="C372" s="13"/>
    </row>
    <row r="373" spans="1:3" ht="13" x14ac:dyDescent="0.15">
      <c r="A373" s="10"/>
      <c r="B373" s="13"/>
      <c r="C373" s="13"/>
    </row>
    <row r="374" spans="1:3" ht="13" x14ac:dyDescent="0.15">
      <c r="A374" s="10"/>
      <c r="B374" s="13"/>
      <c r="C374" s="13"/>
    </row>
    <row r="375" spans="1:3" ht="13" x14ac:dyDescent="0.15">
      <c r="A375" s="10"/>
      <c r="B375" s="13"/>
      <c r="C375" s="13"/>
    </row>
    <row r="376" spans="1:3" ht="13" x14ac:dyDescent="0.15">
      <c r="A376" s="10"/>
      <c r="B376" s="13"/>
      <c r="C376" s="13"/>
    </row>
    <row r="377" spans="1:3" ht="13" x14ac:dyDescent="0.15">
      <c r="A377" s="10"/>
      <c r="B377" s="13"/>
      <c r="C377" s="13"/>
    </row>
    <row r="378" spans="1:3" ht="13" x14ac:dyDescent="0.15">
      <c r="A378" s="10"/>
      <c r="B378" s="13"/>
      <c r="C378" s="13"/>
    </row>
    <row r="379" spans="1:3" ht="13" x14ac:dyDescent="0.15">
      <c r="A379" s="10"/>
      <c r="B379" s="13"/>
      <c r="C379" s="13"/>
    </row>
    <row r="380" spans="1:3" ht="13" x14ac:dyDescent="0.15">
      <c r="A380" s="10"/>
      <c r="B380" s="13"/>
      <c r="C380" s="13"/>
    </row>
    <row r="381" spans="1:3" ht="13" x14ac:dyDescent="0.15">
      <c r="A381" s="10"/>
      <c r="B381" s="13"/>
      <c r="C381" s="13"/>
    </row>
    <row r="382" spans="1:3" ht="13" x14ac:dyDescent="0.15">
      <c r="A382" s="10"/>
      <c r="B382" s="13"/>
      <c r="C382" s="13"/>
    </row>
    <row r="383" spans="1:3" ht="13" x14ac:dyDescent="0.15">
      <c r="A383" s="10"/>
      <c r="B383" s="13"/>
      <c r="C383" s="13"/>
    </row>
    <row r="384" spans="1:3" ht="13" x14ac:dyDescent="0.15">
      <c r="A384" s="10"/>
      <c r="B384" s="13"/>
      <c r="C384" s="13"/>
    </row>
    <row r="385" spans="1:3" ht="13" x14ac:dyDescent="0.15">
      <c r="A385" s="10"/>
      <c r="B385" s="13"/>
      <c r="C385" s="13"/>
    </row>
    <row r="386" spans="1:3" ht="13" x14ac:dyDescent="0.15">
      <c r="A386" s="10"/>
      <c r="B386" s="13"/>
      <c r="C386" s="13"/>
    </row>
    <row r="387" spans="1:3" ht="13" x14ac:dyDescent="0.15">
      <c r="A387" s="10"/>
      <c r="B387" s="13"/>
      <c r="C387" s="13"/>
    </row>
    <row r="388" spans="1:3" ht="13" x14ac:dyDescent="0.15">
      <c r="A388" s="10"/>
      <c r="B388" s="13"/>
      <c r="C388" s="13"/>
    </row>
    <row r="389" spans="1:3" ht="13" x14ac:dyDescent="0.15">
      <c r="A389" s="10"/>
      <c r="B389" s="13"/>
      <c r="C389" s="13"/>
    </row>
    <row r="390" spans="1:3" ht="13" x14ac:dyDescent="0.15">
      <c r="A390" s="10"/>
      <c r="B390" s="13"/>
      <c r="C390" s="13"/>
    </row>
    <row r="391" spans="1:3" ht="13" x14ac:dyDescent="0.15">
      <c r="A391" s="10"/>
      <c r="B391" s="13"/>
      <c r="C391" s="13"/>
    </row>
    <row r="392" spans="1:3" ht="13" x14ac:dyDescent="0.15">
      <c r="A392" s="10"/>
      <c r="B392" s="13"/>
      <c r="C392" s="13"/>
    </row>
    <row r="393" spans="1:3" ht="13" x14ac:dyDescent="0.15">
      <c r="A393" s="10"/>
      <c r="B393" s="13"/>
      <c r="C393" s="13"/>
    </row>
    <row r="394" spans="1:3" ht="13" x14ac:dyDescent="0.15">
      <c r="A394" s="10"/>
      <c r="B394" s="13"/>
      <c r="C394" s="13"/>
    </row>
    <row r="395" spans="1:3" ht="13" x14ac:dyDescent="0.15">
      <c r="A395" s="10"/>
      <c r="B395" s="13"/>
      <c r="C395" s="13"/>
    </row>
    <row r="396" spans="1:3" ht="13" x14ac:dyDescent="0.15">
      <c r="A396" s="10"/>
      <c r="B396" s="13"/>
      <c r="C396" s="13"/>
    </row>
    <row r="397" spans="1:3" ht="13" x14ac:dyDescent="0.15">
      <c r="A397" s="10"/>
      <c r="B397" s="13"/>
      <c r="C397" s="13"/>
    </row>
    <row r="398" spans="1:3" ht="13" x14ac:dyDescent="0.15">
      <c r="A398" s="10"/>
      <c r="B398" s="13"/>
      <c r="C398" s="13"/>
    </row>
    <row r="399" spans="1:3" ht="13" x14ac:dyDescent="0.15">
      <c r="A399" s="10"/>
      <c r="B399" s="13"/>
      <c r="C399" s="13"/>
    </row>
    <row r="400" spans="1:3" ht="13" x14ac:dyDescent="0.15">
      <c r="A400" s="10"/>
      <c r="B400" s="13"/>
      <c r="C400" s="13"/>
    </row>
    <row r="401" spans="1:3" ht="13" x14ac:dyDescent="0.15">
      <c r="A401" s="10"/>
      <c r="B401" s="13"/>
      <c r="C401" s="13"/>
    </row>
    <row r="402" spans="1:3" ht="13" x14ac:dyDescent="0.15">
      <c r="A402" s="10"/>
      <c r="B402" s="13"/>
      <c r="C402" s="13"/>
    </row>
    <row r="403" spans="1:3" ht="13" x14ac:dyDescent="0.15">
      <c r="A403" s="10"/>
      <c r="B403" s="13"/>
      <c r="C403" s="13"/>
    </row>
    <row r="404" spans="1:3" ht="13" x14ac:dyDescent="0.15">
      <c r="A404" s="10"/>
      <c r="B404" s="13"/>
      <c r="C404" s="13"/>
    </row>
    <row r="405" spans="1:3" ht="13" x14ac:dyDescent="0.15">
      <c r="A405" s="10"/>
      <c r="B405" s="13"/>
      <c r="C405" s="13"/>
    </row>
    <row r="406" spans="1:3" ht="13" x14ac:dyDescent="0.15">
      <c r="A406" s="10"/>
      <c r="B406" s="13"/>
      <c r="C406" s="13"/>
    </row>
    <row r="407" spans="1:3" ht="13" x14ac:dyDescent="0.15">
      <c r="A407" s="10"/>
      <c r="B407" s="13"/>
      <c r="C407" s="13"/>
    </row>
    <row r="408" spans="1:3" ht="13" x14ac:dyDescent="0.15">
      <c r="A408" s="10"/>
      <c r="B408" s="13"/>
      <c r="C408" s="13"/>
    </row>
    <row r="409" spans="1:3" ht="13" x14ac:dyDescent="0.15">
      <c r="A409" s="10"/>
      <c r="B409" s="13"/>
      <c r="C409" s="13"/>
    </row>
    <row r="410" spans="1:3" ht="13" x14ac:dyDescent="0.15">
      <c r="A410" s="10"/>
      <c r="B410" s="13"/>
      <c r="C410" s="13"/>
    </row>
    <row r="411" spans="1:3" ht="13" x14ac:dyDescent="0.15">
      <c r="A411" s="10"/>
      <c r="B411" s="13"/>
      <c r="C411" s="13"/>
    </row>
    <row r="412" spans="1:3" ht="13" x14ac:dyDescent="0.15">
      <c r="A412" s="10"/>
      <c r="B412" s="13"/>
      <c r="C412" s="13"/>
    </row>
    <row r="413" spans="1:3" ht="13" x14ac:dyDescent="0.15">
      <c r="A413" s="10"/>
      <c r="B413" s="13"/>
      <c r="C413" s="13"/>
    </row>
    <row r="414" spans="1:3" ht="13" x14ac:dyDescent="0.15">
      <c r="A414" s="10"/>
      <c r="B414" s="13"/>
      <c r="C414" s="13"/>
    </row>
    <row r="415" spans="1:3" ht="13" x14ac:dyDescent="0.15">
      <c r="A415" s="10"/>
      <c r="B415" s="13"/>
      <c r="C415" s="13"/>
    </row>
    <row r="416" spans="1:3" ht="13" x14ac:dyDescent="0.15">
      <c r="A416" s="10"/>
      <c r="B416" s="13"/>
      <c r="C416" s="13"/>
    </row>
    <row r="417" spans="1:3" ht="13" x14ac:dyDescent="0.15">
      <c r="A417" s="10"/>
      <c r="B417" s="13"/>
      <c r="C417" s="13"/>
    </row>
    <row r="418" spans="1:3" ht="13" x14ac:dyDescent="0.15">
      <c r="A418" s="10"/>
      <c r="B418" s="13"/>
      <c r="C418" s="13"/>
    </row>
    <row r="419" spans="1:3" ht="13" x14ac:dyDescent="0.15">
      <c r="A419" s="10"/>
      <c r="B419" s="13"/>
      <c r="C419" s="13"/>
    </row>
    <row r="420" spans="1:3" ht="13" x14ac:dyDescent="0.15">
      <c r="A420" s="10"/>
      <c r="B420" s="13"/>
      <c r="C420" s="13"/>
    </row>
    <row r="421" spans="1:3" ht="13" x14ac:dyDescent="0.15">
      <c r="A421" s="10"/>
      <c r="B421" s="13"/>
      <c r="C421" s="13"/>
    </row>
    <row r="422" spans="1:3" ht="13" x14ac:dyDescent="0.15">
      <c r="A422" s="10"/>
      <c r="B422" s="13"/>
      <c r="C422" s="13"/>
    </row>
    <row r="423" spans="1:3" ht="13" x14ac:dyDescent="0.15">
      <c r="A423" s="10"/>
      <c r="B423" s="13"/>
      <c r="C423" s="13"/>
    </row>
    <row r="424" spans="1:3" ht="13" x14ac:dyDescent="0.15">
      <c r="A424" s="10"/>
      <c r="B424" s="13"/>
      <c r="C424" s="13"/>
    </row>
    <row r="425" spans="1:3" ht="13" x14ac:dyDescent="0.15">
      <c r="A425" s="10"/>
      <c r="B425" s="13"/>
      <c r="C425" s="13"/>
    </row>
    <row r="426" spans="1:3" ht="13" x14ac:dyDescent="0.15">
      <c r="A426" s="10"/>
      <c r="B426" s="13"/>
      <c r="C426" s="13"/>
    </row>
    <row r="427" spans="1:3" ht="13" x14ac:dyDescent="0.15">
      <c r="A427" s="10"/>
      <c r="B427" s="13"/>
      <c r="C427" s="13"/>
    </row>
    <row r="428" spans="1:3" ht="13" x14ac:dyDescent="0.15">
      <c r="A428" s="10"/>
      <c r="B428" s="13"/>
      <c r="C428" s="13"/>
    </row>
    <row r="429" spans="1:3" ht="13" x14ac:dyDescent="0.15">
      <c r="A429" s="10"/>
      <c r="B429" s="13"/>
      <c r="C429" s="13"/>
    </row>
    <row r="430" spans="1:3" ht="13" x14ac:dyDescent="0.15">
      <c r="A430" s="10"/>
      <c r="B430" s="13"/>
      <c r="C430" s="13"/>
    </row>
    <row r="431" spans="1:3" ht="13" x14ac:dyDescent="0.15">
      <c r="A431" s="10"/>
      <c r="B431" s="13"/>
      <c r="C431" s="13"/>
    </row>
    <row r="432" spans="1:3" ht="13" x14ac:dyDescent="0.15">
      <c r="A432" s="10"/>
      <c r="B432" s="13"/>
      <c r="C432" s="13"/>
    </row>
    <row r="433" spans="1:3" ht="13" x14ac:dyDescent="0.15">
      <c r="A433" s="10"/>
      <c r="B433" s="13"/>
      <c r="C433" s="13"/>
    </row>
    <row r="434" spans="1:3" ht="13" x14ac:dyDescent="0.15">
      <c r="A434" s="10"/>
      <c r="B434" s="13"/>
      <c r="C434" s="13"/>
    </row>
    <row r="435" spans="1:3" ht="13" x14ac:dyDescent="0.15">
      <c r="A435" s="10"/>
      <c r="B435" s="13"/>
      <c r="C435" s="13"/>
    </row>
    <row r="436" spans="1:3" ht="13" x14ac:dyDescent="0.15">
      <c r="A436" s="10"/>
      <c r="B436" s="13"/>
      <c r="C436" s="13"/>
    </row>
    <row r="437" spans="1:3" ht="13" x14ac:dyDescent="0.15">
      <c r="A437" s="10"/>
      <c r="B437" s="13"/>
      <c r="C437" s="13"/>
    </row>
    <row r="438" spans="1:3" ht="13" x14ac:dyDescent="0.15">
      <c r="A438" s="10"/>
      <c r="B438" s="13"/>
      <c r="C438" s="13"/>
    </row>
    <row r="439" spans="1:3" ht="13" x14ac:dyDescent="0.15">
      <c r="A439" s="10"/>
      <c r="B439" s="13"/>
      <c r="C439" s="13"/>
    </row>
    <row r="440" spans="1:3" ht="13" x14ac:dyDescent="0.15">
      <c r="A440" s="10"/>
      <c r="B440" s="13"/>
      <c r="C440" s="13"/>
    </row>
    <row r="441" spans="1:3" ht="13" x14ac:dyDescent="0.15">
      <c r="A441" s="10"/>
      <c r="B441" s="13"/>
      <c r="C441" s="13"/>
    </row>
    <row r="442" spans="1:3" ht="13" x14ac:dyDescent="0.15">
      <c r="A442" s="10"/>
      <c r="B442" s="13"/>
      <c r="C442" s="13"/>
    </row>
    <row r="443" spans="1:3" ht="13" x14ac:dyDescent="0.15">
      <c r="A443" s="10"/>
      <c r="B443" s="13"/>
      <c r="C443" s="13"/>
    </row>
    <row r="444" spans="1:3" ht="13" x14ac:dyDescent="0.15">
      <c r="A444" s="10"/>
      <c r="B444" s="13"/>
      <c r="C444" s="13"/>
    </row>
    <row r="445" spans="1:3" ht="13" x14ac:dyDescent="0.15">
      <c r="A445" s="10"/>
      <c r="B445" s="13"/>
      <c r="C445" s="13"/>
    </row>
    <row r="446" spans="1:3" ht="13" x14ac:dyDescent="0.15">
      <c r="A446" s="10"/>
      <c r="B446" s="13"/>
      <c r="C446" s="13"/>
    </row>
    <row r="447" spans="1:3" ht="13" x14ac:dyDescent="0.15">
      <c r="A447" s="10"/>
      <c r="B447" s="13"/>
      <c r="C447" s="13"/>
    </row>
    <row r="448" spans="1:3" ht="13" x14ac:dyDescent="0.15">
      <c r="A448" s="10"/>
      <c r="B448" s="13"/>
      <c r="C448" s="13"/>
    </row>
    <row r="449" spans="1:3" ht="13" x14ac:dyDescent="0.15">
      <c r="A449" s="10"/>
      <c r="B449" s="13"/>
      <c r="C449" s="13"/>
    </row>
    <row r="450" spans="1:3" ht="13" x14ac:dyDescent="0.15">
      <c r="A450" s="10"/>
      <c r="B450" s="13"/>
      <c r="C450" s="13"/>
    </row>
    <row r="451" spans="1:3" ht="13" x14ac:dyDescent="0.15">
      <c r="A451" s="10"/>
      <c r="B451" s="13"/>
      <c r="C451" s="13"/>
    </row>
    <row r="452" spans="1:3" ht="13" x14ac:dyDescent="0.15">
      <c r="A452" s="10"/>
      <c r="B452" s="13"/>
      <c r="C452" s="13"/>
    </row>
    <row r="453" spans="1:3" ht="13" x14ac:dyDescent="0.15">
      <c r="A453" s="10"/>
      <c r="B453" s="13"/>
      <c r="C453" s="13"/>
    </row>
    <row r="454" spans="1:3" ht="13" x14ac:dyDescent="0.15">
      <c r="A454" s="10"/>
      <c r="B454" s="13"/>
      <c r="C454" s="13"/>
    </row>
    <row r="455" spans="1:3" ht="13" x14ac:dyDescent="0.15">
      <c r="A455" s="10"/>
      <c r="B455" s="13"/>
      <c r="C455" s="13"/>
    </row>
    <row r="456" spans="1:3" ht="13" x14ac:dyDescent="0.15">
      <c r="A456" s="10"/>
      <c r="B456" s="13"/>
      <c r="C456" s="13"/>
    </row>
    <row r="457" spans="1:3" ht="13" x14ac:dyDescent="0.15">
      <c r="A457" s="10"/>
      <c r="B457" s="13"/>
      <c r="C457" s="13"/>
    </row>
    <row r="458" spans="1:3" ht="13" x14ac:dyDescent="0.15">
      <c r="A458" s="10"/>
      <c r="B458" s="13"/>
      <c r="C458" s="13"/>
    </row>
    <row r="459" spans="1:3" ht="13" x14ac:dyDescent="0.15">
      <c r="A459" s="10"/>
      <c r="B459" s="13"/>
      <c r="C459" s="13"/>
    </row>
    <row r="460" spans="1:3" ht="13" x14ac:dyDescent="0.15">
      <c r="A460" s="10"/>
      <c r="B460" s="13"/>
      <c r="C460" s="13"/>
    </row>
    <row r="461" spans="1:3" ht="13" x14ac:dyDescent="0.15">
      <c r="A461" s="10"/>
      <c r="B461" s="13"/>
      <c r="C461" s="13"/>
    </row>
    <row r="462" spans="1:3" ht="13" x14ac:dyDescent="0.15">
      <c r="A462" s="10"/>
      <c r="B462" s="13"/>
      <c r="C462" s="13"/>
    </row>
    <row r="463" spans="1:3" ht="13" x14ac:dyDescent="0.15">
      <c r="A463" s="10"/>
      <c r="B463" s="13"/>
      <c r="C463" s="13"/>
    </row>
    <row r="464" spans="1:3" ht="13" x14ac:dyDescent="0.15">
      <c r="A464" s="10"/>
      <c r="B464" s="13"/>
      <c r="C464" s="13"/>
    </row>
    <row r="465" spans="1:3" ht="13" x14ac:dyDescent="0.15">
      <c r="A465" s="10"/>
      <c r="B465" s="13"/>
      <c r="C465" s="13"/>
    </row>
    <row r="466" spans="1:3" ht="13" x14ac:dyDescent="0.15">
      <c r="A466" s="10"/>
      <c r="B466" s="13"/>
      <c r="C466" s="13"/>
    </row>
    <row r="467" spans="1:3" ht="13" x14ac:dyDescent="0.15">
      <c r="A467" s="10"/>
      <c r="B467" s="13"/>
      <c r="C467" s="13"/>
    </row>
    <row r="468" spans="1:3" ht="13" x14ac:dyDescent="0.15">
      <c r="A468" s="10"/>
      <c r="B468" s="13"/>
      <c r="C468" s="13"/>
    </row>
    <row r="469" spans="1:3" ht="13" x14ac:dyDescent="0.15">
      <c r="A469" s="10"/>
      <c r="B469" s="13"/>
      <c r="C469" s="13"/>
    </row>
    <row r="470" spans="1:3" ht="13" x14ac:dyDescent="0.15">
      <c r="A470" s="10"/>
      <c r="B470" s="13"/>
      <c r="C470" s="13"/>
    </row>
    <row r="471" spans="1:3" ht="13" x14ac:dyDescent="0.15">
      <c r="A471" s="10"/>
      <c r="B471" s="13"/>
      <c r="C471" s="13"/>
    </row>
    <row r="472" spans="1:3" ht="13" x14ac:dyDescent="0.15">
      <c r="A472" s="10"/>
      <c r="B472" s="13"/>
      <c r="C472" s="13"/>
    </row>
    <row r="473" spans="1:3" ht="13" x14ac:dyDescent="0.15">
      <c r="A473" s="10"/>
      <c r="B473" s="13"/>
      <c r="C473" s="13"/>
    </row>
    <row r="474" spans="1:3" ht="13" x14ac:dyDescent="0.15">
      <c r="A474" s="10"/>
      <c r="B474" s="13"/>
      <c r="C474" s="13"/>
    </row>
    <row r="475" spans="1:3" ht="13" x14ac:dyDescent="0.15">
      <c r="A475" s="10"/>
      <c r="B475" s="13"/>
      <c r="C475" s="13"/>
    </row>
    <row r="476" spans="1:3" ht="13" x14ac:dyDescent="0.15">
      <c r="A476" s="10"/>
      <c r="B476" s="13"/>
      <c r="C476" s="13"/>
    </row>
    <row r="477" spans="1:3" ht="13" x14ac:dyDescent="0.15">
      <c r="A477" s="10"/>
      <c r="B477" s="13"/>
      <c r="C477" s="13"/>
    </row>
    <row r="478" spans="1:3" ht="13" x14ac:dyDescent="0.15">
      <c r="A478" s="10"/>
      <c r="B478" s="13"/>
      <c r="C478" s="13"/>
    </row>
    <row r="479" spans="1:3" ht="13" x14ac:dyDescent="0.15">
      <c r="A479" s="10"/>
      <c r="B479" s="13"/>
      <c r="C479" s="13"/>
    </row>
    <row r="480" spans="1:3" ht="13" x14ac:dyDescent="0.15">
      <c r="A480" s="10"/>
      <c r="B480" s="13"/>
      <c r="C480" s="13"/>
    </row>
    <row r="481" spans="1:3" ht="13" x14ac:dyDescent="0.15">
      <c r="A481" s="10"/>
      <c r="B481" s="13"/>
      <c r="C481" s="13"/>
    </row>
    <row r="482" spans="1:3" ht="13" x14ac:dyDescent="0.15">
      <c r="A482" s="10"/>
      <c r="B482" s="13"/>
      <c r="C482" s="13"/>
    </row>
    <row r="483" spans="1:3" ht="13" x14ac:dyDescent="0.15">
      <c r="A483" s="10"/>
      <c r="B483" s="13"/>
      <c r="C483" s="13"/>
    </row>
    <row r="484" spans="1:3" ht="13" x14ac:dyDescent="0.15">
      <c r="A484" s="10"/>
      <c r="B484" s="13"/>
      <c r="C484" s="13"/>
    </row>
    <row r="485" spans="1:3" ht="13" x14ac:dyDescent="0.15">
      <c r="A485" s="10"/>
      <c r="B485" s="13"/>
      <c r="C485" s="13"/>
    </row>
    <row r="486" spans="1:3" ht="13" x14ac:dyDescent="0.15">
      <c r="A486" s="10"/>
      <c r="B486" s="13"/>
      <c r="C486" s="13"/>
    </row>
    <row r="487" spans="1:3" ht="13" x14ac:dyDescent="0.15">
      <c r="A487" s="10"/>
      <c r="B487" s="13"/>
      <c r="C487" s="13"/>
    </row>
    <row r="488" spans="1:3" ht="13" x14ac:dyDescent="0.15">
      <c r="A488" s="10"/>
      <c r="B488" s="13"/>
      <c r="C488" s="13"/>
    </row>
    <row r="489" spans="1:3" ht="13" x14ac:dyDescent="0.15">
      <c r="A489" s="10"/>
      <c r="B489" s="13"/>
      <c r="C489" s="13"/>
    </row>
    <row r="490" spans="1:3" ht="13" x14ac:dyDescent="0.15">
      <c r="A490" s="10"/>
      <c r="B490" s="13"/>
      <c r="C490" s="13"/>
    </row>
    <row r="491" spans="1:3" ht="13" x14ac:dyDescent="0.15">
      <c r="A491" s="10"/>
      <c r="B491" s="13"/>
      <c r="C491" s="13"/>
    </row>
    <row r="492" spans="1:3" ht="13" x14ac:dyDescent="0.15">
      <c r="A492" s="10"/>
      <c r="B492" s="13"/>
      <c r="C492" s="13"/>
    </row>
    <row r="493" spans="1:3" ht="13" x14ac:dyDescent="0.15">
      <c r="A493" s="10"/>
      <c r="B493" s="13"/>
      <c r="C493" s="13"/>
    </row>
    <row r="494" spans="1:3" ht="13" x14ac:dyDescent="0.15">
      <c r="A494" s="10"/>
      <c r="B494" s="13"/>
      <c r="C494" s="13"/>
    </row>
    <row r="495" spans="1:3" ht="13" x14ac:dyDescent="0.15">
      <c r="A495" s="10"/>
      <c r="B495" s="13"/>
      <c r="C495" s="13"/>
    </row>
    <row r="496" spans="1:3" ht="13" x14ac:dyDescent="0.15">
      <c r="A496" s="10"/>
      <c r="B496" s="13"/>
      <c r="C496" s="13"/>
    </row>
    <row r="497" spans="1:3" ht="13" x14ac:dyDescent="0.15">
      <c r="A497" s="10"/>
      <c r="B497" s="13"/>
      <c r="C497" s="13"/>
    </row>
    <row r="498" spans="1:3" ht="13" x14ac:dyDescent="0.15">
      <c r="A498" s="10"/>
      <c r="B498" s="13"/>
      <c r="C498" s="13"/>
    </row>
    <row r="499" spans="1:3" ht="13" x14ac:dyDescent="0.15">
      <c r="A499" s="10"/>
      <c r="B499" s="13"/>
      <c r="C499" s="13"/>
    </row>
    <row r="500" spans="1:3" ht="13" x14ac:dyDescent="0.15">
      <c r="A500" s="10"/>
      <c r="B500" s="13"/>
      <c r="C500" s="13"/>
    </row>
    <row r="501" spans="1:3" ht="13" x14ac:dyDescent="0.15">
      <c r="A501" s="10"/>
      <c r="B501" s="13"/>
      <c r="C501" s="13"/>
    </row>
    <row r="502" spans="1:3" ht="13" x14ac:dyDescent="0.15">
      <c r="A502" s="10"/>
      <c r="B502" s="13"/>
      <c r="C502" s="13"/>
    </row>
    <row r="503" spans="1:3" ht="13" x14ac:dyDescent="0.15">
      <c r="A503" s="10"/>
      <c r="B503" s="13"/>
      <c r="C503" s="13"/>
    </row>
    <row r="504" spans="1:3" ht="13" x14ac:dyDescent="0.15">
      <c r="A504" s="10"/>
      <c r="B504" s="13"/>
      <c r="C504" s="13"/>
    </row>
    <row r="505" spans="1:3" ht="13" x14ac:dyDescent="0.15">
      <c r="A505" s="10"/>
      <c r="B505" s="13"/>
      <c r="C505" s="13"/>
    </row>
    <row r="506" spans="1:3" ht="13" x14ac:dyDescent="0.15">
      <c r="A506" s="10"/>
      <c r="B506" s="13"/>
      <c r="C506" s="13"/>
    </row>
    <row r="507" spans="1:3" ht="13" x14ac:dyDescent="0.15">
      <c r="A507" s="10"/>
      <c r="B507" s="13"/>
      <c r="C507" s="13"/>
    </row>
    <row r="508" spans="1:3" ht="13" x14ac:dyDescent="0.15">
      <c r="A508" s="10"/>
      <c r="B508" s="13"/>
      <c r="C508" s="13"/>
    </row>
    <row r="509" spans="1:3" ht="13" x14ac:dyDescent="0.15">
      <c r="A509" s="10"/>
      <c r="B509" s="13"/>
      <c r="C509" s="13"/>
    </row>
    <row r="510" spans="1:3" ht="13" x14ac:dyDescent="0.15">
      <c r="A510" s="10"/>
      <c r="B510" s="13"/>
      <c r="C510" s="13"/>
    </row>
    <row r="511" spans="1:3" ht="13" x14ac:dyDescent="0.15">
      <c r="A511" s="10"/>
      <c r="B511" s="13"/>
      <c r="C511" s="13"/>
    </row>
    <row r="512" spans="1:3" ht="13" x14ac:dyDescent="0.15">
      <c r="A512" s="10"/>
      <c r="B512" s="13"/>
      <c r="C512" s="13"/>
    </row>
    <row r="513" spans="1:3" ht="13" x14ac:dyDescent="0.15">
      <c r="A513" s="10"/>
      <c r="B513" s="13"/>
      <c r="C513" s="13"/>
    </row>
    <row r="514" spans="1:3" ht="13" x14ac:dyDescent="0.15">
      <c r="A514" s="10"/>
      <c r="B514" s="13"/>
      <c r="C514" s="13"/>
    </row>
    <row r="515" spans="1:3" ht="13" x14ac:dyDescent="0.15">
      <c r="A515" s="10"/>
      <c r="B515" s="13"/>
      <c r="C515" s="13"/>
    </row>
    <row r="516" spans="1:3" ht="13" x14ac:dyDescent="0.15">
      <c r="A516" s="10"/>
      <c r="B516" s="13"/>
      <c r="C516" s="13"/>
    </row>
    <row r="517" spans="1:3" ht="13" x14ac:dyDescent="0.15">
      <c r="A517" s="10"/>
      <c r="B517" s="13"/>
      <c r="C517" s="13"/>
    </row>
    <row r="518" spans="1:3" ht="13" x14ac:dyDescent="0.15">
      <c r="A518" s="10"/>
      <c r="B518" s="13"/>
      <c r="C518" s="13"/>
    </row>
    <row r="519" spans="1:3" ht="13" x14ac:dyDescent="0.15">
      <c r="A519" s="10"/>
      <c r="B519" s="13"/>
      <c r="C519" s="13"/>
    </row>
    <row r="520" spans="1:3" ht="13" x14ac:dyDescent="0.15">
      <c r="A520" s="10"/>
      <c r="B520" s="13"/>
      <c r="C520" s="13"/>
    </row>
    <row r="521" spans="1:3" ht="13" x14ac:dyDescent="0.15">
      <c r="A521" s="10"/>
      <c r="B521" s="13"/>
      <c r="C521" s="13"/>
    </row>
    <row r="522" spans="1:3" ht="13" x14ac:dyDescent="0.15">
      <c r="A522" s="10"/>
      <c r="B522" s="13"/>
      <c r="C522" s="13"/>
    </row>
    <row r="523" spans="1:3" ht="13" x14ac:dyDescent="0.15">
      <c r="A523" s="10"/>
      <c r="B523" s="13"/>
      <c r="C523" s="13"/>
    </row>
    <row r="524" spans="1:3" ht="13" x14ac:dyDescent="0.15">
      <c r="A524" s="10"/>
      <c r="B524" s="13"/>
      <c r="C524" s="13"/>
    </row>
    <row r="525" spans="1:3" ht="13" x14ac:dyDescent="0.15">
      <c r="A525" s="10"/>
      <c r="B525" s="13"/>
      <c r="C525" s="13"/>
    </row>
    <row r="526" spans="1:3" ht="13" x14ac:dyDescent="0.15">
      <c r="A526" s="10"/>
      <c r="B526" s="13"/>
      <c r="C526" s="13"/>
    </row>
    <row r="527" spans="1:3" ht="13" x14ac:dyDescent="0.15">
      <c r="A527" s="10"/>
      <c r="B527" s="13"/>
      <c r="C527" s="13"/>
    </row>
    <row r="528" spans="1:3" ht="13" x14ac:dyDescent="0.15">
      <c r="A528" s="10"/>
      <c r="B528" s="13"/>
      <c r="C528" s="13"/>
    </row>
    <row r="529" spans="1:3" ht="13" x14ac:dyDescent="0.15">
      <c r="A529" s="10"/>
      <c r="B529" s="13"/>
      <c r="C529" s="13"/>
    </row>
    <row r="530" spans="1:3" ht="13" x14ac:dyDescent="0.15">
      <c r="A530" s="10"/>
      <c r="B530" s="13"/>
      <c r="C530" s="13"/>
    </row>
    <row r="531" spans="1:3" ht="13" x14ac:dyDescent="0.15">
      <c r="A531" s="10"/>
      <c r="B531" s="13"/>
      <c r="C531" s="13"/>
    </row>
    <row r="532" spans="1:3" ht="13" x14ac:dyDescent="0.15">
      <c r="A532" s="10"/>
      <c r="B532" s="13"/>
      <c r="C532" s="13"/>
    </row>
    <row r="533" spans="1:3" ht="13" x14ac:dyDescent="0.15">
      <c r="A533" s="10"/>
      <c r="B533" s="13"/>
      <c r="C533" s="13"/>
    </row>
    <row r="534" spans="1:3" ht="13" x14ac:dyDescent="0.15">
      <c r="A534" s="10"/>
      <c r="B534" s="13"/>
      <c r="C534" s="13"/>
    </row>
    <row r="535" spans="1:3" ht="13" x14ac:dyDescent="0.15">
      <c r="A535" s="10"/>
      <c r="B535" s="13"/>
      <c r="C535" s="13"/>
    </row>
    <row r="536" spans="1:3" ht="13" x14ac:dyDescent="0.15">
      <c r="A536" s="10"/>
      <c r="B536" s="13"/>
      <c r="C536" s="13"/>
    </row>
    <row r="537" spans="1:3" ht="13" x14ac:dyDescent="0.15">
      <c r="A537" s="10"/>
      <c r="B537" s="13"/>
      <c r="C537" s="13"/>
    </row>
    <row r="538" spans="1:3" ht="13" x14ac:dyDescent="0.15">
      <c r="A538" s="10"/>
      <c r="B538" s="13"/>
      <c r="C538" s="13"/>
    </row>
    <row r="539" spans="1:3" ht="13" x14ac:dyDescent="0.15">
      <c r="A539" s="10"/>
      <c r="B539" s="13"/>
      <c r="C539" s="13"/>
    </row>
    <row r="540" spans="1:3" ht="13" x14ac:dyDescent="0.15">
      <c r="A540" s="10"/>
      <c r="B540" s="13"/>
      <c r="C540" s="13"/>
    </row>
    <row r="541" spans="1:3" ht="13" x14ac:dyDescent="0.15">
      <c r="A541" s="10"/>
      <c r="B541" s="13"/>
      <c r="C541" s="13"/>
    </row>
    <row r="542" spans="1:3" ht="13" x14ac:dyDescent="0.15">
      <c r="A542" s="10"/>
      <c r="B542" s="13"/>
      <c r="C542" s="13"/>
    </row>
    <row r="543" spans="1:3" ht="13" x14ac:dyDescent="0.15">
      <c r="A543" s="10"/>
      <c r="B543" s="13"/>
      <c r="C543" s="13"/>
    </row>
    <row r="544" spans="1:3" ht="13" x14ac:dyDescent="0.15">
      <c r="A544" s="10"/>
      <c r="B544" s="13"/>
      <c r="C544" s="13"/>
    </row>
    <row r="545" spans="1:3" ht="13" x14ac:dyDescent="0.15">
      <c r="A545" s="10"/>
      <c r="B545" s="13"/>
      <c r="C545" s="13"/>
    </row>
    <row r="546" spans="1:3" ht="13" x14ac:dyDescent="0.15">
      <c r="A546" s="10"/>
      <c r="B546" s="13"/>
      <c r="C546" s="13"/>
    </row>
    <row r="547" spans="1:3" ht="13" x14ac:dyDescent="0.15">
      <c r="A547" s="10"/>
      <c r="B547" s="13"/>
      <c r="C547" s="13"/>
    </row>
    <row r="548" spans="1:3" ht="13" x14ac:dyDescent="0.15">
      <c r="A548" s="10"/>
      <c r="B548" s="13"/>
      <c r="C548" s="13"/>
    </row>
    <row r="549" spans="1:3" ht="13" x14ac:dyDescent="0.15">
      <c r="A549" s="10"/>
      <c r="B549" s="13"/>
      <c r="C549" s="13"/>
    </row>
    <row r="550" spans="1:3" ht="13" x14ac:dyDescent="0.15">
      <c r="A550" s="10"/>
      <c r="B550" s="13"/>
      <c r="C550" s="13"/>
    </row>
    <row r="551" spans="1:3" ht="13" x14ac:dyDescent="0.15">
      <c r="A551" s="10"/>
      <c r="B551" s="13"/>
      <c r="C551" s="13"/>
    </row>
    <row r="552" spans="1:3" ht="13" x14ac:dyDescent="0.15">
      <c r="A552" s="10"/>
      <c r="B552" s="13"/>
      <c r="C552" s="13"/>
    </row>
    <row r="553" spans="1:3" ht="13" x14ac:dyDescent="0.15">
      <c r="A553" s="10"/>
      <c r="B553" s="13"/>
      <c r="C553" s="13"/>
    </row>
    <row r="554" spans="1:3" ht="13" x14ac:dyDescent="0.15">
      <c r="A554" s="10"/>
      <c r="B554" s="13"/>
      <c r="C554" s="13"/>
    </row>
    <row r="555" spans="1:3" ht="13" x14ac:dyDescent="0.15">
      <c r="A555" s="10"/>
      <c r="B555" s="13"/>
      <c r="C555" s="13"/>
    </row>
    <row r="556" spans="1:3" ht="13" x14ac:dyDescent="0.15">
      <c r="A556" s="10"/>
      <c r="B556" s="13"/>
      <c r="C556" s="13"/>
    </row>
    <row r="557" spans="1:3" ht="13" x14ac:dyDescent="0.15">
      <c r="A557" s="10"/>
      <c r="B557" s="13"/>
      <c r="C557" s="13"/>
    </row>
    <row r="558" spans="1:3" ht="13" x14ac:dyDescent="0.15">
      <c r="A558" s="10"/>
      <c r="B558" s="13"/>
      <c r="C558" s="13"/>
    </row>
    <row r="559" spans="1:3" ht="13" x14ac:dyDescent="0.15">
      <c r="A559" s="10"/>
      <c r="B559" s="13"/>
      <c r="C559" s="13"/>
    </row>
    <row r="560" spans="1:3" ht="13" x14ac:dyDescent="0.15">
      <c r="A560" s="10"/>
      <c r="B560" s="13"/>
      <c r="C560" s="13"/>
    </row>
    <row r="561" spans="1:3" ht="13" x14ac:dyDescent="0.15">
      <c r="A561" s="10"/>
      <c r="B561" s="13"/>
      <c r="C561" s="13"/>
    </row>
    <row r="562" spans="1:3" ht="13" x14ac:dyDescent="0.15">
      <c r="A562" s="10"/>
      <c r="B562" s="13"/>
      <c r="C562" s="13"/>
    </row>
    <row r="563" spans="1:3" ht="13" x14ac:dyDescent="0.15">
      <c r="A563" s="10"/>
      <c r="B563" s="13"/>
      <c r="C563" s="13"/>
    </row>
    <row r="564" spans="1:3" ht="13" x14ac:dyDescent="0.15">
      <c r="A564" s="10"/>
      <c r="B564" s="13"/>
      <c r="C564" s="13"/>
    </row>
    <row r="565" spans="1:3" ht="13" x14ac:dyDescent="0.15">
      <c r="A565" s="10"/>
      <c r="B565" s="13"/>
      <c r="C565" s="13"/>
    </row>
    <row r="566" spans="1:3" ht="13" x14ac:dyDescent="0.15">
      <c r="A566" s="10"/>
      <c r="B566" s="13"/>
      <c r="C566" s="13"/>
    </row>
    <row r="567" spans="1:3" ht="13" x14ac:dyDescent="0.15">
      <c r="A567" s="10"/>
      <c r="B567" s="13"/>
      <c r="C567" s="13"/>
    </row>
    <row r="568" spans="1:3" ht="13" x14ac:dyDescent="0.15">
      <c r="A568" s="10"/>
      <c r="B568" s="13"/>
      <c r="C568" s="13"/>
    </row>
    <row r="569" spans="1:3" ht="13" x14ac:dyDescent="0.15">
      <c r="A569" s="10"/>
      <c r="B569" s="13"/>
      <c r="C569" s="13"/>
    </row>
    <row r="570" spans="1:3" ht="13" x14ac:dyDescent="0.15">
      <c r="A570" s="10"/>
      <c r="B570" s="13"/>
      <c r="C570" s="13"/>
    </row>
    <row r="571" spans="1:3" ht="13" x14ac:dyDescent="0.15">
      <c r="A571" s="10"/>
      <c r="B571" s="13"/>
      <c r="C571" s="13"/>
    </row>
    <row r="572" spans="1:3" ht="13" x14ac:dyDescent="0.15">
      <c r="A572" s="10"/>
      <c r="B572" s="13"/>
      <c r="C572" s="13"/>
    </row>
    <row r="573" spans="1:3" ht="13" x14ac:dyDescent="0.15">
      <c r="A573" s="10"/>
      <c r="B573" s="13"/>
      <c r="C573" s="13"/>
    </row>
    <row r="574" spans="1:3" ht="13" x14ac:dyDescent="0.15">
      <c r="A574" s="10"/>
      <c r="B574" s="13"/>
      <c r="C574" s="13"/>
    </row>
    <row r="575" spans="1:3" ht="13" x14ac:dyDescent="0.15">
      <c r="A575" s="10"/>
      <c r="B575" s="13"/>
      <c r="C575" s="13"/>
    </row>
    <row r="576" spans="1:3" ht="13" x14ac:dyDescent="0.15">
      <c r="A576" s="10"/>
      <c r="B576" s="13"/>
      <c r="C576" s="13"/>
    </row>
    <row r="577" spans="1:3" ht="13" x14ac:dyDescent="0.15">
      <c r="A577" s="10"/>
      <c r="B577" s="13"/>
      <c r="C577" s="13"/>
    </row>
    <row r="578" spans="1:3" ht="13" x14ac:dyDescent="0.15">
      <c r="A578" s="10"/>
      <c r="B578" s="13"/>
      <c r="C578" s="13"/>
    </row>
    <row r="579" spans="1:3" ht="13" x14ac:dyDescent="0.15">
      <c r="A579" s="10"/>
      <c r="B579" s="13"/>
      <c r="C579" s="13"/>
    </row>
    <row r="580" spans="1:3" ht="13" x14ac:dyDescent="0.15">
      <c r="A580" s="10"/>
      <c r="B580" s="13"/>
      <c r="C580" s="13"/>
    </row>
    <row r="581" spans="1:3" ht="13" x14ac:dyDescent="0.15">
      <c r="A581" s="10"/>
      <c r="B581" s="13"/>
      <c r="C581" s="13"/>
    </row>
    <row r="582" spans="1:3" ht="13" x14ac:dyDescent="0.15">
      <c r="A582" s="10"/>
      <c r="B582" s="13"/>
      <c r="C582" s="13"/>
    </row>
    <row r="583" spans="1:3" ht="13" x14ac:dyDescent="0.15">
      <c r="A583" s="10"/>
      <c r="B583" s="13"/>
      <c r="C583" s="13"/>
    </row>
    <row r="584" spans="1:3" ht="13" x14ac:dyDescent="0.15">
      <c r="A584" s="10"/>
      <c r="B584" s="13"/>
      <c r="C584" s="13"/>
    </row>
    <row r="585" spans="1:3" ht="13" x14ac:dyDescent="0.15">
      <c r="A585" s="10"/>
      <c r="B585" s="13"/>
      <c r="C585" s="13"/>
    </row>
    <row r="586" spans="1:3" ht="13" x14ac:dyDescent="0.15">
      <c r="A586" s="10"/>
      <c r="B586" s="13"/>
      <c r="C586" s="13"/>
    </row>
    <row r="587" spans="1:3" ht="13" x14ac:dyDescent="0.15">
      <c r="A587" s="10"/>
      <c r="B587" s="13"/>
      <c r="C587" s="13"/>
    </row>
    <row r="588" spans="1:3" ht="13" x14ac:dyDescent="0.15">
      <c r="A588" s="10"/>
      <c r="B588" s="13"/>
      <c r="C588" s="13"/>
    </row>
    <row r="589" spans="1:3" ht="13" x14ac:dyDescent="0.15">
      <c r="A589" s="10"/>
      <c r="B589" s="13"/>
      <c r="C589" s="13"/>
    </row>
    <row r="590" spans="1:3" ht="13" x14ac:dyDescent="0.15">
      <c r="A590" s="10"/>
      <c r="B590" s="13"/>
      <c r="C590" s="13"/>
    </row>
    <row r="591" spans="1:3" ht="13" x14ac:dyDescent="0.15">
      <c r="A591" s="10"/>
      <c r="B591" s="13"/>
      <c r="C591" s="13"/>
    </row>
    <row r="592" spans="1:3" ht="13" x14ac:dyDescent="0.15">
      <c r="A592" s="10"/>
      <c r="B592" s="13"/>
      <c r="C592" s="13"/>
    </row>
    <row r="593" spans="1:3" ht="13" x14ac:dyDescent="0.15">
      <c r="A593" s="10"/>
      <c r="B593" s="13"/>
      <c r="C593" s="13"/>
    </row>
    <row r="594" spans="1:3" ht="13" x14ac:dyDescent="0.15">
      <c r="A594" s="10"/>
      <c r="B594" s="13"/>
      <c r="C594" s="13"/>
    </row>
    <row r="595" spans="1:3" ht="13" x14ac:dyDescent="0.15">
      <c r="A595" s="10"/>
      <c r="B595" s="13"/>
      <c r="C595" s="13"/>
    </row>
    <row r="596" spans="1:3" ht="13" x14ac:dyDescent="0.15">
      <c r="A596" s="10"/>
      <c r="B596" s="13"/>
      <c r="C596" s="13"/>
    </row>
    <row r="597" spans="1:3" ht="13" x14ac:dyDescent="0.15">
      <c r="A597" s="10"/>
      <c r="B597" s="13"/>
      <c r="C597" s="13"/>
    </row>
    <row r="598" spans="1:3" ht="13" x14ac:dyDescent="0.15">
      <c r="A598" s="10"/>
      <c r="B598" s="13"/>
      <c r="C598" s="13"/>
    </row>
    <row r="599" spans="1:3" ht="13" x14ac:dyDescent="0.15">
      <c r="A599" s="10"/>
      <c r="B599" s="13"/>
      <c r="C599" s="13"/>
    </row>
    <row r="600" spans="1:3" ht="13" x14ac:dyDescent="0.15">
      <c r="A600" s="10"/>
      <c r="B600" s="13"/>
      <c r="C600" s="13"/>
    </row>
    <row r="601" spans="1:3" ht="13" x14ac:dyDescent="0.15">
      <c r="A601" s="10"/>
      <c r="B601" s="13"/>
      <c r="C601" s="13"/>
    </row>
    <row r="602" spans="1:3" ht="13" x14ac:dyDescent="0.15">
      <c r="A602" s="10"/>
      <c r="B602" s="13"/>
      <c r="C602" s="13"/>
    </row>
    <row r="603" spans="1:3" ht="13" x14ac:dyDescent="0.15">
      <c r="A603" s="10"/>
      <c r="B603" s="13"/>
      <c r="C603" s="13"/>
    </row>
    <row r="604" spans="1:3" ht="13" x14ac:dyDescent="0.15">
      <c r="A604" s="10"/>
      <c r="B604" s="13"/>
      <c r="C604" s="13"/>
    </row>
    <row r="605" spans="1:3" ht="13" x14ac:dyDescent="0.15">
      <c r="A605" s="10"/>
      <c r="B605" s="13"/>
      <c r="C605" s="13"/>
    </row>
    <row r="606" spans="1:3" ht="13" x14ac:dyDescent="0.15">
      <c r="A606" s="10"/>
      <c r="B606" s="13"/>
      <c r="C606" s="13"/>
    </row>
    <row r="607" spans="1:3" ht="13" x14ac:dyDescent="0.15">
      <c r="A607" s="10"/>
      <c r="B607" s="13"/>
      <c r="C607" s="13"/>
    </row>
    <row r="608" spans="1:3" ht="13" x14ac:dyDescent="0.15">
      <c r="A608" s="10"/>
      <c r="B608" s="13"/>
      <c r="C608" s="13"/>
    </row>
    <row r="609" spans="1:3" ht="13" x14ac:dyDescent="0.15">
      <c r="A609" s="10"/>
      <c r="B609" s="13"/>
      <c r="C609" s="13"/>
    </row>
    <row r="610" spans="1:3" ht="13" x14ac:dyDescent="0.15">
      <c r="A610" s="10"/>
      <c r="B610" s="13"/>
      <c r="C610" s="13"/>
    </row>
    <row r="611" spans="1:3" ht="13" x14ac:dyDescent="0.15">
      <c r="A611" s="10"/>
      <c r="B611" s="13"/>
      <c r="C611" s="13"/>
    </row>
    <row r="612" spans="1:3" ht="13" x14ac:dyDescent="0.15">
      <c r="A612" s="10"/>
      <c r="B612" s="13"/>
      <c r="C612" s="13"/>
    </row>
    <row r="613" spans="1:3" ht="13" x14ac:dyDescent="0.15">
      <c r="A613" s="10"/>
      <c r="B613" s="13"/>
      <c r="C613" s="13"/>
    </row>
    <row r="614" spans="1:3" ht="13" x14ac:dyDescent="0.15">
      <c r="A614" s="10"/>
      <c r="B614" s="13"/>
      <c r="C614" s="13"/>
    </row>
    <row r="615" spans="1:3" ht="13" x14ac:dyDescent="0.15">
      <c r="A615" s="10"/>
      <c r="B615" s="13"/>
      <c r="C615" s="13"/>
    </row>
    <row r="616" spans="1:3" ht="13" x14ac:dyDescent="0.15">
      <c r="A616" s="10"/>
      <c r="B616" s="13"/>
      <c r="C616" s="13"/>
    </row>
    <row r="617" spans="1:3" ht="13" x14ac:dyDescent="0.15">
      <c r="A617" s="10"/>
      <c r="B617" s="13"/>
      <c r="C617" s="13"/>
    </row>
    <row r="618" spans="1:3" ht="13" x14ac:dyDescent="0.15">
      <c r="A618" s="10"/>
      <c r="B618" s="13"/>
      <c r="C618" s="13"/>
    </row>
    <row r="619" spans="1:3" ht="13" x14ac:dyDescent="0.15">
      <c r="A619" s="10"/>
      <c r="B619" s="13"/>
      <c r="C619" s="13"/>
    </row>
    <row r="620" spans="1:3" ht="13" x14ac:dyDescent="0.15">
      <c r="A620" s="10"/>
      <c r="B620" s="13"/>
      <c r="C620" s="13"/>
    </row>
    <row r="621" spans="1:3" ht="13" x14ac:dyDescent="0.15">
      <c r="A621" s="10"/>
      <c r="B621" s="13"/>
      <c r="C621" s="13"/>
    </row>
    <row r="622" spans="1:3" ht="13" x14ac:dyDescent="0.15">
      <c r="A622" s="10"/>
      <c r="B622" s="13"/>
      <c r="C622" s="13"/>
    </row>
    <row r="623" spans="1:3" ht="13" x14ac:dyDescent="0.15">
      <c r="A623" s="10"/>
      <c r="B623" s="13"/>
      <c r="C623" s="13"/>
    </row>
    <row r="624" spans="1:3" ht="13" x14ac:dyDescent="0.15">
      <c r="A624" s="10"/>
      <c r="B624" s="13"/>
      <c r="C624" s="13"/>
    </row>
    <row r="625" spans="1:3" ht="13" x14ac:dyDescent="0.15">
      <c r="A625" s="10"/>
      <c r="B625" s="13"/>
      <c r="C625" s="13"/>
    </row>
    <row r="626" spans="1:3" ht="13" x14ac:dyDescent="0.15">
      <c r="A626" s="10"/>
      <c r="B626" s="13"/>
      <c r="C626" s="13"/>
    </row>
    <row r="627" spans="1:3" ht="13" x14ac:dyDescent="0.15">
      <c r="A627" s="10"/>
      <c r="B627" s="13"/>
      <c r="C627" s="13"/>
    </row>
    <row r="628" spans="1:3" ht="13" x14ac:dyDescent="0.15">
      <c r="A628" s="10"/>
      <c r="B628" s="13"/>
      <c r="C628" s="13"/>
    </row>
    <row r="629" spans="1:3" ht="13" x14ac:dyDescent="0.15">
      <c r="A629" s="10"/>
      <c r="B629" s="13"/>
      <c r="C629" s="13"/>
    </row>
    <row r="630" spans="1:3" ht="13" x14ac:dyDescent="0.15">
      <c r="A630" s="10"/>
      <c r="B630" s="13"/>
      <c r="C630" s="13"/>
    </row>
    <row r="631" spans="1:3" ht="13" x14ac:dyDescent="0.15">
      <c r="A631" s="10"/>
      <c r="B631" s="13"/>
      <c r="C631" s="13"/>
    </row>
    <row r="632" spans="1:3" ht="13" x14ac:dyDescent="0.15">
      <c r="A632" s="10"/>
      <c r="B632" s="13"/>
      <c r="C632" s="13"/>
    </row>
    <row r="633" spans="1:3" ht="13" x14ac:dyDescent="0.15">
      <c r="A633" s="10"/>
      <c r="B633" s="13"/>
      <c r="C633" s="13"/>
    </row>
    <row r="634" spans="1:3" ht="13" x14ac:dyDescent="0.15">
      <c r="A634" s="10"/>
      <c r="B634" s="13"/>
      <c r="C634" s="13"/>
    </row>
    <row r="635" spans="1:3" ht="13" x14ac:dyDescent="0.15">
      <c r="A635" s="10"/>
      <c r="B635" s="13"/>
      <c r="C635" s="13"/>
    </row>
    <row r="636" spans="1:3" ht="13" x14ac:dyDescent="0.15">
      <c r="A636" s="10"/>
      <c r="B636" s="13"/>
      <c r="C636" s="13"/>
    </row>
    <row r="637" spans="1:3" ht="13" x14ac:dyDescent="0.15">
      <c r="A637" s="10"/>
      <c r="B637" s="13"/>
      <c r="C637" s="13"/>
    </row>
    <row r="638" spans="1:3" ht="13" x14ac:dyDescent="0.15">
      <c r="A638" s="10"/>
      <c r="B638" s="13"/>
      <c r="C638" s="13"/>
    </row>
    <row r="639" spans="1:3" ht="13" x14ac:dyDescent="0.15">
      <c r="A639" s="10"/>
      <c r="B639" s="13"/>
      <c r="C639" s="13"/>
    </row>
    <row r="640" spans="1:3" ht="13" x14ac:dyDescent="0.15">
      <c r="A640" s="10"/>
      <c r="B640" s="13"/>
      <c r="C640" s="13"/>
    </row>
    <row r="641" spans="1:3" ht="13" x14ac:dyDescent="0.15">
      <c r="A641" s="10"/>
      <c r="B641" s="13"/>
      <c r="C641" s="13"/>
    </row>
    <row r="642" spans="1:3" ht="13" x14ac:dyDescent="0.15">
      <c r="A642" s="10"/>
      <c r="B642" s="13"/>
      <c r="C642" s="13"/>
    </row>
    <row r="643" spans="1:3" ht="13" x14ac:dyDescent="0.15">
      <c r="A643" s="10"/>
      <c r="B643" s="13"/>
      <c r="C643" s="13"/>
    </row>
    <row r="644" spans="1:3" ht="13" x14ac:dyDescent="0.15">
      <c r="A644" s="10"/>
      <c r="B644" s="13"/>
      <c r="C644" s="13"/>
    </row>
    <row r="645" spans="1:3" ht="13" x14ac:dyDescent="0.15">
      <c r="A645" s="10"/>
      <c r="B645" s="13"/>
      <c r="C645" s="13"/>
    </row>
    <row r="646" spans="1:3" ht="13" x14ac:dyDescent="0.15">
      <c r="A646" s="10"/>
      <c r="B646" s="13"/>
      <c r="C646" s="13"/>
    </row>
    <row r="647" spans="1:3" ht="13" x14ac:dyDescent="0.15">
      <c r="A647" s="10"/>
      <c r="B647" s="13"/>
      <c r="C647" s="13"/>
    </row>
    <row r="648" spans="1:3" ht="13" x14ac:dyDescent="0.15">
      <c r="A648" s="10"/>
      <c r="B648" s="13"/>
      <c r="C648" s="13"/>
    </row>
    <row r="649" spans="1:3" ht="13" x14ac:dyDescent="0.15">
      <c r="A649" s="10"/>
      <c r="B649" s="13"/>
      <c r="C649" s="13"/>
    </row>
    <row r="650" spans="1:3" ht="13" x14ac:dyDescent="0.15">
      <c r="A650" s="10"/>
      <c r="B650" s="13"/>
      <c r="C650" s="13"/>
    </row>
    <row r="651" spans="1:3" ht="13" x14ac:dyDescent="0.15">
      <c r="A651" s="10"/>
      <c r="B651" s="13"/>
      <c r="C651" s="13"/>
    </row>
    <row r="652" spans="1:3" ht="13" x14ac:dyDescent="0.15">
      <c r="A652" s="10"/>
      <c r="B652" s="13"/>
      <c r="C652" s="13"/>
    </row>
    <row r="653" spans="1:3" ht="13" x14ac:dyDescent="0.15">
      <c r="A653" s="10"/>
      <c r="B653" s="13"/>
      <c r="C653" s="13"/>
    </row>
    <row r="654" spans="1:3" ht="13" x14ac:dyDescent="0.15">
      <c r="A654" s="10"/>
      <c r="B654" s="13"/>
      <c r="C654" s="13"/>
    </row>
    <row r="655" spans="1:3" ht="13" x14ac:dyDescent="0.15">
      <c r="A655" s="10"/>
      <c r="B655" s="13"/>
      <c r="C655" s="13"/>
    </row>
    <row r="656" spans="1:3" ht="13" x14ac:dyDescent="0.15">
      <c r="A656" s="10"/>
      <c r="B656" s="13"/>
      <c r="C656" s="13"/>
    </row>
    <row r="657" spans="1:3" ht="13" x14ac:dyDescent="0.15">
      <c r="A657" s="10"/>
      <c r="B657" s="13"/>
      <c r="C657" s="13"/>
    </row>
    <row r="658" spans="1:3" ht="13" x14ac:dyDescent="0.15">
      <c r="A658" s="10"/>
      <c r="B658" s="13"/>
      <c r="C658" s="13"/>
    </row>
    <row r="659" spans="1:3" ht="13" x14ac:dyDescent="0.15">
      <c r="A659" s="10"/>
      <c r="B659" s="13"/>
      <c r="C659" s="13"/>
    </row>
    <row r="660" spans="1:3" ht="13" x14ac:dyDescent="0.15">
      <c r="A660" s="10"/>
      <c r="B660" s="13"/>
      <c r="C660" s="13"/>
    </row>
    <row r="661" spans="1:3" ht="13" x14ac:dyDescent="0.15">
      <c r="A661" s="10"/>
      <c r="B661" s="13"/>
      <c r="C661" s="13"/>
    </row>
    <row r="662" spans="1:3" ht="13" x14ac:dyDescent="0.15">
      <c r="A662" s="10"/>
      <c r="B662" s="13"/>
      <c r="C662" s="13"/>
    </row>
    <row r="663" spans="1:3" ht="13" x14ac:dyDescent="0.15">
      <c r="A663" s="10"/>
      <c r="B663" s="13"/>
      <c r="C663" s="13"/>
    </row>
    <row r="664" spans="1:3" ht="13" x14ac:dyDescent="0.15">
      <c r="A664" s="10"/>
      <c r="B664" s="13"/>
      <c r="C664" s="13"/>
    </row>
    <row r="665" spans="1:3" ht="13" x14ac:dyDescent="0.15">
      <c r="A665" s="10"/>
      <c r="B665" s="13"/>
      <c r="C665" s="13"/>
    </row>
    <row r="666" spans="1:3" ht="13" x14ac:dyDescent="0.15">
      <c r="A666" s="10"/>
      <c r="B666" s="13"/>
      <c r="C666" s="13"/>
    </row>
    <row r="667" spans="1:3" ht="13" x14ac:dyDescent="0.15">
      <c r="A667" s="10"/>
      <c r="B667" s="13"/>
      <c r="C667" s="13"/>
    </row>
    <row r="668" spans="1:3" ht="13" x14ac:dyDescent="0.15">
      <c r="A668" s="10"/>
      <c r="B668" s="13"/>
      <c r="C668" s="13"/>
    </row>
    <row r="669" spans="1:3" ht="13" x14ac:dyDescent="0.15">
      <c r="A669" s="10"/>
      <c r="B669" s="13"/>
      <c r="C669" s="13"/>
    </row>
    <row r="670" spans="1:3" ht="13" x14ac:dyDescent="0.15">
      <c r="A670" s="10"/>
      <c r="B670" s="13"/>
      <c r="C670" s="13"/>
    </row>
    <row r="671" spans="1:3" ht="13" x14ac:dyDescent="0.15">
      <c r="A671" s="10"/>
      <c r="B671" s="13"/>
      <c r="C671" s="13"/>
    </row>
    <row r="672" spans="1:3" ht="13" x14ac:dyDescent="0.15">
      <c r="A672" s="10"/>
      <c r="B672" s="13"/>
      <c r="C672" s="13"/>
    </row>
    <row r="673" spans="1:3" ht="13" x14ac:dyDescent="0.15">
      <c r="A673" s="10"/>
      <c r="B673" s="13"/>
      <c r="C673" s="13"/>
    </row>
    <row r="674" spans="1:3" ht="13" x14ac:dyDescent="0.15">
      <c r="A674" s="10"/>
      <c r="B674" s="13"/>
      <c r="C674" s="13"/>
    </row>
    <row r="675" spans="1:3" ht="13" x14ac:dyDescent="0.15">
      <c r="A675" s="10"/>
      <c r="B675" s="13"/>
      <c r="C675" s="13"/>
    </row>
    <row r="676" spans="1:3" ht="13" x14ac:dyDescent="0.15">
      <c r="A676" s="10"/>
      <c r="B676" s="13"/>
      <c r="C676" s="13"/>
    </row>
    <row r="677" spans="1:3" ht="13" x14ac:dyDescent="0.15">
      <c r="A677" s="10"/>
      <c r="B677" s="13"/>
      <c r="C677" s="13"/>
    </row>
    <row r="678" spans="1:3" ht="13" x14ac:dyDescent="0.15">
      <c r="A678" s="10"/>
      <c r="B678" s="13"/>
      <c r="C678" s="13"/>
    </row>
    <row r="679" spans="1:3" ht="13" x14ac:dyDescent="0.15">
      <c r="A679" s="10"/>
      <c r="B679" s="13"/>
      <c r="C679" s="13"/>
    </row>
    <row r="680" spans="1:3" ht="13" x14ac:dyDescent="0.15">
      <c r="A680" s="10"/>
      <c r="B680" s="13"/>
      <c r="C680" s="13"/>
    </row>
    <row r="681" spans="1:3" ht="13" x14ac:dyDescent="0.15">
      <c r="A681" s="10"/>
      <c r="B681" s="13"/>
      <c r="C681" s="13"/>
    </row>
    <row r="682" spans="1:3" ht="13" x14ac:dyDescent="0.15">
      <c r="A682" s="10"/>
      <c r="B682" s="13"/>
      <c r="C682" s="13"/>
    </row>
    <row r="683" spans="1:3" ht="13" x14ac:dyDescent="0.15">
      <c r="A683" s="10"/>
      <c r="B683" s="13"/>
      <c r="C683" s="13"/>
    </row>
    <row r="684" spans="1:3" ht="13" x14ac:dyDescent="0.15">
      <c r="A684" s="10"/>
      <c r="B684" s="13"/>
      <c r="C684" s="13"/>
    </row>
    <row r="685" spans="1:3" ht="13" x14ac:dyDescent="0.15">
      <c r="A685" s="10"/>
      <c r="B685" s="13"/>
      <c r="C685" s="13"/>
    </row>
    <row r="686" spans="1:3" ht="13" x14ac:dyDescent="0.15">
      <c r="A686" s="10"/>
      <c r="B686" s="13"/>
      <c r="C686" s="13"/>
    </row>
    <row r="687" spans="1:3" ht="13" x14ac:dyDescent="0.15">
      <c r="A687" s="10"/>
      <c r="B687" s="13"/>
      <c r="C687" s="13"/>
    </row>
    <row r="688" spans="1:3" ht="13" x14ac:dyDescent="0.15">
      <c r="A688" s="10"/>
      <c r="B688" s="13"/>
      <c r="C688" s="13"/>
    </row>
    <row r="689" spans="1:3" ht="13" x14ac:dyDescent="0.15">
      <c r="A689" s="10"/>
      <c r="B689" s="13"/>
      <c r="C689" s="13"/>
    </row>
    <row r="690" spans="1:3" ht="13" x14ac:dyDescent="0.15">
      <c r="A690" s="10"/>
      <c r="B690" s="13"/>
      <c r="C690" s="13"/>
    </row>
    <row r="691" spans="1:3" ht="13" x14ac:dyDescent="0.15">
      <c r="A691" s="10"/>
      <c r="B691" s="13"/>
      <c r="C691" s="13"/>
    </row>
    <row r="692" spans="1:3" ht="13" x14ac:dyDescent="0.15">
      <c r="A692" s="10"/>
      <c r="B692" s="13"/>
      <c r="C692" s="13"/>
    </row>
    <row r="693" spans="1:3" ht="13" x14ac:dyDescent="0.15">
      <c r="A693" s="10"/>
      <c r="B693" s="13"/>
      <c r="C693" s="13"/>
    </row>
    <row r="694" spans="1:3" ht="13" x14ac:dyDescent="0.15">
      <c r="A694" s="10"/>
      <c r="B694" s="13"/>
      <c r="C694" s="13"/>
    </row>
    <row r="695" spans="1:3" ht="13" x14ac:dyDescent="0.15">
      <c r="A695" s="10"/>
      <c r="B695" s="13"/>
      <c r="C695" s="13"/>
    </row>
    <row r="696" spans="1:3" ht="13" x14ac:dyDescent="0.15">
      <c r="A696" s="10"/>
      <c r="B696" s="13"/>
      <c r="C696" s="13"/>
    </row>
    <row r="697" spans="1:3" ht="13" x14ac:dyDescent="0.15">
      <c r="A697" s="10"/>
      <c r="B697" s="13"/>
      <c r="C697" s="13"/>
    </row>
    <row r="698" spans="1:3" ht="13" x14ac:dyDescent="0.15">
      <c r="A698" s="10"/>
      <c r="B698" s="13"/>
      <c r="C698" s="13"/>
    </row>
    <row r="699" spans="1:3" ht="13" x14ac:dyDescent="0.15">
      <c r="A699" s="10"/>
      <c r="B699" s="13"/>
      <c r="C699" s="13"/>
    </row>
    <row r="700" spans="1:3" ht="13" x14ac:dyDescent="0.15">
      <c r="A700" s="10"/>
      <c r="B700" s="13"/>
      <c r="C700" s="13"/>
    </row>
    <row r="701" spans="1:3" ht="13" x14ac:dyDescent="0.15">
      <c r="A701" s="10"/>
      <c r="B701" s="13"/>
      <c r="C701" s="13"/>
    </row>
    <row r="702" spans="1:3" ht="13" x14ac:dyDescent="0.15">
      <c r="A702" s="10"/>
      <c r="B702" s="13"/>
      <c r="C702" s="13"/>
    </row>
    <row r="703" spans="1:3" ht="13" x14ac:dyDescent="0.15">
      <c r="A703" s="10"/>
      <c r="B703" s="13"/>
      <c r="C703" s="13"/>
    </row>
    <row r="704" spans="1:3" ht="13" x14ac:dyDescent="0.15">
      <c r="A704" s="10"/>
      <c r="B704" s="13"/>
      <c r="C704" s="13"/>
    </row>
    <row r="705" spans="1:3" ht="13" x14ac:dyDescent="0.15">
      <c r="A705" s="10"/>
      <c r="B705" s="13"/>
      <c r="C705" s="13"/>
    </row>
    <row r="706" spans="1:3" ht="13" x14ac:dyDescent="0.15">
      <c r="A706" s="10"/>
      <c r="B706" s="13"/>
      <c r="C706" s="13"/>
    </row>
    <row r="707" spans="1:3" ht="13" x14ac:dyDescent="0.15">
      <c r="A707" s="10"/>
      <c r="B707" s="13"/>
      <c r="C707" s="13"/>
    </row>
    <row r="708" spans="1:3" ht="13" x14ac:dyDescent="0.15">
      <c r="A708" s="10"/>
      <c r="B708" s="13"/>
      <c r="C708" s="13"/>
    </row>
    <row r="709" spans="1:3" ht="13" x14ac:dyDescent="0.15">
      <c r="A709" s="10"/>
      <c r="B709" s="13"/>
      <c r="C709" s="13"/>
    </row>
    <row r="710" spans="1:3" ht="13" x14ac:dyDescent="0.15">
      <c r="A710" s="10"/>
      <c r="B710" s="13"/>
      <c r="C710" s="13"/>
    </row>
    <row r="711" spans="1:3" ht="13" x14ac:dyDescent="0.15">
      <c r="A711" s="10"/>
      <c r="B711" s="13"/>
      <c r="C711" s="13"/>
    </row>
    <row r="712" spans="1:3" ht="13" x14ac:dyDescent="0.15">
      <c r="A712" s="10"/>
      <c r="B712" s="13"/>
      <c r="C712" s="13"/>
    </row>
    <row r="713" spans="1:3" ht="13" x14ac:dyDescent="0.15">
      <c r="A713" s="10"/>
      <c r="B713" s="13"/>
      <c r="C713" s="13"/>
    </row>
    <row r="714" spans="1:3" ht="13" x14ac:dyDescent="0.15">
      <c r="A714" s="10"/>
      <c r="B714" s="13"/>
      <c r="C714" s="13"/>
    </row>
    <row r="715" spans="1:3" ht="13" x14ac:dyDescent="0.15">
      <c r="A715" s="10"/>
      <c r="B715" s="13"/>
      <c r="C715" s="13"/>
    </row>
    <row r="716" spans="1:3" ht="13" x14ac:dyDescent="0.15">
      <c r="A716" s="10"/>
      <c r="B716" s="13"/>
      <c r="C716" s="13"/>
    </row>
    <row r="717" spans="1:3" ht="13" x14ac:dyDescent="0.15">
      <c r="A717" s="10"/>
      <c r="B717" s="13"/>
      <c r="C717" s="13"/>
    </row>
    <row r="718" spans="1:3" ht="13" x14ac:dyDescent="0.15">
      <c r="A718" s="10"/>
      <c r="B718" s="13"/>
      <c r="C718" s="13"/>
    </row>
    <row r="719" spans="1:3" ht="13" x14ac:dyDescent="0.15">
      <c r="A719" s="10"/>
      <c r="B719" s="13"/>
      <c r="C719" s="13"/>
    </row>
    <row r="720" spans="1:3" ht="13" x14ac:dyDescent="0.15">
      <c r="A720" s="10"/>
      <c r="B720" s="13"/>
      <c r="C720" s="13"/>
    </row>
    <row r="721" spans="1:3" ht="13" x14ac:dyDescent="0.15">
      <c r="A721" s="10"/>
      <c r="B721" s="13"/>
      <c r="C721" s="13"/>
    </row>
    <row r="722" spans="1:3" ht="13" x14ac:dyDescent="0.15">
      <c r="A722" s="10"/>
      <c r="B722" s="13"/>
      <c r="C722" s="13"/>
    </row>
    <row r="723" spans="1:3" ht="13" x14ac:dyDescent="0.15">
      <c r="A723" s="10"/>
      <c r="B723" s="13"/>
      <c r="C723" s="13"/>
    </row>
    <row r="724" spans="1:3" ht="13" x14ac:dyDescent="0.15">
      <c r="A724" s="10"/>
      <c r="B724" s="13"/>
      <c r="C724" s="13"/>
    </row>
    <row r="725" spans="1:3" ht="13" x14ac:dyDescent="0.15">
      <c r="A725" s="10"/>
      <c r="B725" s="13"/>
      <c r="C725" s="13"/>
    </row>
    <row r="726" spans="1:3" ht="13" x14ac:dyDescent="0.15">
      <c r="A726" s="10"/>
      <c r="B726" s="13"/>
      <c r="C726" s="13"/>
    </row>
    <row r="727" spans="1:3" ht="13" x14ac:dyDescent="0.15">
      <c r="A727" s="10"/>
      <c r="B727" s="13"/>
      <c r="C727" s="13"/>
    </row>
    <row r="728" spans="1:3" ht="13" x14ac:dyDescent="0.15">
      <c r="A728" s="10"/>
      <c r="B728" s="13"/>
      <c r="C728" s="13"/>
    </row>
    <row r="729" spans="1:3" ht="13" x14ac:dyDescent="0.15">
      <c r="A729" s="10"/>
      <c r="B729" s="13"/>
      <c r="C729" s="13"/>
    </row>
    <row r="730" spans="1:3" ht="13" x14ac:dyDescent="0.15">
      <c r="A730" s="10"/>
      <c r="B730" s="13"/>
      <c r="C730" s="13"/>
    </row>
    <row r="731" spans="1:3" ht="13" x14ac:dyDescent="0.15">
      <c r="A731" s="10"/>
      <c r="B731" s="13"/>
      <c r="C731" s="13"/>
    </row>
    <row r="732" spans="1:3" ht="13" x14ac:dyDescent="0.15">
      <c r="A732" s="10"/>
      <c r="B732" s="13"/>
      <c r="C732" s="13"/>
    </row>
    <row r="733" spans="1:3" ht="13" x14ac:dyDescent="0.15">
      <c r="A733" s="10"/>
      <c r="B733" s="13"/>
      <c r="C733" s="13"/>
    </row>
    <row r="734" spans="1:3" ht="13" x14ac:dyDescent="0.15">
      <c r="A734" s="10"/>
      <c r="B734" s="13"/>
      <c r="C734" s="13"/>
    </row>
    <row r="735" spans="1:3" ht="13" x14ac:dyDescent="0.15">
      <c r="A735" s="10"/>
      <c r="B735" s="13"/>
      <c r="C735" s="13"/>
    </row>
    <row r="736" spans="1:3" ht="13" x14ac:dyDescent="0.15">
      <c r="A736" s="10"/>
      <c r="B736" s="13"/>
      <c r="C736" s="13"/>
    </row>
    <row r="737" spans="1:3" ht="13" x14ac:dyDescent="0.15">
      <c r="A737" s="10"/>
      <c r="B737" s="13"/>
      <c r="C737" s="13"/>
    </row>
    <row r="738" spans="1:3" ht="13" x14ac:dyDescent="0.15">
      <c r="A738" s="10"/>
      <c r="B738" s="13"/>
      <c r="C738" s="13"/>
    </row>
    <row r="739" spans="1:3" ht="13" x14ac:dyDescent="0.15">
      <c r="A739" s="10"/>
      <c r="B739" s="13"/>
      <c r="C739" s="13"/>
    </row>
    <row r="740" spans="1:3" ht="13" x14ac:dyDescent="0.15">
      <c r="A740" s="10"/>
      <c r="B740" s="13"/>
      <c r="C740" s="13"/>
    </row>
    <row r="741" spans="1:3" ht="13" x14ac:dyDescent="0.15">
      <c r="A741" s="10"/>
      <c r="B741" s="13"/>
      <c r="C741" s="13"/>
    </row>
    <row r="742" spans="1:3" ht="13" x14ac:dyDescent="0.15">
      <c r="A742" s="10"/>
      <c r="B742" s="13"/>
      <c r="C742" s="13"/>
    </row>
    <row r="743" spans="1:3" ht="13" x14ac:dyDescent="0.15">
      <c r="A743" s="10"/>
      <c r="B743" s="13"/>
      <c r="C743" s="13"/>
    </row>
    <row r="744" spans="1:3" ht="13" x14ac:dyDescent="0.15">
      <c r="A744" s="10"/>
      <c r="B744" s="13"/>
      <c r="C744" s="13"/>
    </row>
    <row r="745" spans="1:3" ht="13" x14ac:dyDescent="0.15">
      <c r="A745" s="10"/>
      <c r="B745" s="13"/>
      <c r="C745" s="13"/>
    </row>
    <row r="746" spans="1:3" ht="13" x14ac:dyDescent="0.15">
      <c r="A746" s="10"/>
      <c r="B746" s="13"/>
      <c r="C746" s="13"/>
    </row>
    <row r="747" spans="1:3" ht="13" x14ac:dyDescent="0.15">
      <c r="A747" s="10"/>
      <c r="B747" s="13"/>
      <c r="C747" s="13"/>
    </row>
    <row r="748" spans="1:3" ht="13" x14ac:dyDescent="0.15">
      <c r="A748" s="10"/>
      <c r="B748" s="13"/>
      <c r="C748" s="13"/>
    </row>
    <row r="749" spans="1:3" ht="13" x14ac:dyDescent="0.15">
      <c r="A749" s="10"/>
      <c r="B749" s="13"/>
      <c r="C749" s="13"/>
    </row>
    <row r="750" spans="1:3" ht="13" x14ac:dyDescent="0.15">
      <c r="A750" s="10"/>
      <c r="B750" s="13"/>
      <c r="C750" s="13"/>
    </row>
    <row r="751" spans="1:3" ht="13" x14ac:dyDescent="0.15">
      <c r="A751" s="10"/>
      <c r="B751" s="13"/>
      <c r="C751" s="13"/>
    </row>
    <row r="752" spans="1:3" ht="13" x14ac:dyDescent="0.15">
      <c r="A752" s="10"/>
      <c r="B752" s="13"/>
      <c r="C752" s="13"/>
    </row>
    <row r="753" spans="1:3" ht="13" x14ac:dyDescent="0.15">
      <c r="A753" s="10"/>
      <c r="B753" s="13"/>
      <c r="C753" s="13"/>
    </row>
    <row r="754" spans="1:3" ht="13" x14ac:dyDescent="0.15">
      <c r="A754" s="10"/>
      <c r="B754" s="13"/>
      <c r="C754" s="13"/>
    </row>
    <row r="755" spans="1:3" ht="13" x14ac:dyDescent="0.15">
      <c r="A755" s="10"/>
      <c r="B755" s="13"/>
      <c r="C755" s="13"/>
    </row>
    <row r="756" spans="1:3" ht="13" x14ac:dyDescent="0.15">
      <c r="A756" s="10"/>
      <c r="B756" s="13"/>
      <c r="C756" s="13"/>
    </row>
    <row r="757" spans="1:3" ht="13" x14ac:dyDescent="0.15">
      <c r="A757" s="10"/>
      <c r="B757" s="13"/>
      <c r="C757" s="13"/>
    </row>
    <row r="758" spans="1:3" ht="13" x14ac:dyDescent="0.15">
      <c r="A758" s="10"/>
      <c r="B758" s="13"/>
      <c r="C758" s="13"/>
    </row>
    <row r="759" spans="1:3" ht="13" x14ac:dyDescent="0.15">
      <c r="A759" s="10"/>
      <c r="B759" s="13"/>
      <c r="C759" s="13"/>
    </row>
    <row r="760" spans="1:3" ht="13" x14ac:dyDescent="0.15">
      <c r="A760" s="10"/>
      <c r="B760" s="13"/>
      <c r="C760" s="13"/>
    </row>
    <row r="761" spans="1:3" ht="13" x14ac:dyDescent="0.15">
      <c r="A761" s="10"/>
      <c r="B761" s="13"/>
      <c r="C761" s="13"/>
    </row>
    <row r="762" spans="1:3" ht="13" x14ac:dyDescent="0.15">
      <c r="A762" s="10"/>
      <c r="B762" s="13"/>
      <c r="C762" s="13"/>
    </row>
    <row r="763" spans="1:3" ht="13" x14ac:dyDescent="0.15">
      <c r="A763" s="10"/>
      <c r="B763" s="13"/>
      <c r="C763" s="13"/>
    </row>
    <row r="764" spans="1:3" ht="13" x14ac:dyDescent="0.15">
      <c r="A764" s="10"/>
      <c r="B764" s="13"/>
      <c r="C764" s="13"/>
    </row>
    <row r="765" spans="1:3" ht="13" x14ac:dyDescent="0.15">
      <c r="A765" s="10"/>
      <c r="B765" s="13"/>
      <c r="C765" s="13"/>
    </row>
    <row r="766" spans="1:3" ht="13" x14ac:dyDescent="0.15">
      <c r="A766" s="10"/>
      <c r="B766" s="13"/>
      <c r="C766" s="13"/>
    </row>
    <row r="767" spans="1:3" ht="13" x14ac:dyDescent="0.15">
      <c r="A767" s="10"/>
      <c r="B767" s="13"/>
      <c r="C767" s="13"/>
    </row>
    <row r="768" spans="1:3" ht="13" x14ac:dyDescent="0.15">
      <c r="A768" s="10"/>
      <c r="B768" s="13"/>
      <c r="C768" s="13"/>
    </row>
    <row r="769" spans="1:3" ht="13" x14ac:dyDescent="0.15">
      <c r="A769" s="10"/>
      <c r="B769" s="13"/>
      <c r="C769" s="13"/>
    </row>
    <row r="770" spans="1:3" ht="13" x14ac:dyDescent="0.15">
      <c r="A770" s="10"/>
      <c r="B770" s="13"/>
      <c r="C770" s="13"/>
    </row>
    <row r="771" spans="1:3" ht="13" x14ac:dyDescent="0.15">
      <c r="A771" s="10"/>
      <c r="B771" s="13"/>
      <c r="C771" s="13"/>
    </row>
    <row r="772" spans="1:3" ht="13" x14ac:dyDescent="0.15">
      <c r="A772" s="10"/>
      <c r="B772" s="13"/>
      <c r="C772" s="13"/>
    </row>
    <row r="773" spans="1:3" ht="13" x14ac:dyDescent="0.15">
      <c r="A773" s="10"/>
      <c r="B773" s="13"/>
      <c r="C773" s="13"/>
    </row>
    <row r="774" spans="1:3" ht="13" x14ac:dyDescent="0.15">
      <c r="A774" s="10"/>
      <c r="B774" s="13"/>
      <c r="C774" s="13"/>
    </row>
    <row r="775" spans="1:3" ht="13" x14ac:dyDescent="0.15">
      <c r="A775" s="10"/>
      <c r="B775" s="13"/>
      <c r="C775" s="13"/>
    </row>
    <row r="776" spans="1:3" ht="13" x14ac:dyDescent="0.15">
      <c r="A776" s="10"/>
      <c r="B776" s="13"/>
      <c r="C776" s="13"/>
    </row>
    <row r="777" spans="1:3" ht="13" x14ac:dyDescent="0.15">
      <c r="A777" s="10"/>
      <c r="B777" s="13"/>
      <c r="C777" s="13"/>
    </row>
    <row r="778" spans="1:3" ht="13" x14ac:dyDescent="0.15">
      <c r="A778" s="10"/>
      <c r="B778" s="13"/>
      <c r="C778" s="13"/>
    </row>
    <row r="779" spans="1:3" ht="13" x14ac:dyDescent="0.15">
      <c r="A779" s="10"/>
      <c r="B779" s="13"/>
      <c r="C779" s="13"/>
    </row>
    <row r="780" spans="1:3" ht="13" x14ac:dyDescent="0.15">
      <c r="A780" s="10"/>
      <c r="B780" s="13"/>
      <c r="C780" s="13"/>
    </row>
    <row r="781" spans="1:3" ht="13" x14ac:dyDescent="0.15">
      <c r="A781" s="10"/>
      <c r="B781" s="13"/>
      <c r="C781" s="13"/>
    </row>
    <row r="782" spans="1:3" ht="13" x14ac:dyDescent="0.15">
      <c r="A782" s="10"/>
      <c r="B782" s="13"/>
      <c r="C782" s="13"/>
    </row>
    <row r="783" spans="1:3" ht="13" x14ac:dyDescent="0.15">
      <c r="A783" s="10"/>
      <c r="B783" s="13"/>
      <c r="C783" s="13"/>
    </row>
    <row r="784" spans="1:3" ht="13" x14ac:dyDescent="0.15">
      <c r="A784" s="10"/>
      <c r="B784" s="13"/>
      <c r="C784" s="13"/>
    </row>
    <row r="785" spans="1:3" ht="13" x14ac:dyDescent="0.15">
      <c r="A785" s="10"/>
      <c r="B785" s="13"/>
      <c r="C785" s="13"/>
    </row>
    <row r="786" spans="1:3" ht="13" x14ac:dyDescent="0.15">
      <c r="A786" s="10"/>
      <c r="B786" s="13"/>
      <c r="C786" s="13"/>
    </row>
    <row r="787" spans="1:3" ht="13" x14ac:dyDescent="0.15">
      <c r="A787" s="10"/>
      <c r="B787" s="13"/>
      <c r="C787" s="13"/>
    </row>
    <row r="788" spans="1:3" ht="13" x14ac:dyDescent="0.15">
      <c r="A788" s="10"/>
      <c r="B788" s="13"/>
      <c r="C788" s="13"/>
    </row>
    <row r="789" spans="1:3" ht="13" x14ac:dyDescent="0.15">
      <c r="A789" s="10"/>
      <c r="B789" s="13"/>
      <c r="C789" s="13"/>
    </row>
    <row r="790" spans="1:3" ht="13" x14ac:dyDescent="0.15">
      <c r="A790" s="10"/>
      <c r="B790" s="13"/>
      <c r="C790" s="13"/>
    </row>
    <row r="791" spans="1:3" ht="13" x14ac:dyDescent="0.15">
      <c r="A791" s="10"/>
      <c r="B791" s="13"/>
      <c r="C791" s="13"/>
    </row>
    <row r="792" spans="1:3" ht="13" x14ac:dyDescent="0.15">
      <c r="A792" s="10"/>
      <c r="B792" s="13"/>
      <c r="C792" s="13"/>
    </row>
    <row r="793" spans="1:3" ht="13" x14ac:dyDescent="0.15">
      <c r="A793" s="10"/>
      <c r="B793" s="13"/>
      <c r="C793" s="13"/>
    </row>
    <row r="794" spans="1:3" ht="13" x14ac:dyDescent="0.15">
      <c r="A794" s="10"/>
      <c r="B794" s="13"/>
      <c r="C794" s="13"/>
    </row>
    <row r="795" spans="1:3" ht="13" x14ac:dyDescent="0.15">
      <c r="A795" s="10"/>
      <c r="B795" s="13"/>
      <c r="C795" s="13"/>
    </row>
    <row r="796" spans="1:3" ht="13" x14ac:dyDescent="0.15">
      <c r="A796" s="10"/>
      <c r="B796" s="13"/>
      <c r="C796" s="13"/>
    </row>
    <row r="797" spans="1:3" ht="13" x14ac:dyDescent="0.15">
      <c r="A797" s="10"/>
      <c r="B797" s="13"/>
      <c r="C797" s="13"/>
    </row>
    <row r="798" spans="1:3" ht="13" x14ac:dyDescent="0.15">
      <c r="A798" s="10"/>
      <c r="B798" s="13"/>
      <c r="C798" s="13"/>
    </row>
    <row r="799" spans="1:3" ht="13" x14ac:dyDescent="0.15">
      <c r="A799" s="10"/>
      <c r="B799" s="13"/>
      <c r="C799" s="13"/>
    </row>
    <row r="800" spans="1:3" ht="13" x14ac:dyDescent="0.15">
      <c r="A800" s="10"/>
      <c r="B800" s="13"/>
      <c r="C800" s="13"/>
    </row>
    <row r="801" spans="1:3" ht="13" x14ac:dyDescent="0.15">
      <c r="A801" s="10"/>
      <c r="B801" s="13"/>
      <c r="C801" s="13"/>
    </row>
    <row r="802" spans="1:3" ht="13" x14ac:dyDescent="0.15">
      <c r="A802" s="10"/>
      <c r="B802" s="13"/>
      <c r="C802" s="13"/>
    </row>
    <row r="803" spans="1:3" ht="13" x14ac:dyDescent="0.15">
      <c r="A803" s="10"/>
      <c r="B803" s="13"/>
      <c r="C803" s="13"/>
    </row>
    <row r="804" spans="1:3" ht="13" x14ac:dyDescent="0.15">
      <c r="A804" s="10"/>
      <c r="B804" s="13"/>
      <c r="C804" s="13"/>
    </row>
    <row r="805" spans="1:3" ht="13" x14ac:dyDescent="0.15">
      <c r="A805" s="10"/>
      <c r="B805" s="13"/>
      <c r="C805" s="13"/>
    </row>
    <row r="806" spans="1:3" ht="13" x14ac:dyDescent="0.15">
      <c r="A806" s="10"/>
      <c r="B806" s="13"/>
      <c r="C806" s="13"/>
    </row>
    <row r="807" spans="1:3" ht="13" x14ac:dyDescent="0.15">
      <c r="A807" s="10"/>
      <c r="B807" s="13"/>
      <c r="C807" s="13"/>
    </row>
    <row r="808" spans="1:3" ht="13" x14ac:dyDescent="0.15">
      <c r="A808" s="10"/>
      <c r="B808" s="13"/>
      <c r="C808" s="13"/>
    </row>
    <row r="809" spans="1:3" ht="13" x14ac:dyDescent="0.15">
      <c r="A809" s="10"/>
      <c r="B809" s="13"/>
      <c r="C809" s="13"/>
    </row>
    <row r="810" spans="1:3" ht="13" x14ac:dyDescent="0.15">
      <c r="A810" s="10"/>
      <c r="B810" s="13"/>
      <c r="C810" s="13"/>
    </row>
    <row r="811" spans="1:3" ht="13" x14ac:dyDescent="0.15">
      <c r="A811" s="10"/>
      <c r="B811" s="13"/>
      <c r="C811" s="13"/>
    </row>
    <row r="812" spans="1:3" ht="13" x14ac:dyDescent="0.15">
      <c r="A812" s="10"/>
      <c r="B812" s="13"/>
      <c r="C812" s="13"/>
    </row>
    <row r="813" spans="1:3" ht="13" x14ac:dyDescent="0.15">
      <c r="A813" s="10"/>
      <c r="B813" s="13"/>
      <c r="C813" s="13"/>
    </row>
    <row r="814" spans="1:3" ht="13" x14ac:dyDescent="0.15">
      <c r="A814" s="10"/>
      <c r="B814" s="13"/>
      <c r="C814" s="13"/>
    </row>
    <row r="815" spans="1:3" ht="13" x14ac:dyDescent="0.15">
      <c r="A815" s="10"/>
      <c r="B815" s="13"/>
      <c r="C815" s="13"/>
    </row>
    <row r="816" spans="1:3" ht="13" x14ac:dyDescent="0.15">
      <c r="A816" s="10"/>
      <c r="B816" s="13"/>
      <c r="C816" s="13"/>
    </row>
    <row r="817" spans="1:3" ht="13" x14ac:dyDescent="0.15">
      <c r="A817" s="10"/>
      <c r="B817" s="13"/>
      <c r="C817" s="13"/>
    </row>
    <row r="818" spans="1:3" ht="13" x14ac:dyDescent="0.15">
      <c r="A818" s="10"/>
      <c r="B818" s="13"/>
      <c r="C818" s="13"/>
    </row>
    <row r="819" spans="1:3" ht="13" x14ac:dyDescent="0.15">
      <c r="A819" s="10"/>
      <c r="B819" s="13"/>
      <c r="C819" s="13"/>
    </row>
    <row r="820" spans="1:3" ht="13" x14ac:dyDescent="0.15">
      <c r="A820" s="10"/>
      <c r="B820" s="13"/>
      <c r="C820" s="13"/>
    </row>
    <row r="821" spans="1:3" ht="13" x14ac:dyDescent="0.15">
      <c r="A821" s="10"/>
      <c r="B821" s="13"/>
      <c r="C821" s="13"/>
    </row>
    <row r="822" spans="1:3" ht="13" x14ac:dyDescent="0.15">
      <c r="A822" s="10"/>
      <c r="B822" s="13"/>
      <c r="C822" s="13"/>
    </row>
    <row r="823" spans="1:3" ht="13" x14ac:dyDescent="0.15">
      <c r="A823" s="10"/>
      <c r="B823" s="13"/>
      <c r="C823" s="13"/>
    </row>
    <row r="824" spans="1:3" ht="13" x14ac:dyDescent="0.15">
      <c r="A824" s="10"/>
      <c r="B824" s="13"/>
      <c r="C824" s="13"/>
    </row>
    <row r="825" spans="1:3" ht="13" x14ac:dyDescent="0.15">
      <c r="A825" s="10"/>
      <c r="B825" s="13"/>
      <c r="C825" s="13"/>
    </row>
    <row r="826" spans="1:3" ht="13" x14ac:dyDescent="0.15">
      <c r="A826" s="10"/>
      <c r="B826" s="13"/>
      <c r="C826" s="13"/>
    </row>
    <row r="827" spans="1:3" ht="13" x14ac:dyDescent="0.15">
      <c r="A827" s="10"/>
      <c r="B827" s="13"/>
      <c r="C827" s="13"/>
    </row>
    <row r="828" spans="1:3" ht="13" x14ac:dyDescent="0.15">
      <c r="A828" s="10"/>
      <c r="B828" s="13"/>
      <c r="C828" s="13"/>
    </row>
    <row r="829" spans="1:3" ht="13" x14ac:dyDescent="0.15">
      <c r="A829" s="10"/>
      <c r="B829" s="13"/>
      <c r="C829" s="13"/>
    </row>
    <row r="830" spans="1:3" ht="13" x14ac:dyDescent="0.15">
      <c r="A830" s="10"/>
      <c r="B830" s="13"/>
      <c r="C830" s="13"/>
    </row>
    <row r="831" spans="1:3" ht="13" x14ac:dyDescent="0.15">
      <c r="A831" s="10"/>
      <c r="B831" s="13"/>
      <c r="C831" s="13"/>
    </row>
    <row r="832" spans="1:3" ht="13" x14ac:dyDescent="0.15">
      <c r="A832" s="10"/>
      <c r="B832" s="13"/>
      <c r="C832" s="13"/>
    </row>
    <row r="833" spans="1:3" ht="13" x14ac:dyDescent="0.15">
      <c r="A833" s="10"/>
      <c r="B833" s="13"/>
      <c r="C833" s="13"/>
    </row>
    <row r="834" spans="1:3" ht="13" x14ac:dyDescent="0.15">
      <c r="A834" s="10"/>
      <c r="B834" s="13"/>
      <c r="C834" s="13"/>
    </row>
    <row r="835" spans="1:3" ht="13" x14ac:dyDescent="0.15">
      <c r="A835" s="10"/>
      <c r="B835" s="13"/>
      <c r="C835" s="13"/>
    </row>
    <row r="836" spans="1:3" ht="13" x14ac:dyDescent="0.15">
      <c r="A836" s="10"/>
      <c r="B836" s="13"/>
      <c r="C836" s="13"/>
    </row>
    <row r="837" spans="1:3" ht="13" x14ac:dyDescent="0.15">
      <c r="A837" s="10"/>
      <c r="B837" s="13"/>
      <c r="C837" s="13"/>
    </row>
    <row r="838" spans="1:3" ht="13" x14ac:dyDescent="0.15">
      <c r="A838" s="10"/>
      <c r="B838" s="13"/>
      <c r="C838" s="13"/>
    </row>
    <row r="839" spans="1:3" ht="13" x14ac:dyDescent="0.15">
      <c r="A839" s="10"/>
      <c r="B839" s="13"/>
      <c r="C839" s="13"/>
    </row>
    <row r="840" spans="1:3" ht="13" x14ac:dyDescent="0.15">
      <c r="A840" s="10"/>
      <c r="B840" s="13"/>
      <c r="C840" s="13"/>
    </row>
    <row r="841" spans="1:3" ht="13" x14ac:dyDescent="0.15">
      <c r="A841" s="10"/>
      <c r="B841" s="13"/>
      <c r="C841" s="13"/>
    </row>
    <row r="842" spans="1:3" ht="13" x14ac:dyDescent="0.15">
      <c r="A842" s="10"/>
      <c r="B842" s="13"/>
      <c r="C842" s="13"/>
    </row>
    <row r="843" spans="1:3" ht="13" x14ac:dyDescent="0.15">
      <c r="A843" s="10"/>
      <c r="B843" s="13"/>
      <c r="C843" s="13"/>
    </row>
    <row r="844" spans="1:3" ht="13" x14ac:dyDescent="0.15">
      <c r="A844" s="10"/>
      <c r="B844" s="13"/>
      <c r="C844" s="13"/>
    </row>
    <row r="845" spans="1:3" ht="13" x14ac:dyDescent="0.15">
      <c r="A845" s="10"/>
      <c r="B845" s="13"/>
      <c r="C845" s="13"/>
    </row>
    <row r="846" spans="1:3" ht="13" x14ac:dyDescent="0.15">
      <c r="A846" s="10"/>
      <c r="B846" s="13"/>
      <c r="C846" s="13"/>
    </row>
    <row r="847" spans="1:3" ht="13" x14ac:dyDescent="0.15">
      <c r="A847" s="10"/>
      <c r="B847" s="13"/>
      <c r="C847" s="13"/>
    </row>
    <row r="848" spans="1:3" ht="13" x14ac:dyDescent="0.15">
      <c r="A848" s="10"/>
      <c r="B848" s="13"/>
      <c r="C848" s="13"/>
    </row>
    <row r="849" spans="1:3" ht="13" x14ac:dyDescent="0.15">
      <c r="A849" s="10"/>
      <c r="B849" s="13"/>
      <c r="C849" s="13"/>
    </row>
    <row r="850" spans="1:3" ht="13" x14ac:dyDescent="0.15">
      <c r="A850" s="10"/>
      <c r="B850" s="13"/>
      <c r="C850" s="13"/>
    </row>
    <row r="851" spans="1:3" ht="13" x14ac:dyDescent="0.15">
      <c r="A851" s="10"/>
      <c r="B851" s="13"/>
      <c r="C851" s="13"/>
    </row>
    <row r="852" spans="1:3" ht="13" x14ac:dyDescent="0.15">
      <c r="A852" s="10"/>
      <c r="B852" s="13"/>
      <c r="C852" s="13"/>
    </row>
    <row r="853" spans="1:3" ht="13" x14ac:dyDescent="0.15">
      <c r="A853" s="10"/>
      <c r="B853" s="13"/>
      <c r="C853" s="13"/>
    </row>
    <row r="854" spans="1:3" ht="13" x14ac:dyDescent="0.15">
      <c r="A854" s="10"/>
      <c r="B854" s="13"/>
      <c r="C854" s="13"/>
    </row>
    <row r="855" spans="1:3" ht="13" x14ac:dyDescent="0.15">
      <c r="A855" s="10"/>
      <c r="B855" s="13"/>
      <c r="C855" s="13"/>
    </row>
    <row r="856" spans="1:3" ht="13" x14ac:dyDescent="0.15">
      <c r="A856" s="10"/>
      <c r="B856" s="13"/>
      <c r="C856" s="13"/>
    </row>
    <row r="857" spans="1:3" ht="13" x14ac:dyDescent="0.15">
      <c r="A857" s="10"/>
      <c r="B857" s="13"/>
      <c r="C857" s="13"/>
    </row>
    <row r="858" spans="1:3" ht="13" x14ac:dyDescent="0.15">
      <c r="A858" s="10"/>
      <c r="B858" s="13"/>
      <c r="C858" s="13"/>
    </row>
    <row r="859" spans="1:3" ht="13" x14ac:dyDescent="0.15">
      <c r="A859" s="10"/>
      <c r="B859" s="13"/>
      <c r="C859" s="13"/>
    </row>
    <row r="860" spans="1:3" ht="13" x14ac:dyDescent="0.15">
      <c r="A860" s="10"/>
      <c r="B860" s="13"/>
      <c r="C860" s="13"/>
    </row>
    <row r="861" spans="1:3" ht="13" x14ac:dyDescent="0.15">
      <c r="A861" s="10"/>
      <c r="B861" s="13"/>
      <c r="C861" s="13"/>
    </row>
    <row r="862" spans="1:3" ht="13" x14ac:dyDescent="0.15">
      <c r="A862" s="10"/>
      <c r="B862" s="13"/>
      <c r="C862" s="13"/>
    </row>
    <row r="863" spans="1:3" ht="13" x14ac:dyDescent="0.15">
      <c r="A863" s="10"/>
      <c r="B863" s="13"/>
      <c r="C863" s="13"/>
    </row>
    <row r="864" spans="1:3" ht="13" x14ac:dyDescent="0.15">
      <c r="A864" s="10"/>
      <c r="B864" s="13"/>
      <c r="C864" s="13"/>
    </row>
    <row r="865" spans="1:3" ht="13" x14ac:dyDescent="0.15">
      <c r="A865" s="10"/>
      <c r="B865" s="13"/>
      <c r="C865" s="13"/>
    </row>
    <row r="866" spans="1:3" ht="13" x14ac:dyDescent="0.15">
      <c r="A866" s="10"/>
      <c r="B866" s="13"/>
      <c r="C866" s="13"/>
    </row>
    <row r="867" spans="1:3" ht="13" x14ac:dyDescent="0.15">
      <c r="A867" s="10"/>
      <c r="B867" s="13"/>
      <c r="C867" s="13"/>
    </row>
    <row r="868" spans="1:3" ht="13" x14ac:dyDescent="0.15">
      <c r="A868" s="10"/>
      <c r="B868" s="13"/>
      <c r="C868" s="13"/>
    </row>
    <row r="869" spans="1:3" ht="13" x14ac:dyDescent="0.15">
      <c r="A869" s="10"/>
      <c r="B869" s="13"/>
      <c r="C869" s="13"/>
    </row>
    <row r="870" spans="1:3" ht="13" x14ac:dyDescent="0.15">
      <c r="A870" s="10"/>
      <c r="B870" s="13"/>
      <c r="C870" s="13"/>
    </row>
    <row r="871" spans="1:3" ht="13" x14ac:dyDescent="0.15">
      <c r="A871" s="10"/>
      <c r="B871" s="13"/>
      <c r="C871" s="13"/>
    </row>
    <row r="872" spans="1:3" ht="13" x14ac:dyDescent="0.15">
      <c r="A872" s="10"/>
      <c r="B872" s="13"/>
      <c r="C872" s="13"/>
    </row>
    <row r="873" spans="1:3" ht="13" x14ac:dyDescent="0.15">
      <c r="A873" s="10"/>
      <c r="B873" s="13"/>
      <c r="C873" s="13"/>
    </row>
    <row r="874" spans="1:3" ht="13" x14ac:dyDescent="0.15">
      <c r="A874" s="10"/>
      <c r="B874" s="13"/>
      <c r="C874" s="13"/>
    </row>
    <row r="875" spans="1:3" ht="13" x14ac:dyDescent="0.15">
      <c r="A875" s="10"/>
      <c r="B875" s="13"/>
      <c r="C875" s="13"/>
    </row>
    <row r="876" spans="1:3" ht="13" x14ac:dyDescent="0.15">
      <c r="A876" s="10"/>
      <c r="B876" s="13"/>
      <c r="C876" s="13"/>
    </row>
    <row r="877" spans="1:3" ht="13" x14ac:dyDescent="0.15">
      <c r="A877" s="10"/>
      <c r="B877" s="13"/>
      <c r="C877" s="13"/>
    </row>
    <row r="878" spans="1:3" ht="13" x14ac:dyDescent="0.15">
      <c r="A878" s="10"/>
      <c r="B878" s="13"/>
      <c r="C878" s="13"/>
    </row>
    <row r="879" spans="1:3" ht="13" x14ac:dyDescent="0.15">
      <c r="A879" s="10"/>
      <c r="B879" s="13"/>
      <c r="C879" s="13"/>
    </row>
    <row r="880" spans="1:3" ht="13" x14ac:dyDescent="0.15">
      <c r="A880" s="10"/>
      <c r="B880" s="13"/>
      <c r="C880" s="13"/>
    </row>
    <row r="881" spans="1:3" ht="13" x14ac:dyDescent="0.15">
      <c r="A881" s="10"/>
      <c r="B881" s="13"/>
      <c r="C881" s="13"/>
    </row>
    <row r="882" spans="1:3" ht="13" x14ac:dyDescent="0.15">
      <c r="A882" s="10"/>
      <c r="B882" s="13"/>
      <c r="C882" s="13"/>
    </row>
    <row r="883" spans="1:3" ht="13" x14ac:dyDescent="0.15">
      <c r="A883" s="10"/>
      <c r="B883" s="13"/>
      <c r="C883" s="13"/>
    </row>
    <row r="884" spans="1:3" ht="13" x14ac:dyDescent="0.15">
      <c r="A884" s="10"/>
      <c r="B884" s="13"/>
      <c r="C884" s="13"/>
    </row>
    <row r="885" spans="1:3" ht="13" x14ac:dyDescent="0.15">
      <c r="A885" s="10"/>
      <c r="B885" s="13"/>
      <c r="C885" s="13"/>
    </row>
    <row r="886" spans="1:3" ht="13" x14ac:dyDescent="0.15">
      <c r="A886" s="10"/>
      <c r="B886" s="13"/>
      <c r="C886" s="13"/>
    </row>
    <row r="887" spans="1:3" ht="13" x14ac:dyDescent="0.15">
      <c r="A887" s="10"/>
      <c r="B887" s="13"/>
      <c r="C887" s="13"/>
    </row>
    <row r="888" spans="1:3" ht="13" x14ac:dyDescent="0.15">
      <c r="A888" s="10"/>
      <c r="B888" s="13"/>
      <c r="C888" s="13"/>
    </row>
    <row r="889" spans="1:3" ht="13" x14ac:dyDescent="0.15">
      <c r="A889" s="10"/>
      <c r="B889" s="13"/>
      <c r="C889" s="13"/>
    </row>
    <row r="890" spans="1:3" ht="13" x14ac:dyDescent="0.15">
      <c r="A890" s="10"/>
      <c r="B890" s="13"/>
      <c r="C890" s="13"/>
    </row>
    <row r="891" spans="1:3" ht="13" x14ac:dyDescent="0.15">
      <c r="A891" s="10"/>
      <c r="B891" s="13"/>
      <c r="C891" s="13"/>
    </row>
    <row r="892" spans="1:3" ht="13" x14ac:dyDescent="0.15">
      <c r="A892" s="10"/>
      <c r="B892" s="13"/>
      <c r="C892" s="13"/>
    </row>
    <row r="893" spans="1:3" ht="13" x14ac:dyDescent="0.15">
      <c r="A893" s="10"/>
      <c r="B893" s="13"/>
      <c r="C893" s="13"/>
    </row>
    <row r="894" spans="1:3" ht="13" x14ac:dyDescent="0.15">
      <c r="A894" s="10"/>
      <c r="B894" s="13"/>
      <c r="C894" s="13"/>
    </row>
    <row r="895" spans="1:3" ht="13" x14ac:dyDescent="0.15">
      <c r="A895" s="10"/>
      <c r="B895" s="13"/>
      <c r="C895" s="13"/>
    </row>
    <row r="896" spans="1:3" ht="13" x14ac:dyDescent="0.15">
      <c r="A896" s="10"/>
      <c r="B896" s="13"/>
      <c r="C896" s="13"/>
    </row>
    <row r="897" spans="1:3" ht="13" x14ac:dyDescent="0.15">
      <c r="A897" s="10"/>
      <c r="B897" s="13"/>
      <c r="C897" s="13"/>
    </row>
    <row r="898" spans="1:3" ht="13" x14ac:dyDescent="0.15">
      <c r="A898" s="10"/>
      <c r="B898" s="13"/>
      <c r="C898" s="13"/>
    </row>
    <row r="899" spans="1:3" ht="13" x14ac:dyDescent="0.15">
      <c r="A899" s="10"/>
      <c r="B899" s="13"/>
      <c r="C899" s="13"/>
    </row>
    <row r="900" spans="1:3" ht="13" x14ac:dyDescent="0.15">
      <c r="A900" s="10"/>
      <c r="B900" s="13"/>
      <c r="C900" s="13"/>
    </row>
    <row r="901" spans="1:3" ht="13" x14ac:dyDescent="0.15">
      <c r="A901" s="10"/>
      <c r="B901" s="13"/>
      <c r="C901" s="13"/>
    </row>
    <row r="902" spans="1:3" ht="13" x14ac:dyDescent="0.15">
      <c r="A902" s="10"/>
      <c r="B902" s="13"/>
      <c r="C902" s="13"/>
    </row>
    <row r="903" spans="1:3" ht="13" x14ac:dyDescent="0.15">
      <c r="A903" s="10"/>
      <c r="B903" s="13"/>
      <c r="C903" s="13"/>
    </row>
    <row r="904" spans="1:3" ht="13" x14ac:dyDescent="0.15">
      <c r="A904" s="10"/>
      <c r="B904" s="13"/>
      <c r="C904" s="13"/>
    </row>
    <row r="905" spans="1:3" ht="13" x14ac:dyDescent="0.15">
      <c r="A905" s="10"/>
      <c r="B905" s="13"/>
      <c r="C905" s="13"/>
    </row>
    <row r="906" spans="1:3" ht="13" x14ac:dyDescent="0.15">
      <c r="A906" s="10"/>
      <c r="B906" s="13"/>
      <c r="C906" s="13"/>
    </row>
    <row r="907" spans="1:3" ht="13" x14ac:dyDescent="0.15">
      <c r="A907" s="10"/>
      <c r="B907" s="13"/>
      <c r="C907" s="13"/>
    </row>
    <row r="908" spans="1:3" ht="13" x14ac:dyDescent="0.15">
      <c r="A908" s="10"/>
      <c r="B908" s="13"/>
      <c r="C908" s="13"/>
    </row>
    <row r="909" spans="1:3" ht="13" x14ac:dyDescent="0.15">
      <c r="A909" s="10"/>
      <c r="B909" s="13"/>
      <c r="C909" s="13"/>
    </row>
    <row r="910" spans="1:3" ht="13" x14ac:dyDescent="0.15">
      <c r="A910" s="10"/>
      <c r="B910" s="13"/>
      <c r="C910" s="13"/>
    </row>
    <row r="911" spans="1:3" ht="13" x14ac:dyDescent="0.15">
      <c r="A911" s="10"/>
      <c r="B911" s="13"/>
      <c r="C911" s="13"/>
    </row>
    <row r="912" spans="1:3" ht="13" x14ac:dyDescent="0.15">
      <c r="A912" s="10"/>
      <c r="B912" s="13"/>
      <c r="C912" s="13"/>
    </row>
    <row r="913" spans="1:3" ht="13" x14ac:dyDescent="0.15">
      <c r="A913" s="10"/>
      <c r="B913" s="13"/>
      <c r="C913" s="13"/>
    </row>
    <row r="914" spans="1:3" ht="13" x14ac:dyDescent="0.15">
      <c r="A914" s="10"/>
      <c r="B914" s="13"/>
      <c r="C914" s="13"/>
    </row>
    <row r="915" spans="1:3" ht="13" x14ac:dyDescent="0.15">
      <c r="A915" s="10"/>
      <c r="B915" s="13"/>
      <c r="C915" s="13"/>
    </row>
    <row r="916" spans="1:3" ht="13" x14ac:dyDescent="0.15">
      <c r="A916" s="10"/>
      <c r="B916" s="13"/>
      <c r="C916" s="13"/>
    </row>
    <row r="917" spans="1:3" ht="13" x14ac:dyDescent="0.15">
      <c r="A917" s="10"/>
      <c r="B917" s="13"/>
      <c r="C917" s="13"/>
    </row>
    <row r="918" spans="1:3" ht="13" x14ac:dyDescent="0.15">
      <c r="A918" s="10"/>
      <c r="B918" s="13"/>
      <c r="C918" s="13"/>
    </row>
    <row r="919" spans="1:3" ht="13" x14ac:dyDescent="0.15">
      <c r="A919" s="10"/>
      <c r="B919" s="13"/>
      <c r="C919" s="13"/>
    </row>
    <row r="920" spans="1:3" ht="13" x14ac:dyDescent="0.15">
      <c r="A920" s="10"/>
      <c r="B920" s="13"/>
      <c r="C920" s="13"/>
    </row>
    <row r="921" spans="1:3" ht="13" x14ac:dyDescent="0.15">
      <c r="A921" s="10"/>
      <c r="B921" s="13"/>
      <c r="C921" s="13"/>
    </row>
    <row r="922" spans="1:3" ht="13" x14ac:dyDescent="0.15">
      <c r="A922" s="10"/>
      <c r="B922" s="13"/>
      <c r="C922" s="13"/>
    </row>
    <row r="923" spans="1:3" ht="13" x14ac:dyDescent="0.15">
      <c r="A923" s="10"/>
      <c r="B923" s="13"/>
      <c r="C923" s="13"/>
    </row>
    <row r="924" spans="1:3" ht="13" x14ac:dyDescent="0.15">
      <c r="A924" s="10"/>
      <c r="B924" s="13"/>
      <c r="C924" s="13"/>
    </row>
    <row r="925" spans="1:3" ht="13" x14ac:dyDescent="0.15">
      <c r="A925" s="10"/>
      <c r="B925" s="13"/>
      <c r="C925" s="13"/>
    </row>
    <row r="926" spans="1:3" ht="13" x14ac:dyDescent="0.15">
      <c r="A926" s="10"/>
      <c r="B926" s="13"/>
      <c r="C926" s="13"/>
    </row>
    <row r="927" spans="1:3" ht="13" x14ac:dyDescent="0.15">
      <c r="A927" s="10"/>
      <c r="B927" s="13"/>
      <c r="C927" s="13"/>
    </row>
    <row r="928" spans="1:3" ht="13" x14ac:dyDescent="0.15">
      <c r="A928" s="10"/>
      <c r="B928" s="13"/>
      <c r="C928" s="13"/>
    </row>
    <row r="929" spans="1:3" ht="13" x14ac:dyDescent="0.15">
      <c r="A929" s="10"/>
      <c r="B929" s="13"/>
      <c r="C929" s="13"/>
    </row>
    <row r="930" spans="1:3" ht="13" x14ac:dyDescent="0.15">
      <c r="A930" s="10"/>
      <c r="B930" s="13"/>
      <c r="C930" s="13"/>
    </row>
    <row r="931" spans="1:3" ht="13" x14ac:dyDescent="0.15">
      <c r="A931" s="10"/>
      <c r="B931" s="13"/>
      <c r="C931" s="13"/>
    </row>
    <row r="932" spans="1:3" ht="13" x14ac:dyDescent="0.15">
      <c r="A932" s="10"/>
      <c r="B932" s="13"/>
      <c r="C932" s="13"/>
    </row>
    <row r="933" spans="1:3" ht="13" x14ac:dyDescent="0.15">
      <c r="A933" s="10"/>
      <c r="B933" s="13"/>
      <c r="C933" s="13"/>
    </row>
    <row r="934" spans="1:3" ht="13" x14ac:dyDescent="0.15">
      <c r="A934" s="10"/>
      <c r="B934" s="13"/>
      <c r="C934" s="13"/>
    </row>
    <row r="935" spans="1:3" ht="13" x14ac:dyDescent="0.15">
      <c r="A935" s="10"/>
      <c r="B935" s="13"/>
      <c r="C935" s="13"/>
    </row>
    <row r="936" spans="1:3" ht="13" x14ac:dyDescent="0.15">
      <c r="A936" s="10"/>
      <c r="B936" s="13"/>
      <c r="C936" s="13"/>
    </row>
    <row r="937" spans="1:3" ht="13" x14ac:dyDescent="0.15">
      <c r="A937" s="10"/>
      <c r="B937" s="13"/>
      <c r="C937" s="13"/>
    </row>
    <row r="938" spans="1:3" ht="13" x14ac:dyDescent="0.15">
      <c r="A938" s="10"/>
      <c r="B938" s="13"/>
      <c r="C938" s="13"/>
    </row>
    <row r="939" spans="1:3" ht="13" x14ac:dyDescent="0.15">
      <c r="A939" s="10"/>
      <c r="B939" s="13"/>
      <c r="C939" s="13"/>
    </row>
    <row r="940" spans="1:3" ht="13" x14ac:dyDescent="0.15">
      <c r="A940" s="10"/>
      <c r="B940" s="13"/>
      <c r="C940" s="13"/>
    </row>
    <row r="941" spans="1:3" ht="13" x14ac:dyDescent="0.15">
      <c r="A941" s="10"/>
      <c r="B941" s="13"/>
      <c r="C941" s="13"/>
    </row>
    <row r="942" spans="1:3" ht="13" x14ac:dyDescent="0.15">
      <c r="A942" s="10"/>
      <c r="B942" s="13"/>
      <c r="C942" s="13"/>
    </row>
    <row r="943" spans="1:3" ht="13" x14ac:dyDescent="0.15">
      <c r="A943" s="10"/>
      <c r="B943" s="13"/>
      <c r="C943" s="13"/>
    </row>
    <row r="944" spans="1:3" ht="13" x14ac:dyDescent="0.15">
      <c r="A944" s="10"/>
      <c r="B944" s="13"/>
      <c r="C944" s="13"/>
    </row>
    <row r="945" spans="1:3" ht="13" x14ac:dyDescent="0.15">
      <c r="A945" s="10"/>
      <c r="B945" s="13"/>
      <c r="C945" s="13"/>
    </row>
    <row r="946" spans="1:3" ht="13" x14ac:dyDescent="0.15">
      <c r="A946" s="10"/>
      <c r="B946" s="13"/>
      <c r="C946" s="13"/>
    </row>
    <row r="947" spans="1:3" ht="13" x14ac:dyDescent="0.15">
      <c r="A947" s="10"/>
      <c r="B947" s="13"/>
      <c r="C947" s="13"/>
    </row>
    <row r="948" spans="1:3" ht="13" x14ac:dyDescent="0.15">
      <c r="A948" s="10"/>
      <c r="B948" s="13"/>
      <c r="C948" s="13"/>
    </row>
    <row r="949" spans="1:3" ht="13" x14ac:dyDescent="0.15">
      <c r="A949" s="10"/>
      <c r="B949" s="13"/>
      <c r="C949" s="13"/>
    </row>
    <row r="950" spans="1:3" ht="13" x14ac:dyDescent="0.15">
      <c r="A950" s="10"/>
      <c r="B950" s="13"/>
      <c r="C950" s="13"/>
    </row>
    <row r="951" spans="1:3" ht="13" x14ac:dyDescent="0.15">
      <c r="A951" s="10"/>
      <c r="B951" s="13"/>
      <c r="C951" s="13"/>
    </row>
    <row r="952" spans="1:3" ht="13" x14ac:dyDescent="0.15">
      <c r="A952" s="10"/>
      <c r="B952" s="13"/>
      <c r="C952" s="13"/>
    </row>
    <row r="953" spans="1:3" ht="13" x14ac:dyDescent="0.15">
      <c r="A953" s="10"/>
      <c r="B953" s="13"/>
      <c r="C953" s="13"/>
    </row>
    <row r="954" spans="1:3" ht="13" x14ac:dyDescent="0.15">
      <c r="A954" s="10"/>
      <c r="B954" s="13"/>
      <c r="C954" s="13"/>
    </row>
    <row r="955" spans="1:3" ht="13" x14ac:dyDescent="0.15">
      <c r="A955" s="10"/>
      <c r="B955" s="13"/>
      <c r="C955" s="13"/>
    </row>
    <row r="956" spans="1:3" ht="13" x14ac:dyDescent="0.15">
      <c r="A956" s="10"/>
      <c r="B956" s="13"/>
      <c r="C956" s="13"/>
    </row>
    <row r="957" spans="1:3" ht="13" x14ac:dyDescent="0.15">
      <c r="A957" s="10"/>
      <c r="B957" s="13"/>
      <c r="C957" s="13"/>
    </row>
    <row r="958" spans="1:3" ht="13" x14ac:dyDescent="0.15">
      <c r="A958" s="10"/>
      <c r="B958" s="13"/>
      <c r="C958" s="13"/>
    </row>
    <row r="959" spans="1:3" ht="13" x14ac:dyDescent="0.15">
      <c r="A959" s="10"/>
      <c r="B959" s="13"/>
      <c r="C959" s="13"/>
    </row>
    <row r="960" spans="1:3" ht="13" x14ac:dyDescent="0.15">
      <c r="A960" s="10"/>
      <c r="B960" s="13"/>
      <c r="C960" s="13"/>
    </row>
    <row r="961" spans="1:3" ht="13" x14ac:dyDescent="0.15">
      <c r="A961" s="10"/>
      <c r="B961" s="13"/>
      <c r="C961" s="13"/>
    </row>
    <row r="962" spans="1:3" ht="13" x14ac:dyDescent="0.15">
      <c r="A962" s="10"/>
      <c r="B962" s="13"/>
      <c r="C962" s="13"/>
    </row>
    <row r="963" spans="1:3" ht="13" x14ac:dyDescent="0.15">
      <c r="A963" s="10"/>
      <c r="B963" s="13"/>
      <c r="C963" s="13"/>
    </row>
    <row r="964" spans="1:3" ht="13" x14ac:dyDescent="0.15">
      <c r="A964" s="10"/>
      <c r="B964" s="13"/>
      <c r="C964" s="13"/>
    </row>
    <row r="965" spans="1:3" ht="13" x14ac:dyDescent="0.15">
      <c r="A965" s="10"/>
      <c r="B965" s="13"/>
      <c r="C965" s="13"/>
    </row>
    <row r="966" spans="1:3" ht="13" x14ac:dyDescent="0.15">
      <c r="A966" s="10"/>
      <c r="B966" s="13"/>
      <c r="C966" s="13"/>
    </row>
    <row r="967" spans="1:3" ht="13" x14ac:dyDescent="0.15">
      <c r="A967" s="10"/>
      <c r="B967" s="13"/>
      <c r="C967" s="13"/>
    </row>
    <row r="968" spans="1:3" ht="13" x14ac:dyDescent="0.15">
      <c r="A968" s="10"/>
      <c r="B968" s="13"/>
      <c r="C968" s="13"/>
    </row>
    <row r="969" spans="1:3" ht="13" x14ac:dyDescent="0.15">
      <c r="A969" s="10"/>
      <c r="B969" s="13"/>
      <c r="C969" s="13"/>
    </row>
    <row r="970" spans="1:3" ht="13" x14ac:dyDescent="0.15">
      <c r="A970" s="10"/>
      <c r="B970" s="13"/>
      <c r="C970" s="13"/>
    </row>
    <row r="971" spans="1:3" ht="13" x14ac:dyDescent="0.15">
      <c r="A971" s="10"/>
      <c r="B971" s="13"/>
      <c r="C971" s="13"/>
    </row>
    <row r="972" spans="1:3" ht="13" x14ac:dyDescent="0.15">
      <c r="A972" s="10"/>
      <c r="B972" s="13"/>
      <c r="C972" s="13"/>
    </row>
    <row r="973" spans="1:3" ht="13" x14ac:dyDescent="0.15">
      <c r="A973" s="10"/>
      <c r="B973" s="13"/>
      <c r="C973" s="13"/>
    </row>
    <row r="974" spans="1:3" ht="13" x14ac:dyDescent="0.15">
      <c r="A974" s="10"/>
      <c r="B974" s="13"/>
      <c r="C974" s="13"/>
    </row>
    <row r="975" spans="1:3" ht="13" x14ac:dyDescent="0.15">
      <c r="A975" s="10"/>
      <c r="B975" s="13"/>
      <c r="C975" s="13"/>
    </row>
    <row r="976" spans="1:3" ht="13" x14ac:dyDescent="0.15">
      <c r="A976" s="10"/>
      <c r="B976" s="13"/>
      <c r="C976" s="13"/>
    </row>
    <row r="977" spans="1:3" ht="13" x14ac:dyDescent="0.15">
      <c r="A977" s="10"/>
      <c r="B977" s="13"/>
      <c r="C977" s="13"/>
    </row>
    <row r="978" spans="1:3" ht="13" x14ac:dyDescent="0.15">
      <c r="A978" s="10"/>
      <c r="B978" s="13"/>
      <c r="C978" s="13"/>
    </row>
    <row r="979" spans="1:3" ht="13" x14ac:dyDescent="0.15">
      <c r="A979" s="10"/>
      <c r="B979" s="13"/>
      <c r="C979" s="13"/>
    </row>
    <row r="980" spans="1:3" ht="13" x14ac:dyDescent="0.15">
      <c r="A980" s="10"/>
      <c r="B980" s="13"/>
      <c r="C980" s="13"/>
    </row>
    <row r="981" spans="1:3" ht="13" x14ac:dyDescent="0.15">
      <c r="A981" s="10"/>
      <c r="B981" s="13"/>
      <c r="C981" s="13"/>
    </row>
    <row r="982" spans="1:3" ht="13" x14ac:dyDescent="0.15">
      <c r="A982" s="10"/>
      <c r="B982" s="13"/>
      <c r="C982" s="13"/>
    </row>
    <row r="983" spans="1:3" ht="13" x14ac:dyDescent="0.15">
      <c r="A983" s="10"/>
      <c r="B983" s="13"/>
      <c r="C983" s="13"/>
    </row>
    <row r="984" spans="1:3" ht="13" x14ac:dyDescent="0.15">
      <c r="A984" s="10"/>
      <c r="B984" s="13"/>
      <c r="C984" s="13"/>
    </row>
    <row r="985" spans="1:3" ht="13" x14ac:dyDescent="0.15">
      <c r="A985" s="10"/>
      <c r="B985" s="13"/>
      <c r="C985" s="13"/>
    </row>
    <row r="986" spans="1:3" ht="13" x14ac:dyDescent="0.15">
      <c r="A986" s="10"/>
      <c r="B986" s="13"/>
      <c r="C986" s="13"/>
    </row>
    <row r="987" spans="1:3" ht="13" x14ac:dyDescent="0.15">
      <c r="A987" s="10"/>
      <c r="B987" s="13"/>
      <c r="C987" s="13"/>
    </row>
    <row r="988" spans="1:3" ht="13" x14ac:dyDescent="0.15">
      <c r="A988" s="10"/>
      <c r="B988" s="13"/>
      <c r="C988" s="13"/>
    </row>
    <row r="989" spans="1:3" ht="13" x14ac:dyDescent="0.15">
      <c r="A989" s="10"/>
      <c r="B989" s="13"/>
      <c r="C989" s="13"/>
    </row>
    <row r="990" spans="1:3" ht="13" x14ac:dyDescent="0.15">
      <c r="A990" s="10"/>
      <c r="B990" s="13"/>
      <c r="C990" s="13"/>
    </row>
    <row r="991" spans="1:3" ht="13" x14ac:dyDescent="0.15">
      <c r="A991" s="10"/>
      <c r="B991" s="13"/>
      <c r="C991" s="13"/>
    </row>
    <row r="992" spans="1:3" ht="13" x14ac:dyDescent="0.15">
      <c r="A992" s="10"/>
      <c r="B992" s="13"/>
      <c r="C992" s="13"/>
    </row>
    <row r="993" spans="1:3" ht="13" x14ac:dyDescent="0.15">
      <c r="A993" s="10"/>
      <c r="B993" s="13"/>
      <c r="C993" s="13"/>
    </row>
    <row r="994" spans="1:3" ht="13" x14ac:dyDescent="0.15">
      <c r="A994" s="10"/>
      <c r="B994" s="13"/>
      <c r="C994" s="13"/>
    </row>
    <row r="995" spans="1:3" ht="13" x14ac:dyDescent="0.15">
      <c r="A995" s="10"/>
      <c r="B995" s="13"/>
      <c r="C995" s="13"/>
    </row>
    <row r="996" spans="1:3" ht="13" x14ac:dyDescent="0.15">
      <c r="A996" s="10"/>
      <c r="B996" s="13"/>
      <c r="C996" s="13"/>
    </row>
    <row r="997" spans="1:3" ht="13" x14ac:dyDescent="0.15">
      <c r="A997" s="10"/>
      <c r="B997" s="13"/>
      <c r="C997" s="13"/>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outlinePr summaryBelow="0" summaryRight="0"/>
  </sheetPr>
  <dimension ref="A1:D997"/>
  <sheetViews>
    <sheetView workbookViewId="0"/>
  </sheetViews>
  <sheetFormatPr baseColWidth="10" defaultColWidth="12.6640625" defaultRowHeight="15.75" customHeight="1" x14ac:dyDescent="0.15"/>
  <cols>
    <col min="1" max="1" width="71.5" customWidth="1"/>
    <col min="2" max="4" width="37.6640625" customWidth="1"/>
  </cols>
  <sheetData>
    <row r="1" spans="1:4" ht="15.75" customHeight="1" x14ac:dyDescent="0.15">
      <c r="A1" s="1"/>
      <c r="B1" s="10" t="str">
        <f ca="1">IFERROR(__xludf.DUMMYFUNCTION("IMPORTRANGE(""https://docs.google.com/spreadsheets/u/0/d/1v3alDV9sI-Ng7OoZouCf4a0CI5tv_Xg2T3WprxxRGRs"", ""A55!B1:B22"")"),"Tyler")</f>
        <v>Tyler</v>
      </c>
      <c r="C1" s="10" t="str">
        <f ca="1">IFERROR(__xludf.DUMMYFUNCTION("IMPORTRANGE(""https://docs.google.com/spreadsheets/u/0/d/1_NcUY7_L0-VKMwwoDwesshr7eGsHFBVPNg4YI6jkjhk"", ""A55!B1:B22"")"),"Noelle Labadens")</f>
        <v>Noelle Labadens</v>
      </c>
      <c r="D1" s="13" t="str">
        <f ca="1">IFERROR(__xludf.DUMMYFUNCTION("IMPORTRANGE(""https://docs.google.com/spreadsheets/u/0/d/1tjgC5crHxYL6PIwdjQvl-Lz18xb2WRifl2-5aQ8KGT8"", ""A55!B1:B22"")"),"Jake Stafford")</f>
        <v>Jake Stafford</v>
      </c>
    </row>
    <row r="2" spans="1:4" ht="15.75" customHeight="1" x14ac:dyDescent="0.15">
      <c r="A2" s="3" t="s">
        <v>2</v>
      </c>
      <c r="B2" s="15" t="str">
        <f ca="1">IFERROR(__xludf.DUMMYFUNCTION("""COMPUTED_VALUE"""),"31533 - 31772 FOW")</f>
        <v>31533 - 31772 FOW</v>
      </c>
      <c r="C2" s="15" t="str">
        <f ca="1">IFERROR(__xludf.DUMMYFUNCTION("""COMPUTED_VALUE"""),"31533-31772 FOR")</f>
        <v>31533-31772 FOR</v>
      </c>
      <c r="D2" s="15" t="str">
        <f ca="1">IFERROR(__xludf.DUMMYFUNCTION("""COMPUTED_VALUE"""),"Start: 31533 Stop: 31772 FOR")</f>
        <v>Start: 31533 Stop: 31772 FOR</v>
      </c>
    </row>
    <row r="3" spans="1:4" ht="15.75" customHeight="1" x14ac:dyDescent="0.15">
      <c r="A3" s="5" t="s">
        <v>3</v>
      </c>
      <c r="B3" s="17" t="str">
        <f ca="1">IFERROR(__xludf.DUMMYFUNCTION("""COMPUTED_VALUE"""),"DNA Master_54
Phamerator_55")</f>
        <v>DNA Master_54
Phamerator_55</v>
      </c>
      <c r="C3" s="17" t="str">
        <f ca="1">IFERROR(__xludf.DUMMYFUNCTION("""COMPUTED_VALUE"""),"DNA Master: 54 Phamerator: 55")</f>
        <v>DNA Master: 54 Phamerator: 55</v>
      </c>
      <c r="D3" s="17" t="str">
        <f ca="1">IFERROR(__xludf.DUMMYFUNCTION("""COMPUTED_VALUE"""),"55 in Pham 54 in DNAM")</f>
        <v>55 in Pham 54 in DNAM</v>
      </c>
    </row>
    <row r="4" spans="1:4" ht="15.75" customHeight="1" x14ac:dyDescent="0.15">
      <c r="A4" s="5" t="s">
        <v>4</v>
      </c>
      <c r="B4" s="17" t="str">
        <f ca="1">IFERROR(__xludf.DUMMYFUNCTION("""COMPUTED_VALUE"""),"7038 3/17/24")</f>
        <v>7038 3/17/24</v>
      </c>
      <c r="C4" s="17" t="str">
        <f ca="1">IFERROR(__xludf.DUMMYFUNCTION("""COMPUTED_VALUE"""),"pham 7038")</f>
        <v>pham 7038</v>
      </c>
      <c r="D4" s="17" t="str">
        <f ca="1">IFERROR(__xludf.DUMMYFUNCTION("""COMPUTED_VALUE"""),"7038 3/24/25")</f>
        <v>7038 3/24/25</v>
      </c>
    </row>
    <row r="5" spans="1:4" ht="15.75" customHeight="1" x14ac:dyDescent="0.15">
      <c r="A5" s="5" t="s">
        <v>5</v>
      </c>
      <c r="B5" s="17" t="str">
        <f ca="1">IFERROR(__xludf.DUMMYFUNCTION("""COMPUTED_VALUE"""),"Edmundo_52")</f>
        <v>Edmundo_52</v>
      </c>
      <c r="C5" s="17" t="str">
        <f ca="1">IFERROR(__xludf.DUMMYFUNCTION("""COMPUTED_VALUE"""),"Wheelbite_51, Edmundo_52")</f>
        <v>Wheelbite_51, Edmundo_52</v>
      </c>
      <c r="D5" s="17" t="str">
        <f ca="1">IFERROR(__xludf.DUMMYFUNCTION("""COMPUTED_VALUE"""),"Edmundo_52, Laroye_53")</f>
        <v>Edmundo_52, Laroye_53</v>
      </c>
    </row>
    <row r="6" spans="1:4" ht="15.75" customHeight="1" x14ac:dyDescent="0.15">
      <c r="A6" s="5" t="s">
        <v>6</v>
      </c>
      <c r="B6" s="17" t="str">
        <f ca="1">IFERROR(__xludf.DUMMYFUNCTION("""COMPUTED_VALUE"""),"both call @bp 31533 strength 22.44")</f>
        <v>both call @bp 31533 strength 22.44</v>
      </c>
      <c r="C6" s="17" t="str">
        <f ca="1">IFERROR(__xludf.DUMMYFUNCTION("""COMPUTED_VALUE"""),"both")</f>
        <v>both</v>
      </c>
      <c r="D6" s="17" t="str">
        <f ca="1">IFERROR(__xludf.DUMMYFUNCTION("""COMPUTED_VALUE"""),"Both called")</f>
        <v>Both called</v>
      </c>
    </row>
    <row r="7" spans="1:4" ht="15.75" customHeight="1" x14ac:dyDescent="0.15">
      <c r="A7" s="5" t="s">
        <v>7</v>
      </c>
      <c r="B7" s="17" t="str">
        <f ca="1">IFERROR(__xludf.DUMMYFUNCTION("""COMPUTED_VALUE"""),"good coding potential all coding potential included in current start")</f>
        <v>good coding potential all coding potential included in current start</v>
      </c>
      <c r="C7" s="17" t="str">
        <f ca="1">IFERROR(__xludf.DUMMYFUNCTION("""COMPUTED_VALUE"""),"good coding potential, captures all potenital")</f>
        <v>good coding potential, captures all potenital</v>
      </c>
      <c r="D7" s="17" t="str">
        <f ca="1">IFERROR(__xludf.DUMMYFUNCTION("""COMPUTED_VALUE"""),"good coding potential")</f>
        <v>good coding potential</v>
      </c>
    </row>
    <row r="8" spans="1:4" ht="15.75" customHeight="1" x14ac:dyDescent="0.15">
      <c r="A8" s="5" t="s">
        <v>8</v>
      </c>
      <c r="B8" s="17" t="str">
        <f ca="1">IFERROR(__xludf.DUMMYFUNCTION("""COMPUTED_VALUE"""),"yes")</f>
        <v>yes</v>
      </c>
      <c r="C8" s="17" t="str">
        <f ca="1">IFERROR(__xludf.DUMMYFUNCTION("""COMPUTED_VALUE"""),"yes")</f>
        <v>yes</v>
      </c>
      <c r="D8" s="17" t="str">
        <f ca="1">IFERROR(__xludf.DUMMYFUNCTION("""COMPUTED_VALUE"""),"Longest ORF")</f>
        <v>Longest ORF</v>
      </c>
    </row>
    <row r="9" spans="1:4" ht="15.75" customHeight="1" x14ac:dyDescent="0.15">
      <c r="A9" s="5" t="s">
        <v>9</v>
      </c>
      <c r="B9" s="17" t="str">
        <f ca="1">IFERROR(__xludf.DUMMYFUNCTION("""COMPUTED_VALUE"""),"gap of about 66 nt")</f>
        <v>gap of about 66 nt</v>
      </c>
      <c r="C9" s="17" t="str">
        <f ca="1">IFERROR(__xludf.DUMMYFUNCTION("""COMPUTED_VALUE"""),"65 nt gap")</f>
        <v>65 nt gap</v>
      </c>
      <c r="D9" s="17" t="str">
        <f ca="1">IFERROR(__xludf.DUMMYFUNCTION("""COMPUTED_VALUE"""),"Gap of 87 nucleotides, longest possible ORF")</f>
        <v>Gap of 87 nucleotides, longest possible ORF</v>
      </c>
    </row>
    <row r="10" spans="1:4" ht="15.75" customHeight="1" x14ac:dyDescent="0.15">
      <c r="A10" s="5" t="s">
        <v>10</v>
      </c>
      <c r="B10" s="17" t="str">
        <f ca="1">IFERROR(__xludf.DUMMYFUNCTION("""COMPUTED_VALUE"""),"current start has best Z score (2.957)")</f>
        <v>current start has best Z score (2.957)</v>
      </c>
      <c r="C10" s="17" t="str">
        <f ca="1">IFERROR(__xludf.DUMMYFUNCTION("""COMPUTED_VALUE"""),"z score: 2.957. rest are bad. only other good score makes a big gap")</f>
        <v>z score: 2.957. rest are bad. only other good score makes a big gap</v>
      </c>
      <c r="D10" s="17" t="str">
        <f ca="1">IFERROR(__xludf.DUMMYFUNCTION("""COMPUTED_VALUE"""),"Start#1 best score, zscore: 2.957, Fscore: -2.523")</f>
        <v>Start#1 best score, zscore: 2.957, Fscore: -2.523</v>
      </c>
    </row>
    <row r="11" spans="1:4" ht="15.75" customHeight="1" x14ac:dyDescent="0.15">
      <c r="A11" s="5" t="s">
        <v>11</v>
      </c>
      <c r="B11" s="17" t="str">
        <f ca="1">IFERROR(__xludf.DUMMYFUNCTION("""COMPUTED_VALUE"""),"Waltz_51; 44.29% identity; 5.0E-10; Q:1 T:1")</f>
        <v>Waltz_51; 44.29% identity; 5.0E-10; Q:1 T:1</v>
      </c>
      <c r="C11" s="17" t="str">
        <f ca="1">IFERROR(__xludf.DUMMYFUNCTION("""COMPUTED_VALUE"""),"no good matches, all below 50% identity")</f>
        <v>no good matches, all below 50% identity</v>
      </c>
      <c r="D11" s="17" t="str">
        <f ca="1">IFERROR(__xludf.DUMMYFUNCTION("""COMPUTED_VALUE"""),"Waltz_51, 44.29% Identity, 5e-10. Edmundo_52, 44.25% identity, 6e-07")</f>
        <v>Waltz_51, 44.29% Identity, 5e-10. Edmundo_52, 44.25% identity, 6e-07</v>
      </c>
    </row>
    <row r="12" spans="1:4" ht="15.75" customHeight="1" x14ac:dyDescent="0.15">
      <c r="A12" s="5" t="s">
        <v>12</v>
      </c>
      <c r="B12" s="17" t="str">
        <f ca="1">IFERROR(__xludf.DUMMYFUNCTION("""COMPUTED_VALUE"""),"Yes, it is conserved
Called 7 out of 7 times ")</f>
        <v xml:space="preserve">Yes, it is conserved
Called 7 out of 7 times </v>
      </c>
      <c r="C12" s="17" t="str">
        <f ca="1">IFERROR(__xludf.DUMMYFUNCTION("""COMPUTED_VALUE"""),"yes, 100% of the time")</f>
        <v>yes, 100% of the time</v>
      </c>
      <c r="D12" s="17" t="str">
        <f ca="1">IFERROR(__xludf.DUMMYFUNCTION("""COMPUTED_VALUE"""),"Found in all members called 100% of the time")</f>
        <v>Found in all members called 100% of the time</v>
      </c>
    </row>
    <row r="13" spans="1:4" ht="15.75" customHeight="1" x14ac:dyDescent="0.15">
      <c r="A13" s="5" t="s">
        <v>13</v>
      </c>
      <c r="B13" s="17" t="str">
        <f ca="1">IFERROR(__xludf.DUMMYFUNCTION("""COMPUTED_VALUE"""),"No, there are no previous starts to lessen the gap, the current start has the best Z score and moving to a later start would increase the gap between genes. Also, the current start is called every time in starterator.")</f>
        <v>No, there are no previous starts to lessen the gap, the current start has the best Z score and moving to a later start would increase the gap between genes. Also, the current start is called every time in starterator.</v>
      </c>
      <c r="C13" s="17" t="str">
        <f ca="1">IFERROR(__xludf.DUMMYFUNCTION("""COMPUTED_VALUE"""),"no. good coding potential, no start before it to shorten the gap, and it is contingent with other starts in the pham.")</f>
        <v>no. good coding potential, no start before it to shorten the gap, and it is contingent with other starts in the pham.</v>
      </c>
      <c r="D13" s="17" t="str">
        <f ca="1">IFERROR(__xludf.DUMMYFUNCTION("""COMPUTED_VALUE"""),"No, start is found in all members of pham, good coding potential, both programs called this start")</f>
        <v>No, start is found in all members of pham, good coding potential, both programs called this start</v>
      </c>
    </row>
    <row r="14" spans="1:4" ht="15.75" customHeight="1" x14ac:dyDescent="0.15">
      <c r="A14" s="5" t="s">
        <v>14</v>
      </c>
      <c r="B14" s="17" t="str">
        <f ca="1">IFERROR(__xludf.DUMMYFUNCTION("""COMPUTED_VALUE"""),"Waltz_51; 1e-40 
Salgado_54; 2e-09 ")</f>
        <v xml:space="preserve">Waltz_51; 1e-40 
Salgado_54; 2e-09 </v>
      </c>
      <c r="C14" s="17" t="str">
        <f ca="1">IFERROR(__xludf.DUMMYFUNCTION("""COMPUTED_VALUE"""),"Wheelbite_51, Edmundo_52")</f>
        <v>Wheelbite_51, Edmundo_52</v>
      </c>
      <c r="D14" s="17" t="str">
        <f ca="1">IFERROR(__xludf.DUMMYFUNCTION("""COMPUTED_VALUE"""),"Waltz_51 2e-09, Salgado_54, 5e-08")</f>
        <v>Waltz_51 2e-09, Salgado_54, 5e-08</v>
      </c>
    </row>
    <row r="15" spans="1:4" ht="15.75" customHeight="1" x14ac:dyDescent="0.15">
      <c r="A15" s="5" t="s">
        <v>15</v>
      </c>
      <c r="B15" s="17" t="str">
        <f ca="1">IFERROR(__xludf.DUMMYFUNCTION("""COMPUTED_VALUE"""),"function unknown ")</f>
        <v xml:space="preserve">function unknown </v>
      </c>
      <c r="C15" s="17" t="str">
        <f ca="1">IFERROR(__xludf.DUMMYFUNCTION("""COMPUTED_VALUE"""),"function unknown for all")</f>
        <v>function unknown for all</v>
      </c>
      <c r="D15" s="17" t="str">
        <f ca="1">IFERROR(__xludf.DUMMYFUNCTION("""COMPUTED_VALUE"""),"Waltz_51 unknown function, Salgado_54 unknown function")</f>
        <v>Waltz_51 unknown function, Salgado_54 unknown function</v>
      </c>
    </row>
    <row r="16" spans="1:4" ht="15.75" customHeight="1" x14ac:dyDescent="0.15">
      <c r="A16" s="5" t="s">
        <v>16</v>
      </c>
      <c r="B16" s="17" t="str">
        <f ca="1">IFERROR(__xludf.DUMMYFUNCTION("""COMPUTED_VALUE"""),"no ")</f>
        <v xml:space="preserve">no </v>
      </c>
      <c r="C16" s="17" t="str">
        <f ca="1">IFERROR(__xludf.DUMMYFUNCTION("""COMPUTED_VALUE"""),"compared to wheelbite, the actual gene looks like its supposed to be there but the surrounding environment it different. the environment looks, of course, more similar to Kovu.")</f>
        <v>compared to wheelbite, the actual gene looks like its supposed to be there but the surrounding environment it different. the environment looks, of course, more similar to Kovu.</v>
      </c>
      <c r="D16" s="17" t="str">
        <f ca="1">IFERROR(__xludf.DUMMYFUNCTION("""COMPUTED_VALUE"""),"yes, adjacent with only Edmundo_52")</f>
        <v>yes, adjacent with only Edmundo_52</v>
      </c>
    </row>
    <row r="17" spans="1:4" ht="15.75" customHeight="1" x14ac:dyDescent="0.15">
      <c r="A17" s="5" t="s">
        <v>17</v>
      </c>
      <c r="B17" s="17" t="str">
        <f ca="1">IFERROR(__xludf.DUMMYFUNCTION("""COMPUTED_VALUE"""),"DNA-directed RNA polymerase subunit L; viral inhibitor, transcription inhibition, ATV, archaeal virus, Archaea, VIRAL PR
probability: 65.64%
% alignment Q: 49.37%
% alignment T: 43.33%
 L-shaped tail fiber protein p132 OS=Escherichia phage T5 OX=10726 GN"&amp;"=ORF125 PE=2 SV=1
probability: 63.36%
% alignment Q: 53.16%
% alignment T: 30%")</f>
        <v>DNA-directed RNA polymerase subunit L; viral inhibitor, transcription inhibition, ATV, archaeal virus, Archaea, VIRAL PR
probability: 65.64%
% alignment Q: 49.37%
% alignment T: 43.33%
 L-shaped tail fiber protein p132 OS=Escherichia phage T5 OX=10726 GN=ORF125 PE=2 SV=1
probability: 63.36%
% alignment Q: 53.16%
% alignment T: 30%</v>
      </c>
      <c r="C17" s="17" t="str">
        <f ca="1">IFERROR(__xludf.DUMMYFUNCTION("""COMPUTED_VALUE"""),"not helpful, all are below 70% probability")</f>
        <v>not helpful, all are below 70% probability</v>
      </c>
      <c r="D17" s="17" t="str">
        <f ca="1">IFERROR(__xludf.DUMMYFUNCTION("""COMPUTED_VALUE"""),"DNA-directed RNA polymerase subunit L; viral inhibitor, transcription inhibition, ATV, archaeal virus, Archaea, VIRAL PR, 65.54% Identity, 49.37% allq, 43.33% allt. Functional domain is within the target part of the alignment.")</f>
        <v>DNA-directed RNA polymerase subunit L; viral inhibitor, transcription inhibition, ATV, archaeal virus, Archaea, VIRAL PR, 65.54% Identity, 49.37% allq, 43.33% allt. Functional domain is within the target part of the alignment.</v>
      </c>
    </row>
    <row r="18" spans="1:4" ht="15.75" customHeight="1" x14ac:dyDescent="0.15">
      <c r="A18" s="5" t="s">
        <v>18</v>
      </c>
      <c r="B18" s="17" t="str">
        <f ca="1">IFERROR(__xludf.DUMMYFUNCTION("""COMPUTED_VALUE"""),"no")</f>
        <v>no</v>
      </c>
      <c r="C18" s="17" t="str">
        <f ca="1">IFERROR(__xludf.DUMMYFUNCTION("""COMPUTED_VALUE"""),"none")</f>
        <v>none</v>
      </c>
      <c r="D18" s="17" t="str">
        <f ca="1">IFERROR(__xludf.DUMMYFUNCTION("""COMPUTED_VALUE"""),"None")</f>
        <v>None</v>
      </c>
    </row>
    <row r="19" spans="1:4" ht="15.75" customHeight="1" x14ac:dyDescent="0.15">
      <c r="A19" s="5" t="s">
        <v>19</v>
      </c>
      <c r="B19" s="17" t="str">
        <f ca="1">IFERROR(__xludf.DUMMYFUNCTION("""COMPUTED_VALUE"""),"no")</f>
        <v>no</v>
      </c>
      <c r="C19" s="17" t="str">
        <f ca="1">IFERROR(__xludf.DUMMYFUNCTION("""COMPUTED_VALUE"""),"none")</f>
        <v>none</v>
      </c>
      <c r="D19" s="17" t="str">
        <f ca="1">IFERROR(__xludf.DUMMYFUNCTION("""COMPUTED_VALUE"""),"None")</f>
        <v>None</v>
      </c>
    </row>
    <row r="20" spans="1:4" ht="15.75" customHeight="1" x14ac:dyDescent="0.15">
      <c r="A20" s="5" t="s">
        <v>20</v>
      </c>
      <c r="B20" s="17" t="str">
        <f ca="1">IFERROR(__xludf.DUMMYFUNCTION("""COMPUTED_VALUE"""),"hypothetical protein; maches closes to genes with unknown functions; HHpred results were not strong")</f>
        <v>hypothetical protein; maches closes to genes with unknown functions; HHpred results were not strong</v>
      </c>
      <c r="C20" s="17" t="str">
        <f ca="1">IFERROR(__xludf.DUMMYFUNCTION("""COMPUTED_VALUE"""),"function unknown. it is unknown for the whole pham and hhpred was not helpful")</f>
        <v>function unknown. it is unknown for the whole pham and hhpred was not helpful</v>
      </c>
      <c r="D20" s="17" t="str">
        <f ca="1">IFERROR(__xludf.DUMMYFUNCTION("""COMPUTED_VALUE"""),"Hypothetical protein. Has poor hits on hhpred and homologous genes have unknown functions")</f>
        <v>Hypothetical protein. Has poor hits on hhpred and homologous genes have unknown functions</v>
      </c>
    </row>
    <row r="21" spans="1:4" x14ac:dyDescent="0.2">
      <c r="A21" s="7"/>
      <c r="B21" s="19"/>
      <c r="C21" s="19"/>
      <c r="D21" s="19"/>
    </row>
    <row r="22" spans="1:4" ht="15.75" customHeight="1" x14ac:dyDescent="0.15">
      <c r="A22" s="9" t="s">
        <v>21</v>
      </c>
      <c r="B22" s="19"/>
      <c r="C22" s="19"/>
      <c r="D22" s="19"/>
    </row>
    <row r="23" spans="1:4" ht="15.75" customHeight="1" x14ac:dyDescent="0.15">
      <c r="A23" s="10"/>
      <c r="B23" s="13"/>
      <c r="C23" s="13"/>
      <c r="D23" s="13"/>
    </row>
    <row r="24" spans="1:4" ht="15.75" customHeight="1" x14ac:dyDescent="0.15">
      <c r="A24" s="10"/>
      <c r="B24" s="13"/>
      <c r="C24" s="13"/>
      <c r="D24" s="13"/>
    </row>
    <row r="25" spans="1:4" ht="15.75" customHeight="1" x14ac:dyDescent="0.15">
      <c r="A25" s="10"/>
      <c r="B25" s="13"/>
      <c r="C25" s="13"/>
      <c r="D25" s="13"/>
    </row>
    <row r="26" spans="1:4" ht="15.75" customHeight="1" x14ac:dyDescent="0.15">
      <c r="A26" s="10"/>
      <c r="B26" s="13"/>
      <c r="C26" s="13"/>
      <c r="D26" s="13"/>
    </row>
    <row r="27" spans="1:4" ht="15.75" customHeight="1" x14ac:dyDescent="0.15">
      <c r="A27" s="10"/>
      <c r="B27" s="13"/>
      <c r="C27" s="13"/>
      <c r="D27" s="13"/>
    </row>
    <row r="28" spans="1:4" ht="15.75" customHeight="1" x14ac:dyDescent="0.15">
      <c r="A28" s="10"/>
      <c r="B28" s="13"/>
      <c r="C28" s="13"/>
      <c r="D28" s="13"/>
    </row>
    <row r="29" spans="1:4" ht="15.75" customHeight="1" x14ac:dyDescent="0.15">
      <c r="A29" s="10"/>
      <c r="B29" s="13"/>
      <c r="C29" s="13"/>
      <c r="D29" s="13"/>
    </row>
    <row r="30" spans="1:4" ht="15.75" customHeight="1" x14ac:dyDescent="0.15">
      <c r="A30" s="10"/>
      <c r="B30" s="13"/>
      <c r="C30" s="13"/>
      <c r="D30" s="13"/>
    </row>
    <row r="31" spans="1:4" ht="15.75" customHeight="1" x14ac:dyDescent="0.15">
      <c r="A31" s="10"/>
      <c r="B31" s="13"/>
      <c r="C31" s="13"/>
      <c r="D31" s="13"/>
    </row>
    <row r="32" spans="1:4" ht="15.75" customHeight="1" x14ac:dyDescent="0.15">
      <c r="A32" s="10"/>
      <c r="B32" s="13"/>
      <c r="C32" s="13"/>
      <c r="D32" s="13"/>
    </row>
    <row r="33" spans="1:4" ht="15.75" customHeight="1" x14ac:dyDescent="0.15">
      <c r="A33" s="10"/>
      <c r="B33" s="13"/>
      <c r="C33" s="13"/>
      <c r="D33" s="13"/>
    </row>
    <row r="34" spans="1:4" ht="15.75" customHeight="1" x14ac:dyDescent="0.15">
      <c r="A34" s="10"/>
      <c r="B34" s="13"/>
      <c r="C34" s="13"/>
      <c r="D34" s="13"/>
    </row>
    <row r="35" spans="1:4" ht="15.75" customHeight="1" x14ac:dyDescent="0.15">
      <c r="A35" s="10"/>
      <c r="B35" s="13"/>
      <c r="C35" s="13"/>
      <c r="D35" s="13"/>
    </row>
    <row r="36" spans="1:4" ht="15.75" customHeight="1" x14ac:dyDescent="0.15">
      <c r="A36" s="10"/>
      <c r="B36" s="13"/>
      <c r="C36" s="13"/>
      <c r="D36" s="13"/>
    </row>
    <row r="37" spans="1:4" ht="15.75" customHeight="1" x14ac:dyDescent="0.15">
      <c r="A37" s="10"/>
      <c r="B37" s="13"/>
      <c r="C37" s="13"/>
      <c r="D37" s="13"/>
    </row>
    <row r="38" spans="1:4" ht="15.75" customHeight="1" x14ac:dyDescent="0.15">
      <c r="A38" s="10"/>
      <c r="B38" s="13"/>
      <c r="C38" s="13"/>
      <c r="D38" s="13"/>
    </row>
    <row r="39" spans="1:4" ht="13" x14ac:dyDescent="0.15">
      <c r="A39" s="10"/>
      <c r="B39" s="13"/>
      <c r="C39" s="13"/>
      <c r="D39" s="13"/>
    </row>
    <row r="40" spans="1:4" ht="13" x14ac:dyDescent="0.15">
      <c r="A40" s="10"/>
      <c r="B40" s="13"/>
      <c r="C40" s="13"/>
      <c r="D40" s="13"/>
    </row>
    <row r="41" spans="1:4" ht="13" x14ac:dyDescent="0.15">
      <c r="A41" s="10"/>
      <c r="B41" s="13"/>
      <c r="C41" s="13"/>
      <c r="D41" s="13"/>
    </row>
    <row r="42" spans="1:4" ht="13" x14ac:dyDescent="0.15">
      <c r="A42" s="10"/>
      <c r="B42" s="13"/>
      <c r="C42" s="13"/>
      <c r="D42" s="13"/>
    </row>
    <row r="43" spans="1:4" ht="13" x14ac:dyDescent="0.15">
      <c r="A43" s="10"/>
      <c r="B43" s="13"/>
      <c r="C43" s="13"/>
      <c r="D43" s="13"/>
    </row>
    <row r="44" spans="1:4" ht="13" x14ac:dyDescent="0.15">
      <c r="A44" s="10"/>
      <c r="B44" s="13"/>
      <c r="C44" s="13"/>
      <c r="D44" s="13"/>
    </row>
    <row r="45" spans="1:4" ht="13" x14ac:dyDescent="0.15">
      <c r="A45" s="10"/>
      <c r="B45" s="13"/>
      <c r="C45" s="13"/>
      <c r="D45" s="13"/>
    </row>
    <row r="46" spans="1:4" ht="13" x14ac:dyDescent="0.15">
      <c r="A46" s="10"/>
      <c r="B46" s="13"/>
      <c r="C46" s="13"/>
      <c r="D46" s="13"/>
    </row>
    <row r="47" spans="1:4" ht="13" x14ac:dyDescent="0.15">
      <c r="A47" s="10"/>
      <c r="B47" s="13"/>
      <c r="C47" s="13"/>
      <c r="D47" s="13"/>
    </row>
    <row r="48" spans="1:4" ht="13" x14ac:dyDescent="0.15">
      <c r="A48" s="10"/>
      <c r="B48" s="13"/>
      <c r="C48" s="13"/>
      <c r="D48" s="13"/>
    </row>
    <row r="49" spans="1:4" ht="13" x14ac:dyDescent="0.15">
      <c r="A49" s="10"/>
      <c r="B49" s="13"/>
      <c r="C49" s="13"/>
      <c r="D49" s="13"/>
    </row>
    <row r="50" spans="1:4" ht="13" x14ac:dyDescent="0.15">
      <c r="A50" s="10"/>
      <c r="B50" s="13"/>
      <c r="C50" s="13"/>
      <c r="D50" s="13"/>
    </row>
    <row r="51" spans="1:4" ht="13" x14ac:dyDescent="0.15">
      <c r="A51" s="10"/>
      <c r="B51" s="13"/>
      <c r="C51" s="13"/>
      <c r="D51" s="13"/>
    </row>
    <row r="52" spans="1:4" ht="13" x14ac:dyDescent="0.15">
      <c r="A52" s="10"/>
      <c r="B52" s="13"/>
      <c r="C52" s="13"/>
      <c r="D52" s="13"/>
    </row>
    <row r="53" spans="1:4" ht="13" x14ac:dyDescent="0.15">
      <c r="A53" s="10"/>
      <c r="B53" s="13"/>
      <c r="C53" s="13"/>
      <c r="D53" s="13"/>
    </row>
    <row r="54" spans="1:4" ht="13" x14ac:dyDescent="0.15">
      <c r="A54" s="10"/>
      <c r="B54" s="13"/>
      <c r="C54" s="13"/>
      <c r="D54" s="13"/>
    </row>
    <row r="55" spans="1:4" ht="13" x14ac:dyDescent="0.15">
      <c r="A55" s="10"/>
      <c r="B55" s="13"/>
      <c r="C55" s="13"/>
      <c r="D55" s="13"/>
    </row>
    <row r="56" spans="1:4" ht="13" x14ac:dyDescent="0.15">
      <c r="A56" s="10"/>
      <c r="B56" s="13"/>
      <c r="C56" s="13"/>
      <c r="D56" s="13"/>
    </row>
    <row r="57" spans="1:4" ht="13" x14ac:dyDescent="0.15">
      <c r="A57" s="10"/>
      <c r="B57" s="13"/>
      <c r="C57" s="13"/>
      <c r="D57" s="13"/>
    </row>
    <row r="58" spans="1:4" ht="13" x14ac:dyDescent="0.15">
      <c r="A58" s="10"/>
      <c r="B58" s="13"/>
      <c r="C58" s="13"/>
      <c r="D58" s="13"/>
    </row>
    <row r="59" spans="1:4" ht="13" x14ac:dyDescent="0.15">
      <c r="A59" s="10"/>
      <c r="B59" s="13"/>
      <c r="C59" s="13"/>
      <c r="D59" s="13"/>
    </row>
    <row r="60" spans="1:4" ht="13" x14ac:dyDescent="0.15">
      <c r="A60" s="10"/>
      <c r="B60" s="13"/>
      <c r="C60" s="13"/>
      <c r="D60" s="13"/>
    </row>
    <row r="61" spans="1:4" ht="13" x14ac:dyDescent="0.15">
      <c r="A61" s="10"/>
      <c r="B61" s="13"/>
      <c r="C61" s="13"/>
      <c r="D61" s="13"/>
    </row>
    <row r="62" spans="1:4" ht="13" x14ac:dyDescent="0.15">
      <c r="A62" s="10"/>
      <c r="B62" s="13"/>
      <c r="C62" s="13"/>
      <c r="D62" s="13"/>
    </row>
    <row r="63" spans="1:4" ht="13" x14ac:dyDescent="0.15">
      <c r="A63" s="10"/>
      <c r="B63" s="13"/>
      <c r="C63" s="13"/>
      <c r="D63" s="13"/>
    </row>
    <row r="64" spans="1:4" ht="13" x14ac:dyDescent="0.15">
      <c r="A64" s="10"/>
      <c r="B64" s="13"/>
      <c r="C64" s="13"/>
      <c r="D64" s="13"/>
    </row>
    <row r="65" spans="1:4" ht="13" x14ac:dyDescent="0.15">
      <c r="A65" s="10"/>
      <c r="B65" s="13"/>
      <c r="C65" s="13"/>
      <c r="D65" s="13"/>
    </row>
    <row r="66" spans="1:4" ht="13" x14ac:dyDescent="0.15">
      <c r="A66" s="10"/>
      <c r="B66" s="13"/>
      <c r="C66" s="13"/>
      <c r="D66" s="13"/>
    </row>
    <row r="67" spans="1:4" ht="13" x14ac:dyDescent="0.15">
      <c r="A67" s="10"/>
      <c r="B67" s="13"/>
      <c r="C67" s="13"/>
      <c r="D67" s="13"/>
    </row>
    <row r="68" spans="1:4" ht="13" x14ac:dyDescent="0.15">
      <c r="A68" s="10"/>
      <c r="B68" s="13"/>
      <c r="C68" s="13"/>
      <c r="D68" s="13"/>
    </row>
    <row r="69" spans="1:4" ht="13" x14ac:dyDescent="0.15">
      <c r="A69" s="10"/>
      <c r="B69" s="13"/>
      <c r="C69" s="13"/>
      <c r="D69" s="13"/>
    </row>
    <row r="70" spans="1:4" ht="13" x14ac:dyDescent="0.15">
      <c r="A70" s="10"/>
      <c r="B70" s="13"/>
      <c r="C70" s="13"/>
      <c r="D70" s="13"/>
    </row>
    <row r="71" spans="1:4" ht="13" x14ac:dyDescent="0.15">
      <c r="A71" s="10"/>
      <c r="B71" s="13"/>
      <c r="C71" s="13"/>
      <c r="D71" s="13"/>
    </row>
    <row r="72" spans="1:4" ht="13" x14ac:dyDescent="0.15">
      <c r="A72" s="10"/>
      <c r="B72" s="13"/>
      <c r="C72" s="13"/>
      <c r="D72" s="13"/>
    </row>
    <row r="73" spans="1:4" ht="13" x14ac:dyDescent="0.15">
      <c r="A73" s="10"/>
      <c r="B73" s="13"/>
      <c r="C73" s="13"/>
      <c r="D73" s="13"/>
    </row>
    <row r="74" spans="1:4" ht="13" x14ac:dyDescent="0.15">
      <c r="A74" s="10"/>
      <c r="B74" s="13"/>
      <c r="C74" s="13"/>
      <c r="D74" s="13"/>
    </row>
    <row r="75" spans="1:4" ht="13" x14ac:dyDescent="0.15">
      <c r="A75" s="10"/>
      <c r="B75" s="13"/>
      <c r="C75" s="13"/>
      <c r="D75" s="13"/>
    </row>
    <row r="76" spans="1:4" ht="13" x14ac:dyDescent="0.15">
      <c r="A76" s="10"/>
      <c r="B76" s="13"/>
      <c r="C76" s="13"/>
      <c r="D76" s="13"/>
    </row>
    <row r="77" spans="1:4" ht="13" x14ac:dyDescent="0.15">
      <c r="A77" s="10"/>
      <c r="B77" s="13"/>
      <c r="C77" s="13"/>
      <c r="D77" s="13"/>
    </row>
    <row r="78" spans="1:4" ht="13" x14ac:dyDescent="0.15">
      <c r="A78" s="10"/>
      <c r="B78" s="13"/>
      <c r="C78" s="13"/>
      <c r="D78" s="13"/>
    </row>
    <row r="79" spans="1:4" ht="13" x14ac:dyDescent="0.15">
      <c r="A79" s="10"/>
      <c r="B79" s="13"/>
      <c r="C79" s="13"/>
      <c r="D79" s="13"/>
    </row>
    <row r="80" spans="1:4" ht="13" x14ac:dyDescent="0.15">
      <c r="A80" s="10"/>
      <c r="B80" s="13"/>
      <c r="C80" s="13"/>
      <c r="D80" s="13"/>
    </row>
    <row r="81" spans="1:4" ht="13" x14ac:dyDescent="0.15">
      <c r="A81" s="10"/>
      <c r="B81" s="13"/>
      <c r="C81" s="13"/>
      <c r="D81" s="13"/>
    </row>
    <row r="82" spans="1:4" ht="13" x14ac:dyDescent="0.15">
      <c r="A82" s="10"/>
      <c r="B82" s="13"/>
      <c r="C82" s="13"/>
      <c r="D82" s="13"/>
    </row>
    <row r="83" spans="1:4" ht="13" x14ac:dyDescent="0.15">
      <c r="A83" s="10"/>
      <c r="B83" s="13"/>
      <c r="C83" s="13"/>
      <c r="D83" s="13"/>
    </row>
    <row r="84" spans="1:4" ht="13" x14ac:dyDescent="0.15">
      <c r="A84" s="10"/>
      <c r="B84" s="13"/>
      <c r="C84" s="13"/>
      <c r="D84" s="13"/>
    </row>
    <row r="85" spans="1:4" ht="13" x14ac:dyDescent="0.15">
      <c r="A85" s="10"/>
      <c r="B85" s="13"/>
      <c r="C85" s="13"/>
      <c r="D85" s="13"/>
    </row>
    <row r="86" spans="1:4" ht="13" x14ac:dyDescent="0.15">
      <c r="A86" s="10"/>
      <c r="B86" s="13"/>
      <c r="C86" s="13"/>
      <c r="D86" s="13"/>
    </row>
    <row r="87" spans="1:4" ht="13" x14ac:dyDescent="0.15">
      <c r="A87" s="10"/>
      <c r="B87" s="13"/>
      <c r="C87" s="13"/>
      <c r="D87" s="13"/>
    </row>
    <row r="88" spans="1:4" ht="13" x14ac:dyDescent="0.15">
      <c r="A88" s="10"/>
      <c r="B88" s="13"/>
      <c r="C88" s="13"/>
      <c r="D88" s="13"/>
    </row>
    <row r="89" spans="1:4" ht="13" x14ac:dyDescent="0.15">
      <c r="A89" s="10"/>
      <c r="B89" s="13"/>
      <c r="C89" s="13"/>
      <c r="D89" s="13"/>
    </row>
    <row r="90" spans="1:4" ht="13" x14ac:dyDescent="0.15">
      <c r="A90" s="10"/>
      <c r="B90" s="13"/>
      <c r="C90" s="13"/>
      <c r="D90" s="13"/>
    </row>
    <row r="91" spans="1:4" ht="13" x14ac:dyDescent="0.15">
      <c r="A91" s="10"/>
      <c r="B91" s="13"/>
      <c r="C91" s="13"/>
      <c r="D91" s="13"/>
    </row>
    <row r="92" spans="1:4" ht="13" x14ac:dyDescent="0.15">
      <c r="A92" s="10"/>
      <c r="B92" s="13"/>
      <c r="C92" s="13"/>
      <c r="D92" s="13"/>
    </row>
    <row r="93" spans="1:4" ht="13" x14ac:dyDescent="0.15">
      <c r="A93" s="10"/>
      <c r="B93" s="13"/>
      <c r="C93" s="13"/>
      <c r="D93" s="13"/>
    </row>
    <row r="94" spans="1:4" ht="13" x14ac:dyDescent="0.15">
      <c r="A94" s="10"/>
      <c r="B94" s="13"/>
      <c r="C94" s="13"/>
      <c r="D94" s="13"/>
    </row>
    <row r="95" spans="1:4" ht="13" x14ac:dyDescent="0.15">
      <c r="A95" s="10"/>
      <c r="B95" s="13"/>
      <c r="C95" s="13"/>
      <c r="D95" s="13"/>
    </row>
    <row r="96" spans="1:4" ht="13" x14ac:dyDescent="0.15">
      <c r="A96" s="10"/>
      <c r="B96" s="13"/>
      <c r="C96" s="13"/>
      <c r="D96" s="13"/>
    </row>
    <row r="97" spans="1:4" ht="13" x14ac:dyDescent="0.15">
      <c r="A97" s="10"/>
      <c r="B97" s="13"/>
      <c r="C97" s="13"/>
      <c r="D97" s="13"/>
    </row>
    <row r="98" spans="1:4" ht="13" x14ac:dyDescent="0.15">
      <c r="A98" s="10"/>
      <c r="B98" s="13"/>
      <c r="C98" s="13"/>
      <c r="D98" s="13"/>
    </row>
    <row r="99" spans="1:4" ht="13" x14ac:dyDescent="0.15">
      <c r="A99" s="10"/>
      <c r="B99" s="13"/>
      <c r="C99" s="13"/>
      <c r="D99" s="13"/>
    </row>
    <row r="100" spans="1:4" ht="13" x14ac:dyDescent="0.15">
      <c r="A100" s="10"/>
      <c r="B100" s="13"/>
      <c r="C100" s="13"/>
      <c r="D100" s="13"/>
    </row>
    <row r="101" spans="1:4" ht="13" x14ac:dyDescent="0.15">
      <c r="A101" s="10"/>
      <c r="B101" s="13"/>
      <c r="C101" s="13"/>
      <c r="D101" s="13"/>
    </row>
    <row r="102" spans="1:4" ht="13" x14ac:dyDescent="0.15">
      <c r="A102" s="10"/>
      <c r="B102" s="13"/>
      <c r="C102" s="13"/>
      <c r="D102" s="13"/>
    </row>
    <row r="103" spans="1:4" ht="13" x14ac:dyDescent="0.15">
      <c r="A103" s="10"/>
      <c r="B103" s="13"/>
      <c r="C103" s="13"/>
      <c r="D103" s="13"/>
    </row>
    <row r="104" spans="1:4" ht="13" x14ac:dyDescent="0.15">
      <c r="A104" s="10"/>
      <c r="B104" s="13"/>
      <c r="C104" s="13"/>
      <c r="D104" s="13"/>
    </row>
    <row r="105" spans="1:4" ht="13" x14ac:dyDescent="0.15">
      <c r="A105" s="10"/>
      <c r="B105" s="13"/>
      <c r="C105" s="13"/>
      <c r="D105" s="13"/>
    </row>
    <row r="106" spans="1:4" ht="13" x14ac:dyDescent="0.15">
      <c r="A106" s="10"/>
      <c r="B106" s="13"/>
      <c r="C106" s="13"/>
      <c r="D106" s="13"/>
    </row>
    <row r="107" spans="1:4" ht="13" x14ac:dyDescent="0.15">
      <c r="A107" s="10"/>
      <c r="B107" s="13"/>
      <c r="C107" s="13"/>
      <c r="D107" s="13"/>
    </row>
    <row r="108" spans="1:4" ht="13" x14ac:dyDescent="0.15">
      <c r="A108" s="10"/>
      <c r="B108" s="13"/>
      <c r="C108" s="13"/>
      <c r="D108" s="13"/>
    </row>
    <row r="109" spans="1:4" ht="13" x14ac:dyDescent="0.15">
      <c r="A109" s="10"/>
      <c r="B109" s="13"/>
      <c r="C109" s="13"/>
      <c r="D109" s="13"/>
    </row>
    <row r="110" spans="1:4" ht="13" x14ac:dyDescent="0.15">
      <c r="A110" s="10"/>
      <c r="B110" s="13"/>
      <c r="C110" s="13"/>
      <c r="D110" s="13"/>
    </row>
    <row r="111" spans="1:4" ht="13" x14ac:dyDescent="0.15">
      <c r="A111" s="10"/>
      <c r="B111" s="13"/>
      <c r="C111" s="13"/>
      <c r="D111" s="13"/>
    </row>
    <row r="112" spans="1:4" ht="13" x14ac:dyDescent="0.15">
      <c r="A112" s="10"/>
      <c r="B112" s="13"/>
      <c r="C112" s="13"/>
      <c r="D112" s="13"/>
    </row>
    <row r="113" spans="1:4" ht="13" x14ac:dyDescent="0.15">
      <c r="A113" s="10"/>
      <c r="B113" s="13"/>
      <c r="C113" s="13"/>
      <c r="D113" s="13"/>
    </row>
    <row r="114" spans="1:4" ht="13" x14ac:dyDescent="0.15">
      <c r="A114" s="10"/>
      <c r="B114" s="13"/>
      <c r="C114" s="13"/>
      <c r="D114" s="13"/>
    </row>
    <row r="115" spans="1:4" ht="13" x14ac:dyDescent="0.15">
      <c r="A115" s="10"/>
      <c r="B115" s="13"/>
      <c r="C115" s="13"/>
      <c r="D115" s="13"/>
    </row>
    <row r="116" spans="1:4" ht="13" x14ac:dyDescent="0.15">
      <c r="A116" s="10"/>
      <c r="B116" s="13"/>
      <c r="C116" s="13"/>
      <c r="D116" s="13"/>
    </row>
    <row r="117" spans="1:4" ht="13" x14ac:dyDescent="0.15">
      <c r="A117" s="10"/>
      <c r="B117" s="13"/>
      <c r="C117" s="13"/>
      <c r="D117" s="13"/>
    </row>
    <row r="118" spans="1:4" ht="13" x14ac:dyDescent="0.15">
      <c r="A118" s="10"/>
      <c r="B118" s="13"/>
      <c r="C118" s="13"/>
      <c r="D118" s="13"/>
    </row>
    <row r="119" spans="1:4" ht="13" x14ac:dyDescent="0.15">
      <c r="A119" s="10"/>
      <c r="B119" s="13"/>
      <c r="C119" s="13"/>
      <c r="D119" s="13"/>
    </row>
    <row r="120" spans="1:4" ht="13" x14ac:dyDescent="0.15">
      <c r="A120" s="10"/>
      <c r="B120" s="13"/>
      <c r="C120" s="13"/>
      <c r="D120" s="13"/>
    </row>
    <row r="121" spans="1:4" ht="13" x14ac:dyDescent="0.15">
      <c r="A121" s="10"/>
      <c r="B121" s="13"/>
      <c r="C121" s="13"/>
      <c r="D121" s="13"/>
    </row>
    <row r="122" spans="1:4" ht="13" x14ac:dyDescent="0.15">
      <c r="A122" s="10"/>
      <c r="B122" s="13"/>
      <c r="C122" s="13"/>
      <c r="D122" s="13"/>
    </row>
    <row r="123" spans="1:4" ht="13" x14ac:dyDescent="0.15">
      <c r="A123" s="10"/>
      <c r="B123" s="13"/>
      <c r="C123" s="13"/>
      <c r="D123" s="13"/>
    </row>
    <row r="124" spans="1:4" ht="13" x14ac:dyDescent="0.15">
      <c r="A124" s="10"/>
      <c r="B124" s="13"/>
      <c r="C124" s="13"/>
      <c r="D124" s="13"/>
    </row>
    <row r="125" spans="1:4" ht="13" x14ac:dyDescent="0.15">
      <c r="A125" s="10"/>
      <c r="B125" s="13"/>
      <c r="C125" s="13"/>
      <c r="D125" s="13"/>
    </row>
    <row r="126" spans="1:4" ht="13" x14ac:dyDescent="0.15">
      <c r="A126" s="10"/>
      <c r="B126" s="13"/>
      <c r="C126" s="13"/>
      <c r="D126" s="13"/>
    </row>
    <row r="127" spans="1:4" ht="13" x14ac:dyDescent="0.15">
      <c r="A127" s="10"/>
      <c r="B127" s="13"/>
      <c r="C127" s="13"/>
      <c r="D127" s="13"/>
    </row>
    <row r="128" spans="1:4" ht="13" x14ac:dyDescent="0.15">
      <c r="A128" s="10"/>
      <c r="B128" s="13"/>
      <c r="C128" s="13"/>
      <c r="D128" s="13"/>
    </row>
    <row r="129" spans="1:4" ht="13" x14ac:dyDescent="0.15">
      <c r="A129" s="10"/>
      <c r="B129" s="13"/>
      <c r="C129" s="13"/>
      <c r="D129" s="13"/>
    </row>
    <row r="130" spans="1:4" ht="13" x14ac:dyDescent="0.15">
      <c r="A130" s="10"/>
      <c r="B130" s="13"/>
      <c r="C130" s="13"/>
      <c r="D130" s="13"/>
    </row>
    <row r="131" spans="1:4" ht="13" x14ac:dyDescent="0.15">
      <c r="A131" s="10"/>
      <c r="B131" s="13"/>
      <c r="C131" s="13"/>
      <c r="D131" s="13"/>
    </row>
    <row r="132" spans="1:4" ht="13" x14ac:dyDescent="0.15">
      <c r="A132" s="10"/>
      <c r="B132" s="13"/>
      <c r="C132" s="13"/>
      <c r="D132" s="13"/>
    </row>
    <row r="133" spans="1:4" ht="13" x14ac:dyDescent="0.15">
      <c r="A133" s="10"/>
      <c r="B133" s="13"/>
      <c r="C133" s="13"/>
      <c r="D133" s="13"/>
    </row>
    <row r="134" spans="1:4" ht="13" x14ac:dyDescent="0.15">
      <c r="A134" s="10"/>
      <c r="B134" s="13"/>
      <c r="C134" s="13"/>
      <c r="D134" s="13"/>
    </row>
    <row r="135" spans="1:4" ht="13" x14ac:dyDescent="0.15">
      <c r="A135" s="10"/>
      <c r="B135" s="13"/>
      <c r="C135" s="13"/>
      <c r="D135" s="13"/>
    </row>
    <row r="136" spans="1:4" ht="13" x14ac:dyDescent="0.15">
      <c r="A136" s="10"/>
      <c r="B136" s="13"/>
      <c r="C136" s="13"/>
      <c r="D136" s="13"/>
    </row>
    <row r="137" spans="1:4" ht="13" x14ac:dyDescent="0.15">
      <c r="A137" s="10"/>
      <c r="B137" s="13"/>
      <c r="C137" s="13"/>
      <c r="D137" s="13"/>
    </row>
    <row r="138" spans="1:4" ht="13" x14ac:dyDescent="0.15">
      <c r="A138" s="10"/>
      <c r="B138" s="13"/>
      <c r="C138" s="13"/>
      <c r="D138" s="13"/>
    </row>
    <row r="139" spans="1:4" ht="13" x14ac:dyDescent="0.15">
      <c r="A139" s="10"/>
      <c r="B139" s="13"/>
      <c r="C139" s="13"/>
      <c r="D139" s="13"/>
    </row>
    <row r="140" spans="1:4" ht="13" x14ac:dyDescent="0.15">
      <c r="A140" s="10"/>
      <c r="B140" s="13"/>
      <c r="C140" s="13"/>
      <c r="D140" s="13"/>
    </row>
    <row r="141" spans="1:4" ht="13" x14ac:dyDescent="0.15">
      <c r="A141" s="10"/>
      <c r="B141" s="13"/>
      <c r="C141" s="13"/>
      <c r="D141" s="13"/>
    </row>
    <row r="142" spans="1:4" ht="13" x14ac:dyDescent="0.15">
      <c r="A142" s="10"/>
      <c r="B142" s="13"/>
      <c r="C142" s="13"/>
      <c r="D142" s="13"/>
    </row>
    <row r="143" spans="1:4" ht="13" x14ac:dyDescent="0.15">
      <c r="A143" s="10"/>
      <c r="B143" s="13"/>
      <c r="C143" s="13"/>
      <c r="D143" s="13"/>
    </row>
    <row r="144" spans="1:4" ht="13" x14ac:dyDescent="0.15">
      <c r="A144" s="10"/>
      <c r="B144" s="13"/>
      <c r="C144" s="13"/>
      <c r="D144" s="13"/>
    </row>
    <row r="145" spans="1:4" ht="13" x14ac:dyDescent="0.15">
      <c r="A145" s="10"/>
      <c r="B145" s="13"/>
      <c r="C145" s="13"/>
      <c r="D145" s="13"/>
    </row>
    <row r="146" spans="1:4" ht="13" x14ac:dyDescent="0.15">
      <c r="A146" s="10"/>
      <c r="B146" s="13"/>
      <c r="C146" s="13"/>
      <c r="D146" s="13"/>
    </row>
    <row r="147" spans="1:4" ht="13" x14ac:dyDescent="0.15">
      <c r="A147" s="10"/>
      <c r="B147" s="13"/>
      <c r="C147" s="13"/>
      <c r="D147" s="13"/>
    </row>
    <row r="148" spans="1:4" ht="13" x14ac:dyDescent="0.15">
      <c r="A148" s="10"/>
      <c r="B148" s="13"/>
      <c r="C148" s="13"/>
      <c r="D148" s="13"/>
    </row>
    <row r="149" spans="1:4" ht="13" x14ac:dyDescent="0.15">
      <c r="A149" s="10"/>
      <c r="B149" s="13"/>
      <c r="C149" s="13"/>
      <c r="D149" s="13"/>
    </row>
    <row r="150" spans="1:4" ht="13" x14ac:dyDescent="0.15">
      <c r="A150" s="10"/>
      <c r="B150" s="13"/>
      <c r="C150" s="13"/>
      <c r="D150" s="13"/>
    </row>
    <row r="151" spans="1:4" ht="13" x14ac:dyDescent="0.15">
      <c r="A151" s="10"/>
      <c r="B151" s="13"/>
      <c r="C151" s="13"/>
      <c r="D151" s="13"/>
    </row>
    <row r="152" spans="1:4" ht="13" x14ac:dyDescent="0.15">
      <c r="A152" s="10"/>
      <c r="B152" s="13"/>
      <c r="C152" s="13"/>
      <c r="D152" s="13"/>
    </row>
    <row r="153" spans="1:4" ht="13" x14ac:dyDescent="0.15">
      <c r="A153" s="10"/>
      <c r="B153" s="13"/>
      <c r="C153" s="13"/>
      <c r="D153" s="13"/>
    </row>
    <row r="154" spans="1:4" ht="13" x14ac:dyDescent="0.15">
      <c r="A154" s="10"/>
      <c r="B154" s="13"/>
      <c r="C154" s="13"/>
      <c r="D154" s="13"/>
    </row>
    <row r="155" spans="1:4" ht="13" x14ac:dyDescent="0.15">
      <c r="A155" s="10"/>
      <c r="B155" s="13"/>
      <c r="C155" s="13"/>
      <c r="D155" s="13"/>
    </row>
    <row r="156" spans="1:4" ht="13" x14ac:dyDescent="0.15">
      <c r="A156" s="10"/>
      <c r="B156" s="13"/>
      <c r="C156" s="13"/>
      <c r="D156" s="13"/>
    </row>
    <row r="157" spans="1:4" ht="13" x14ac:dyDescent="0.15">
      <c r="A157" s="10"/>
      <c r="B157" s="13"/>
      <c r="C157" s="13"/>
      <c r="D157" s="13"/>
    </row>
    <row r="158" spans="1:4" ht="13" x14ac:dyDescent="0.15">
      <c r="A158" s="10"/>
      <c r="B158" s="13"/>
      <c r="C158" s="13"/>
      <c r="D158" s="13"/>
    </row>
    <row r="159" spans="1:4" ht="13" x14ac:dyDescent="0.15">
      <c r="A159" s="10"/>
      <c r="B159" s="13"/>
      <c r="C159" s="13"/>
      <c r="D159" s="13"/>
    </row>
    <row r="160" spans="1:4" ht="13" x14ac:dyDescent="0.15">
      <c r="A160" s="10"/>
      <c r="B160" s="13"/>
      <c r="C160" s="13"/>
      <c r="D160" s="13"/>
    </row>
    <row r="161" spans="1:4" ht="13" x14ac:dyDescent="0.15">
      <c r="A161" s="10"/>
      <c r="B161" s="13"/>
      <c r="C161" s="13"/>
      <c r="D161" s="13"/>
    </row>
    <row r="162" spans="1:4" ht="13" x14ac:dyDescent="0.15">
      <c r="A162" s="10"/>
      <c r="B162" s="13"/>
      <c r="C162" s="13"/>
      <c r="D162" s="13"/>
    </row>
    <row r="163" spans="1:4" ht="13" x14ac:dyDescent="0.15">
      <c r="A163" s="10"/>
      <c r="B163" s="13"/>
      <c r="C163" s="13"/>
      <c r="D163" s="13"/>
    </row>
    <row r="164" spans="1:4" ht="13" x14ac:dyDescent="0.15">
      <c r="A164" s="10"/>
      <c r="B164" s="13"/>
      <c r="C164" s="13"/>
      <c r="D164" s="13"/>
    </row>
    <row r="165" spans="1:4" ht="13" x14ac:dyDescent="0.15">
      <c r="A165" s="10"/>
      <c r="B165" s="13"/>
      <c r="C165" s="13"/>
      <c r="D165" s="13"/>
    </row>
    <row r="166" spans="1:4" ht="13" x14ac:dyDescent="0.15">
      <c r="A166" s="10"/>
      <c r="B166" s="13"/>
      <c r="C166" s="13"/>
      <c r="D166" s="13"/>
    </row>
    <row r="167" spans="1:4" ht="13" x14ac:dyDescent="0.15">
      <c r="A167" s="10"/>
      <c r="B167" s="13"/>
      <c r="C167" s="13"/>
      <c r="D167" s="13"/>
    </row>
    <row r="168" spans="1:4" ht="13" x14ac:dyDescent="0.15">
      <c r="A168" s="10"/>
      <c r="B168" s="13"/>
      <c r="C168" s="13"/>
      <c r="D168" s="13"/>
    </row>
    <row r="169" spans="1:4" ht="13" x14ac:dyDescent="0.15">
      <c r="A169" s="10"/>
      <c r="B169" s="13"/>
      <c r="C169" s="13"/>
      <c r="D169" s="13"/>
    </row>
    <row r="170" spans="1:4" ht="13" x14ac:dyDescent="0.15">
      <c r="A170" s="10"/>
      <c r="B170" s="13"/>
      <c r="C170" s="13"/>
      <c r="D170" s="13"/>
    </row>
    <row r="171" spans="1:4" ht="13" x14ac:dyDescent="0.15">
      <c r="A171" s="10"/>
      <c r="B171" s="13"/>
      <c r="C171" s="13"/>
      <c r="D171" s="13"/>
    </row>
    <row r="172" spans="1:4" ht="13" x14ac:dyDescent="0.15">
      <c r="A172" s="10"/>
      <c r="B172" s="13"/>
      <c r="C172" s="13"/>
      <c r="D172" s="13"/>
    </row>
    <row r="173" spans="1:4" ht="13" x14ac:dyDescent="0.15">
      <c r="A173" s="10"/>
      <c r="B173" s="13"/>
      <c r="C173" s="13"/>
      <c r="D173" s="13"/>
    </row>
    <row r="174" spans="1:4" ht="13" x14ac:dyDescent="0.15">
      <c r="A174" s="10"/>
      <c r="B174" s="13"/>
      <c r="C174" s="13"/>
      <c r="D174" s="13"/>
    </row>
    <row r="175" spans="1:4" ht="13" x14ac:dyDescent="0.15">
      <c r="A175" s="10"/>
      <c r="B175" s="13"/>
      <c r="C175" s="13"/>
      <c r="D175" s="13"/>
    </row>
    <row r="176" spans="1:4" ht="13" x14ac:dyDescent="0.15">
      <c r="A176" s="10"/>
      <c r="B176" s="13"/>
      <c r="C176" s="13"/>
      <c r="D176" s="13"/>
    </row>
    <row r="177" spans="1:4" ht="13" x14ac:dyDescent="0.15">
      <c r="A177" s="10"/>
      <c r="B177" s="13"/>
      <c r="C177" s="13"/>
      <c r="D177" s="13"/>
    </row>
    <row r="178" spans="1:4" ht="13" x14ac:dyDescent="0.15">
      <c r="A178" s="10"/>
      <c r="B178" s="13"/>
      <c r="C178" s="13"/>
      <c r="D178" s="13"/>
    </row>
    <row r="179" spans="1:4" ht="13" x14ac:dyDescent="0.15">
      <c r="A179" s="10"/>
      <c r="B179" s="13"/>
      <c r="C179" s="13"/>
      <c r="D179" s="13"/>
    </row>
    <row r="180" spans="1:4" ht="13" x14ac:dyDescent="0.15">
      <c r="A180" s="10"/>
      <c r="B180" s="13"/>
      <c r="C180" s="13"/>
      <c r="D180" s="13"/>
    </row>
    <row r="181" spans="1:4" ht="13" x14ac:dyDescent="0.15">
      <c r="A181" s="10"/>
      <c r="B181" s="13"/>
      <c r="C181" s="13"/>
      <c r="D181" s="13"/>
    </row>
    <row r="182" spans="1:4" ht="13" x14ac:dyDescent="0.15">
      <c r="A182" s="10"/>
      <c r="B182" s="13"/>
      <c r="C182" s="13"/>
      <c r="D182" s="13"/>
    </row>
    <row r="183" spans="1:4" ht="13" x14ac:dyDescent="0.15">
      <c r="A183" s="10"/>
      <c r="B183" s="13"/>
      <c r="C183" s="13"/>
      <c r="D183" s="13"/>
    </row>
    <row r="184" spans="1:4" ht="13" x14ac:dyDescent="0.15">
      <c r="A184" s="10"/>
      <c r="B184" s="13"/>
      <c r="C184" s="13"/>
      <c r="D184" s="13"/>
    </row>
    <row r="185" spans="1:4" ht="13" x14ac:dyDescent="0.15">
      <c r="A185" s="10"/>
      <c r="B185" s="13"/>
      <c r="C185" s="13"/>
      <c r="D185" s="13"/>
    </row>
    <row r="186" spans="1:4" ht="13" x14ac:dyDescent="0.15">
      <c r="A186" s="10"/>
      <c r="B186" s="13"/>
      <c r="C186" s="13"/>
      <c r="D186" s="13"/>
    </row>
    <row r="187" spans="1:4" ht="13" x14ac:dyDescent="0.15">
      <c r="A187" s="10"/>
      <c r="B187" s="13"/>
      <c r="C187" s="13"/>
      <c r="D187" s="13"/>
    </row>
    <row r="188" spans="1:4" ht="13" x14ac:dyDescent="0.15">
      <c r="A188" s="10"/>
      <c r="B188" s="13"/>
      <c r="C188" s="13"/>
      <c r="D188" s="13"/>
    </row>
    <row r="189" spans="1:4" ht="13" x14ac:dyDescent="0.15">
      <c r="A189" s="10"/>
      <c r="B189" s="13"/>
      <c r="C189" s="13"/>
      <c r="D189" s="13"/>
    </row>
    <row r="190" spans="1:4" ht="13" x14ac:dyDescent="0.15">
      <c r="A190" s="10"/>
      <c r="B190" s="13"/>
      <c r="C190" s="13"/>
      <c r="D190" s="13"/>
    </row>
    <row r="191" spans="1:4" ht="13" x14ac:dyDescent="0.15">
      <c r="A191" s="10"/>
      <c r="B191" s="13"/>
      <c r="C191" s="13"/>
      <c r="D191" s="13"/>
    </row>
    <row r="192" spans="1:4" ht="13" x14ac:dyDescent="0.15">
      <c r="A192" s="10"/>
      <c r="B192" s="13"/>
      <c r="C192" s="13"/>
      <c r="D192" s="13"/>
    </row>
    <row r="193" spans="1:4" ht="13" x14ac:dyDescent="0.15">
      <c r="A193" s="10"/>
      <c r="B193" s="13"/>
      <c r="C193" s="13"/>
      <c r="D193" s="13"/>
    </row>
    <row r="194" spans="1:4" ht="13" x14ac:dyDescent="0.15">
      <c r="A194" s="10"/>
      <c r="B194" s="13"/>
      <c r="C194" s="13"/>
      <c r="D194" s="13"/>
    </row>
    <row r="195" spans="1:4" ht="13" x14ac:dyDescent="0.15">
      <c r="A195" s="10"/>
      <c r="B195" s="13"/>
      <c r="C195" s="13"/>
      <c r="D195" s="13"/>
    </row>
    <row r="196" spans="1:4" ht="13" x14ac:dyDescent="0.15">
      <c r="A196" s="10"/>
      <c r="B196" s="13"/>
      <c r="C196" s="13"/>
      <c r="D196" s="13"/>
    </row>
    <row r="197" spans="1:4" ht="13" x14ac:dyDescent="0.15">
      <c r="A197" s="10"/>
      <c r="B197" s="13"/>
      <c r="C197" s="13"/>
      <c r="D197" s="13"/>
    </row>
    <row r="198" spans="1:4" ht="13" x14ac:dyDescent="0.15">
      <c r="A198" s="10"/>
      <c r="B198" s="13"/>
      <c r="C198" s="13"/>
      <c r="D198" s="13"/>
    </row>
    <row r="199" spans="1:4" ht="13" x14ac:dyDescent="0.15">
      <c r="A199" s="10"/>
      <c r="B199" s="13"/>
      <c r="C199" s="13"/>
      <c r="D199" s="13"/>
    </row>
    <row r="200" spans="1:4" ht="13" x14ac:dyDescent="0.15">
      <c r="A200" s="10"/>
      <c r="B200" s="13"/>
      <c r="C200" s="13"/>
      <c r="D200" s="13"/>
    </row>
    <row r="201" spans="1:4" ht="13" x14ac:dyDescent="0.15">
      <c r="A201" s="10"/>
      <c r="B201" s="13"/>
      <c r="C201" s="13"/>
      <c r="D201" s="13"/>
    </row>
    <row r="202" spans="1:4" ht="13" x14ac:dyDescent="0.15">
      <c r="A202" s="10"/>
      <c r="B202" s="13"/>
      <c r="C202" s="13"/>
      <c r="D202" s="13"/>
    </row>
    <row r="203" spans="1:4" ht="13" x14ac:dyDescent="0.15">
      <c r="A203" s="10"/>
      <c r="B203" s="13"/>
      <c r="C203" s="13"/>
      <c r="D203" s="13"/>
    </row>
    <row r="204" spans="1:4" ht="13" x14ac:dyDescent="0.15">
      <c r="A204" s="10"/>
      <c r="B204" s="13"/>
      <c r="C204" s="13"/>
      <c r="D204" s="13"/>
    </row>
    <row r="205" spans="1:4" ht="13" x14ac:dyDescent="0.15">
      <c r="A205" s="10"/>
      <c r="B205" s="13"/>
      <c r="C205" s="13"/>
      <c r="D205" s="13"/>
    </row>
    <row r="206" spans="1:4" ht="13" x14ac:dyDescent="0.15">
      <c r="A206" s="10"/>
      <c r="B206" s="13"/>
      <c r="C206" s="13"/>
      <c r="D206" s="13"/>
    </row>
    <row r="207" spans="1:4" ht="13" x14ac:dyDescent="0.15">
      <c r="A207" s="10"/>
      <c r="B207" s="13"/>
      <c r="C207" s="13"/>
      <c r="D207" s="13"/>
    </row>
    <row r="208" spans="1:4" ht="13" x14ac:dyDescent="0.15">
      <c r="A208" s="10"/>
      <c r="B208" s="13"/>
      <c r="C208" s="13"/>
      <c r="D208" s="13"/>
    </row>
    <row r="209" spans="1:4" ht="13" x14ac:dyDescent="0.15">
      <c r="A209" s="10"/>
      <c r="B209" s="13"/>
      <c r="C209" s="13"/>
      <c r="D209" s="13"/>
    </row>
    <row r="210" spans="1:4" ht="13" x14ac:dyDescent="0.15">
      <c r="A210" s="10"/>
      <c r="B210" s="13"/>
      <c r="C210" s="13"/>
      <c r="D210" s="13"/>
    </row>
    <row r="211" spans="1:4" ht="13" x14ac:dyDescent="0.15">
      <c r="A211" s="10"/>
      <c r="B211" s="13"/>
      <c r="C211" s="13"/>
      <c r="D211" s="13"/>
    </row>
    <row r="212" spans="1:4" ht="13" x14ac:dyDescent="0.15">
      <c r="A212" s="10"/>
      <c r="B212" s="13"/>
      <c r="C212" s="13"/>
      <c r="D212" s="13"/>
    </row>
    <row r="213" spans="1:4" ht="13" x14ac:dyDescent="0.15">
      <c r="A213" s="10"/>
      <c r="B213" s="13"/>
      <c r="C213" s="13"/>
      <c r="D213" s="13"/>
    </row>
    <row r="214" spans="1:4" ht="13" x14ac:dyDescent="0.15">
      <c r="A214" s="10"/>
      <c r="B214" s="13"/>
      <c r="C214" s="13"/>
      <c r="D214" s="13"/>
    </row>
    <row r="215" spans="1:4" ht="13" x14ac:dyDescent="0.15">
      <c r="A215" s="10"/>
      <c r="B215" s="13"/>
      <c r="C215" s="13"/>
      <c r="D215" s="13"/>
    </row>
    <row r="216" spans="1:4" ht="13" x14ac:dyDescent="0.15">
      <c r="A216" s="10"/>
      <c r="B216" s="13"/>
      <c r="C216" s="13"/>
      <c r="D216" s="13"/>
    </row>
    <row r="217" spans="1:4" ht="13" x14ac:dyDescent="0.15">
      <c r="A217" s="10"/>
      <c r="B217" s="13"/>
      <c r="C217" s="13"/>
      <c r="D217" s="13"/>
    </row>
    <row r="218" spans="1:4" ht="13" x14ac:dyDescent="0.15">
      <c r="A218" s="10"/>
      <c r="B218" s="13"/>
      <c r="C218" s="13"/>
      <c r="D218" s="13"/>
    </row>
    <row r="219" spans="1:4" ht="13" x14ac:dyDescent="0.15">
      <c r="A219" s="10"/>
      <c r="B219" s="13"/>
      <c r="C219" s="13"/>
      <c r="D219" s="13"/>
    </row>
    <row r="220" spans="1:4" ht="13" x14ac:dyDescent="0.15">
      <c r="A220" s="10"/>
      <c r="B220" s="13"/>
      <c r="C220" s="13"/>
      <c r="D220" s="13"/>
    </row>
    <row r="221" spans="1:4" ht="13" x14ac:dyDescent="0.15">
      <c r="A221" s="10"/>
      <c r="B221" s="13"/>
      <c r="C221" s="13"/>
      <c r="D221" s="13"/>
    </row>
    <row r="222" spans="1:4" ht="13" x14ac:dyDescent="0.15">
      <c r="A222" s="10"/>
      <c r="B222" s="13"/>
      <c r="C222" s="13"/>
      <c r="D222" s="13"/>
    </row>
    <row r="223" spans="1:4" ht="13" x14ac:dyDescent="0.15">
      <c r="A223" s="10"/>
      <c r="B223" s="13"/>
      <c r="C223" s="13"/>
      <c r="D223" s="13"/>
    </row>
    <row r="224" spans="1:4" ht="13" x14ac:dyDescent="0.15">
      <c r="A224" s="10"/>
      <c r="B224" s="13"/>
      <c r="C224" s="13"/>
      <c r="D224" s="13"/>
    </row>
    <row r="225" spans="1:4" ht="13" x14ac:dyDescent="0.15">
      <c r="A225" s="10"/>
      <c r="B225" s="13"/>
      <c r="C225" s="13"/>
      <c r="D225" s="13"/>
    </row>
    <row r="226" spans="1:4" ht="13" x14ac:dyDescent="0.15">
      <c r="A226" s="10"/>
      <c r="B226" s="13"/>
      <c r="C226" s="13"/>
      <c r="D226" s="13"/>
    </row>
    <row r="227" spans="1:4" ht="13" x14ac:dyDescent="0.15">
      <c r="A227" s="10"/>
      <c r="B227" s="13"/>
      <c r="C227" s="13"/>
      <c r="D227" s="13"/>
    </row>
    <row r="228" spans="1:4" ht="13" x14ac:dyDescent="0.15">
      <c r="A228" s="10"/>
      <c r="B228" s="13"/>
      <c r="C228" s="13"/>
      <c r="D228" s="13"/>
    </row>
    <row r="229" spans="1:4" ht="13" x14ac:dyDescent="0.15">
      <c r="A229" s="10"/>
      <c r="B229" s="13"/>
      <c r="C229" s="13"/>
      <c r="D229" s="13"/>
    </row>
    <row r="230" spans="1:4" ht="13" x14ac:dyDescent="0.15">
      <c r="A230" s="10"/>
      <c r="B230" s="13"/>
      <c r="C230" s="13"/>
      <c r="D230" s="13"/>
    </row>
    <row r="231" spans="1:4" ht="13" x14ac:dyDescent="0.15">
      <c r="A231" s="10"/>
      <c r="B231" s="13"/>
      <c r="C231" s="13"/>
      <c r="D231" s="13"/>
    </row>
    <row r="232" spans="1:4" ht="13" x14ac:dyDescent="0.15">
      <c r="A232" s="10"/>
      <c r="B232" s="13"/>
      <c r="C232" s="13"/>
      <c r="D232" s="13"/>
    </row>
    <row r="233" spans="1:4" ht="13" x14ac:dyDescent="0.15">
      <c r="A233" s="10"/>
      <c r="B233" s="13"/>
      <c r="C233" s="13"/>
      <c r="D233" s="13"/>
    </row>
    <row r="234" spans="1:4" ht="13" x14ac:dyDescent="0.15">
      <c r="A234" s="10"/>
      <c r="B234" s="13"/>
      <c r="C234" s="13"/>
      <c r="D234" s="13"/>
    </row>
    <row r="235" spans="1:4" ht="13" x14ac:dyDescent="0.15">
      <c r="A235" s="10"/>
      <c r="B235" s="13"/>
      <c r="C235" s="13"/>
      <c r="D235" s="13"/>
    </row>
    <row r="236" spans="1:4" ht="13" x14ac:dyDescent="0.15">
      <c r="A236" s="10"/>
      <c r="B236" s="13"/>
      <c r="C236" s="13"/>
      <c r="D236" s="13"/>
    </row>
    <row r="237" spans="1:4" ht="13" x14ac:dyDescent="0.15">
      <c r="A237" s="10"/>
      <c r="B237" s="13"/>
      <c r="C237" s="13"/>
      <c r="D237" s="13"/>
    </row>
    <row r="238" spans="1:4" ht="13" x14ac:dyDescent="0.15">
      <c r="A238" s="10"/>
      <c r="B238" s="13"/>
      <c r="C238" s="13"/>
      <c r="D238" s="13"/>
    </row>
    <row r="239" spans="1:4" ht="13" x14ac:dyDescent="0.15">
      <c r="A239" s="10"/>
      <c r="B239" s="13"/>
      <c r="C239" s="13"/>
      <c r="D239" s="13"/>
    </row>
    <row r="240" spans="1:4" ht="13" x14ac:dyDescent="0.15">
      <c r="A240" s="10"/>
      <c r="B240" s="13"/>
      <c r="C240" s="13"/>
      <c r="D240" s="13"/>
    </row>
    <row r="241" spans="1:4" ht="13" x14ac:dyDescent="0.15">
      <c r="A241" s="10"/>
      <c r="B241" s="13"/>
      <c r="C241" s="13"/>
      <c r="D241" s="13"/>
    </row>
    <row r="242" spans="1:4" ht="13" x14ac:dyDescent="0.15">
      <c r="A242" s="10"/>
      <c r="B242" s="13"/>
      <c r="C242" s="13"/>
      <c r="D242" s="13"/>
    </row>
    <row r="243" spans="1:4" ht="13" x14ac:dyDescent="0.15">
      <c r="A243" s="10"/>
      <c r="B243" s="13"/>
      <c r="C243" s="13"/>
      <c r="D243" s="13"/>
    </row>
    <row r="244" spans="1:4" ht="13" x14ac:dyDescent="0.15">
      <c r="A244" s="10"/>
      <c r="B244" s="13"/>
      <c r="C244" s="13"/>
      <c r="D244" s="13"/>
    </row>
    <row r="245" spans="1:4" ht="13" x14ac:dyDescent="0.15">
      <c r="A245" s="10"/>
      <c r="B245" s="13"/>
      <c r="C245" s="13"/>
      <c r="D245" s="13"/>
    </row>
    <row r="246" spans="1:4" ht="13" x14ac:dyDescent="0.15">
      <c r="A246" s="10"/>
      <c r="B246" s="13"/>
      <c r="C246" s="13"/>
      <c r="D246" s="13"/>
    </row>
    <row r="247" spans="1:4" ht="13" x14ac:dyDescent="0.15">
      <c r="A247" s="10"/>
      <c r="B247" s="13"/>
      <c r="C247" s="13"/>
      <c r="D247" s="13"/>
    </row>
    <row r="248" spans="1:4" ht="13" x14ac:dyDescent="0.15">
      <c r="A248" s="10"/>
      <c r="B248" s="13"/>
      <c r="C248" s="13"/>
      <c r="D248" s="13"/>
    </row>
    <row r="249" spans="1:4" ht="13" x14ac:dyDescent="0.15">
      <c r="A249" s="10"/>
      <c r="B249" s="13"/>
      <c r="C249" s="13"/>
      <c r="D249" s="13"/>
    </row>
    <row r="250" spans="1:4" ht="13" x14ac:dyDescent="0.15">
      <c r="A250" s="10"/>
      <c r="B250" s="13"/>
      <c r="C250" s="13"/>
      <c r="D250" s="13"/>
    </row>
    <row r="251" spans="1:4" ht="13" x14ac:dyDescent="0.15">
      <c r="A251" s="10"/>
      <c r="B251" s="13"/>
      <c r="C251" s="13"/>
      <c r="D251" s="13"/>
    </row>
    <row r="252" spans="1:4" ht="13" x14ac:dyDescent="0.15">
      <c r="A252" s="10"/>
      <c r="B252" s="13"/>
      <c r="C252" s="13"/>
      <c r="D252" s="13"/>
    </row>
    <row r="253" spans="1:4" ht="13" x14ac:dyDescent="0.15">
      <c r="A253" s="10"/>
      <c r="B253" s="13"/>
      <c r="C253" s="13"/>
      <c r="D253" s="13"/>
    </row>
    <row r="254" spans="1:4" ht="13" x14ac:dyDescent="0.15">
      <c r="A254" s="10"/>
      <c r="B254" s="13"/>
      <c r="C254" s="13"/>
      <c r="D254" s="13"/>
    </row>
    <row r="255" spans="1:4" ht="13" x14ac:dyDescent="0.15">
      <c r="A255" s="10"/>
      <c r="B255" s="13"/>
      <c r="C255" s="13"/>
      <c r="D255" s="13"/>
    </row>
    <row r="256" spans="1:4" ht="13" x14ac:dyDescent="0.15">
      <c r="A256" s="10"/>
      <c r="B256" s="13"/>
      <c r="C256" s="13"/>
      <c r="D256" s="13"/>
    </row>
    <row r="257" spans="1:4" ht="13" x14ac:dyDescent="0.15">
      <c r="A257" s="10"/>
      <c r="B257" s="13"/>
      <c r="C257" s="13"/>
      <c r="D257" s="13"/>
    </row>
    <row r="258" spans="1:4" ht="13" x14ac:dyDescent="0.15">
      <c r="A258" s="10"/>
      <c r="B258" s="13"/>
      <c r="C258" s="13"/>
      <c r="D258" s="13"/>
    </row>
    <row r="259" spans="1:4" ht="13" x14ac:dyDescent="0.15">
      <c r="A259" s="10"/>
      <c r="B259" s="13"/>
      <c r="C259" s="13"/>
      <c r="D259" s="13"/>
    </row>
    <row r="260" spans="1:4" ht="13" x14ac:dyDescent="0.15">
      <c r="A260" s="10"/>
      <c r="B260" s="13"/>
      <c r="C260" s="13"/>
      <c r="D260" s="13"/>
    </row>
    <row r="261" spans="1:4" ht="13" x14ac:dyDescent="0.15">
      <c r="A261" s="10"/>
      <c r="B261" s="13"/>
      <c r="C261" s="13"/>
      <c r="D261" s="13"/>
    </row>
    <row r="262" spans="1:4" ht="13" x14ac:dyDescent="0.15">
      <c r="A262" s="10"/>
      <c r="B262" s="13"/>
      <c r="C262" s="13"/>
      <c r="D262" s="13"/>
    </row>
    <row r="263" spans="1:4" ht="13" x14ac:dyDescent="0.15">
      <c r="A263" s="10"/>
      <c r="B263" s="13"/>
      <c r="C263" s="13"/>
      <c r="D263" s="13"/>
    </row>
    <row r="264" spans="1:4" ht="13" x14ac:dyDescent="0.15">
      <c r="A264" s="10"/>
      <c r="B264" s="13"/>
      <c r="C264" s="13"/>
      <c r="D264" s="13"/>
    </row>
    <row r="265" spans="1:4" ht="13" x14ac:dyDescent="0.15">
      <c r="A265" s="10"/>
      <c r="B265" s="13"/>
      <c r="C265" s="13"/>
      <c r="D265" s="13"/>
    </row>
    <row r="266" spans="1:4" ht="13" x14ac:dyDescent="0.15">
      <c r="A266" s="10"/>
      <c r="B266" s="13"/>
      <c r="C266" s="13"/>
      <c r="D266" s="13"/>
    </row>
    <row r="267" spans="1:4" ht="13" x14ac:dyDescent="0.15">
      <c r="A267" s="10"/>
      <c r="B267" s="13"/>
      <c r="C267" s="13"/>
      <c r="D267" s="13"/>
    </row>
    <row r="268" spans="1:4" ht="13" x14ac:dyDescent="0.15">
      <c r="A268" s="10"/>
      <c r="B268" s="13"/>
      <c r="C268" s="13"/>
      <c r="D268" s="13"/>
    </row>
    <row r="269" spans="1:4" ht="13" x14ac:dyDescent="0.15">
      <c r="A269" s="10"/>
      <c r="B269" s="13"/>
      <c r="C269" s="13"/>
      <c r="D269" s="13"/>
    </row>
    <row r="270" spans="1:4" ht="13" x14ac:dyDescent="0.15">
      <c r="A270" s="10"/>
      <c r="B270" s="13"/>
      <c r="C270" s="13"/>
      <c r="D270" s="13"/>
    </row>
    <row r="271" spans="1:4" ht="13" x14ac:dyDescent="0.15">
      <c r="A271" s="10"/>
      <c r="B271" s="13"/>
      <c r="C271" s="13"/>
      <c r="D271" s="13"/>
    </row>
    <row r="272" spans="1:4" ht="13" x14ac:dyDescent="0.15">
      <c r="A272" s="10"/>
      <c r="B272" s="13"/>
      <c r="C272" s="13"/>
      <c r="D272" s="13"/>
    </row>
    <row r="273" spans="1:4" ht="13" x14ac:dyDescent="0.15">
      <c r="A273" s="10"/>
      <c r="B273" s="13"/>
      <c r="C273" s="13"/>
      <c r="D273" s="13"/>
    </row>
    <row r="274" spans="1:4" ht="13" x14ac:dyDescent="0.15">
      <c r="A274" s="10"/>
      <c r="B274" s="13"/>
      <c r="C274" s="13"/>
      <c r="D274" s="13"/>
    </row>
    <row r="275" spans="1:4" ht="13" x14ac:dyDescent="0.15">
      <c r="A275" s="10"/>
      <c r="B275" s="13"/>
      <c r="C275" s="13"/>
      <c r="D275" s="13"/>
    </row>
    <row r="276" spans="1:4" ht="13" x14ac:dyDescent="0.15">
      <c r="A276" s="10"/>
      <c r="B276" s="13"/>
      <c r="C276" s="13"/>
      <c r="D276" s="13"/>
    </row>
    <row r="277" spans="1:4" ht="13" x14ac:dyDescent="0.15">
      <c r="A277" s="10"/>
      <c r="B277" s="13"/>
      <c r="C277" s="13"/>
      <c r="D277" s="13"/>
    </row>
    <row r="278" spans="1:4" ht="13" x14ac:dyDescent="0.15">
      <c r="A278" s="10"/>
      <c r="B278" s="13"/>
      <c r="C278" s="13"/>
      <c r="D278" s="13"/>
    </row>
    <row r="279" spans="1:4" ht="13" x14ac:dyDescent="0.15">
      <c r="A279" s="10"/>
      <c r="B279" s="13"/>
      <c r="C279" s="13"/>
      <c r="D279" s="13"/>
    </row>
    <row r="280" spans="1:4" ht="13" x14ac:dyDescent="0.15">
      <c r="A280" s="10"/>
      <c r="B280" s="13"/>
      <c r="C280" s="13"/>
      <c r="D280" s="13"/>
    </row>
    <row r="281" spans="1:4" ht="13" x14ac:dyDescent="0.15">
      <c r="A281" s="10"/>
      <c r="B281" s="13"/>
      <c r="C281" s="13"/>
      <c r="D281" s="13"/>
    </row>
    <row r="282" spans="1:4" ht="13" x14ac:dyDescent="0.15">
      <c r="A282" s="10"/>
      <c r="B282" s="13"/>
      <c r="C282" s="13"/>
      <c r="D282" s="13"/>
    </row>
    <row r="283" spans="1:4" ht="13" x14ac:dyDescent="0.15">
      <c r="A283" s="10"/>
      <c r="B283" s="13"/>
      <c r="C283" s="13"/>
      <c r="D283" s="13"/>
    </row>
    <row r="284" spans="1:4" ht="13" x14ac:dyDescent="0.15">
      <c r="A284" s="10"/>
      <c r="B284" s="13"/>
      <c r="C284" s="13"/>
      <c r="D284" s="13"/>
    </row>
    <row r="285" spans="1:4" ht="13" x14ac:dyDescent="0.15">
      <c r="A285" s="10"/>
      <c r="B285" s="13"/>
      <c r="C285" s="13"/>
      <c r="D285" s="13"/>
    </row>
    <row r="286" spans="1:4" ht="13" x14ac:dyDescent="0.15">
      <c r="A286" s="10"/>
      <c r="B286" s="13"/>
      <c r="C286" s="13"/>
      <c r="D286" s="13"/>
    </row>
    <row r="287" spans="1:4" ht="13" x14ac:dyDescent="0.15">
      <c r="A287" s="10"/>
      <c r="B287" s="13"/>
      <c r="C287" s="13"/>
      <c r="D287" s="13"/>
    </row>
    <row r="288" spans="1:4" ht="13" x14ac:dyDescent="0.15">
      <c r="A288" s="10"/>
      <c r="B288" s="13"/>
      <c r="C288" s="13"/>
      <c r="D288" s="13"/>
    </row>
    <row r="289" spans="1:4" ht="13" x14ac:dyDescent="0.15">
      <c r="A289" s="10"/>
      <c r="B289" s="13"/>
      <c r="C289" s="13"/>
      <c r="D289" s="13"/>
    </row>
    <row r="290" spans="1:4" ht="13" x14ac:dyDescent="0.15">
      <c r="A290" s="10"/>
      <c r="B290" s="13"/>
      <c r="C290" s="13"/>
      <c r="D290" s="13"/>
    </row>
    <row r="291" spans="1:4" ht="13" x14ac:dyDescent="0.15">
      <c r="A291" s="10"/>
      <c r="B291" s="13"/>
      <c r="C291" s="13"/>
      <c r="D291" s="13"/>
    </row>
    <row r="292" spans="1:4" ht="13" x14ac:dyDescent="0.15">
      <c r="A292" s="10"/>
      <c r="B292" s="13"/>
      <c r="C292" s="13"/>
      <c r="D292" s="13"/>
    </row>
    <row r="293" spans="1:4" ht="13" x14ac:dyDescent="0.15">
      <c r="A293" s="10"/>
      <c r="B293" s="13"/>
      <c r="C293" s="13"/>
      <c r="D293" s="13"/>
    </row>
    <row r="294" spans="1:4" ht="13" x14ac:dyDescent="0.15">
      <c r="A294" s="10"/>
      <c r="B294" s="13"/>
      <c r="C294" s="13"/>
      <c r="D294" s="13"/>
    </row>
    <row r="295" spans="1:4" ht="13" x14ac:dyDescent="0.15">
      <c r="A295" s="10"/>
      <c r="B295" s="13"/>
      <c r="C295" s="13"/>
      <c r="D295" s="13"/>
    </row>
    <row r="296" spans="1:4" ht="13" x14ac:dyDescent="0.15">
      <c r="A296" s="10"/>
      <c r="B296" s="13"/>
      <c r="C296" s="13"/>
      <c r="D296" s="13"/>
    </row>
    <row r="297" spans="1:4" ht="13" x14ac:dyDescent="0.15">
      <c r="A297" s="10"/>
      <c r="B297" s="13"/>
      <c r="C297" s="13"/>
      <c r="D297" s="13"/>
    </row>
    <row r="298" spans="1:4" ht="13" x14ac:dyDescent="0.15">
      <c r="A298" s="10"/>
      <c r="B298" s="13"/>
      <c r="C298" s="13"/>
      <c r="D298" s="13"/>
    </row>
    <row r="299" spans="1:4" ht="13" x14ac:dyDescent="0.15">
      <c r="A299" s="10"/>
      <c r="B299" s="13"/>
      <c r="C299" s="13"/>
      <c r="D299" s="13"/>
    </row>
    <row r="300" spans="1:4" ht="13" x14ac:dyDescent="0.15">
      <c r="A300" s="10"/>
      <c r="B300" s="13"/>
      <c r="C300" s="13"/>
      <c r="D300" s="13"/>
    </row>
    <row r="301" spans="1:4" ht="13" x14ac:dyDescent="0.15">
      <c r="A301" s="10"/>
      <c r="B301" s="13"/>
      <c r="C301" s="13"/>
      <c r="D301" s="13"/>
    </row>
    <row r="302" spans="1:4" ht="13" x14ac:dyDescent="0.15">
      <c r="A302" s="10"/>
      <c r="B302" s="13"/>
      <c r="C302" s="13"/>
      <c r="D302" s="13"/>
    </row>
    <row r="303" spans="1:4" ht="13" x14ac:dyDescent="0.15">
      <c r="A303" s="10"/>
      <c r="B303" s="13"/>
      <c r="C303" s="13"/>
      <c r="D303" s="13"/>
    </row>
    <row r="304" spans="1:4" ht="13" x14ac:dyDescent="0.15">
      <c r="A304" s="10"/>
      <c r="B304" s="13"/>
      <c r="C304" s="13"/>
      <c r="D304" s="13"/>
    </row>
    <row r="305" spans="1:4" ht="13" x14ac:dyDescent="0.15">
      <c r="A305" s="10"/>
      <c r="B305" s="13"/>
      <c r="C305" s="13"/>
      <c r="D305" s="13"/>
    </row>
    <row r="306" spans="1:4" ht="13" x14ac:dyDescent="0.15">
      <c r="A306" s="10"/>
      <c r="B306" s="13"/>
      <c r="C306" s="13"/>
      <c r="D306" s="13"/>
    </row>
    <row r="307" spans="1:4" ht="13" x14ac:dyDescent="0.15">
      <c r="A307" s="10"/>
      <c r="B307" s="13"/>
      <c r="C307" s="13"/>
      <c r="D307" s="13"/>
    </row>
    <row r="308" spans="1:4" ht="13" x14ac:dyDescent="0.15">
      <c r="A308" s="10"/>
      <c r="B308" s="13"/>
      <c r="C308" s="13"/>
      <c r="D308" s="13"/>
    </row>
    <row r="309" spans="1:4" ht="13" x14ac:dyDescent="0.15">
      <c r="A309" s="10"/>
      <c r="B309" s="13"/>
      <c r="C309" s="13"/>
      <c r="D309" s="13"/>
    </row>
    <row r="310" spans="1:4" ht="13" x14ac:dyDescent="0.15">
      <c r="A310" s="10"/>
      <c r="B310" s="13"/>
      <c r="C310" s="13"/>
      <c r="D310" s="13"/>
    </row>
    <row r="311" spans="1:4" ht="13" x14ac:dyDescent="0.15">
      <c r="A311" s="10"/>
      <c r="B311" s="13"/>
      <c r="C311" s="13"/>
      <c r="D311" s="13"/>
    </row>
    <row r="312" spans="1:4" ht="13" x14ac:dyDescent="0.15">
      <c r="A312" s="10"/>
      <c r="B312" s="13"/>
      <c r="C312" s="13"/>
      <c r="D312" s="13"/>
    </row>
    <row r="313" spans="1:4" ht="13" x14ac:dyDescent="0.15">
      <c r="A313" s="10"/>
      <c r="B313" s="13"/>
      <c r="C313" s="13"/>
      <c r="D313" s="13"/>
    </row>
    <row r="314" spans="1:4" ht="13" x14ac:dyDescent="0.15">
      <c r="A314" s="10"/>
      <c r="B314" s="13"/>
      <c r="C314" s="13"/>
      <c r="D314" s="13"/>
    </row>
    <row r="315" spans="1:4" ht="13" x14ac:dyDescent="0.15">
      <c r="A315" s="10"/>
      <c r="B315" s="13"/>
      <c r="C315" s="13"/>
      <c r="D315" s="13"/>
    </row>
    <row r="316" spans="1:4" ht="13" x14ac:dyDescent="0.15">
      <c r="A316" s="10"/>
      <c r="B316" s="13"/>
      <c r="C316" s="13"/>
      <c r="D316" s="13"/>
    </row>
    <row r="317" spans="1:4" ht="13" x14ac:dyDescent="0.15">
      <c r="A317" s="10"/>
      <c r="B317" s="13"/>
      <c r="C317" s="13"/>
      <c r="D317" s="13"/>
    </row>
    <row r="318" spans="1:4" ht="13" x14ac:dyDescent="0.15">
      <c r="A318" s="10"/>
      <c r="B318" s="13"/>
      <c r="C318" s="13"/>
      <c r="D318" s="13"/>
    </row>
    <row r="319" spans="1:4" ht="13" x14ac:dyDescent="0.15">
      <c r="A319" s="10"/>
      <c r="B319" s="13"/>
      <c r="C319" s="13"/>
      <c r="D319" s="13"/>
    </row>
    <row r="320" spans="1:4" ht="13" x14ac:dyDescent="0.15">
      <c r="A320" s="10"/>
      <c r="B320" s="13"/>
      <c r="C320" s="13"/>
      <c r="D320" s="13"/>
    </row>
    <row r="321" spans="1:4" ht="13" x14ac:dyDescent="0.15">
      <c r="A321" s="10"/>
      <c r="B321" s="13"/>
      <c r="C321" s="13"/>
      <c r="D321" s="13"/>
    </row>
    <row r="322" spans="1:4" ht="13" x14ac:dyDescent="0.15">
      <c r="A322" s="10"/>
      <c r="B322" s="13"/>
      <c r="C322" s="13"/>
      <c r="D322" s="13"/>
    </row>
    <row r="323" spans="1:4" ht="13" x14ac:dyDescent="0.15">
      <c r="A323" s="10"/>
      <c r="B323" s="13"/>
      <c r="C323" s="13"/>
      <c r="D323" s="13"/>
    </row>
    <row r="324" spans="1:4" ht="13" x14ac:dyDescent="0.15">
      <c r="A324" s="10"/>
      <c r="B324" s="13"/>
      <c r="C324" s="13"/>
      <c r="D324" s="13"/>
    </row>
    <row r="325" spans="1:4" ht="13" x14ac:dyDescent="0.15">
      <c r="A325" s="10"/>
      <c r="B325" s="13"/>
      <c r="C325" s="13"/>
      <c r="D325" s="13"/>
    </row>
    <row r="326" spans="1:4" ht="13" x14ac:dyDescent="0.15">
      <c r="A326" s="10"/>
      <c r="B326" s="13"/>
      <c r="C326" s="13"/>
      <c r="D326" s="13"/>
    </row>
    <row r="327" spans="1:4" ht="13" x14ac:dyDescent="0.15">
      <c r="A327" s="10"/>
      <c r="B327" s="13"/>
      <c r="C327" s="13"/>
      <c r="D327" s="13"/>
    </row>
    <row r="328" spans="1:4" ht="13" x14ac:dyDescent="0.15">
      <c r="A328" s="10"/>
      <c r="B328" s="13"/>
      <c r="C328" s="13"/>
      <c r="D328" s="13"/>
    </row>
    <row r="329" spans="1:4" ht="13" x14ac:dyDescent="0.15">
      <c r="A329" s="10"/>
      <c r="B329" s="13"/>
      <c r="C329" s="13"/>
      <c r="D329" s="13"/>
    </row>
    <row r="330" spans="1:4" ht="13" x14ac:dyDescent="0.15">
      <c r="A330" s="10"/>
      <c r="B330" s="13"/>
      <c r="C330" s="13"/>
      <c r="D330" s="13"/>
    </row>
    <row r="331" spans="1:4" ht="13" x14ac:dyDescent="0.15">
      <c r="A331" s="10"/>
      <c r="B331" s="13"/>
      <c r="C331" s="13"/>
      <c r="D331" s="13"/>
    </row>
    <row r="332" spans="1:4" ht="13" x14ac:dyDescent="0.15">
      <c r="A332" s="10"/>
      <c r="B332" s="13"/>
      <c r="C332" s="13"/>
      <c r="D332" s="13"/>
    </row>
    <row r="333" spans="1:4" ht="13" x14ac:dyDescent="0.15">
      <c r="A333" s="10"/>
      <c r="B333" s="13"/>
      <c r="C333" s="13"/>
      <c r="D333" s="13"/>
    </row>
    <row r="334" spans="1:4" ht="13" x14ac:dyDescent="0.15">
      <c r="A334" s="10"/>
      <c r="B334" s="13"/>
      <c r="C334" s="13"/>
      <c r="D334" s="13"/>
    </row>
    <row r="335" spans="1:4" ht="13" x14ac:dyDescent="0.15">
      <c r="A335" s="10"/>
      <c r="B335" s="13"/>
      <c r="C335" s="13"/>
      <c r="D335" s="13"/>
    </row>
    <row r="336" spans="1:4" ht="13" x14ac:dyDescent="0.15">
      <c r="A336" s="10"/>
      <c r="B336" s="13"/>
      <c r="C336" s="13"/>
      <c r="D336" s="13"/>
    </row>
    <row r="337" spans="1:4" ht="13" x14ac:dyDescent="0.15">
      <c r="A337" s="10"/>
      <c r="B337" s="13"/>
      <c r="C337" s="13"/>
      <c r="D337" s="13"/>
    </row>
    <row r="338" spans="1:4" ht="13" x14ac:dyDescent="0.15">
      <c r="A338" s="10"/>
      <c r="B338" s="13"/>
      <c r="C338" s="13"/>
      <c r="D338" s="13"/>
    </row>
    <row r="339" spans="1:4" ht="13" x14ac:dyDescent="0.15">
      <c r="A339" s="10"/>
      <c r="B339" s="13"/>
      <c r="C339" s="13"/>
      <c r="D339" s="13"/>
    </row>
    <row r="340" spans="1:4" ht="13" x14ac:dyDescent="0.15">
      <c r="A340" s="10"/>
      <c r="B340" s="13"/>
      <c r="C340" s="13"/>
      <c r="D340" s="13"/>
    </row>
    <row r="341" spans="1:4" ht="13" x14ac:dyDescent="0.15">
      <c r="A341" s="10"/>
      <c r="B341" s="13"/>
      <c r="C341" s="13"/>
      <c r="D341" s="13"/>
    </row>
    <row r="342" spans="1:4" ht="13" x14ac:dyDescent="0.15">
      <c r="A342" s="10"/>
      <c r="B342" s="13"/>
      <c r="C342" s="13"/>
      <c r="D342" s="13"/>
    </row>
    <row r="343" spans="1:4" ht="13" x14ac:dyDescent="0.15">
      <c r="A343" s="10"/>
      <c r="B343" s="13"/>
      <c r="C343" s="13"/>
      <c r="D343" s="13"/>
    </row>
    <row r="344" spans="1:4" ht="13" x14ac:dyDescent="0.15">
      <c r="A344" s="10"/>
      <c r="B344" s="13"/>
      <c r="C344" s="13"/>
      <c r="D344" s="13"/>
    </row>
    <row r="345" spans="1:4" ht="13" x14ac:dyDescent="0.15">
      <c r="A345" s="10"/>
      <c r="B345" s="13"/>
      <c r="C345" s="13"/>
      <c r="D345" s="13"/>
    </row>
    <row r="346" spans="1:4" ht="13" x14ac:dyDescent="0.15">
      <c r="A346" s="10"/>
      <c r="B346" s="13"/>
      <c r="C346" s="13"/>
      <c r="D346" s="13"/>
    </row>
    <row r="347" spans="1:4" ht="13" x14ac:dyDescent="0.15">
      <c r="A347" s="10"/>
      <c r="B347" s="13"/>
      <c r="C347" s="13"/>
      <c r="D347" s="13"/>
    </row>
    <row r="348" spans="1:4" ht="13" x14ac:dyDescent="0.15">
      <c r="A348" s="10"/>
      <c r="B348" s="13"/>
      <c r="C348" s="13"/>
      <c r="D348" s="13"/>
    </row>
    <row r="349" spans="1:4" ht="13" x14ac:dyDescent="0.15">
      <c r="A349" s="10"/>
      <c r="B349" s="13"/>
      <c r="C349" s="13"/>
      <c r="D349" s="13"/>
    </row>
    <row r="350" spans="1:4" ht="13" x14ac:dyDescent="0.15">
      <c r="A350" s="10"/>
      <c r="B350" s="13"/>
      <c r="C350" s="13"/>
      <c r="D350" s="13"/>
    </row>
    <row r="351" spans="1:4" ht="13" x14ac:dyDescent="0.15">
      <c r="A351" s="10"/>
      <c r="B351" s="13"/>
      <c r="C351" s="13"/>
      <c r="D351" s="13"/>
    </row>
    <row r="352" spans="1:4" ht="13" x14ac:dyDescent="0.15">
      <c r="A352" s="10"/>
      <c r="B352" s="13"/>
      <c r="C352" s="13"/>
      <c r="D352" s="13"/>
    </row>
    <row r="353" spans="1:4" ht="13" x14ac:dyDescent="0.15">
      <c r="A353" s="10"/>
      <c r="B353" s="13"/>
      <c r="C353" s="13"/>
      <c r="D353" s="13"/>
    </row>
    <row r="354" spans="1:4" ht="13" x14ac:dyDescent="0.15">
      <c r="A354" s="10"/>
      <c r="B354" s="13"/>
      <c r="C354" s="13"/>
      <c r="D354" s="13"/>
    </row>
    <row r="355" spans="1:4" ht="13" x14ac:dyDescent="0.15">
      <c r="A355" s="10"/>
      <c r="B355" s="13"/>
      <c r="C355" s="13"/>
      <c r="D355" s="13"/>
    </row>
    <row r="356" spans="1:4" ht="13" x14ac:dyDescent="0.15">
      <c r="A356" s="10"/>
      <c r="B356" s="13"/>
      <c r="C356" s="13"/>
      <c r="D356" s="13"/>
    </row>
    <row r="357" spans="1:4" ht="13" x14ac:dyDescent="0.15">
      <c r="A357" s="10"/>
      <c r="B357" s="13"/>
      <c r="C357" s="13"/>
      <c r="D357" s="13"/>
    </row>
    <row r="358" spans="1:4" ht="13" x14ac:dyDescent="0.15">
      <c r="A358" s="10"/>
      <c r="B358" s="13"/>
      <c r="C358" s="13"/>
      <c r="D358" s="13"/>
    </row>
    <row r="359" spans="1:4" ht="13" x14ac:dyDescent="0.15">
      <c r="A359" s="10"/>
      <c r="B359" s="13"/>
      <c r="C359" s="13"/>
      <c r="D359" s="13"/>
    </row>
    <row r="360" spans="1:4" ht="13" x14ac:dyDescent="0.15">
      <c r="A360" s="10"/>
      <c r="B360" s="13"/>
      <c r="C360" s="13"/>
      <c r="D360" s="13"/>
    </row>
    <row r="361" spans="1:4" ht="13" x14ac:dyDescent="0.15">
      <c r="A361" s="10"/>
      <c r="B361" s="13"/>
      <c r="C361" s="13"/>
      <c r="D361" s="13"/>
    </row>
    <row r="362" spans="1:4" ht="13" x14ac:dyDescent="0.15">
      <c r="A362" s="10"/>
      <c r="B362" s="13"/>
      <c r="C362" s="13"/>
      <c r="D362" s="13"/>
    </row>
    <row r="363" spans="1:4" ht="13" x14ac:dyDescent="0.15">
      <c r="A363" s="10"/>
      <c r="B363" s="13"/>
      <c r="C363" s="13"/>
      <c r="D363" s="13"/>
    </row>
    <row r="364" spans="1:4" ht="13" x14ac:dyDescent="0.15">
      <c r="A364" s="10"/>
      <c r="B364" s="13"/>
      <c r="C364" s="13"/>
      <c r="D364" s="13"/>
    </row>
    <row r="365" spans="1:4" ht="13" x14ac:dyDescent="0.15">
      <c r="A365" s="10"/>
      <c r="B365" s="13"/>
      <c r="C365" s="13"/>
      <c r="D365" s="13"/>
    </row>
    <row r="366" spans="1:4" ht="13" x14ac:dyDescent="0.15">
      <c r="A366" s="10"/>
      <c r="B366" s="13"/>
      <c r="C366" s="13"/>
      <c r="D366" s="13"/>
    </row>
    <row r="367" spans="1:4" ht="13" x14ac:dyDescent="0.15">
      <c r="A367" s="10"/>
      <c r="B367" s="13"/>
      <c r="C367" s="13"/>
      <c r="D367" s="13"/>
    </row>
    <row r="368" spans="1:4" ht="13" x14ac:dyDescent="0.15">
      <c r="A368" s="10"/>
      <c r="B368" s="13"/>
      <c r="C368" s="13"/>
      <c r="D368" s="13"/>
    </row>
    <row r="369" spans="1:4" ht="13" x14ac:dyDescent="0.15">
      <c r="A369" s="10"/>
      <c r="B369" s="13"/>
      <c r="C369" s="13"/>
      <c r="D369" s="13"/>
    </row>
    <row r="370" spans="1:4" ht="13" x14ac:dyDescent="0.15">
      <c r="A370" s="10"/>
      <c r="B370" s="13"/>
      <c r="C370" s="13"/>
      <c r="D370" s="13"/>
    </row>
    <row r="371" spans="1:4" ht="13" x14ac:dyDescent="0.15">
      <c r="A371" s="10"/>
      <c r="B371" s="13"/>
      <c r="C371" s="13"/>
      <c r="D371" s="13"/>
    </row>
    <row r="372" spans="1:4" ht="13" x14ac:dyDescent="0.15">
      <c r="A372" s="10"/>
      <c r="B372" s="13"/>
      <c r="C372" s="13"/>
      <c r="D372" s="13"/>
    </row>
    <row r="373" spans="1:4" ht="13" x14ac:dyDescent="0.15">
      <c r="A373" s="10"/>
      <c r="B373" s="13"/>
      <c r="C373" s="13"/>
      <c r="D373" s="13"/>
    </row>
    <row r="374" spans="1:4" ht="13" x14ac:dyDescent="0.15">
      <c r="A374" s="10"/>
      <c r="B374" s="13"/>
      <c r="C374" s="13"/>
      <c r="D374" s="13"/>
    </row>
    <row r="375" spans="1:4" ht="13" x14ac:dyDescent="0.15">
      <c r="A375" s="10"/>
      <c r="B375" s="13"/>
      <c r="C375" s="13"/>
      <c r="D375" s="13"/>
    </row>
    <row r="376" spans="1:4" ht="13" x14ac:dyDescent="0.15">
      <c r="A376" s="10"/>
      <c r="B376" s="13"/>
      <c r="C376" s="13"/>
      <c r="D376" s="13"/>
    </row>
    <row r="377" spans="1:4" ht="13" x14ac:dyDescent="0.15">
      <c r="A377" s="10"/>
      <c r="B377" s="13"/>
      <c r="C377" s="13"/>
      <c r="D377" s="13"/>
    </row>
    <row r="378" spans="1:4" ht="13" x14ac:dyDescent="0.15">
      <c r="A378" s="10"/>
      <c r="B378" s="13"/>
      <c r="C378" s="13"/>
      <c r="D378" s="13"/>
    </row>
    <row r="379" spans="1:4" ht="13" x14ac:dyDescent="0.15">
      <c r="A379" s="10"/>
      <c r="B379" s="13"/>
      <c r="C379" s="13"/>
      <c r="D379" s="13"/>
    </row>
    <row r="380" spans="1:4" ht="13" x14ac:dyDescent="0.15">
      <c r="A380" s="10"/>
      <c r="B380" s="13"/>
      <c r="C380" s="13"/>
      <c r="D380" s="13"/>
    </row>
    <row r="381" spans="1:4" ht="13" x14ac:dyDescent="0.15">
      <c r="A381" s="10"/>
      <c r="B381" s="13"/>
      <c r="C381" s="13"/>
      <c r="D381" s="13"/>
    </row>
    <row r="382" spans="1:4" ht="13" x14ac:dyDescent="0.15">
      <c r="A382" s="10"/>
      <c r="B382" s="13"/>
      <c r="C382" s="13"/>
      <c r="D382" s="13"/>
    </row>
    <row r="383" spans="1:4" ht="13" x14ac:dyDescent="0.15">
      <c r="A383" s="10"/>
      <c r="B383" s="13"/>
      <c r="C383" s="13"/>
      <c r="D383" s="13"/>
    </row>
    <row r="384" spans="1:4" ht="13" x14ac:dyDescent="0.15">
      <c r="A384" s="10"/>
      <c r="B384" s="13"/>
      <c r="C384" s="13"/>
      <c r="D384" s="13"/>
    </row>
    <row r="385" spans="1:4" ht="13" x14ac:dyDescent="0.15">
      <c r="A385" s="10"/>
      <c r="B385" s="13"/>
      <c r="C385" s="13"/>
      <c r="D385" s="13"/>
    </row>
    <row r="386" spans="1:4" ht="13" x14ac:dyDescent="0.15">
      <c r="A386" s="10"/>
      <c r="B386" s="13"/>
      <c r="C386" s="13"/>
      <c r="D386" s="13"/>
    </row>
    <row r="387" spans="1:4" ht="13" x14ac:dyDescent="0.15">
      <c r="A387" s="10"/>
      <c r="B387" s="13"/>
      <c r="C387" s="13"/>
      <c r="D387" s="13"/>
    </row>
    <row r="388" spans="1:4" ht="13" x14ac:dyDescent="0.15">
      <c r="A388" s="10"/>
      <c r="B388" s="13"/>
      <c r="C388" s="13"/>
      <c r="D388" s="13"/>
    </row>
    <row r="389" spans="1:4" ht="13" x14ac:dyDescent="0.15">
      <c r="A389" s="10"/>
      <c r="B389" s="13"/>
      <c r="C389" s="13"/>
      <c r="D389" s="13"/>
    </row>
    <row r="390" spans="1:4" ht="13" x14ac:dyDescent="0.15">
      <c r="A390" s="10"/>
      <c r="B390" s="13"/>
      <c r="C390" s="13"/>
      <c r="D390" s="13"/>
    </row>
    <row r="391" spans="1:4" ht="13" x14ac:dyDescent="0.15">
      <c r="A391" s="10"/>
      <c r="B391" s="13"/>
      <c r="C391" s="13"/>
      <c r="D391" s="13"/>
    </row>
    <row r="392" spans="1:4" ht="13" x14ac:dyDescent="0.15">
      <c r="A392" s="10"/>
      <c r="B392" s="13"/>
      <c r="C392" s="13"/>
      <c r="D392" s="13"/>
    </row>
    <row r="393" spans="1:4" ht="13" x14ac:dyDescent="0.15">
      <c r="A393" s="10"/>
      <c r="B393" s="13"/>
      <c r="C393" s="13"/>
      <c r="D393" s="13"/>
    </row>
    <row r="394" spans="1:4" ht="13" x14ac:dyDescent="0.15">
      <c r="A394" s="10"/>
      <c r="B394" s="13"/>
      <c r="C394" s="13"/>
      <c r="D394" s="13"/>
    </row>
    <row r="395" spans="1:4" ht="13" x14ac:dyDescent="0.15">
      <c r="A395" s="10"/>
      <c r="B395" s="13"/>
      <c r="C395" s="13"/>
      <c r="D395" s="13"/>
    </row>
    <row r="396" spans="1:4" ht="13" x14ac:dyDescent="0.15">
      <c r="A396" s="10"/>
      <c r="B396" s="13"/>
      <c r="C396" s="13"/>
      <c r="D396" s="13"/>
    </row>
    <row r="397" spans="1:4" ht="13" x14ac:dyDescent="0.15">
      <c r="A397" s="10"/>
      <c r="B397" s="13"/>
      <c r="C397" s="13"/>
      <c r="D397" s="13"/>
    </row>
    <row r="398" spans="1:4" ht="13" x14ac:dyDescent="0.15">
      <c r="A398" s="10"/>
      <c r="B398" s="13"/>
      <c r="C398" s="13"/>
      <c r="D398" s="13"/>
    </row>
    <row r="399" spans="1:4" ht="13" x14ac:dyDescent="0.15">
      <c r="A399" s="10"/>
      <c r="B399" s="13"/>
      <c r="C399" s="13"/>
      <c r="D399" s="13"/>
    </row>
    <row r="400" spans="1:4" ht="13" x14ac:dyDescent="0.15">
      <c r="A400" s="10"/>
      <c r="B400" s="13"/>
      <c r="C400" s="13"/>
      <c r="D400" s="13"/>
    </row>
    <row r="401" spans="1:4" ht="13" x14ac:dyDescent="0.15">
      <c r="A401" s="10"/>
      <c r="B401" s="13"/>
      <c r="C401" s="13"/>
      <c r="D401" s="13"/>
    </row>
    <row r="402" spans="1:4" ht="13" x14ac:dyDescent="0.15">
      <c r="A402" s="10"/>
      <c r="B402" s="13"/>
      <c r="C402" s="13"/>
      <c r="D402" s="13"/>
    </row>
    <row r="403" spans="1:4" ht="13" x14ac:dyDescent="0.15">
      <c r="A403" s="10"/>
      <c r="B403" s="13"/>
      <c r="C403" s="13"/>
      <c r="D403" s="13"/>
    </row>
    <row r="404" spans="1:4" ht="13" x14ac:dyDescent="0.15">
      <c r="A404" s="10"/>
      <c r="B404" s="13"/>
      <c r="C404" s="13"/>
      <c r="D404" s="13"/>
    </row>
    <row r="405" spans="1:4" ht="13" x14ac:dyDescent="0.15">
      <c r="A405" s="10"/>
      <c r="B405" s="13"/>
      <c r="C405" s="13"/>
      <c r="D405" s="13"/>
    </row>
    <row r="406" spans="1:4" ht="13" x14ac:dyDescent="0.15">
      <c r="A406" s="10"/>
      <c r="B406" s="13"/>
      <c r="C406" s="13"/>
      <c r="D406" s="13"/>
    </row>
    <row r="407" spans="1:4" ht="13" x14ac:dyDescent="0.15">
      <c r="A407" s="10"/>
      <c r="B407" s="13"/>
      <c r="C407" s="13"/>
      <c r="D407" s="13"/>
    </row>
    <row r="408" spans="1:4" ht="13" x14ac:dyDescent="0.15">
      <c r="A408" s="10"/>
      <c r="B408" s="13"/>
      <c r="C408" s="13"/>
      <c r="D408" s="13"/>
    </row>
    <row r="409" spans="1:4" ht="13" x14ac:dyDescent="0.15">
      <c r="A409" s="10"/>
      <c r="B409" s="13"/>
      <c r="C409" s="13"/>
      <c r="D409" s="13"/>
    </row>
    <row r="410" spans="1:4" ht="13" x14ac:dyDescent="0.15">
      <c r="A410" s="10"/>
      <c r="B410" s="13"/>
      <c r="C410" s="13"/>
      <c r="D410" s="13"/>
    </row>
    <row r="411" spans="1:4" ht="13" x14ac:dyDescent="0.15">
      <c r="A411" s="10"/>
      <c r="B411" s="13"/>
      <c r="C411" s="13"/>
      <c r="D411" s="13"/>
    </row>
    <row r="412" spans="1:4" ht="13" x14ac:dyDescent="0.15">
      <c r="A412" s="10"/>
      <c r="B412" s="13"/>
      <c r="C412" s="13"/>
      <c r="D412" s="13"/>
    </row>
    <row r="413" spans="1:4" ht="13" x14ac:dyDescent="0.15">
      <c r="A413" s="10"/>
      <c r="B413" s="13"/>
      <c r="C413" s="13"/>
      <c r="D413" s="13"/>
    </row>
    <row r="414" spans="1:4" ht="13" x14ac:dyDescent="0.15">
      <c r="A414" s="10"/>
      <c r="B414" s="13"/>
      <c r="C414" s="13"/>
      <c r="D414" s="13"/>
    </row>
    <row r="415" spans="1:4" ht="13" x14ac:dyDescent="0.15">
      <c r="A415" s="10"/>
      <c r="B415" s="13"/>
      <c r="C415" s="13"/>
      <c r="D415" s="13"/>
    </row>
    <row r="416" spans="1:4" ht="13" x14ac:dyDescent="0.15">
      <c r="A416" s="10"/>
      <c r="B416" s="13"/>
      <c r="C416" s="13"/>
      <c r="D416" s="13"/>
    </row>
    <row r="417" spans="1:4" ht="13" x14ac:dyDescent="0.15">
      <c r="A417" s="10"/>
      <c r="B417" s="13"/>
      <c r="C417" s="13"/>
      <c r="D417" s="13"/>
    </row>
    <row r="418" spans="1:4" ht="13" x14ac:dyDescent="0.15">
      <c r="A418" s="10"/>
      <c r="B418" s="13"/>
      <c r="C418" s="13"/>
      <c r="D418" s="13"/>
    </row>
    <row r="419" spans="1:4" ht="13" x14ac:dyDescent="0.15">
      <c r="A419" s="10"/>
      <c r="B419" s="13"/>
      <c r="C419" s="13"/>
      <c r="D419" s="13"/>
    </row>
    <row r="420" spans="1:4" ht="13" x14ac:dyDescent="0.15">
      <c r="A420" s="10"/>
      <c r="B420" s="13"/>
      <c r="C420" s="13"/>
      <c r="D420" s="13"/>
    </row>
    <row r="421" spans="1:4" ht="13" x14ac:dyDescent="0.15">
      <c r="A421" s="10"/>
      <c r="B421" s="13"/>
      <c r="C421" s="13"/>
      <c r="D421" s="13"/>
    </row>
    <row r="422" spans="1:4" ht="13" x14ac:dyDescent="0.15">
      <c r="A422" s="10"/>
      <c r="B422" s="13"/>
      <c r="C422" s="13"/>
      <c r="D422" s="13"/>
    </row>
    <row r="423" spans="1:4" ht="13" x14ac:dyDescent="0.15">
      <c r="A423" s="10"/>
      <c r="B423" s="13"/>
      <c r="C423" s="13"/>
      <c r="D423" s="13"/>
    </row>
    <row r="424" spans="1:4" ht="13" x14ac:dyDescent="0.15">
      <c r="A424" s="10"/>
      <c r="B424" s="13"/>
      <c r="C424" s="13"/>
      <c r="D424" s="13"/>
    </row>
    <row r="425" spans="1:4" ht="13" x14ac:dyDescent="0.15">
      <c r="A425" s="10"/>
      <c r="B425" s="13"/>
      <c r="C425" s="13"/>
      <c r="D425" s="13"/>
    </row>
    <row r="426" spans="1:4" ht="13" x14ac:dyDescent="0.15">
      <c r="A426" s="10"/>
      <c r="B426" s="13"/>
      <c r="C426" s="13"/>
      <c r="D426" s="13"/>
    </row>
    <row r="427" spans="1:4" ht="13" x14ac:dyDescent="0.15">
      <c r="A427" s="10"/>
      <c r="B427" s="13"/>
      <c r="C427" s="13"/>
      <c r="D427" s="13"/>
    </row>
    <row r="428" spans="1:4" ht="13" x14ac:dyDescent="0.15">
      <c r="A428" s="10"/>
      <c r="B428" s="13"/>
      <c r="C428" s="13"/>
      <c r="D428" s="13"/>
    </row>
    <row r="429" spans="1:4" ht="13" x14ac:dyDescent="0.15">
      <c r="A429" s="10"/>
      <c r="B429" s="13"/>
      <c r="C429" s="13"/>
      <c r="D429" s="13"/>
    </row>
    <row r="430" spans="1:4" ht="13" x14ac:dyDescent="0.15">
      <c r="A430" s="10"/>
      <c r="B430" s="13"/>
      <c r="C430" s="13"/>
      <c r="D430" s="13"/>
    </row>
    <row r="431" spans="1:4" ht="13" x14ac:dyDescent="0.15">
      <c r="A431" s="10"/>
      <c r="B431" s="13"/>
      <c r="C431" s="13"/>
      <c r="D431" s="13"/>
    </row>
    <row r="432" spans="1:4" ht="13" x14ac:dyDescent="0.15">
      <c r="A432" s="10"/>
      <c r="B432" s="13"/>
      <c r="C432" s="13"/>
      <c r="D432" s="13"/>
    </row>
    <row r="433" spans="1:4" ht="13" x14ac:dyDescent="0.15">
      <c r="A433" s="10"/>
      <c r="B433" s="13"/>
      <c r="C433" s="13"/>
      <c r="D433" s="13"/>
    </row>
    <row r="434" spans="1:4" ht="13" x14ac:dyDescent="0.15">
      <c r="A434" s="10"/>
      <c r="B434" s="13"/>
      <c r="C434" s="13"/>
      <c r="D434" s="13"/>
    </row>
    <row r="435" spans="1:4" ht="13" x14ac:dyDescent="0.15">
      <c r="A435" s="10"/>
      <c r="B435" s="13"/>
      <c r="C435" s="13"/>
      <c r="D435" s="13"/>
    </row>
    <row r="436" spans="1:4" ht="13" x14ac:dyDescent="0.15">
      <c r="A436" s="10"/>
      <c r="B436" s="13"/>
      <c r="C436" s="13"/>
      <c r="D436" s="13"/>
    </row>
    <row r="437" spans="1:4" ht="13" x14ac:dyDescent="0.15">
      <c r="A437" s="10"/>
      <c r="B437" s="13"/>
      <c r="C437" s="13"/>
      <c r="D437" s="13"/>
    </row>
    <row r="438" spans="1:4" ht="13" x14ac:dyDescent="0.15">
      <c r="A438" s="10"/>
      <c r="B438" s="13"/>
      <c r="C438" s="13"/>
      <c r="D438" s="13"/>
    </row>
    <row r="439" spans="1:4" ht="13" x14ac:dyDescent="0.15">
      <c r="A439" s="10"/>
      <c r="B439" s="13"/>
      <c r="C439" s="13"/>
      <c r="D439" s="13"/>
    </row>
    <row r="440" spans="1:4" ht="13" x14ac:dyDescent="0.15">
      <c r="A440" s="10"/>
      <c r="B440" s="13"/>
      <c r="C440" s="13"/>
      <c r="D440" s="13"/>
    </row>
    <row r="441" spans="1:4" ht="13" x14ac:dyDescent="0.15">
      <c r="A441" s="10"/>
      <c r="B441" s="13"/>
      <c r="C441" s="13"/>
      <c r="D441" s="13"/>
    </row>
    <row r="442" spans="1:4" ht="13" x14ac:dyDescent="0.15">
      <c r="A442" s="10"/>
      <c r="B442" s="13"/>
      <c r="C442" s="13"/>
      <c r="D442" s="13"/>
    </row>
    <row r="443" spans="1:4" ht="13" x14ac:dyDescent="0.15">
      <c r="A443" s="10"/>
      <c r="B443" s="13"/>
      <c r="C443" s="13"/>
      <c r="D443" s="13"/>
    </row>
    <row r="444" spans="1:4" ht="13" x14ac:dyDescent="0.15">
      <c r="A444" s="10"/>
      <c r="B444" s="13"/>
      <c r="C444" s="13"/>
      <c r="D444" s="13"/>
    </row>
    <row r="445" spans="1:4" ht="13" x14ac:dyDescent="0.15">
      <c r="A445" s="10"/>
      <c r="B445" s="13"/>
      <c r="C445" s="13"/>
      <c r="D445" s="13"/>
    </row>
    <row r="446" spans="1:4" ht="13" x14ac:dyDescent="0.15">
      <c r="A446" s="10"/>
      <c r="B446" s="13"/>
      <c r="C446" s="13"/>
      <c r="D446" s="13"/>
    </row>
    <row r="447" spans="1:4" ht="13" x14ac:dyDescent="0.15">
      <c r="A447" s="10"/>
      <c r="B447" s="13"/>
      <c r="C447" s="13"/>
      <c r="D447" s="13"/>
    </row>
    <row r="448" spans="1:4" ht="13" x14ac:dyDescent="0.15">
      <c r="A448" s="10"/>
      <c r="B448" s="13"/>
      <c r="C448" s="13"/>
      <c r="D448" s="13"/>
    </row>
    <row r="449" spans="1:4" ht="13" x14ac:dyDescent="0.15">
      <c r="A449" s="10"/>
      <c r="B449" s="13"/>
      <c r="C449" s="13"/>
      <c r="D449" s="13"/>
    </row>
    <row r="450" spans="1:4" ht="13" x14ac:dyDescent="0.15">
      <c r="A450" s="10"/>
      <c r="B450" s="13"/>
      <c r="C450" s="13"/>
      <c r="D450" s="13"/>
    </row>
    <row r="451" spans="1:4" ht="13" x14ac:dyDescent="0.15">
      <c r="A451" s="10"/>
      <c r="B451" s="13"/>
      <c r="C451" s="13"/>
      <c r="D451" s="13"/>
    </row>
    <row r="452" spans="1:4" ht="13" x14ac:dyDescent="0.15">
      <c r="A452" s="10"/>
      <c r="B452" s="13"/>
      <c r="C452" s="13"/>
      <c r="D452" s="13"/>
    </row>
    <row r="453" spans="1:4" ht="13" x14ac:dyDescent="0.15">
      <c r="A453" s="10"/>
      <c r="B453" s="13"/>
      <c r="C453" s="13"/>
      <c r="D453" s="13"/>
    </row>
    <row r="454" spans="1:4" ht="13" x14ac:dyDescent="0.15">
      <c r="A454" s="10"/>
      <c r="B454" s="13"/>
      <c r="C454" s="13"/>
      <c r="D454" s="13"/>
    </row>
    <row r="455" spans="1:4" ht="13" x14ac:dyDescent="0.15">
      <c r="A455" s="10"/>
      <c r="B455" s="13"/>
      <c r="C455" s="13"/>
      <c r="D455" s="13"/>
    </row>
    <row r="456" spans="1:4" ht="13" x14ac:dyDescent="0.15">
      <c r="A456" s="10"/>
      <c r="B456" s="13"/>
      <c r="C456" s="13"/>
      <c r="D456" s="13"/>
    </row>
    <row r="457" spans="1:4" ht="13" x14ac:dyDescent="0.15">
      <c r="A457" s="10"/>
      <c r="B457" s="13"/>
      <c r="C457" s="13"/>
      <c r="D457" s="13"/>
    </row>
    <row r="458" spans="1:4" ht="13" x14ac:dyDescent="0.15">
      <c r="A458" s="10"/>
      <c r="B458" s="13"/>
      <c r="C458" s="13"/>
      <c r="D458" s="13"/>
    </row>
    <row r="459" spans="1:4" ht="13" x14ac:dyDescent="0.15">
      <c r="A459" s="10"/>
      <c r="B459" s="13"/>
      <c r="C459" s="13"/>
      <c r="D459" s="13"/>
    </row>
    <row r="460" spans="1:4" ht="13" x14ac:dyDescent="0.15">
      <c r="A460" s="10"/>
      <c r="B460" s="13"/>
      <c r="C460" s="13"/>
      <c r="D460" s="13"/>
    </row>
    <row r="461" spans="1:4" ht="13" x14ac:dyDescent="0.15">
      <c r="A461" s="10"/>
      <c r="B461" s="13"/>
      <c r="C461" s="13"/>
      <c r="D461" s="13"/>
    </row>
    <row r="462" spans="1:4" ht="13" x14ac:dyDescent="0.15">
      <c r="A462" s="10"/>
      <c r="B462" s="13"/>
      <c r="C462" s="13"/>
      <c r="D462" s="13"/>
    </row>
    <row r="463" spans="1:4" ht="13" x14ac:dyDescent="0.15">
      <c r="A463" s="10"/>
      <c r="B463" s="13"/>
      <c r="C463" s="13"/>
      <c r="D463" s="13"/>
    </row>
    <row r="464" spans="1:4" ht="13" x14ac:dyDescent="0.15">
      <c r="A464" s="10"/>
      <c r="B464" s="13"/>
      <c r="C464" s="13"/>
      <c r="D464" s="13"/>
    </row>
    <row r="465" spans="1:4" ht="13" x14ac:dyDescent="0.15">
      <c r="A465" s="10"/>
      <c r="B465" s="13"/>
      <c r="C465" s="13"/>
      <c r="D465" s="13"/>
    </row>
    <row r="466" spans="1:4" ht="13" x14ac:dyDescent="0.15">
      <c r="A466" s="10"/>
      <c r="B466" s="13"/>
      <c r="C466" s="13"/>
      <c r="D466" s="13"/>
    </row>
    <row r="467" spans="1:4" ht="13" x14ac:dyDescent="0.15">
      <c r="A467" s="10"/>
      <c r="B467" s="13"/>
      <c r="C467" s="13"/>
      <c r="D467" s="13"/>
    </row>
    <row r="468" spans="1:4" ht="13" x14ac:dyDescent="0.15">
      <c r="A468" s="10"/>
      <c r="B468" s="13"/>
      <c r="C468" s="13"/>
      <c r="D468" s="13"/>
    </row>
    <row r="469" spans="1:4" ht="13" x14ac:dyDescent="0.15">
      <c r="A469" s="10"/>
      <c r="B469" s="13"/>
      <c r="C469" s="13"/>
      <c r="D469" s="13"/>
    </row>
    <row r="470" spans="1:4" ht="13" x14ac:dyDescent="0.15">
      <c r="A470" s="10"/>
      <c r="B470" s="13"/>
      <c r="C470" s="13"/>
      <c r="D470" s="13"/>
    </row>
    <row r="471" spans="1:4" ht="13" x14ac:dyDescent="0.15">
      <c r="A471" s="10"/>
      <c r="B471" s="13"/>
      <c r="C471" s="13"/>
      <c r="D471" s="13"/>
    </row>
    <row r="472" spans="1:4" ht="13" x14ac:dyDescent="0.15">
      <c r="A472" s="10"/>
      <c r="B472" s="13"/>
      <c r="C472" s="13"/>
      <c r="D472" s="13"/>
    </row>
    <row r="473" spans="1:4" ht="13" x14ac:dyDescent="0.15">
      <c r="A473" s="10"/>
      <c r="B473" s="13"/>
      <c r="C473" s="13"/>
      <c r="D473" s="13"/>
    </row>
    <row r="474" spans="1:4" ht="13" x14ac:dyDescent="0.15">
      <c r="A474" s="10"/>
      <c r="B474" s="13"/>
      <c r="C474" s="13"/>
      <c r="D474" s="13"/>
    </row>
    <row r="475" spans="1:4" ht="13" x14ac:dyDescent="0.15">
      <c r="A475" s="10"/>
      <c r="B475" s="13"/>
      <c r="C475" s="13"/>
      <c r="D475" s="13"/>
    </row>
    <row r="476" spans="1:4" ht="13" x14ac:dyDescent="0.15">
      <c r="A476" s="10"/>
      <c r="B476" s="13"/>
      <c r="C476" s="13"/>
      <c r="D476" s="13"/>
    </row>
    <row r="477" spans="1:4" ht="13" x14ac:dyDescent="0.15">
      <c r="A477" s="10"/>
      <c r="B477" s="13"/>
      <c r="C477" s="13"/>
      <c r="D477" s="13"/>
    </row>
    <row r="478" spans="1:4" ht="13" x14ac:dyDescent="0.15">
      <c r="A478" s="10"/>
      <c r="B478" s="13"/>
      <c r="C478" s="13"/>
      <c r="D478" s="13"/>
    </row>
    <row r="479" spans="1:4" ht="13" x14ac:dyDescent="0.15">
      <c r="A479" s="10"/>
      <c r="B479" s="13"/>
      <c r="C479" s="13"/>
      <c r="D479" s="13"/>
    </row>
    <row r="480" spans="1:4" ht="13" x14ac:dyDescent="0.15">
      <c r="A480" s="10"/>
      <c r="B480" s="13"/>
      <c r="C480" s="13"/>
      <c r="D480" s="13"/>
    </row>
    <row r="481" spans="1:4" ht="13" x14ac:dyDescent="0.15">
      <c r="A481" s="10"/>
      <c r="B481" s="13"/>
      <c r="C481" s="13"/>
      <c r="D481" s="13"/>
    </row>
    <row r="482" spans="1:4" ht="13" x14ac:dyDescent="0.15">
      <c r="A482" s="10"/>
      <c r="B482" s="13"/>
      <c r="C482" s="13"/>
      <c r="D482" s="13"/>
    </row>
    <row r="483" spans="1:4" ht="13" x14ac:dyDescent="0.15">
      <c r="A483" s="10"/>
      <c r="B483" s="13"/>
      <c r="C483" s="13"/>
      <c r="D483" s="13"/>
    </row>
    <row r="484" spans="1:4" ht="13" x14ac:dyDescent="0.15">
      <c r="A484" s="10"/>
      <c r="B484" s="13"/>
      <c r="C484" s="13"/>
      <c r="D484" s="13"/>
    </row>
    <row r="485" spans="1:4" ht="13" x14ac:dyDescent="0.15">
      <c r="A485" s="10"/>
      <c r="B485" s="13"/>
      <c r="C485" s="13"/>
      <c r="D485" s="13"/>
    </row>
    <row r="486" spans="1:4" ht="13" x14ac:dyDescent="0.15">
      <c r="A486" s="10"/>
      <c r="B486" s="13"/>
      <c r="C486" s="13"/>
      <c r="D486" s="13"/>
    </row>
    <row r="487" spans="1:4" ht="13" x14ac:dyDescent="0.15">
      <c r="A487" s="10"/>
      <c r="B487" s="13"/>
      <c r="C487" s="13"/>
      <c r="D487" s="13"/>
    </row>
    <row r="488" spans="1:4" ht="13" x14ac:dyDescent="0.15">
      <c r="A488" s="10"/>
      <c r="B488" s="13"/>
      <c r="C488" s="13"/>
      <c r="D488" s="13"/>
    </row>
    <row r="489" spans="1:4" ht="13" x14ac:dyDescent="0.15">
      <c r="A489" s="10"/>
      <c r="B489" s="13"/>
      <c r="C489" s="13"/>
      <c r="D489" s="13"/>
    </row>
    <row r="490" spans="1:4" ht="13" x14ac:dyDescent="0.15">
      <c r="A490" s="10"/>
      <c r="B490" s="13"/>
      <c r="C490" s="13"/>
      <c r="D490" s="13"/>
    </row>
    <row r="491" spans="1:4" ht="13" x14ac:dyDescent="0.15">
      <c r="A491" s="10"/>
      <c r="B491" s="13"/>
      <c r="C491" s="13"/>
      <c r="D491" s="13"/>
    </row>
    <row r="492" spans="1:4" ht="13" x14ac:dyDescent="0.15">
      <c r="A492" s="10"/>
      <c r="B492" s="13"/>
      <c r="C492" s="13"/>
      <c r="D492" s="13"/>
    </row>
    <row r="493" spans="1:4" ht="13" x14ac:dyDescent="0.15">
      <c r="A493" s="10"/>
      <c r="B493" s="13"/>
      <c r="C493" s="13"/>
      <c r="D493" s="13"/>
    </row>
    <row r="494" spans="1:4" ht="13" x14ac:dyDescent="0.15">
      <c r="A494" s="10"/>
      <c r="B494" s="13"/>
      <c r="C494" s="13"/>
      <c r="D494" s="13"/>
    </row>
    <row r="495" spans="1:4" ht="13" x14ac:dyDescent="0.15">
      <c r="A495" s="10"/>
      <c r="B495" s="13"/>
      <c r="C495" s="13"/>
      <c r="D495" s="13"/>
    </row>
    <row r="496" spans="1:4" ht="13" x14ac:dyDescent="0.15">
      <c r="A496" s="10"/>
      <c r="B496" s="13"/>
      <c r="C496" s="13"/>
      <c r="D496" s="13"/>
    </row>
    <row r="497" spans="1:4" ht="13" x14ac:dyDescent="0.15">
      <c r="A497" s="10"/>
      <c r="B497" s="13"/>
      <c r="C497" s="13"/>
      <c r="D497" s="13"/>
    </row>
    <row r="498" spans="1:4" ht="13" x14ac:dyDescent="0.15">
      <c r="A498" s="10"/>
      <c r="B498" s="13"/>
      <c r="C498" s="13"/>
      <c r="D498" s="13"/>
    </row>
    <row r="499" spans="1:4" ht="13" x14ac:dyDescent="0.15">
      <c r="A499" s="10"/>
      <c r="B499" s="13"/>
      <c r="C499" s="13"/>
      <c r="D499" s="13"/>
    </row>
    <row r="500" spans="1:4" ht="13" x14ac:dyDescent="0.15">
      <c r="A500" s="10"/>
      <c r="B500" s="13"/>
      <c r="C500" s="13"/>
      <c r="D500" s="13"/>
    </row>
    <row r="501" spans="1:4" ht="13" x14ac:dyDescent="0.15">
      <c r="A501" s="10"/>
      <c r="B501" s="13"/>
      <c r="C501" s="13"/>
      <c r="D501" s="13"/>
    </row>
    <row r="502" spans="1:4" ht="13" x14ac:dyDescent="0.15">
      <c r="A502" s="10"/>
      <c r="B502" s="13"/>
      <c r="C502" s="13"/>
      <c r="D502" s="13"/>
    </row>
    <row r="503" spans="1:4" ht="13" x14ac:dyDescent="0.15">
      <c r="A503" s="10"/>
      <c r="B503" s="13"/>
      <c r="C503" s="13"/>
      <c r="D503" s="13"/>
    </row>
    <row r="504" spans="1:4" ht="13" x14ac:dyDescent="0.15">
      <c r="A504" s="10"/>
      <c r="B504" s="13"/>
      <c r="C504" s="13"/>
      <c r="D504" s="13"/>
    </row>
    <row r="505" spans="1:4" ht="13" x14ac:dyDescent="0.15">
      <c r="A505" s="10"/>
      <c r="B505" s="13"/>
      <c r="C505" s="13"/>
      <c r="D505" s="13"/>
    </row>
    <row r="506" spans="1:4" ht="13" x14ac:dyDescent="0.15">
      <c r="A506" s="10"/>
      <c r="B506" s="13"/>
      <c r="C506" s="13"/>
      <c r="D506" s="13"/>
    </row>
    <row r="507" spans="1:4" ht="13" x14ac:dyDescent="0.15">
      <c r="A507" s="10"/>
      <c r="B507" s="13"/>
      <c r="C507" s="13"/>
      <c r="D507" s="13"/>
    </row>
    <row r="508" spans="1:4" ht="13" x14ac:dyDescent="0.15">
      <c r="A508" s="10"/>
      <c r="B508" s="13"/>
      <c r="C508" s="13"/>
      <c r="D508" s="13"/>
    </row>
    <row r="509" spans="1:4" ht="13" x14ac:dyDescent="0.15">
      <c r="A509" s="10"/>
      <c r="B509" s="13"/>
      <c r="C509" s="13"/>
      <c r="D509" s="13"/>
    </row>
    <row r="510" spans="1:4" ht="13" x14ac:dyDescent="0.15">
      <c r="A510" s="10"/>
      <c r="B510" s="13"/>
      <c r="C510" s="13"/>
      <c r="D510" s="13"/>
    </row>
    <row r="511" spans="1:4" ht="13" x14ac:dyDescent="0.15">
      <c r="A511" s="10"/>
      <c r="B511" s="13"/>
      <c r="C511" s="13"/>
      <c r="D511" s="13"/>
    </row>
    <row r="512" spans="1:4" ht="13" x14ac:dyDescent="0.15">
      <c r="A512" s="10"/>
      <c r="B512" s="13"/>
      <c r="C512" s="13"/>
      <c r="D512" s="13"/>
    </row>
    <row r="513" spans="1:4" ht="13" x14ac:dyDescent="0.15">
      <c r="A513" s="10"/>
      <c r="B513" s="13"/>
      <c r="C513" s="13"/>
      <c r="D513" s="13"/>
    </row>
    <row r="514" spans="1:4" ht="13" x14ac:dyDescent="0.15">
      <c r="A514" s="10"/>
      <c r="B514" s="13"/>
      <c r="C514" s="13"/>
      <c r="D514" s="13"/>
    </row>
    <row r="515" spans="1:4" ht="13" x14ac:dyDescent="0.15">
      <c r="A515" s="10"/>
      <c r="B515" s="13"/>
      <c r="C515" s="13"/>
      <c r="D515" s="13"/>
    </row>
    <row r="516" spans="1:4" ht="13" x14ac:dyDescent="0.15">
      <c r="A516" s="10"/>
      <c r="B516" s="13"/>
      <c r="C516" s="13"/>
      <c r="D516" s="13"/>
    </row>
    <row r="517" spans="1:4" ht="13" x14ac:dyDescent="0.15">
      <c r="A517" s="10"/>
      <c r="B517" s="13"/>
      <c r="C517" s="13"/>
      <c r="D517" s="13"/>
    </row>
    <row r="518" spans="1:4" ht="13" x14ac:dyDescent="0.15">
      <c r="A518" s="10"/>
      <c r="B518" s="13"/>
      <c r="C518" s="13"/>
      <c r="D518" s="13"/>
    </row>
    <row r="519" spans="1:4" ht="13" x14ac:dyDescent="0.15">
      <c r="A519" s="10"/>
      <c r="B519" s="13"/>
      <c r="C519" s="13"/>
      <c r="D519" s="13"/>
    </row>
    <row r="520" spans="1:4" ht="13" x14ac:dyDescent="0.15">
      <c r="A520" s="10"/>
      <c r="B520" s="13"/>
      <c r="C520" s="13"/>
      <c r="D520" s="13"/>
    </row>
    <row r="521" spans="1:4" ht="13" x14ac:dyDescent="0.15">
      <c r="A521" s="10"/>
      <c r="B521" s="13"/>
      <c r="C521" s="13"/>
      <c r="D521" s="13"/>
    </row>
    <row r="522" spans="1:4" ht="13" x14ac:dyDescent="0.15">
      <c r="A522" s="10"/>
      <c r="B522" s="13"/>
      <c r="C522" s="13"/>
      <c r="D522" s="13"/>
    </row>
    <row r="523" spans="1:4" ht="13" x14ac:dyDescent="0.15">
      <c r="A523" s="10"/>
      <c r="B523" s="13"/>
      <c r="C523" s="13"/>
      <c r="D523" s="13"/>
    </row>
    <row r="524" spans="1:4" ht="13" x14ac:dyDescent="0.15">
      <c r="A524" s="10"/>
      <c r="B524" s="13"/>
      <c r="C524" s="13"/>
      <c r="D524" s="13"/>
    </row>
    <row r="525" spans="1:4" ht="13" x14ac:dyDescent="0.15">
      <c r="A525" s="10"/>
      <c r="B525" s="13"/>
      <c r="C525" s="13"/>
      <c r="D525" s="13"/>
    </row>
    <row r="526" spans="1:4" ht="13" x14ac:dyDescent="0.15">
      <c r="A526" s="10"/>
      <c r="B526" s="13"/>
      <c r="C526" s="13"/>
      <c r="D526" s="13"/>
    </row>
    <row r="527" spans="1:4" ht="13" x14ac:dyDescent="0.15">
      <c r="A527" s="10"/>
      <c r="B527" s="13"/>
      <c r="C527" s="13"/>
      <c r="D527" s="13"/>
    </row>
    <row r="528" spans="1:4" ht="13" x14ac:dyDescent="0.15">
      <c r="A528" s="10"/>
      <c r="B528" s="13"/>
      <c r="C528" s="13"/>
      <c r="D528" s="13"/>
    </row>
    <row r="529" spans="1:4" ht="13" x14ac:dyDescent="0.15">
      <c r="A529" s="10"/>
      <c r="B529" s="13"/>
      <c r="C529" s="13"/>
      <c r="D529" s="13"/>
    </row>
    <row r="530" spans="1:4" ht="13" x14ac:dyDescent="0.15">
      <c r="A530" s="10"/>
      <c r="B530" s="13"/>
      <c r="C530" s="13"/>
      <c r="D530" s="13"/>
    </row>
    <row r="531" spans="1:4" ht="13" x14ac:dyDescent="0.15">
      <c r="A531" s="10"/>
      <c r="B531" s="13"/>
      <c r="C531" s="13"/>
      <c r="D531" s="13"/>
    </row>
    <row r="532" spans="1:4" ht="13" x14ac:dyDescent="0.15">
      <c r="A532" s="10"/>
      <c r="B532" s="13"/>
      <c r="C532" s="13"/>
      <c r="D532" s="13"/>
    </row>
    <row r="533" spans="1:4" ht="13" x14ac:dyDescent="0.15">
      <c r="A533" s="10"/>
      <c r="B533" s="13"/>
      <c r="C533" s="13"/>
      <c r="D533" s="13"/>
    </row>
    <row r="534" spans="1:4" ht="13" x14ac:dyDescent="0.15">
      <c r="A534" s="10"/>
      <c r="B534" s="13"/>
      <c r="C534" s="13"/>
      <c r="D534" s="13"/>
    </row>
    <row r="535" spans="1:4" ht="13" x14ac:dyDescent="0.15">
      <c r="A535" s="10"/>
      <c r="B535" s="13"/>
      <c r="C535" s="13"/>
      <c r="D535" s="13"/>
    </row>
    <row r="536" spans="1:4" ht="13" x14ac:dyDescent="0.15">
      <c r="A536" s="10"/>
      <c r="B536" s="13"/>
      <c r="C536" s="13"/>
      <c r="D536" s="13"/>
    </row>
    <row r="537" spans="1:4" ht="13" x14ac:dyDescent="0.15">
      <c r="A537" s="10"/>
      <c r="B537" s="13"/>
      <c r="C537" s="13"/>
      <c r="D537" s="13"/>
    </row>
    <row r="538" spans="1:4" ht="13" x14ac:dyDescent="0.15">
      <c r="A538" s="10"/>
      <c r="B538" s="13"/>
      <c r="C538" s="13"/>
      <c r="D538" s="13"/>
    </row>
    <row r="539" spans="1:4" ht="13" x14ac:dyDescent="0.15">
      <c r="A539" s="10"/>
      <c r="B539" s="13"/>
      <c r="C539" s="13"/>
      <c r="D539" s="13"/>
    </row>
    <row r="540" spans="1:4" ht="13" x14ac:dyDescent="0.15">
      <c r="A540" s="10"/>
      <c r="B540" s="13"/>
      <c r="C540" s="13"/>
      <c r="D540" s="13"/>
    </row>
    <row r="541" spans="1:4" ht="13" x14ac:dyDescent="0.15">
      <c r="A541" s="10"/>
      <c r="B541" s="13"/>
      <c r="C541" s="13"/>
      <c r="D541" s="13"/>
    </row>
    <row r="542" spans="1:4" ht="13" x14ac:dyDescent="0.15">
      <c r="A542" s="10"/>
      <c r="B542" s="13"/>
      <c r="C542" s="13"/>
      <c r="D542" s="13"/>
    </row>
    <row r="543" spans="1:4" ht="13" x14ac:dyDescent="0.15">
      <c r="A543" s="10"/>
      <c r="B543" s="13"/>
      <c r="C543" s="13"/>
      <c r="D543" s="13"/>
    </row>
    <row r="544" spans="1:4" ht="13" x14ac:dyDescent="0.15">
      <c r="A544" s="10"/>
      <c r="B544" s="13"/>
      <c r="C544" s="13"/>
      <c r="D544" s="13"/>
    </row>
    <row r="545" spans="1:4" ht="13" x14ac:dyDescent="0.15">
      <c r="A545" s="10"/>
      <c r="B545" s="13"/>
      <c r="C545" s="13"/>
      <c r="D545" s="13"/>
    </row>
    <row r="546" spans="1:4" ht="13" x14ac:dyDescent="0.15">
      <c r="A546" s="10"/>
      <c r="B546" s="13"/>
      <c r="C546" s="13"/>
      <c r="D546" s="13"/>
    </row>
    <row r="547" spans="1:4" ht="13" x14ac:dyDescent="0.15">
      <c r="A547" s="10"/>
      <c r="B547" s="13"/>
      <c r="C547" s="13"/>
      <c r="D547" s="13"/>
    </row>
    <row r="548" spans="1:4" ht="13" x14ac:dyDescent="0.15">
      <c r="A548" s="10"/>
      <c r="B548" s="13"/>
      <c r="C548" s="13"/>
      <c r="D548" s="13"/>
    </row>
    <row r="549" spans="1:4" ht="13" x14ac:dyDescent="0.15">
      <c r="A549" s="10"/>
      <c r="B549" s="13"/>
      <c r="C549" s="13"/>
      <c r="D549" s="13"/>
    </row>
    <row r="550" spans="1:4" ht="13" x14ac:dyDescent="0.15">
      <c r="A550" s="10"/>
      <c r="B550" s="13"/>
      <c r="C550" s="13"/>
      <c r="D550" s="13"/>
    </row>
    <row r="551" spans="1:4" ht="13" x14ac:dyDescent="0.15">
      <c r="A551" s="10"/>
      <c r="B551" s="13"/>
      <c r="C551" s="13"/>
      <c r="D551" s="13"/>
    </row>
    <row r="552" spans="1:4" ht="13" x14ac:dyDescent="0.15">
      <c r="A552" s="10"/>
      <c r="B552" s="13"/>
      <c r="C552" s="13"/>
      <c r="D552" s="13"/>
    </row>
    <row r="553" spans="1:4" ht="13" x14ac:dyDescent="0.15">
      <c r="A553" s="10"/>
      <c r="B553" s="13"/>
      <c r="C553" s="13"/>
      <c r="D553" s="13"/>
    </row>
    <row r="554" spans="1:4" ht="13" x14ac:dyDescent="0.15">
      <c r="A554" s="10"/>
      <c r="B554" s="13"/>
      <c r="C554" s="13"/>
      <c r="D554" s="13"/>
    </row>
    <row r="555" spans="1:4" ht="13" x14ac:dyDescent="0.15">
      <c r="A555" s="10"/>
      <c r="B555" s="13"/>
      <c r="C555" s="13"/>
      <c r="D555" s="13"/>
    </row>
    <row r="556" spans="1:4" ht="13" x14ac:dyDescent="0.15">
      <c r="A556" s="10"/>
      <c r="B556" s="13"/>
      <c r="C556" s="13"/>
      <c r="D556" s="13"/>
    </row>
    <row r="557" spans="1:4" ht="13" x14ac:dyDescent="0.15">
      <c r="A557" s="10"/>
      <c r="B557" s="13"/>
      <c r="C557" s="13"/>
      <c r="D557" s="13"/>
    </row>
    <row r="558" spans="1:4" ht="13" x14ac:dyDescent="0.15">
      <c r="A558" s="10"/>
      <c r="B558" s="13"/>
      <c r="C558" s="13"/>
      <c r="D558" s="13"/>
    </row>
    <row r="559" spans="1:4" ht="13" x14ac:dyDescent="0.15">
      <c r="A559" s="10"/>
      <c r="B559" s="13"/>
      <c r="C559" s="13"/>
      <c r="D559" s="13"/>
    </row>
    <row r="560" spans="1:4" ht="13" x14ac:dyDescent="0.15">
      <c r="A560" s="10"/>
      <c r="B560" s="13"/>
      <c r="C560" s="13"/>
      <c r="D560" s="13"/>
    </row>
    <row r="561" spans="1:4" ht="13" x14ac:dyDescent="0.15">
      <c r="A561" s="10"/>
      <c r="B561" s="13"/>
      <c r="C561" s="13"/>
      <c r="D561" s="13"/>
    </row>
    <row r="562" spans="1:4" ht="13" x14ac:dyDescent="0.15">
      <c r="A562" s="10"/>
      <c r="B562" s="13"/>
      <c r="C562" s="13"/>
      <c r="D562" s="13"/>
    </row>
    <row r="563" spans="1:4" ht="13" x14ac:dyDescent="0.15">
      <c r="A563" s="10"/>
      <c r="B563" s="13"/>
      <c r="C563" s="13"/>
      <c r="D563" s="13"/>
    </row>
    <row r="564" spans="1:4" ht="13" x14ac:dyDescent="0.15">
      <c r="A564" s="10"/>
      <c r="B564" s="13"/>
      <c r="C564" s="13"/>
      <c r="D564" s="13"/>
    </row>
    <row r="565" spans="1:4" ht="13" x14ac:dyDescent="0.15">
      <c r="A565" s="10"/>
      <c r="B565" s="13"/>
      <c r="C565" s="13"/>
      <c r="D565" s="13"/>
    </row>
    <row r="566" spans="1:4" ht="13" x14ac:dyDescent="0.15">
      <c r="A566" s="10"/>
      <c r="B566" s="13"/>
      <c r="C566" s="13"/>
      <c r="D566" s="13"/>
    </row>
    <row r="567" spans="1:4" ht="13" x14ac:dyDescent="0.15">
      <c r="A567" s="10"/>
      <c r="B567" s="13"/>
      <c r="C567" s="13"/>
      <c r="D567" s="13"/>
    </row>
    <row r="568" spans="1:4" ht="13" x14ac:dyDescent="0.15">
      <c r="A568" s="10"/>
      <c r="B568" s="13"/>
      <c r="C568" s="13"/>
      <c r="D568" s="13"/>
    </row>
    <row r="569" spans="1:4" ht="13" x14ac:dyDescent="0.15">
      <c r="A569" s="10"/>
      <c r="B569" s="13"/>
      <c r="C569" s="13"/>
      <c r="D569" s="13"/>
    </row>
    <row r="570" spans="1:4" ht="13" x14ac:dyDescent="0.15">
      <c r="A570" s="10"/>
      <c r="B570" s="13"/>
      <c r="C570" s="13"/>
      <c r="D570" s="13"/>
    </row>
    <row r="571" spans="1:4" ht="13" x14ac:dyDescent="0.15">
      <c r="A571" s="10"/>
      <c r="B571" s="13"/>
      <c r="C571" s="13"/>
      <c r="D571" s="13"/>
    </row>
    <row r="572" spans="1:4" ht="13" x14ac:dyDescent="0.15">
      <c r="A572" s="10"/>
      <c r="B572" s="13"/>
      <c r="C572" s="13"/>
      <c r="D572" s="13"/>
    </row>
    <row r="573" spans="1:4" ht="13" x14ac:dyDescent="0.15">
      <c r="A573" s="10"/>
      <c r="B573" s="13"/>
      <c r="C573" s="13"/>
      <c r="D573" s="13"/>
    </row>
    <row r="574" spans="1:4" ht="13" x14ac:dyDescent="0.15">
      <c r="A574" s="10"/>
      <c r="B574" s="13"/>
      <c r="C574" s="13"/>
      <c r="D574" s="13"/>
    </row>
    <row r="575" spans="1:4" ht="13" x14ac:dyDescent="0.15">
      <c r="A575" s="10"/>
      <c r="B575" s="13"/>
      <c r="C575" s="13"/>
      <c r="D575" s="13"/>
    </row>
    <row r="576" spans="1:4" ht="13" x14ac:dyDescent="0.15">
      <c r="A576" s="10"/>
      <c r="B576" s="13"/>
      <c r="C576" s="13"/>
      <c r="D576" s="13"/>
    </row>
    <row r="577" spans="1:4" ht="13" x14ac:dyDescent="0.15">
      <c r="A577" s="10"/>
      <c r="B577" s="13"/>
      <c r="C577" s="13"/>
      <c r="D577" s="13"/>
    </row>
    <row r="578" spans="1:4" ht="13" x14ac:dyDescent="0.15">
      <c r="A578" s="10"/>
      <c r="B578" s="13"/>
      <c r="C578" s="13"/>
      <c r="D578" s="13"/>
    </row>
    <row r="579" spans="1:4" ht="13" x14ac:dyDescent="0.15">
      <c r="A579" s="10"/>
      <c r="B579" s="13"/>
      <c r="C579" s="13"/>
      <c r="D579" s="13"/>
    </row>
    <row r="580" spans="1:4" ht="13" x14ac:dyDescent="0.15">
      <c r="A580" s="10"/>
      <c r="B580" s="13"/>
      <c r="C580" s="13"/>
      <c r="D580" s="13"/>
    </row>
    <row r="581" spans="1:4" ht="13" x14ac:dyDescent="0.15">
      <c r="A581" s="10"/>
      <c r="B581" s="13"/>
      <c r="C581" s="13"/>
      <c r="D581" s="13"/>
    </row>
    <row r="582" spans="1:4" ht="13" x14ac:dyDescent="0.15">
      <c r="A582" s="10"/>
      <c r="B582" s="13"/>
      <c r="C582" s="13"/>
      <c r="D582" s="13"/>
    </row>
    <row r="583" spans="1:4" ht="13" x14ac:dyDescent="0.15">
      <c r="A583" s="10"/>
      <c r="B583" s="13"/>
      <c r="C583" s="13"/>
      <c r="D583" s="13"/>
    </row>
    <row r="584" spans="1:4" ht="13" x14ac:dyDescent="0.15">
      <c r="A584" s="10"/>
      <c r="B584" s="13"/>
      <c r="C584" s="13"/>
      <c r="D584" s="13"/>
    </row>
    <row r="585" spans="1:4" ht="13" x14ac:dyDescent="0.15">
      <c r="A585" s="10"/>
      <c r="B585" s="13"/>
      <c r="C585" s="13"/>
      <c r="D585" s="13"/>
    </row>
    <row r="586" spans="1:4" ht="13" x14ac:dyDescent="0.15">
      <c r="A586" s="10"/>
      <c r="B586" s="13"/>
      <c r="C586" s="13"/>
      <c r="D586" s="13"/>
    </row>
    <row r="587" spans="1:4" ht="13" x14ac:dyDescent="0.15">
      <c r="A587" s="10"/>
      <c r="B587" s="13"/>
      <c r="C587" s="13"/>
      <c r="D587" s="13"/>
    </row>
    <row r="588" spans="1:4" ht="13" x14ac:dyDescent="0.15">
      <c r="A588" s="10"/>
      <c r="B588" s="13"/>
      <c r="C588" s="13"/>
      <c r="D588" s="13"/>
    </row>
    <row r="589" spans="1:4" ht="13" x14ac:dyDescent="0.15">
      <c r="A589" s="10"/>
      <c r="B589" s="13"/>
      <c r="C589" s="13"/>
      <c r="D589" s="13"/>
    </row>
    <row r="590" spans="1:4" ht="13" x14ac:dyDescent="0.15">
      <c r="A590" s="10"/>
      <c r="B590" s="13"/>
      <c r="C590" s="13"/>
      <c r="D590" s="13"/>
    </row>
    <row r="591" spans="1:4" ht="13" x14ac:dyDescent="0.15">
      <c r="A591" s="10"/>
      <c r="B591" s="13"/>
      <c r="C591" s="13"/>
      <c r="D591" s="13"/>
    </row>
    <row r="592" spans="1:4" ht="13" x14ac:dyDescent="0.15">
      <c r="A592" s="10"/>
      <c r="B592" s="13"/>
      <c r="C592" s="13"/>
      <c r="D592" s="13"/>
    </row>
    <row r="593" spans="1:4" ht="13" x14ac:dyDescent="0.15">
      <c r="A593" s="10"/>
      <c r="B593" s="13"/>
      <c r="C593" s="13"/>
      <c r="D593" s="13"/>
    </row>
    <row r="594" spans="1:4" ht="13" x14ac:dyDescent="0.15">
      <c r="A594" s="10"/>
      <c r="B594" s="13"/>
      <c r="C594" s="13"/>
      <c r="D594" s="13"/>
    </row>
    <row r="595" spans="1:4" ht="13" x14ac:dyDescent="0.15">
      <c r="A595" s="10"/>
      <c r="B595" s="13"/>
      <c r="C595" s="13"/>
      <c r="D595" s="13"/>
    </row>
    <row r="596" spans="1:4" ht="13" x14ac:dyDescent="0.15">
      <c r="A596" s="10"/>
      <c r="B596" s="13"/>
      <c r="C596" s="13"/>
      <c r="D596" s="13"/>
    </row>
    <row r="597" spans="1:4" ht="13" x14ac:dyDescent="0.15">
      <c r="A597" s="10"/>
      <c r="B597" s="13"/>
      <c r="C597" s="13"/>
      <c r="D597" s="13"/>
    </row>
    <row r="598" spans="1:4" ht="13" x14ac:dyDescent="0.15">
      <c r="A598" s="10"/>
      <c r="B598" s="13"/>
      <c r="C598" s="13"/>
      <c r="D598" s="13"/>
    </row>
    <row r="599" spans="1:4" ht="13" x14ac:dyDescent="0.15">
      <c r="A599" s="10"/>
      <c r="B599" s="13"/>
      <c r="C599" s="13"/>
      <c r="D599" s="13"/>
    </row>
    <row r="600" spans="1:4" ht="13" x14ac:dyDescent="0.15">
      <c r="A600" s="10"/>
      <c r="B600" s="13"/>
      <c r="C600" s="13"/>
      <c r="D600" s="13"/>
    </row>
    <row r="601" spans="1:4" ht="13" x14ac:dyDescent="0.15">
      <c r="A601" s="10"/>
      <c r="B601" s="13"/>
      <c r="C601" s="13"/>
      <c r="D601" s="13"/>
    </row>
    <row r="602" spans="1:4" ht="13" x14ac:dyDescent="0.15">
      <c r="A602" s="10"/>
      <c r="B602" s="13"/>
      <c r="C602" s="13"/>
      <c r="D602" s="13"/>
    </row>
    <row r="603" spans="1:4" ht="13" x14ac:dyDescent="0.15">
      <c r="A603" s="10"/>
      <c r="B603" s="13"/>
      <c r="C603" s="13"/>
      <c r="D603" s="13"/>
    </row>
    <row r="604" spans="1:4" ht="13" x14ac:dyDescent="0.15">
      <c r="A604" s="10"/>
      <c r="B604" s="13"/>
      <c r="C604" s="13"/>
      <c r="D604" s="13"/>
    </row>
    <row r="605" spans="1:4" ht="13" x14ac:dyDescent="0.15">
      <c r="A605" s="10"/>
      <c r="B605" s="13"/>
      <c r="C605" s="13"/>
      <c r="D605" s="13"/>
    </row>
    <row r="606" spans="1:4" ht="13" x14ac:dyDescent="0.15">
      <c r="A606" s="10"/>
      <c r="B606" s="13"/>
      <c r="C606" s="13"/>
      <c r="D606" s="13"/>
    </row>
    <row r="607" spans="1:4" ht="13" x14ac:dyDescent="0.15">
      <c r="A607" s="10"/>
      <c r="B607" s="13"/>
      <c r="C607" s="13"/>
      <c r="D607" s="13"/>
    </row>
    <row r="608" spans="1:4" ht="13" x14ac:dyDescent="0.15">
      <c r="A608" s="10"/>
      <c r="B608" s="13"/>
      <c r="C608" s="13"/>
      <c r="D608" s="13"/>
    </row>
    <row r="609" spans="1:4" ht="13" x14ac:dyDescent="0.15">
      <c r="A609" s="10"/>
      <c r="B609" s="13"/>
      <c r="C609" s="13"/>
      <c r="D609" s="13"/>
    </row>
    <row r="610" spans="1:4" ht="13" x14ac:dyDescent="0.15">
      <c r="A610" s="10"/>
      <c r="B610" s="13"/>
      <c r="C610" s="13"/>
      <c r="D610" s="13"/>
    </row>
    <row r="611" spans="1:4" ht="13" x14ac:dyDescent="0.15">
      <c r="A611" s="10"/>
      <c r="B611" s="13"/>
      <c r="C611" s="13"/>
      <c r="D611" s="13"/>
    </row>
    <row r="612" spans="1:4" ht="13" x14ac:dyDescent="0.15">
      <c r="A612" s="10"/>
      <c r="B612" s="13"/>
      <c r="C612" s="13"/>
      <c r="D612" s="13"/>
    </row>
    <row r="613" spans="1:4" ht="13" x14ac:dyDescent="0.15">
      <c r="A613" s="10"/>
      <c r="B613" s="13"/>
      <c r="C613" s="13"/>
      <c r="D613" s="13"/>
    </row>
    <row r="614" spans="1:4" ht="13" x14ac:dyDescent="0.15">
      <c r="A614" s="10"/>
      <c r="B614" s="13"/>
      <c r="C614" s="13"/>
      <c r="D614" s="13"/>
    </row>
    <row r="615" spans="1:4" ht="13" x14ac:dyDescent="0.15">
      <c r="A615" s="10"/>
      <c r="B615" s="13"/>
      <c r="C615" s="13"/>
      <c r="D615" s="13"/>
    </row>
    <row r="616" spans="1:4" ht="13" x14ac:dyDescent="0.15">
      <c r="A616" s="10"/>
      <c r="B616" s="13"/>
      <c r="C616" s="13"/>
      <c r="D616" s="13"/>
    </row>
    <row r="617" spans="1:4" ht="13" x14ac:dyDescent="0.15">
      <c r="A617" s="10"/>
      <c r="B617" s="13"/>
      <c r="C617" s="13"/>
      <c r="D617" s="13"/>
    </row>
    <row r="618" spans="1:4" ht="13" x14ac:dyDescent="0.15">
      <c r="A618" s="10"/>
      <c r="B618" s="13"/>
      <c r="C618" s="13"/>
      <c r="D618" s="13"/>
    </row>
    <row r="619" spans="1:4" ht="13" x14ac:dyDescent="0.15">
      <c r="A619" s="10"/>
      <c r="B619" s="13"/>
      <c r="C619" s="13"/>
      <c r="D619" s="13"/>
    </row>
    <row r="620" spans="1:4" ht="13" x14ac:dyDescent="0.15">
      <c r="A620" s="10"/>
      <c r="B620" s="13"/>
      <c r="C620" s="13"/>
      <c r="D620" s="13"/>
    </row>
    <row r="621" spans="1:4" ht="13" x14ac:dyDescent="0.15">
      <c r="A621" s="10"/>
      <c r="B621" s="13"/>
      <c r="C621" s="13"/>
      <c r="D621" s="13"/>
    </row>
    <row r="622" spans="1:4" ht="13" x14ac:dyDescent="0.15">
      <c r="A622" s="10"/>
      <c r="B622" s="13"/>
      <c r="C622" s="13"/>
      <c r="D622" s="13"/>
    </row>
    <row r="623" spans="1:4" ht="13" x14ac:dyDescent="0.15">
      <c r="A623" s="10"/>
      <c r="B623" s="13"/>
      <c r="C623" s="13"/>
      <c r="D623" s="13"/>
    </row>
    <row r="624" spans="1:4" ht="13" x14ac:dyDescent="0.15">
      <c r="A624" s="10"/>
      <c r="B624" s="13"/>
      <c r="C624" s="13"/>
      <c r="D624" s="13"/>
    </row>
    <row r="625" spans="1:4" ht="13" x14ac:dyDescent="0.15">
      <c r="A625" s="10"/>
      <c r="B625" s="13"/>
      <c r="C625" s="13"/>
      <c r="D625" s="13"/>
    </row>
    <row r="626" spans="1:4" ht="13" x14ac:dyDescent="0.15">
      <c r="A626" s="10"/>
      <c r="B626" s="13"/>
      <c r="C626" s="13"/>
      <c r="D626" s="13"/>
    </row>
    <row r="627" spans="1:4" ht="13" x14ac:dyDescent="0.15">
      <c r="A627" s="10"/>
      <c r="B627" s="13"/>
      <c r="C627" s="13"/>
      <c r="D627" s="13"/>
    </row>
    <row r="628" spans="1:4" ht="13" x14ac:dyDescent="0.15">
      <c r="A628" s="10"/>
      <c r="B628" s="13"/>
      <c r="C628" s="13"/>
      <c r="D628" s="13"/>
    </row>
    <row r="629" spans="1:4" ht="13" x14ac:dyDescent="0.15">
      <c r="A629" s="10"/>
      <c r="B629" s="13"/>
      <c r="C629" s="13"/>
      <c r="D629" s="13"/>
    </row>
    <row r="630" spans="1:4" ht="13" x14ac:dyDescent="0.15">
      <c r="A630" s="10"/>
      <c r="B630" s="13"/>
      <c r="C630" s="13"/>
      <c r="D630" s="13"/>
    </row>
    <row r="631" spans="1:4" ht="13" x14ac:dyDescent="0.15">
      <c r="A631" s="10"/>
      <c r="B631" s="13"/>
      <c r="C631" s="13"/>
      <c r="D631" s="13"/>
    </row>
    <row r="632" spans="1:4" ht="13" x14ac:dyDescent="0.15">
      <c r="A632" s="10"/>
      <c r="B632" s="13"/>
      <c r="C632" s="13"/>
      <c r="D632" s="13"/>
    </row>
    <row r="633" spans="1:4" ht="13" x14ac:dyDescent="0.15">
      <c r="A633" s="10"/>
      <c r="B633" s="13"/>
      <c r="C633" s="13"/>
      <c r="D633" s="13"/>
    </row>
    <row r="634" spans="1:4" ht="13" x14ac:dyDescent="0.15">
      <c r="A634" s="10"/>
      <c r="B634" s="13"/>
      <c r="C634" s="13"/>
      <c r="D634" s="13"/>
    </row>
    <row r="635" spans="1:4" ht="13" x14ac:dyDescent="0.15">
      <c r="A635" s="10"/>
      <c r="B635" s="13"/>
      <c r="C635" s="13"/>
      <c r="D635" s="13"/>
    </row>
    <row r="636" spans="1:4" ht="13" x14ac:dyDescent="0.15">
      <c r="A636" s="10"/>
      <c r="B636" s="13"/>
      <c r="C636" s="13"/>
      <c r="D636" s="13"/>
    </row>
    <row r="637" spans="1:4" ht="13" x14ac:dyDescent="0.15">
      <c r="A637" s="10"/>
      <c r="B637" s="13"/>
      <c r="C637" s="13"/>
      <c r="D637" s="13"/>
    </row>
    <row r="638" spans="1:4" ht="13" x14ac:dyDescent="0.15">
      <c r="A638" s="10"/>
      <c r="B638" s="13"/>
      <c r="C638" s="13"/>
      <c r="D638" s="13"/>
    </row>
    <row r="639" spans="1:4" ht="13" x14ac:dyDescent="0.15">
      <c r="A639" s="10"/>
      <c r="B639" s="13"/>
      <c r="C639" s="13"/>
      <c r="D639" s="13"/>
    </row>
    <row r="640" spans="1:4" ht="13" x14ac:dyDescent="0.15">
      <c r="A640" s="10"/>
      <c r="B640" s="13"/>
      <c r="C640" s="13"/>
      <c r="D640" s="13"/>
    </row>
    <row r="641" spans="1:4" ht="13" x14ac:dyDescent="0.15">
      <c r="A641" s="10"/>
      <c r="B641" s="13"/>
      <c r="C641" s="13"/>
      <c r="D641" s="13"/>
    </row>
    <row r="642" spans="1:4" ht="13" x14ac:dyDescent="0.15">
      <c r="A642" s="10"/>
      <c r="B642" s="13"/>
      <c r="C642" s="13"/>
      <c r="D642" s="13"/>
    </row>
    <row r="643" spans="1:4" ht="13" x14ac:dyDescent="0.15">
      <c r="A643" s="10"/>
      <c r="B643" s="13"/>
      <c r="C643" s="13"/>
      <c r="D643" s="13"/>
    </row>
    <row r="644" spans="1:4" ht="13" x14ac:dyDescent="0.15">
      <c r="A644" s="10"/>
      <c r="B644" s="13"/>
      <c r="C644" s="13"/>
      <c r="D644" s="13"/>
    </row>
    <row r="645" spans="1:4" ht="13" x14ac:dyDescent="0.15">
      <c r="A645" s="10"/>
      <c r="B645" s="13"/>
      <c r="C645" s="13"/>
      <c r="D645" s="13"/>
    </row>
    <row r="646" spans="1:4" ht="13" x14ac:dyDescent="0.15">
      <c r="A646" s="10"/>
      <c r="B646" s="13"/>
      <c r="C646" s="13"/>
      <c r="D646" s="13"/>
    </row>
    <row r="647" spans="1:4" ht="13" x14ac:dyDescent="0.15">
      <c r="A647" s="10"/>
      <c r="B647" s="13"/>
      <c r="C647" s="13"/>
      <c r="D647" s="13"/>
    </row>
    <row r="648" spans="1:4" ht="13" x14ac:dyDescent="0.15">
      <c r="A648" s="10"/>
      <c r="B648" s="13"/>
      <c r="C648" s="13"/>
      <c r="D648" s="13"/>
    </row>
    <row r="649" spans="1:4" ht="13" x14ac:dyDescent="0.15">
      <c r="A649" s="10"/>
      <c r="B649" s="13"/>
      <c r="C649" s="13"/>
      <c r="D649" s="13"/>
    </row>
    <row r="650" spans="1:4" ht="13" x14ac:dyDescent="0.15">
      <c r="A650" s="10"/>
      <c r="B650" s="13"/>
      <c r="C650" s="13"/>
      <c r="D650" s="13"/>
    </row>
    <row r="651" spans="1:4" ht="13" x14ac:dyDescent="0.15">
      <c r="A651" s="10"/>
      <c r="B651" s="13"/>
      <c r="C651" s="13"/>
      <c r="D651" s="13"/>
    </row>
    <row r="652" spans="1:4" ht="13" x14ac:dyDescent="0.15">
      <c r="A652" s="10"/>
      <c r="B652" s="13"/>
      <c r="C652" s="13"/>
      <c r="D652" s="13"/>
    </row>
    <row r="653" spans="1:4" ht="13" x14ac:dyDescent="0.15">
      <c r="A653" s="10"/>
      <c r="B653" s="13"/>
      <c r="C653" s="13"/>
      <c r="D653" s="13"/>
    </row>
    <row r="654" spans="1:4" ht="13" x14ac:dyDescent="0.15">
      <c r="A654" s="10"/>
      <c r="B654" s="13"/>
      <c r="C654" s="13"/>
      <c r="D654" s="13"/>
    </row>
    <row r="655" spans="1:4" ht="13" x14ac:dyDescent="0.15">
      <c r="A655" s="10"/>
      <c r="B655" s="13"/>
      <c r="C655" s="13"/>
      <c r="D655" s="13"/>
    </row>
    <row r="656" spans="1:4" ht="13" x14ac:dyDescent="0.15">
      <c r="A656" s="10"/>
      <c r="B656" s="13"/>
      <c r="C656" s="13"/>
      <c r="D656" s="13"/>
    </row>
    <row r="657" spans="1:4" ht="13" x14ac:dyDescent="0.15">
      <c r="A657" s="10"/>
      <c r="B657" s="13"/>
      <c r="C657" s="13"/>
      <c r="D657" s="13"/>
    </row>
    <row r="658" spans="1:4" ht="13" x14ac:dyDescent="0.15">
      <c r="A658" s="10"/>
      <c r="B658" s="13"/>
      <c r="C658" s="13"/>
      <c r="D658" s="13"/>
    </row>
    <row r="659" spans="1:4" ht="13" x14ac:dyDescent="0.15">
      <c r="A659" s="10"/>
      <c r="B659" s="13"/>
      <c r="C659" s="13"/>
      <c r="D659" s="13"/>
    </row>
    <row r="660" spans="1:4" ht="13" x14ac:dyDescent="0.15">
      <c r="A660" s="10"/>
      <c r="B660" s="13"/>
      <c r="C660" s="13"/>
      <c r="D660" s="13"/>
    </row>
    <row r="661" spans="1:4" ht="13" x14ac:dyDescent="0.15">
      <c r="A661" s="10"/>
      <c r="B661" s="13"/>
      <c r="C661" s="13"/>
      <c r="D661" s="13"/>
    </row>
    <row r="662" spans="1:4" ht="13" x14ac:dyDescent="0.15">
      <c r="A662" s="10"/>
      <c r="B662" s="13"/>
      <c r="C662" s="13"/>
      <c r="D662" s="13"/>
    </row>
    <row r="663" spans="1:4" ht="13" x14ac:dyDescent="0.15">
      <c r="A663" s="10"/>
      <c r="B663" s="13"/>
      <c r="C663" s="13"/>
      <c r="D663" s="13"/>
    </row>
    <row r="664" spans="1:4" ht="13" x14ac:dyDescent="0.15">
      <c r="A664" s="10"/>
      <c r="B664" s="13"/>
      <c r="C664" s="13"/>
      <c r="D664" s="13"/>
    </row>
    <row r="665" spans="1:4" ht="13" x14ac:dyDescent="0.15">
      <c r="A665" s="10"/>
      <c r="B665" s="13"/>
      <c r="C665" s="13"/>
      <c r="D665" s="13"/>
    </row>
    <row r="666" spans="1:4" ht="13" x14ac:dyDescent="0.15">
      <c r="A666" s="10"/>
      <c r="B666" s="13"/>
      <c r="C666" s="13"/>
      <c r="D666" s="13"/>
    </row>
    <row r="667" spans="1:4" ht="13" x14ac:dyDescent="0.15">
      <c r="A667" s="10"/>
      <c r="B667" s="13"/>
      <c r="C667" s="13"/>
      <c r="D667" s="13"/>
    </row>
    <row r="668" spans="1:4" ht="13" x14ac:dyDescent="0.15">
      <c r="A668" s="10"/>
      <c r="B668" s="13"/>
      <c r="C668" s="13"/>
      <c r="D668" s="13"/>
    </row>
    <row r="669" spans="1:4" ht="13" x14ac:dyDescent="0.15">
      <c r="A669" s="10"/>
      <c r="B669" s="13"/>
      <c r="C669" s="13"/>
      <c r="D669" s="13"/>
    </row>
    <row r="670" spans="1:4" ht="13" x14ac:dyDescent="0.15">
      <c r="A670" s="10"/>
      <c r="B670" s="13"/>
      <c r="C670" s="13"/>
      <c r="D670" s="13"/>
    </row>
    <row r="671" spans="1:4" ht="13" x14ac:dyDescent="0.15">
      <c r="A671" s="10"/>
      <c r="B671" s="13"/>
      <c r="C671" s="13"/>
      <c r="D671" s="13"/>
    </row>
    <row r="672" spans="1:4" ht="13" x14ac:dyDescent="0.15">
      <c r="A672" s="10"/>
      <c r="B672" s="13"/>
      <c r="C672" s="13"/>
      <c r="D672" s="13"/>
    </row>
    <row r="673" spans="1:4" ht="13" x14ac:dyDescent="0.15">
      <c r="A673" s="10"/>
      <c r="B673" s="13"/>
      <c r="C673" s="13"/>
      <c r="D673" s="13"/>
    </row>
    <row r="674" spans="1:4" ht="13" x14ac:dyDescent="0.15">
      <c r="A674" s="10"/>
      <c r="B674" s="13"/>
      <c r="C674" s="13"/>
      <c r="D674" s="13"/>
    </row>
    <row r="675" spans="1:4" ht="13" x14ac:dyDescent="0.15">
      <c r="A675" s="10"/>
      <c r="B675" s="13"/>
      <c r="C675" s="13"/>
      <c r="D675" s="13"/>
    </row>
    <row r="676" spans="1:4" ht="13" x14ac:dyDescent="0.15">
      <c r="A676" s="10"/>
      <c r="B676" s="13"/>
      <c r="C676" s="13"/>
      <c r="D676" s="13"/>
    </row>
    <row r="677" spans="1:4" ht="13" x14ac:dyDescent="0.15">
      <c r="A677" s="10"/>
      <c r="B677" s="13"/>
      <c r="C677" s="13"/>
      <c r="D677" s="13"/>
    </row>
    <row r="678" spans="1:4" ht="13" x14ac:dyDescent="0.15">
      <c r="A678" s="10"/>
      <c r="B678" s="13"/>
      <c r="C678" s="13"/>
      <c r="D678" s="13"/>
    </row>
    <row r="679" spans="1:4" ht="13" x14ac:dyDescent="0.15">
      <c r="A679" s="10"/>
      <c r="B679" s="13"/>
      <c r="C679" s="13"/>
      <c r="D679" s="13"/>
    </row>
    <row r="680" spans="1:4" ht="13" x14ac:dyDescent="0.15">
      <c r="A680" s="10"/>
      <c r="B680" s="13"/>
      <c r="C680" s="13"/>
      <c r="D680" s="13"/>
    </row>
    <row r="681" spans="1:4" ht="13" x14ac:dyDescent="0.15">
      <c r="A681" s="10"/>
      <c r="B681" s="13"/>
      <c r="C681" s="13"/>
      <c r="D681" s="13"/>
    </row>
    <row r="682" spans="1:4" ht="13" x14ac:dyDescent="0.15">
      <c r="A682" s="10"/>
      <c r="B682" s="13"/>
      <c r="C682" s="13"/>
      <c r="D682" s="13"/>
    </row>
    <row r="683" spans="1:4" ht="13" x14ac:dyDescent="0.15">
      <c r="A683" s="10"/>
      <c r="B683" s="13"/>
      <c r="C683" s="13"/>
      <c r="D683" s="13"/>
    </row>
    <row r="684" spans="1:4" ht="13" x14ac:dyDescent="0.15">
      <c r="A684" s="10"/>
      <c r="B684" s="13"/>
      <c r="C684" s="13"/>
      <c r="D684" s="13"/>
    </row>
    <row r="685" spans="1:4" ht="13" x14ac:dyDescent="0.15">
      <c r="A685" s="10"/>
      <c r="B685" s="13"/>
      <c r="C685" s="13"/>
      <c r="D685" s="13"/>
    </row>
    <row r="686" spans="1:4" ht="13" x14ac:dyDescent="0.15">
      <c r="A686" s="10"/>
      <c r="B686" s="13"/>
      <c r="C686" s="13"/>
      <c r="D686" s="13"/>
    </row>
    <row r="687" spans="1:4" ht="13" x14ac:dyDescent="0.15">
      <c r="A687" s="10"/>
      <c r="B687" s="13"/>
      <c r="C687" s="13"/>
      <c r="D687" s="13"/>
    </row>
    <row r="688" spans="1:4" ht="13" x14ac:dyDescent="0.15">
      <c r="A688" s="10"/>
      <c r="B688" s="13"/>
      <c r="C688" s="13"/>
      <c r="D688" s="13"/>
    </row>
    <row r="689" spans="1:4" ht="13" x14ac:dyDescent="0.15">
      <c r="A689" s="10"/>
      <c r="B689" s="13"/>
      <c r="C689" s="13"/>
      <c r="D689" s="13"/>
    </row>
    <row r="690" spans="1:4" ht="13" x14ac:dyDescent="0.15">
      <c r="A690" s="10"/>
      <c r="B690" s="13"/>
      <c r="C690" s="13"/>
      <c r="D690" s="13"/>
    </row>
    <row r="691" spans="1:4" ht="13" x14ac:dyDescent="0.15">
      <c r="A691" s="10"/>
      <c r="B691" s="13"/>
      <c r="C691" s="13"/>
      <c r="D691" s="13"/>
    </row>
    <row r="692" spans="1:4" ht="13" x14ac:dyDescent="0.15">
      <c r="A692" s="10"/>
      <c r="B692" s="13"/>
      <c r="C692" s="13"/>
      <c r="D692" s="13"/>
    </row>
    <row r="693" spans="1:4" ht="13" x14ac:dyDescent="0.15">
      <c r="A693" s="10"/>
      <c r="B693" s="13"/>
      <c r="C693" s="13"/>
      <c r="D693" s="13"/>
    </row>
    <row r="694" spans="1:4" ht="13" x14ac:dyDescent="0.15">
      <c r="A694" s="10"/>
      <c r="B694" s="13"/>
      <c r="C694" s="13"/>
      <c r="D694" s="13"/>
    </row>
    <row r="695" spans="1:4" ht="13" x14ac:dyDescent="0.15">
      <c r="A695" s="10"/>
      <c r="B695" s="13"/>
      <c r="C695" s="13"/>
      <c r="D695" s="13"/>
    </row>
    <row r="696" spans="1:4" ht="13" x14ac:dyDescent="0.15">
      <c r="A696" s="10"/>
      <c r="B696" s="13"/>
      <c r="C696" s="13"/>
      <c r="D696" s="13"/>
    </row>
    <row r="697" spans="1:4" ht="13" x14ac:dyDescent="0.15">
      <c r="A697" s="10"/>
      <c r="B697" s="13"/>
      <c r="C697" s="13"/>
      <c r="D697" s="13"/>
    </row>
    <row r="698" spans="1:4" ht="13" x14ac:dyDescent="0.15">
      <c r="A698" s="10"/>
      <c r="B698" s="13"/>
      <c r="C698" s="13"/>
      <c r="D698" s="13"/>
    </row>
    <row r="699" spans="1:4" ht="13" x14ac:dyDescent="0.15">
      <c r="A699" s="10"/>
      <c r="B699" s="13"/>
      <c r="C699" s="13"/>
      <c r="D699" s="13"/>
    </row>
    <row r="700" spans="1:4" ht="13" x14ac:dyDescent="0.15">
      <c r="A700" s="10"/>
      <c r="B700" s="13"/>
      <c r="C700" s="13"/>
      <c r="D700" s="13"/>
    </row>
    <row r="701" spans="1:4" ht="13" x14ac:dyDescent="0.15">
      <c r="A701" s="10"/>
      <c r="B701" s="13"/>
      <c r="C701" s="13"/>
      <c r="D701" s="13"/>
    </row>
    <row r="702" spans="1:4" ht="13" x14ac:dyDescent="0.15">
      <c r="A702" s="10"/>
      <c r="B702" s="13"/>
      <c r="C702" s="13"/>
      <c r="D702" s="13"/>
    </row>
    <row r="703" spans="1:4" ht="13" x14ac:dyDescent="0.15">
      <c r="A703" s="10"/>
      <c r="B703" s="13"/>
      <c r="C703" s="13"/>
      <c r="D703" s="13"/>
    </row>
    <row r="704" spans="1:4" ht="13" x14ac:dyDescent="0.15">
      <c r="A704" s="10"/>
      <c r="B704" s="13"/>
      <c r="C704" s="13"/>
      <c r="D704" s="13"/>
    </row>
    <row r="705" spans="1:4" ht="13" x14ac:dyDescent="0.15">
      <c r="A705" s="10"/>
      <c r="B705" s="13"/>
      <c r="C705" s="13"/>
      <c r="D705" s="13"/>
    </row>
    <row r="706" spans="1:4" ht="13" x14ac:dyDescent="0.15">
      <c r="A706" s="10"/>
      <c r="B706" s="13"/>
      <c r="C706" s="13"/>
      <c r="D706" s="13"/>
    </row>
    <row r="707" spans="1:4" ht="13" x14ac:dyDescent="0.15">
      <c r="A707" s="10"/>
      <c r="B707" s="13"/>
      <c r="C707" s="13"/>
      <c r="D707" s="13"/>
    </row>
    <row r="708" spans="1:4" ht="13" x14ac:dyDescent="0.15">
      <c r="A708" s="10"/>
      <c r="B708" s="13"/>
      <c r="C708" s="13"/>
      <c r="D708" s="13"/>
    </row>
    <row r="709" spans="1:4" ht="13" x14ac:dyDescent="0.15">
      <c r="A709" s="10"/>
      <c r="B709" s="13"/>
      <c r="C709" s="13"/>
      <c r="D709" s="13"/>
    </row>
    <row r="710" spans="1:4" ht="13" x14ac:dyDescent="0.15">
      <c r="A710" s="10"/>
      <c r="B710" s="13"/>
      <c r="C710" s="13"/>
      <c r="D710" s="13"/>
    </row>
    <row r="711" spans="1:4" ht="13" x14ac:dyDescent="0.15">
      <c r="A711" s="10"/>
      <c r="B711" s="13"/>
      <c r="C711" s="13"/>
      <c r="D711" s="13"/>
    </row>
    <row r="712" spans="1:4" ht="13" x14ac:dyDescent="0.15">
      <c r="A712" s="10"/>
      <c r="B712" s="13"/>
      <c r="C712" s="13"/>
      <c r="D712" s="13"/>
    </row>
    <row r="713" spans="1:4" ht="13" x14ac:dyDescent="0.15">
      <c r="A713" s="10"/>
      <c r="B713" s="13"/>
      <c r="C713" s="13"/>
      <c r="D713" s="13"/>
    </row>
    <row r="714" spans="1:4" ht="13" x14ac:dyDescent="0.15">
      <c r="A714" s="10"/>
      <c r="B714" s="13"/>
      <c r="C714" s="13"/>
      <c r="D714" s="13"/>
    </row>
    <row r="715" spans="1:4" ht="13" x14ac:dyDescent="0.15">
      <c r="A715" s="10"/>
      <c r="B715" s="13"/>
      <c r="C715" s="13"/>
      <c r="D715" s="13"/>
    </row>
    <row r="716" spans="1:4" ht="13" x14ac:dyDescent="0.15">
      <c r="A716" s="10"/>
      <c r="B716" s="13"/>
      <c r="C716" s="13"/>
      <c r="D716" s="13"/>
    </row>
    <row r="717" spans="1:4" ht="13" x14ac:dyDescent="0.15">
      <c r="A717" s="10"/>
      <c r="B717" s="13"/>
      <c r="C717" s="13"/>
      <c r="D717" s="13"/>
    </row>
    <row r="718" spans="1:4" ht="13" x14ac:dyDescent="0.15">
      <c r="A718" s="10"/>
      <c r="B718" s="13"/>
      <c r="C718" s="13"/>
      <c r="D718" s="13"/>
    </row>
    <row r="719" spans="1:4" ht="13" x14ac:dyDescent="0.15">
      <c r="A719" s="10"/>
      <c r="B719" s="13"/>
      <c r="C719" s="13"/>
      <c r="D719" s="13"/>
    </row>
    <row r="720" spans="1:4" ht="13" x14ac:dyDescent="0.15">
      <c r="A720" s="10"/>
      <c r="B720" s="13"/>
      <c r="C720" s="13"/>
      <c r="D720" s="13"/>
    </row>
    <row r="721" spans="1:4" ht="13" x14ac:dyDescent="0.15">
      <c r="A721" s="10"/>
      <c r="B721" s="13"/>
      <c r="C721" s="13"/>
      <c r="D721" s="13"/>
    </row>
    <row r="722" spans="1:4" ht="13" x14ac:dyDescent="0.15">
      <c r="A722" s="10"/>
      <c r="B722" s="13"/>
      <c r="C722" s="13"/>
      <c r="D722" s="13"/>
    </row>
    <row r="723" spans="1:4" ht="13" x14ac:dyDescent="0.15">
      <c r="A723" s="10"/>
      <c r="B723" s="13"/>
      <c r="C723" s="13"/>
      <c r="D723" s="13"/>
    </row>
    <row r="724" spans="1:4" ht="13" x14ac:dyDescent="0.15">
      <c r="A724" s="10"/>
      <c r="B724" s="13"/>
      <c r="C724" s="13"/>
      <c r="D724" s="13"/>
    </row>
    <row r="725" spans="1:4" ht="13" x14ac:dyDescent="0.15">
      <c r="A725" s="10"/>
      <c r="B725" s="13"/>
      <c r="C725" s="13"/>
      <c r="D725" s="13"/>
    </row>
    <row r="726" spans="1:4" ht="13" x14ac:dyDescent="0.15">
      <c r="A726" s="10"/>
      <c r="B726" s="13"/>
      <c r="C726" s="13"/>
      <c r="D726" s="13"/>
    </row>
    <row r="727" spans="1:4" ht="13" x14ac:dyDescent="0.15">
      <c r="A727" s="10"/>
      <c r="B727" s="13"/>
      <c r="C727" s="13"/>
      <c r="D727" s="13"/>
    </row>
    <row r="728" spans="1:4" ht="13" x14ac:dyDescent="0.15">
      <c r="A728" s="10"/>
      <c r="B728" s="13"/>
      <c r="C728" s="13"/>
      <c r="D728" s="13"/>
    </row>
    <row r="729" spans="1:4" ht="13" x14ac:dyDescent="0.15">
      <c r="A729" s="10"/>
      <c r="B729" s="13"/>
      <c r="C729" s="13"/>
      <c r="D729" s="13"/>
    </row>
    <row r="730" spans="1:4" ht="13" x14ac:dyDescent="0.15">
      <c r="A730" s="10"/>
      <c r="B730" s="13"/>
      <c r="C730" s="13"/>
      <c r="D730" s="13"/>
    </row>
    <row r="731" spans="1:4" ht="13" x14ac:dyDescent="0.15">
      <c r="A731" s="10"/>
      <c r="B731" s="13"/>
      <c r="C731" s="13"/>
      <c r="D731" s="13"/>
    </row>
    <row r="732" spans="1:4" ht="13" x14ac:dyDescent="0.15">
      <c r="A732" s="10"/>
      <c r="B732" s="13"/>
      <c r="C732" s="13"/>
      <c r="D732" s="13"/>
    </row>
    <row r="733" spans="1:4" ht="13" x14ac:dyDescent="0.15">
      <c r="A733" s="10"/>
      <c r="B733" s="13"/>
      <c r="C733" s="13"/>
      <c r="D733" s="13"/>
    </row>
    <row r="734" spans="1:4" ht="13" x14ac:dyDescent="0.15">
      <c r="A734" s="10"/>
      <c r="B734" s="13"/>
      <c r="C734" s="13"/>
      <c r="D734" s="13"/>
    </row>
    <row r="735" spans="1:4" ht="13" x14ac:dyDescent="0.15">
      <c r="A735" s="10"/>
      <c r="B735" s="13"/>
      <c r="C735" s="13"/>
      <c r="D735" s="13"/>
    </row>
    <row r="736" spans="1:4" ht="13" x14ac:dyDescent="0.15">
      <c r="A736" s="10"/>
      <c r="B736" s="13"/>
      <c r="C736" s="13"/>
      <c r="D736" s="13"/>
    </row>
    <row r="737" spans="1:4" ht="13" x14ac:dyDescent="0.15">
      <c r="A737" s="10"/>
      <c r="B737" s="13"/>
      <c r="C737" s="13"/>
      <c r="D737" s="13"/>
    </row>
    <row r="738" spans="1:4" ht="13" x14ac:dyDescent="0.15">
      <c r="A738" s="10"/>
      <c r="B738" s="13"/>
      <c r="C738" s="13"/>
      <c r="D738" s="13"/>
    </row>
    <row r="739" spans="1:4" ht="13" x14ac:dyDescent="0.15">
      <c r="A739" s="10"/>
      <c r="B739" s="13"/>
      <c r="C739" s="13"/>
      <c r="D739" s="13"/>
    </row>
    <row r="740" spans="1:4" ht="13" x14ac:dyDescent="0.15">
      <c r="A740" s="10"/>
      <c r="B740" s="13"/>
      <c r="C740" s="13"/>
      <c r="D740" s="13"/>
    </row>
    <row r="741" spans="1:4" ht="13" x14ac:dyDescent="0.15">
      <c r="A741" s="10"/>
      <c r="B741" s="13"/>
      <c r="C741" s="13"/>
      <c r="D741" s="13"/>
    </row>
    <row r="742" spans="1:4" ht="13" x14ac:dyDescent="0.15">
      <c r="A742" s="10"/>
      <c r="B742" s="13"/>
      <c r="C742" s="13"/>
      <c r="D742" s="13"/>
    </row>
    <row r="743" spans="1:4" ht="13" x14ac:dyDescent="0.15">
      <c r="A743" s="10"/>
      <c r="B743" s="13"/>
      <c r="C743" s="13"/>
      <c r="D743" s="13"/>
    </row>
    <row r="744" spans="1:4" ht="13" x14ac:dyDescent="0.15">
      <c r="A744" s="10"/>
      <c r="B744" s="13"/>
      <c r="C744" s="13"/>
      <c r="D744" s="13"/>
    </row>
    <row r="745" spans="1:4" ht="13" x14ac:dyDescent="0.15">
      <c r="A745" s="10"/>
      <c r="B745" s="13"/>
      <c r="C745" s="13"/>
      <c r="D745" s="13"/>
    </row>
    <row r="746" spans="1:4" ht="13" x14ac:dyDescent="0.15">
      <c r="A746" s="10"/>
      <c r="B746" s="13"/>
      <c r="C746" s="13"/>
      <c r="D746" s="13"/>
    </row>
    <row r="747" spans="1:4" ht="13" x14ac:dyDescent="0.15">
      <c r="A747" s="10"/>
      <c r="B747" s="13"/>
      <c r="C747" s="13"/>
      <c r="D747" s="13"/>
    </row>
    <row r="748" spans="1:4" ht="13" x14ac:dyDescent="0.15">
      <c r="A748" s="10"/>
      <c r="B748" s="13"/>
      <c r="C748" s="13"/>
      <c r="D748" s="13"/>
    </row>
    <row r="749" spans="1:4" ht="13" x14ac:dyDescent="0.15">
      <c r="A749" s="10"/>
      <c r="B749" s="13"/>
      <c r="C749" s="13"/>
      <c r="D749" s="13"/>
    </row>
    <row r="750" spans="1:4" ht="13" x14ac:dyDescent="0.15">
      <c r="A750" s="10"/>
      <c r="B750" s="13"/>
      <c r="C750" s="13"/>
      <c r="D750" s="13"/>
    </row>
    <row r="751" spans="1:4" ht="13" x14ac:dyDescent="0.15">
      <c r="A751" s="10"/>
      <c r="B751" s="13"/>
      <c r="C751" s="13"/>
      <c r="D751" s="13"/>
    </row>
    <row r="752" spans="1:4" ht="13" x14ac:dyDescent="0.15">
      <c r="A752" s="10"/>
      <c r="B752" s="13"/>
      <c r="C752" s="13"/>
      <c r="D752" s="13"/>
    </row>
    <row r="753" spans="1:4" ht="13" x14ac:dyDescent="0.15">
      <c r="A753" s="10"/>
      <c r="B753" s="13"/>
      <c r="C753" s="13"/>
      <c r="D753" s="13"/>
    </row>
    <row r="754" spans="1:4" ht="13" x14ac:dyDescent="0.15">
      <c r="A754" s="10"/>
      <c r="B754" s="13"/>
      <c r="C754" s="13"/>
      <c r="D754" s="13"/>
    </row>
    <row r="755" spans="1:4" ht="13" x14ac:dyDescent="0.15">
      <c r="A755" s="10"/>
      <c r="B755" s="13"/>
      <c r="C755" s="13"/>
      <c r="D755" s="13"/>
    </row>
    <row r="756" spans="1:4" ht="13" x14ac:dyDescent="0.15">
      <c r="A756" s="10"/>
      <c r="B756" s="13"/>
      <c r="C756" s="13"/>
      <c r="D756" s="13"/>
    </row>
    <row r="757" spans="1:4" ht="13" x14ac:dyDescent="0.15">
      <c r="A757" s="10"/>
      <c r="B757" s="13"/>
      <c r="C757" s="13"/>
      <c r="D757" s="13"/>
    </row>
    <row r="758" spans="1:4" ht="13" x14ac:dyDescent="0.15">
      <c r="A758" s="10"/>
      <c r="B758" s="13"/>
      <c r="C758" s="13"/>
      <c r="D758" s="13"/>
    </row>
    <row r="759" spans="1:4" ht="13" x14ac:dyDescent="0.15">
      <c r="A759" s="10"/>
      <c r="B759" s="13"/>
      <c r="C759" s="13"/>
      <c r="D759" s="13"/>
    </row>
    <row r="760" spans="1:4" ht="13" x14ac:dyDescent="0.15">
      <c r="A760" s="10"/>
      <c r="B760" s="13"/>
      <c r="C760" s="13"/>
      <c r="D760" s="13"/>
    </row>
    <row r="761" spans="1:4" ht="13" x14ac:dyDescent="0.15">
      <c r="A761" s="10"/>
      <c r="B761" s="13"/>
      <c r="C761" s="13"/>
      <c r="D761" s="13"/>
    </row>
    <row r="762" spans="1:4" ht="13" x14ac:dyDescent="0.15">
      <c r="A762" s="10"/>
      <c r="B762" s="13"/>
      <c r="C762" s="13"/>
      <c r="D762" s="13"/>
    </row>
    <row r="763" spans="1:4" ht="13" x14ac:dyDescent="0.15">
      <c r="A763" s="10"/>
      <c r="B763" s="13"/>
      <c r="C763" s="13"/>
      <c r="D763" s="13"/>
    </row>
    <row r="764" spans="1:4" ht="13" x14ac:dyDescent="0.15">
      <c r="A764" s="10"/>
      <c r="B764" s="13"/>
      <c r="C764" s="13"/>
      <c r="D764" s="13"/>
    </row>
    <row r="765" spans="1:4" ht="13" x14ac:dyDescent="0.15">
      <c r="A765" s="10"/>
      <c r="B765" s="13"/>
      <c r="C765" s="13"/>
      <c r="D765" s="13"/>
    </row>
    <row r="766" spans="1:4" ht="13" x14ac:dyDescent="0.15">
      <c r="A766" s="10"/>
      <c r="B766" s="13"/>
      <c r="C766" s="13"/>
      <c r="D766" s="13"/>
    </row>
    <row r="767" spans="1:4" ht="13" x14ac:dyDescent="0.15">
      <c r="A767" s="10"/>
      <c r="B767" s="13"/>
      <c r="C767" s="13"/>
      <c r="D767" s="13"/>
    </row>
    <row r="768" spans="1:4" ht="13" x14ac:dyDescent="0.15">
      <c r="A768" s="10"/>
      <c r="B768" s="13"/>
      <c r="C768" s="13"/>
      <c r="D768" s="13"/>
    </row>
    <row r="769" spans="1:4" ht="13" x14ac:dyDescent="0.15">
      <c r="A769" s="10"/>
      <c r="B769" s="13"/>
      <c r="C769" s="13"/>
      <c r="D769" s="13"/>
    </row>
    <row r="770" spans="1:4" ht="13" x14ac:dyDescent="0.15">
      <c r="A770" s="10"/>
      <c r="B770" s="13"/>
      <c r="C770" s="13"/>
      <c r="D770" s="13"/>
    </row>
    <row r="771" spans="1:4" ht="13" x14ac:dyDescent="0.15">
      <c r="A771" s="10"/>
      <c r="B771" s="13"/>
      <c r="C771" s="13"/>
      <c r="D771" s="13"/>
    </row>
    <row r="772" spans="1:4" ht="13" x14ac:dyDescent="0.15">
      <c r="A772" s="10"/>
      <c r="B772" s="13"/>
      <c r="C772" s="13"/>
      <c r="D772" s="13"/>
    </row>
    <row r="773" spans="1:4" ht="13" x14ac:dyDescent="0.15">
      <c r="A773" s="10"/>
      <c r="B773" s="13"/>
      <c r="C773" s="13"/>
      <c r="D773" s="13"/>
    </row>
    <row r="774" spans="1:4" ht="13" x14ac:dyDescent="0.15">
      <c r="A774" s="10"/>
      <c r="B774" s="13"/>
      <c r="C774" s="13"/>
      <c r="D774" s="13"/>
    </row>
    <row r="775" spans="1:4" ht="13" x14ac:dyDescent="0.15">
      <c r="A775" s="10"/>
      <c r="B775" s="13"/>
      <c r="C775" s="13"/>
      <c r="D775" s="13"/>
    </row>
    <row r="776" spans="1:4" ht="13" x14ac:dyDescent="0.15">
      <c r="A776" s="10"/>
      <c r="B776" s="13"/>
      <c r="C776" s="13"/>
      <c r="D776" s="13"/>
    </row>
    <row r="777" spans="1:4" ht="13" x14ac:dyDescent="0.15">
      <c r="A777" s="10"/>
      <c r="B777" s="13"/>
      <c r="C777" s="13"/>
      <c r="D777" s="13"/>
    </row>
    <row r="778" spans="1:4" ht="13" x14ac:dyDescent="0.15">
      <c r="A778" s="10"/>
      <c r="B778" s="13"/>
      <c r="C778" s="13"/>
      <c r="D778" s="13"/>
    </row>
    <row r="779" spans="1:4" ht="13" x14ac:dyDescent="0.15">
      <c r="A779" s="10"/>
      <c r="B779" s="13"/>
      <c r="C779" s="13"/>
      <c r="D779" s="13"/>
    </row>
    <row r="780" spans="1:4" ht="13" x14ac:dyDescent="0.15">
      <c r="A780" s="10"/>
      <c r="B780" s="13"/>
      <c r="C780" s="13"/>
      <c r="D780" s="13"/>
    </row>
    <row r="781" spans="1:4" ht="13" x14ac:dyDescent="0.15">
      <c r="A781" s="10"/>
      <c r="B781" s="13"/>
      <c r="C781" s="13"/>
      <c r="D781" s="13"/>
    </row>
    <row r="782" spans="1:4" ht="13" x14ac:dyDescent="0.15">
      <c r="A782" s="10"/>
      <c r="B782" s="13"/>
      <c r="C782" s="13"/>
      <c r="D782" s="13"/>
    </row>
    <row r="783" spans="1:4" ht="13" x14ac:dyDescent="0.15">
      <c r="A783" s="10"/>
      <c r="B783" s="13"/>
      <c r="C783" s="13"/>
      <c r="D783" s="13"/>
    </row>
    <row r="784" spans="1:4" ht="13" x14ac:dyDescent="0.15">
      <c r="A784" s="10"/>
      <c r="B784" s="13"/>
      <c r="C784" s="13"/>
      <c r="D784" s="13"/>
    </row>
    <row r="785" spans="1:4" ht="13" x14ac:dyDescent="0.15">
      <c r="A785" s="10"/>
      <c r="B785" s="13"/>
      <c r="C785" s="13"/>
      <c r="D785" s="13"/>
    </row>
    <row r="786" spans="1:4" ht="13" x14ac:dyDescent="0.15">
      <c r="A786" s="10"/>
      <c r="B786" s="13"/>
      <c r="C786" s="13"/>
      <c r="D786" s="13"/>
    </row>
    <row r="787" spans="1:4" ht="13" x14ac:dyDescent="0.15">
      <c r="A787" s="10"/>
      <c r="B787" s="13"/>
      <c r="C787" s="13"/>
      <c r="D787" s="13"/>
    </row>
    <row r="788" spans="1:4" ht="13" x14ac:dyDescent="0.15">
      <c r="A788" s="10"/>
      <c r="B788" s="13"/>
      <c r="C788" s="13"/>
      <c r="D788" s="13"/>
    </row>
    <row r="789" spans="1:4" ht="13" x14ac:dyDescent="0.15">
      <c r="A789" s="10"/>
      <c r="B789" s="13"/>
      <c r="C789" s="13"/>
      <c r="D789" s="13"/>
    </row>
    <row r="790" spans="1:4" ht="13" x14ac:dyDescent="0.15">
      <c r="A790" s="10"/>
      <c r="B790" s="13"/>
      <c r="C790" s="13"/>
      <c r="D790" s="13"/>
    </row>
    <row r="791" spans="1:4" ht="13" x14ac:dyDescent="0.15">
      <c r="A791" s="10"/>
      <c r="B791" s="13"/>
      <c r="C791" s="13"/>
      <c r="D791" s="13"/>
    </row>
    <row r="792" spans="1:4" ht="13" x14ac:dyDescent="0.15">
      <c r="A792" s="10"/>
      <c r="B792" s="13"/>
      <c r="C792" s="13"/>
      <c r="D792" s="13"/>
    </row>
    <row r="793" spans="1:4" ht="13" x14ac:dyDescent="0.15">
      <c r="A793" s="10"/>
      <c r="B793" s="13"/>
      <c r="C793" s="13"/>
      <c r="D793" s="13"/>
    </row>
    <row r="794" spans="1:4" ht="13" x14ac:dyDescent="0.15">
      <c r="A794" s="10"/>
      <c r="B794" s="13"/>
      <c r="C794" s="13"/>
      <c r="D794" s="13"/>
    </row>
    <row r="795" spans="1:4" ht="13" x14ac:dyDescent="0.15">
      <c r="A795" s="10"/>
      <c r="B795" s="13"/>
      <c r="C795" s="13"/>
      <c r="D795" s="13"/>
    </row>
    <row r="796" spans="1:4" ht="13" x14ac:dyDescent="0.15">
      <c r="A796" s="10"/>
      <c r="B796" s="13"/>
      <c r="C796" s="13"/>
      <c r="D796" s="13"/>
    </row>
    <row r="797" spans="1:4" ht="13" x14ac:dyDescent="0.15">
      <c r="A797" s="10"/>
      <c r="B797" s="13"/>
      <c r="C797" s="13"/>
      <c r="D797" s="13"/>
    </row>
    <row r="798" spans="1:4" ht="13" x14ac:dyDescent="0.15">
      <c r="A798" s="10"/>
      <c r="B798" s="13"/>
      <c r="C798" s="13"/>
      <c r="D798" s="13"/>
    </row>
    <row r="799" spans="1:4" ht="13" x14ac:dyDescent="0.15">
      <c r="A799" s="10"/>
      <c r="B799" s="13"/>
      <c r="C799" s="13"/>
      <c r="D799" s="13"/>
    </row>
    <row r="800" spans="1:4" ht="13" x14ac:dyDescent="0.15">
      <c r="A800" s="10"/>
      <c r="B800" s="13"/>
      <c r="C800" s="13"/>
      <c r="D800" s="13"/>
    </row>
    <row r="801" spans="1:4" ht="13" x14ac:dyDescent="0.15">
      <c r="A801" s="10"/>
      <c r="B801" s="13"/>
      <c r="C801" s="13"/>
      <c r="D801" s="13"/>
    </row>
    <row r="802" spans="1:4" ht="13" x14ac:dyDescent="0.15">
      <c r="A802" s="10"/>
      <c r="B802" s="13"/>
      <c r="C802" s="13"/>
      <c r="D802" s="13"/>
    </row>
    <row r="803" spans="1:4" ht="13" x14ac:dyDescent="0.15">
      <c r="A803" s="10"/>
      <c r="B803" s="13"/>
      <c r="C803" s="13"/>
      <c r="D803" s="13"/>
    </row>
    <row r="804" spans="1:4" ht="13" x14ac:dyDescent="0.15">
      <c r="A804" s="10"/>
      <c r="B804" s="13"/>
      <c r="C804" s="13"/>
      <c r="D804" s="13"/>
    </row>
    <row r="805" spans="1:4" ht="13" x14ac:dyDescent="0.15">
      <c r="A805" s="10"/>
      <c r="B805" s="13"/>
      <c r="C805" s="13"/>
      <c r="D805" s="13"/>
    </row>
    <row r="806" spans="1:4" ht="13" x14ac:dyDescent="0.15">
      <c r="A806" s="10"/>
      <c r="B806" s="13"/>
      <c r="C806" s="13"/>
      <c r="D806" s="13"/>
    </row>
    <row r="807" spans="1:4" ht="13" x14ac:dyDescent="0.15">
      <c r="A807" s="10"/>
      <c r="B807" s="13"/>
      <c r="C807" s="13"/>
      <c r="D807" s="13"/>
    </row>
    <row r="808" spans="1:4" ht="13" x14ac:dyDescent="0.15">
      <c r="A808" s="10"/>
      <c r="B808" s="13"/>
      <c r="C808" s="13"/>
      <c r="D808" s="13"/>
    </row>
    <row r="809" spans="1:4" ht="13" x14ac:dyDescent="0.15">
      <c r="A809" s="10"/>
      <c r="B809" s="13"/>
      <c r="C809" s="13"/>
      <c r="D809" s="13"/>
    </row>
    <row r="810" spans="1:4" ht="13" x14ac:dyDescent="0.15">
      <c r="A810" s="10"/>
      <c r="B810" s="13"/>
      <c r="C810" s="13"/>
      <c r="D810" s="13"/>
    </row>
    <row r="811" spans="1:4" ht="13" x14ac:dyDescent="0.15">
      <c r="A811" s="10"/>
      <c r="B811" s="13"/>
      <c r="C811" s="13"/>
      <c r="D811" s="13"/>
    </row>
    <row r="812" spans="1:4" ht="13" x14ac:dyDescent="0.15">
      <c r="A812" s="10"/>
      <c r="B812" s="13"/>
      <c r="C812" s="13"/>
      <c r="D812" s="13"/>
    </row>
    <row r="813" spans="1:4" ht="13" x14ac:dyDescent="0.15">
      <c r="A813" s="10"/>
      <c r="B813" s="13"/>
      <c r="C813" s="13"/>
      <c r="D813" s="13"/>
    </row>
    <row r="814" spans="1:4" ht="13" x14ac:dyDescent="0.15">
      <c r="A814" s="10"/>
      <c r="B814" s="13"/>
      <c r="C814" s="13"/>
      <c r="D814" s="13"/>
    </row>
    <row r="815" spans="1:4" ht="13" x14ac:dyDescent="0.15">
      <c r="A815" s="10"/>
      <c r="B815" s="13"/>
      <c r="C815" s="13"/>
      <c r="D815" s="13"/>
    </row>
    <row r="816" spans="1:4" ht="13" x14ac:dyDescent="0.15">
      <c r="A816" s="10"/>
      <c r="B816" s="13"/>
      <c r="C816" s="13"/>
      <c r="D816" s="13"/>
    </row>
    <row r="817" spans="1:4" ht="13" x14ac:dyDescent="0.15">
      <c r="A817" s="10"/>
      <c r="B817" s="13"/>
      <c r="C817" s="13"/>
      <c r="D817" s="13"/>
    </row>
    <row r="818" spans="1:4" ht="13" x14ac:dyDescent="0.15">
      <c r="A818" s="10"/>
      <c r="B818" s="13"/>
      <c r="C818" s="13"/>
      <c r="D818" s="13"/>
    </row>
    <row r="819" spans="1:4" ht="13" x14ac:dyDescent="0.15">
      <c r="A819" s="10"/>
      <c r="B819" s="13"/>
      <c r="C819" s="13"/>
      <c r="D819" s="13"/>
    </row>
    <row r="820" spans="1:4" ht="13" x14ac:dyDescent="0.15">
      <c r="A820" s="10"/>
      <c r="B820" s="13"/>
      <c r="C820" s="13"/>
      <c r="D820" s="13"/>
    </row>
    <row r="821" spans="1:4" ht="13" x14ac:dyDescent="0.15">
      <c r="A821" s="10"/>
      <c r="B821" s="13"/>
      <c r="C821" s="13"/>
      <c r="D821" s="13"/>
    </row>
    <row r="822" spans="1:4" ht="13" x14ac:dyDescent="0.15">
      <c r="A822" s="10"/>
      <c r="B822" s="13"/>
      <c r="C822" s="13"/>
      <c r="D822" s="13"/>
    </row>
    <row r="823" spans="1:4" ht="13" x14ac:dyDescent="0.15">
      <c r="A823" s="10"/>
      <c r="B823" s="13"/>
      <c r="C823" s="13"/>
      <c r="D823" s="13"/>
    </row>
    <row r="824" spans="1:4" ht="13" x14ac:dyDescent="0.15">
      <c r="A824" s="10"/>
      <c r="B824" s="13"/>
      <c r="C824" s="13"/>
      <c r="D824" s="13"/>
    </row>
    <row r="825" spans="1:4" ht="13" x14ac:dyDescent="0.15">
      <c r="A825" s="10"/>
      <c r="B825" s="13"/>
      <c r="C825" s="13"/>
      <c r="D825" s="13"/>
    </row>
    <row r="826" spans="1:4" ht="13" x14ac:dyDescent="0.15">
      <c r="A826" s="10"/>
      <c r="B826" s="13"/>
      <c r="C826" s="13"/>
      <c r="D826" s="13"/>
    </row>
    <row r="827" spans="1:4" ht="13" x14ac:dyDescent="0.15">
      <c r="A827" s="10"/>
      <c r="B827" s="13"/>
      <c r="C827" s="13"/>
      <c r="D827" s="13"/>
    </row>
    <row r="828" spans="1:4" ht="13" x14ac:dyDescent="0.15">
      <c r="A828" s="10"/>
      <c r="B828" s="13"/>
      <c r="C828" s="13"/>
      <c r="D828" s="13"/>
    </row>
    <row r="829" spans="1:4" ht="13" x14ac:dyDescent="0.15">
      <c r="A829" s="10"/>
      <c r="B829" s="13"/>
      <c r="C829" s="13"/>
      <c r="D829" s="13"/>
    </row>
    <row r="830" spans="1:4" ht="13" x14ac:dyDescent="0.15">
      <c r="A830" s="10"/>
      <c r="B830" s="13"/>
      <c r="C830" s="13"/>
      <c r="D830" s="13"/>
    </row>
    <row r="831" spans="1:4" ht="13" x14ac:dyDescent="0.15">
      <c r="A831" s="10"/>
      <c r="B831" s="13"/>
      <c r="C831" s="13"/>
      <c r="D831" s="13"/>
    </row>
    <row r="832" spans="1:4" ht="13" x14ac:dyDescent="0.15">
      <c r="A832" s="10"/>
      <c r="B832" s="13"/>
      <c r="C832" s="13"/>
      <c r="D832" s="13"/>
    </row>
    <row r="833" spans="1:4" ht="13" x14ac:dyDescent="0.15">
      <c r="A833" s="10"/>
      <c r="B833" s="13"/>
      <c r="C833" s="13"/>
      <c r="D833" s="13"/>
    </row>
    <row r="834" spans="1:4" ht="13" x14ac:dyDescent="0.15">
      <c r="A834" s="10"/>
      <c r="B834" s="13"/>
      <c r="C834" s="13"/>
      <c r="D834" s="13"/>
    </row>
    <row r="835" spans="1:4" ht="13" x14ac:dyDescent="0.15">
      <c r="A835" s="10"/>
      <c r="B835" s="13"/>
      <c r="C835" s="13"/>
      <c r="D835" s="13"/>
    </row>
    <row r="836" spans="1:4" ht="13" x14ac:dyDescent="0.15">
      <c r="A836" s="10"/>
      <c r="B836" s="13"/>
      <c r="C836" s="13"/>
      <c r="D836" s="13"/>
    </row>
    <row r="837" spans="1:4" ht="13" x14ac:dyDescent="0.15">
      <c r="A837" s="10"/>
      <c r="B837" s="13"/>
      <c r="C837" s="13"/>
      <c r="D837" s="13"/>
    </row>
    <row r="838" spans="1:4" ht="13" x14ac:dyDescent="0.15">
      <c r="A838" s="10"/>
      <c r="B838" s="13"/>
      <c r="C838" s="13"/>
      <c r="D838" s="13"/>
    </row>
    <row r="839" spans="1:4" ht="13" x14ac:dyDescent="0.15">
      <c r="A839" s="10"/>
      <c r="B839" s="13"/>
      <c r="C839" s="13"/>
      <c r="D839" s="13"/>
    </row>
    <row r="840" spans="1:4" ht="13" x14ac:dyDescent="0.15">
      <c r="A840" s="10"/>
      <c r="B840" s="13"/>
      <c r="C840" s="13"/>
      <c r="D840" s="13"/>
    </row>
    <row r="841" spans="1:4" ht="13" x14ac:dyDescent="0.15">
      <c r="A841" s="10"/>
      <c r="B841" s="13"/>
      <c r="C841" s="13"/>
      <c r="D841" s="13"/>
    </row>
    <row r="842" spans="1:4" ht="13" x14ac:dyDescent="0.15">
      <c r="A842" s="10"/>
      <c r="B842" s="13"/>
      <c r="C842" s="13"/>
      <c r="D842" s="13"/>
    </row>
    <row r="843" spans="1:4" ht="13" x14ac:dyDescent="0.15">
      <c r="A843" s="10"/>
      <c r="B843" s="13"/>
      <c r="C843" s="13"/>
      <c r="D843" s="13"/>
    </row>
    <row r="844" spans="1:4" ht="13" x14ac:dyDescent="0.15">
      <c r="A844" s="10"/>
      <c r="B844" s="13"/>
      <c r="C844" s="13"/>
      <c r="D844" s="13"/>
    </row>
    <row r="845" spans="1:4" ht="13" x14ac:dyDescent="0.15">
      <c r="A845" s="10"/>
      <c r="B845" s="13"/>
      <c r="C845" s="13"/>
      <c r="D845" s="13"/>
    </row>
    <row r="846" spans="1:4" ht="13" x14ac:dyDescent="0.15">
      <c r="A846" s="10"/>
      <c r="B846" s="13"/>
      <c r="C846" s="13"/>
      <c r="D846" s="13"/>
    </row>
    <row r="847" spans="1:4" ht="13" x14ac:dyDescent="0.15">
      <c r="A847" s="10"/>
      <c r="B847" s="13"/>
      <c r="C847" s="13"/>
      <c r="D847" s="13"/>
    </row>
    <row r="848" spans="1:4" ht="13" x14ac:dyDescent="0.15">
      <c r="A848" s="10"/>
      <c r="B848" s="13"/>
      <c r="C848" s="13"/>
      <c r="D848" s="13"/>
    </row>
    <row r="849" spans="1:4" ht="13" x14ac:dyDescent="0.15">
      <c r="A849" s="10"/>
      <c r="B849" s="13"/>
      <c r="C849" s="13"/>
      <c r="D849" s="13"/>
    </row>
    <row r="850" spans="1:4" ht="13" x14ac:dyDescent="0.15">
      <c r="A850" s="10"/>
      <c r="B850" s="13"/>
      <c r="C850" s="13"/>
      <c r="D850" s="13"/>
    </row>
    <row r="851" spans="1:4" ht="13" x14ac:dyDescent="0.15">
      <c r="A851" s="10"/>
      <c r="B851" s="13"/>
      <c r="C851" s="13"/>
      <c r="D851" s="13"/>
    </row>
    <row r="852" spans="1:4" ht="13" x14ac:dyDescent="0.15">
      <c r="A852" s="10"/>
      <c r="B852" s="13"/>
      <c r="C852" s="13"/>
      <c r="D852" s="13"/>
    </row>
    <row r="853" spans="1:4" ht="13" x14ac:dyDescent="0.15">
      <c r="A853" s="10"/>
      <c r="B853" s="13"/>
      <c r="C853" s="13"/>
      <c r="D853" s="13"/>
    </row>
    <row r="854" spans="1:4" ht="13" x14ac:dyDescent="0.15">
      <c r="A854" s="10"/>
      <c r="B854" s="13"/>
      <c r="C854" s="13"/>
      <c r="D854" s="13"/>
    </row>
    <row r="855" spans="1:4" ht="13" x14ac:dyDescent="0.15">
      <c r="A855" s="10"/>
      <c r="B855" s="13"/>
      <c r="C855" s="13"/>
      <c r="D855" s="13"/>
    </row>
    <row r="856" spans="1:4" ht="13" x14ac:dyDescent="0.15">
      <c r="A856" s="10"/>
      <c r="B856" s="13"/>
      <c r="C856" s="13"/>
      <c r="D856" s="13"/>
    </row>
    <row r="857" spans="1:4" ht="13" x14ac:dyDescent="0.15">
      <c r="A857" s="10"/>
      <c r="B857" s="13"/>
      <c r="C857" s="13"/>
      <c r="D857" s="13"/>
    </row>
    <row r="858" spans="1:4" ht="13" x14ac:dyDescent="0.15">
      <c r="A858" s="10"/>
      <c r="B858" s="13"/>
      <c r="C858" s="13"/>
      <c r="D858" s="13"/>
    </row>
    <row r="859" spans="1:4" ht="13" x14ac:dyDescent="0.15">
      <c r="A859" s="10"/>
      <c r="B859" s="13"/>
      <c r="C859" s="13"/>
      <c r="D859" s="13"/>
    </row>
    <row r="860" spans="1:4" ht="13" x14ac:dyDescent="0.15">
      <c r="A860" s="10"/>
      <c r="B860" s="13"/>
      <c r="C860" s="13"/>
      <c r="D860" s="13"/>
    </row>
    <row r="861" spans="1:4" ht="13" x14ac:dyDescent="0.15">
      <c r="A861" s="10"/>
      <c r="B861" s="13"/>
      <c r="C861" s="13"/>
      <c r="D861" s="13"/>
    </row>
    <row r="862" spans="1:4" ht="13" x14ac:dyDescent="0.15">
      <c r="A862" s="10"/>
      <c r="B862" s="13"/>
      <c r="C862" s="13"/>
      <c r="D862" s="13"/>
    </row>
    <row r="863" spans="1:4" ht="13" x14ac:dyDescent="0.15">
      <c r="A863" s="10"/>
      <c r="B863" s="13"/>
      <c r="C863" s="13"/>
      <c r="D863" s="13"/>
    </row>
    <row r="864" spans="1:4" ht="13" x14ac:dyDescent="0.15">
      <c r="A864" s="10"/>
      <c r="B864" s="13"/>
      <c r="C864" s="13"/>
      <c r="D864" s="13"/>
    </row>
    <row r="865" spans="1:4" ht="13" x14ac:dyDescent="0.15">
      <c r="A865" s="10"/>
      <c r="B865" s="13"/>
      <c r="C865" s="13"/>
      <c r="D865" s="13"/>
    </row>
    <row r="866" spans="1:4" ht="13" x14ac:dyDescent="0.15">
      <c r="A866" s="10"/>
      <c r="B866" s="13"/>
      <c r="C866" s="13"/>
      <c r="D866" s="13"/>
    </row>
    <row r="867" spans="1:4" ht="13" x14ac:dyDescent="0.15">
      <c r="A867" s="10"/>
      <c r="B867" s="13"/>
      <c r="C867" s="13"/>
      <c r="D867" s="13"/>
    </row>
    <row r="868" spans="1:4" ht="13" x14ac:dyDescent="0.15">
      <c r="A868" s="10"/>
      <c r="B868" s="13"/>
      <c r="C868" s="13"/>
      <c r="D868" s="13"/>
    </row>
    <row r="869" spans="1:4" ht="13" x14ac:dyDescent="0.15">
      <c r="A869" s="10"/>
      <c r="B869" s="13"/>
      <c r="C869" s="13"/>
      <c r="D869" s="13"/>
    </row>
    <row r="870" spans="1:4" ht="13" x14ac:dyDescent="0.15">
      <c r="A870" s="10"/>
      <c r="B870" s="13"/>
      <c r="C870" s="13"/>
      <c r="D870" s="13"/>
    </row>
    <row r="871" spans="1:4" ht="13" x14ac:dyDescent="0.15">
      <c r="A871" s="10"/>
      <c r="B871" s="13"/>
      <c r="C871" s="13"/>
      <c r="D871" s="13"/>
    </row>
    <row r="872" spans="1:4" ht="13" x14ac:dyDescent="0.15">
      <c r="A872" s="10"/>
      <c r="B872" s="13"/>
      <c r="C872" s="13"/>
      <c r="D872" s="13"/>
    </row>
    <row r="873" spans="1:4" ht="13" x14ac:dyDescent="0.15">
      <c r="A873" s="10"/>
      <c r="B873" s="13"/>
      <c r="C873" s="13"/>
      <c r="D873" s="13"/>
    </row>
    <row r="874" spans="1:4" ht="13" x14ac:dyDescent="0.15">
      <c r="A874" s="10"/>
      <c r="B874" s="13"/>
      <c r="C874" s="13"/>
      <c r="D874" s="13"/>
    </row>
    <row r="875" spans="1:4" ht="13" x14ac:dyDescent="0.15">
      <c r="A875" s="10"/>
      <c r="B875" s="13"/>
      <c r="C875" s="13"/>
      <c r="D875" s="13"/>
    </row>
    <row r="876" spans="1:4" ht="13" x14ac:dyDescent="0.15">
      <c r="A876" s="10"/>
      <c r="B876" s="13"/>
      <c r="C876" s="13"/>
      <c r="D876" s="13"/>
    </row>
    <row r="877" spans="1:4" ht="13" x14ac:dyDescent="0.15">
      <c r="A877" s="10"/>
      <c r="B877" s="13"/>
      <c r="C877" s="13"/>
      <c r="D877" s="13"/>
    </row>
    <row r="878" spans="1:4" ht="13" x14ac:dyDescent="0.15">
      <c r="A878" s="10"/>
      <c r="B878" s="13"/>
      <c r="C878" s="13"/>
      <c r="D878" s="13"/>
    </row>
    <row r="879" spans="1:4" ht="13" x14ac:dyDescent="0.15">
      <c r="A879" s="10"/>
      <c r="B879" s="13"/>
      <c r="C879" s="13"/>
      <c r="D879" s="13"/>
    </row>
    <row r="880" spans="1:4" ht="13" x14ac:dyDescent="0.15">
      <c r="A880" s="10"/>
      <c r="B880" s="13"/>
      <c r="C880" s="13"/>
      <c r="D880" s="13"/>
    </row>
    <row r="881" spans="1:4" ht="13" x14ac:dyDescent="0.15">
      <c r="A881" s="10"/>
      <c r="B881" s="13"/>
      <c r="C881" s="13"/>
      <c r="D881" s="13"/>
    </row>
    <row r="882" spans="1:4" ht="13" x14ac:dyDescent="0.15">
      <c r="A882" s="10"/>
      <c r="B882" s="13"/>
      <c r="C882" s="13"/>
      <c r="D882" s="13"/>
    </row>
    <row r="883" spans="1:4" ht="13" x14ac:dyDescent="0.15">
      <c r="A883" s="10"/>
      <c r="B883" s="13"/>
      <c r="C883" s="13"/>
      <c r="D883" s="13"/>
    </row>
    <row r="884" spans="1:4" ht="13" x14ac:dyDescent="0.15">
      <c r="A884" s="10"/>
      <c r="B884" s="13"/>
      <c r="C884" s="13"/>
      <c r="D884" s="13"/>
    </row>
    <row r="885" spans="1:4" ht="13" x14ac:dyDescent="0.15">
      <c r="A885" s="10"/>
      <c r="B885" s="13"/>
      <c r="C885" s="13"/>
      <c r="D885" s="13"/>
    </row>
    <row r="886" spans="1:4" ht="13" x14ac:dyDescent="0.15">
      <c r="A886" s="10"/>
      <c r="B886" s="13"/>
      <c r="C886" s="13"/>
      <c r="D886" s="13"/>
    </row>
    <row r="887" spans="1:4" ht="13" x14ac:dyDescent="0.15">
      <c r="A887" s="10"/>
      <c r="B887" s="13"/>
      <c r="C887" s="13"/>
      <c r="D887" s="13"/>
    </row>
    <row r="888" spans="1:4" ht="13" x14ac:dyDescent="0.15">
      <c r="A888" s="10"/>
      <c r="B888" s="13"/>
      <c r="C888" s="13"/>
      <c r="D888" s="13"/>
    </row>
    <row r="889" spans="1:4" ht="13" x14ac:dyDescent="0.15">
      <c r="A889" s="10"/>
      <c r="B889" s="13"/>
      <c r="C889" s="13"/>
      <c r="D889" s="13"/>
    </row>
    <row r="890" spans="1:4" ht="13" x14ac:dyDescent="0.15">
      <c r="A890" s="10"/>
      <c r="B890" s="13"/>
      <c r="C890" s="13"/>
      <c r="D890" s="13"/>
    </row>
    <row r="891" spans="1:4" ht="13" x14ac:dyDescent="0.15">
      <c r="A891" s="10"/>
      <c r="B891" s="13"/>
      <c r="C891" s="13"/>
      <c r="D891" s="13"/>
    </row>
    <row r="892" spans="1:4" ht="13" x14ac:dyDescent="0.15">
      <c r="A892" s="10"/>
      <c r="B892" s="13"/>
      <c r="C892" s="13"/>
      <c r="D892" s="13"/>
    </row>
    <row r="893" spans="1:4" ht="13" x14ac:dyDescent="0.15">
      <c r="A893" s="10"/>
      <c r="B893" s="13"/>
      <c r="C893" s="13"/>
      <c r="D893" s="13"/>
    </row>
    <row r="894" spans="1:4" ht="13" x14ac:dyDescent="0.15">
      <c r="A894" s="10"/>
      <c r="B894" s="13"/>
      <c r="C894" s="13"/>
      <c r="D894" s="13"/>
    </row>
    <row r="895" spans="1:4" ht="13" x14ac:dyDescent="0.15">
      <c r="A895" s="10"/>
      <c r="B895" s="13"/>
      <c r="C895" s="13"/>
      <c r="D895" s="13"/>
    </row>
    <row r="896" spans="1:4" ht="13" x14ac:dyDescent="0.15">
      <c r="A896" s="10"/>
      <c r="B896" s="13"/>
      <c r="C896" s="13"/>
      <c r="D896" s="13"/>
    </row>
    <row r="897" spans="1:4" ht="13" x14ac:dyDescent="0.15">
      <c r="A897" s="10"/>
      <c r="B897" s="13"/>
      <c r="C897" s="13"/>
      <c r="D897" s="13"/>
    </row>
    <row r="898" spans="1:4" ht="13" x14ac:dyDescent="0.15">
      <c r="A898" s="10"/>
      <c r="B898" s="13"/>
      <c r="C898" s="13"/>
      <c r="D898" s="13"/>
    </row>
    <row r="899" spans="1:4" ht="13" x14ac:dyDescent="0.15">
      <c r="A899" s="10"/>
      <c r="B899" s="13"/>
      <c r="C899" s="13"/>
      <c r="D899" s="13"/>
    </row>
    <row r="900" spans="1:4" ht="13" x14ac:dyDescent="0.15">
      <c r="A900" s="10"/>
      <c r="B900" s="13"/>
      <c r="C900" s="13"/>
      <c r="D900" s="13"/>
    </row>
    <row r="901" spans="1:4" ht="13" x14ac:dyDescent="0.15">
      <c r="A901" s="10"/>
      <c r="B901" s="13"/>
      <c r="C901" s="13"/>
      <c r="D901" s="13"/>
    </row>
    <row r="902" spans="1:4" ht="13" x14ac:dyDescent="0.15">
      <c r="A902" s="10"/>
      <c r="B902" s="13"/>
      <c r="C902" s="13"/>
      <c r="D902" s="13"/>
    </row>
    <row r="903" spans="1:4" ht="13" x14ac:dyDescent="0.15">
      <c r="A903" s="10"/>
      <c r="B903" s="13"/>
      <c r="C903" s="13"/>
      <c r="D903" s="13"/>
    </row>
    <row r="904" spans="1:4" ht="13" x14ac:dyDescent="0.15">
      <c r="A904" s="10"/>
      <c r="B904" s="13"/>
      <c r="C904" s="13"/>
      <c r="D904" s="13"/>
    </row>
    <row r="905" spans="1:4" ht="13" x14ac:dyDescent="0.15">
      <c r="A905" s="10"/>
      <c r="B905" s="13"/>
      <c r="C905" s="13"/>
      <c r="D905" s="13"/>
    </row>
    <row r="906" spans="1:4" ht="13" x14ac:dyDescent="0.15">
      <c r="A906" s="10"/>
      <c r="B906" s="13"/>
      <c r="C906" s="13"/>
      <c r="D906" s="13"/>
    </row>
    <row r="907" spans="1:4" ht="13" x14ac:dyDescent="0.15">
      <c r="A907" s="10"/>
      <c r="B907" s="13"/>
      <c r="C907" s="13"/>
      <c r="D907" s="13"/>
    </row>
    <row r="908" spans="1:4" ht="13" x14ac:dyDescent="0.15">
      <c r="A908" s="10"/>
      <c r="B908" s="13"/>
      <c r="C908" s="13"/>
      <c r="D908" s="13"/>
    </row>
    <row r="909" spans="1:4" ht="13" x14ac:dyDescent="0.15">
      <c r="A909" s="10"/>
      <c r="B909" s="13"/>
      <c r="C909" s="13"/>
      <c r="D909" s="13"/>
    </row>
    <row r="910" spans="1:4" ht="13" x14ac:dyDescent="0.15">
      <c r="A910" s="10"/>
      <c r="B910" s="13"/>
      <c r="C910" s="13"/>
      <c r="D910" s="13"/>
    </row>
    <row r="911" spans="1:4" ht="13" x14ac:dyDescent="0.15">
      <c r="A911" s="10"/>
      <c r="B911" s="13"/>
      <c r="C911" s="13"/>
      <c r="D911" s="13"/>
    </row>
    <row r="912" spans="1:4" ht="13" x14ac:dyDescent="0.15">
      <c r="A912" s="10"/>
      <c r="B912" s="13"/>
      <c r="C912" s="13"/>
      <c r="D912" s="13"/>
    </row>
    <row r="913" spans="1:4" ht="13" x14ac:dyDescent="0.15">
      <c r="A913" s="10"/>
      <c r="B913" s="13"/>
      <c r="C913" s="13"/>
      <c r="D913" s="13"/>
    </row>
    <row r="914" spans="1:4" ht="13" x14ac:dyDescent="0.15">
      <c r="A914" s="10"/>
      <c r="B914" s="13"/>
      <c r="C914" s="13"/>
      <c r="D914" s="13"/>
    </row>
    <row r="915" spans="1:4" ht="13" x14ac:dyDescent="0.15">
      <c r="A915" s="10"/>
      <c r="B915" s="13"/>
      <c r="C915" s="13"/>
      <c r="D915" s="13"/>
    </row>
    <row r="916" spans="1:4" ht="13" x14ac:dyDescent="0.15">
      <c r="A916" s="10"/>
      <c r="B916" s="13"/>
      <c r="C916" s="13"/>
      <c r="D916" s="13"/>
    </row>
    <row r="917" spans="1:4" ht="13" x14ac:dyDescent="0.15">
      <c r="A917" s="10"/>
      <c r="B917" s="13"/>
      <c r="C917" s="13"/>
      <c r="D917" s="13"/>
    </row>
    <row r="918" spans="1:4" ht="13" x14ac:dyDescent="0.15">
      <c r="A918" s="10"/>
      <c r="B918" s="13"/>
      <c r="C918" s="13"/>
      <c r="D918" s="13"/>
    </row>
    <row r="919" spans="1:4" ht="13" x14ac:dyDescent="0.15">
      <c r="A919" s="10"/>
      <c r="B919" s="13"/>
      <c r="C919" s="13"/>
      <c r="D919" s="13"/>
    </row>
    <row r="920" spans="1:4" ht="13" x14ac:dyDescent="0.15">
      <c r="A920" s="10"/>
      <c r="B920" s="13"/>
      <c r="C920" s="13"/>
      <c r="D920" s="13"/>
    </row>
    <row r="921" spans="1:4" ht="13" x14ac:dyDescent="0.15">
      <c r="A921" s="10"/>
      <c r="B921" s="13"/>
      <c r="C921" s="13"/>
      <c r="D921" s="13"/>
    </row>
    <row r="922" spans="1:4" ht="13" x14ac:dyDescent="0.15">
      <c r="A922" s="10"/>
      <c r="B922" s="13"/>
      <c r="C922" s="13"/>
      <c r="D922" s="13"/>
    </row>
    <row r="923" spans="1:4" ht="13" x14ac:dyDescent="0.15">
      <c r="A923" s="10"/>
      <c r="B923" s="13"/>
      <c r="C923" s="13"/>
      <c r="D923" s="13"/>
    </row>
    <row r="924" spans="1:4" ht="13" x14ac:dyDescent="0.15">
      <c r="A924" s="10"/>
      <c r="B924" s="13"/>
      <c r="C924" s="13"/>
      <c r="D924" s="13"/>
    </row>
    <row r="925" spans="1:4" ht="13" x14ac:dyDescent="0.15">
      <c r="A925" s="10"/>
      <c r="B925" s="13"/>
      <c r="C925" s="13"/>
      <c r="D925" s="13"/>
    </row>
    <row r="926" spans="1:4" ht="13" x14ac:dyDescent="0.15">
      <c r="A926" s="10"/>
      <c r="B926" s="13"/>
      <c r="C926" s="13"/>
      <c r="D926" s="13"/>
    </row>
    <row r="927" spans="1:4" ht="13" x14ac:dyDescent="0.15">
      <c r="A927" s="10"/>
      <c r="B927" s="13"/>
      <c r="C927" s="13"/>
      <c r="D927" s="13"/>
    </row>
    <row r="928" spans="1:4" ht="13" x14ac:dyDescent="0.15">
      <c r="A928" s="10"/>
      <c r="B928" s="13"/>
      <c r="C928" s="13"/>
      <c r="D928" s="13"/>
    </row>
    <row r="929" spans="1:4" ht="13" x14ac:dyDescent="0.15">
      <c r="A929" s="10"/>
      <c r="B929" s="13"/>
      <c r="C929" s="13"/>
      <c r="D929" s="13"/>
    </row>
    <row r="930" spans="1:4" ht="13" x14ac:dyDescent="0.15">
      <c r="A930" s="10"/>
      <c r="B930" s="13"/>
      <c r="C930" s="13"/>
      <c r="D930" s="13"/>
    </row>
    <row r="931" spans="1:4" ht="13" x14ac:dyDescent="0.15">
      <c r="A931" s="10"/>
      <c r="B931" s="13"/>
      <c r="C931" s="13"/>
      <c r="D931" s="13"/>
    </row>
    <row r="932" spans="1:4" ht="13" x14ac:dyDescent="0.15">
      <c r="A932" s="10"/>
      <c r="B932" s="13"/>
      <c r="C932" s="13"/>
      <c r="D932" s="13"/>
    </row>
    <row r="933" spans="1:4" ht="13" x14ac:dyDescent="0.15">
      <c r="A933" s="10"/>
      <c r="B933" s="13"/>
      <c r="C933" s="13"/>
      <c r="D933" s="13"/>
    </row>
    <row r="934" spans="1:4" ht="13" x14ac:dyDescent="0.15">
      <c r="A934" s="10"/>
      <c r="B934" s="13"/>
      <c r="C934" s="13"/>
      <c r="D934" s="13"/>
    </row>
    <row r="935" spans="1:4" ht="13" x14ac:dyDescent="0.15">
      <c r="A935" s="10"/>
      <c r="B935" s="13"/>
      <c r="C935" s="13"/>
      <c r="D935" s="13"/>
    </row>
    <row r="936" spans="1:4" ht="13" x14ac:dyDescent="0.15">
      <c r="A936" s="10"/>
      <c r="B936" s="13"/>
      <c r="C936" s="13"/>
      <c r="D936" s="13"/>
    </row>
    <row r="937" spans="1:4" ht="13" x14ac:dyDescent="0.15">
      <c r="A937" s="10"/>
      <c r="B937" s="13"/>
      <c r="C937" s="13"/>
      <c r="D937" s="13"/>
    </row>
    <row r="938" spans="1:4" ht="13" x14ac:dyDescent="0.15">
      <c r="A938" s="10"/>
      <c r="B938" s="13"/>
      <c r="C938" s="13"/>
      <c r="D938" s="13"/>
    </row>
    <row r="939" spans="1:4" ht="13" x14ac:dyDescent="0.15">
      <c r="A939" s="10"/>
      <c r="B939" s="13"/>
      <c r="C939" s="13"/>
      <c r="D939" s="13"/>
    </row>
    <row r="940" spans="1:4" ht="13" x14ac:dyDescent="0.15">
      <c r="A940" s="10"/>
      <c r="B940" s="13"/>
      <c r="C940" s="13"/>
      <c r="D940" s="13"/>
    </row>
    <row r="941" spans="1:4" ht="13" x14ac:dyDescent="0.15">
      <c r="A941" s="10"/>
      <c r="B941" s="13"/>
      <c r="C941" s="13"/>
      <c r="D941" s="13"/>
    </row>
    <row r="942" spans="1:4" ht="13" x14ac:dyDescent="0.15">
      <c r="A942" s="10"/>
      <c r="B942" s="13"/>
      <c r="C942" s="13"/>
      <c r="D942" s="13"/>
    </row>
    <row r="943" spans="1:4" ht="13" x14ac:dyDescent="0.15">
      <c r="A943" s="10"/>
      <c r="B943" s="13"/>
      <c r="C943" s="13"/>
      <c r="D943" s="13"/>
    </row>
    <row r="944" spans="1:4" ht="13" x14ac:dyDescent="0.15">
      <c r="A944" s="10"/>
      <c r="B944" s="13"/>
      <c r="C944" s="13"/>
      <c r="D944" s="13"/>
    </row>
    <row r="945" spans="1:4" ht="13" x14ac:dyDescent="0.15">
      <c r="A945" s="10"/>
      <c r="B945" s="13"/>
      <c r="C945" s="13"/>
      <c r="D945" s="13"/>
    </row>
    <row r="946" spans="1:4" ht="13" x14ac:dyDescent="0.15">
      <c r="A946" s="10"/>
      <c r="B946" s="13"/>
      <c r="C946" s="13"/>
      <c r="D946" s="13"/>
    </row>
    <row r="947" spans="1:4" ht="13" x14ac:dyDescent="0.15">
      <c r="A947" s="10"/>
      <c r="B947" s="13"/>
      <c r="C947" s="13"/>
      <c r="D947" s="13"/>
    </row>
    <row r="948" spans="1:4" ht="13" x14ac:dyDescent="0.15">
      <c r="A948" s="10"/>
      <c r="B948" s="13"/>
      <c r="C948" s="13"/>
      <c r="D948" s="13"/>
    </row>
    <row r="949" spans="1:4" ht="13" x14ac:dyDescent="0.15">
      <c r="A949" s="10"/>
      <c r="B949" s="13"/>
      <c r="C949" s="13"/>
      <c r="D949" s="13"/>
    </row>
    <row r="950" spans="1:4" ht="13" x14ac:dyDescent="0.15">
      <c r="A950" s="10"/>
      <c r="B950" s="13"/>
      <c r="C950" s="13"/>
      <c r="D950" s="13"/>
    </row>
    <row r="951" spans="1:4" ht="13" x14ac:dyDescent="0.15">
      <c r="A951" s="10"/>
      <c r="B951" s="13"/>
      <c r="C951" s="13"/>
      <c r="D951" s="13"/>
    </row>
    <row r="952" spans="1:4" ht="13" x14ac:dyDescent="0.15">
      <c r="A952" s="10"/>
      <c r="B952" s="13"/>
      <c r="C952" s="13"/>
      <c r="D952" s="13"/>
    </row>
    <row r="953" spans="1:4" ht="13" x14ac:dyDescent="0.15">
      <c r="A953" s="10"/>
      <c r="B953" s="13"/>
      <c r="C953" s="13"/>
      <c r="D953" s="13"/>
    </row>
    <row r="954" spans="1:4" ht="13" x14ac:dyDescent="0.15">
      <c r="A954" s="10"/>
      <c r="B954" s="13"/>
      <c r="C954" s="13"/>
      <c r="D954" s="13"/>
    </row>
    <row r="955" spans="1:4" ht="13" x14ac:dyDescent="0.15">
      <c r="A955" s="10"/>
      <c r="B955" s="13"/>
      <c r="C955" s="13"/>
      <c r="D955" s="13"/>
    </row>
    <row r="956" spans="1:4" ht="13" x14ac:dyDescent="0.15">
      <c r="A956" s="10"/>
      <c r="B956" s="13"/>
      <c r="C956" s="13"/>
      <c r="D956" s="13"/>
    </row>
    <row r="957" spans="1:4" ht="13" x14ac:dyDescent="0.15">
      <c r="A957" s="10"/>
      <c r="B957" s="13"/>
      <c r="C957" s="13"/>
      <c r="D957" s="13"/>
    </row>
    <row r="958" spans="1:4" ht="13" x14ac:dyDescent="0.15">
      <c r="A958" s="10"/>
      <c r="B958" s="13"/>
      <c r="C958" s="13"/>
      <c r="D958" s="13"/>
    </row>
    <row r="959" spans="1:4" ht="13" x14ac:dyDescent="0.15">
      <c r="A959" s="10"/>
      <c r="B959" s="13"/>
      <c r="C959" s="13"/>
      <c r="D959" s="13"/>
    </row>
    <row r="960" spans="1:4" ht="13" x14ac:dyDescent="0.15">
      <c r="A960" s="10"/>
      <c r="B960" s="13"/>
      <c r="C960" s="13"/>
      <c r="D960" s="13"/>
    </row>
    <row r="961" spans="1:4" ht="13" x14ac:dyDescent="0.15">
      <c r="A961" s="10"/>
      <c r="B961" s="13"/>
      <c r="C961" s="13"/>
      <c r="D961" s="13"/>
    </row>
    <row r="962" spans="1:4" ht="13" x14ac:dyDescent="0.15">
      <c r="A962" s="10"/>
      <c r="B962" s="13"/>
      <c r="C962" s="13"/>
      <c r="D962" s="13"/>
    </row>
    <row r="963" spans="1:4" ht="13" x14ac:dyDescent="0.15">
      <c r="A963" s="10"/>
      <c r="B963" s="13"/>
      <c r="C963" s="13"/>
      <c r="D963" s="13"/>
    </row>
    <row r="964" spans="1:4" ht="13" x14ac:dyDescent="0.15">
      <c r="A964" s="10"/>
      <c r="B964" s="13"/>
      <c r="C964" s="13"/>
      <c r="D964" s="13"/>
    </row>
    <row r="965" spans="1:4" ht="13" x14ac:dyDescent="0.15">
      <c r="A965" s="10"/>
      <c r="B965" s="13"/>
      <c r="C965" s="13"/>
      <c r="D965" s="13"/>
    </row>
    <row r="966" spans="1:4" ht="13" x14ac:dyDescent="0.15">
      <c r="A966" s="10"/>
      <c r="B966" s="13"/>
      <c r="C966" s="13"/>
      <c r="D966" s="13"/>
    </row>
    <row r="967" spans="1:4" ht="13" x14ac:dyDescent="0.15">
      <c r="A967" s="10"/>
      <c r="B967" s="13"/>
      <c r="C967" s="13"/>
      <c r="D967" s="13"/>
    </row>
    <row r="968" spans="1:4" ht="13" x14ac:dyDescent="0.15">
      <c r="A968" s="10"/>
      <c r="B968" s="13"/>
      <c r="C968" s="13"/>
      <c r="D968" s="13"/>
    </row>
    <row r="969" spans="1:4" ht="13" x14ac:dyDescent="0.15">
      <c r="A969" s="10"/>
      <c r="B969" s="13"/>
      <c r="C969" s="13"/>
      <c r="D969" s="13"/>
    </row>
    <row r="970" spans="1:4" ht="13" x14ac:dyDescent="0.15">
      <c r="A970" s="10"/>
      <c r="B970" s="13"/>
      <c r="C970" s="13"/>
      <c r="D970" s="13"/>
    </row>
    <row r="971" spans="1:4" ht="13" x14ac:dyDescent="0.15">
      <c r="A971" s="10"/>
      <c r="B971" s="13"/>
      <c r="C971" s="13"/>
      <c r="D971" s="13"/>
    </row>
    <row r="972" spans="1:4" ht="13" x14ac:dyDescent="0.15">
      <c r="A972" s="10"/>
      <c r="B972" s="13"/>
      <c r="C972" s="13"/>
      <c r="D972" s="13"/>
    </row>
    <row r="973" spans="1:4" ht="13" x14ac:dyDescent="0.15">
      <c r="A973" s="10"/>
      <c r="B973" s="13"/>
      <c r="C973" s="13"/>
      <c r="D973" s="13"/>
    </row>
    <row r="974" spans="1:4" ht="13" x14ac:dyDescent="0.15">
      <c r="A974" s="10"/>
      <c r="B974" s="13"/>
      <c r="C974" s="13"/>
      <c r="D974" s="13"/>
    </row>
    <row r="975" spans="1:4" ht="13" x14ac:dyDescent="0.15">
      <c r="A975" s="10"/>
      <c r="B975" s="13"/>
      <c r="C975" s="13"/>
      <c r="D975" s="13"/>
    </row>
    <row r="976" spans="1:4" ht="13" x14ac:dyDescent="0.15">
      <c r="A976" s="10"/>
      <c r="B976" s="13"/>
      <c r="C976" s="13"/>
      <c r="D976" s="13"/>
    </row>
    <row r="977" spans="1:4" ht="13" x14ac:dyDescent="0.15">
      <c r="A977" s="10"/>
      <c r="B977" s="13"/>
      <c r="C977" s="13"/>
      <c r="D977" s="13"/>
    </row>
    <row r="978" spans="1:4" ht="13" x14ac:dyDescent="0.15">
      <c r="A978" s="10"/>
      <c r="B978" s="13"/>
      <c r="C978" s="13"/>
      <c r="D978" s="13"/>
    </row>
    <row r="979" spans="1:4" ht="13" x14ac:dyDescent="0.15">
      <c r="A979" s="10"/>
      <c r="B979" s="13"/>
      <c r="C979" s="13"/>
      <c r="D979" s="13"/>
    </row>
    <row r="980" spans="1:4" ht="13" x14ac:dyDescent="0.15">
      <c r="A980" s="10"/>
      <c r="B980" s="13"/>
      <c r="C980" s="13"/>
      <c r="D980" s="13"/>
    </row>
    <row r="981" spans="1:4" ht="13" x14ac:dyDescent="0.15">
      <c r="A981" s="10"/>
      <c r="B981" s="13"/>
      <c r="C981" s="13"/>
      <c r="D981" s="13"/>
    </row>
    <row r="982" spans="1:4" ht="13" x14ac:dyDescent="0.15">
      <c r="A982" s="10"/>
      <c r="B982" s="13"/>
      <c r="C982" s="13"/>
      <c r="D982" s="13"/>
    </row>
    <row r="983" spans="1:4" ht="13" x14ac:dyDescent="0.15">
      <c r="A983" s="10"/>
      <c r="B983" s="13"/>
      <c r="C983" s="13"/>
      <c r="D983" s="13"/>
    </row>
    <row r="984" spans="1:4" ht="13" x14ac:dyDescent="0.15">
      <c r="A984" s="10"/>
      <c r="B984" s="13"/>
      <c r="C984" s="13"/>
      <c r="D984" s="13"/>
    </row>
    <row r="985" spans="1:4" ht="13" x14ac:dyDescent="0.15">
      <c r="A985" s="10"/>
      <c r="B985" s="13"/>
      <c r="C985" s="13"/>
      <c r="D985" s="13"/>
    </row>
    <row r="986" spans="1:4" ht="13" x14ac:dyDescent="0.15">
      <c r="A986" s="10"/>
      <c r="B986" s="13"/>
      <c r="C986" s="13"/>
      <c r="D986" s="13"/>
    </row>
    <row r="987" spans="1:4" ht="13" x14ac:dyDescent="0.15">
      <c r="A987" s="10"/>
      <c r="B987" s="13"/>
      <c r="C987" s="13"/>
      <c r="D987" s="13"/>
    </row>
    <row r="988" spans="1:4" ht="13" x14ac:dyDescent="0.15">
      <c r="A988" s="10"/>
      <c r="B988" s="13"/>
      <c r="C988" s="13"/>
      <c r="D988" s="13"/>
    </row>
    <row r="989" spans="1:4" ht="13" x14ac:dyDescent="0.15">
      <c r="A989" s="10"/>
      <c r="B989" s="13"/>
      <c r="C989" s="13"/>
      <c r="D989" s="13"/>
    </row>
    <row r="990" spans="1:4" ht="13" x14ac:dyDescent="0.15">
      <c r="A990" s="10"/>
      <c r="B990" s="13"/>
      <c r="C990" s="13"/>
      <c r="D990" s="13"/>
    </row>
    <row r="991" spans="1:4" ht="13" x14ac:dyDescent="0.15">
      <c r="A991" s="10"/>
      <c r="B991" s="13"/>
      <c r="C991" s="13"/>
      <c r="D991" s="13"/>
    </row>
    <row r="992" spans="1:4" ht="13" x14ac:dyDescent="0.15">
      <c r="A992" s="10"/>
      <c r="B992" s="13"/>
      <c r="C992" s="13"/>
      <c r="D992" s="13"/>
    </row>
    <row r="993" spans="1:4" ht="13" x14ac:dyDescent="0.15">
      <c r="A993" s="10"/>
      <c r="B993" s="13"/>
      <c r="C993" s="13"/>
      <c r="D993" s="13"/>
    </row>
    <row r="994" spans="1:4" ht="13" x14ac:dyDescent="0.15">
      <c r="A994" s="10"/>
      <c r="B994" s="13"/>
      <c r="C994" s="13"/>
      <c r="D994" s="13"/>
    </row>
    <row r="995" spans="1:4" ht="13" x14ac:dyDescent="0.15">
      <c r="A995" s="10"/>
      <c r="B995" s="13"/>
      <c r="C995" s="13"/>
      <c r="D995" s="13"/>
    </row>
    <row r="996" spans="1:4" ht="13" x14ac:dyDescent="0.15">
      <c r="A996" s="10"/>
      <c r="B996" s="13"/>
      <c r="C996" s="13"/>
      <c r="D996" s="13"/>
    </row>
    <row r="997" spans="1:4" ht="13" x14ac:dyDescent="0.15">
      <c r="A997" s="10"/>
      <c r="B997" s="13"/>
      <c r="C997" s="13"/>
      <c r="D997" s="13"/>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outlinePr summaryBelow="0" summaryRight="0"/>
  </sheetPr>
  <dimension ref="A1:D997"/>
  <sheetViews>
    <sheetView workbookViewId="0"/>
  </sheetViews>
  <sheetFormatPr baseColWidth="10" defaultColWidth="12.6640625" defaultRowHeight="15.75" customHeight="1" x14ac:dyDescent="0.15"/>
  <cols>
    <col min="1" max="1" width="71.5" customWidth="1"/>
    <col min="2" max="4" width="37.6640625" customWidth="1"/>
  </cols>
  <sheetData>
    <row r="1" spans="1:4" ht="15.75" customHeight="1" x14ac:dyDescent="0.15">
      <c r="A1" s="1"/>
      <c r="B1" s="12" t="str">
        <f ca="1">IFERROR(__xludf.DUMMYFUNCTION("IMPORTRANGE(""https://docs.google.com/spreadsheets/d/19FYWDv6QyCNB_zbElAOE5cOI1IJ2jraXGOFWNs-qsQM"",""A56!B1:B22"")"),"Braden Brennan")</f>
        <v>Braden Brennan</v>
      </c>
      <c r="C1" s="10" t="str">
        <f ca="1">IFERROR(__xludf.DUMMYFUNCTION("IMPORTRANGE(""https://docs.google.com/spreadsheets/u/0/d/1QLAeYl5D81_Myo-agZdCgYFm7rliPzxg4xkt-QHL9OA"", ""A56!B1:B22"")"),"Rin Godfrey")</f>
        <v>Rin Godfrey</v>
      </c>
      <c r="D1" s="2" t="s">
        <v>1</v>
      </c>
    </row>
    <row r="2" spans="1:4" ht="15.75" customHeight="1" x14ac:dyDescent="0.15">
      <c r="A2" s="3" t="s">
        <v>2</v>
      </c>
      <c r="B2" s="15" t="str">
        <f ca="1">IFERROR(__xludf.DUMMYFUNCTION("""COMPUTED_VALUE"""),"31843 - 32010")</f>
        <v>31843 - 32010</v>
      </c>
      <c r="C2" s="15" t="str">
        <f ca="1">IFERROR(__xludf.DUMMYFUNCTION("""COMPUTED_VALUE"""),"Start: 31843
Stop: 32010 FOR")</f>
        <v>Start: 31843
Stop: 32010 FOR</v>
      </c>
      <c r="D2" s="4"/>
    </row>
    <row r="3" spans="1:4" ht="15.75" customHeight="1" x14ac:dyDescent="0.15">
      <c r="A3" s="5" t="s">
        <v>3</v>
      </c>
      <c r="B3" s="17" t="str">
        <f ca="1">IFERROR(__xludf.DUMMYFUNCTION("""COMPUTED_VALUE"""),"DNAM: 55     PHAM: 56")</f>
        <v>DNAM: 55     PHAM: 56</v>
      </c>
      <c r="C3" s="17" t="str">
        <f ca="1">IFERROR(__xludf.DUMMYFUNCTION("""COMPUTED_VALUE"""),"DNA Master 55
Phamerator 56")</f>
        <v>DNA Master 55
Phamerator 56</v>
      </c>
      <c r="D3" s="6"/>
    </row>
    <row r="4" spans="1:4" ht="15.75" customHeight="1" x14ac:dyDescent="0.15">
      <c r="A4" s="5" t="s">
        <v>4</v>
      </c>
      <c r="B4" s="17" t="str">
        <f ca="1">IFERROR(__xludf.DUMMYFUNCTION("""COMPUTED_VALUE"""),"pham 209950   3/10/25")</f>
        <v>pham 209950   3/10/25</v>
      </c>
      <c r="C4" s="17" t="str">
        <f ca="1">IFERROR(__xludf.DUMMYFUNCTION("""COMPUTED_VALUE"""),"209950 3/13/25")</f>
        <v>209950 3/13/25</v>
      </c>
      <c r="D4" s="6"/>
    </row>
    <row r="5" spans="1:4" ht="15.75" customHeight="1" x14ac:dyDescent="0.15">
      <c r="A5" s="5" t="s">
        <v>5</v>
      </c>
      <c r="B5" s="17" t="str">
        <f ca="1">IFERROR(__xludf.DUMMYFUNCTION("""COMPUTED_VALUE"""),"Glimmer Call bp 31843 strength 12.39")</f>
        <v>Glimmer Call bp 31843 strength 12.39</v>
      </c>
      <c r="C5" s="17" t="str">
        <f ca="1">IFERROR(__xludf.DUMMYFUNCTION("""COMPUTED_VALUE"""),"Orpham")</f>
        <v>Orpham</v>
      </c>
      <c r="D5" s="6"/>
    </row>
    <row r="6" spans="1:4" ht="15.75" customHeight="1" x14ac:dyDescent="0.15">
      <c r="A6" s="5" t="s">
        <v>6</v>
      </c>
      <c r="B6" s="17" t="str">
        <f ca="1">IFERROR(__xludf.DUMMYFUNCTION("""COMPUTED_VALUE"""),"Yes both call this gene the same")</f>
        <v>Yes both call this gene the same</v>
      </c>
      <c r="C6" s="17" t="str">
        <f ca="1">IFERROR(__xludf.DUMMYFUNCTION("""COMPUTED_VALUE"""),"Both at a strength of 12.39")</f>
        <v>Both at a strength of 12.39</v>
      </c>
      <c r="D6" s="6"/>
    </row>
    <row r="7" spans="1:4" ht="15.75" customHeight="1" x14ac:dyDescent="0.15">
      <c r="A7" s="5" t="s">
        <v>7</v>
      </c>
      <c r="B7" s="17" t="str">
        <f ca="1">IFERROR(__xludf.DUMMYFUNCTION("""COMPUTED_VALUE"""),"Has good coding potential with the entire gene captured")</f>
        <v>Has good coding potential with the entire gene captured</v>
      </c>
      <c r="C7" s="17" t="str">
        <f ca="1">IFERROR(__xludf.DUMMYFUNCTION("""COMPUTED_VALUE"""),"It is good but left some coding potential at the beginning.")</f>
        <v>It is good but left some coding potential at the beginning.</v>
      </c>
      <c r="D7" s="6"/>
    </row>
    <row r="8" spans="1:4" ht="15.75" customHeight="1" x14ac:dyDescent="0.15">
      <c r="A8" s="5" t="s">
        <v>8</v>
      </c>
      <c r="B8" s="17" t="str">
        <f ca="1">IFERROR(__xludf.DUMMYFUNCTION("""COMPUTED_VALUE"""),"Yes this is the longest possible")</f>
        <v>Yes this is the longest possible</v>
      </c>
      <c r="C8" s="17" t="str">
        <f ca="1">IFERROR(__xludf.DUMMYFUNCTION("""COMPUTED_VALUE"""),"There could be two possible starts before the one that is called.")</f>
        <v>There could be two possible starts before the one that is called.</v>
      </c>
      <c r="D8" s="6"/>
    </row>
    <row r="9" spans="1:4" ht="15.75" customHeight="1" x14ac:dyDescent="0.15">
      <c r="A9" s="5" t="s">
        <v>9</v>
      </c>
      <c r="B9" s="17" t="str">
        <f ca="1">IFERROR(__xludf.DUMMYFUNCTION("""COMPUTED_VALUE"""),"There is a 3 nucleotide overlap")</f>
        <v>There is a 3 nucleotide overlap</v>
      </c>
      <c r="C9" s="17" t="str">
        <f ca="1">IFERROR(__xludf.DUMMYFUNCTION("""COMPUTED_VALUE"""),"There is a gap of 71 nucleotides.")</f>
        <v>There is a gap of 71 nucleotides.</v>
      </c>
      <c r="D9" s="6"/>
    </row>
    <row r="10" spans="1:4" ht="15.75" customHeight="1" x14ac:dyDescent="0.15">
      <c r="A10" s="5" t="s">
        <v>10</v>
      </c>
      <c r="B10" s="17" t="str">
        <f ca="1">IFERROR(__xludf.DUMMYFUNCTION("""COMPUTED_VALUE"""),"Z score: 2.863     Final: -2.725")</f>
        <v>Z score: 2.863     Final: -2.725</v>
      </c>
      <c r="C10" s="17" t="str">
        <f ca="1">IFERROR(__xludf.DUMMYFUNCTION("""COMPUTED_VALUE"""),"z-score 3.090 and F-score -2.297 it is the best one show.")</f>
        <v>z-score 3.090 and F-score -2.297 it is the best one show.</v>
      </c>
      <c r="D10" s="6"/>
    </row>
    <row r="11" spans="1:4" ht="15.75" customHeight="1" x14ac:dyDescent="0.15">
      <c r="A11" s="5" t="s">
        <v>11</v>
      </c>
      <c r="B11" s="17" t="str">
        <f ca="1">IFERROR(__xludf.DUMMYFUNCTION("""COMPUTED_VALUE"""),"Orphan- ACT domain-containing protien")</f>
        <v>Orphan- ACT domain-containing protien</v>
      </c>
      <c r="C11" s="17" t="str">
        <f ca="1">IFERROR(__xludf.DUMMYFUNCTION("""COMPUTED_VALUE"""),"None shown")</f>
        <v>None shown</v>
      </c>
      <c r="D11" s="6"/>
    </row>
    <row r="12" spans="1:4" ht="15.75" customHeight="1" x14ac:dyDescent="0.15">
      <c r="A12" s="5" t="s">
        <v>12</v>
      </c>
      <c r="B12" s="17" t="str">
        <f ca="1">IFERROR(__xludf.DUMMYFUNCTION("""COMPUTED_VALUE"""),"Gene is an orphan")</f>
        <v>Gene is an orphan</v>
      </c>
      <c r="C12" s="17" t="str">
        <f ca="1">IFERROR(__xludf.DUMMYFUNCTION("""COMPUTED_VALUE"""),"Orpham")</f>
        <v>Orpham</v>
      </c>
      <c r="D12" s="6"/>
    </row>
    <row r="13" spans="1:4" ht="15.75" customHeight="1" x14ac:dyDescent="0.15">
      <c r="A13" s="5" t="s">
        <v>13</v>
      </c>
      <c r="B13" s="17" t="str">
        <f ca="1">IFERROR(__xludf.DUMMYFUNCTION("""COMPUTED_VALUE"""),"No start should not be changed")</f>
        <v>No start should not be changed</v>
      </c>
      <c r="C13" s="17" t="str">
        <f ca="1">IFERROR(__xludf.DUMMYFUNCTION("""COMPUTED_VALUE"""),"This gene should be deleted the gap it would leave would only be 235 nucleotide and it is an Orpham with no compatible genes.")</f>
        <v>This gene should be deleted the gap it would leave would only be 235 nucleotide and it is an Orpham with no compatible genes.</v>
      </c>
      <c r="D13" s="6"/>
    </row>
    <row r="14" spans="1:4" ht="15.75" customHeight="1" x14ac:dyDescent="0.15">
      <c r="A14" s="5" t="s">
        <v>14</v>
      </c>
      <c r="B14" s="17" t="str">
        <f ca="1">IFERROR(__xludf.DUMMYFUNCTION("""COMPUTED_VALUE"""),"Orphan")</f>
        <v>Orphan</v>
      </c>
      <c r="C14" s="17" t="str">
        <f ca="1">IFERROR(__xludf.DUMMYFUNCTION("""COMPUTED_VALUE"""),"BirdsNest_92, e5.3 ")</f>
        <v xml:space="preserve">BirdsNest_92, e5.3 </v>
      </c>
      <c r="D14" s="6"/>
    </row>
    <row r="15" spans="1:4" ht="15.75" customHeight="1" x14ac:dyDescent="0.15">
      <c r="A15" s="5" t="s">
        <v>15</v>
      </c>
      <c r="B15" s="17" t="str">
        <f ca="1">IFERROR(__xludf.DUMMYFUNCTION("""COMPUTED_VALUE"""),"Orphan ")</f>
        <v xml:space="preserve">Orphan </v>
      </c>
      <c r="C15" s="17" t="str">
        <f ca="1">IFERROR(__xludf.DUMMYFUNCTION("""COMPUTED_VALUE"""),"Unknown Function")</f>
        <v>Unknown Function</v>
      </c>
      <c r="D15" s="6"/>
    </row>
    <row r="16" spans="1:4" ht="15.75" customHeight="1" x14ac:dyDescent="0.15">
      <c r="A16" s="5" t="s">
        <v>16</v>
      </c>
      <c r="B16" s="17" t="str">
        <f ca="1">IFERROR(__xludf.DUMMYFUNCTION("""COMPUTED_VALUE"""),"hypothetical protiens are around the protien for instance ApoKipo 57 alines with Kovu 55")</f>
        <v>hypothetical protiens are around the protien for instance ApoKipo 57 alines with Kovu 55</v>
      </c>
      <c r="C16" s="17" t="str">
        <f ca="1">IFERROR(__xludf.DUMMYFUNCTION("""COMPUTED_VALUE"""),"Not good it does not match anything surrounding it or Kovu.")</f>
        <v>Not good it does not match anything surrounding it or Kovu.</v>
      </c>
      <c r="D16" s="6"/>
    </row>
    <row r="17" spans="1:4" ht="15.75" customHeight="1" x14ac:dyDescent="0.15">
      <c r="A17" s="5" t="s">
        <v>17</v>
      </c>
      <c r="B17" s="17" t="str">
        <f ca="1">IFERROR(__xludf.DUMMYFUNCTION("""COMPUTED_VALUE"""),"B-cell antigen receptor complex-associated protein alpha chain. Probability: 90.72%   % alignment of query: 42.86      % alignment of Target: 17.52")</f>
        <v>B-cell antigen receptor complex-associated protein alpha chain. Probability: 90.72%   % alignment of query: 42.86      % alignment of Target: 17.52</v>
      </c>
      <c r="C17" s="17" t="str">
        <f ca="1">IFERROR(__xludf.DUMMYFUNCTION("""COMPUTED_VALUE"""),"7WSO_A B-cell antigen receptor complex-associated protein alpha chain; membrane, IMMUNE SYSTEM; 3.03A {Homo sapiens}
Probability: 90.64%
Query: 44%
Target: 18%
The functional domain is a part of the targeted alignment.
")</f>
        <v xml:space="preserve">7WSO_A B-cell antigen receptor complex-associated protein alpha chain; membrane, IMMUNE SYSTEM; 3.03A {Homo sapiens}
Probability: 90.64%
Query: 44%
Target: 18%
The functional domain is a part of the targeted alignment.
</v>
      </c>
      <c r="D17" s="6"/>
    </row>
    <row r="18" spans="1:4" ht="15.75" customHeight="1" x14ac:dyDescent="0.15">
      <c r="A18" s="5" t="s">
        <v>18</v>
      </c>
      <c r="B18" s="17" t="str">
        <f ca="1">IFERROR(__xludf.DUMMYFUNCTION("""COMPUTED_VALUE"""),"none detected ")</f>
        <v xml:space="preserve">none detected </v>
      </c>
      <c r="C18" s="17" t="str">
        <f ca="1">IFERROR(__xludf.DUMMYFUNCTION("""COMPUTED_VALUE"""),"None shown")</f>
        <v>None shown</v>
      </c>
      <c r="D18" s="6"/>
    </row>
    <row r="19" spans="1:4" ht="15.75" customHeight="1" x14ac:dyDescent="0.15">
      <c r="A19" s="5" t="s">
        <v>19</v>
      </c>
      <c r="B19" s="17" t="str">
        <f ca="1">IFERROR(__xludf.DUMMYFUNCTION("""COMPUTED_VALUE"""),"Protein would go through the membrane from inside to outside")</f>
        <v>Protein would go through the membrane from inside to outside</v>
      </c>
      <c r="C19" s="17" t="str">
        <f ca="1">IFERROR(__xludf.DUMMYFUNCTION("""COMPUTED_VALUE"""),"domain match
deeptmhmm
Query Start (Amino Acid Position): 4
Query End (Amino Acid Position): 22
Type: transmembrane")</f>
        <v>domain match
deeptmhmm
Query Start (Amino Acid Position): 4
Query End (Amino Acid Position): 22
Type: transmembrane</v>
      </c>
      <c r="D19" s="6"/>
    </row>
    <row r="20" spans="1:4" ht="15.75" customHeight="1" x14ac:dyDescent="0.15">
      <c r="A20" s="5" t="s">
        <v>20</v>
      </c>
      <c r="B20" s="17" t="str">
        <f ca="1">IFERROR(__xludf.DUMMYFUNCTION("""COMPUTED_VALUE"""),"Some kind of integral protein")</f>
        <v>Some kind of integral protein</v>
      </c>
      <c r="C20" s="17" t="str">
        <f ca="1">IFERROR(__xludf.DUMMYFUNCTION("""COMPUTED_VALUE"""),"No function the evidence shows that even with there being a match to a transmembrane, domain match it is not sufficient evidence to call anything.")</f>
        <v>No function the evidence shows that even with there being a match to a transmembrane, domain match it is not sufficient evidence to call anything.</v>
      </c>
      <c r="D20" s="6"/>
    </row>
    <row r="21" spans="1:4" x14ac:dyDescent="0.2">
      <c r="A21" s="7"/>
      <c r="B21" s="19"/>
      <c r="C21" s="19"/>
      <c r="D21" s="8"/>
    </row>
    <row r="22" spans="1:4" ht="15.75" customHeight="1" x14ac:dyDescent="0.15">
      <c r="A22" s="9" t="s">
        <v>21</v>
      </c>
      <c r="B22" s="19"/>
      <c r="C22" s="19"/>
      <c r="D22" s="8"/>
    </row>
    <row r="23" spans="1:4" ht="15.75" customHeight="1" x14ac:dyDescent="0.15">
      <c r="A23" s="10"/>
      <c r="B23" s="13"/>
      <c r="C23" s="13"/>
    </row>
    <row r="24" spans="1:4" ht="15.75" customHeight="1" x14ac:dyDescent="0.15">
      <c r="A24" s="10"/>
      <c r="B24" s="13"/>
      <c r="C24" s="13"/>
    </row>
    <row r="25" spans="1:4" ht="15.75" customHeight="1" x14ac:dyDescent="0.15">
      <c r="A25" s="10"/>
      <c r="B25" s="13"/>
      <c r="C25" s="13"/>
    </row>
    <row r="26" spans="1:4" ht="15.75" customHeight="1" x14ac:dyDescent="0.15">
      <c r="A26" s="10"/>
      <c r="B26" s="13"/>
      <c r="C26" s="13"/>
    </row>
    <row r="27" spans="1:4" ht="15.75" customHeight="1" x14ac:dyDescent="0.15">
      <c r="A27" s="10"/>
      <c r="B27" s="13"/>
      <c r="C27" s="13"/>
    </row>
    <row r="28" spans="1:4" ht="15.75" customHeight="1" x14ac:dyDescent="0.15">
      <c r="A28" s="10"/>
      <c r="B28" s="13"/>
      <c r="C28" s="13"/>
    </row>
    <row r="29" spans="1:4" ht="15.75" customHeight="1" x14ac:dyDescent="0.15">
      <c r="A29" s="10"/>
      <c r="B29" s="13"/>
      <c r="C29" s="13"/>
    </row>
    <row r="30" spans="1:4" ht="15.75" customHeight="1" x14ac:dyDescent="0.15">
      <c r="A30" s="10"/>
      <c r="B30" s="13"/>
      <c r="C30" s="13"/>
    </row>
    <row r="31" spans="1:4" ht="15.75" customHeight="1" x14ac:dyDescent="0.15">
      <c r="A31" s="10"/>
      <c r="B31" s="13"/>
      <c r="C31" s="13"/>
    </row>
    <row r="32" spans="1:4" ht="15.75" customHeight="1" x14ac:dyDescent="0.15">
      <c r="A32" s="10"/>
      <c r="B32" s="13"/>
      <c r="C32" s="13"/>
    </row>
    <row r="33" spans="1:3" ht="15.75" customHeight="1" x14ac:dyDescent="0.15">
      <c r="A33" s="10"/>
      <c r="B33" s="13"/>
      <c r="C33" s="13"/>
    </row>
    <row r="34" spans="1:3" ht="15.75" customHeight="1" x14ac:dyDescent="0.15">
      <c r="A34" s="10"/>
      <c r="B34" s="13"/>
      <c r="C34" s="13"/>
    </row>
    <row r="35" spans="1:3" ht="15.75" customHeight="1" x14ac:dyDescent="0.15">
      <c r="A35" s="10"/>
      <c r="B35" s="13"/>
      <c r="C35" s="13"/>
    </row>
    <row r="36" spans="1:3" ht="15.75" customHeight="1" x14ac:dyDescent="0.15">
      <c r="A36" s="10"/>
      <c r="B36" s="13"/>
      <c r="C36" s="13"/>
    </row>
    <row r="37" spans="1:3" ht="15.75" customHeight="1" x14ac:dyDescent="0.15">
      <c r="A37" s="10"/>
      <c r="B37" s="13"/>
      <c r="C37" s="13"/>
    </row>
    <row r="38" spans="1:3" ht="15.75" customHeight="1" x14ac:dyDescent="0.15">
      <c r="A38" s="10"/>
      <c r="B38" s="13"/>
      <c r="C38" s="13"/>
    </row>
    <row r="39" spans="1:3" ht="13" x14ac:dyDescent="0.15">
      <c r="A39" s="10"/>
      <c r="B39" s="13"/>
      <c r="C39" s="13"/>
    </row>
    <row r="40" spans="1:3" ht="13" x14ac:dyDescent="0.15">
      <c r="A40" s="10"/>
      <c r="B40" s="13"/>
      <c r="C40" s="13"/>
    </row>
    <row r="41" spans="1:3" ht="13" x14ac:dyDescent="0.15">
      <c r="A41" s="10"/>
      <c r="B41" s="13"/>
      <c r="C41" s="13"/>
    </row>
    <row r="42" spans="1:3" ht="13" x14ac:dyDescent="0.15">
      <c r="A42" s="10"/>
      <c r="B42" s="13"/>
      <c r="C42" s="13"/>
    </row>
    <row r="43" spans="1:3" ht="13" x14ac:dyDescent="0.15">
      <c r="A43" s="10"/>
      <c r="B43" s="13"/>
      <c r="C43" s="13"/>
    </row>
    <row r="44" spans="1:3" ht="13" x14ac:dyDescent="0.15">
      <c r="A44" s="10"/>
      <c r="B44" s="13"/>
      <c r="C44" s="13"/>
    </row>
    <row r="45" spans="1:3" ht="13" x14ac:dyDescent="0.15">
      <c r="A45" s="10"/>
      <c r="B45" s="13"/>
      <c r="C45" s="13"/>
    </row>
    <row r="46" spans="1:3" ht="13" x14ac:dyDescent="0.15">
      <c r="A46" s="10"/>
      <c r="B46" s="13"/>
      <c r="C46" s="13"/>
    </row>
    <row r="47" spans="1:3" ht="13" x14ac:dyDescent="0.15">
      <c r="A47" s="10"/>
      <c r="B47" s="13"/>
      <c r="C47" s="13"/>
    </row>
    <row r="48" spans="1:3" ht="13" x14ac:dyDescent="0.15">
      <c r="A48" s="10"/>
      <c r="B48" s="13"/>
      <c r="C48" s="13"/>
    </row>
    <row r="49" spans="1:3" ht="13" x14ac:dyDescent="0.15">
      <c r="A49" s="10"/>
      <c r="B49" s="13"/>
      <c r="C49" s="13"/>
    </row>
    <row r="50" spans="1:3" ht="13" x14ac:dyDescent="0.15">
      <c r="A50" s="10"/>
      <c r="B50" s="13"/>
      <c r="C50" s="13"/>
    </row>
    <row r="51" spans="1:3" ht="13" x14ac:dyDescent="0.15">
      <c r="A51" s="10"/>
      <c r="B51" s="13"/>
      <c r="C51" s="13"/>
    </row>
    <row r="52" spans="1:3" ht="13" x14ac:dyDescent="0.15">
      <c r="A52" s="10"/>
      <c r="B52" s="13"/>
      <c r="C52" s="13"/>
    </row>
    <row r="53" spans="1:3" ht="13" x14ac:dyDescent="0.15">
      <c r="A53" s="10"/>
      <c r="B53" s="13"/>
      <c r="C53" s="13"/>
    </row>
    <row r="54" spans="1:3" ht="13" x14ac:dyDescent="0.15">
      <c r="A54" s="10"/>
      <c r="B54" s="13"/>
      <c r="C54" s="13"/>
    </row>
    <row r="55" spans="1:3" ht="13" x14ac:dyDescent="0.15">
      <c r="A55" s="10"/>
      <c r="B55" s="13"/>
      <c r="C55" s="13"/>
    </row>
    <row r="56" spans="1:3" ht="13" x14ac:dyDescent="0.15">
      <c r="A56" s="10"/>
      <c r="B56" s="13"/>
      <c r="C56" s="13"/>
    </row>
    <row r="57" spans="1:3" ht="13" x14ac:dyDescent="0.15">
      <c r="A57" s="10"/>
      <c r="B57" s="13"/>
      <c r="C57" s="13"/>
    </row>
    <row r="58" spans="1:3" ht="13" x14ac:dyDescent="0.15">
      <c r="A58" s="10"/>
      <c r="B58" s="13"/>
      <c r="C58" s="13"/>
    </row>
    <row r="59" spans="1:3" ht="13" x14ac:dyDescent="0.15">
      <c r="A59" s="10"/>
      <c r="B59" s="13"/>
      <c r="C59" s="13"/>
    </row>
    <row r="60" spans="1:3" ht="13" x14ac:dyDescent="0.15">
      <c r="A60" s="10"/>
      <c r="B60" s="13"/>
      <c r="C60" s="13"/>
    </row>
    <row r="61" spans="1:3" ht="13" x14ac:dyDescent="0.15">
      <c r="A61" s="10"/>
      <c r="B61" s="13"/>
      <c r="C61" s="13"/>
    </row>
    <row r="62" spans="1:3" ht="13" x14ac:dyDescent="0.15">
      <c r="A62" s="10"/>
      <c r="B62" s="13"/>
      <c r="C62" s="13"/>
    </row>
    <row r="63" spans="1:3" ht="13" x14ac:dyDescent="0.15">
      <c r="A63" s="10"/>
      <c r="B63" s="13"/>
      <c r="C63" s="13"/>
    </row>
    <row r="64" spans="1:3" ht="13" x14ac:dyDescent="0.15">
      <c r="A64" s="10"/>
      <c r="B64" s="13"/>
      <c r="C64" s="13"/>
    </row>
    <row r="65" spans="1:3" ht="13" x14ac:dyDescent="0.15">
      <c r="A65" s="10"/>
      <c r="B65" s="13"/>
      <c r="C65" s="13"/>
    </row>
    <row r="66" spans="1:3" ht="13" x14ac:dyDescent="0.15">
      <c r="A66" s="10"/>
      <c r="B66" s="13"/>
      <c r="C66" s="13"/>
    </row>
    <row r="67" spans="1:3" ht="13" x14ac:dyDescent="0.15">
      <c r="A67" s="10"/>
      <c r="B67" s="13"/>
      <c r="C67" s="13"/>
    </row>
    <row r="68" spans="1:3" ht="13" x14ac:dyDescent="0.15">
      <c r="A68" s="10"/>
      <c r="B68" s="13"/>
      <c r="C68" s="13"/>
    </row>
    <row r="69" spans="1:3" ht="13" x14ac:dyDescent="0.15">
      <c r="A69" s="10"/>
      <c r="B69" s="13"/>
      <c r="C69" s="13"/>
    </row>
    <row r="70" spans="1:3" ht="13" x14ac:dyDescent="0.15">
      <c r="A70" s="10"/>
      <c r="B70" s="13"/>
      <c r="C70" s="13"/>
    </row>
    <row r="71" spans="1:3" ht="13" x14ac:dyDescent="0.15">
      <c r="A71" s="10"/>
      <c r="B71" s="13"/>
      <c r="C71" s="13"/>
    </row>
    <row r="72" spans="1:3" ht="13" x14ac:dyDescent="0.15">
      <c r="A72" s="10"/>
      <c r="B72" s="13"/>
      <c r="C72" s="13"/>
    </row>
    <row r="73" spans="1:3" ht="13" x14ac:dyDescent="0.15">
      <c r="A73" s="10"/>
      <c r="B73" s="13"/>
      <c r="C73" s="13"/>
    </row>
    <row r="74" spans="1:3" ht="13" x14ac:dyDescent="0.15">
      <c r="A74" s="10"/>
      <c r="B74" s="13"/>
      <c r="C74" s="13"/>
    </row>
    <row r="75" spans="1:3" ht="13" x14ac:dyDescent="0.15">
      <c r="A75" s="10"/>
      <c r="B75" s="13"/>
      <c r="C75" s="13"/>
    </row>
    <row r="76" spans="1:3" ht="13" x14ac:dyDescent="0.15">
      <c r="A76" s="10"/>
      <c r="B76" s="13"/>
      <c r="C76" s="13"/>
    </row>
    <row r="77" spans="1:3" ht="13" x14ac:dyDescent="0.15">
      <c r="A77" s="10"/>
      <c r="B77" s="13"/>
      <c r="C77" s="13"/>
    </row>
    <row r="78" spans="1:3" ht="13" x14ac:dyDescent="0.15">
      <c r="A78" s="10"/>
      <c r="B78" s="13"/>
      <c r="C78" s="13"/>
    </row>
    <row r="79" spans="1:3" ht="13" x14ac:dyDescent="0.15">
      <c r="A79" s="10"/>
      <c r="B79" s="13"/>
      <c r="C79" s="13"/>
    </row>
    <row r="80" spans="1:3" ht="13" x14ac:dyDescent="0.15">
      <c r="A80" s="10"/>
      <c r="B80" s="13"/>
      <c r="C80" s="13"/>
    </row>
    <row r="81" spans="1:3" ht="13" x14ac:dyDescent="0.15">
      <c r="A81" s="10"/>
      <c r="B81" s="13"/>
      <c r="C81" s="13"/>
    </row>
    <row r="82" spans="1:3" ht="13" x14ac:dyDescent="0.15">
      <c r="A82" s="10"/>
      <c r="B82" s="13"/>
      <c r="C82" s="13"/>
    </row>
    <row r="83" spans="1:3" ht="13" x14ac:dyDescent="0.15">
      <c r="A83" s="10"/>
      <c r="B83" s="13"/>
      <c r="C83" s="13"/>
    </row>
    <row r="84" spans="1:3" ht="13" x14ac:dyDescent="0.15">
      <c r="A84" s="10"/>
      <c r="B84" s="13"/>
      <c r="C84" s="13"/>
    </row>
    <row r="85" spans="1:3" ht="13" x14ac:dyDescent="0.15">
      <c r="A85" s="10"/>
      <c r="B85" s="13"/>
      <c r="C85" s="13"/>
    </row>
    <row r="86" spans="1:3" ht="13" x14ac:dyDescent="0.15">
      <c r="A86" s="10"/>
      <c r="B86" s="13"/>
      <c r="C86" s="13"/>
    </row>
    <row r="87" spans="1:3" ht="13" x14ac:dyDescent="0.15">
      <c r="A87" s="10"/>
      <c r="B87" s="13"/>
      <c r="C87" s="13"/>
    </row>
    <row r="88" spans="1:3" ht="13" x14ac:dyDescent="0.15">
      <c r="A88" s="10"/>
      <c r="B88" s="13"/>
      <c r="C88" s="13"/>
    </row>
    <row r="89" spans="1:3" ht="13" x14ac:dyDescent="0.15">
      <c r="A89" s="10"/>
      <c r="B89" s="13"/>
      <c r="C89" s="13"/>
    </row>
    <row r="90" spans="1:3" ht="13" x14ac:dyDescent="0.15">
      <c r="A90" s="10"/>
      <c r="B90" s="13"/>
      <c r="C90" s="13"/>
    </row>
    <row r="91" spans="1:3" ht="13" x14ac:dyDescent="0.15">
      <c r="A91" s="10"/>
      <c r="B91" s="13"/>
      <c r="C91" s="13"/>
    </row>
    <row r="92" spans="1:3" ht="13" x14ac:dyDescent="0.15">
      <c r="A92" s="10"/>
      <c r="B92" s="13"/>
      <c r="C92" s="13"/>
    </row>
    <row r="93" spans="1:3" ht="13" x14ac:dyDescent="0.15">
      <c r="A93" s="10"/>
      <c r="B93" s="13"/>
      <c r="C93" s="13"/>
    </row>
    <row r="94" spans="1:3" ht="13" x14ac:dyDescent="0.15">
      <c r="A94" s="10"/>
      <c r="B94" s="13"/>
      <c r="C94" s="13"/>
    </row>
    <row r="95" spans="1:3" ht="13" x14ac:dyDescent="0.15">
      <c r="A95" s="10"/>
      <c r="B95" s="13"/>
      <c r="C95" s="13"/>
    </row>
    <row r="96" spans="1:3" ht="13" x14ac:dyDescent="0.15">
      <c r="A96" s="10"/>
      <c r="B96" s="13"/>
      <c r="C96" s="13"/>
    </row>
    <row r="97" spans="1:3" ht="13" x14ac:dyDescent="0.15">
      <c r="A97" s="10"/>
      <c r="B97" s="13"/>
      <c r="C97" s="13"/>
    </row>
    <row r="98" spans="1:3" ht="13" x14ac:dyDescent="0.15">
      <c r="A98" s="10"/>
      <c r="B98" s="13"/>
      <c r="C98" s="13"/>
    </row>
    <row r="99" spans="1:3" ht="13" x14ac:dyDescent="0.15">
      <c r="A99" s="10"/>
      <c r="B99" s="13"/>
      <c r="C99" s="13"/>
    </row>
    <row r="100" spans="1:3" ht="13" x14ac:dyDescent="0.15">
      <c r="A100" s="10"/>
      <c r="B100" s="13"/>
      <c r="C100" s="13"/>
    </row>
    <row r="101" spans="1:3" ht="13" x14ac:dyDescent="0.15">
      <c r="A101" s="10"/>
      <c r="B101" s="13"/>
      <c r="C101" s="13"/>
    </row>
    <row r="102" spans="1:3" ht="13" x14ac:dyDescent="0.15">
      <c r="A102" s="10"/>
      <c r="B102" s="13"/>
      <c r="C102" s="13"/>
    </row>
    <row r="103" spans="1:3" ht="13" x14ac:dyDescent="0.15">
      <c r="A103" s="10"/>
      <c r="B103" s="13"/>
      <c r="C103" s="13"/>
    </row>
    <row r="104" spans="1:3" ht="13" x14ac:dyDescent="0.15">
      <c r="A104" s="10"/>
      <c r="B104" s="13"/>
      <c r="C104" s="13"/>
    </row>
    <row r="105" spans="1:3" ht="13" x14ac:dyDescent="0.15">
      <c r="A105" s="10"/>
      <c r="B105" s="13"/>
      <c r="C105" s="13"/>
    </row>
    <row r="106" spans="1:3" ht="13" x14ac:dyDescent="0.15">
      <c r="A106" s="10"/>
      <c r="B106" s="13"/>
      <c r="C106" s="13"/>
    </row>
    <row r="107" spans="1:3" ht="13" x14ac:dyDescent="0.15">
      <c r="A107" s="10"/>
      <c r="B107" s="13"/>
      <c r="C107" s="13"/>
    </row>
    <row r="108" spans="1:3" ht="13" x14ac:dyDescent="0.15">
      <c r="A108" s="10"/>
      <c r="B108" s="13"/>
      <c r="C108" s="13"/>
    </row>
    <row r="109" spans="1:3" ht="13" x14ac:dyDescent="0.15">
      <c r="A109" s="10"/>
      <c r="B109" s="13"/>
      <c r="C109" s="13"/>
    </row>
    <row r="110" spans="1:3" ht="13" x14ac:dyDescent="0.15">
      <c r="A110" s="10"/>
      <c r="B110" s="13"/>
      <c r="C110" s="13"/>
    </row>
    <row r="111" spans="1:3" ht="13" x14ac:dyDescent="0.15">
      <c r="A111" s="10"/>
      <c r="B111" s="13"/>
      <c r="C111" s="13"/>
    </row>
    <row r="112" spans="1:3" ht="13" x14ac:dyDescent="0.15">
      <c r="A112" s="10"/>
      <c r="B112" s="13"/>
      <c r="C112" s="13"/>
    </row>
    <row r="113" spans="1:3" ht="13" x14ac:dyDescent="0.15">
      <c r="A113" s="10"/>
      <c r="B113" s="13"/>
      <c r="C113" s="13"/>
    </row>
    <row r="114" spans="1:3" ht="13" x14ac:dyDescent="0.15">
      <c r="A114" s="10"/>
      <c r="B114" s="13"/>
      <c r="C114" s="13"/>
    </row>
    <row r="115" spans="1:3" ht="13" x14ac:dyDescent="0.15">
      <c r="A115" s="10"/>
      <c r="B115" s="13"/>
      <c r="C115" s="13"/>
    </row>
    <row r="116" spans="1:3" ht="13" x14ac:dyDescent="0.15">
      <c r="A116" s="10"/>
      <c r="B116" s="13"/>
      <c r="C116" s="13"/>
    </row>
    <row r="117" spans="1:3" ht="13" x14ac:dyDescent="0.15">
      <c r="A117" s="10"/>
      <c r="B117" s="13"/>
      <c r="C117" s="13"/>
    </row>
    <row r="118" spans="1:3" ht="13" x14ac:dyDescent="0.15">
      <c r="A118" s="10"/>
      <c r="B118" s="13"/>
      <c r="C118" s="13"/>
    </row>
    <row r="119" spans="1:3" ht="13" x14ac:dyDescent="0.15">
      <c r="A119" s="10"/>
      <c r="B119" s="13"/>
      <c r="C119" s="13"/>
    </row>
    <row r="120" spans="1:3" ht="13" x14ac:dyDescent="0.15">
      <c r="A120" s="10"/>
      <c r="B120" s="13"/>
      <c r="C120" s="13"/>
    </row>
    <row r="121" spans="1:3" ht="13" x14ac:dyDescent="0.15">
      <c r="A121" s="10"/>
      <c r="B121" s="13"/>
      <c r="C121" s="13"/>
    </row>
    <row r="122" spans="1:3" ht="13" x14ac:dyDescent="0.15">
      <c r="A122" s="10"/>
      <c r="B122" s="13"/>
      <c r="C122" s="13"/>
    </row>
    <row r="123" spans="1:3" ht="13" x14ac:dyDescent="0.15">
      <c r="A123" s="10"/>
      <c r="B123" s="13"/>
      <c r="C123" s="13"/>
    </row>
    <row r="124" spans="1:3" ht="13" x14ac:dyDescent="0.15">
      <c r="A124" s="10"/>
      <c r="B124" s="13"/>
      <c r="C124" s="13"/>
    </row>
    <row r="125" spans="1:3" ht="13" x14ac:dyDescent="0.15">
      <c r="A125" s="10"/>
      <c r="B125" s="13"/>
      <c r="C125" s="13"/>
    </row>
    <row r="126" spans="1:3" ht="13" x14ac:dyDescent="0.15">
      <c r="A126" s="10"/>
      <c r="B126" s="13"/>
      <c r="C126" s="13"/>
    </row>
    <row r="127" spans="1:3" ht="13" x14ac:dyDescent="0.15">
      <c r="A127" s="10"/>
      <c r="B127" s="13"/>
      <c r="C127" s="13"/>
    </row>
    <row r="128" spans="1:3" ht="13" x14ac:dyDescent="0.15">
      <c r="A128" s="10"/>
      <c r="B128" s="13"/>
      <c r="C128" s="13"/>
    </row>
    <row r="129" spans="1:3" ht="13" x14ac:dyDescent="0.15">
      <c r="A129" s="10"/>
      <c r="B129" s="13"/>
      <c r="C129" s="13"/>
    </row>
    <row r="130" spans="1:3" ht="13" x14ac:dyDescent="0.15">
      <c r="A130" s="10"/>
      <c r="B130" s="13"/>
      <c r="C130" s="13"/>
    </row>
    <row r="131" spans="1:3" ht="13" x14ac:dyDescent="0.15">
      <c r="A131" s="10"/>
      <c r="B131" s="13"/>
      <c r="C131" s="13"/>
    </row>
    <row r="132" spans="1:3" ht="13" x14ac:dyDescent="0.15">
      <c r="A132" s="10"/>
      <c r="B132" s="13"/>
      <c r="C132" s="13"/>
    </row>
    <row r="133" spans="1:3" ht="13" x14ac:dyDescent="0.15">
      <c r="A133" s="10"/>
      <c r="B133" s="13"/>
      <c r="C133" s="13"/>
    </row>
    <row r="134" spans="1:3" ht="13" x14ac:dyDescent="0.15">
      <c r="A134" s="10"/>
      <c r="B134" s="13"/>
      <c r="C134" s="13"/>
    </row>
    <row r="135" spans="1:3" ht="13" x14ac:dyDescent="0.15">
      <c r="A135" s="10"/>
      <c r="B135" s="13"/>
      <c r="C135" s="13"/>
    </row>
    <row r="136" spans="1:3" ht="13" x14ac:dyDescent="0.15">
      <c r="A136" s="10"/>
      <c r="B136" s="13"/>
      <c r="C136" s="13"/>
    </row>
    <row r="137" spans="1:3" ht="13" x14ac:dyDescent="0.15">
      <c r="A137" s="10"/>
      <c r="B137" s="13"/>
      <c r="C137" s="13"/>
    </row>
    <row r="138" spans="1:3" ht="13" x14ac:dyDescent="0.15">
      <c r="A138" s="10"/>
      <c r="B138" s="13"/>
      <c r="C138" s="13"/>
    </row>
    <row r="139" spans="1:3" ht="13" x14ac:dyDescent="0.15">
      <c r="A139" s="10"/>
      <c r="B139" s="13"/>
      <c r="C139" s="13"/>
    </row>
    <row r="140" spans="1:3" ht="13" x14ac:dyDescent="0.15">
      <c r="A140" s="10"/>
      <c r="B140" s="13"/>
      <c r="C140" s="13"/>
    </row>
    <row r="141" spans="1:3" ht="13" x14ac:dyDescent="0.15">
      <c r="A141" s="10"/>
      <c r="B141" s="13"/>
      <c r="C141" s="13"/>
    </row>
    <row r="142" spans="1:3" ht="13" x14ac:dyDescent="0.15">
      <c r="A142" s="10"/>
      <c r="B142" s="13"/>
      <c r="C142" s="13"/>
    </row>
    <row r="143" spans="1:3" ht="13" x14ac:dyDescent="0.15">
      <c r="A143" s="10"/>
      <c r="B143" s="13"/>
      <c r="C143" s="13"/>
    </row>
    <row r="144" spans="1:3" ht="13" x14ac:dyDescent="0.15">
      <c r="A144" s="10"/>
      <c r="B144" s="13"/>
      <c r="C144" s="13"/>
    </row>
    <row r="145" spans="1:3" ht="13" x14ac:dyDescent="0.15">
      <c r="A145" s="10"/>
      <c r="B145" s="13"/>
      <c r="C145" s="13"/>
    </row>
    <row r="146" spans="1:3" ht="13" x14ac:dyDescent="0.15">
      <c r="A146" s="10"/>
      <c r="B146" s="13"/>
      <c r="C146" s="13"/>
    </row>
    <row r="147" spans="1:3" ht="13" x14ac:dyDescent="0.15">
      <c r="A147" s="10"/>
      <c r="B147" s="13"/>
      <c r="C147" s="13"/>
    </row>
    <row r="148" spans="1:3" ht="13" x14ac:dyDescent="0.15">
      <c r="A148" s="10"/>
      <c r="B148" s="13"/>
      <c r="C148" s="13"/>
    </row>
    <row r="149" spans="1:3" ht="13" x14ac:dyDescent="0.15">
      <c r="A149" s="10"/>
      <c r="B149" s="13"/>
      <c r="C149" s="13"/>
    </row>
    <row r="150" spans="1:3" ht="13" x14ac:dyDescent="0.15">
      <c r="A150" s="10"/>
      <c r="B150" s="13"/>
      <c r="C150" s="13"/>
    </row>
    <row r="151" spans="1:3" ht="13" x14ac:dyDescent="0.15">
      <c r="A151" s="10"/>
      <c r="B151" s="13"/>
      <c r="C151" s="13"/>
    </row>
    <row r="152" spans="1:3" ht="13" x14ac:dyDescent="0.15">
      <c r="A152" s="10"/>
      <c r="B152" s="13"/>
      <c r="C152" s="13"/>
    </row>
    <row r="153" spans="1:3" ht="13" x14ac:dyDescent="0.15">
      <c r="A153" s="10"/>
      <c r="B153" s="13"/>
      <c r="C153" s="13"/>
    </row>
    <row r="154" spans="1:3" ht="13" x14ac:dyDescent="0.15">
      <c r="A154" s="10"/>
      <c r="B154" s="13"/>
      <c r="C154" s="13"/>
    </row>
    <row r="155" spans="1:3" ht="13" x14ac:dyDescent="0.15">
      <c r="A155" s="10"/>
      <c r="B155" s="13"/>
      <c r="C155" s="13"/>
    </row>
    <row r="156" spans="1:3" ht="13" x14ac:dyDescent="0.15">
      <c r="A156" s="10"/>
      <c r="B156" s="13"/>
      <c r="C156" s="13"/>
    </row>
    <row r="157" spans="1:3" ht="13" x14ac:dyDescent="0.15">
      <c r="A157" s="10"/>
      <c r="B157" s="13"/>
      <c r="C157" s="13"/>
    </row>
    <row r="158" spans="1:3" ht="13" x14ac:dyDescent="0.15">
      <c r="A158" s="10"/>
      <c r="B158" s="13"/>
      <c r="C158" s="13"/>
    </row>
    <row r="159" spans="1:3" ht="13" x14ac:dyDescent="0.15">
      <c r="A159" s="10"/>
      <c r="B159" s="13"/>
      <c r="C159" s="13"/>
    </row>
    <row r="160" spans="1:3" ht="13" x14ac:dyDescent="0.15">
      <c r="A160" s="10"/>
      <c r="B160" s="13"/>
      <c r="C160" s="13"/>
    </row>
    <row r="161" spans="1:3" ht="13" x14ac:dyDescent="0.15">
      <c r="A161" s="10"/>
      <c r="B161" s="13"/>
      <c r="C161" s="13"/>
    </row>
    <row r="162" spans="1:3" ht="13" x14ac:dyDescent="0.15">
      <c r="A162" s="10"/>
      <c r="B162" s="13"/>
      <c r="C162" s="13"/>
    </row>
    <row r="163" spans="1:3" ht="13" x14ac:dyDescent="0.15">
      <c r="A163" s="10"/>
      <c r="B163" s="13"/>
      <c r="C163" s="13"/>
    </row>
    <row r="164" spans="1:3" ht="13" x14ac:dyDescent="0.15">
      <c r="A164" s="10"/>
      <c r="B164" s="13"/>
      <c r="C164" s="13"/>
    </row>
    <row r="165" spans="1:3" ht="13" x14ac:dyDescent="0.15">
      <c r="A165" s="10"/>
      <c r="B165" s="13"/>
      <c r="C165" s="13"/>
    </row>
    <row r="166" spans="1:3" ht="13" x14ac:dyDescent="0.15">
      <c r="A166" s="10"/>
      <c r="B166" s="13"/>
      <c r="C166" s="13"/>
    </row>
    <row r="167" spans="1:3" ht="13" x14ac:dyDescent="0.15">
      <c r="A167" s="10"/>
      <c r="B167" s="13"/>
      <c r="C167" s="13"/>
    </row>
    <row r="168" spans="1:3" ht="13" x14ac:dyDescent="0.15">
      <c r="A168" s="10"/>
      <c r="B168" s="13"/>
      <c r="C168" s="13"/>
    </row>
    <row r="169" spans="1:3" ht="13" x14ac:dyDescent="0.15">
      <c r="A169" s="10"/>
      <c r="B169" s="13"/>
      <c r="C169" s="13"/>
    </row>
    <row r="170" spans="1:3" ht="13" x14ac:dyDescent="0.15">
      <c r="A170" s="10"/>
      <c r="B170" s="13"/>
      <c r="C170" s="13"/>
    </row>
    <row r="171" spans="1:3" ht="13" x14ac:dyDescent="0.15">
      <c r="A171" s="10"/>
      <c r="B171" s="13"/>
      <c r="C171" s="13"/>
    </row>
    <row r="172" spans="1:3" ht="13" x14ac:dyDescent="0.15">
      <c r="A172" s="10"/>
      <c r="B172" s="13"/>
      <c r="C172" s="13"/>
    </row>
    <row r="173" spans="1:3" ht="13" x14ac:dyDescent="0.15">
      <c r="A173" s="10"/>
      <c r="B173" s="13"/>
      <c r="C173" s="13"/>
    </row>
    <row r="174" spans="1:3" ht="13" x14ac:dyDescent="0.15">
      <c r="A174" s="10"/>
      <c r="B174" s="13"/>
      <c r="C174" s="13"/>
    </row>
    <row r="175" spans="1:3" ht="13" x14ac:dyDescent="0.15">
      <c r="A175" s="10"/>
      <c r="B175" s="13"/>
      <c r="C175" s="13"/>
    </row>
    <row r="176" spans="1:3" ht="13" x14ac:dyDescent="0.15">
      <c r="A176" s="10"/>
      <c r="B176" s="13"/>
      <c r="C176" s="13"/>
    </row>
    <row r="177" spans="1:3" ht="13" x14ac:dyDescent="0.15">
      <c r="A177" s="10"/>
      <c r="B177" s="13"/>
      <c r="C177" s="13"/>
    </row>
    <row r="178" spans="1:3" ht="13" x14ac:dyDescent="0.15">
      <c r="A178" s="10"/>
      <c r="B178" s="13"/>
      <c r="C178" s="13"/>
    </row>
    <row r="179" spans="1:3" ht="13" x14ac:dyDescent="0.15">
      <c r="A179" s="10"/>
      <c r="B179" s="13"/>
      <c r="C179" s="13"/>
    </row>
    <row r="180" spans="1:3" ht="13" x14ac:dyDescent="0.15">
      <c r="A180" s="10"/>
      <c r="B180" s="13"/>
      <c r="C180" s="13"/>
    </row>
    <row r="181" spans="1:3" ht="13" x14ac:dyDescent="0.15">
      <c r="A181" s="10"/>
      <c r="B181" s="13"/>
      <c r="C181" s="13"/>
    </row>
    <row r="182" spans="1:3" ht="13" x14ac:dyDescent="0.15">
      <c r="A182" s="10"/>
      <c r="B182" s="13"/>
      <c r="C182" s="13"/>
    </row>
    <row r="183" spans="1:3" ht="13" x14ac:dyDescent="0.15">
      <c r="A183" s="10"/>
      <c r="B183" s="13"/>
      <c r="C183" s="13"/>
    </row>
    <row r="184" spans="1:3" ht="13" x14ac:dyDescent="0.15">
      <c r="A184" s="10"/>
      <c r="B184" s="13"/>
      <c r="C184" s="13"/>
    </row>
    <row r="185" spans="1:3" ht="13" x14ac:dyDescent="0.15">
      <c r="A185" s="10"/>
      <c r="B185" s="13"/>
      <c r="C185" s="13"/>
    </row>
    <row r="186" spans="1:3" ht="13" x14ac:dyDescent="0.15">
      <c r="A186" s="10"/>
      <c r="B186" s="13"/>
      <c r="C186" s="13"/>
    </row>
    <row r="187" spans="1:3" ht="13" x14ac:dyDescent="0.15">
      <c r="A187" s="10"/>
      <c r="B187" s="13"/>
      <c r="C187" s="13"/>
    </row>
    <row r="188" spans="1:3" ht="13" x14ac:dyDescent="0.15">
      <c r="A188" s="10"/>
      <c r="B188" s="13"/>
      <c r="C188" s="13"/>
    </row>
    <row r="189" spans="1:3" ht="13" x14ac:dyDescent="0.15">
      <c r="A189" s="10"/>
      <c r="B189" s="13"/>
      <c r="C189" s="13"/>
    </row>
    <row r="190" spans="1:3" ht="13" x14ac:dyDescent="0.15">
      <c r="A190" s="10"/>
      <c r="B190" s="13"/>
      <c r="C190" s="13"/>
    </row>
    <row r="191" spans="1:3" ht="13" x14ac:dyDescent="0.15">
      <c r="A191" s="10"/>
      <c r="B191" s="13"/>
      <c r="C191" s="13"/>
    </row>
    <row r="192" spans="1:3" ht="13" x14ac:dyDescent="0.15">
      <c r="A192" s="10"/>
      <c r="B192" s="13"/>
      <c r="C192" s="13"/>
    </row>
    <row r="193" spans="1:3" ht="13" x14ac:dyDescent="0.15">
      <c r="A193" s="10"/>
      <c r="B193" s="13"/>
      <c r="C193" s="13"/>
    </row>
    <row r="194" spans="1:3" ht="13" x14ac:dyDescent="0.15">
      <c r="A194" s="10"/>
      <c r="B194" s="13"/>
      <c r="C194" s="13"/>
    </row>
    <row r="195" spans="1:3" ht="13" x14ac:dyDescent="0.15">
      <c r="A195" s="10"/>
      <c r="B195" s="13"/>
      <c r="C195" s="13"/>
    </row>
    <row r="196" spans="1:3" ht="13" x14ac:dyDescent="0.15">
      <c r="A196" s="10"/>
      <c r="B196" s="13"/>
      <c r="C196" s="13"/>
    </row>
    <row r="197" spans="1:3" ht="13" x14ac:dyDescent="0.15">
      <c r="A197" s="10"/>
      <c r="B197" s="13"/>
      <c r="C197" s="13"/>
    </row>
    <row r="198" spans="1:3" ht="13" x14ac:dyDescent="0.15">
      <c r="A198" s="10"/>
      <c r="B198" s="13"/>
      <c r="C198" s="13"/>
    </row>
    <row r="199" spans="1:3" ht="13" x14ac:dyDescent="0.15">
      <c r="A199" s="10"/>
      <c r="B199" s="13"/>
      <c r="C199" s="13"/>
    </row>
    <row r="200" spans="1:3" ht="13" x14ac:dyDescent="0.15">
      <c r="A200" s="10"/>
      <c r="B200" s="13"/>
      <c r="C200" s="13"/>
    </row>
    <row r="201" spans="1:3" ht="13" x14ac:dyDescent="0.15">
      <c r="A201" s="10"/>
      <c r="B201" s="13"/>
      <c r="C201" s="13"/>
    </row>
    <row r="202" spans="1:3" ht="13" x14ac:dyDescent="0.15">
      <c r="A202" s="10"/>
      <c r="B202" s="13"/>
      <c r="C202" s="13"/>
    </row>
    <row r="203" spans="1:3" ht="13" x14ac:dyDescent="0.15">
      <c r="A203" s="10"/>
      <c r="B203" s="13"/>
      <c r="C203" s="13"/>
    </row>
    <row r="204" spans="1:3" ht="13" x14ac:dyDescent="0.15">
      <c r="A204" s="10"/>
      <c r="B204" s="13"/>
      <c r="C204" s="13"/>
    </row>
    <row r="205" spans="1:3" ht="13" x14ac:dyDescent="0.15">
      <c r="A205" s="10"/>
      <c r="B205" s="13"/>
      <c r="C205" s="13"/>
    </row>
    <row r="206" spans="1:3" ht="13" x14ac:dyDescent="0.15">
      <c r="A206" s="10"/>
      <c r="B206" s="13"/>
      <c r="C206" s="13"/>
    </row>
    <row r="207" spans="1:3" ht="13" x14ac:dyDescent="0.15">
      <c r="A207" s="10"/>
      <c r="B207" s="13"/>
      <c r="C207" s="13"/>
    </row>
    <row r="208" spans="1:3" ht="13" x14ac:dyDescent="0.15">
      <c r="A208" s="10"/>
      <c r="B208" s="13"/>
      <c r="C208" s="13"/>
    </row>
    <row r="209" spans="1:3" ht="13" x14ac:dyDescent="0.15">
      <c r="A209" s="10"/>
      <c r="B209" s="13"/>
      <c r="C209" s="13"/>
    </row>
    <row r="210" spans="1:3" ht="13" x14ac:dyDescent="0.15">
      <c r="A210" s="10"/>
      <c r="B210" s="13"/>
      <c r="C210" s="13"/>
    </row>
    <row r="211" spans="1:3" ht="13" x14ac:dyDescent="0.15">
      <c r="A211" s="10"/>
      <c r="B211" s="13"/>
      <c r="C211" s="13"/>
    </row>
    <row r="212" spans="1:3" ht="13" x14ac:dyDescent="0.15">
      <c r="A212" s="10"/>
      <c r="B212" s="13"/>
      <c r="C212" s="13"/>
    </row>
    <row r="213" spans="1:3" ht="13" x14ac:dyDescent="0.15">
      <c r="A213" s="10"/>
      <c r="B213" s="13"/>
      <c r="C213" s="13"/>
    </row>
    <row r="214" spans="1:3" ht="13" x14ac:dyDescent="0.15">
      <c r="A214" s="10"/>
      <c r="B214" s="13"/>
      <c r="C214" s="13"/>
    </row>
    <row r="215" spans="1:3" ht="13" x14ac:dyDescent="0.15">
      <c r="A215" s="10"/>
      <c r="B215" s="13"/>
      <c r="C215" s="13"/>
    </row>
    <row r="216" spans="1:3" ht="13" x14ac:dyDescent="0.15">
      <c r="A216" s="10"/>
      <c r="B216" s="13"/>
      <c r="C216" s="13"/>
    </row>
    <row r="217" spans="1:3" ht="13" x14ac:dyDescent="0.15">
      <c r="A217" s="10"/>
      <c r="B217" s="13"/>
      <c r="C217" s="13"/>
    </row>
    <row r="218" spans="1:3" ht="13" x14ac:dyDescent="0.15">
      <c r="A218" s="10"/>
      <c r="B218" s="13"/>
      <c r="C218" s="13"/>
    </row>
    <row r="219" spans="1:3" ht="13" x14ac:dyDescent="0.15">
      <c r="A219" s="10"/>
      <c r="B219" s="13"/>
      <c r="C219" s="13"/>
    </row>
    <row r="220" spans="1:3" ht="13" x14ac:dyDescent="0.15">
      <c r="A220" s="10"/>
      <c r="B220" s="13"/>
      <c r="C220" s="13"/>
    </row>
    <row r="221" spans="1:3" ht="13" x14ac:dyDescent="0.15">
      <c r="A221" s="10"/>
      <c r="B221" s="13"/>
      <c r="C221" s="13"/>
    </row>
    <row r="222" spans="1:3" ht="13" x14ac:dyDescent="0.15">
      <c r="A222" s="10"/>
      <c r="B222" s="13"/>
      <c r="C222" s="13"/>
    </row>
    <row r="223" spans="1:3" ht="13" x14ac:dyDescent="0.15">
      <c r="A223" s="10"/>
      <c r="B223" s="13"/>
      <c r="C223" s="13"/>
    </row>
    <row r="224" spans="1:3" ht="13" x14ac:dyDescent="0.15">
      <c r="A224" s="10"/>
      <c r="B224" s="13"/>
      <c r="C224" s="13"/>
    </row>
    <row r="225" spans="1:3" ht="13" x14ac:dyDescent="0.15">
      <c r="A225" s="10"/>
      <c r="B225" s="13"/>
      <c r="C225" s="13"/>
    </row>
    <row r="226" spans="1:3" ht="13" x14ac:dyDescent="0.15">
      <c r="A226" s="10"/>
      <c r="B226" s="13"/>
      <c r="C226" s="13"/>
    </row>
    <row r="227" spans="1:3" ht="13" x14ac:dyDescent="0.15">
      <c r="A227" s="10"/>
      <c r="B227" s="13"/>
      <c r="C227" s="13"/>
    </row>
    <row r="228" spans="1:3" ht="13" x14ac:dyDescent="0.15">
      <c r="A228" s="10"/>
      <c r="B228" s="13"/>
      <c r="C228" s="13"/>
    </row>
    <row r="229" spans="1:3" ht="13" x14ac:dyDescent="0.15">
      <c r="A229" s="10"/>
      <c r="B229" s="13"/>
      <c r="C229" s="13"/>
    </row>
    <row r="230" spans="1:3" ht="13" x14ac:dyDescent="0.15">
      <c r="A230" s="10"/>
      <c r="B230" s="13"/>
      <c r="C230" s="13"/>
    </row>
    <row r="231" spans="1:3" ht="13" x14ac:dyDescent="0.15">
      <c r="A231" s="10"/>
      <c r="B231" s="13"/>
      <c r="C231" s="13"/>
    </row>
    <row r="232" spans="1:3" ht="13" x14ac:dyDescent="0.15">
      <c r="A232" s="10"/>
      <c r="B232" s="13"/>
      <c r="C232" s="13"/>
    </row>
    <row r="233" spans="1:3" ht="13" x14ac:dyDescent="0.15">
      <c r="A233" s="10"/>
      <c r="B233" s="13"/>
      <c r="C233" s="13"/>
    </row>
    <row r="234" spans="1:3" ht="13" x14ac:dyDescent="0.15">
      <c r="A234" s="10"/>
      <c r="B234" s="13"/>
      <c r="C234" s="13"/>
    </row>
    <row r="235" spans="1:3" ht="13" x14ac:dyDescent="0.15">
      <c r="A235" s="10"/>
      <c r="B235" s="13"/>
      <c r="C235" s="13"/>
    </row>
    <row r="236" spans="1:3" ht="13" x14ac:dyDescent="0.15">
      <c r="A236" s="10"/>
      <c r="B236" s="13"/>
      <c r="C236" s="13"/>
    </row>
    <row r="237" spans="1:3" ht="13" x14ac:dyDescent="0.15">
      <c r="A237" s="10"/>
      <c r="B237" s="13"/>
      <c r="C237" s="13"/>
    </row>
    <row r="238" spans="1:3" ht="13" x14ac:dyDescent="0.15">
      <c r="A238" s="10"/>
      <c r="B238" s="13"/>
      <c r="C238" s="13"/>
    </row>
    <row r="239" spans="1:3" ht="13" x14ac:dyDescent="0.15">
      <c r="A239" s="10"/>
      <c r="B239" s="13"/>
      <c r="C239" s="13"/>
    </row>
    <row r="240" spans="1:3" ht="13" x14ac:dyDescent="0.15">
      <c r="A240" s="10"/>
      <c r="B240" s="13"/>
      <c r="C240" s="13"/>
    </row>
    <row r="241" spans="1:3" ht="13" x14ac:dyDescent="0.15">
      <c r="A241" s="10"/>
      <c r="B241" s="13"/>
      <c r="C241" s="13"/>
    </row>
    <row r="242" spans="1:3" ht="13" x14ac:dyDescent="0.15">
      <c r="A242" s="10"/>
      <c r="B242" s="13"/>
      <c r="C242" s="13"/>
    </row>
    <row r="243" spans="1:3" ht="13" x14ac:dyDescent="0.15">
      <c r="A243" s="10"/>
      <c r="B243" s="13"/>
      <c r="C243" s="13"/>
    </row>
    <row r="244" spans="1:3" ht="13" x14ac:dyDescent="0.15">
      <c r="A244" s="10"/>
      <c r="B244" s="13"/>
      <c r="C244" s="13"/>
    </row>
    <row r="245" spans="1:3" ht="13" x14ac:dyDescent="0.15">
      <c r="A245" s="10"/>
      <c r="B245" s="13"/>
      <c r="C245" s="13"/>
    </row>
    <row r="246" spans="1:3" ht="13" x14ac:dyDescent="0.15">
      <c r="A246" s="10"/>
      <c r="B246" s="13"/>
      <c r="C246" s="13"/>
    </row>
    <row r="247" spans="1:3" ht="13" x14ac:dyDescent="0.15">
      <c r="A247" s="10"/>
      <c r="B247" s="13"/>
      <c r="C247" s="13"/>
    </row>
    <row r="248" spans="1:3" ht="13" x14ac:dyDescent="0.15">
      <c r="A248" s="10"/>
      <c r="B248" s="13"/>
      <c r="C248" s="13"/>
    </row>
    <row r="249" spans="1:3" ht="13" x14ac:dyDescent="0.15">
      <c r="A249" s="10"/>
      <c r="B249" s="13"/>
      <c r="C249" s="13"/>
    </row>
    <row r="250" spans="1:3" ht="13" x14ac:dyDescent="0.15">
      <c r="A250" s="10"/>
      <c r="B250" s="13"/>
      <c r="C250" s="13"/>
    </row>
    <row r="251" spans="1:3" ht="13" x14ac:dyDescent="0.15">
      <c r="A251" s="10"/>
      <c r="B251" s="13"/>
      <c r="C251" s="13"/>
    </row>
    <row r="252" spans="1:3" ht="13" x14ac:dyDescent="0.15">
      <c r="A252" s="10"/>
      <c r="B252" s="13"/>
      <c r="C252" s="13"/>
    </row>
    <row r="253" spans="1:3" ht="13" x14ac:dyDescent="0.15">
      <c r="A253" s="10"/>
      <c r="B253" s="13"/>
      <c r="C253" s="13"/>
    </row>
    <row r="254" spans="1:3" ht="13" x14ac:dyDescent="0.15">
      <c r="A254" s="10"/>
      <c r="B254" s="13"/>
      <c r="C254" s="13"/>
    </row>
    <row r="255" spans="1:3" ht="13" x14ac:dyDescent="0.15">
      <c r="A255" s="10"/>
      <c r="B255" s="13"/>
      <c r="C255" s="13"/>
    </row>
    <row r="256" spans="1:3" ht="13" x14ac:dyDescent="0.15">
      <c r="A256" s="10"/>
      <c r="B256" s="13"/>
      <c r="C256" s="13"/>
    </row>
    <row r="257" spans="1:3" ht="13" x14ac:dyDescent="0.15">
      <c r="A257" s="10"/>
      <c r="B257" s="13"/>
      <c r="C257" s="13"/>
    </row>
    <row r="258" spans="1:3" ht="13" x14ac:dyDescent="0.15">
      <c r="A258" s="10"/>
      <c r="B258" s="13"/>
      <c r="C258" s="13"/>
    </row>
    <row r="259" spans="1:3" ht="13" x14ac:dyDescent="0.15">
      <c r="A259" s="10"/>
      <c r="B259" s="13"/>
      <c r="C259" s="13"/>
    </row>
    <row r="260" spans="1:3" ht="13" x14ac:dyDescent="0.15">
      <c r="A260" s="10"/>
      <c r="B260" s="13"/>
      <c r="C260" s="13"/>
    </row>
    <row r="261" spans="1:3" ht="13" x14ac:dyDescent="0.15">
      <c r="A261" s="10"/>
      <c r="B261" s="13"/>
      <c r="C261" s="13"/>
    </row>
    <row r="262" spans="1:3" ht="13" x14ac:dyDescent="0.15">
      <c r="A262" s="10"/>
      <c r="B262" s="13"/>
      <c r="C262" s="13"/>
    </row>
    <row r="263" spans="1:3" ht="13" x14ac:dyDescent="0.15">
      <c r="A263" s="10"/>
      <c r="B263" s="13"/>
      <c r="C263" s="13"/>
    </row>
    <row r="264" spans="1:3" ht="13" x14ac:dyDescent="0.15">
      <c r="A264" s="10"/>
      <c r="B264" s="13"/>
      <c r="C264" s="13"/>
    </row>
    <row r="265" spans="1:3" ht="13" x14ac:dyDescent="0.15">
      <c r="A265" s="10"/>
      <c r="B265" s="13"/>
      <c r="C265" s="13"/>
    </row>
    <row r="266" spans="1:3" ht="13" x14ac:dyDescent="0.15">
      <c r="A266" s="10"/>
      <c r="B266" s="13"/>
      <c r="C266" s="13"/>
    </row>
    <row r="267" spans="1:3" ht="13" x14ac:dyDescent="0.15">
      <c r="A267" s="10"/>
      <c r="B267" s="13"/>
      <c r="C267" s="13"/>
    </row>
    <row r="268" spans="1:3" ht="13" x14ac:dyDescent="0.15">
      <c r="A268" s="10"/>
      <c r="B268" s="13"/>
      <c r="C268" s="13"/>
    </row>
    <row r="269" spans="1:3" ht="13" x14ac:dyDescent="0.15">
      <c r="A269" s="10"/>
      <c r="B269" s="13"/>
      <c r="C269" s="13"/>
    </row>
    <row r="270" spans="1:3" ht="13" x14ac:dyDescent="0.15">
      <c r="A270" s="10"/>
      <c r="B270" s="13"/>
      <c r="C270" s="13"/>
    </row>
    <row r="271" spans="1:3" ht="13" x14ac:dyDescent="0.15">
      <c r="A271" s="10"/>
      <c r="B271" s="13"/>
      <c r="C271" s="13"/>
    </row>
    <row r="272" spans="1:3" ht="13" x14ac:dyDescent="0.15">
      <c r="A272" s="10"/>
      <c r="B272" s="13"/>
      <c r="C272" s="13"/>
    </row>
    <row r="273" spans="1:3" ht="13" x14ac:dyDescent="0.15">
      <c r="A273" s="10"/>
      <c r="B273" s="13"/>
      <c r="C273" s="13"/>
    </row>
    <row r="274" spans="1:3" ht="13" x14ac:dyDescent="0.15">
      <c r="A274" s="10"/>
      <c r="B274" s="13"/>
      <c r="C274" s="13"/>
    </row>
    <row r="275" spans="1:3" ht="13" x14ac:dyDescent="0.15">
      <c r="A275" s="10"/>
      <c r="B275" s="13"/>
      <c r="C275" s="13"/>
    </row>
    <row r="276" spans="1:3" ht="13" x14ac:dyDescent="0.15">
      <c r="A276" s="10"/>
      <c r="B276" s="13"/>
      <c r="C276" s="13"/>
    </row>
    <row r="277" spans="1:3" ht="13" x14ac:dyDescent="0.15">
      <c r="A277" s="10"/>
      <c r="B277" s="13"/>
      <c r="C277" s="13"/>
    </row>
    <row r="278" spans="1:3" ht="13" x14ac:dyDescent="0.15">
      <c r="A278" s="10"/>
      <c r="B278" s="13"/>
      <c r="C278" s="13"/>
    </row>
    <row r="279" spans="1:3" ht="13" x14ac:dyDescent="0.15">
      <c r="A279" s="10"/>
      <c r="B279" s="13"/>
      <c r="C279" s="13"/>
    </row>
    <row r="280" spans="1:3" ht="13" x14ac:dyDescent="0.15">
      <c r="A280" s="10"/>
      <c r="B280" s="13"/>
      <c r="C280" s="13"/>
    </row>
    <row r="281" spans="1:3" ht="13" x14ac:dyDescent="0.15">
      <c r="A281" s="10"/>
      <c r="B281" s="13"/>
      <c r="C281" s="13"/>
    </row>
    <row r="282" spans="1:3" ht="13" x14ac:dyDescent="0.15">
      <c r="A282" s="10"/>
      <c r="B282" s="13"/>
      <c r="C282" s="13"/>
    </row>
    <row r="283" spans="1:3" ht="13" x14ac:dyDescent="0.15">
      <c r="A283" s="10"/>
      <c r="B283" s="13"/>
      <c r="C283" s="13"/>
    </row>
    <row r="284" spans="1:3" ht="13" x14ac:dyDescent="0.15">
      <c r="A284" s="10"/>
      <c r="B284" s="13"/>
      <c r="C284" s="13"/>
    </row>
    <row r="285" spans="1:3" ht="13" x14ac:dyDescent="0.15">
      <c r="A285" s="10"/>
      <c r="B285" s="13"/>
      <c r="C285" s="13"/>
    </row>
    <row r="286" spans="1:3" ht="13" x14ac:dyDescent="0.15">
      <c r="A286" s="10"/>
      <c r="B286" s="13"/>
      <c r="C286" s="13"/>
    </row>
    <row r="287" spans="1:3" ht="13" x14ac:dyDescent="0.15">
      <c r="A287" s="10"/>
      <c r="B287" s="13"/>
      <c r="C287" s="13"/>
    </row>
    <row r="288" spans="1:3" ht="13" x14ac:dyDescent="0.15">
      <c r="A288" s="10"/>
      <c r="B288" s="13"/>
      <c r="C288" s="13"/>
    </row>
    <row r="289" spans="1:3" ht="13" x14ac:dyDescent="0.15">
      <c r="A289" s="10"/>
      <c r="B289" s="13"/>
      <c r="C289" s="13"/>
    </row>
    <row r="290" spans="1:3" ht="13" x14ac:dyDescent="0.15">
      <c r="A290" s="10"/>
      <c r="B290" s="13"/>
      <c r="C290" s="13"/>
    </row>
    <row r="291" spans="1:3" ht="13" x14ac:dyDescent="0.15">
      <c r="A291" s="10"/>
      <c r="B291" s="13"/>
      <c r="C291" s="13"/>
    </row>
    <row r="292" spans="1:3" ht="13" x14ac:dyDescent="0.15">
      <c r="A292" s="10"/>
      <c r="B292" s="13"/>
      <c r="C292" s="13"/>
    </row>
    <row r="293" spans="1:3" ht="13" x14ac:dyDescent="0.15">
      <c r="A293" s="10"/>
      <c r="B293" s="13"/>
      <c r="C293" s="13"/>
    </row>
    <row r="294" spans="1:3" ht="13" x14ac:dyDescent="0.15">
      <c r="A294" s="10"/>
      <c r="B294" s="13"/>
      <c r="C294" s="13"/>
    </row>
    <row r="295" spans="1:3" ht="13" x14ac:dyDescent="0.15">
      <c r="A295" s="10"/>
      <c r="B295" s="13"/>
      <c r="C295" s="13"/>
    </row>
    <row r="296" spans="1:3" ht="13" x14ac:dyDescent="0.15">
      <c r="A296" s="10"/>
      <c r="B296" s="13"/>
      <c r="C296" s="13"/>
    </row>
    <row r="297" spans="1:3" ht="13" x14ac:dyDescent="0.15">
      <c r="A297" s="10"/>
      <c r="B297" s="13"/>
      <c r="C297" s="13"/>
    </row>
    <row r="298" spans="1:3" ht="13" x14ac:dyDescent="0.15">
      <c r="A298" s="10"/>
      <c r="B298" s="13"/>
      <c r="C298" s="13"/>
    </row>
    <row r="299" spans="1:3" ht="13" x14ac:dyDescent="0.15">
      <c r="A299" s="10"/>
      <c r="B299" s="13"/>
      <c r="C299" s="13"/>
    </row>
    <row r="300" spans="1:3" ht="13" x14ac:dyDescent="0.15">
      <c r="A300" s="10"/>
      <c r="B300" s="13"/>
      <c r="C300" s="13"/>
    </row>
    <row r="301" spans="1:3" ht="13" x14ac:dyDescent="0.15">
      <c r="A301" s="10"/>
      <c r="B301" s="13"/>
      <c r="C301" s="13"/>
    </row>
    <row r="302" spans="1:3" ht="13" x14ac:dyDescent="0.15">
      <c r="A302" s="10"/>
      <c r="B302" s="13"/>
      <c r="C302" s="13"/>
    </row>
    <row r="303" spans="1:3" ht="13" x14ac:dyDescent="0.15">
      <c r="A303" s="10"/>
      <c r="B303" s="13"/>
      <c r="C303" s="13"/>
    </row>
    <row r="304" spans="1:3" ht="13" x14ac:dyDescent="0.15">
      <c r="A304" s="10"/>
      <c r="B304" s="13"/>
      <c r="C304" s="13"/>
    </row>
    <row r="305" spans="1:3" ht="13" x14ac:dyDescent="0.15">
      <c r="A305" s="10"/>
      <c r="B305" s="13"/>
      <c r="C305" s="13"/>
    </row>
    <row r="306" spans="1:3" ht="13" x14ac:dyDescent="0.15">
      <c r="A306" s="10"/>
      <c r="B306" s="13"/>
      <c r="C306" s="13"/>
    </row>
    <row r="307" spans="1:3" ht="13" x14ac:dyDescent="0.15">
      <c r="A307" s="10"/>
      <c r="B307" s="13"/>
      <c r="C307" s="13"/>
    </row>
    <row r="308" spans="1:3" ht="13" x14ac:dyDescent="0.15">
      <c r="A308" s="10"/>
      <c r="B308" s="13"/>
      <c r="C308" s="13"/>
    </row>
    <row r="309" spans="1:3" ht="13" x14ac:dyDescent="0.15">
      <c r="A309" s="10"/>
      <c r="B309" s="13"/>
      <c r="C309" s="13"/>
    </row>
    <row r="310" spans="1:3" ht="13" x14ac:dyDescent="0.15">
      <c r="A310" s="10"/>
      <c r="B310" s="13"/>
      <c r="C310" s="13"/>
    </row>
    <row r="311" spans="1:3" ht="13" x14ac:dyDescent="0.15">
      <c r="A311" s="10"/>
      <c r="B311" s="13"/>
      <c r="C311" s="13"/>
    </row>
    <row r="312" spans="1:3" ht="13" x14ac:dyDescent="0.15">
      <c r="A312" s="10"/>
      <c r="B312" s="13"/>
      <c r="C312" s="13"/>
    </row>
    <row r="313" spans="1:3" ht="13" x14ac:dyDescent="0.15">
      <c r="A313" s="10"/>
      <c r="B313" s="13"/>
      <c r="C313" s="13"/>
    </row>
    <row r="314" spans="1:3" ht="13" x14ac:dyDescent="0.15">
      <c r="A314" s="10"/>
      <c r="B314" s="13"/>
      <c r="C314" s="13"/>
    </row>
    <row r="315" spans="1:3" ht="13" x14ac:dyDescent="0.15">
      <c r="A315" s="10"/>
      <c r="B315" s="13"/>
      <c r="C315" s="13"/>
    </row>
    <row r="316" spans="1:3" ht="13" x14ac:dyDescent="0.15">
      <c r="A316" s="10"/>
      <c r="B316" s="13"/>
      <c r="C316" s="13"/>
    </row>
    <row r="317" spans="1:3" ht="13" x14ac:dyDescent="0.15">
      <c r="A317" s="10"/>
      <c r="B317" s="13"/>
      <c r="C317" s="13"/>
    </row>
    <row r="318" spans="1:3" ht="13" x14ac:dyDescent="0.15">
      <c r="A318" s="10"/>
      <c r="B318" s="13"/>
      <c r="C318" s="13"/>
    </row>
    <row r="319" spans="1:3" ht="13" x14ac:dyDescent="0.15">
      <c r="A319" s="10"/>
      <c r="B319" s="13"/>
      <c r="C319" s="13"/>
    </row>
    <row r="320" spans="1:3" ht="13" x14ac:dyDescent="0.15">
      <c r="A320" s="10"/>
      <c r="B320" s="13"/>
      <c r="C320" s="13"/>
    </row>
    <row r="321" spans="1:3" ht="13" x14ac:dyDescent="0.15">
      <c r="A321" s="10"/>
      <c r="B321" s="13"/>
      <c r="C321" s="13"/>
    </row>
    <row r="322" spans="1:3" ht="13" x14ac:dyDescent="0.15">
      <c r="A322" s="10"/>
      <c r="B322" s="13"/>
      <c r="C322" s="13"/>
    </row>
    <row r="323" spans="1:3" ht="13" x14ac:dyDescent="0.15">
      <c r="A323" s="10"/>
      <c r="B323" s="13"/>
      <c r="C323" s="13"/>
    </row>
    <row r="324" spans="1:3" ht="13" x14ac:dyDescent="0.15">
      <c r="A324" s="10"/>
      <c r="B324" s="13"/>
      <c r="C324" s="13"/>
    </row>
    <row r="325" spans="1:3" ht="13" x14ac:dyDescent="0.15">
      <c r="A325" s="10"/>
      <c r="B325" s="13"/>
      <c r="C325" s="13"/>
    </row>
    <row r="326" spans="1:3" ht="13" x14ac:dyDescent="0.15">
      <c r="A326" s="10"/>
      <c r="B326" s="13"/>
      <c r="C326" s="13"/>
    </row>
    <row r="327" spans="1:3" ht="13" x14ac:dyDescent="0.15">
      <c r="A327" s="10"/>
      <c r="B327" s="13"/>
      <c r="C327" s="13"/>
    </row>
    <row r="328" spans="1:3" ht="13" x14ac:dyDescent="0.15">
      <c r="A328" s="10"/>
      <c r="B328" s="13"/>
      <c r="C328" s="13"/>
    </row>
    <row r="329" spans="1:3" ht="13" x14ac:dyDescent="0.15">
      <c r="A329" s="10"/>
      <c r="B329" s="13"/>
      <c r="C329" s="13"/>
    </row>
    <row r="330" spans="1:3" ht="13" x14ac:dyDescent="0.15">
      <c r="A330" s="10"/>
      <c r="B330" s="13"/>
      <c r="C330" s="13"/>
    </row>
    <row r="331" spans="1:3" ht="13" x14ac:dyDescent="0.15">
      <c r="A331" s="10"/>
      <c r="B331" s="13"/>
      <c r="C331" s="13"/>
    </row>
    <row r="332" spans="1:3" ht="13" x14ac:dyDescent="0.15">
      <c r="A332" s="10"/>
      <c r="B332" s="13"/>
      <c r="C332" s="13"/>
    </row>
    <row r="333" spans="1:3" ht="13" x14ac:dyDescent="0.15">
      <c r="A333" s="10"/>
      <c r="B333" s="13"/>
      <c r="C333" s="13"/>
    </row>
    <row r="334" spans="1:3" ht="13" x14ac:dyDescent="0.15">
      <c r="A334" s="10"/>
      <c r="B334" s="13"/>
      <c r="C334" s="13"/>
    </row>
    <row r="335" spans="1:3" ht="13" x14ac:dyDescent="0.15">
      <c r="A335" s="10"/>
      <c r="B335" s="13"/>
      <c r="C335" s="13"/>
    </row>
    <row r="336" spans="1:3" ht="13" x14ac:dyDescent="0.15">
      <c r="A336" s="10"/>
      <c r="B336" s="13"/>
      <c r="C336" s="13"/>
    </row>
    <row r="337" spans="1:3" ht="13" x14ac:dyDescent="0.15">
      <c r="A337" s="10"/>
      <c r="B337" s="13"/>
      <c r="C337" s="13"/>
    </row>
    <row r="338" spans="1:3" ht="13" x14ac:dyDescent="0.15">
      <c r="A338" s="10"/>
      <c r="B338" s="13"/>
      <c r="C338" s="13"/>
    </row>
    <row r="339" spans="1:3" ht="13" x14ac:dyDescent="0.15">
      <c r="A339" s="10"/>
      <c r="B339" s="13"/>
      <c r="C339" s="13"/>
    </row>
    <row r="340" spans="1:3" ht="13" x14ac:dyDescent="0.15">
      <c r="A340" s="10"/>
      <c r="B340" s="13"/>
      <c r="C340" s="13"/>
    </row>
    <row r="341" spans="1:3" ht="13" x14ac:dyDescent="0.15">
      <c r="A341" s="10"/>
      <c r="B341" s="13"/>
      <c r="C341" s="13"/>
    </row>
    <row r="342" spans="1:3" ht="13" x14ac:dyDescent="0.15">
      <c r="A342" s="10"/>
      <c r="B342" s="13"/>
      <c r="C342" s="13"/>
    </row>
    <row r="343" spans="1:3" ht="13" x14ac:dyDescent="0.15">
      <c r="A343" s="10"/>
      <c r="B343" s="13"/>
      <c r="C343" s="13"/>
    </row>
    <row r="344" spans="1:3" ht="13" x14ac:dyDescent="0.15">
      <c r="A344" s="10"/>
      <c r="B344" s="13"/>
      <c r="C344" s="13"/>
    </row>
    <row r="345" spans="1:3" ht="13" x14ac:dyDescent="0.15">
      <c r="A345" s="10"/>
      <c r="B345" s="13"/>
      <c r="C345" s="13"/>
    </row>
    <row r="346" spans="1:3" ht="13" x14ac:dyDescent="0.15">
      <c r="A346" s="10"/>
      <c r="B346" s="13"/>
      <c r="C346" s="13"/>
    </row>
    <row r="347" spans="1:3" ht="13" x14ac:dyDescent="0.15">
      <c r="A347" s="10"/>
      <c r="B347" s="13"/>
      <c r="C347" s="13"/>
    </row>
    <row r="348" spans="1:3" ht="13" x14ac:dyDescent="0.15">
      <c r="A348" s="10"/>
      <c r="B348" s="13"/>
      <c r="C348" s="13"/>
    </row>
    <row r="349" spans="1:3" ht="13" x14ac:dyDescent="0.15">
      <c r="A349" s="10"/>
      <c r="B349" s="13"/>
      <c r="C349" s="13"/>
    </row>
    <row r="350" spans="1:3" ht="13" x14ac:dyDescent="0.15">
      <c r="A350" s="10"/>
      <c r="B350" s="13"/>
      <c r="C350" s="13"/>
    </row>
    <row r="351" spans="1:3" ht="13" x14ac:dyDescent="0.15">
      <c r="A351" s="10"/>
      <c r="B351" s="13"/>
      <c r="C351" s="13"/>
    </row>
    <row r="352" spans="1:3" ht="13" x14ac:dyDescent="0.15">
      <c r="A352" s="10"/>
      <c r="B352" s="13"/>
      <c r="C352" s="13"/>
    </row>
    <row r="353" spans="1:3" ht="13" x14ac:dyDescent="0.15">
      <c r="A353" s="10"/>
      <c r="B353" s="13"/>
      <c r="C353" s="13"/>
    </row>
    <row r="354" spans="1:3" ht="13" x14ac:dyDescent="0.15">
      <c r="A354" s="10"/>
      <c r="B354" s="13"/>
      <c r="C354" s="13"/>
    </row>
    <row r="355" spans="1:3" ht="13" x14ac:dyDescent="0.15">
      <c r="A355" s="10"/>
      <c r="B355" s="13"/>
      <c r="C355" s="13"/>
    </row>
    <row r="356" spans="1:3" ht="13" x14ac:dyDescent="0.15">
      <c r="A356" s="10"/>
      <c r="B356" s="13"/>
      <c r="C356" s="13"/>
    </row>
    <row r="357" spans="1:3" ht="13" x14ac:dyDescent="0.15">
      <c r="A357" s="10"/>
      <c r="B357" s="13"/>
      <c r="C357" s="13"/>
    </row>
    <row r="358" spans="1:3" ht="13" x14ac:dyDescent="0.15">
      <c r="A358" s="10"/>
      <c r="B358" s="13"/>
      <c r="C358" s="13"/>
    </row>
    <row r="359" spans="1:3" ht="13" x14ac:dyDescent="0.15">
      <c r="A359" s="10"/>
      <c r="B359" s="13"/>
      <c r="C359" s="13"/>
    </row>
    <row r="360" spans="1:3" ht="13" x14ac:dyDescent="0.15">
      <c r="A360" s="10"/>
      <c r="B360" s="13"/>
      <c r="C360" s="13"/>
    </row>
    <row r="361" spans="1:3" ht="13" x14ac:dyDescent="0.15">
      <c r="A361" s="10"/>
      <c r="B361" s="13"/>
      <c r="C361" s="13"/>
    </row>
    <row r="362" spans="1:3" ht="13" x14ac:dyDescent="0.15">
      <c r="A362" s="10"/>
      <c r="B362" s="13"/>
      <c r="C362" s="13"/>
    </row>
    <row r="363" spans="1:3" ht="13" x14ac:dyDescent="0.15">
      <c r="A363" s="10"/>
      <c r="B363" s="13"/>
      <c r="C363" s="13"/>
    </row>
    <row r="364" spans="1:3" ht="13" x14ac:dyDescent="0.15">
      <c r="A364" s="10"/>
      <c r="B364" s="13"/>
      <c r="C364" s="13"/>
    </row>
    <row r="365" spans="1:3" ht="13" x14ac:dyDescent="0.15">
      <c r="A365" s="10"/>
      <c r="B365" s="13"/>
      <c r="C365" s="13"/>
    </row>
    <row r="366" spans="1:3" ht="13" x14ac:dyDescent="0.15">
      <c r="A366" s="10"/>
      <c r="B366" s="13"/>
      <c r="C366" s="13"/>
    </row>
    <row r="367" spans="1:3" ht="13" x14ac:dyDescent="0.15">
      <c r="A367" s="10"/>
      <c r="B367" s="13"/>
      <c r="C367" s="13"/>
    </row>
    <row r="368" spans="1:3" ht="13" x14ac:dyDescent="0.15">
      <c r="A368" s="10"/>
      <c r="B368" s="13"/>
      <c r="C368" s="13"/>
    </row>
    <row r="369" spans="1:3" ht="13" x14ac:dyDescent="0.15">
      <c r="A369" s="10"/>
      <c r="B369" s="13"/>
      <c r="C369" s="13"/>
    </row>
    <row r="370" spans="1:3" ht="13" x14ac:dyDescent="0.15">
      <c r="A370" s="10"/>
      <c r="B370" s="13"/>
      <c r="C370" s="13"/>
    </row>
    <row r="371" spans="1:3" ht="13" x14ac:dyDescent="0.15">
      <c r="A371" s="10"/>
      <c r="B371" s="13"/>
      <c r="C371" s="13"/>
    </row>
    <row r="372" spans="1:3" ht="13" x14ac:dyDescent="0.15">
      <c r="A372" s="10"/>
      <c r="B372" s="13"/>
      <c r="C372" s="13"/>
    </row>
    <row r="373" spans="1:3" ht="13" x14ac:dyDescent="0.15">
      <c r="A373" s="10"/>
      <c r="B373" s="13"/>
      <c r="C373" s="13"/>
    </row>
    <row r="374" spans="1:3" ht="13" x14ac:dyDescent="0.15">
      <c r="A374" s="10"/>
      <c r="B374" s="13"/>
      <c r="C374" s="13"/>
    </row>
    <row r="375" spans="1:3" ht="13" x14ac:dyDescent="0.15">
      <c r="A375" s="10"/>
      <c r="B375" s="13"/>
      <c r="C375" s="13"/>
    </row>
    <row r="376" spans="1:3" ht="13" x14ac:dyDescent="0.15">
      <c r="A376" s="10"/>
      <c r="B376" s="13"/>
      <c r="C376" s="13"/>
    </row>
    <row r="377" spans="1:3" ht="13" x14ac:dyDescent="0.15">
      <c r="A377" s="10"/>
      <c r="B377" s="13"/>
      <c r="C377" s="13"/>
    </row>
    <row r="378" spans="1:3" ht="13" x14ac:dyDescent="0.15">
      <c r="A378" s="10"/>
      <c r="B378" s="13"/>
      <c r="C378" s="13"/>
    </row>
    <row r="379" spans="1:3" ht="13" x14ac:dyDescent="0.15">
      <c r="A379" s="10"/>
      <c r="B379" s="13"/>
      <c r="C379" s="13"/>
    </row>
    <row r="380" spans="1:3" ht="13" x14ac:dyDescent="0.15">
      <c r="A380" s="10"/>
      <c r="B380" s="13"/>
      <c r="C380" s="13"/>
    </row>
    <row r="381" spans="1:3" ht="13" x14ac:dyDescent="0.15">
      <c r="A381" s="10"/>
      <c r="B381" s="13"/>
      <c r="C381" s="13"/>
    </row>
    <row r="382" spans="1:3" ht="13" x14ac:dyDescent="0.15">
      <c r="A382" s="10"/>
      <c r="B382" s="13"/>
      <c r="C382" s="13"/>
    </row>
    <row r="383" spans="1:3" ht="13" x14ac:dyDescent="0.15">
      <c r="A383" s="10"/>
      <c r="B383" s="13"/>
      <c r="C383" s="13"/>
    </row>
    <row r="384" spans="1:3" ht="13" x14ac:dyDescent="0.15">
      <c r="A384" s="10"/>
      <c r="B384" s="13"/>
      <c r="C384" s="13"/>
    </row>
    <row r="385" spans="1:3" ht="13" x14ac:dyDescent="0.15">
      <c r="A385" s="10"/>
      <c r="B385" s="13"/>
      <c r="C385" s="13"/>
    </row>
    <row r="386" spans="1:3" ht="13" x14ac:dyDescent="0.15">
      <c r="A386" s="10"/>
      <c r="B386" s="13"/>
      <c r="C386" s="13"/>
    </row>
    <row r="387" spans="1:3" ht="13" x14ac:dyDescent="0.15">
      <c r="A387" s="10"/>
      <c r="B387" s="13"/>
      <c r="C387" s="13"/>
    </row>
    <row r="388" spans="1:3" ht="13" x14ac:dyDescent="0.15">
      <c r="A388" s="10"/>
      <c r="B388" s="13"/>
      <c r="C388" s="13"/>
    </row>
    <row r="389" spans="1:3" ht="13" x14ac:dyDescent="0.15">
      <c r="A389" s="10"/>
      <c r="B389" s="13"/>
      <c r="C389" s="13"/>
    </row>
    <row r="390" spans="1:3" ht="13" x14ac:dyDescent="0.15">
      <c r="A390" s="10"/>
      <c r="B390" s="13"/>
      <c r="C390" s="13"/>
    </row>
    <row r="391" spans="1:3" ht="13" x14ac:dyDescent="0.15">
      <c r="A391" s="10"/>
      <c r="B391" s="13"/>
      <c r="C391" s="13"/>
    </row>
    <row r="392" spans="1:3" ht="13" x14ac:dyDescent="0.15">
      <c r="A392" s="10"/>
      <c r="B392" s="13"/>
      <c r="C392" s="13"/>
    </row>
    <row r="393" spans="1:3" ht="13" x14ac:dyDescent="0.15">
      <c r="A393" s="10"/>
      <c r="B393" s="13"/>
      <c r="C393" s="13"/>
    </row>
    <row r="394" spans="1:3" ht="13" x14ac:dyDescent="0.15">
      <c r="A394" s="10"/>
      <c r="B394" s="13"/>
      <c r="C394" s="13"/>
    </row>
    <row r="395" spans="1:3" ht="13" x14ac:dyDescent="0.15">
      <c r="A395" s="10"/>
      <c r="B395" s="13"/>
      <c r="C395" s="13"/>
    </row>
    <row r="396" spans="1:3" ht="13" x14ac:dyDescent="0.15">
      <c r="A396" s="10"/>
      <c r="B396" s="13"/>
      <c r="C396" s="13"/>
    </row>
    <row r="397" spans="1:3" ht="13" x14ac:dyDescent="0.15">
      <c r="A397" s="10"/>
      <c r="B397" s="13"/>
      <c r="C397" s="13"/>
    </row>
    <row r="398" spans="1:3" ht="13" x14ac:dyDescent="0.15">
      <c r="A398" s="10"/>
      <c r="B398" s="13"/>
      <c r="C398" s="13"/>
    </row>
    <row r="399" spans="1:3" ht="13" x14ac:dyDescent="0.15">
      <c r="A399" s="10"/>
      <c r="B399" s="13"/>
      <c r="C399" s="13"/>
    </row>
    <row r="400" spans="1:3" ht="13" x14ac:dyDescent="0.15">
      <c r="A400" s="10"/>
      <c r="B400" s="13"/>
      <c r="C400" s="13"/>
    </row>
    <row r="401" spans="1:3" ht="13" x14ac:dyDescent="0.15">
      <c r="A401" s="10"/>
      <c r="B401" s="13"/>
      <c r="C401" s="13"/>
    </row>
    <row r="402" spans="1:3" ht="13" x14ac:dyDescent="0.15">
      <c r="A402" s="10"/>
      <c r="B402" s="13"/>
      <c r="C402" s="13"/>
    </row>
    <row r="403" spans="1:3" ht="13" x14ac:dyDescent="0.15">
      <c r="A403" s="10"/>
      <c r="B403" s="13"/>
      <c r="C403" s="13"/>
    </row>
    <row r="404" spans="1:3" ht="13" x14ac:dyDescent="0.15">
      <c r="A404" s="10"/>
      <c r="B404" s="13"/>
      <c r="C404" s="13"/>
    </row>
    <row r="405" spans="1:3" ht="13" x14ac:dyDescent="0.15">
      <c r="A405" s="10"/>
      <c r="B405" s="13"/>
      <c r="C405" s="13"/>
    </row>
    <row r="406" spans="1:3" ht="13" x14ac:dyDescent="0.15">
      <c r="A406" s="10"/>
      <c r="B406" s="13"/>
      <c r="C406" s="13"/>
    </row>
    <row r="407" spans="1:3" ht="13" x14ac:dyDescent="0.15">
      <c r="A407" s="10"/>
      <c r="B407" s="13"/>
      <c r="C407" s="13"/>
    </row>
    <row r="408" spans="1:3" ht="13" x14ac:dyDescent="0.15">
      <c r="A408" s="10"/>
      <c r="B408" s="13"/>
      <c r="C408" s="13"/>
    </row>
    <row r="409" spans="1:3" ht="13" x14ac:dyDescent="0.15">
      <c r="A409" s="10"/>
      <c r="B409" s="13"/>
      <c r="C409" s="13"/>
    </row>
    <row r="410" spans="1:3" ht="13" x14ac:dyDescent="0.15">
      <c r="A410" s="10"/>
      <c r="B410" s="13"/>
      <c r="C410" s="13"/>
    </row>
    <row r="411" spans="1:3" ht="13" x14ac:dyDescent="0.15">
      <c r="A411" s="10"/>
      <c r="B411" s="13"/>
      <c r="C411" s="13"/>
    </row>
    <row r="412" spans="1:3" ht="13" x14ac:dyDescent="0.15">
      <c r="A412" s="10"/>
      <c r="B412" s="13"/>
      <c r="C412" s="13"/>
    </row>
    <row r="413" spans="1:3" ht="13" x14ac:dyDescent="0.15">
      <c r="A413" s="10"/>
      <c r="B413" s="13"/>
      <c r="C413" s="13"/>
    </row>
    <row r="414" spans="1:3" ht="13" x14ac:dyDescent="0.15">
      <c r="A414" s="10"/>
      <c r="B414" s="13"/>
      <c r="C414" s="13"/>
    </row>
    <row r="415" spans="1:3" ht="13" x14ac:dyDescent="0.15">
      <c r="A415" s="10"/>
      <c r="B415" s="13"/>
      <c r="C415" s="13"/>
    </row>
    <row r="416" spans="1:3" ht="13" x14ac:dyDescent="0.15">
      <c r="A416" s="10"/>
      <c r="B416" s="13"/>
      <c r="C416" s="13"/>
    </row>
    <row r="417" spans="1:3" ht="13" x14ac:dyDescent="0.15">
      <c r="A417" s="10"/>
      <c r="B417" s="13"/>
      <c r="C417" s="13"/>
    </row>
    <row r="418" spans="1:3" ht="13" x14ac:dyDescent="0.15">
      <c r="A418" s="10"/>
      <c r="B418" s="13"/>
      <c r="C418" s="13"/>
    </row>
    <row r="419" spans="1:3" ht="13" x14ac:dyDescent="0.15">
      <c r="A419" s="10"/>
      <c r="B419" s="13"/>
      <c r="C419" s="13"/>
    </row>
    <row r="420" spans="1:3" ht="13" x14ac:dyDescent="0.15">
      <c r="A420" s="10"/>
      <c r="B420" s="13"/>
      <c r="C420" s="13"/>
    </row>
    <row r="421" spans="1:3" ht="13" x14ac:dyDescent="0.15">
      <c r="A421" s="10"/>
      <c r="B421" s="13"/>
      <c r="C421" s="13"/>
    </row>
    <row r="422" spans="1:3" ht="13" x14ac:dyDescent="0.15">
      <c r="A422" s="10"/>
      <c r="B422" s="13"/>
      <c r="C422" s="13"/>
    </row>
    <row r="423" spans="1:3" ht="13" x14ac:dyDescent="0.15">
      <c r="A423" s="10"/>
      <c r="B423" s="13"/>
      <c r="C423" s="13"/>
    </row>
    <row r="424" spans="1:3" ht="13" x14ac:dyDescent="0.15">
      <c r="A424" s="10"/>
      <c r="B424" s="13"/>
      <c r="C424" s="13"/>
    </row>
    <row r="425" spans="1:3" ht="13" x14ac:dyDescent="0.15">
      <c r="A425" s="10"/>
      <c r="B425" s="13"/>
      <c r="C425" s="13"/>
    </row>
    <row r="426" spans="1:3" ht="13" x14ac:dyDescent="0.15">
      <c r="A426" s="10"/>
      <c r="B426" s="13"/>
      <c r="C426" s="13"/>
    </row>
    <row r="427" spans="1:3" ht="13" x14ac:dyDescent="0.15">
      <c r="A427" s="10"/>
      <c r="B427" s="13"/>
      <c r="C427" s="13"/>
    </row>
    <row r="428" spans="1:3" ht="13" x14ac:dyDescent="0.15">
      <c r="A428" s="10"/>
      <c r="B428" s="13"/>
      <c r="C428" s="13"/>
    </row>
    <row r="429" spans="1:3" ht="13" x14ac:dyDescent="0.15">
      <c r="A429" s="10"/>
      <c r="B429" s="13"/>
      <c r="C429" s="13"/>
    </row>
    <row r="430" spans="1:3" ht="13" x14ac:dyDescent="0.15">
      <c r="A430" s="10"/>
      <c r="B430" s="13"/>
      <c r="C430" s="13"/>
    </row>
    <row r="431" spans="1:3" ht="13" x14ac:dyDescent="0.15">
      <c r="A431" s="10"/>
      <c r="B431" s="13"/>
      <c r="C431" s="13"/>
    </row>
    <row r="432" spans="1:3" ht="13" x14ac:dyDescent="0.15">
      <c r="A432" s="10"/>
      <c r="B432" s="13"/>
      <c r="C432" s="13"/>
    </row>
    <row r="433" spans="1:3" ht="13" x14ac:dyDescent="0.15">
      <c r="A433" s="10"/>
      <c r="B433" s="13"/>
      <c r="C433" s="13"/>
    </row>
    <row r="434" spans="1:3" ht="13" x14ac:dyDescent="0.15">
      <c r="A434" s="10"/>
      <c r="B434" s="13"/>
      <c r="C434" s="13"/>
    </row>
    <row r="435" spans="1:3" ht="13" x14ac:dyDescent="0.15">
      <c r="A435" s="10"/>
      <c r="B435" s="13"/>
      <c r="C435" s="13"/>
    </row>
    <row r="436" spans="1:3" ht="13" x14ac:dyDescent="0.15">
      <c r="A436" s="10"/>
      <c r="B436" s="13"/>
      <c r="C436" s="13"/>
    </row>
    <row r="437" spans="1:3" ht="13" x14ac:dyDescent="0.15">
      <c r="A437" s="10"/>
      <c r="B437" s="13"/>
      <c r="C437" s="13"/>
    </row>
    <row r="438" spans="1:3" ht="13" x14ac:dyDescent="0.15">
      <c r="A438" s="10"/>
      <c r="B438" s="13"/>
      <c r="C438" s="13"/>
    </row>
    <row r="439" spans="1:3" ht="13" x14ac:dyDescent="0.15">
      <c r="A439" s="10"/>
      <c r="B439" s="13"/>
      <c r="C439" s="13"/>
    </row>
    <row r="440" spans="1:3" ht="13" x14ac:dyDescent="0.15">
      <c r="A440" s="10"/>
      <c r="B440" s="13"/>
      <c r="C440" s="13"/>
    </row>
    <row r="441" spans="1:3" ht="13" x14ac:dyDescent="0.15">
      <c r="A441" s="10"/>
      <c r="B441" s="13"/>
      <c r="C441" s="13"/>
    </row>
    <row r="442" spans="1:3" ht="13" x14ac:dyDescent="0.15">
      <c r="A442" s="10"/>
      <c r="B442" s="13"/>
      <c r="C442" s="13"/>
    </row>
    <row r="443" spans="1:3" ht="13" x14ac:dyDescent="0.15">
      <c r="A443" s="10"/>
      <c r="B443" s="13"/>
      <c r="C443" s="13"/>
    </row>
    <row r="444" spans="1:3" ht="13" x14ac:dyDescent="0.15">
      <c r="A444" s="10"/>
      <c r="B444" s="13"/>
      <c r="C444" s="13"/>
    </row>
    <row r="445" spans="1:3" ht="13" x14ac:dyDescent="0.15">
      <c r="A445" s="10"/>
      <c r="B445" s="13"/>
      <c r="C445" s="13"/>
    </row>
    <row r="446" spans="1:3" ht="13" x14ac:dyDescent="0.15">
      <c r="A446" s="10"/>
      <c r="B446" s="13"/>
      <c r="C446" s="13"/>
    </row>
    <row r="447" spans="1:3" ht="13" x14ac:dyDescent="0.15">
      <c r="A447" s="10"/>
      <c r="B447" s="13"/>
      <c r="C447" s="13"/>
    </row>
    <row r="448" spans="1:3" ht="13" x14ac:dyDescent="0.15">
      <c r="A448" s="10"/>
      <c r="B448" s="13"/>
      <c r="C448" s="13"/>
    </row>
    <row r="449" spans="1:3" ht="13" x14ac:dyDescent="0.15">
      <c r="A449" s="10"/>
      <c r="B449" s="13"/>
      <c r="C449" s="13"/>
    </row>
    <row r="450" spans="1:3" ht="13" x14ac:dyDescent="0.15">
      <c r="A450" s="10"/>
      <c r="B450" s="13"/>
      <c r="C450" s="13"/>
    </row>
    <row r="451" spans="1:3" ht="13" x14ac:dyDescent="0.15">
      <c r="A451" s="10"/>
      <c r="B451" s="13"/>
      <c r="C451" s="13"/>
    </row>
    <row r="452" spans="1:3" ht="13" x14ac:dyDescent="0.15">
      <c r="A452" s="10"/>
      <c r="B452" s="13"/>
      <c r="C452" s="13"/>
    </row>
    <row r="453" spans="1:3" ht="13" x14ac:dyDescent="0.15">
      <c r="A453" s="10"/>
      <c r="B453" s="13"/>
      <c r="C453" s="13"/>
    </row>
    <row r="454" spans="1:3" ht="13" x14ac:dyDescent="0.15">
      <c r="A454" s="10"/>
      <c r="B454" s="13"/>
      <c r="C454" s="13"/>
    </row>
    <row r="455" spans="1:3" ht="13" x14ac:dyDescent="0.15">
      <c r="A455" s="10"/>
      <c r="B455" s="13"/>
      <c r="C455" s="13"/>
    </row>
    <row r="456" spans="1:3" ht="13" x14ac:dyDescent="0.15">
      <c r="A456" s="10"/>
      <c r="B456" s="13"/>
      <c r="C456" s="13"/>
    </row>
    <row r="457" spans="1:3" ht="13" x14ac:dyDescent="0.15">
      <c r="A457" s="10"/>
      <c r="B457" s="13"/>
      <c r="C457" s="13"/>
    </row>
    <row r="458" spans="1:3" ht="13" x14ac:dyDescent="0.15">
      <c r="A458" s="10"/>
      <c r="B458" s="13"/>
      <c r="C458" s="13"/>
    </row>
    <row r="459" spans="1:3" ht="13" x14ac:dyDescent="0.15">
      <c r="A459" s="10"/>
      <c r="B459" s="13"/>
      <c r="C459" s="13"/>
    </row>
    <row r="460" spans="1:3" ht="13" x14ac:dyDescent="0.15">
      <c r="A460" s="10"/>
      <c r="B460" s="13"/>
      <c r="C460" s="13"/>
    </row>
    <row r="461" spans="1:3" ht="13" x14ac:dyDescent="0.15">
      <c r="A461" s="10"/>
      <c r="B461" s="13"/>
      <c r="C461" s="13"/>
    </row>
    <row r="462" spans="1:3" ht="13" x14ac:dyDescent="0.15">
      <c r="A462" s="10"/>
      <c r="B462" s="13"/>
      <c r="C462" s="13"/>
    </row>
    <row r="463" spans="1:3" ht="13" x14ac:dyDescent="0.15">
      <c r="A463" s="10"/>
      <c r="B463" s="13"/>
      <c r="C463" s="13"/>
    </row>
    <row r="464" spans="1:3" ht="13" x14ac:dyDescent="0.15">
      <c r="A464" s="10"/>
      <c r="B464" s="13"/>
      <c r="C464" s="13"/>
    </row>
    <row r="465" spans="1:3" ht="13" x14ac:dyDescent="0.15">
      <c r="A465" s="10"/>
      <c r="B465" s="13"/>
      <c r="C465" s="13"/>
    </row>
    <row r="466" spans="1:3" ht="13" x14ac:dyDescent="0.15">
      <c r="A466" s="10"/>
      <c r="B466" s="13"/>
      <c r="C466" s="13"/>
    </row>
    <row r="467" spans="1:3" ht="13" x14ac:dyDescent="0.15">
      <c r="A467" s="10"/>
      <c r="B467" s="13"/>
      <c r="C467" s="13"/>
    </row>
    <row r="468" spans="1:3" ht="13" x14ac:dyDescent="0.15">
      <c r="A468" s="10"/>
      <c r="B468" s="13"/>
      <c r="C468" s="13"/>
    </row>
    <row r="469" spans="1:3" ht="13" x14ac:dyDescent="0.15">
      <c r="A469" s="10"/>
      <c r="B469" s="13"/>
      <c r="C469" s="13"/>
    </row>
    <row r="470" spans="1:3" ht="13" x14ac:dyDescent="0.15">
      <c r="A470" s="10"/>
      <c r="B470" s="13"/>
      <c r="C470" s="13"/>
    </row>
    <row r="471" spans="1:3" ht="13" x14ac:dyDescent="0.15">
      <c r="A471" s="10"/>
      <c r="B471" s="13"/>
      <c r="C471" s="13"/>
    </row>
    <row r="472" spans="1:3" ht="13" x14ac:dyDescent="0.15">
      <c r="A472" s="10"/>
      <c r="B472" s="13"/>
      <c r="C472" s="13"/>
    </row>
    <row r="473" spans="1:3" ht="13" x14ac:dyDescent="0.15">
      <c r="A473" s="10"/>
      <c r="B473" s="13"/>
      <c r="C473" s="13"/>
    </row>
    <row r="474" spans="1:3" ht="13" x14ac:dyDescent="0.15">
      <c r="A474" s="10"/>
      <c r="B474" s="13"/>
      <c r="C474" s="13"/>
    </row>
    <row r="475" spans="1:3" ht="13" x14ac:dyDescent="0.15">
      <c r="A475" s="10"/>
      <c r="B475" s="13"/>
      <c r="C475" s="13"/>
    </row>
    <row r="476" spans="1:3" ht="13" x14ac:dyDescent="0.15">
      <c r="A476" s="10"/>
      <c r="B476" s="13"/>
      <c r="C476" s="13"/>
    </row>
    <row r="477" spans="1:3" ht="13" x14ac:dyDescent="0.15">
      <c r="A477" s="10"/>
      <c r="B477" s="13"/>
      <c r="C477" s="13"/>
    </row>
    <row r="478" spans="1:3" ht="13" x14ac:dyDescent="0.15">
      <c r="A478" s="10"/>
      <c r="B478" s="13"/>
      <c r="C478" s="13"/>
    </row>
    <row r="479" spans="1:3" ht="13" x14ac:dyDescent="0.15">
      <c r="A479" s="10"/>
      <c r="B479" s="13"/>
      <c r="C479" s="13"/>
    </row>
    <row r="480" spans="1:3" ht="13" x14ac:dyDescent="0.15">
      <c r="A480" s="10"/>
      <c r="B480" s="13"/>
      <c r="C480" s="13"/>
    </row>
    <row r="481" spans="1:3" ht="13" x14ac:dyDescent="0.15">
      <c r="A481" s="10"/>
      <c r="B481" s="13"/>
      <c r="C481" s="13"/>
    </row>
    <row r="482" spans="1:3" ht="13" x14ac:dyDescent="0.15">
      <c r="A482" s="10"/>
      <c r="B482" s="13"/>
      <c r="C482" s="13"/>
    </row>
    <row r="483" spans="1:3" ht="13" x14ac:dyDescent="0.15">
      <c r="A483" s="10"/>
      <c r="B483" s="13"/>
      <c r="C483" s="13"/>
    </row>
    <row r="484" spans="1:3" ht="13" x14ac:dyDescent="0.15">
      <c r="A484" s="10"/>
      <c r="B484" s="13"/>
      <c r="C484" s="13"/>
    </row>
    <row r="485" spans="1:3" ht="13" x14ac:dyDescent="0.15">
      <c r="A485" s="10"/>
      <c r="B485" s="13"/>
      <c r="C485" s="13"/>
    </row>
    <row r="486" spans="1:3" ht="13" x14ac:dyDescent="0.15">
      <c r="A486" s="10"/>
      <c r="B486" s="13"/>
      <c r="C486" s="13"/>
    </row>
    <row r="487" spans="1:3" ht="13" x14ac:dyDescent="0.15">
      <c r="A487" s="10"/>
      <c r="B487" s="13"/>
      <c r="C487" s="13"/>
    </row>
    <row r="488" spans="1:3" ht="13" x14ac:dyDescent="0.15">
      <c r="A488" s="10"/>
      <c r="B488" s="13"/>
      <c r="C488" s="13"/>
    </row>
    <row r="489" spans="1:3" ht="13" x14ac:dyDescent="0.15">
      <c r="A489" s="10"/>
      <c r="B489" s="13"/>
      <c r="C489" s="13"/>
    </row>
    <row r="490" spans="1:3" ht="13" x14ac:dyDescent="0.15">
      <c r="A490" s="10"/>
      <c r="B490" s="13"/>
      <c r="C490" s="13"/>
    </row>
    <row r="491" spans="1:3" ht="13" x14ac:dyDescent="0.15">
      <c r="A491" s="10"/>
      <c r="B491" s="13"/>
      <c r="C491" s="13"/>
    </row>
    <row r="492" spans="1:3" ht="13" x14ac:dyDescent="0.15">
      <c r="A492" s="10"/>
      <c r="B492" s="13"/>
      <c r="C492" s="13"/>
    </row>
    <row r="493" spans="1:3" ht="13" x14ac:dyDescent="0.15">
      <c r="A493" s="10"/>
      <c r="B493" s="13"/>
      <c r="C493" s="13"/>
    </row>
    <row r="494" spans="1:3" ht="13" x14ac:dyDescent="0.15">
      <c r="A494" s="10"/>
      <c r="B494" s="13"/>
      <c r="C494" s="13"/>
    </row>
    <row r="495" spans="1:3" ht="13" x14ac:dyDescent="0.15">
      <c r="A495" s="10"/>
      <c r="B495" s="13"/>
      <c r="C495" s="13"/>
    </row>
    <row r="496" spans="1:3" ht="13" x14ac:dyDescent="0.15">
      <c r="A496" s="10"/>
      <c r="B496" s="13"/>
      <c r="C496" s="13"/>
    </row>
    <row r="497" spans="1:3" ht="13" x14ac:dyDescent="0.15">
      <c r="A497" s="10"/>
      <c r="B497" s="13"/>
      <c r="C497" s="13"/>
    </row>
    <row r="498" spans="1:3" ht="13" x14ac:dyDescent="0.15">
      <c r="A498" s="10"/>
      <c r="B498" s="13"/>
      <c r="C498" s="13"/>
    </row>
    <row r="499" spans="1:3" ht="13" x14ac:dyDescent="0.15">
      <c r="A499" s="10"/>
      <c r="B499" s="13"/>
      <c r="C499" s="13"/>
    </row>
    <row r="500" spans="1:3" ht="13" x14ac:dyDescent="0.15">
      <c r="A500" s="10"/>
      <c r="B500" s="13"/>
      <c r="C500" s="13"/>
    </row>
    <row r="501" spans="1:3" ht="13" x14ac:dyDescent="0.15">
      <c r="A501" s="10"/>
      <c r="B501" s="13"/>
      <c r="C501" s="13"/>
    </row>
    <row r="502" spans="1:3" ht="13" x14ac:dyDescent="0.15">
      <c r="A502" s="10"/>
      <c r="B502" s="13"/>
      <c r="C502" s="13"/>
    </row>
    <row r="503" spans="1:3" ht="13" x14ac:dyDescent="0.15">
      <c r="A503" s="10"/>
      <c r="B503" s="13"/>
      <c r="C503" s="13"/>
    </row>
    <row r="504" spans="1:3" ht="13" x14ac:dyDescent="0.15">
      <c r="A504" s="10"/>
      <c r="B504" s="13"/>
      <c r="C504" s="13"/>
    </row>
    <row r="505" spans="1:3" ht="13" x14ac:dyDescent="0.15">
      <c r="A505" s="10"/>
      <c r="B505" s="13"/>
      <c r="C505" s="13"/>
    </row>
    <row r="506" spans="1:3" ht="13" x14ac:dyDescent="0.15">
      <c r="A506" s="10"/>
      <c r="B506" s="13"/>
      <c r="C506" s="13"/>
    </row>
    <row r="507" spans="1:3" ht="13" x14ac:dyDescent="0.15">
      <c r="A507" s="10"/>
      <c r="B507" s="13"/>
      <c r="C507" s="13"/>
    </row>
    <row r="508" spans="1:3" ht="13" x14ac:dyDescent="0.15">
      <c r="A508" s="10"/>
      <c r="B508" s="13"/>
      <c r="C508" s="13"/>
    </row>
    <row r="509" spans="1:3" ht="13" x14ac:dyDescent="0.15">
      <c r="A509" s="10"/>
      <c r="B509" s="13"/>
      <c r="C509" s="13"/>
    </row>
    <row r="510" spans="1:3" ht="13" x14ac:dyDescent="0.15">
      <c r="A510" s="10"/>
      <c r="B510" s="13"/>
      <c r="C510" s="13"/>
    </row>
    <row r="511" spans="1:3" ht="13" x14ac:dyDescent="0.15">
      <c r="A511" s="10"/>
      <c r="B511" s="13"/>
      <c r="C511" s="13"/>
    </row>
    <row r="512" spans="1:3" ht="13" x14ac:dyDescent="0.15">
      <c r="A512" s="10"/>
      <c r="B512" s="13"/>
      <c r="C512" s="13"/>
    </row>
    <row r="513" spans="1:3" ht="13" x14ac:dyDescent="0.15">
      <c r="A513" s="10"/>
      <c r="B513" s="13"/>
      <c r="C513" s="13"/>
    </row>
    <row r="514" spans="1:3" ht="13" x14ac:dyDescent="0.15">
      <c r="A514" s="10"/>
      <c r="B514" s="13"/>
      <c r="C514" s="13"/>
    </row>
    <row r="515" spans="1:3" ht="13" x14ac:dyDescent="0.15">
      <c r="A515" s="10"/>
      <c r="B515" s="13"/>
      <c r="C515" s="13"/>
    </row>
    <row r="516" spans="1:3" ht="13" x14ac:dyDescent="0.15">
      <c r="A516" s="10"/>
      <c r="B516" s="13"/>
      <c r="C516" s="13"/>
    </row>
    <row r="517" spans="1:3" ht="13" x14ac:dyDescent="0.15">
      <c r="A517" s="10"/>
      <c r="B517" s="13"/>
      <c r="C517" s="13"/>
    </row>
    <row r="518" spans="1:3" ht="13" x14ac:dyDescent="0.15">
      <c r="A518" s="10"/>
      <c r="B518" s="13"/>
      <c r="C518" s="13"/>
    </row>
    <row r="519" spans="1:3" ht="13" x14ac:dyDescent="0.15">
      <c r="A519" s="10"/>
      <c r="B519" s="13"/>
      <c r="C519" s="13"/>
    </row>
    <row r="520" spans="1:3" ht="13" x14ac:dyDescent="0.15">
      <c r="A520" s="10"/>
      <c r="B520" s="13"/>
      <c r="C520" s="13"/>
    </row>
    <row r="521" spans="1:3" ht="13" x14ac:dyDescent="0.15">
      <c r="A521" s="10"/>
      <c r="B521" s="13"/>
      <c r="C521" s="13"/>
    </row>
    <row r="522" spans="1:3" ht="13" x14ac:dyDescent="0.15">
      <c r="A522" s="10"/>
      <c r="B522" s="13"/>
      <c r="C522" s="13"/>
    </row>
    <row r="523" spans="1:3" ht="13" x14ac:dyDescent="0.15">
      <c r="A523" s="10"/>
      <c r="B523" s="13"/>
      <c r="C523" s="13"/>
    </row>
    <row r="524" spans="1:3" ht="13" x14ac:dyDescent="0.15">
      <c r="A524" s="10"/>
      <c r="B524" s="13"/>
      <c r="C524" s="13"/>
    </row>
    <row r="525" spans="1:3" ht="13" x14ac:dyDescent="0.15">
      <c r="A525" s="10"/>
      <c r="B525" s="13"/>
      <c r="C525" s="13"/>
    </row>
    <row r="526" spans="1:3" ht="13" x14ac:dyDescent="0.15">
      <c r="A526" s="10"/>
      <c r="B526" s="13"/>
      <c r="C526" s="13"/>
    </row>
    <row r="527" spans="1:3" ht="13" x14ac:dyDescent="0.15">
      <c r="A527" s="10"/>
      <c r="B527" s="13"/>
      <c r="C527" s="13"/>
    </row>
    <row r="528" spans="1:3" ht="13" x14ac:dyDescent="0.15">
      <c r="A528" s="10"/>
      <c r="B528" s="13"/>
      <c r="C528" s="13"/>
    </row>
    <row r="529" spans="1:3" ht="13" x14ac:dyDescent="0.15">
      <c r="A529" s="10"/>
      <c r="B529" s="13"/>
      <c r="C529" s="13"/>
    </row>
    <row r="530" spans="1:3" ht="13" x14ac:dyDescent="0.15">
      <c r="A530" s="10"/>
      <c r="B530" s="13"/>
      <c r="C530" s="13"/>
    </row>
    <row r="531" spans="1:3" ht="13" x14ac:dyDescent="0.15">
      <c r="A531" s="10"/>
      <c r="B531" s="13"/>
      <c r="C531" s="13"/>
    </row>
    <row r="532" spans="1:3" ht="13" x14ac:dyDescent="0.15">
      <c r="A532" s="10"/>
      <c r="B532" s="13"/>
      <c r="C532" s="13"/>
    </row>
    <row r="533" spans="1:3" ht="13" x14ac:dyDescent="0.15">
      <c r="A533" s="10"/>
      <c r="B533" s="13"/>
      <c r="C533" s="13"/>
    </row>
    <row r="534" spans="1:3" ht="13" x14ac:dyDescent="0.15">
      <c r="A534" s="10"/>
      <c r="B534" s="13"/>
      <c r="C534" s="13"/>
    </row>
    <row r="535" spans="1:3" ht="13" x14ac:dyDescent="0.15">
      <c r="A535" s="10"/>
      <c r="B535" s="13"/>
      <c r="C535" s="13"/>
    </row>
    <row r="536" spans="1:3" ht="13" x14ac:dyDescent="0.15">
      <c r="A536" s="10"/>
      <c r="B536" s="13"/>
      <c r="C536" s="13"/>
    </row>
    <row r="537" spans="1:3" ht="13" x14ac:dyDescent="0.15">
      <c r="A537" s="10"/>
      <c r="B537" s="13"/>
      <c r="C537" s="13"/>
    </row>
    <row r="538" spans="1:3" ht="13" x14ac:dyDescent="0.15">
      <c r="A538" s="10"/>
      <c r="B538" s="13"/>
      <c r="C538" s="13"/>
    </row>
    <row r="539" spans="1:3" ht="13" x14ac:dyDescent="0.15">
      <c r="A539" s="10"/>
      <c r="B539" s="13"/>
      <c r="C539" s="13"/>
    </row>
    <row r="540" spans="1:3" ht="13" x14ac:dyDescent="0.15">
      <c r="A540" s="10"/>
      <c r="B540" s="13"/>
      <c r="C540" s="13"/>
    </row>
    <row r="541" spans="1:3" ht="13" x14ac:dyDescent="0.15">
      <c r="A541" s="10"/>
      <c r="B541" s="13"/>
      <c r="C541" s="13"/>
    </row>
    <row r="542" spans="1:3" ht="13" x14ac:dyDescent="0.15">
      <c r="A542" s="10"/>
      <c r="B542" s="13"/>
      <c r="C542" s="13"/>
    </row>
    <row r="543" spans="1:3" ht="13" x14ac:dyDescent="0.15">
      <c r="A543" s="10"/>
      <c r="B543" s="13"/>
      <c r="C543" s="13"/>
    </row>
    <row r="544" spans="1:3" ht="13" x14ac:dyDescent="0.15">
      <c r="A544" s="10"/>
      <c r="B544" s="13"/>
      <c r="C544" s="13"/>
    </row>
    <row r="545" spans="1:3" ht="13" x14ac:dyDescent="0.15">
      <c r="A545" s="10"/>
      <c r="B545" s="13"/>
      <c r="C545" s="13"/>
    </row>
    <row r="546" spans="1:3" ht="13" x14ac:dyDescent="0.15">
      <c r="A546" s="10"/>
      <c r="B546" s="13"/>
      <c r="C546" s="13"/>
    </row>
    <row r="547" spans="1:3" ht="13" x14ac:dyDescent="0.15">
      <c r="A547" s="10"/>
      <c r="B547" s="13"/>
      <c r="C547" s="13"/>
    </row>
    <row r="548" spans="1:3" ht="13" x14ac:dyDescent="0.15">
      <c r="A548" s="10"/>
      <c r="B548" s="13"/>
      <c r="C548" s="13"/>
    </row>
    <row r="549" spans="1:3" ht="13" x14ac:dyDescent="0.15">
      <c r="A549" s="10"/>
      <c r="B549" s="13"/>
      <c r="C549" s="13"/>
    </row>
    <row r="550" spans="1:3" ht="13" x14ac:dyDescent="0.15">
      <c r="A550" s="10"/>
      <c r="B550" s="13"/>
      <c r="C550" s="13"/>
    </row>
    <row r="551" spans="1:3" ht="13" x14ac:dyDescent="0.15">
      <c r="A551" s="10"/>
      <c r="B551" s="13"/>
      <c r="C551" s="13"/>
    </row>
    <row r="552" spans="1:3" ht="13" x14ac:dyDescent="0.15">
      <c r="A552" s="10"/>
      <c r="B552" s="13"/>
      <c r="C552" s="13"/>
    </row>
    <row r="553" spans="1:3" ht="13" x14ac:dyDescent="0.15">
      <c r="A553" s="10"/>
      <c r="B553" s="13"/>
      <c r="C553" s="13"/>
    </row>
    <row r="554" spans="1:3" ht="13" x14ac:dyDescent="0.15">
      <c r="A554" s="10"/>
      <c r="B554" s="13"/>
      <c r="C554" s="13"/>
    </row>
    <row r="555" spans="1:3" ht="13" x14ac:dyDescent="0.15">
      <c r="A555" s="10"/>
      <c r="B555" s="13"/>
      <c r="C555" s="13"/>
    </row>
    <row r="556" spans="1:3" ht="13" x14ac:dyDescent="0.15">
      <c r="A556" s="10"/>
      <c r="B556" s="13"/>
      <c r="C556" s="13"/>
    </row>
    <row r="557" spans="1:3" ht="13" x14ac:dyDescent="0.15">
      <c r="A557" s="10"/>
      <c r="B557" s="13"/>
      <c r="C557" s="13"/>
    </row>
    <row r="558" spans="1:3" ht="13" x14ac:dyDescent="0.15">
      <c r="A558" s="10"/>
      <c r="B558" s="13"/>
      <c r="C558" s="13"/>
    </row>
    <row r="559" spans="1:3" ht="13" x14ac:dyDescent="0.15">
      <c r="A559" s="10"/>
      <c r="B559" s="13"/>
      <c r="C559" s="13"/>
    </row>
    <row r="560" spans="1:3" ht="13" x14ac:dyDescent="0.15">
      <c r="A560" s="10"/>
      <c r="B560" s="13"/>
      <c r="C560" s="13"/>
    </row>
    <row r="561" spans="1:3" ht="13" x14ac:dyDescent="0.15">
      <c r="A561" s="10"/>
      <c r="B561" s="13"/>
      <c r="C561" s="13"/>
    </row>
    <row r="562" spans="1:3" ht="13" x14ac:dyDescent="0.15">
      <c r="A562" s="10"/>
      <c r="B562" s="13"/>
      <c r="C562" s="13"/>
    </row>
    <row r="563" spans="1:3" ht="13" x14ac:dyDescent="0.15">
      <c r="A563" s="10"/>
      <c r="B563" s="13"/>
      <c r="C563" s="13"/>
    </row>
    <row r="564" spans="1:3" ht="13" x14ac:dyDescent="0.15">
      <c r="A564" s="10"/>
      <c r="B564" s="13"/>
      <c r="C564" s="13"/>
    </row>
    <row r="565" spans="1:3" ht="13" x14ac:dyDescent="0.15">
      <c r="A565" s="10"/>
      <c r="B565" s="13"/>
      <c r="C565" s="13"/>
    </row>
    <row r="566" spans="1:3" ht="13" x14ac:dyDescent="0.15">
      <c r="A566" s="10"/>
      <c r="B566" s="13"/>
      <c r="C566" s="13"/>
    </row>
    <row r="567" spans="1:3" ht="13" x14ac:dyDescent="0.15">
      <c r="A567" s="10"/>
      <c r="B567" s="13"/>
      <c r="C567" s="13"/>
    </row>
    <row r="568" spans="1:3" ht="13" x14ac:dyDescent="0.15">
      <c r="A568" s="10"/>
      <c r="B568" s="13"/>
      <c r="C568" s="13"/>
    </row>
    <row r="569" spans="1:3" ht="13" x14ac:dyDescent="0.15">
      <c r="A569" s="10"/>
      <c r="B569" s="13"/>
      <c r="C569" s="13"/>
    </row>
    <row r="570" spans="1:3" ht="13" x14ac:dyDescent="0.15">
      <c r="A570" s="10"/>
      <c r="B570" s="13"/>
      <c r="C570" s="13"/>
    </row>
    <row r="571" spans="1:3" ht="13" x14ac:dyDescent="0.15">
      <c r="A571" s="10"/>
      <c r="B571" s="13"/>
      <c r="C571" s="13"/>
    </row>
    <row r="572" spans="1:3" ht="13" x14ac:dyDescent="0.15">
      <c r="A572" s="10"/>
      <c r="B572" s="13"/>
      <c r="C572" s="13"/>
    </row>
    <row r="573" spans="1:3" ht="13" x14ac:dyDescent="0.15">
      <c r="A573" s="10"/>
      <c r="B573" s="13"/>
      <c r="C573" s="13"/>
    </row>
    <row r="574" spans="1:3" ht="13" x14ac:dyDescent="0.15">
      <c r="A574" s="10"/>
      <c r="B574" s="13"/>
      <c r="C574" s="13"/>
    </row>
    <row r="575" spans="1:3" ht="13" x14ac:dyDescent="0.15">
      <c r="A575" s="10"/>
      <c r="B575" s="13"/>
      <c r="C575" s="13"/>
    </row>
    <row r="576" spans="1:3" ht="13" x14ac:dyDescent="0.15">
      <c r="A576" s="10"/>
      <c r="B576" s="13"/>
      <c r="C576" s="13"/>
    </row>
    <row r="577" spans="1:3" ht="13" x14ac:dyDescent="0.15">
      <c r="A577" s="10"/>
      <c r="B577" s="13"/>
      <c r="C577" s="13"/>
    </row>
    <row r="578" spans="1:3" ht="13" x14ac:dyDescent="0.15">
      <c r="A578" s="10"/>
      <c r="B578" s="13"/>
      <c r="C578" s="13"/>
    </row>
    <row r="579" spans="1:3" ht="13" x14ac:dyDescent="0.15">
      <c r="A579" s="10"/>
      <c r="B579" s="13"/>
      <c r="C579" s="13"/>
    </row>
    <row r="580" spans="1:3" ht="13" x14ac:dyDescent="0.15">
      <c r="A580" s="10"/>
      <c r="B580" s="13"/>
      <c r="C580" s="13"/>
    </row>
    <row r="581" spans="1:3" ht="13" x14ac:dyDescent="0.15">
      <c r="A581" s="10"/>
      <c r="B581" s="13"/>
      <c r="C581" s="13"/>
    </row>
    <row r="582" spans="1:3" ht="13" x14ac:dyDescent="0.15">
      <c r="A582" s="10"/>
      <c r="B582" s="13"/>
      <c r="C582" s="13"/>
    </row>
    <row r="583" spans="1:3" ht="13" x14ac:dyDescent="0.15">
      <c r="A583" s="10"/>
      <c r="B583" s="13"/>
      <c r="C583" s="13"/>
    </row>
    <row r="584" spans="1:3" ht="13" x14ac:dyDescent="0.15">
      <c r="A584" s="10"/>
      <c r="B584" s="13"/>
      <c r="C584" s="13"/>
    </row>
    <row r="585" spans="1:3" ht="13" x14ac:dyDescent="0.15">
      <c r="A585" s="10"/>
      <c r="B585" s="13"/>
      <c r="C585" s="13"/>
    </row>
    <row r="586" spans="1:3" ht="13" x14ac:dyDescent="0.15">
      <c r="A586" s="10"/>
      <c r="B586" s="13"/>
      <c r="C586" s="13"/>
    </row>
    <row r="587" spans="1:3" ht="13" x14ac:dyDescent="0.15">
      <c r="A587" s="10"/>
      <c r="B587" s="13"/>
      <c r="C587" s="13"/>
    </row>
    <row r="588" spans="1:3" ht="13" x14ac:dyDescent="0.15">
      <c r="A588" s="10"/>
      <c r="B588" s="13"/>
      <c r="C588" s="13"/>
    </row>
    <row r="589" spans="1:3" ht="13" x14ac:dyDescent="0.15">
      <c r="A589" s="10"/>
      <c r="B589" s="13"/>
      <c r="C589" s="13"/>
    </row>
    <row r="590" spans="1:3" ht="13" x14ac:dyDescent="0.15">
      <c r="A590" s="10"/>
      <c r="B590" s="13"/>
      <c r="C590" s="13"/>
    </row>
    <row r="591" spans="1:3" ht="13" x14ac:dyDescent="0.15">
      <c r="A591" s="10"/>
      <c r="B591" s="13"/>
      <c r="C591" s="13"/>
    </row>
    <row r="592" spans="1:3" ht="13" x14ac:dyDescent="0.15">
      <c r="A592" s="10"/>
      <c r="B592" s="13"/>
      <c r="C592" s="13"/>
    </row>
    <row r="593" spans="1:3" ht="13" x14ac:dyDescent="0.15">
      <c r="A593" s="10"/>
      <c r="B593" s="13"/>
      <c r="C593" s="13"/>
    </row>
    <row r="594" spans="1:3" ht="13" x14ac:dyDescent="0.15">
      <c r="A594" s="10"/>
      <c r="B594" s="13"/>
      <c r="C594" s="13"/>
    </row>
    <row r="595" spans="1:3" ht="13" x14ac:dyDescent="0.15">
      <c r="A595" s="10"/>
      <c r="B595" s="13"/>
      <c r="C595" s="13"/>
    </row>
    <row r="596" spans="1:3" ht="13" x14ac:dyDescent="0.15">
      <c r="A596" s="10"/>
      <c r="B596" s="13"/>
      <c r="C596" s="13"/>
    </row>
    <row r="597" spans="1:3" ht="13" x14ac:dyDescent="0.15">
      <c r="A597" s="10"/>
      <c r="B597" s="13"/>
      <c r="C597" s="13"/>
    </row>
    <row r="598" spans="1:3" ht="13" x14ac:dyDescent="0.15">
      <c r="A598" s="10"/>
      <c r="B598" s="13"/>
      <c r="C598" s="13"/>
    </row>
    <row r="599" spans="1:3" ht="13" x14ac:dyDescent="0.15">
      <c r="A599" s="10"/>
      <c r="B599" s="13"/>
      <c r="C599" s="13"/>
    </row>
    <row r="600" spans="1:3" ht="13" x14ac:dyDescent="0.15">
      <c r="A600" s="10"/>
      <c r="B600" s="13"/>
      <c r="C600" s="13"/>
    </row>
    <row r="601" spans="1:3" ht="13" x14ac:dyDescent="0.15">
      <c r="A601" s="10"/>
      <c r="B601" s="13"/>
      <c r="C601" s="13"/>
    </row>
    <row r="602" spans="1:3" ht="13" x14ac:dyDescent="0.15">
      <c r="A602" s="10"/>
      <c r="B602" s="13"/>
      <c r="C602" s="13"/>
    </row>
    <row r="603" spans="1:3" ht="13" x14ac:dyDescent="0.15">
      <c r="A603" s="10"/>
      <c r="B603" s="13"/>
      <c r="C603" s="13"/>
    </row>
    <row r="604" spans="1:3" ht="13" x14ac:dyDescent="0.15">
      <c r="A604" s="10"/>
      <c r="B604" s="13"/>
      <c r="C604" s="13"/>
    </row>
    <row r="605" spans="1:3" ht="13" x14ac:dyDescent="0.15">
      <c r="A605" s="10"/>
      <c r="B605" s="13"/>
      <c r="C605" s="13"/>
    </row>
    <row r="606" spans="1:3" ht="13" x14ac:dyDescent="0.15">
      <c r="A606" s="10"/>
      <c r="B606" s="13"/>
      <c r="C606" s="13"/>
    </row>
    <row r="607" spans="1:3" ht="13" x14ac:dyDescent="0.15">
      <c r="A607" s="10"/>
      <c r="B607" s="13"/>
      <c r="C607" s="13"/>
    </row>
    <row r="608" spans="1:3" ht="13" x14ac:dyDescent="0.15">
      <c r="A608" s="10"/>
      <c r="B608" s="13"/>
      <c r="C608" s="13"/>
    </row>
    <row r="609" spans="1:3" ht="13" x14ac:dyDescent="0.15">
      <c r="A609" s="10"/>
      <c r="B609" s="13"/>
      <c r="C609" s="13"/>
    </row>
    <row r="610" spans="1:3" ht="13" x14ac:dyDescent="0.15">
      <c r="A610" s="10"/>
      <c r="B610" s="13"/>
      <c r="C610" s="13"/>
    </row>
    <row r="611" spans="1:3" ht="13" x14ac:dyDescent="0.15">
      <c r="A611" s="10"/>
      <c r="B611" s="13"/>
      <c r="C611" s="13"/>
    </row>
    <row r="612" spans="1:3" ht="13" x14ac:dyDescent="0.15">
      <c r="A612" s="10"/>
      <c r="B612" s="13"/>
      <c r="C612" s="13"/>
    </row>
    <row r="613" spans="1:3" ht="13" x14ac:dyDescent="0.15">
      <c r="A613" s="10"/>
      <c r="B613" s="13"/>
      <c r="C613" s="13"/>
    </row>
    <row r="614" spans="1:3" ht="13" x14ac:dyDescent="0.15">
      <c r="A614" s="10"/>
      <c r="B614" s="13"/>
      <c r="C614" s="13"/>
    </row>
    <row r="615" spans="1:3" ht="13" x14ac:dyDescent="0.15">
      <c r="A615" s="10"/>
      <c r="B615" s="13"/>
      <c r="C615" s="13"/>
    </row>
    <row r="616" spans="1:3" ht="13" x14ac:dyDescent="0.15">
      <c r="A616" s="10"/>
      <c r="B616" s="13"/>
      <c r="C616" s="13"/>
    </row>
    <row r="617" spans="1:3" ht="13" x14ac:dyDescent="0.15">
      <c r="A617" s="10"/>
      <c r="B617" s="13"/>
      <c r="C617" s="13"/>
    </row>
    <row r="618" spans="1:3" ht="13" x14ac:dyDescent="0.15">
      <c r="A618" s="10"/>
      <c r="B618" s="13"/>
      <c r="C618" s="13"/>
    </row>
    <row r="619" spans="1:3" ht="13" x14ac:dyDescent="0.15">
      <c r="A619" s="10"/>
      <c r="B619" s="13"/>
      <c r="C619" s="13"/>
    </row>
    <row r="620" spans="1:3" ht="13" x14ac:dyDescent="0.15">
      <c r="A620" s="10"/>
      <c r="B620" s="13"/>
      <c r="C620" s="13"/>
    </row>
    <row r="621" spans="1:3" ht="13" x14ac:dyDescent="0.15">
      <c r="A621" s="10"/>
      <c r="B621" s="13"/>
      <c r="C621" s="13"/>
    </row>
    <row r="622" spans="1:3" ht="13" x14ac:dyDescent="0.15">
      <c r="A622" s="10"/>
      <c r="B622" s="13"/>
      <c r="C622" s="13"/>
    </row>
    <row r="623" spans="1:3" ht="13" x14ac:dyDescent="0.15">
      <c r="A623" s="10"/>
      <c r="B623" s="13"/>
      <c r="C623" s="13"/>
    </row>
    <row r="624" spans="1:3" ht="13" x14ac:dyDescent="0.15">
      <c r="A624" s="10"/>
      <c r="B624" s="13"/>
      <c r="C624" s="13"/>
    </row>
    <row r="625" spans="1:3" ht="13" x14ac:dyDescent="0.15">
      <c r="A625" s="10"/>
      <c r="B625" s="13"/>
      <c r="C625" s="13"/>
    </row>
    <row r="626" spans="1:3" ht="13" x14ac:dyDescent="0.15">
      <c r="A626" s="10"/>
      <c r="B626" s="13"/>
      <c r="C626" s="13"/>
    </row>
    <row r="627" spans="1:3" ht="13" x14ac:dyDescent="0.15">
      <c r="A627" s="10"/>
      <c r="B627" s="13"/>
      <c r="C627" s="13"/>
    </row>
    <row r="628" spans="1:3" ht="13" x14ac:dyDescent="0.15">
      <c r="A628" s="10"/>
      <c r="B628" s="13"/>
      <c r="C628" s="13"/>
    </row>
    <row r="629" spans="1:3" ht="13" x14ac:dyDescent="0.15">
      <c r="A629" s="10"/>
      <c r="B629" s="13"/>
      <c r="C629" s="13"/>
    </row>
    <row r="630" spans="1:3" ht="13" x14ac:dyDescent="0.15">
      <c r="A630" s="10"/>
      <c r="B630" s="13"/>
      <c r="C630" s="13"/>
    </row>
    <row r="631" spans="1:3" ht="13" x14ac:dyDescent="0.15">
      <c r="A631" s="10"/>
      <c r="B631" s="13"/>
      <c r="C631" s="13"/>
    </row>
    <row r="632" spans="1:3" ht="13" x14ac:dyDescent="0.15">
      <c r="A632" s="10"/>
      <c r="B632" s="13"/>
      <c r="C632" s="13"/>
    </row>
    <row r="633" spans="1:3" ht="13" x14ac:dyDescent="0.15">
      <c r="A633" s="10"/>
      <c r="B633" s="13"/>
      <c r="C633" s="13"/>
    </row>
    <row r="634" spans="1:3" ht="13" x14ac:dyDescent="0.15">
      <c r="A634" s="10"/>
      <c r="B634" s="13"/>
      <c r="C634" s="13"/>
    </row>
    <row r="635" spans="1:3" ht="13" x14ac:dyDescent="0.15">
      <c r="A635" s="10"/>
      <c r="B635" s="13"/>
      <c r="C635" s="13"/>
    </row>
    <row r="636" spans="1:3" ht="13" x14ac:dyDescent="0.15">
      <c r="A636" s="10"/>
      <c r="B636" s="13"/>
      <c r="C636" s="13"/>
    </row>
    <row r="637" spans="1:3" ht="13" x14ac:dyDescent="0.15">
      <c r="A637" s="10"/>
      <c r="B637" s="13"/>
      <c r="C637" s="13"/>
    </row>
    <row r="638" spans="1:3" ht="13" x14ac:dyDescent="0.15">
      <c r="A638" s="10"/>
      <c r="B638" s="13"/>
      <c r="C638" s="13"/>
    </row>
    <row r="639" spans="1:3" ht="13" x14ac:dyDescent="0.15">
      <c r="A639" s="10"/>
      <c r="B639" s="13"/>
      <c r="C639" s="13"/>
    </row>
    <row r="640" spans="1:3" ht="13" x14ac:dyDescent="0.15">
      <c r="A640" s="10"/>
      <c r="B640" s="13"/>
      <c r="C640" s="13"/>
    </row>
    <row r="641" spans="1:3" ht="13" x14ac:dyDescent="0.15">
      <c r="A641" s="10"/>
      <c r="B641" s="13"/>
      <c r="C641" s="13"/>
    </row>
    <row r="642" spans="1:3" ht="13" x14ac:dyDescent="0.15">
      <c r="A642" s="10"/>
      <c r="B642" s="13"/>
      <c r="C642" s="13"/>
    </row>
    <row r="643" spans="1:3" ht="13" x14ac:dyDescent="0.15">
      <c r="A643" s="10"/>
      <c r="B643" s="13"/>
      <c r="C643" s="13"/>
    </row>
    <row r="644" spans="1:3" ht="13" x14ac:dyDescent="0.15">
      <c r="A644" s="10"/>
      <c r="B644" s="13"/>
      <c r="C644" s="13"/>
    </row>
    <row r="645" spans="1:3" ht="13" x14ac:dyDescent="0.15">
      <c r="A645" s="10"/>
      <c r="B645" s="13"/>
      <c r="C645" s="13"/>
    </row>
    <row r="646" spans="1:3" ht="13" x14ac:dyDescent="0.15">
      <c r="A646" s="10"/>
      <c r="B646" s="13"/>
      <c r="C646" s="13"/>
    </row>
    <row r="647" spans="1:3" ht="13" x14ac:dyDescent="0.15">
      <c r="A647" s="10"/>
      <c r="B647" s="13"/>
      <c r="C647" s="13"/>
    </row>
    <row r="648" spans="1:3" ht="13" x14ac:dyDescent="0.15">
      <c r="A648" s="10"/>
      <c r="B648" s="13"/>
      <c r="C648" s="13"/>
    </row>
    <row r="649" spans="1:3" ht="13" x14ac:dyDescent="0.15">
      <c r="A649" s="10"/>
      <c r="B649" s="13"/>
      <c r="C649" s="13"/>
    </row>
    <row r="650" spans="1:3" ht="13" x14ac:dyDescent="0.15">
      <c r="A650" s="10"/>
      <c r="B650" s="13"/>
      <c r="C650" s="13"/>
    </row>
    <row r="651" spans="1:3" ht="13" x14ac:dyDescent="0.15">
      <c r="A651" s="10"/>
      <c r="B651" s="13"/>
      <c r="C651" s="13"/>
    </row>
    <row r="652" spans="1:3" ht="13" x14ac:dyDescent="0.15">
      <c r="A652" s="10"/>
      <c r="B652" s="13"/>
      <c r="C652" s="13"/>
    </row>
    <row r="653" spans="1:3" ht="13" x14ac:dyDescent="0.15">
      <c r="A653" s="10"/>
      <c r="B653" s="13"/>
      <c r="C653" s="13"/>
    </row>
    <row r="654" spans="1:3" ht="13" x14ac:dyDescent="0.15">
      <c r="A654" s="10"/>
      <c r="B654" s="13"/>
      <c r="C654" s="13"/>
    </row>
    <row r="655" spans="1:3" ht="13" x14ac:dyDescent="0.15">
      <c r="A655" s="10"/>
      <c r="B655" s="13"/>
      <c r="C655" s="13"/>
    </row>
    <row r="656" spans="1:3" ht="13" x14ac:dyDescent="0.15">
      <c r="A656" s="10"/>
      <c r="B656" s="13"/>
      <c r="C656" s="13"/>
    </row>
    <row r="657" spans="1:3" ht="13" x14ac:dyDescent="0.15">
      <c r="A657" s="10"/>
      <c r="B657" s="13"/>
      <c r="C657" s="13"/>
    </row>
    <row r="658" spans="1:3" ht="13" x14ac:dyDescent="0.15">
      <c r="A658" s="10"/>
      <c r="B658" s="13"/>
      <c r="C658" s="13"/>
    </row>
    <row r="659" spans="1:3" ht="13" x14ac:dyDescent="0.15">
      <c r="A659" s="10"/>
      <c r="B659" s="13"/>
      <c r="C659" s="13"/>
    </row>
    <row r="660" spans="1:3" ht="13" x14ac:dyDescent="0.15">
      <c r="A660" s="10"/>
      <c r="B660" s="13"/>
      <c r="C660" s="13"/>
    </row>
    <row r="661" spans="1:3" ht="13" x14ac:dyDescent="0.15">
      <c r="A661" s="10"/>
      <c r="B661" s="13"/>
      <c r="C661" s="13"/>
    </row>
    <row r="662" spans="1:3" ht="13" x14ac:dyDescent="0.15">
      <c r="A662" s="10"/>
      <c r="B662" s="13"/>
      <c r="C662" s="13"/>
    </row>
    <row r="663" spans="1:3" ht="13" x14ac:dyDescent="0.15">
      <c r="A663" s="10"/>
      <c r="B663" s="13"/>
      <c r="C663" s="13"/>
    </row>
    <row r="664" spans="1:3" ht="13" x14ac:dyDescent="0.15">
      <c r="A664" s="10"/>
      <c r="B664" s="13"/>
      <c r="C664" s="13"/>
    </row>
    <row r="665" spans="1:3" ht="13" x14ac:dyDescent="0.15">
      <c r="A665" s="10"/>
      <c r="B665" s="13"/>
      <c r="C665" s="13"/>
    </row>
    <row r="666" spans="1:3" ht="13" x14ac:dyDescent="0.15">
      <c r="A666" s="10"/>
      <c r="B666" s="13"/>
      <c r="C666" s="13"/>
    </row>
    <row r="667" spans="1:3" ht="13" x14ac:dyDescent="0.15">
      <c r="A667" s="10"/>
      <c r="B667" s="13"/>
      <c r="C667" s="13"/>
    </row>
    <row r="668" spans="1:3" ht="13" x14ac:dyDescent="0.15">
      <c r="A668" s="10"/>
      <c r="B668" s="13"/>
      <c r="C668" s="13"/>
    </row>
    <row r="669" spans="1:3" ht="13" x14ac:dyDescent="0.15">
      <c r="A669" s="10"/>
      <c r="B669" s="13"/>
      <c r="C669" s="13"/>
    </row>
    <row r="670" spans="1:3" ht="13" x14ac:dyDescent="0.15">
      <c r="A670" s="10"/>
      <c r="B670" s="13"/>
      <c r="C670" s="13"/>
    </row>
    <row r="671" spans="1:3" ht="13" x14ac:dyDescent="0.15">
      <c r="A671" s="10"/>
      <c r="B671" s="13"/>
      <c r="C671" s="13"/>
    </row>
    <row r="672" spans="1:3" ht="13" x14ac:dyDescent="0.15">
      <c r="A672" s="10"/>
      <c r="B672" s="13"/>
      <c r="C672" s="13"/>
    </row>
    <row r="673" spans="1:3" ht="13" x14ac:dyDescent="0.15">
      <c r="A673" s="10"/>
      <c r="B673" s="13"/>
      <c r="C673" s="13"/>
    </row>
    <row r="674" spans="1:3" ht="13" x14ac:dyDescent="0.15">
      <c r="A674" s="10"/>
      <c r="B674" s="13"/>
      <c r="C674" s="13"/>
    </row>
    <row r="675" spans="1:3" ht="13" x14ac:dyDescent="0.15">
      <c r="A675" s="10"/>
      <c r="B675" s="13"/>
      <c r="C675" s="13"/>
    </row>
    <row r="676" spans="1:3" ht="13" x14ac:dyDescent="0.15">
      <c r="A676" s="10"/>
      <c r="B676" s="13"/>
      <c r="C676" s="13"/>
    </row>
    <row r="677" spans="1:3" ht="13" x14ac:dyDescent="0.15">
      <c r="A677" s="10"/>
      <c r="B677" s="13"/>
      <c r="C677" s="13"/>
    </row>
    <row r="678" spans="1:3" ht="13" x14ac:dyDescent="0.15">
      <c r="A678" s="10"/>
      <c r="B678" s="13"/>
      <c r="C678" s="13"/>
    </row>
    <row r="679" spans="1:3" ht="13" x14ac:dyDescent="0.15">
      <c r="A679" s="10"/>
      <c r="B679" s="13"/>
      <c r="C679" s="13"/>
    </row>
    <row r="680" spans="1:3" ht="13" x14ac:dyDescent="0.15">
      <c r="A680" s="10"/>
      <c r="B680" s="13"/>
      <c r="C680" s="13"/>
    </row>
    <row r="681" spans="1:3" ht="13" x14ac:dyDescent="0.15">
      <c r="A681" s="10"/>
      <c r="B681" s="13"/>
      <c r="C681" s="13"/>
    </row>
    <row r="682" spans="1:3" ht="13" x14ac:dyDescent="0.15">
      <c r="A682" s="10"/>
      <c r="B682" s="13"/>
      <c r="C682" s="13"/>
    </row>
    <row r="683" spans="1:3" ht="13" x14ac:dyDescent="0.15">
      <c r="A683" s="10"/>
      <c r="B683" s="13"/>
      <c r="C683" s="13"/>
    </row>
    <row r="684" spans="1:3" ht="13" x14ac:dyDescent="0.15">
      <c r="A684" s="10"/>
      <c r="B684" s="13"/>
      <c r="C684" s="13"/>
    </row>
    <row r="685" spans="1:3" ht="13" x14ac:dyDescent="0.15">
      <c r="A685" s="10"/>
      <c r="B685" s="13"/>
      <c r="C685" s="13"/>
    </row>
    <row r="686" spans="1:3" ht="13" x14ac:dyDescent="0.15">
      <c r="A686" s="10"/>
      <c r="B686" s="13"/>
      <c r="C686" s="13"/>
    </row>
    <row r="687" spans="1:3" ht="13" x14ac:dyDescent="0.15">
      <c r="A687" s="10"/>
      <c r="B687" s="13"/>
      <c r="C687" s="13"/>
    </row>
    <row r="688" spans="1:3" ht="13" x14ac:dyDescent="0.15">
      <c r="A688" s="10"/>
      <c r="B688" s="13"/>
      <c r="C688" s="13"/>
    </row>
    <row r="689" spans="1:3" ht="13" x14ac:dyDescent="0.15">
      <c r="A689" s="10"/>
      <c r="B689" s="13"/>
      <c r="C689" s="13"/>
    </row>
    <row r="690" spans="1:3" ht="13" x14ac:dyDescent="0.15">
      <c r="A690" s="10"/>
      <c r="B690" s="13"/>
      <c r="C690" s="13"/>
    </row>
    <row r="691" spans="1:3" ht="13" x14ac:dyDescent="0.15">
      <c r="A691" s="10"/>
      <c r="B691" s="13"/>
      <c r="C691" s="13"/>
    </row>
    <row r="692" spans="1:3" ht="13" x14ac:dyDescent="0.15">
      <c r="A692" s="10"/>
      <c r="B692" s="13"/>
      <c r="C692" s="13"/>
    </row>
    <row r="693" spans="1:3" ht="13" x14ac:dyDescent="0.15">
      <c r="A693" s="10"/>
      <c r="B693" s="13"/>
      <c r="C693" s="13"/>
    </row>
    <row r="694" spans="1:3" ht="13" x14ac:dyDescent="0.15">
      <c r="A694" s="10"/>
      <c r="B694" s="13"/>
      <c r="C694" s="13"/>
    </row>
    <row r="695" spans="1:3" ht="13" x14ac:dyDescent="0.15">
      <c r="A695" s="10"/>
      <c r="B695" s="13"/>
      <c r="C695" s="13"/>
    </row>
    <row r="696" spans="1:3" ht="13" x14ac:dyDescent="0.15">
      <c r="A696" s="10"/>
      <c r="B696" s="13"/>
      <c r="C696" s="13"/>
    </row>
    <row r="697" spans="1:3" ht="13" x14ac:dyDescent="0.15">
      <c r="A697" s="10"/>
      <c r="B697" s="13"/>
      <c r="C697" s="13"/>
    </row>
    <row r="698" spans="1:3" ht="13" x14ac:dyDescent="0.15">
      <c r="A698" s="10"/>
      <c r="B698" s="13"/>
      <c r="C698" s="13"/>
    </row>
    <row r="699" spans="1:3" ht="13" x14ac:dyDescent="0.15">
      <c r="A699" s="10"/>
      <c r="B699" s="13"/>
      <c r="C699" s="13"/>
    </row>
    <row r="700" spans="1:3" ht="13" x14ac:dyDescent="0.15">
      <c r="A700" s="10"/>
      <c r="B700" s="13"/>
      <c r="C700" s="13"/>
    </row>
    <row r="701" spans="1:3" ht="13" x14ac:dyDescent="0.15">
      <c r="A701" s="10"/>
      <c r="B701" s="13"/>
      <c r="C701" s="13"/>
    </row>
    <row r="702" spans="1:3" ht="13" x14ac:dyDescent="0.15">
      <c r="A702" s="10"/>
      <c r="B702" s="13"/>
      <c r="C702" s="13"/>
    </row>
    <row r="703" spans="1:3" ht="13" x14ac:dyDescent="0.15">
      <c r="A703" s="10"/>
      <c r="B703" s="13"/>
      <c r="C703" s="13"/>
    </row>
    <row r="704" spans="1:3" ht="13" x14ac:dyDescent="0.15">
      <c r="A704" s="10"/>
      <c r="B704" s="13"/>
      <c r="C704" s="13"/>
    </row>
    <row r="705" spans="1:3" ht="13" x14ac:dyDescent="0.15">
      <c r="A705" s="10"/>
      <c r="B705" s="13"/>
      <c r="C705" s="13"/>
    </row>
    <row r="706" spans="1:3" ht="13" x14ac:dyDescent="0.15">
      <c r="A706" s="10"/>
      <c r="B706" s="13"/>
      <c r="C706" s="13"/>
    </row>
    <row r="707" spans="1:3" ht="13" x14ac:dyDescent="0.15">
      <c r="A707" s="10"/>
      <c r="B707" s="13"/>
      <c r="C707" s="13"/>
    </row>
    <row r="708" spans="1:3" ht="13" x14ac:dyDescent="0.15">
      <c r="A708" s="10"/>
      <c r="B708" s="13"/>
      <c r="C708" s="13"/>
    </row>
    <row r="709" spans="1:3" ht="13" x14ac:dyDescent="0.15">
      <c r="A709" s="10"/>
      <c r="B709" s="13"/>
      <c r="C709" s="13"/>
    </row>
    <row r="710" spans="1:3" ht="13" x14ac:dyDescent="0.15">
      <c r="A710" s="10"/>
      <c r="B710" s="13"/>
      <c r="C710" s="13"/>
    </row>
    <row r="711" spans="1:3" ht="13" x14ac:dyDescent="0.15">
      <c r="A711" s="10"/>
      <c r="B711" s="13"/>
      <c r="C711" s="13"/>
    </row>
    <row r="712" spans="1:3" ht="13" x14ac:dyDescent="0.15">
      <c r="A712" s="10"/>
      <c r="B712" s="13"/>
      <c r="C712" s="13"/>
    </row>
    <row r="713" spans="1:3" ht="13" x14ac:dyDescent="0.15">
      <c r="A713" s="10"/>
      <c r="B713" s="13"/>
      <c r="C713" s="13"/>
    </row>
    <row r="714" spans="1:3" ht="13" x14ac:dyDescent="0.15">
      <c r="A714" s="10"/>
      <c r="B714" s="13"/>
      <c r="C714" s="13"/>
    </row>
    <row r="715" spans="1:3" ht="13" x14ac:dyDescent="0.15">
      <c r="A715" s="10"/>
      <c r="B715" s="13"/>
      <c r="C715" s="13"/>
    </row>
    <row r="716" spans="1:3" ht="13" x14ac:dyDescent="0.15">
      <c r="A716" s="10"/>
      <c r="B716" s="13"/>
      <c r="C716" s="13"/>
    </row>
    <row r="717" spans="1:3" ht="13" x14ac:dyDescent="0.15">
      <c r="A717" s="10"/>
      <c r="B717" s="13"/>
      <c r="C717" s="13"/>
    </row>
    <row r="718" spans="1:3" ht="13" x14ac:dyDescent="0.15">
      <c r="A718" s="10"/>
      <c r="B718" s="13"/>
      <c r="C718" s="13"/>
    </row>
    <row r="719" spans="1:3" ht="13" x14ac:dyDescent="0.15">
      <c r="A719" s="10"/>
      <c r="B719" s="13"/>
      <c r="C719" s="13"/>
    </row>
    <row r="720" spans="1:3" ht="13" x14ac:dyDescent="0.15">
      <c r="A720" s="10"/>
      <c r="B720" s="13"/>
      <c r="C720" s="13"/>
    </row>
    <row r="721" spans="1:3" ht="13" x14ac:dyDescent="0.15">
      <c r="A721" s="10"/>
      <c r="B721" s="13"/>
      <c r="C721" s="13"/>
    </row>
    <row r="722" spans="1:3" ht="13" x14ac:dyDescent="0.15">
      <c r="A722" s="10"/>
      <c r="B722" s="13"/>
      <c r="C722" s="13"/>
    </row>
    <row r="723" spans="1:3" ht="13" x14ac:dyDescent="0.15">
      <c r="A723" s="10"/>
      <c r="B723" s="13"/>
      <c r="C723" s="13"/>
    </row>
    <row r="724" spans="1:3" ht="13" x14ac:dyDescent="0.15">
      <c r="A724" s="10"/>
      <c r="B724" s="13"/>
      <c r="C724" s="13"/>
    </row>
    <row r="725" spans="1:3" ht="13" x14ac:dyDescent="0.15">
      <c r="A725" s="10"/>
      <c r="B725" s="13"/>
      <c r="C725" s="13"/>
    </row>
    <row r="726" spans="1:3" ht="13" x14ac:dyDescent="0.15">
      <c r="A726" s="10"/>
      <c r="B726" s="13"/>
      <c r="C726" s="13"/>
    </row>
    <row r="727" spans="1:3" ht="13" x14ac:dyDescent="0.15">
      <c r="A727" s="10"/>
      <c r="B727" s="13"/>
      <c r="C727" s="13"/>
    </row>
    <row r="728" spans="1:3" ht="13" x14ac:dyDescent="0.15">
      <c r="A728" s="10"/>
      <c r="B728" s="13"/>
      <c r="C728" s="13"/>
    </row>
    <row r="729" spans="1:3" ht="13" x14ac:dyDescent="0.15">
      <c r="A729" s="10"/>
      <c r="B729" s="13"/>
      <c r="C729" s="13"/>
    </row>
    <row r="730" spans="1:3" ht="13" x14ac:dyDescent="0.15">
      <c r="A730" s="10"/>
      <c r="B730" s="13"/>
      <c r="C730" s="13"/>
    </row>
    <row r="731" spans="1:3" ht="13" x14ac:dyDescent="0.15">
      <c r="A731" s="10"/>
      <c r="B731" s="13"/>
      <c r="C731" s="13"/>
    </row>
    <row r="732" spans="1:3" ht="13" x14ac:dyDescent="0.15">
      <c r="A732" s="10"/>
      <c r="B732" s="13"/>
      <c r="C732" s="13"/>
    </row>
    <row r="733" spans="1:3" ht="13" x14ac:dyDescent="0.15">
      <c r="A733" s="10"/>
      <c r="B733" s="13"/>
      <c r="C733" s="13"/>
    </row>
    <row r="734" spans="1:3" ht="13" x14ac:dyDescent="0.15">
      <c r="A734" s="10"/>
      <c r="B734" s="13"/>
      <c r="C734" s="13"/>
    </row>
    <row r="735" spans="1:3" ht="13" x14ac:dyDescent="0.15">
      <c r="A735" s="10"/>
      <c r="B735" s="13"/>
      <c r="C735" s="13"/>
    </row>
    <row r="736" spans="1:3" ht="13" x14ac:dyDescent="0.15">
      <c r="A736" s="10"/>
      <c r="B736" s="13"/>
      <c r="C736" s="13"/>
    </row>
    <row r="737" spans="1:3" ht="13" x14ac:dyDescent="0.15">
      <c r="A737" s="10"/>
      <c r="B737" s="13"/>
      <c r="C737" s="13"/>
    </row>
    <row r="738" spans="1:3" ht="13" x14ac:dyDescent="0.15">
      <c r="A738" s="10"/>
      <c r="B738" s="13"/>
      <c r="C738" s="13"/>
    </row>
    <row r="739" spans="1:3" ht="13" x14ac:dyDescent="0.15">
      <c r="A739" s="10"/>
      <c r="B739" s="13"/>
      <c r="C739" s="13"/>
    </row>
    <row r="740" spans="1:3" ht="13" x14ac:dyDescent="0.15">
      <c r="A740" s="10"/>
      <c r="B740" s="13"/>
      <c r="C740" s="13"/>
    </row>
    <row r="741" spans="1:3" ht="13" x14ac:dyDescent="0.15">
      <c r="A741" s="10"/>
      <c r="B741" s="13"/>
      <c r="C741" s="13"/>
    </row>
    <row r="742" spans="1:3" ht="13" x14ac:dyDescent="0.15">
      <c r="A742" s="10"/>
      <c r="B742" s="13"/>
      <c r="C742" s="13"/>
    </row>
    <row r="743" spans="1:3" ht="13" x14ac:dyDescent="0.15">
      <c r="A743" s="10"/>
      <c r="B743" s="13"/>
      <c r="C743" s="13"/>
    </row>
    <row r="744" spans="1:3" ht="13" x14ac:dyDescent="0.15">
      <c r="A744" s="10"/>
      <c r="B744" s="13"/>
      <c r="C744" s="13"/>
    </row>
    <row r="745" spans="1:3" ht="13" x14ac:dyDescent="0.15">
      <c r="A745" s="10"/>
      <c r="B745" s="13"/>
      <c r="C745" s="13"/>
    </row>
    <row r="746" spans="1:3" ht="13" x14ac:dyDescent="0.15">
      <c r="A746" s="10"/>
      <c r="B746" s="13"/>
      <c r="C746" s="13"/>
    </row>
    <row r="747" spans="1:3" ht="13" x14ac:dyDescent="0.15">
      <c r="A747" s="10"/>
      <c r="B747" s="13"/>
      <c r="C747" s="13"/>
    </row>
    <row r="748" spans="1:3" ht="13" x14ac:dyDescent="0.15">
      <c r="A748" s="10"/>
      <c r="B748" s="13"/>
      <c r="C748" s="13"/>
    </row>
    <row r="749" spans="1:3" ht="13" x14ac:dyDescent="0.15">
      <c r="A749" s="10"/>
      <c r="B749" s="13"/>
      <c r="C749" s="13"/>
    </row>
    <row r="750" spans="1:3" ht="13" x14ac:dyDescent="0.15">
      <c r="A750" s="10"/>
      <c r="B750" s="13"/>
      <c r="C750" s="13"/>
    </row>
    <row r="751" spans="1:3" ht="13" x14ac:dyDescent="0.15">
      <c r="A751" s="10"/>
      <c r="B751" s="13"/>
      <c r="C751" s="13"/>
    </row>
    <row r="752" spans="1:3" ht="13" x14ac:dyDescent="0.15">
      <c r="A752" s="10"/>
      <c r="B752" s="13"/>
      <c r="C752" s="13"/>
    </row>
    <row r="753" spans="1:3" ht="13" x14ac:dyDescent="0.15">
      <c r="A753" s="10"/>
      <c r="B753" s="13"/>
      <c r="C753" s="13"/>
    </row>
    <row r="754" spans="1:3" ht="13" x14ac:dyDescent="0.15">
      <c r="A754" s="10"/>
      <c r="B754" s="13"/>
      <c r="C754" s="13"/>
    </row>
    <row r="755" spans="1:3" ht="13" x14ac:dyDescent="0.15">
      <c r="A755" s="10"/>
      <c r="B755" s="13"/>
      <c r="C755" s="13"/>
    </row>
    <row r="756" spans="1:3" ht="13" x14ac:dyDescent="0.15">
      <c r="A756" s="10"/>
      <c r="B756" s="13"/>
      <c r="C756" s="13"/>
    </row>
    <row r="757" spans="1:3" ht="13" x14ac:dyDescent="0.15">
      <c r="A757" s="10"/>
      <c r="B757" s="13"/>
      <c r="C757" s="13"/>
    </row>
    <row r="758" spans="1:3" ht="13" x14ac:dyDescent="0.15">
      <c r="A758" s="10"/>
      <c r="B758" s="13"/>
      <c r="C758" s="13"/>
    </row>
    <row r="759" spans="1:3" ht="13" x14ac:dyDescent="0.15">
      <c r="A759" s="10"/>
      <c r="B759" s="13"/>
      <c r="C759" s="13"/>
    </row>
    <row r="760" spans="1:3" ht="13" x14ac:dyDescent="0.15">
      <c r="A760" s="10"/>
      <c r="B760" s="13"/>
      <c r="C760" s="13"/>
    </row>
    <row r="761" spans="1:3" ht="13" x14ac:dyDescent="0.15">
      <c r="A761" s="10"/>
      <c r="B761" s="13"/>
      <c r="C761" s="13"/>
    </row>
    <row r="762" spans="1:3" ht="13" x14ac:dyDescent="0.15">
      <c r="A762" s="10"/>
      <c r="B762" s="13"/>
      <c r="C762" s="13"/>
    </row>
    <row r="763" spans="1:3" ht="13" x14ac:dyDescent="0.15">
      <c r="A763" s="10"/>
      <c r="B763" s="13"/>
      <c r="C763" s="13"/>
    </row>
    <row r="764" spans="1:3" ht="13" x14ac:dyDescent="0.15">
      <c r="A764" s="10"/>
      <c r="B764" s="13"/>
      <c r="C764" s="13"/>
    </row>
    <row r="765" spans="1:3" ht="13" x14ac:dyDescent="0.15">
      <c r="A765" s="10"/>
      <c r="B765" s="13"/>
      <c r="C765" s="13"/>
    </row>
    <row r="766" spans="1:3" ht="13" x14ac:dyDescent="0.15">
      <c r="A766" s="10"/>
      <c r="B766" s="13"/>
      <c r="C766" s="13"/>
    </row>
    <row r="767" spans="1:3" ht="13" x14ac:dyDescent="0.15">
      <c r="A767" s="10"/>
      <c r="B767" s="13"/>
      <c r="C767" s="13"/>
    </row>
    <row r="768" spans="1:3" ht="13" x14ac:dyDescent="0.15">
      <c r="A768" s="10"/>
      <c r="B768" s="13"/>
      <c r="C768" s="13"/>
    </row>
    <row r="769" spans="1:3" ht="13" x14ac:dyDescent="0.15">
      <c r="A769" s="10"/>
      <c r="B769" s="13"/>
      <c r="C769" s="13"/>
    </row>
    <row r="770" spans="1:3" ht="13" x14ac:dyDescent="0.15">
      <c r="A770" s="10"/>
      <c r="B770" s="13"/>
      <c r="C770" s="13"/>
    </row>
    <row r="771" spans="1:3" ht="13" x14ac:dyDescent="0.15">
      <c r="A771" s="10"/>
      <c r="B771" s="13"/>
      <c r="C771" s="13"/>
    </row>
    <row r="772" spans="1:3" ht="13" x14ac:dyDescent="0.15">
      <c r="A772" s="10"/>
      <c r="B772" s="13"/>
      <c r="C772" s="13"/>
    </row>
    <row r="773" spans="1:3" ht="13" x14ac:dyDescent="0.15">
      <c r="A773" s="10"/>
      <c r="B773" s="13"/>
      <c r="C773" s="13"/>
    </row>
    <row r="774" spans="1:3" ht="13" x14ac:dyDescent="0.15">
      <c r="A774" s="10"/>
      <c r="B774" s="13"/>
      <c r="C774" s="13"/>
    </row>
    <row r="775" spans="1:3" ht="13" x14ac:dyDescent="0.15">
      <c r="A775" s="10"/>
      <c r="B775" s="13"/>
      <c r="C775" s="13"/>
    </row>
    <row r="776" spans="1:3" ht="13" x14ac:dyDescent="0.15">
      <c r="A776" s="10"/>
      <c r="B776" s="13"/>
      <c r="C776" s="13"/>
    </row>
    <row r="777" spans="1:3" ht="13" x14ac:dyDescent="0.15">
      <c r="A777" s="10"/>
      <c r="B777" s="13"/>
      <c r="C777" s="13"/>
    </row>
    <row r="778" spans="1:3" ht="13" x14ac:dyDescent="0.15">
      <c r="A778" s="10"/>
      <c r="B778" s="13"/>
      <c r="C778" s="13"/>
    </row>
    <row r="779" spans="1:3" ht="13" x14ac:dyDescent="0.15">
      <c r="A779" s="10"/>
      <c r="B779" s="13"/>
      <c r="C779" s="13"/>
    </row>
    <row r="780" spans="1:3" ht="13" x14ac:dyDescent="0.15">
      <c r="A780" s="10"/>
      <c r="B780" s="13"/>
      <c r="C780" s="13"/>
    </row>
    <row r="781" spans="1:3" ht="13" x14ac:dyDescent="0.15">
      <c r="A781" s="10"/>
      <c r="B781" s="13"/>
      <c r="C781" s="13"/>
    </row>
    <row r="782" spans="1:3" ht="13" x14ac:dyDescent="0.15">
      <c r="A782" s="10"/>
      <c r="B782" s="13"/>
      <c r="C782" s="13"/>
    </row>
    <row r="783" spans="1:3" ht="13" x14ac:dyDescent="0.15">
      <c r="A783" s="10"/>
      <c r="B783" s="13"/>
      <c r="C783" s="13"/>
    </row>
    <row r="784" spans="1:3" ht="13" x14ac:dyDescent="0.15">
      <c r="A784" s="10"/>
      <c r="B784" s="13"/>
      <c r="C784" s="13"/>
    </row>
    <row r="785" spans="1:3" ht="13" x14ac:dyDescent="0.15">
      <c r="A785" s="10"/>
      <c r="B785" s="13"/>
      <c r="C785" s="13"/>
    </row>
    <row r="786" spans="1:3" ht="13" x14ac:dyDescent="0.15">
      <c r="A786" s="10"/>
      <c r="B786" s="13"/>
      <c r="C786" s="13"/>
    </row>
    <row r="787" spans="1:3" ht="13" x14ac:dyDescent="0.15">
      <c r="A787" s="10"/>
      <c r="B787" s="13"/>
      <c r="C787" s="13"/>
    </row>
    <row r="788" spans="1:3" ht="13" x14ac:dyDescent="0.15">
      <c r="A788" s="10"/>
      <c r="B788" s="13"/>
      <c r="C788" s="13"/>
    </row>
    <row r="789" spans="1:3" ht="13" x14ac:dyDescent="0.15">
      <c r="A789" s="10"/>
      <c r="B789" s="13"/>
      <c r="C789" s="13"/>
    </row>
    <row r="790" spans="1:3" ht="13" x14ac:dyDescent="0.15">
      <c r="A790" s="10"/>
      <c r="B790" s="13"/>
      <c r="C790" s="13"/>
    </row>
    <row r="791" spans="1:3" ht="13" x14ac:dyDescent="0.15">
      <c r="A791" s="10"/>
      <c r="B791" s="13"/>
      <c r="C791" s="13"/>
    </row>
    <row r="792" spans="1:3" ht="13" x14ac:dyDescent="0.15">
      <c r="A792" s="10"/>
      <c r="B792" s="13"/>
      <c r="C792" s="13"/>
    </row>
    <row r="793" spans="1:3" ht="13" x14ac:dyDescent="0.15">
      <c r="A793" s="10"/>
      <c r="B793" s="13"/>
      <c r="C793" s="13"/>
    </row>
    <row r="794" spans="1:3" ht="13" x14ac:dyDescent="0.15">
      <c r="A794" s="10"/>
      <c r="B794" s="13"/>
      <c r="C794" s="13"/>
    </row>
    <row r="795" spans="1:3" ht="13" x14ac:dyDescent="0.15">
      <c r="A795" s="10"/>
      <c r="B795" s="13"/>
      <c r="C795" s="13"/>
    </row>
    <row r="796" spans="1:3" ht="13" x14ac:dyDescent="0.15">
      <c r="A796" s="10"/>
      <c r="B796" s="13"/>
      <c r="C796" s="13"/>
    </row>
    <row r="797" spans="1:3" ht="13" x14ac:dyDescent="0.15">
      <c r="A797" s="10"/>
      <c r="B797" s="13"/>
      <c r="C797" s="13"/>
    </row>
    <row r="798" spans="1:3" ht="13" x14ac:dyDescent="0.15">
      <c r="A798" s="10"/>
      <c r="B798" s="13"/>
      <c r="C798" s="13"/>
    </row>
    <row r="799" spans="1:3" ht="13" x14ac:dyDescent="0.15">
      <c r="A799" s="10"/>
      <c r="B799" s="13"/>
      <c r="C799" s="13"/>
    </row>
    <row r="800" spans="1:3" ht="13" x14ac:dyDescent="0.15">
      <c r="A800" s="10"/>
      <c r="B800" s="13"/>
      <c r="C800" s="13"/>
    </row>
    <row r="801" spans="1:3" ht="13" x14ac:dyDescent="0.15">
      <c r="A801" s="10"/>
      <c r="B801" s="13"/>
      <c r="C801" s="13"/>
    </row>
    <row r="802" spans="1:3" ht="13" x14ac:dyDescent="0.15">
      <c r="A802" s="10"/>
      <c r="B802" s="13"/>
      <c r="C802" s="13"/>
    </row>
    <row r="803" spans="1:3" ht="13" x14ac:dyDescent="0.15">
      <c r="A803" s="10"/>
      <c r="B803" s="13"/>
      <c r="C803" s="13"/>
    </row>
    <row r="804" spans="1:3" ht="13" x14ac:dyDescent="0.15">
      <c r="A804" s="10"/>
      <c r="B804" s="13"/>
      <c r="C804" s="13"/>
    </row>
    <row r="805" spans="1:3" ht="13" x14ac:dyDescent="0.15">
      <c r="A805" s="10"/>
      <c r="B805" s="13"/>
      <c r="C805" s="13"/>
    </row>
    <row r="806" spans="1:3" ht="13" x14ac:dyDescent="0.15">
      <c r="A806" s="10"/>
      <c r="B806" s="13"/>
      <c r="C806" s="13"/>
    </row>
    <row r="807" spans="1:3" ht="13" x14ac:dyDescent="0.15">
      <c r="A807" s="10"/>
      <c r="B807" s="13"/>
      <c r="C807" s="13"/>
    </row>
    <row r="808" spans="1:3" ht="13" x14ac:dyDescent="0.15">
      <c r="A808" s="10"/>
      <c r="B808" s="13"/>
      <c r="C808" s="13"/>
    </row>
    <row r="809" spans="1:3" ht="13" x14ac:dyDescent="0.15">
      <c r="A809" s="10"/>
      <c r="B809" s="13"/>
      <c r="C809" s="13"/>
    </row>
    <row r="810" spans="1:3" ht="13" x14ac:dyDescent="0.15">
      <c r="A810" s="10"/>
      <c r="B810" s="13"/>
      <c r="C810" s="13"/>
    </row>
    <row r="811" spans="1:3" ht="13" x14ac:dyDescent="0.15">
      <c r="A811" s="10"/>
      <c r="B811" s="13"/>
      <c r="C811" s="13"/>
    </row>
    <row r="812" spans="1:3" ht="13" x14ac:dyDescent="0.15">
      <c r="A812" s="10"/>
      <c r="B812" s="13"/>
      <c r="C812" s="13"/>
    </row>
    <row r="813" spans="1:3" ht="13" x14ac:dyDescent="0.15">
      <c r="A813" s="10"/>
      <c r="B813" s="13"/>
      <c r="C813" s="13"/>
    </row>
    <row r="814" spans="1:3" ht="13" x14ac:dyDescent="0.15">
      <c r="A814" s="10"/>
      <c r="B814" s="13"/>
      <c r="C814" s="13"/>
    </row>
    <row r="815" spans="1:3" ht="13" x14ac:dyDescent="0.15">
      <c r="A815" s="10"/>
      <c r="B815" s="13"/>
      <c r="C815" s="13"/>
    </row>
    <row r="816" spans="1:3" ht="13" x14ac:dyDescent="0.15">
      <c r="A816" s="10"/>
      <c r="B816" s="13"/>
      <c r="C816" s="13"/>
    </row>
    <row r="817" spans="1:3" ht="13" x14ac:dyDescent="0.15">
      <c r="A817" s="10"/>
      <c r="B817" s="13"/>
      <c r="C817" s="13"/>
    </row>
    <row r="818" spans="1:3" ht="13" x14ac:dyDescent="0.15">
      <c r="A818" s="10"/>
      <c r="B818" s="13"/>
      <c r="C818" s="13"/>
    </row>
    <row r="819" spans="1:3" ht="13" x14ac:dyDescent="0.15">
      <c r="A819" s="10"/>
      <c r="B819" s="13"/>
      <c r="C819" s="13"/>
    </row>
    <row r="820" spans="1:3" ht="13" x14ac:dyDescent="0.15">
      <c r="A820" s="10"/>
      <c r="B820" s="13"/>
      <c r="C820" s="13"/>
    </row>
    <row r="821" spans="1:3" ht="13" x14ac:dyDescent="0.15">
      <c r="A821" s="10"/>
      <c r="B821" s="13"/>
      <c r="C821" s="13"/>
    </row>
    <row r="822" spans="1:3" ht="13" x14ac:dyDescent="0.15">
      <c r="A822" s="10"/>
      <c r="B822" s="13"/>
      <c r="C822" s="13"/>
    </row>
    <row r="823" spans="1:3" ht="13" x14ac:dyDescent="0.15">
      <c r="A823" s="10"/>
      <c r="B823" s="13"/>
      <c r="C823" s="13"/>
    </row>
    <row r="824" spans="1:3" ht="13" x14ac:dyDescent="0.15">
      <c r="A824" s="10"/>
      <c r="B824" s="13"/>
      <c r="C824" s="13"/>
    </row>
    <row r="825" spans="1:3" ht="13" x14ac:dyDescent="0.15">
      <c r="A825" s="10"/>
      <c r="B825" s="13"/>
      <c r="C825" s="13"/>
    </row>
    <row r="826" spans="1:3" ht="13" x14ac:dyDescent="0.15">
      <c r="A826" s="10"/>
      <c r="B826" s="13"/>
      <c r="C826" s="13"/>
    </row>
    <row r="827" spans="1:3" ht="13" x14ac:dyDescent="0.15">
      <c r="A827" s="10"/>
      <c r="B827" s="13"/>
      <c r="C827" s="13"/>
    </row>
    <row r="828" spans="1:3" ht="13" x14ac:dyDescent="0.15">
      <c r="A828" s="10"/>
      <c r="B828" s="13"/>
      <c r="C828" s="13"/>
    </row>
    <row r="829" spans="1:3" ht="13" x14ac:dyDescent="0.15">
      <c r="A829" s="10"/>
      <c r="B829" s="13"/>
      <c r="C829" s="13"/>
    </row>
    <row r="830" spans="1:3" ht="13" x14ac:dyDescent="0.15">
      <c r="A830" s="10"/>
      <c r="B830" s="13"/>
      <c r="C830" s="13"/>
    </row>
    <row r="831" spans="1:3" ht="13" x14ac:dyDescent="0.15">
      <c r="A831" s="10"/>
      <c r="B831" s="13"/>
      <c r="C831" s="13"/>
    </row>
    <row r="832" spans="1:3" ht="13" x14ac:dyDescent="0.15">
      <c r="A832" s="10"/>
      <c r="B832" s="13"/>
      <c r="C832" s="13"/>
    </row>
    <row r="833" spans="1:3" ht="13" x14ac:dyDescent="0.15">
      <c r="A833" s="10"/>
      <c r="B833" s="13"/>
      <c r="C833" s="13"/>
    </row>
    <row r="834" spans="1:3" ht="13" x14ac:dyDescent="0.15">
      <c r="A834" s="10"/>
      <c r="B834" s="13"/>
      <c r="C834" s="13"/>
    </row>
    <row r="835" spans="1:3" ht="13" x14ac:dyDescent="0.15">
      <c r="A835" s="10"/>
      <c r="B835" s="13"/>
      <c r="C835" s="13"/>
    </row>
    <row r="836" spans="1:3" ht="13" x14ac:dyDescent="0.15">
      <c r="A836" s="10"/>
      <c r="B836" s="13"/>
      <c r="C836" s="13"/>
    </row>
    <row r="837" spans="1:3" ht="13" x14ac:dyDescent="0.15">
      <c r="A837" s="10"/>
      <c r="B837" s="13"/>
      <c r="C837" s="13"/>
    </row>
    <row r="838" spans="1:3" ht="13" x14ac:dyDescent="0.15">
      <c r="A838" s="10"/>
      <c r="B838" s="13"/>
      <c r="C838" s="13"/>
    </row>
    <row r="839" spans="1:3" ht="13" x14ac:dyDescent="0.15">
      <c r="A839" s="10"/>
      <c r="B839" s="13"/>
      <c r="C839" s="13"/>
    </row>
    <row r="840" spans="1:3" ht="13" x14ac:dyDescent="0.15">
      <c r="A840" s="10"/>
      <c r="B840" s="13"/>
      <c r="C840" s="13"/>
    </row>
    <row r="841" spans="1:3" ht="13" x14ac:dyDescent="0.15">
      <c r="A841" s="10"/>
      <c r="B841" s="13"/>
      <c r="C841" s="13"/>
    </row>
    <row r="842" spans="1:3" ht="13" x14ac:dyDescent="0.15">
      <c r="A842" s="10"/>
      <c r="B842" s="13"/>
      <c r="C842" s="13"/>
    </row>
    <row r="843" spans="1:3" ht="13" x14ac:dyDescent="0.15">
      <c r="A843" s="10"/>
      <c r="B843" s="13"/>
      <c r="C843" s="13"/>
    </row>
    <row r="844" spans="1:3" ht="13" x14ac:dyDescent="0.15">
      <c r="A844" s="10"/>
      <c r="B844" s="13"/>
      <c r="C844" s="13"/>
    </row>
    <row r="845" spans="1:3" ht="13" x14ac:dyDescent="0.15">
      <c r="A845" s="10"/>
      <c r="B845" s="13"/>
      <c r="C845" s="13"/>
    </row>
    <row r="846" spans="1:3" ht="13" x14ac:dyDescent="0.15">
      <c r="A846" s="10"/>
      <c r="B846" s="13"/>
      <c r="C846" s="13"/>
    </row>
    <row r="847" spans="1:3" ht="13" x14ac:dyDescent="0.15">
      <c r="A847" s="10"/>
      <c r="B847" s="13"/>
      <c r="C847" s="13"/>
    </row>
    <row r="848" spans="1:3" ht="13" x14ac:dyDescent="0.15">
      <c r="A848" s="10"/>
      <c r="B848" s="13"/>
      <c r="C848" s="13"/>
    </row>
    <row r="849" spans="1:3" ht="13" x14ac:dyDescent="0.15">
      <c r="A849" s="10"/>
      <c r="B849" s="13"/>
      <c r="C849" s="13"/>
    </row>
    <row r="850" spans="1:3" ht="13" x14ac:dyDescent="0.15">
      <c r="A850" s="10"/>
      <c r="B850" s="13"/>
      <c r="C850" s="13"/>
    </row>
    <row r="851" spans="1:3" ht="13" x14ac:dyDescent="0.15">
      <c r="A851" s="10"/>
      <c r="B851" s="13"/>
      <c r="C851" s="13"/>
    </row>
    <row r="852" spans="1:3" ht="13" x14ac:dyDescent="0.15">
      <c r="A852" s="10"/>
      <c r="B852" s="13"/>
      <c r="C852" s="13"/>
    </row>
    <row r="853" spans="1:3" ht="13" x14ac:dyDescent="0.15">
      <c r="A853" s="10"/>
      <c r="B853" s="13"/>
      <c r="C853" s="13"/>
    </row>
    <row r="854" spans="1:3" ht="13" x14ac:dyDescent="0.15">
      <c r="A854" s="10"/>
      <c r="B854" s="13"/>
      <c r="C854" s="13"/>
    </row>
    <row r="855" spans="1:3" ht="13" x14ac:dyDescent="0.15">
      <c r="A855" s="10"/>
      <c r="B855" s="13"/>
      <c r="C855" s="13"/>
    </row>
    <row r="856" spans="1:3" ht="13" x14ac:dyDescent="0.15">
      <c r="A856" s="10"/>
      <c r="B856" s="13"/>
      <c r="C856" s="13"/>
    </row>
    <row r="857" spans="1:3" ht="13" x14ac:dyDescent="0.15">
      <c r="A857" s="10"/>
      <c r="B857" s="13"/>
      <c r="C857" s="13"/>
    </row>
    <row r="858" spans="1:3" ht="13" x14ac:dyDescent="0.15">
      <c r="A858" s="10"/>
      <c r="B858" s="13"/>
      <c r="C858" s="13"/>
    </row>
    <row r="859" spans="1:3" ht="13" x14ac:dyDescent="0.15">
      <c r="A859" s="10"/>
      <c r="B859" s="13"/>
      <c r="C859" s="13"/>
    </row>
    <row r="860" spans="1:3" ht="13" x14ac:dyDescent="0.15">
      <c r="A860" s="10"/>
      <c r="B860" s="13"/>
      <c r="C860" s="13"/>
    </row>
    <row r="861" spans="1:3" ht="13" x14ac:dyDescent="0.15">
      <c r="A861" s="10"/>
      <c r="B861" s="13"/>
      <c r="C861" s="13"/>
    </row>
    <row r="862" spans="1:3" ht="13" x14ac:dyDescent="0.15">
      <c r="A862" s="10"/>
      <c r="B862" s="13"/>
      <c r="C862" s="13"/>
    </row>
    <row r="863" spans="1:3" ht="13" x14ac:dyDescent="0.15">
      <c r="A863" s="10"/>
      <c r="B863" s="13"/>
      <c r="C863" s="13"/>
    </row>
    <row r="864" spans="1:3" ht="13" x14ac:dyDescent="0.15">
      <c r="A864" s="10"/>
      <c r="B864" s="13"/>
      <c r="C864" s="13"/>
    </row>
    <row r="865" spans="1:3" ht="13" x14ac:dyDescent="0.15">
      <c r="A865" s="10"/>
      <c r="B865" s="13"/>
      <c r="C865" s="13"/>
    </row>
    <row r="866" spans="1:3" ht="13" x14ac:dyDescent="0.15">
      <c r="A866" s="10"/>
      <c r="B866" s="13"/>
      <c r="C866" s="13"/>
    </row>
    <row r="867" spans="1:3" ht="13" x14ac:dyDescent="0.15">
      <c r="A867" s="10"/>
      <c r="B867" s="13"/>
      <c r="C867" s="13"/>
    </row>
    <row r="868" spans="1:3" ht="13" x14ac:dyDescent="0.15">
      <c r="A868" s="10"/>
      <c r="B868" s="13"/>
      <c r="C868" s="13"/>
    </row>
    <row r="869" spans="1:3" ht="13" x14ac:dyDescent="0.15">
      <c r="A869" s="10"/>
      <c r="B869" s="13"/>
      <c r="C869" s="13"/>
    </row>
    <row r="870" spans="1:3" ht="13" x14ac:dyDescent="0.15">
      <c r="A870" s="10"/>
      <c r="B870" s="13"/>
      <c r="C870" s="13"/>
    </row>
    <row r="871" spans="1:3" ht="13" x14ac:dyDescent="0.15">
      <c r="A871" s="10"/>
      <c r="B871" s="13"/>
      <c r="C871" s="13"/>
    </row>
    <row r="872" spans="1:3" ht="13" x14ac:dyDescent="0.15">
      <c r="A872" s="10"/>
      <c r="B872" s="13"/>
      <c r="C872" s="13"/>
    </row>
    <row r="873" spans="1:3" ht="13" x14ac:dyDescent="0.15">
      <c r="A873" s="10"/>
      <c r="B873" s="13"/>
      <c r="C873" s="13"/>
    </row>
    <row r="874" spans="1:3" ht="13" x14ac:dyDescent="0.15">
      <c r="A874" s="10"/>
      <c r="B874" s="13"/>
      <c r="C874" s="13"/>
    </row>
    <row r="875" spans="1:3" ht="13" x14ac:dyDescent="0.15">
      <c r="A875" s="10"/>
      <c r="B875" s="13"/>
      <c r="C875" s="13"/>
    </row>
    <row r="876" spans="1:3" ht="13" x14ac:dyDescent="0.15">
      <c r="A876" s="10"/>
      <c r="B876" s="13"/>
      <c r="C876" s="13"/>
    </row>
    <row r="877" spans="1:3" ht="13" x14ac:dyDescent="0.15">
      <c r="A877" s="10"/>
      <c r="B877" s="13"/>
      <c r="C877" s="13"/>
    </row>
    <row r="878" spans="1:3" ht="13" x14ac:dyDescent="0.15">
      <c r="A878" s="10"/>
      <c r="B878" s="13"/>
      <c r="C878" s="13"/>
    </row>
    <row r="879" spans="1:3" ht="13" x14ac:dyDescent="0.15">
      <c r="A879" s="10"/>
      <c r="B879" s="13"/>
      <c r="C879" s="13"/>
    </row>
    <row r="880" spans="1:3" ht="13" x14ac:dyDescent="0.15">
      <c r="A880" s="10"/>
      <c r="B880" s="13"/>
      <c r="C880" s="13"/>
    </row>
    <row r="881" spans="1:3" ht="13" x14ac:dyDescent="0.15">
      <c r="A881" s="10"/>
      <c r="B881" s="13"/>
      <c r="C881" s="13"/>
    </row>
    <row r="882" spans="1:3" ht="13" x14ac:dyDescent="0.15">
      <c r="A882" s="10"/>
      <c r="B882" s="13"/>
      <c r="C882" s="13"/>
    </row>
    <row r="883" spans="1:3" ht="13" x14ac:dyDescent="0.15">
      <c r="A883" s="10"/>
      <c r="B883" s="13"/>
      <c r="C883" s="13"/>
    </row>
    <row r="884" spans="1:3" ht="13" x14ac:dyDescent="0.15">
      <c r="A884" s="10"/>
      <c r="B884" s="13"/>
      <c r="C884" s="13"/>
    </row>
    <row r="885" spans="1:3" ht="13" x14ac:dyDescent="0.15">
      <c r="A885" s="10"/>
      <c r="B885" s="13"/>
      <c r="C885" s="13"/>
    </row>
    <row r="886" spans="1:3" ht="13" x14ac:dyDescent="0.15">
      <c r="A886" s="10"/>
      <c r="B886" s="13"/>
      <c r="C886" s="13"/>
    </row>
    <row r="887" spans="1:3" ht="13" x14ac:dyDescent="0.15">
      <c r="A887" s="10"/>
      <c r="B887" s="13"/>
      <c r="C887" s="13"/>
    </row>
    <row r="888" spans="1:3" ht="13" x14ac:dyDescent="0.15">
      <c r="A888" s="10"/>
      <c r="B888" s="13"/>
      <c r="C888" s="13"/>
    </row>
    <row r="889" spans="1:3" ht="13" x14ac:dyDescent="0.15">
      <c r="A889" s="10"/>
      <c r="B889" s="13"/>
      <c r="C889" s="13"/>
    </row>
    <row r="890" spans="1:3" ht="13" x14ac:dyDescent="0.15">
      <c r="A890" s="10"/>
      <c r="B890" s="13"/>
      <c r="C890" s="13"/>
    </row>
    <row r="891" spans="1:3" ht="13" x14ac:dyDescent="0.15">
      <c r="A891" s="10"/>
      <c r="B891" s="13"/>
      <c r="C891" s="13"/>
    </row>
    <row r="892" spans="1:3" ht="13" x14ac:dyDescent="0.15">
      <c r="A892" s="10"/>
      <c r="B892" s="13"/>
      <c r="C892" s="13"/>
    </row>
    <row r="893" spans="1:3" ht="13" x14ac:dyDescent="0.15">
      <c r="A893" s="10"/>
      <c r="B893" s="13"/>
      <c r="C893" s="13"/>
    </row>
    <row r="894" spans="1:3" ht="13" x14ac:dyDescent="0.15">
      <c r="A894" s="10"/>
      <c r="B894" s="13"/>
      <c r="C894" s="13"/>
    </row>
    <row r="895" spans="1:3" ht="13" x14ac:dyDescent="0.15">
      <c r="A895" s="10"/>
      <c r="B895" s="13"/>
      <c r="C895" s="13"/>
    </row>
    <row r="896" spans="1:3" ht="13" x14ac:dyDescent="0.15">
      <c r="A896" s="10"/>
      <c r="B896" s="13"/>
      <c r="C896" s="13"/>
    </row>
    <row r="897" spans="1:3" ht="13" x14ac:dyDescent="0.15">
      <c r="A897" s="10"/>
      <c r="B897" s="13"/>
      <c r="C897" s="13"/>
    </row>
    <row r="898" spans="1:3" ht="13" x14ac:dyDescent="0.15">
      <c r="A898" s="10"/>
      <c r="B898" s="13"/>
      <c r="C898" s="13"/>
    </row>
    <row r="899" spans="1:3" ht="13" x14ac:dyDescent="0.15">
      <c r="A899" s="10"/>
      <c r="B899" s="13"/>
      <c r="C899" s="13"/>
    </row>
    <row r="900" spans="1:3" ht="13" x14ac:dyDescent="0.15">
      <c r="A900" s="10"/>
      <c r="B900" s="13"/>
      <c r="C900" s="13"/>
    </row>
    <row r="901" spans="1:3" ht="13" x14ac:dyDescent="0.15">
      <c r="A901" s="10"/>
      <c r="B901" s="13"/>
      <c r="C901" s="13"/>
    </row>
    <row r="902" spans="1:3" ht="13" x14ac:dyDescent="0.15">
      <c r="A902" s="10"/>
      <c r="B902" s="13"/>
      <c r="C902" s="13"/>
    </row>
    <row r="903" spans="1:3" ht="13" x14ac:dyDescent="0.15">
      <c r="A903" s="10"/>
      <c r="B903" s="13"/>
      <c r="C903" s="13"/>
    </row>
    <row r="904" spans="1:3" ht="13" x14ac:dyDescent="0.15">
      <c r="A904" s="10"/>
      <c r="B904" s="13"/>
      <c r="C904" s="13"/>
    </row>
    <row r="905" spans="1:3" ht="13" x14ac:dyDescent="0.15">
      <c r="A905" s="10"/>
      <c r="B905" s="13"/>
      <c r="C905" s="13"/>
    </row>
    <row r="906" spans="1:3" ht="13" x14ac:dyDescent="0.15">
      <c r="A906" s="10"/>
      <c r="B906" s="13"/>
      <c r="C906" s="13"/>
    </row>
    <row r="907" spans="1:3" ht="13" x14ac:dyDescent="0.15">
      <c r="A907" s="10"/>
      <c r="B907" s="13"/>
      <c r="C907" s="13"/>
    </row>
    <row r="908" spans="1:3" ht="13" x14ac:dyDescent="0.15">
      <c r="A908" s="10"/>
      <c r="B908" s="13"/>
      <c r="C908" s="13"/>
    </row>
    <row r="909" spans="1:3" ht="13" x14ac:dyDescent="0.15">
      <c r="A909" s="10"/>
      <c r="B909" s="13"/>
      <c r="C909" s="13"/>
    </row>
    <row r="910" spans="1:3" ht="13" x14ac:dyDescent="0.15">
      <c r="A910" s="10"/>
      <c r="B910" s="13"/>
      <c r="C910" s="13"/>
    </row>
    <row r="911" spans="1:3" ht="13" x14ac:dyDescent="0.15">
      <c r="A911" s="10"/>
      <c r="B911" s="13"/>
      <c r="C911" s="13"/>
    </row>
    <row r="912" spans="1:3" ht="13" x14ac:dyDescent="0.15">
      <c r="A912" s="10"/>
      <c r="B912" s="13"/>
      <c r="C912" s="13"/>
    </row>
    <row r="913" spans="1:3" ht="13" x14ac:dyDescent="0.15">
      <c r="A913" s="10"/>
      <c r="B913" s="13"/>
      <c r="C913" s="13"/>
    </row>
    <row r="914" spans="1:3" ht="13" x14ac:dyDescent="0.15">
      <c r="A914" s="10"/>
      <c r="B914" s="13"/>
      <c r="C914" s="13"/>
    </row>
    <row r="915" spans="1:3" ht="13" x14ac:dyDescent="0.15">
      <c r="A915" s="10"/>
      <c r="B915" s="13"/>
      <c r="C915" s="13"/>
    </row>
    <row r="916" spans="1:3" ht="13" x14ac:dyDescent="0.15">
      <c r="A916" s="10"/>
      <c r="B916" s="13"/>
      <c r="C916" s="13"/>
    </row>
    <row r="917" spans="1:3" ht="13" x14ac:dyDescent="0.15">
      <c r="A917" s="10"/>
      <c r="B917" s="13"/>
      <c r="C917" s="13"/>
    </row>
    <row r="918" spans="1:3" ht="13" x14ac:dyDescent="0.15">
      <c r="A918" s="10"/>
      <c r="B918" s="13"/>
      <c r="C918" s="13"/>
    </row>
    <row r="919" spans="1:3" ht="13" x14ac:dyDescent="0.15">
      <c r="A919" s="10"/>
      <c r="B919" s="13"/>
      <c r="C919" s="13"/>
    </row>
    <row r="920" spans="1:3" ht="13" x14ac:dyDescent="0.15">
      <c r="A920" s="10"/>
      <c r="B920" s="13"/>
      <c r="C920" s="13"/>
    </row>
    <row r="921" spans="1:3" ht="13" x14ac:dyDescent="0.15">
      <c r="A921" s="10"/>
      <c r="B921" s="13"/>
      <c r="C921" s="13"/>
    </row>
    <row r="922" spans="1:3" ht="13" x14ac:dyDescent="0.15">
      <c r="A922" s="10"/>
      <c r="B922" s="13"/>
      <c r="C922" s="13"/>
    </row>
    <row r="923" spans="1:3" ht="13" x14ac:dyDescent="0.15">
      <c r="A923" s="10"/>
      <c r="B923" s="13"/>
      <c r="C923" s="13"/>
    </row>
    <row r="924" spans="1:3" ht="13" x14ac:dyDescent="0.15">
      <c r="A924" s="10"/>
      <c r="B924" s="13"/>
      <c r="C924" s="13"/>
    </row>
    <row r="925" spans="1:3" ht="13" x14ac:dyDescent="0.15">
      <c r="A925" s="10"/>
      <c r="B925" s="13"/>
      <c r="C925" s="13"/>
    </row>
    <row r="926" spans="1:3" ht="13" x14ac:dyDescent="0.15">
      <c r="A926" s="10"/>
      <c r="B926" s="13"/>
      <c r="C926" s="13"/>
    </row>
    <row r="927" spans="1:3" ht="13" x14ac:dyDescent="0.15">
      <c r="A927" s="10"/>
      <c r="B927" s="13"/>
      <c r="C927" s="13"/>
    </row>
    <row r="928" spans="1:3" ht="13" x14ac:dyDescent="0.15">
      <c r="A928" s="10"/>
      <c r="B928" s="13"/>
      <c r="C928" s="13"/>
    </row>
    <row r="929" spans="1:3" ht="13" x14ac:dyDescent="0.15">
      <c r="A929" s="10"/>
      <c r="B929" s="13"/>
      <c r="C929" s="13"/>
    </row>
    <row r="930" spans="1:3" ht="13" x14ac:dyDescent="0.15">
      <c r="A930" s="10"/>
      <c r="B930" s="13"/>
      <c r="C930" s="13"/>
    </row>
    <row r="931" spans="1:3" ht="13" x14ac:dyDescent="0.15">
      <c r="A931" s="10"/>
      <c r="B931" s="13"/>
      <c r="C931" s="13"/>
    </row>
    <row r="932" spans="1:3" ht="13" x14ac:dyDescent="0.15">
      <c r="A932" s="10"/>
      <c r="B932" s="13"/>
      <c r="C932" s="13"/>
    </row>
    <row r="933" spans="1:3" ht="13" x14ac:dyDescent="0.15">
      <c r="A933" s="10"/>
      <c r="B933" s="13"/>
      <c r="C933" s="13"/>
    </row>
    <row r="934" spans="1:3" ht="13" x14ac:dyDescent="0.15">
      <c r="A934" s="10"/>
      <c r="B934" s="13"/>
      <c r="C934" s="13"/>
    </row>
    <row r="935" spans="1:3" ht="13" x14ac:dyDescent="0.15">
      <c r="A935" s="10"/>
      <c r="B935" s="13"/>
      <c r="C935" s="13"/>
    </row>
    <row r="936" spans="1:3" ht="13" x14ac:dyDescent="0.15">
      <c r="A936" s="10"/>
      <c r="B936" s="13"/>
      <c r="C936" s="13"/>
    </row>
    <row r="937" spans="1:3" ht="13" x14ac:dyDescent="0.15">
      <c r="A937" s="10"/>
      <c r="B937" s="13"/>
      <c r="C937" s="13"/>
    </row>
    <row r="938" spans="1:3" ht="13" x14ac:dyDescent="0.15">
      <c r="A938" s="10"/>
      <c r="B938" s="13"/>
      <c r="C938" s="13"/>
    </row>
    <row r="939" spans="1:3" ht="13" x14ac:dyDescent="0.15">
      <c r="A939" s="10"/>
      <c r="B939" s="13"/>
      <c r="C939" s="13"/>
    </row>
    <row r="940" spans="1:3" ht="13" x14ac:dyDescent="0.15">
      <c r="A940" s="10"/>
      <c r="B940" s="13"/>
      <c r="C940" s="13"/>
    </row>
    <row r="941" spans="1:3" ht="13" x14ac:dyDescent="0.15">
      <c r="A941" s="10"/>
      <c r="B941" s="13"/>
      <c r="C941" s="13"/>
    </row>
    <row r="942" spans="1:3" ht="13" x14ac:dyDescent="0.15">
      <c r="A942" s="10"/>
      <c r="B942" s="13"/>
      <c r="C942" s="13"/>
    </row>
    <row r="943" spans="1:3" ht="13" x14ac:dyDescent="0.15">
      <c r="A943" s="10"/>
      <c r="B943" s="13"/>
      <c r="C943" s="13"/>
    </row>
    <row r="944" spans="1:3" ht="13" x14ac:dyDescent="0.15">
      <c r="A944" s="10"/>
      <c r="B944" s="13"/>
      <c r="C944" s="13"/>
    </row>
    <row r="945" spans="1:3" ht="13" x14ac:dyDescent="0.15">
      <c r="A945" s="10"/>
      <c r="B945" s="13"/>
      <c r="C945" s="13"/>
    </row>
    <row r="946" spans="1:3" ht="13" x14ac:dyDescent="0.15">
      <c r="A946" s="10"/>
      <c r="B946" s="13"/>
      <c r="C946" s="13"/>
    </row>
    <row r="947" spans="1:3" ht="13" x14ac:dyDescent="0.15">
      <c r="A947" s="10"/>
      <c r="B947" s="13"/>
      <c r="C947" s="13"/>
    </row>
    <row r="948" spans="1:3" ht="13" x14ac:dyDescent="0.15">
      <c r="A948" s="10"/>
      <c r="B948" s="13"/>
      <c r="C948" s="13"/>
    </row>
    <row r="949" spans="1:3" ht="13" x14ac:dyDescent="0.15">
      <c r="A949" s="10"/>
      <c r="B949" s="13"/>
      <c r="C949" s="13"/>
    </row>
    <row r="950" spans="1:3" ht="13" x14ac:dyDescent="0.15">
      <c r="A950" s="10"/>
      <c r="B950" s="13"/>
      <c r="C950" s="13"/>
    </row>
    <row r="951" spans="1:3" ht="13" x14ac:dyDescent="0.15">
      <c r="A951" s="10"/>
      <c r="B951" s="13"/>
      <c r="C951" s="13"/>
    </row>
    <row r="952" spans="1:3" ht="13" x14ac:dyDescent="0.15">
      <c r="A952" s="10"/>
      <c r="B952" s="13"/>
      <c r="C952" s="13"/>
    </row>
    <row r="953" spans="1:3" ht="13" x14ac:dyDescent="0.15">
      <c r="A953" s="10"/>
      <c r="B953" s="13"/>
      <c r="C953" s="13"/>
    </row>
    <row r="954" spans="1:3" ht="13" x14ac:dyDescent="0.15">
      <c r="A954" s="10"/>
      <c r="B954" s="13"/>
      <c r="C954" s="13"/>
    </row>
    <row r="955" spans="1:3" ht="13" x14ac:dyDescent="0.15">
      <c r="A955" s="10"/>
      <c r="B955" s="13"/>
      <c r="C955" s="13"/>
    </row>
    <row r="956" spans="1:3" ht="13" x14ac:dyDescent="0.15">
      <c r="A956" s="10"/>
      <c r="B956" s="13"/>
      <c r="C956" s="13"/>
    </row>
    <row r="957" spans="1:3" ht="13" x14ac:dyDescent="0.15">
      <c r="A957" s="10"/>
      <c r="B957" s="13"/>
      <c r="C957" s="13"/>
    </row>
    <row r="958" spans="1:3" ht="13" x14ac:dyDescent="0.15">
      <c r="A958" s="10"/>
      <c r="B958" s="13"/>
      <c r="C958" s="13"/>
    </row>
    <row r="959" spans="1:3" ht="13" x14ac:dyDescent="0.15">
      <c r="A959" s="10"/>
      <c r="B959" s="13"/>
      <c r="C959" s="13"/>
    </row>
    <row r="960" spans="1:3" ht="13" x14ac:dyDescent="0.15">
      <c r="A960" s="10"/>
      <c r="B960" s="13"/>
      <c r="C960" s="13"/>
    </row>
    <row r="961" spans="1:3" ht="13" x14ac:dyDescent="0.15">
      <c r="A961" s="10"/>
      <c r="B961" s="13"/>
      <c r="C961" s="13"/>
    </row>
    <row r="962" spans="1:3" ht="13" x14ac:dyDescent="0.15">
      <c r="A962" s="10"/>
      <c r="B962" s="13"/>
      <c r="C962" s="13"/>
    </row>
    <row r="963" spans="1:3" ht="13" x14ac:dyDescent="0.15">
      <c r="A963" s="10"/>
      <c r="B963" s="13"/>
      <c r="C963" s="13"/>
    </row>
    <row r="964" spans="1:3" ht="13" x14ac:dyDescent="0.15">
      <c r="A964" s="10"/>
      <c r="B964" s="13"/>
      <c r="C964" s="13"/>
    </row>
    <row r="965" spans="1:3" ht="13" x14ac:dyDescent="0.15">
      <c r="A965" s="10"/>
      <c r="B965" s="13"/>
      <c r="C965" s="13"/>
    </row>
    <row r="966" spans="1:3" ht="13" x14ac:dyDescent="0.15">
      <c r="A966" s="10"/>
      <c r="B966" s="13"/>
      <c r="C966" s="13"/>
    </row>
    <row r="967" spans="1:3" ht="13" x14ac:dyDescent="0.15">
      <c r="A967" s="10"/>
      <c r="B967" s="13"/>
      <c r="C967" s="13"/>
    </row>
    <row r="968" spans="1:3" ht="13" x14ac:dyDescent="0.15">
      <c r="A968" s="10"/>
      <c r="B968" s="13"/>
      <c r="C968" s="13"/>
    </row>
    <row r="969" spans="1:3" ht="13" x14ac:dyDescent="0.15">
      <c r="A969" s="10"/>
      <c r="B969" s="13"/>
      <c r="C969" s="13"/>
    </row>
    <row r="970" spans="1:3" ht="13" x14ac:dyDescent="0.15">
      <c r="A970" s="10"/>
      <c r="B970" s="13"/>
      <c r="C970" s="13"/>
    </row>
    <row r="971" spans="1:3" ht="13" x14ac:dyDescent="0.15">
      <c r="A971" s="10"/>
      <c r="B971" s="13"/>
      <c r="C971" s="13"/>
    </row>
    <row r="972" spans="1:3" ht="13" x14ac:dyDescent="0.15">
      <c r="A972" s="10"/>
      <c r="B972" s="13"/>
      <c r="C972" s="13"/>
    </row>
    <row r="973" spans="1:3" ht="13" x14ac:dyDescent="0.15">
      <c r="A973" s="10"/>
      <c r="B973" s="13"/>
      <c r="C973" s="13"/>
    </row>
    <row r="974" spans="1:3" ht="13" x14ac:dyDescent="0.15">
      <c r="A974" s="10"/>
      <c r="B974" s="13"/>
      <c r="C974" s="13"/>
    </row>
    <row r="975" spans="1:3" ht="13" x14ac:dyDescent="0.15">
      <c r="A975" s="10"/>
      <c r="B975" s="13"/>
      <c r="C975" s="13"/>
    </row>
    <row r="976" spans="1:3" ht="13" x14ac:dyDescent="0.15">
      <c r="A976" s="10"/>
      <c r="B976" s="13"/>
      <c r="C976" s="13"/>
    </row>
    <row r="977" spans="1:3" ht="13" x14ac:dyDescent="0.15">
      <c r="A977" s="10"/>
      <c r="B977" s="13"/>
      <c r="C977" s="13"/>
    </row>
    <row r="978" spans="1:3" ht="13" x14ac:dyDescent="0.15">
      <c r="A978" s="10"/>
      <c r="B978" s="13"/>
      <c r="C978" s="13"/>
    </row>
    <row r="979" spans="1:3" ht="13" x14ac:dyDescent="0.15">
      <c r="A979" s="10"/>
      <c r="B979" s="13"/>
      <c r="C979" s="13"/>
    </row>
    <row r="980" spans="1:3" ht="13" x14ac:dyDescent="0.15">
      <c r="A980" s="10"/>
      <c r="B980" s="13"/>
      <c r="C980" s="13"/>
    </row>
    <row r="981" spans="1:3" ht="13" x14ac:dyDescent="0.15">
      <c r="A981" s="10"/>
      <c r="B981" s="13"/>
      <c r="C981" s="13"/>
    </row>
    <row r="982" spans="1:3" ht="13" x14ac:dyDescent="0.15">
      <c r="A982" s="10"/>
      <c r="B982" s="13"/>
      <c r="C982" s="13"/>
    </row>
    <row r="983" spans="1:3" ht="13" x14ac:dyDescent="0.15">
      <c r="A983" s="10"/>
      <c r="B983" s="13"/>
      <c r="C983" s="13"/>
    </row>
    <row r="984" spans="1:3" ht="13" x14ac:dyDescent="0.15">
      <c r="A984" s="10"/>
      <c r="B984" s="13"/>
      <c r="C984" s="13"/>
    </row>
    <row r="985" spans="1:3" ht="13" x14ac:dyDescent="0.15">
      <c r="A985" s="10"/>
      <c r="B985" s="13"/>
      <c r="C985" s="13"/>
    </row>
    <row r="986" spans="1:3" ht="13" x14ac:dyDescent="0.15">
      <c r="A986" s="10"/>
      <c r="B986" s="13"/>
      <c r="C986" s="13"/>
    </row>
    <row r="987" spans="1:3" ht="13" x14ac:dyDescent="0.15">
      <c r="A987" s="10"/>
      <c r="B987" s="13"/>
      <c r="C987" s="13"/>
    </row>
    <row r="988" spans="1:3" ht="13" x14ac:dyDescent="0.15">
      <c r="A988" s="10"/>
      <c r="B988" s="13"/>
      <c r="C988" s="13"/>
    </row>
    <row r="989" spans="1:3" ht="13" x14ac:dyDescent="0.15">
      <c r="A989" s="10"/>
      <c r="B989" s="13"/>
      <c r="C989" s="13"/>
    </row>
    <row r="990" spans="1:3" ht="13" x14ac:dyDescent="0.15">
      <c r="A990" s="10"/>
      <c r="B990" s="13"/>
      <c r="C990" s="13"/>
    </row>
    <row r="991" spans="1:3" ht="13" x14ac:dyDescent="0.15">
      <c r="A991" s="10"/>
      <c r="B991" s="13"/>
      <c r="C991" s="13"/>
    </row>
    <row r="992" spans="1:3" ht="13" x14ac:dyDescent="0.15">
      <c r="A992" s="10"/>
      <c r="B992" s="13"/>
      <c r="C992" s="13"/>
    </row>
    <row r="993" spans="1:3" ht="13" x14ac:dyDescent="0.15">
      <c r="A993" s="10"/>
      <c r="B993" s="13"/>
      <c r="C993" s="13"/>
    </row>
    <row r="994" spans="1:3" ht="13" x14ac:dyDescent="0.15">
      <c r="A994" s="10"/>
      <c r="B994" s="13"/>
      <c r="C994" s="13"/>
    </row>
    <row r="995" spans="1:3" ht="13" x14ac:dyDescent="0.15">
      <c r="A995" s="10"/>
      <c r="B995" s="13"/>
      <c r="C995" s="13"/>
    </row>
    <row r="996" spans="1:3" ht="13" x14ac:dyDescent="0.15">
      <c r="A996" s="10"/>
      <c r="B996" s="13"/>
      <c r="C996" s="13"/>
    </row>
    <row r="997" spans="1:3" ht="13" x14ac:dyDescent="0.15">
      <c r="A997" s="10"/>
      <c r="B997" s="13"/>
      <c r="C997" s="13"/>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outlinePr summaryBelow="0" summaryRight="0"/>
  </sheetPr>
  <dimension ref="A1:D997"/>
  <sheetViews>
    <sheetView workbookViewId="0"/>
  </sheetViews>
  <sheetFormatPr baseColWidth="10" defaultColWidth="12.6640625" defaultRowHeight="15.75" customHeight="1" x14ac:dyDescent="0.15"/>
  <cols>
    <col min="1" max="1" width="71.5" customWidth="1"/>
    <col min="2" max="4" width="37.6640625" customWidth="1"/>
  </cols>
  <sheetData>
    <row r="1" spans="1:4" ht="15.75" customHeight="1" x14ac:dyDescent="0.15">
      <c r="A1" s="1"/>
      <c r="B1" s="10" t="str">
        <f ca="1">IFERROR(__xludf.DUMMYFUNCTION("IMPORTRANGE(""https://docs.google.com/spreadsheets/u/0/d/1etLQb97lMSNWG4ebq9e4mMf5V6Y_IPpBxMswZpIG47E"", ""A57!B1:B22"")"),"Erin Loudermilk")</f>
        <v>Erin Loudermilk</v>
      </c>
      <c r="C1" s="10" t="str">
        <f ca="1">IFERROR(__xludf.DUMMYFUNCTION("IMPORTRANGE(""https://docs.google.com/spreadsheets/u/0/d/1v3alDV9sI-Ng7OoZouCf4a0CI5tv_Xg2T3WprxxRGRs"", ""A57!B1:B22"")"),"Tyler M.")</f>
        <v>Tyler M.</v>
      </c>
      <c r="D1" s="2" t="s">
        <v>1</v>
      </c>
    </row>
    <row r="2" spans="1:4" ht="15.75" customHeight="1" x14ac:dyDescent="0.15">
      <c r="A2" s="3" t="s">
        <v>2</v>
      </c>
      <c r="B2" s="15" t="str">
        <f ca="1">IFERROR(__xludf.DUMMYFUNCTION("""COMPUTED_VALUE"""),"32007 - 32714 FOR")</f>
        <v>32007 - 32714 FOR</v>
      </c>
      <c r="C2" s="15" t="str">
        <f ca="1">IFERROR(__xludf.DUMMYFUNCTION("""COMPUTED_VALUE"""),"32007-32714 FOW")</f>
        <v>32007-32714 FOW</v>
      </c>
      <c r="D2" s="4"/>
    </row>
    <row r="3" spans="1:4" ht="15.75" customHeight="1" x14ac:dyDescent="0.15">
      <c r="A3" s="5" t="s">
        <v>3</v>
      </c>
      <c r="B3" s="17" t="str">
        <f ca="1">IFERROR(__xludf.DUMMYFUNCTION("""COMPUTED_VALUE"""),"DNA: 56, Pham:57")</f>
        <v>DNA: 56, Pham:57</v>
      </c>
      <c r="C3" s="17" t="str">
        <f ca="1">IFERROR(__xludf.DUMMYFUNCTION("""COMPUTED_VALUE"""),"DNA Master_56
Phamerator_57")</f>
        <v>DNA Master_56
Phamerator_57</v>
      </c>
      <c r="D3" s="6"/>
    </row>
    <row r="4" spans="1:4" ht="15.75" customHeight="1" x14ac:dyDescent="0.15">
      <c r="A4" s="5" t="s">
        <v>4</v>
      </c>
      <c r="B4" s="17" t="str">
        <f ca="1">IFERROR(__xludf.DUMMYFUNCTION("""COMPUTED_VALUE"""),"Pham 199191 (3/17/25)")</f>
        <v>Pham 199191 (3/17/25)</v>
      </c>
      <c r="C4" s="17" t="str">
        <f ca="1">IFERROR(__xludf.DUMMYFUNCTION("""COMPUTED_VALUE"""),"199191 3/24/25")</f>
        <v>199191 3/24/25</v>
      </c>
      <c r="D4" s="6"/>
    </row>
    <row r="5" spans="1:4" ht="15.75" customHeight="1" x14ac:dyDescent="0.15">
      <c r="A5" s="5" t="s">
        <v>5</v>
      </c>
      <c r="B5" s="17" t="str">
        <f ca="1">IFERROR(__xludf.DUMMYFUNCTION("""COMPUTED_VALUE"""),"Kovu_55")</f>
        <v>Kovu_55</v>
      </c>
      <c r="C5" s="17" t="str">
        <f ca="1">IFERROR(__xludf.DUMMYFUNCTION("""COMPUTED_VALUE"""),"Kovu_55")</f>
        <v>Kovu_55</v>
      </c>
      <c r="D5" s="6"/>
    </row>
    <row r="6" spans="1:4" ht="15.75" customHeight="1" x14ac:dyDescent="0.15">
      <c r="A6" s="5" t="s">
        <v>6</v>
      </c>
      <c r="B6" s="17" t="str">
        <f ca="1">IFERROR(__xludf.DUMMYFUNCTION("""COMPUTED_VALUE"""),"Both call start @ 32007")</f>
        <v>Both call start @ 32007</v>
      </c>
      <c r="C6" s="17" t="str">
        <f ca="1">IFERROR(__xludf.DUMMYFUNCTION("""COMPUTED_VALUE"""),"both call @bp 32007 strength 11.28 ")</f>
        <v xml:space="preserve">both call @bp 32007 strength 11.28 </v>
      </c>
      <c r="D6" s="6"/>
    </row>
    <row r="7" spans="1:4" ht="15.75" customHeight="1" x14ac:dyDescent="0.15">
      <c r="A7" s="5" t="s">
        <v>7</v>
      </c>
      <c r="B7" s="17" t="str">
        <f ca="1">IFERROR(__xludf.DUMMYFUNCTION("""COMPUTED_VALUE"""),"Gene has good coding potential, including start")</f>
        <v>Gene has good coding potential, including start</v>
      </c>
      <c r="C7" s="17" t="str">
        <f ca="1">IFERROR(__xludf.DUMMYFUNCTION("""COMPUTED_VALUE"""),"yes, good coding potential, all included")</f>
        <v>yes, good coding potential, all included</v>
      </c>
      <c r="D7" s="6"/>
    </row>
    <row r="8" spans="1:4" ht="15.75" customHeight="1" x14ac:dyDescent="0.15">
      <c r="A8" s="5" t="s">
        <v>8</v>
      </c>
      <c r="B8" s="17" t="str">
        <f ca="1">IFERROR(__xludf.DUMMYFUNCTION("""COMPUTED_VALUE"""),"Yes")</f>
        <v>Yes</v>
      </c>
      <c r="C8" s="17" t="str">
        <f ca="1">IFERROR(__xludf.DUMMYFUNCTION("""COMPUTED_VALUE"""),"yes ")</f>
        <v xml:space="preserve">yes </v>
      </c>
      <c r="D8" s="6"/>
    </row>
    <row r="9" spans="1:4" ht="15.75" customHeight="1" x14ac:dyDescent="0.15">
      <c r="A9" s="5" t="s">
        <v>9</v>
      </c>
      <c r="B9" s="17" t="str">
        <f ca="1">IFERROR(__xludf.DUMMYFUNCTION("""COMPUTED_VALUE"""),"3 nucleotide overlap")</f>
        <v>3 nucleotide overlap</v>
      </c>
      <c r="C9" s="17" t="str">
        <f ca="1">IFERROR(__xludf.DUMMYFUNCTION("""COMPUTED_VALUE"""),"overlap of 1 nt")</f>
        <v>overlap of 1 nt</v>
      </c>
      <c r="D9" s="6"/>
    </row>
    <row r="10" spans="1:4" ht="15.75" customHeight="1" x14ac:dyDescent="0.15">
      <c r="A10" s="5" t="s">
        <v>10</v>
      </c>
      <c r="B10" s="17" t="str">
        <f ca="1">IFERROR(__xludf.DUMMYFUNCTION("""COMPUTED_VALUE"""),"3.09 best z-score")</f>
        <v>3.09 best z-score</v>
      </c>
      <c r="C10" s="17" t="str">
        <f ca="1">IFERROR(__xludf.DUMMYFUNCTION("""COMPUTED_VALUE"""),"current start has best Z score (3.090) ")</f>
        <v xml:space="preserve">current start has best Z score (3.090) </v>
      </c>
      <c r="D10" s="6"/>
    </row>
    <row r="11" spans="1:4" ht="15.75" customHeight="1" x14ac:dyDescent="0.15">
      <c r="A11" s="5" t="s">
        <v>11</v>
      </c>
      <c r="B11" s="17" t="str">
        <f ca="1">IFERROR(__xludf.DUMMYFUNCTION("""COMPUTED_VALUE"""),"Kovu_55")</f>
        <v>Kovu_55</v>
      </c>
      <c r="C11" s="17" t="str">
        <f ca="1">IFERROR(__xludf.DUMMYFUNCTION("""COMPUTED_VALUE"""),"Kovu_55; 169% identity; 0.0E0; Q:1 T:1")</f>
        <v>Kovu_55; 169% identity; 0.0E0; Q:1 T:1</v>
      </c>
      <c r="D11" s="6"/>
    </row>
    <row r="12" spans="1:4" ht="15.75" customHeight="1" x14ac:dyDescent="0.15">
      <c r="A12" s="5" t="s">
        <v>12</v>
      </c>
      <c r="B12" s="17" t="str">
        <f ca="1">IFERROR(__xludf.DUMMYFUNCTION("""COMPUTED_VALUE"""),"Conserved in all members, called 100% of time when present")</f>
        <v>Conserved in all members, called 100% of time when present</v>
      </c>
      <c r="C12" s="17" t="str">
        <f ca="1">IFERROR(__xludf.DUMMYFUNCTION("""COMPUTED_VALUE"""),"called 2 out of 2 times")</f>
        <v>called 2 out of 2 times</v>
      </c>
      <c r="D12" s="6"/>
    </row>
    <row r="13" spans="1:4" ht="15.75" customHeight="1" x14ac:dyDescent="0.15">
      <c r="A13" s="5" t="s">
        <v>13</v>
      </c>
      <c r="B13" s="17" t="str">
        <f ca="1">IFERROR(__xludf.DUMMYFUNCTION("""COMPUTED_VALUE"""),"No")</f>
        <v>No</v>
      </c>
      <c r="C13" s="17" t="str">
        <f ca="1">IFERROR(__xludf.DUMMYFUNCTION("""COMPUTED_VALUE"""),"No, current start has good potential, a great Z score and matches Kovu's start")</f>
        <v>No, current start has good potential, a great Z score and matches Kovu's start</v>
      </c>
      <c r="D13" s="6"/>
    </row>
    <row r="14" spans="1:4" ht="15.75" customHeight="1" x14ac:dyDescent="0.15">
      <c r="A14" s="5" t="s">
        <v>14</v>
      </c>
      <c r="B14" s="17" t="str">
        <f ca="1">IFERROR(__xludf.DUMMYFUNCTION("""COMPUTED_VALUE"""),"Kovu_55, 8e-89 e-value")</f>
        <v>Kovu_55, 8e-89 e-value</v>
      </c>
      <c r="C14" s="17" t="str">
        <f ca="1">IFERROR(__xludf.DUMMYFUNCTION("""COMPUTED_VALUE"""),"Kovu_55;   8e-89 ")</f>
        <v xml:space="preserve">Kovu_55;   8e-89 </v>
      </c>
      <c r="D14" s="6"/>
    </row>
    <row r="15" spans="1:4" ht="15.75" customHeight="1" x14ac:dyDescent="0.15">
      <c r="A15" s="5" t="s">
        <v>15</v>
      </c>
      <c r="B15" s="17" t="str">
        <f ca="1">IFERROR(__xludf.DUMMYFUNCTION("""COMPUTED_VALUE"""),"Function unknown")</f>
        <v>Function unknown</v>
      </c>
      <c r="C15" s="17" t="str">
        <f ca="1">IFERROR(__xludf.DUMMYFUNCTION("""COMPUTED_VALUE"""),"function unknown ")</f>
        <v xml:space="preserve">function unknown </v>
      </c>
      <c r="D15" s="6"/>
    </row>
    <row r="16" spans="1:4" ht="15.75" customHeight="1" x14ac:dyDescent="0.15">
      <c r="A16" s="5" t="s">
        <v>16</v>
      </c>
      <c r="B16" s="17" t="str">
        <f ca="1">IFERROR(__xludf.DUMMYFUNCTION("""COMPUTED_VALUE"""),"Found in similar environment in Kovu")</f>
        <v>Found in similar environment in Kovu</v>
      </c>
      <c r="C16" s="17" t="str">
        <f ca="1">IFERROR(__xludf.DUMMYFUNCTION("""COMPUTED_VALUE"""),"matches Kovu's genetic envirorment ")</f>
        <v xml:space="preserve">matches Kovu's genetic envirorment </v>
      </c>
      <c r="D16" s="6"/>
    </row>
    <row r="17" spans="1:4" ht="15.75" customHeight="1" x14ac:dyDescent="0.15">
      <c r="A17" s="5" t="s">
        <v>17</v>
      </c>
      <c r="B17" s="17" t="str">
        <f ca="1">IFERROR(__xludf.DUMMYFUNCTION("""COMPUTED_VALUE"""),"YorP, residue protein found in bacteria, function unkown, 89.19% probability, Q: 94.04%, T: 91.55%, Functional domain apart of target alignment")</f>
        <v>YorP, residue protein found in bacteria, function unkown, 89.19% probability, Q: 94.04%, T: 91.55%, Functional domain apart of target alignment</v>
      </c>
      <c r="C17" s="17" t="str">
        <f ca="1">IFERROR(__xludf.DUMMYFUNCTION("""COMPUTED_VALUE""")," Family of unknown function 
Probability:3.23%
% alignment Q: 5.69%
% alignment T: 17.95%")</f>
        <v xml:space="preserve"> Family of unknown function 
Probability:3.23%
% alignment Q: 5.69%
% alignment T: 17.95%</v>
      </c>
      <c r="D17" s="6"/>
    </row>
    <row r="18" spans="1:4" ht="15.75" customHeight="1" x14ac:dyDescent="0.15">
      <c r="A18" s="5" t="s">
        <v>18</v>
      </c>
      <c r="B18" s="17" t="str">
        <f ca="1">IFERROR(__xludf.DUMMYFUNCTION("""COMPUTED_VALUE"""),"None")</f>
        <v>None</v>
      </c>
      <c r="C18" s="17" t="str">
        <f ca="1">IFERROR(__xludf.DUMMYFUNCTION("""COMPUTED_VALUE"""),"no ")</f>
        <v xml:space="preserve">no </v>
      </c>
      <c r="D18" s="6"/>
    </row>
    <row r="19" spans="1:4" ht="15.75" customHeight="1" x14ac:dyDescent="0.15">
      <c r="A19" s="5" t="s">
        <v>19</v>
      </c>
      <c r="B19" s="17" t="str">
        <f ca="1">IFERROR(__xludf.DUMMYFUNCTION("""COMPUTED_VALUE"""),"None")</f>
        <v>None</v>
      </c>
      <c r="C19" s="17" t="str">
        <f ca="1">IFERROR(__xludf.DUMMYFUNCTION("""COMPUTED_VALUE"""),"no")</f>
        <v>no</v>
      </c>
      <c r="D19" s="6"/>
    </row>
    <row r="20" spans="1:4" ht="15.75" customHeight="1" x14ac:dyDescent="0.15">
      <c r="A20" s="5" t="s">
        <v>20</v>
      </c>
      <c r="B20" s="17" t="str">
        <f ca="1">IFERROR(__xludf.DUMMYFUNCTION("""COMPUTED_VALUE"""),"Hypothetical Protein")</f>
        <v>Hypothetical Protein</v>
      </c>
      <c r="C20" s="17" t="str">
        <f ca="1">IFERROR(__xludf.DUMMYFUNCTION("""COMPUTED_VALUE"""),"Hypotherical protein; HHpred results are not usefull, Kovu also doesn't have a known function ")</f>
        <v xml:space="preserve">Hypotherical protein; HHpred results are not usefull, Kovu also doesn't have a known function </v>
      </c>
      <c r="D20" s="6"/>
    </row>
    <row r="21" spans="1:4" x14ac:dyDescent="0.2">
      <c r="A21" s="7"/>
      <c r="B21" s="19"/>
      <c r="C21" s="19"/>
      <c r="D21" s="8"/>
    </row>
    <row r="22" spans="1:4" ht="15.75" customHeight="1" x14ac:dyDescent="0.15">
      <c r="A22" s="9" t="s">
        <v>21</v>
      </c>
      <c r="B22" s="19"/>
      <c r="C22" s="19"/>
      <c r="D22" s="8"/>
    </row>
    <row r="23" spans="1:4" ht="15.75" customHeight="1" x14ac:dyDescent="0.15">
      <c r="A23" s="10"/>
      <c r="B23" s="13"/>
      <c r="C23" s="13"/>
    </row>
    <row r="24" spans="1:4" ht="15.75" customHeight="1" x14ac:dyDescent="0.15">
      <c r="A24" s="10"/>
      <c r="B24" s="13"/>
      <c r="C24" s="13"/>
    </row>
    <row r="25" spans="1:4" ht="15.75" customHeight="1" x14ac:dyDescent="0.15">
      <c r="A25" s="10"/>
      <c r="B25" s="13"/>
      <c r="C25" s="13"/>
    </row>
    <row r="26" spans="1:4" ht="15.75" customHeight="1" x14ac:dyDescent="0.15">
      <c r="A26" s="10"/>
      <c r="B26" s="13"/>
      <c r="C26" s="13"/>
    </row>
    <row r="27" spans="1:4" ht="15.75" customHeight="1" x14ac:dyDescent="0.15">
      <c r="A27" s="10"/>
      <c r="B27" s="13"/>
      <c r="C27" s="13"/>
    </row>
    <row r="28" spans="1:4" ht="15.75" customHeight="1" x14ac:dyDescent="0.15">
      <c r="A28" s="10"/>
      <c r="B28" s="13"/>
      <c r="C28" s="13"/>
    </row>
    <row r="29" spans="1:4" ht="15.75" customHeight="1" x14ac:dyDescent="0.15">
      <c r="A29" s="10"/>
      <c r="B29" s="13"/>
      <c r="C29" s="13"/>
    </row>
    <row r="30" spans="1:4" ht="15.75" customHeight="1" x14ac:dyDescent="0.15">
      <c r="A30" s="10"/>
      <c r="B30" s="13"/>
      <c r="C30" s="13"/>
    </row>
    <row r="31" spans="1:4" ht="15.75" customHeight="1" x14ac:dyDescent="0.15">
      <c r="A31" s="10"/>
      <c r="B31" s="13"/>
      <c r="C31" s="13"/>
    </row>
    <row r="32" spans="1:4" ht="15.75" customHeight="1" x14ac:dyDescent="0.15">
      <c r="A32" s="10"/>
      <c r="B32" s="13"/>
      <c r="C32" s="13"/>
    </row>
    <row r="33" spans="1:3" ht="15.75" customHeight="1" x14ac:dyDescent="0.15">
      <c r="A33" s="10"/>
      <c r="B33" s="13"/>
      <c r="C33" s="13"/>
    </row>
    <row r="34" spans="1:3" ht="15.75" customHeight="1" x14ac:dyDescent="0.15">
      <c r="A34" s="10"/>
      <c r="B34" s="13"/>
      <c r="C34" s="13"/>
    </row>
    <row r="35" spans="1:3" ht="15.75" customHeight="1" x14ac:dyDescent="0.15">
      <c r="A35" s="10"/>
      <c r="B35" s="13"/>
      <c r="C35" s="13"/>
    </row>
    <row r="36" spans="1:3" ht="15.75" customHeight="1" x14ac:dyDescent="0.15">
      <c r="A36" s="10"/>
      <c r="B36" s="13"/>
      <c r="C36" s="13"/>
    </row>
    <row r="37" spans="1:3" ht="15.75" customHeight="1" x14ac:dyDescent="0.15">
      <c r="A37" s="10"/>
      <c r="B37" s="13"/>
      <c r="C37" s="13"/>
    </row>
    <row r="38" spans="1:3" ht="15.75" customHeight="1" x14ac:dyDescent="0.15">
      <c r="A38" s="10"/>
      <c r="B38" s="13"/>
      <c r="C38" s="13"/>
    </row>
    <row r="39" spans="1:3" ht="13" x14ac:dyDescent="0.15">
      <c r="A39" s="10"/>
      <c r="B39" s="13"/>
      <c r="C39" s="13"/>
    </row>
    <row r="40" spans="1:3" ht="13" x14ac:dyDescent="0.15">
      <c r="A40" s="10"/>
      <c r="B40" s="13"/>
      <c r="C40" s="13"/>
    </row>
    <row r="41" spans="1:3" ht="13" x14ac:dyDescent="0.15">
      <c r="A41" s="10"/>
      <c r="B41" s="13"/>
      <c r="C41" s="13"/>
    </row>
    <row r="42" spans="1:3" ht="13" x14ac:dyDescent="0.15">
      <c r="A42" s="10"/>
      <c r="B42" s="13"/>
      <c r="C42" s="13"/>
    </row>
    <row r="43" spans="1:3" ht="13" x14ac:dyDescent="0.15">
      <c r="A43" s="10"/>
      <c r="B43" s="13"/>
      <c r="C43" s="13"/>
    </row>
    <row r="44" spans="1:3" ht="13" x14ac:dyDescent="0.15">
      <c r="A44" s="10"/>
      <c r="B44" s="13"/>
      <c r="C44" s="13"/>
    </row>
    <row r="45" spans="1:3" ht="13" x14ac:dyDescent="0.15">
      <c r="A45" s="10"/>
      <c r="B45" s="13"/>
      <c r="C45" s="13"/>
    </row>
    <row r="46" spans="1:3" ht="13" x14ac:dyDescent="0.15">
      <c r="A46" s="10"/>
      <c r="B46" s="13"/>
      <c r="C46" s="13"/>
    </row>
    <row r="47" spans="1:3" ht="13" x14ac:dyDescent="0.15">
      <c r="A47" s="10"/>
      <c r="B47" s="13"/>
      <c r="C47" s="13"/>
    </row>
    <row r="48" spans="1:3" ht="13" x14ac:dyDescent="0.15">
      <c r="A48" s="10"/>
      <c r="B48" s="13"/>
      <c r="C48" s="13"/>
    </row>
    <row r="49" spans="1:3" ht="13" x14ac:dyDescent="0.15">
      <c r="A49" s="10"/>
      <c r="B49" s="13"/>
      <c r="C49" s="13"/>
    </row>
    <row r="50" spans="1:3" ht="13" x14ac:dyDescent="0.15">
      <c r="A50" s="10"/>
      <c r="B50" s="13"/>
      <c r="C50" s="13"/>
    </row>
    <row r="51" spans="1:3" ht="13" x14ac:dyDescent="0.15">
      <c r="A51" s="10"/>
      <c r="B51" s="13"/>
      <c r="C51" s="13"/>
    </row>
    <row r="52" spans="1:3" ht="13" x14ac:dyDescent="0.15">
      <c r="A52" s="10"/>
      <c r="B52" s="13"/>
      <c r="C52" s="13"/>
    </row>
    <row r="53" spans="1:3" ht="13" x14ac:dyDescent="0.15">
      <c r="A53" s="10"/>
      <c r="B53" s="13"/>
      <c r="C53" s="13"/>
    </row>
    <row r="54" spans="1:3" ht="13" x14ac:dyDescent="0.15">
      <c r="A54" s="10"/>
      <c r="B54" s="13"/>
      <c r="C54" s="13"/>
    </row>
    <row r="55" spans="1:3" ht="13" x14ac:dyDescent="0.15">
      <c r="A55" s="10"/>
      <c r="B55" s="13"/>
      <c r="C55" s="13"/>
    </row>
    <row r="56" spans="1:3" ht="13" x14ac:dyDescent="0.15">
      <c r="A56" s="10"/>
      <c r="B56" s="13"/>
      <c r="C56" s="13"/>
    </row>
    <row r="57" spans="1:3" ht="13" x14ac:dyDescent="0.15">
      <c r="A57" s="10"/>
      <c r="B57" s="13"/>
      <c r="C57" s="13"/>
    </row>
    <row r="58" spans="1:3" ht="13" x14ac:dyDescent="0.15">
      <c r="A58" s="10"/>
      <c r="B58" s="13"/>
      <c r="C58" s="13"/>
    </row>
    <row r="59" spans="1:3" ht="13" x14ac:dyDescent="0.15">
      <c r="A59" s="10"/>
      <c r="B59" s="13"/>
      <c r="C59" s="13"/>
    </row>
    <row r="60" spans="1:3" ht="13" x14ac:dyDescent="0.15">
      <c r="A60" s="10"/>
      <c r="B60" s="13"/>
      <c r="C60" s="13"/>
    </row>
    <row r="61" spans="1:3" ht="13" x14ac:dyDescent="0.15">
      <c r="A61" s="10"/>
      <c r="B61" s="13"/>
      <c r="C61" s="13"/>
    </row>
    <row r="62" spans="1:3" ht="13" x14ac:dyDescent="0.15">
      <c r="A62" s="10"/>
      <c r="B62" s="13"/>
      <c r="C62" s="13"/>
    </row>
    <row r="63" spans="1:3" ht="13" x14ac:dyDescent="0.15">
      <c r="A63" s="10"/>
      <c r="B63" s="13"/>
      <c r="C63" s="13"/>
    </row>
    <row r="64" spans="1:3" ht="13" x14ac:dyDescent="0.15">
      <c r="A64" s="10"/>
      <c r="B64" s="13"/>
      <c r="C64" s="13"/>
    </row>
    <row r="65" spans="1:3" ht="13" x14ac:dyDescent="0.15">
      <c r="A65" s="10"/>
      <c r="B65" s="13"/>
      <c r="C65" s="13"/>
    </row>
    <row r="66" spans="1:3" ht="13" x14ac:dyDescent="0.15">
      <c r="A66" s="10"/>
      <c r="B66" s="13"/>
      <c r="C66" s="13"/>
    </row>
    <row r="67" spans="1:3" ht="13" x14ac:dyDescent="0.15">
      <c r="A67" s="10"/>
      <c r="B67" s="13"/>
      <c r="C67" s="13"/>
    </row>
    <row r="68" spans="1:3" ht="13" x14ac:dyDescent="0.15">
      <c r="A68" s="10"/>
      <c r="B68" s="13"/>
      <c r="C68" s="13"/>
    </row>
    <row r="69" spans="1:3" ht="13" x14ac:dyDescent="0.15">
      <c r="A69" s="10"/>
      <c r="B69" s="13"/>
      <c r="C69" s="13"/>
    </row>
    <row r="70" spans="1:3" ht="13" x14ac:dyDescent="0.15">
      <c r="A70" s="10"/>
      <c r="B70" s="13"/>
      <c r="C70" s="13"/>
    </row>
    <row r="71" spans="1:3" ht="13" x14ac:dyDescent="0.15">
      <c r="A71" s="10"/>
      <c r="B71" s="13"/>
      <c r="C71" s="13"/>
    </row>
    <row r="72" spans="1:3" ht="13" x14ac:dyDescent="0.15">
      <c r="A72" s="10"/>
      <c r="B72" s="13"/>
      <c r="C72" s="13"/>
    </row>
    <row r="73" spans="1:3" ht="13" x14ac:dyDescent="0.15">
      <c r="A73" s="10"/>
      <c r="B73" s="13"/>
      <c r="C73" s="13"/>
    </row>
    <row r="74" spans="1:3" ht="13" x14ac:dyDescent="0.15">
      <c r="A74" s="10"/>
      <c r="B74" s="13"/>
      <c r="C74" s="13"/>
    </row>
    <row r="75" spans="1:3" ht="13" x14ac:dyDescent="0.15">
      <c r="A75" s="10"/>
      <c r="B75" s="13"/>
      <c r="C75" s="13"/>
    </row>
    <row r="76" spans="1:3" ht="13" x14ac:dyDescent="0.15">
      <c r="A76" s="10"/>
      <c r="B76" s="13"/>
      <c r="C76" s="13"/>
    </row>
    <row r="77" spans="1:3" ht="13" x14ac:dyDescent="0.15">
      <c r="A77" s="10"/>
      <c r="B77" s="13"/>
      <c r="C77" s="13"/>
    </row>
    <row r="78" spans="1:3" ht="13" x14ac:dyDescent="0.15">
      <c r="A78" s="10"/>
      <c r="B78" s="13"/>
      <c r="C78" s="13"/>
    </row>
    <row r="79" spans="1:3" ht="13" x14ac:dyDescent="0.15">
      <c r="A79" s="10"/>
      <c r="B79" s="13"/>
      <c r="C79" s="13"/>
    </row>
    <row r="80" spans="1:3" ht="13" x14ac:dyDescent="0.15">
      <c r="A80" s="10"/>
      <c r="B80" s="13"/>
      <c r="C80" s="13"/>
    </row>
    <row r="81" spans="1:3" ht="13" x14ac:dyDescent="0.15">
      <c r="A81" s="10"/>
      <c r="B81" s="13"/>
      <c r="C81" s="13"/>
    </row>
    <row r="82" spans="1:3" ht="13" x14ac:dyDescent="0.15">
      <c r="A82" s="10"/>
      <c r="B82" s="13"/>
      <c r="C82" s="13"/>
    </row>
    <row r="83" spans="1:3" ht="13" x14ac:dyDescent="0.15">
      <c r="A83" s="10"/>
      <c r="B83" s="13"/>
      <c r="C83" s="13"/>
    </row>
    <row r="84" spans="1:3" ht="13" x14ac:dyDescent="0.15">
      <c r="A84" s="10"/>
      <c r="B84" s="13"/>
      <c r="C84" s="13"/>
    </row>
    <row r="85" spans="1:3" ht="13" x14ac:dyDescent="0.15">
      <c r="A85" s="10"/>
      <c r="B85" s="13"/>
      <c r="C85" s="13"/>
    </row>
    <row r="86" spans="1:3" ht="13" x14ac:dyDescent="0.15">
      <c r="A86" s="10"/>
      <c r="B86" s="13"/>
      <c r="C86" s="13"/>
    </row>
    <row r="87" spans="1:3" ht="13" x14ac:dyDescent="0.15">
      <c r="A87" s="10"/>
      <c r="B87" s="13"/>
      <c r="C87" s="13"/>
    </row>
    <row r="88" spans="1:3" ht="13" x14ac:dyDescent="0.15">
      <c r="A88" s="10"/>
      <c r="B88" s="13"/>
      <c r="C88" s="13"/>
    </row>
    <row r="89" spans="1:3" ht="13" x14ac:dyDescent="0.15">
      <c r="A89" s="10"/>
      <c r="B89" s="13"/>
      <c r="C89" s="13"/>
    </row>
    <row r="90" spans="1:3" ht="13" x14ac:dyDescent="0.15">
      <c r="A90" s="10"/>
      <c r="B90" s="13"/>
      <c r="C90" s="13"/>
    </row>
    <row r="91" spans="1:3" ht="13" x14ac:dyDescent="0.15">
      <c r="A91" s="10"/>
      <c r="B91" s="13"/>
      <c r="C91" s="13"/>
    </row>
    <row r="92" spans="1:3" ht="13" x14ac:dyDescent="0.15">
      <c r="A92" s="10"/>
      <c r="B92" s="13"/>
      <c r="C92" s="13"/>
    </row>
    <row r="93" spans="1:3" ht="13" x14ac:dyDescent="0.15">
      <c r="A93" s="10"/>
      <c r="B93" s="13"/>
      <c r="C93" s="13"/>
    </row>
    <row r="94" spans="1:3" ht="13" x14ac:dyDescent="0.15">
      <c r="A94" s="10"/>
      <c r="B94" s="13"/>
      <c r="C94" s="13"/>
    </row>
    <row r="95" spans="1:3" ht="13" x14ac:dyDescent="0.15">
      <c r="A95" s="10"/>
      <c r="B95" s="13"/>
      <c r="C95" s="13"/>
    </row>
    <row r="96" spans="1:3" ht="13" x14ac:dyDescent="0.15">
      <c r="A96" s="10"/>
      <c r="B96" s="13"/>
      <c r="C96" s="13"/>
    </row>
    <row r="97" spans="1:3" ht="13" x14ac:dyDescent="0.15">
      <c r="A97" s="10"/>
      <c r="B97" s="13"/>
      <c r="C97" s="13"/>
    </row>
    <row r="98" spans="1:3" ht="13" x14ac:dyDescent="0.15">
      <c r="A98" s="10"/>
      <c r="B98" s="13"/>
      <c r="C98" s="13"/>
    </row>
    <row r="99" spans="1:3" ht="13" x14ac:dyDescent="0.15">
      <c r="A99" s="10"/>
      <c r="B99" s="13"/>
      <c r="C99" s="13"/>
    </row>
    <row r="100" spans="1:3" ht="13" x14ac:dyDescent="0.15">
      <c r="A100" s="10"/>
      <c r="B100" s="13"/>
      <c r="C100" s="13"/>
    </row>
    <row r="101" spans="1:3" ht="13" x14ac:dyDescent="0.15">
      <c r="A101" s="10"/>
      <c r="B101" s="13"/>
      <c r="C101" s="13"/>
    </row>
    <row r="102" spans="1:3" ht="13" x14ac:dyDescent="0.15">
      <c r="A102" s="10"/>
      <c r="B102" s="13"/>
      <c r="C102" s="13"/>
    </row>
    <row r="103" spans="1:3" ht="13" x14ac:dyDescent="0.15">
      <c r="A103" s="10"/>
      <c r="B103" s="13"/>
      <c r="C103" s="13"/>
    </row>
    <row r="104" spans="1:3" ht="13" x14ac:dyDescent="0.15">
      <c r="A104" s="10"/>
      <c r="B104" s="13"/>
      <c r="C104" s="13"/>
    </row>
    <row r="105" spans="1:3" ht="13" x14ac:dyDescent="0.15">
      <c r="A105" s="10"/>
      <c r="B105" s="13"/>
      <c r="C105" s="13"/>
    </row>
    <row r="106" spans="1:3" ht="13" x14ac:dyDescent="0.15">
      <c r="A106" s="10"/>
      <c r="B106" s="13"/>
      <c r="C106" s="13"/>
    </row>
    <row r="107" spans="1:3" ht="13" x14ac:dyDescent="0.15">
      <c r="A107" s="10"/>
      <c r="B107" s="13"/>
      <c r="C107" s="13"/>
    </row>
    <row r="108" spans="1:3" ht="13" x14ac:dyDescent="0.15">
      <c r="A108" s="10"/>
      <c r="B108" s="13"/>
      <c r="C108" s="13"/>
    </row>
    <row r="109" spans="1:3" ht="13" x14ac:dyDescent="0.15">
      <c r="A109" s="10"/>
      <c r="B109" s="13"/>
      <c r="C109" s="13"/>
    </row>
    <row r="110" spans="1:3" ht="13" x14ac:dyDescent="0.15">
      <c r="A110" s="10"/>
      <c r="B110" s="13"/>
      <c r="C110" s="13"/>
    </row>
    <row r="111" spans="1:3" ht="13" x14ac:dyDescent="0.15">
      <c r="A111" s="10"/>
      <c r="B111" s="13"/>
      <c r="C111" s="13"/>
    </row>
    <row r="112" spans="1:3" ht="13" x14ac:dyDescent="0.15">
      <c r="A112" s="10"/>
      <c r="B112" s="13"/>
      <c r="C112" s="13"/>
    </row>
    <row r="113" spans="1:3" ht="13" x14ac:dyDescent="0.15">
      <c r="A113" s="10"/>
      <c r="B113" s="13"/>
      <c r="C113" s="13"/>
    </row>
    <row r="114" spans="1:3" ht="13" x14ac:dyDescent="0.15">
      <c r="A114" s="10"/>
      <c r="B114" s="13"/>
      <c r="C114" s="13"/>
    </row>
    <row r="115" spans="1:3" ht="13" x14ac:dyDescent="0.15">
      <c r="A115" s="10"/>
      <c r="B115" s="13"/>
      <c r="C115" s="13"/>
    </row>
    <row r="116" spans="1:3" ht="13" x14ac:dyDescent="0.15">
      <c r="A116" s="10"/>
      <c r="B116" s="13"/>
      <c r="C116" s="13"/>
    </row>
    <row r="117" spans="1:3" ht="13" x14ac:dyDescent="0.15">
      <c r="A117" s="10"/>
      <c r="B117" s="13"/>
      <c r="C117" s="13"/>
    </row>
    <row r="118" spans="1:3" ht="13" x14ac:dyDescent="0.15">
      <c r="A118" s="10"/>
      <c r="B118" s="13"/>
      <c r="C118" s="13"/>
    </row>
    <row r="119" spans="1:3" ht="13" x14ac:dyDescent="0.15">
      <c r="A119" s="10"/>
      <c r="B119" s="13"/>
      <c r="C119" s="13"/>
    </row>
    <row r="120" spans="1:3" ht="13" x14ac:dyDescent="0.15">
      <c r="A120" s="10"/>
      <c r="B120" s="13"/>
      <c r="C120" s="13"/>
    </row>
    <row r="121" spans="1:3" ht="13" x14ac:dyDescent="0.15">
      <c r="A121" s="10"/>
      <c r="B121" s="13"/>
      <c r="C121" s="13"/>
    </row>
    <row r="122" spans="1:3" ht="13" x14ac:dyDescent="0.15">
      <c r="A122" s="10"/>
      <c r="B122" s="13"/>
      <c r="C122" s="13"/>
    </row>
    <row r="123" spans="1:3" ht="13" x14ac:dyDescent="0.15">
      <c r="A123" s="10"/>
      <c r="B123" s="13"/>
      <c r="C123" s="13"/>
    </row>
    <row r="124" spans="1:3" ht="13" x14ac:dyDescent="0.15">
      <c r="A124" s="10"/>
      <c r="B124" s="13"/>
      <c r="C124" s="13"/>
    </row>
    <row r="125" spans="1:3" ht="13" x14ac:dyDescent="0.15">
      <c r="A125" s="10"/>
      <c r="B125" s="13"/>
      <c r="C125" s="13"/>
    </row>
    <row r="126" spans="1:3" ht="13" x14ac:dyDescent="0.15">
      <c r="A126" s="10"/>
      <c r="B126" s="13"/>
      <c r="C126" s="13"/>
    </row>
    <row r="127" spans="1:3" ht="13" x14ac:dyDescent="0.15">
      <c r="A127" s="10"/>
      <c r="B127" s="13"/>
      <c r="C127" s="13"/>
    </row>
    <row r="128" spans="1:3" ht="13" x14ac:dyDescent="0.15">
      <c r="A128" s="10"/>
      <c r="B128" s="13"/>
      <c r="C128" s="13"/>
    </row>
    <row r="129" spans="1:3" ht="13" x14ac:dyDescent="0.15">
      <c r="A129" s="10"/>
      <c r="B129" s="13"/>
      <c r="C129" s="13"/>
    </row>
    <row r="130" spans="1:3" ht="13" x14ac:dyDescent="0.15">
      <c r="A130" s="10"/>
      <c r="B130" s="13"/>
      <c r="C130" s="13"/>
    </row>
    <row r="131" spans="1:3" ht="13" x14ac:dyDescent="0.15">
      <c r="A131" s="10"/>
      <c r="B131" s="13"/>
      <c r="C131" s="13"/>
    </row>
    <row r="132" spans="1:3" ht="13" x14ac:dyDescent="0.15">
      <c r="A132" s="10"/>
      <c r="B132" s="13"/>
      <c r="C132" s="13"/>
    </row>
    <row r="133" spans="1:3" ht="13" x14ac:dyDescent="0.15">
      <c r="A133" s="10"/>
      <c r="B133" s="13"/>
      <c r="C133" s="13"/>
    </row>
    <row r="134" spans="1:3" ht="13" x14ac:dyDescent="0.15">
      <c r="A134" s="10"/>
      <c r="B134" s="13"/>
      <c r="C134" s="13"/>
    </row>
    <row r="135" spans="1:3" ht="13" x14ac:dyDescent="0.15">
      <c r="A135" s="10"/>
      <c r="B135" s="13"/>
      <c r="C135" s="13"/>
    </row>
    <row r="136" spans="1:3" ht="13" x14ac:dyDescent="0.15">
      <c r="A136" s="10"/>
      <c r="B136" s="13"/>
      <c r="C136" s="13"/>
    </row>
    <row r="137" spans="1:3" ht="13" x14ac:dyDescent="0.15">
      <c r="A137" s="10"/>
      <c r="B137" s="13"/>
      <c r="C137" s="13"/>
    </row>
    <row r="138" spans="1:3" ht="13" x14ac:dyDescent="0.15">
      <c r="A138" s="10"/>
      <c r="B138" s="13"/>
      <c r="C138" s="13"/>
    </row>
    <row r="139" spans="1:3" ht="13" x14ac:dyDescent="0.15">
      <c r="A139" s="10"/>
      <c r="B139" s="13"/>
      <c r="C139" s="13"/>
    </row>
    <row r="140" spans="1:3" ht="13" x14ac:dyDescent="0.15">
      <c r="A140" s="10"/>
      <c r="B140" s="13"/>
      <c r="C140" s="13"/>
    </row>
    <row r="141" spans="1:3" ht="13" x14ac:dyDescent="0.15">
      <c r="A141" s="10"/>
      <c r="B141" s="13"/>
      <c r="C141" s="13"/>
    </row>
    <row r="142" spans="1:3" ht="13" x14ac:dyDescent="0.15">
      <c r="A142" s="10"/>
      <c r="B142" s="13"/>
      <c r="C142" s="13"/>
    </row>
    <row r="143" spans="1:3" ht="13" x14ac:dyDescent="0.15">
      <c r="A143" s="10"/>
      <c r="B143" s="13"/>
      <c r="C143" s="13"/>
    </row>
    <row r="144" spans="1:3" ht="13" x14ac:dyDescent="0.15">
      <c r="A144" s="10"/>
      <c r="B144" s="13"/>
      <c r="C144" s="13"/>
    </row>
    <row r="145" spans="1:3" ht="13" x14ac:dyDescent="0.15">
      <c r="A145" s="10"/>
      <c r="B145" s="13"/>
      <c r="C145" s="13"/>
    </row>
    <row r="146" spans="1:3" ht="13" x14ac:dyDescent="0.15">
      <c r="A146" s="10"/>
      <c r="B146" s="13"/>
      <c r="C146" s="13"/>
    </row>
    <row r="147" spans="1:3" ht="13" x14ac:dyDescent="0.15">
      <c r="A147" s="10"/>
      <c r="B147" s="13"/>
      <c r="C147" s="13"/>
    </row>
    <row r="148" spans="1:3" ht="13" x14ac:dyDescent="0.15">
      <c r="A148" s="10"/>
      <c r="B148" s="13"/>
      <c r="C148" s="13"/>
    </row>
    <row r="149" spans="1:3" ht="13" x14ac:dyDescent="0.15">
      <c r="A149" s="10"/>
      <c r="B149" s="13"/>
      <c r="C149" s="13"/>
    </row>
    <row r="150" spans="1:3" ht="13" x14ac:dyDescent="0.15">
      <c r="A150" s="10"/>
      <c r="B150" s="13"/>
      <c r="C150" s="13"/>
    </row>
    <row r="151" spans="1:3" ht="13" x14ac:dyDescent="0.15">
      <c r="A151" s="10"/>
      <c r="B151" s="13"/>
      <c r="C151" s="13"/>
    </row>
    <row r="152" spans="1:3" ht="13" x14ac:dyDescent="0.15">
      <c r="A152" s="10"/>
      <c r="B152" s="13"/>
      <c r="C152" s="13"/>
    </row>
    <row r="153" spans="1:3" ht="13" x14ac:dyDescent="0.15">
      <c r="A153" s="10"/>
      <c r="B153" s="13"/>
      <c r="C153" s="13"/>
    </row>
    <row r="154" spans="1:3" ht="13" x14ac:dyDescent="0.15">
      <c r="A154" s="10"/>
      <c r="B154" s="13"/>
      <c r="C154" s="13"/>
    </row>
    <row r="155" spans="1:3" ht="13" x14ac:dyDescent="0.15">
      <c r="A155" s="10"/>
      <c r="B155" s="13"/>
      <c r="C155" s="13"/>
    </row>
    <row r="156" spans="1:3" ht="13" x14ac:dyDescent="0.15">
      <c r="A156" s="10"/>
      <c r="B156" s="13"/>
      <c r="C156" s="13"/>
    </row>
    <row r="157" spans="1:3" ht="13" x14ac:dyDescent="0.15">
      <c r="A157" s="10"/>
      <c r="B157" s="13"/>
      <c r="C157" s="13"/>
    </row>
    <row r="158" spans="1:3" ht="13" x14ac:dyDescent="0.15">
      <c r="A158" s="10"/>
      <c r="B158" s="13"/>
      <c r="C158" s="13"/>
    </row>
    <row r="159" spans="1:3" ht="13" x14ac:dyDescent="0.15">
      <c r="A159" s="10"/>
      <c r="B159" s="13"/>
      <c r="C159" s="13"/>
    </row>
    <row r="160" spans="1:3" ht="13" x14ac:dyDescent="0.15">
      <c r="A160" s="10"/>
      <c r="B160" s="13"/>
      <c r="C160" s="13"/>
    </row>
    <row r="161" spans="1:3" ht="13" x14ac:dyDescent="0.15">
      <c r="A161" s="10"/>
      <c r="B161" s="13"/>
      <c r="C161" s="13"/>
    </row>
    <row r="162" spans="1:3" ht="13" x14ac:dyDescent="0.15">
      <c r="A162" s="10"/>
      <c r="B162" s="13"/>
      <c r="C162" s="13"/>
    </row>
    <row r="163" spans="1:3" ht="13" x14ac:dyDescent="0.15">
      <c r="A163" s="10"/>
      <c r="B163" s="13"/>
      <c r="C163" s="13"/>
    </row>
    <row r="164" spans="1:3" ht="13" x14ac:dyDescent="0.15">
      <c r="A164" s="10"/>
      <c r="B164" s="13"/>
      <c r="C164" s="13"/>
    </row>
    <row r="165" spans="1:3" ht="13" x14ac:dyDescent="0.15">
      <c r="A165" s="10"/>
      <c r="B165" s="13"/>
      <c r="C165" s="13"/>
    </row>
    <row r="166" spans="1:3" ht="13" x14ac:dyDescent="0.15">
      <c r="A166" s="10"/>
      <c r="B166" s="13"/>
      <c r="C166" s="13"/>
    </row>
    <row r="167" spans="1:3" ht="13" x14ac:dyDescent="0.15">
      <c r="A167" s="10"/>
      <c r="B167" s="13"/>
      <c r="C167" s="13"/>
    </row>
    <row r="168" spans="1:3" ht="13" x14ac:dyDescent="0.15">
      <c r="A168" s="10"/>
      <c r="B168" s="13"/>
      <c r="C168" s="13"/>
    </row>
    <row r="169" spans="1:3" ht="13" x14ac:dyDescent="0.15">
      <c r="A169" s="10"/>
      <c r="B169" s="13"/>
      <c r="C169" s="13"/>
    </row>
    <row r="170" spans="1:3" ht="13" x14ac:dyDescent="0.15">
      <c r="A170" s="10"/>
      <c r="B170" s="13"/>
      <c r="C170" s="13"/>
    </row>
    <row r="171" spans="1:3" ht="13" x14ac:dyDescent="0.15">
      <c r="A171" s="10"/>
      <c r="B171" s="13"/>
      <c r="C171" s="13"/>
    </row>
    <row r="172" spans="1:3" ht="13" x14ac:dyDescent="0.15">
      <c r="A172" s="10"/>
      <c r="B172" s="13"/>
      <c r="C172" s="13"/>
    </row>
    <row r="173" spans="1:3" ht="13" x14ac:dyDescent="0.15">
      <c r="A173" s="10"/>
      <c r="B173" s="13"/>
      <c r="C173" s="13"/>
    </row>
    <row r="174" spans="1:3" ht="13" x14ac:dyDescent="0.15">
      <c r="A174" s="10"/>
      <c r="B174" s="13"/>
      <c r="C174" s="13"/>
    </row>
    <row r="175" spans="1:3" ht="13" x14ac:dyDescent="0.15">
      <c r="A175" s="10"/>
      <c r="B175" s="13"/>
      <c r="C175" s="13"/>
    </row>
    <row r="176" spans="1:3" ht="13" x14ac:dyDescent="0.15">
      <c r="A176" s="10"/>
      <c r="B176" s="13"/>
      <c r="C176" s="13"/>
    </row>
    <row r="177" spans="1:3" ht="13" x14ac:dyDescent="0.15">
      <c r="A177" s="10"/>
      <c r="B177" s="13"/>
      <c r="C177" s="13"/>
    </row>
    <row r="178" spans="1:3" ht="13" x14ac:dyDescent="0.15">
      <c r="A178" s="10"/>
      <c r="B178" s="13"/>
      <c r="C178" s="13"/>
    </row>
    <row r="179" spans="1:3" ht="13" x14ac:dyDescent="0.15">
      <c r="A179" s="10"/>
      <c r="B179" s="13"/>
      <c r="C179" s="13"/>
    </row>
    <row r="180" spans="1:3" ht="13" x14ac:dyDescent="0.15">
      <c r="A180" s="10"/>
      <c r="B180" s="13"/>
      <c r="C180" s="13"/>
    </row>
    <row r="181" spans="1:3" ht="13" x14ac:dyDescent="0.15">
      <c r="A181" s="10"/>
      <c r="B181" s="13"/>
      <c r="C181" s="13"/>
    </row>
    <row r="182" spans="1:3" ht="13" x14ac:dyDescent="0.15">
      <c r="A182" s="10"/>
      <c r="B182" s="13"/>
      <c r="C182" s="13"/>
    </row>
    <row r="183" spans="1:3" ht="13" x14ac:dyDescent="0.15">
      <c r="A183" s="10"/>
      <c r="B183" s="13"/>
      <c r="C183" s="13"/>
    </row>
    <row r="184" spans="1:3" ht="13" x14ac:dyDescent="0.15">
      <c r="A184" s="10"/>
      <c r="B184" s="13"/>
      <c r="C184" s="13"/>
    </row>
    <row r="185" spans="1:3" ht="13" x14ac:dyDescent="0.15">
      <c r="A185" s="10"/>
      <c r="B185" s="13"/>
      <c r="C185" s="13"/>
    </row>
    <row r="186" spans="1:3" ht="13" x14ac:dyDescent="0.15">
      <c r="A186" s="10"/>
      <c r="B186" s="13"/>
      <c r="C186" s="13"/>
    </row>
    <row r="187" spans="1:3" ht="13" x14ac:dyDescent="0.15">
      <c r="A187" s="10"/>
      <c r="B187" s="13"/>
      <c r="C187" s="13"/>
    </row>
    <row r="188" spans="1:3" ht="13" x14ac:dyDescent="0.15">
      <c r="A188" s="10"/>
      <c r="B188" s="13"/>
      <c r="C188" s="13"/>
    </row>
    <row r="189" spans="1:3" ht="13" x14ac:dyDescent="0.15">
      <c r="A189" s="10"/>
      <c r="B189" s="13"/>
      <c r="C189" s="13"/>
    </row>
    <row r="190" spans="1:3" ht="13" x14ac:dyDescent="0.15">
      <c r="A190" s="10"/>
      <c r="B190" s="13"/>
      <c r="C190" s="13"/>
    </row>
    <row r="191" spans="1:3" ht="13" x14ac:dyDescent="0.15">
      <c r="A191" s="10"/>
      <c r="B191" s="13"/>
      <c r="C191" s="13"/>
    </row>
    <row r="192" spans="1:3" ht="13" x14ac:dyDescent="0.15">
      <c r="A192" s="10"/>
      <c r="B192" s="13"/>
      <c r="C192" s="13"/>
    </row>
    <row r="193" spans="1:3" ht="13" x14ac:dyDescent="0.15">
      <c r="A193" s="10"/>
      <c r="B193" s="13"/>
      <c r="C193" s="13"/>
    </row>
    <row r="194" spans="1:3" ht="13" x14ac:dyDescent="0.15">
      <c r="A194" s="10"/>
      <c r="B194" s="13"/>
      <c r="C194" s="13"/>
    </row>
    <row r="195" spans="1:3" ht="13" x14ac:dyDescent="0.15">
      <c r="A195" s="10"/>
      <c r="B195" s="13"/>
      <c r="C195" s="13"/>
    </row>
    <row r="196" spans="1:3" ht="13" x14ac:dyDescent="0.15">
      <c r="A196" s="10"/>
      <c r="B196" s="13"/>
      <c r="C196" s="13"/>
    </row>
    <row r="197" spans="1:3" ht="13" x14ac:dyDescent="0.15">
      <c r="A197" s="10"/>
      <c r="B197" s="13"/>
      <c r="C197" s="13"/>
    </row>
    <row r="198" spans="1:3" ht="13" x14ac:dyDescent="0.15">
      <c r="A198" s="10"/>
      <c r="B198" s="13"/>
      <c r="C198" s="13"/>
    </row>
    <row r="199" spans="1:3" ht="13" x14ac:dyDescent="0.15">
      <c r="A199" s="10"/>
      <c r="B199" s="13"/>
      <c r="C199" s="13"/>
    </row>
    <row r="200" spans="1:3" ht="13" x14ac:dyDescent="0.15">
      <c r="A200" s="10"/>
      <c r="B200" s="13"/>
      <c r="C200" s="13"/>
    </row>
    <row r="201" spans="1:3" ht="13" x14ac:dyDescent="0.15">
      <c r="A201" s="10"/>
      <c r="B201" s="13"/>
      <c r="C201" s="13"/>
    </row>
    <row r="202" spans="1:3" ht="13" x14ac:dyDescent="0.15">
      <c r="A202" s="10"/>
      <c r="B202" s="13"/>
      <c r="C202" s="13"/>
    </row>
    <row r="203" spans="1:3" ht="13" x14ac:dyDescent="0.15">
      <c r="A203" s="10"/>
      <c r="B203" s="13"/>
      <c r="C203" s="13"/>
    </row>
    <row r="204" spans="1:3" ht="13" x14ac:dyDescent="0.15">
      <c r="A204" s="10"/>
      <c r="B204" s="13"/>
      <c r="C204" s="13"/>
    </row>
    <row r="205" spans="1:3" ht="13" x14ac:dyDescent="0.15">
      <c r="A205" s="10"/>
      <c r="B205" s="13"/>
      <c r="C205" s="13"/>
    </row>
    <row r="206" spans="1:3" ht="13" x14ac:dyDescent="0.15">
      <c r="A206" s="10"/>
      <c r="B206" s="13"/>
      <c r="C206" s="13"/>
    </row>
    <row r="207" spans="1:3" ht="13" x14ac:dyDescent="0.15">
      <c r="A207" s="10"/>
      <c r="B207" s="13"/>
      <c r="C207" s="13"/>
    </row>
    <row r="208" spans="1:3" ht="13" x14ac:dyDescent="0.15">
      <c r="A208" s="10"/>
      <c r="B208" s="13"/>
      <c r="C208" s="13"/>
    </row>
    <row r="209" spans="1:3" ht="13" x14ac:dyDescent="0.15">
      <c r="A209" s="10"/>
      <c r="B209" s="13"/>
      <c r="C209" s="13"/>
    </row>
    <row r="210" spans="1:3" ht="13" x14ac:dyDescent="0.15">
      <c r="A210" s="10"/>
      <c r="B210" s="13"/>
      <c r="C210" s="13"/>
    </row>
    <row r="211" spans="1:3" ht="13" x14ac:dyDescent="0.15">
      <c r="A211" s="10"/>
      <c r="B211" s="13"/>
      <c r="C211" s="13"/>
    </row>
    <row r="212" spans="1:3" ht="13" x14ac:dyDescent="0.15">
      <c r="A212" s="10"/>
      <c r="B212" s="13"/>
      <c r="C212" s="13"/>
    </row>
    <row r="213" spans="1:3" ht="13" x14ac:dyDescent="0.15">
      <c r="A213" s="10"/>
      <c r="B213" s="13"/>
      <c r="C213" s="13"/>
    </row>
    <row r="214" spans="1:3" ht="13" x14ac:dyDescent="0.15">
      <c r="A214" s="10"/>
      <c r="B214" s="13"/>
      <c r="C214" s="13"/>
    </row>
    <row r="215" spans="1:3" ht="13" x14ac:dyDescent="0.15">
      <c r="A215" s="10"/>
      <c r="B215" s="13"/>
      <c r="C215" s="13"/>
    </row>
    <row r="216" spans="1:3" ht="13" x14ac:dyDescent="0.15">
      <c r="A216" s="10"/>
      <c r="B216" s="13"/>
      <c r="C216" s="13"/>
    </row>
    <row r="217" spans="1:3" ht="13" x14ac:dyDescent="0.15">
      <c r="A217" s="10"/>
      <c r="B217" s="13"/>
      <c r="C217" s="13"/>
    </row>
    <row r="218" spans="1:3" ht="13" x14ac:dyDescent="0.15">
      <c r="A218" s="10"/>
      <c r="B218" s="13"/>
      <c r="C218" s="13"/>
    </row>
    <row r="219" spans="1:3" ht="13" x14ac:dyDescent="0.15">
      <c r="A219" s="10"/>
      <c r="B219" s="13"/>
      <c r="C219" s="13"/>
    </row>
    <row r="220" spans="1:3" ht="13" x14ac:dyDescent="0.15">
      <c r="A220" s="10"/>
      <c r="B220" s="13"/>
      <c r="C220" s="13"/>
    </row>
    <row r="221" spans="1:3" ht="13" x14ac:dyDescent="0.15">
      <c r="A221" s="10"/>
      <c r="B221" s="13"/>
      <c r="C221" s="13"/>
    </row>
    <row r="222" spans="1:3" ht="13" x14ac:dyDescent="0.15">
      <c r="A222" s="10"/>
      <c r="B222" s="13"/>
      <c r="C222" s="13"/>
    </row>
    <row r="223" spans="1:3" ht="13" x14ac:dyDescent="0.15">
      <c r="A223" s="10"/>
      <c r="B223" s="13"/>
      <c r="C223" s="13"/>
    </row>
    <row r="224" spans="1:3" ht="13" x14ac:dyDescent="0.15">
      <c r="A224" s="10"/>
      <c r="B224" s="13"/>
      <c r="C224" s="13"/>
    </row>
    <row r="225" spans="1:3" ht="13" x14ac:dyDescent="0.15">
      <c r="A225" s="10"/>
      <c r="B225" s="13"/>
      <c r="C225" s="13"/>
    </row>
    <row r="226" spans="1:3" ht="13" x14ac:dyDescent="0.15">
      <c r="A226" s="10"/>
      <c r="B226" s="13"/>
      <c r="C226" s="13"/>
    </row>
    <row r="227" spans="1:3" ht="13" x14ac:dyDescent="0.15">
      <c r="A227" s="10"/>
      <c r="B227" s="13"/>
      <c r="C227" s="13"/>
    </row>
    <row r="228" spans="1:3" ht="13" x14ac:dyDescent="0.15">
      <c r="A228" s="10"/>
      <c r="B228" s="13"/>
      <c r="C228" s="13"/>
    </row>
    <row r="229" spans="1:3" ht="13" x14ac:dyDescent="0.15">
      <c r="A229" s="10"/>
      <c r="B229" s="13"/>
      <c r="C229" s="13"/>
    </row>
    <row r="230" spans="1:3" ht="13" x14ac:dyDescent="0.15">
      <c r="A230" s="10"/>
      <c r="B230" s="13"/>
      <c r="C230" s="13"/>
    </row>
    <row r="231" spans="1:3" ht="13" x14ac:dyDescent="0.15">
      <c r="A231" s="10"/>
      <c r="B231" s="13"/>
      <c r="C231" s="13"/>
    </row>
    <row r="232" spans="1:3" ht="13" x14ac:dyDescent="0.15">
      <c r="A232" s="10"/>
      <c r="B232" s="13"/>
      <c r="C232" s="13"/>
    </row>
    <row r="233" spans="1:3" ht="13" x14ac:dyDescent="0.15">
      <c r="A233" s="10"/>
      <c r="B233" s="13"/>
      <c r="C233" s="13"/>
    </row>
    <row r="234" spans="1:3" ht="13" x14ac:dyDescent="0.15">
      <c r="A234" s="10"/>
      <c r="B234" s="13"/>
      <c r="C234" s="13"/>
    </row>
    <row r="235" spans="1:3" ht="13" x14ac:dyDescent="0.15">
      <c r="A235" s="10"/>
      <c r="B235" s="13"/>
      <c r="C235" s="13"/>
    </row>
    <row r="236" spans="1:3" ht="13" x14ac:dyDescent="0.15">
      <c r="A236" s="10"/>
      <c r="B236" s="13"/>
      <c r="C236" s="13"/>
    </row>
    <row r="237" spans="1:3" ht="13" x14ac:dyDescent="0.15">
      <c r="A237" s="10"/>
      <c r="B237" s="13"/>
      <c r="C237" s="13"/>
    </row>
    <row r="238" spans="1:3" ht="13" x14ac:dyDescent="0.15">
      <c r="A238" s="10"/>
      <c r="B238" s="13"/>
      <c r="C238" s="13"/>
    </row>
    <row r="239" spans="1:3" ht="13" x14ac:dyDescent="0.15">
      <c r="A239" s="10"/>
      <c r="B239" s="13"/>
      <c r="C239" s="13"/>
    </row>
    <row r="240" spans="1:3" ht="13" x14ac:dyDescent="0.15">
      <c r="A240" s="10"/>
      <c r="B240" s="13"/>
      <c r="C240" s="13"/>
    </row>
    <row r="241" spans="1:3" ht="13" x14ac:dyDescent="0.15">
      <c r="A241" s="10"/>
      <c r="B241" s="13"/>
      <c r="C241" s="13"/>
    </row>
    <row r="242" spans="1:3" ht="13" x14ac:dyDescent="0.15">
      <c r="A242" s="10"/>
      <c r="B242" s="13"/>
      <c r="C242" s="13"/>
    </row>
    <row r="243" spans="1:3" ht="13" x14ac:dyDescent="0.15">
      <c r="A243" s="10"/>
      <c r="B243" s="13"/>
      <c r="C243" s="13"/>
    </row>
    <row r="244" spans="1:3" ht="13" x14ac:dyDescent="0.15">
      <c r="A244" s="10"/>
      <c r="B244" s="13"/>
      <c r="C244" s="13"/>
    </row>
    <row r="245" spans="1:3" ht="13" x14ac:dyDescent="0.15">
      <c r="A245" s="10"/>
      <c r="B245" s="13"/>
      <c r="C245" s="13"/>
    </row>
    <row r="246" spans="1:3" ht="13" x14ac:dyDescent="0.15">
      <c r="A246" s="10"/>
      <c r="B246" s="13"/>
      <c r="C246" s="13"/>
    </row>
    <row r="247" spans="1:3" ht="13" x14ac:dyDescent="0.15">
      <c r="A247" s="10"/>
      <c r="B247" s="13"/>
      <c r="C247" s="13"/>
    </row>
    <row r="248" spans="1:3" ht="13" x14ac:dyDescent="0.15">
      <c r="A248" s="10"/>
      <c r="B248" s="13"/>
      <c r="C248" s="13"/>
    </row>
    <row r="249" spans="1:3" ht="13" x14ac:dyDescent="0.15">
      <c r="A249" s="10"/>
      <c r="B249" s="13"/>
      <c r="C249" s="13"/>
    </row>
    <row r="250" spans="1:3" ht="13" x14ac:dyDescent="0.15">
      <c r="A250" s="10"/>
      <c r="B250" s="13"/>
      <c r="C250" s="13"/>
    </row>
    <row r="251" spans="1:3" ht="13" x14ac:dyDescent="0.15">
      <c r="A251" s="10"/>
      <c r="B251" s="13"/>
      <c r="C251" s="13"/>
    </row>
    <row r="252" spans="1:3" ht="13" x14ac:dyDescent="0.15">
      <c r="A252" s="10"/>
      <c r="B252" s="13"/>
      <c r="C252" s="13"/>
    </row>
    <row r="253" spans="1:3" ht="13" x14ac:dyDescent="0.15">
      <c r="A253" s="10"/>
      <c r="B253" s="13"/>
      <c r="C253" s="13"/>
    </row>
    <row r="254" spans="1:3" ht="13" x14ac:dyDescent="0.15">
      <c r="A254" s="10"/>
      <c r="B254" s="13"/>
      <c r="C254" s="13"/>
    </row>
    <row r="255" spans="1:3" ht="13" x14ac:dyDescent="0.15">
      <c r="A255" s="10"/>
      <c r="B255" s="13"/>
      <c r="C255" s="13"/>
    </row>
    <row r="256" spans="1:3" ht="13" x14ac:dyDescent="0.15">
      <c r="A256" s="10"/>
      <c r="B256" s="13"/>
      <c r="C256" s="13"/>
    </row>
    <row r="257" spans="1:3" ht="13" x14ac:dyDescent="0.15">
      <c r="A257" s="10"/>
      <c r="B257" s="13"/>
      <c r="C257" s="13"/>
    </row>
    <row r="258" spans="1:3" ht="13" x14ac:dyDescent="0.15">
      <c r="A258" s="10"/>
      <c r="B258" s="13"/>
      <c r="C258" s="13"/>
    </row>
    <row r="259" spans="1:3" ht="13" x14ac:dyDescent="0.15">
      <c r="A259" s="10"/>
      <c r="B259" s="13"/>
      <c r="C259" s="13"/>
    </row>
    <row r="260" spans="1:3" ht="13" x14ac:dyDescent="0.15">
      <c r="A260" s="10"/>
      <c r="B260" s="13"/>
      <c r="C260" s="13"/>
    </row>
    <row r="261" spans="1:3" ht="13" x14ac:dyDescent="0.15">
      <c r="A261" s="10"/>
      <c r="B261" s="13"/>
      <c r="C261" s="13"/>
    </row>
    <row r="262" spans="1:3" ht="13" x14ac:dyDescent="0.15">
      <c r="A262" s="10"/>
      <c r="B262" s="13"/>
      <c r="C262" s="13"/>
    </row>
    <row r="263" spans="1:3" ht="13" x14ac:dyDescent="0.15">
      <c r="A263" s="10"/>
      <c r="B263" s="13"/>
      <c r="C263" s="13"/>
    </row>
    <row r="264" spans="1:3" ht="13" x14ac:dyDescent="0.15">
      <c r="A264" s="10"/>
      <c r="B264" s="13"/>
      <c r="C264" s="13"/>
    </row>
    <row r="265" spans="1:3" ht="13" x14ac:dyDescent="0.15">
      <c r="A265" s="10"/>
      <c r="B265" s="13"/>
      <c r="C265" s="13"/>
    </row>
    <row r="266" spans="1:3" ht="13" x14ac:dyDescent="0.15">
      <c r="A266" s="10"/>
      <c r="B266" s="13"/>
      <c r="C266" s="13"/>
    </row>
    <row r="267" spans="1:3" ht="13" x14ac:dyDescent="0.15">
      <c r="A267" s="10"/>
      <c r="B267" s="13"/>
      <c r="C267" s="13"/>
    </row>
    <row r="268" spans="1:3" ht="13" x14ac:dyDescent="0.15">
      <c r="A268" s="10"/>
      <c r="B268" s="13"/>
      <c r="C268" s="13"/>
    </row>
    <row r="269" spans="1:3" ht="13" x14ac:dyDescent="0.15">
      <c r="A269" s="10"/>
      <c r="B269" s="13"/>
      <c r="C269" s="13"/>
    </row>
    <row r="270" spans="1:3" ht="13" x14ac:dyDescent="0.15">
      <c r="A270" s="10"/>
      <c r="B270" s="13"/>
      <c r="C270" s="13"/>
    </row>
    <row r="271" spans="1:3" ht="13" x14ac:dyDescent="0.15">
      <c r="A271" s="10"/>
      <c r="B271" s="13"/>
      <c r="C271" s="13"/>
    </row>
    <row r="272" spans="1:3" ht="13" x14ac:dyDescent="0.15">
      <c r="A272" s="10"/>
      <c r="B272" s="13"/>
      <c r="C272" s="13"/>
    </row>
    <row r="273" spans="1:3" ht="13" x14ac:dyDescent="0.15">
      <c r="A273" s="10"/>
      <c r="B273" s="13"/>
      <c r="C273" s="13"/>
    </row>
    <row r="274" spans="1:3" ht="13" x14ac:dyDescent="0.15">
      <c r="A274" s="10"/>
      <c r="B274" s="13"/>
      <c r="C274" s="13"/>
    </row>
    <row r="275" spans="1:3" ht="13" x14ac:dyDescent="0.15">
      <c r="A275" s="10"/>
      <c r="B275" s="13"/>
      <c r="C275" s="13"/>
    </row>
    <row r="276" spans="1:3" ht="13" x14ac:dyDescent="0.15">
      <c r="A276" s="10"/>
      <c r="B276" s="13"/>
      <c r="C276" s="13"/>
    </row>
    <row r="277" spans="1:3" ht="13" x14ac:dyDescent="0.15">
      <c r="A277" s="10"/>
      <c r="B277" s="13"/>
      <c r="C277" s="13"/>
    </row>
    <row r="278" spans="1:3" ht="13" x14ac:dyDescent="0.15">
      <c r="A278" s="10"/>
      <c r="B278" s="13"/>
      <c r="C278" s="13"/>
    </row>
    <row r="279" spans="1:3" ht="13" x14ac:dyDescent="0.15">
      <c r="A279" s="10"/>
      <c r="B279" s="13"/>
      <c r="C279" s="13"/>
    </row>
    <row r="280" spans="1:3" ht="13" x14ac:dyDescent="0.15">
      <c r="A280" s="10"/>
      <c r="B280" s="13"/>
      <c r="C280" s="13"/>
    </row>
    <row r="281" spans="1:3" ht="13" x14ac:dyDescent="0.15">
      <c r="A281" s="10"/>
      <c r="B281" s="13"/>
      <c r="C281" s="13"/>
    </row>
    <row r="282" spans="1:3" ht="13" x14ac:dyDescent="0.15">
      <c r="A282" s="10"/>
      <c r="B282" s="13"/>
      <c r="C282" s="13"/>
    </row>
    <row r="283" spans="1:3" ht="13" x14ac:dyDescent="0.15">
      <c r="A283" s="10"/>
      <c r="B283" s="13"/>
      <c r="C283" s="13"/>
    </row>
    <row r="284" spans="1:3" ht="13" x14ac:dyDescent="0.15">
      <c r="A284" s="10"/>
      <c r="B284" s="13"/>
      <c r="C284" s="13"/>
    </row>
    <row r="285" spans="1:3" ht="13" x14ac:dyDescent="0.15">
      <c r="A285" s="10"/>
      <c r="B285" s="13"/>
      <c r="C285" s="13"/>
    </row>
    <row r="286" spans="1:3" ht="13" x14ac:dyDescent="0.15">
      <c r="A286" s="10"/>
      <c r="B286" s="13"/>
      <c r="C286" s="13"/>
    </row>
    <row r="287" spans="1:3" ht="13" x14ac:dyDescent="0.15">
      <c r="A287" s="10"/>
      <c r="B287" s="13"/>
      <c r="C287" s="13"/>
    </row>
    <row r="288" spans="1:3" ht="13" x14ac:dyDescent="0.15">
      <c r="A288" s="10"/>
      <c r="B288" s="13"/>
      <c r="C288" s="13"/>
    </row>
    <row r="289" spans="1:3" ht="13" x14ac:dyDescent="0.15">
      <c r="A289" s="10"/>
      <c r="B289" s="13"/>
      <c r="C289" s="13"/>
    </row>
    <row r="290" spans="1:3" ht="13" x14ac:dyDescent="0.15">
      <c r="A290" s="10"/>
      <c r="B290" s="13"/>
      <c r="C290" s="13"/>
    </row>
    <row r="291" spans="1:3" ht="13" x14ac:dyDescent="0.15">
      <c r="A291" s="10"/>
      <c r="B291" s="13"/>
      <c r="C291" s="13"/>
    </row>
    <row r="292" spans="1:3" ht="13" x14ac:dyDescent="0.15">
      <c r="A292" s="10"/>
      <c r="B292" s="13"/>
      <c r="C292" s="13"/>
    </row>
    <row r="293" spans="1:3" ht="13" x14ac:dyDescent="0.15">
      <c r="A293" s="10"/>
      <c r="B293" s="13"/>
      <c r="C293" s="13"/>
    </row>
    <row r="294" spans="1:3" ht="13" x14ac:dyDescent="0.15">
      <c r="A294" s="10"/>
      <c r="B294" s="13"/>
      <c r="C294" s="13"/>
    </row>
    <row r="295" spans="1:3" ht="13" x14ac:dyDescent="0.15">
      <c r="A295" s="10"/>
      <c r="B295" s="13"/>
      <c r="C295" s="13"/>
    </row>
    <row r="296" spans="1:3" ht="13" x14ac:dyDescent="0.15">
      <c r="A296" s="10"/>
      <c r="B296" s="13"/>
      <c r="C296" s="13"/>
    </row>
    <row r="297" spans="1:3" ht="13" x14ac:dyDescent="0.15">
      <c r="A297" s="10"/>
      <c r="B297" s="13"/>
      <c r="C297" s="13"/>
    </row>
    <row r="298" spans="1:3" ht="13" x14ac:dyDescent="0.15">
      <c r="A298" s="10"/>
      <c r="B298" s="13"/>
      <c r="C298" s="13"/>
    </row>
    <row r="299" spans="1:3" ht="13" x14ac:dyDescent="0.15">
      <c r="A299" s="10"/>
      <c r="B299" s="13"/>
      <c r="C299" s="13"/>
    </row>
    <row r="300" spans="1:3" ht="13" x14ac:dyDescent="0.15">
      <c r="A300" s="10"/>
      <c r="B300" s="13"/>
      <c r="C300" s="13"/>
    </row>
    <row r="301" spans="1:3" ht="13" x14ac:dyDescent="0.15">
      <c r="A301" s="10"/>
      <c r="B301" s="13"/>
      <c r="C301" s="13"/>
    </row>
    <row r="302" spans="1:3" ht="13" x14ac:dyDescent="0.15">
      <c r="A302" s="10"/>
      <c r="B302" s="13"/>
      <c r="C302" s="13"/>
    </row>
    <row r="303" spans="1:3" ht="13" x14ac:dyDescent="0.15">
      <c r="A303" s="10"/>
      <c r="B303" s="13"/>
      <c r="C303" s="13"/>
    </row>
    <row r="304" spans="1:3" ht="13" x14ac:dyDescent="0.15">
      <c r="A304" s="10"/>
      <c r="B304" s="13"/>
      <c r="C304" s="13"/>
    </row>
    <row r="305" spans="1:3" ht="13" x14ac:dyDescent="0.15">
      <c r="A305" s="10"/>
      <c r="B305" s="13"/>
      <c r="C305" s="13"/>
    </row>
    <row r="306" spans="1:3" ht="13" x14ac:dyDescent="0.15">
      <c r="A306" s="10"/>
      <c r="B306" s="13"/>
      <c r="C306" s="13"/>
    </row>
    <row r="307" spans="1:3" ht="13" x14ac:dyDescent="0.15">
      <c r="A307" s="10"/>
      <c r="B307" s="13"/>
      <c r="C307" s="13"/>
    </row>
    <row r="308" spans="1:3" ht="13" x14ac:dyDescent="0.15">
      <c r="A308" s="10"/>
      <c r="B308" s="13"/>
      <c r="C308" s="13"/>
    </row>
    <row r="309" spans="1:3" ht="13" x14ac:dyDescent="0.15">
      <c r="A309" s="10"/>
      <c r="B309" s="13"/>
      <c r="C309" s="13"/>
    </row>
    <row r="310" spans="1:3" ht="13" x14ac:dyDescent="0.15">
      <c r="A310" s="10"/>
      <c r="B310" s="13"/>
      <c r="C310" s="13"/>
    </row>
    <row r="311" spans="1:3" ht="13" x14ac:dyDescent="0.15">
      <c r="A311" s="10"/>
      <c r="B311" s="13"/>
      <c r="C311" s="13"/>
    </row>
    <row r="312" spans="1:3" ht="13" x14ac:dyDescent="0.15">
      <c r="A312" s="10"/>
      <c r="B312" s="13"/>
      <c r="C312" s="13"/>
    </row>
    <row r="313" spans="1:3" ht="13" x14ac:dyDescent="0.15">
      <c r="A313" s="10"/>
      <c r="B313" s="13"/>
      <c r="C313" s="13"/>
    </row>
    <row r="314" spans="1:3" ht="13" x14ac:dyDescent="0.15">
      <c r="A314" s="10"/>
      <c r="B314" s="13"/>
      <c r="C314" s="13"/>
    </row>
    <row r="315" spans="1:3" ht="13" x14ac:dyDescent="0.15">
      <c r="A315" s="10"/>
      <c r="B315" s="13"/>
      <c r="C315" s="13"/>
    </row>
    <row r="316" spans="1:3" ht="13" x14ac:dyDescent="0.15">
      <c r="A316" s="10"/>
      <c r="B316" s="13"/>
      <c r="C316" s="13"/>
    </row>
    <row r="317" spans="1:3" ht="13" x14ac:dyDescent="0.15">
      <c r="A317" s="10"/>
      <c r="B317" s="13"/>
      <c r="C317" s="13"/>
    </row>
    <row r="318" spans="1:3" ht="13" x14ac:dyDescent="0.15">
      <c r="A318" s="10"/>
      <c r="B318" s="13"/>
      <c r="C318" s="13"/>
    </row>
    <row r="319" spans="1:3" ht="13" x14ac:dyDescent="0.15">
      <c r="A319" s="10"/>
      <c r="B319" s="13"/>
      <c r="C319" s="13"/>
    </row>
    <row r="320" spans="1:3" ht="13" x14ac:dyDescent="0.15">
      <c r="A320" s="10"/>
      <c r="B320" s="13"/>
      <c r="C320" s="13"/>
    </row>
    <row r="321" spans="1:3" ht="13" x14ac:dyDescent="0.15">
      <c r="A321" s="10"/>
      <c r="B321" s="13"/>
      <c r="C321" s="13"/>
    </row>
    <row r="322" spans="1:3" ht="13" x14ac:dyDescent="0.15">
      <c r="A322" s="10"/>
      <c r="B322" s="13"/>
      <c r="C322" s="13"/>
    </row>
    <row r="323" spans="1:3" ht="13" x14ac:dyDescent="0.15">
      <c r="A323" s="10"/>
      <c r="B323" s="13"/>
      <c r="C323" s="13"/>
    </row>
    <row r="324" spans="1:3" ht="13" x14ac:dyDescent="0.15">
      <c r="A324" s="10"/>
      <c r="B324" s="13"/>
      <c r="C324" s="13"/>
    </row>
    <row r="325" spans="1:3" ht="13" x14ac:dyDescent="0.15">
      <c r="A325" s="10"/>
      <c r="B325" s="13"/>
      <c r="C325" s="13"/>
    </row>
    <row r="326" spans="1:3" ht="13" x14ac:dyDescent="0.15">
      <c r="A326" s="10"/>
      <c r="B326" s="13"/>
      <c r="C326" s="13"/>
    </row>
    <row r="327" spans="1:3" ht="13" x14ac:dyDescent="0.15">
      <c r="A327" s="10"/>
      <c r="B327" s="13"/>
      <c r="C327" s="13"/>
    </row>
    <row r="328" spans="1:3" ht="13" x14ac:dyDescent="0.15">
      <c r="A328" s="10"/>
      <c r="B328" s="13"/>
      <c r="C328" s="13"/>
    </row>
    <row r="329" spans="1:3" ht="13" x14ac:dyDescent="0.15">
      <c r="A329" s="10"/>
      <c r="B329" s="13"/>
      <c r="C329" s="13"/>
    </row>
    <row r="330" spans="1:3" ht="13" x14ac:dyDescent="0.15">
      <c r="A330" s="10"/>
      <c r="B330" s="13"/>
      <c r="C330" s="13"/>
    </row>
    <row r="331" spans="1:3" ht="13" x14ac:dyDescent="0.15">
      <c r="A331" s="10"/>
      <c r="B331" s="13"/>
      <c r="C331" s="13"/>
    </row>
    <row r="332" spans="1:3" ht="13" x14ac:dyDescent="0.15">
      <c r="A332" s="10"/>
      <c r="B332" s="13"/>
      <c r="C332" s="13"/>
    </row>
    <row r="333" spans="1:3" ht="13" x14ac:dyDescent="0.15">
      <c r="A333" s="10"/>
      <c r="B333" s="13"/>
      <c r="C333" s="13"/>
    </row>
    <row r="334" spans="1:3" ht="13" x14ac:dyDescent="0.15">
      <c r="A334" s="10"/>
      <c r="B334" s="13"/>
      <c r="C334" s="13"/>
    </row>
    <row r="335" spans="1:3" ht="13" x14ac:dyDescent="0.15">
      <c r="A335" s="10"/>
      <c r="B335" s="13"/>
      <c r="C335" s="13"/>
    </row>
    <row r="336" spans="1:3" ht="13" x14ac:dyDescent="0.15">
      <c r="A336" s="10"/>
      <c r="B336" s="13"/>
      <c r="C336" s="13"/>
    </row>
    <row r="337" spans="1:3" ht="13" x14ac:dyDescent="0.15">
      <c r="A337" s="10"/>
      <c r="B337" s="13"/>
      <c r="C337" s="13"/>
    </row>
    <row r="338" spans="1:3" ht="13" x14ac:dyDescent="0.15">
      <c r="A338" s="10"/>
      <c r="B338" s="13"/>
      <c r="C338" s="13"/>
    </row>
    <row r="339" spans="1:3" ht="13" x14ac:dyDescent="0.15">
      <c r="A339" s="10"/>
      <c r="B339" s="13"/>
      <c r="C339" s="13"/>
    </row>
    <row r="340" spans="1:3" ht="13" x14ac:dyDescent="0.15">
      <c r="A340" s="10"/>
      <c r="B340" s="13"/>
      <c r="C340" s="13"/>
    </row>
    <row r="341" spans="1:3" ht="13" x14ac:dyDescent="0.15">
      <c r="A341" s="10"/>
      <c r="B341" s="13"/>
      <c r="C341" s="13"/>
    </row>
    <row r="342" spans="1:3" ht="13" x14ac:dyDescent="0.15">
      <c r="A342" s="10"/>
      <c r="B342" s="13"/>
      <c r="C342" s="13"/>
    </row>
    <row r="343" spans="1:3" ht="13" x14ac:dyDescent="0.15">
      <c r="A343" s="10"/>
      <c r="B343" s="13"/>
      <c r="C343" s="13"/>
    </row>
    <row r="344" spans="1:3" ht="13" x14ac:dyDescent="0.15">
      <c r="A344" s="10"/>
      <c r="B344" s="13"/>
      <c r="C344" s="13"/>
    </row>
    <row r="345" spans="1:3" ht="13" x14ac:dyDescent="0.15">
      <c r="A345" s="10"/>
      <c r="B345" s="13"/>
      <c r="C345" s="13"/>
    </row>
    <row r="346" spans="1:3" ht="13" x14ac:dyDescent="0.15">
      <c r="A346" s="10"/>
      <c r="B346" s="13"/>
      <c r="C346" s="13"/>
    </row>
    <row r="347" spans="1:3" ht="13" x14ac:dyDescent="0.15">
      <c r="A347" s="10"/>
      <c r="B347" s="13"/>
      <c r="C347" s="13"/>
    </row>
    <row r="348" spans="1:3" ht="13" x14ac:dyDescent="0.15">
      <c r="A348" s="10"/>
      <c r="B348" s="13"/>
      <c r="C348" s="13"/>
    </row>
    <row r="349" spans="1:3" ht="13" x14ac:dyDescent="0.15">
      <c r="A349" s="10"/>
      <c r="B349" s="13"/>
      <c r="C349" s="13"/>
    </row>
    <row r="350" spans="1:3" ht="13" x14ac:dyDescent="0.15">
      <c r="A350" s="10"/>
      <c r="B350" s="13"/>
      <c r="C350" s="13"/>
    </row>
    <row r="351" spans="1:3" ht="13" x14ac:dyDescent="0.15">
      <c r="A351" s="10"/>
      <c r="B351" s="13"/>
      <c r="C351" s="13"/>
    </row>
    <row r="352" spans="1:3" ht="13" x14ac:dyDescent="0.15">
      <c r="A352" s="10"/>
      <c r="B352" s="13"/>
      <c r="C352" s="13"/>
    </row>
    <row r="353" spans="1:3" ht="13" x14ac:dyDescent="0.15">
      <c r="A353" s="10"/>
      <c r="B353" s="13"/>
      <c r="C353" s="13"/>
    </row>
    <row r="354" spans="1:3" ht="13" x14ac:dyDescent="0.15">
      <c r="A354" s="10"/>
      <c r="B354" s="13"/>
      <c r="C354" s="13"/>
    </row>
    <row r="355" spans="1:3" ht="13" x14ac:dyDescent="0.15">
      <c r="A355" s="10"/>
      <c r="B355" s="13"/>
      <c r="C355" s="13"/>
    </row>
    <row r="356" spans="1:3" ht="13" x14ac:dyDescent="0.15">
      <c r="A356" s="10"/>
      <c r="B356" s="13"/>
      <c r="C356" s="13"/>
    </row>
    <row r="357" spans="1:3" ht="13" x14ac:dyDescent="0.15">
      <c r="A357" s="10"/>
      <c r="B357" s="13"/>
      <c r="C357" s="13"/>
    </row>
    <row r="358" spans="1:3" ht="13" x14ac:dyDescent="0.15">
      <c r="A358" s="10"/>
      <c r="B358" s="13"/>
      <c r="C358" s="13"/>
    </row>
    <row r="359" spans="1:3" ht="13" x14ac:dyDescent="0.15">
      <c r="A359" s="10"/>
      <c r="B359" s="13"/>
      <c r="C359" s="13"/>
    </row>
    <row r="360" spans="1:3" ht="13" x14ac:dyDescent="0.15">
      <c r="A360" s="10"/>
      <c r="B360" s="13"/>
      <c r="C360" s="13"/>
    </row>
    <row r="361" spans="1:3" ht="13" x14ac:dyDescent="0.15">
      <c r="A361" s="10"/>
      <c r="B361" s="13"/>
      <c r="C361" s="13"/>
    </row>
    <row r="362" spans="1:3" ht="13" x14ac:dyDescent="0.15">
      <c r="A362" s="10"/>
      <c r="B362" s="13"/>
      <c r="C362" s="13"/>
    </row>
    <row r="363" spans="1:3" ht="13" x14ac:dyDescent="0.15">
      <c r="A363" s="10"/>
      <c r="B363" s="13"/>
      <c r="C363" s="13"/>
    </row>
    <row r="364" spans="1:3" ht="13" x14ac:dyDescent="0.15">
      <c r="A364" s="10"/>
      <c r="B364" s="13"/>
      <c r="C364" s="13"/>
    </row>
    <row r="365" spans="1:3" ht="13" x14ac:dyDescent="0.15">
      <c r="A365" s="10"/>
      <c r="B365" s="13"/>
      <c r="C365" s="13"/>
    </row>
    <row r="366" spans="1:3" ht="13" x14ac:dyDescent="0.15">
      <c r="A366" s="10"/>
      <c r="B366" s="13"/>
      <c r="C366" s="13"/>
    </row>
    <row r="367" spans="1:3" ht="13" x14ac:dyDescent="0.15">
      <c r="A367" s="10"/>
      <c r="B367" s="13"/>
      <c r="C367" s="13"/>
    </row>
    <row r="368" spans="1:3" ht="13" x14ac:dyDescent="0.15">
      <c r="A368" s="10"/>
      <c r="B368" s="13"/>
      <c r="C368" s="13"/>
    </row>
    <row r="369" spans="1:3" ht="13" x14ac:dyDescent="0.15">
      <c r="A369" s="10"/>
      <c r="B369" s="13"/>
      <c r="C369" s="13"/>
    </row>
    <row r="370" spans="1:3" ht="13" x14ac:dyDescent="0.15">
      <c r="A370" s="10"/>
      <c r="B370" s="13"/>
      <c r="C370" s="13"/>
    </row>
    <row r="371" spans="1:3" ht="13" x14ac:dyDescent="0.15">
      <c r="A371" s="10"/>
      <c r="B371" s="13"/>
      <c r="C371" s="13"/>
    </row>
    <row r="372" spans="1:3" ht="13" x14ac:dyDescent="0.15">
      <c r="A372" s="10"/>
      <c r="B372" s="13"/>
      <c r="C372" s="13"/>
    </row>
    <row r="373" spans="1:3" ht="13" x14ac:dyDescent="0.15">
      <c r="A373" s="10"/>
      <c r="B373" s="13"/>
      <c r="C373" s="13"/>
    </row>
    <row r="374" spans="1:3" ht="13" x14ac:dyDescent="0.15">
      <c r="A374" s="10"/>
      <c r="B374" s="13"/>
      <c r="C374" s="13"/>
    </row>
    <row r="375" spans="1:3" ht="13" x14ac:dyDescent="0.15">
      <c r="A375" s="10"/>
      <c r="B375" s="13"/>
      <c r="C375" s="13"/>
    </row>
    <row r="376" spans="1:3" ht="13" x14ac:dyDescent="0.15">
      <c r="A376" s="10"/>
      <c r="B376" s="13"/>
      <c r="C376" s="13"/>
    </row>
    <row r="377" spans="1:3" ht="13" x14ac:dyDescent="0.15">
      <c r="A377" s="10"/>
      <c r="B377" s="13"/>
      <c r="C377" s="13"/>
    </row>
    <row r="378" spans="1:3" ht="13" x14ac:dyDescent="0.15">
      <c r="A378" s="10"/>
      <c r="B378" s="13"/>
      <c r="C378" s="13"/>
    </row>
    <row r="379" spans="1:3" ht="13" x14ac:dyDescent="0.15">
      <c r="A379" s="10"/>
      <c r="B379" s="13"/>
      <c r="C379" s="13"/>
    </row>
    <row r="380" spans="1:3" ht="13" x14ac:dyDescent="0.15">
      <c r="A380" s="10"/>
      <c r="B380" s="13"/>
      <c r="C380" s="13"/>
    </row>
    <row r="381" spans="1:3" ht="13" x14ac:dyDescent="0.15">
      <c r="A381" s="10"/>
      <c r="B381" s="13"/>
      <c r="C381" s="13"/>
    </row>
    <row r="382" spans="1:3" ht="13" x14ac:dyDescent="0.15">
      <c r="A382" s="10"/>
      <c r="B382" s="13"/>
      <c r="C382" s="13"/>
    </row>
    <row r="383" spans="1:3" ht="13" x14ac:dyDescent="0.15">
      <c r="A383" s="10"/>
      <c r="B383" s="13"/>
      <c r="C383" s="13"/>
    </row>
    <row r="384" spans="1:3" ht="13" x14ac:dyDescent="0.15">
      <c r="A384" s="10"/>
      <c r="B384" s="13"/>
      <c r="C384" s="13"/>
    </row>
    <row r="385" spans="1:3" ht="13" x14ac:dyDescent="0.15">
      <c r="A385" s="10"/>
      <c r="B385" s="13"/>
      <c r="C385" s="13"/>
    </row>
    <row r="386" spans="1:3" ht="13" x14ac:dyDescent="0.15">
      <c r="A386" s="10"/>
      <c r="B386" s="13"/>
      <c r="C386" s="13"/>
    </row>
    <row r="387" spans="1:3" ht="13" x14ac:dyDescent="0.15">
      <c r="A387" s="10"/>
      <c r="B387" s="13"/>
      <c r="C387" s="13"/>
    </row>
    <row r="388" spans="1:3" ht="13" x14ac:dyDescent="0.15">
      <c r="A388" s="10"/>
      <c r="B388" s="13"/>
      <c r="C388" s="13"/>
    </row>
    <row r="389" spans="1:3" ht="13" x14ac:dyDescent="0.15">
      <c r="A389" s="10"/>
      <c r="B389" s="13"/>
      <c r="C389" s="13"/>
    </row>
    <row r="390" spans="1:3" ht="13" x14ac:dyDescent="0.15">
      <c r="A390" s="10"/>
      <c r="B390" s="13"/>
      <c r="C390" s="13"/>
    </row>
    <row r="391" spans="1:3" ht="13" x14ac:dyDescent="0.15">
      <c r="A391" s="10"/>
      <c r="B391" s="13"/>
      <c r="C391" s="13"/>
    </row>
    <row r="392" spans="1:3" ht="13" x14ac:dyDescent="0.15">
      <c r="A392" s="10"/>
      <c r="B392" s="13"/>
      <c r="C392" s="13"/>
    </row>
    <row r="393" spans="1:3" ht="13" x14ac:dyDescent="0.15">
      <c r="A393" s="10"/>
      <c r="B393" s="13"/>
      <c r="C393" s="13"/>
    </row>
    <row r="394" spans="1:3" ht="13" x14ac:dyDescent="0.15">
      <c r="A394" s="10"/>
      <c r="B394" s="13"/>
      <c r="C394" s="13"/>
    </row>
    <row r="395" spans="1:3" ht="13" x14ac:dyDescent="0.15">
      <c r="A395" s="10"/>
      <c r="B395" s="13"/>
      <c r="C395" s="13"/>
    </row>
    <row r="396" spans="1:3" ht="13" x14ac:dyDescent="0.15">
      <c r="A396" s="10"/>
      <c r="B396" s="13"/>
      <c r="C396" s="13"/>
    </row>
    <row r="397" spans="1:3" ht="13" x14ac:dyDescent="0.15">
      <c r="A397" s="10"/>
      <c r="B397" s="13"/>
      <c r="C397" s="13"/>
    </row>
    <row r="398" spans="1:3" ht="13" x14ac:dyDescent="0.15">
      <c r="A398" s="10"/>
      <c r="B398" s="13"/>
      <c r="C398" s="13"/>
    </row>
    <row r="399" spans="1:3" ht="13" x14ac:dyDescent="0.15">
      <c r="A399" s="10"/>
      <c r="B399" s="13"/>
      <c r="C399" s="13"/>
    </row>
    <row r="400" spans="1:3" ht="13" x14ac:dyDescent="0.15">
      <c r="A400" s="10"/>
      <c r="B400" s="13"/>
      <c r="C400" s="13"/>
    </row>
    <row r="401" spans="1:3" ht="13" x14ac:dyDescent="0.15">
      <c r="A401" s="10"/>
      <c r="B401" s="13"/>
      <c r="C401" s="13"/>
    </row>
    <row r="402" spans="1:3" ht="13" x14ac:dyDescent="0.15">
      <c r="A402" s="10"/>
      <c r="B402" s="13"/>
      <c r="C402" s="13"/>
    </row>
    <row r="403" spans="1:3" ht="13" x14ac:dyDescent="0.15">
      <c r="A403" s="10"/>
      <c r="B403" s="13"/>
      <c r="C403" s="13"/>
    </row>
    <row r="404" spans="1:3" ht="13" x14ac:dyDescent="0.15">
      <c r="A404" s="10"/>
      <c r="B404" s="13"/>
      <c r="C404" s="13"/>
    </row>
    <row r="405" spans="1:3" ht="13" x14ac:dyDescent="0.15">
      <c r="A405" s="10"/>
      <c r="B405" s="13"/>
      <c r="C405" s="13"/>
    </row>
    <row r="406" spans="1:3" ht="13" x14ac:dyDescent="0.15">
      <c r="A406" s="10"/>
      <c r="B406" s="13"/>
      <c r="C406" s="13"/>
    </row>
    <row r="407" spans="1:3" ht="13" x14ac:dyDescent="0.15">
      <c r="A407" s="10"/>
      <c r="B407" s="13"/>
      <c r="C407" s="13"/>
    </row>
    <row r="408" spans="1:3" ht="13" x14ac:dyDescent="0.15">
      <c r="A408" s="10"/>
      <c r="B408" s="13"/>
      <c r="C408" s="13"/>
    </row>
    <row r="409" spans="1:3" ht="13" x14ac:dyDescent="0.15">
      <c r="A409" s="10"/>
      <c r="B409" s="13"/>
      <c r="C409" s="13"/>
    </row>
    <row r="410" spans="1:3" ht="13" x14ac:dyDescent="0.15">
      <c r="A410" s="10"/>
      <c r="B410" s="13"/>
      <c r="C410" s="13"/>
    </row>
    <row r="411" spans="1:3" ht="13" x14ac:dyDescent="0.15">
      <c r="A411" s="10"/>
      <c r="B411" s="13"/>
      <c r="C411" s="13"/>
    </row>
    <row r="412" spans="1:3" ht="13" x14ac:dyDescent="0.15">
      <c r="A412" s="10"/>
      <c r="B412" s="13"/>
      <c r="C412" s="13"/>
    </row>
    <row r="413" spans="1:3" ht="13" x14ac:dyDescent="0.15">
      <c r="A413" s="10"/>
      <c r="B413" s="13"/>
      <c r="C413" s="13"/>
    </row>
    <row r="414" spans="1:3" ht="13" x14ac:dyDescent="0.15">
      <c r="A414" s="10"/>
      <c r="B414" s="13"/>
      <c r="C414" s="13"/>
    </row>
    <row r="415" spans="1:3" ht="13" x14ac:dyDescent="0.15">
      <c r="A415" s="10"/>
      <c r="B415" s="13"/>
      <c r="C415" s="13"/>
    </row>
    <row r="416" spans="1:3" ht="13" x14ac:dyDescent="0.15">
      <c r="A416" s="10"/>
      <c r="B416" s="13"/>
      <c r="C416" s="13"/>
    </row>
    <row r="417" spans="1:3" ht="13" x14ac:dyDescent="0.15">
      <c r="A417" s="10"/>
      <c r="B417" s="13"/>
      <c r="C417" s="13"/>
    </row>
    <row r="418" spans="1:3" ht="13" x14ac:dyDescent="0.15">
      <c r="A418" s="10"/>
      <c r="B418" s="13"/>
      <c r="C418" s="13"/>
    </row>
    <row r="419" spans="1:3" ht="13" x14ac:dyDescent="0.15">
      <c r="A419" s="10"/>
      <c r="B419" s="13"/>
      <c r="C419" s="13"/>
    </row>
    <row r="420" spans="1:3" ht="13" x14ac:dyDescent="0.15">
      <c r="A420" s="10"/>
      <c r="B420" s="13"/>
      <c r="C420" s="13"/>
    </row>
    <row r="421" spans="1:3" ht="13" x14ac:dyDescent="0.15">
      <c r="A421" s="10"/>
      <c r="B421" s="13"/>
      <c r="C421" s="13"/>
    </row>
    <row r="422" spans="1:3" ht="13" x14ac:dyDescent="0.15">
      <c r="A422" s="10"/>
      <c r="B422" s="13"/>
      <c r="C422" s="13"/>
    </row>
    <row r="423" spans="1:3" ht="13" x14ac:dyDescent="0.15">
      <c r="A423" s="10"/>
      <c r="B423" s="13"/>
      <c r="C423" s="13"/>
    </row>
    <row r="424" spans="1:3" ht="13" x14ac:dyDescent="0.15">
      <c r="A424" s="10"/>
      <c r="B424" s="13"/>
      <c r="C424" s="13"/>
    </row>
    <row r="425" spans="1:3" ht="13" x14ac:dyDescent="0.15">
      <c r="A425" s="10"/>
      <c r="B425" s="13"/>
      <c r="C425" s="13"/>
    </row>
    <row r="426" spans="1:3" ht="13" x14ac:dyDescent="0.15">
      <c r="A426" s="10"/>
      <c r="B426" s="13"/>
      <c r="C426" s="13"/>
    </row>
    <row r="427" spans="1:3" ht="13" x14ac:dyDescent="0.15">
      <c r="A427" s="10"/>
      <c r="B427" s="13"/>
      <c r="C427" s="13"/>
    </row>
    <row r="428" spans="1:3" ht="13" x14ac:dyDescent="0.15">
      <c r="A428" s="10"/>
      <c r="B428" s="13"/>
      <c r="C428" s="13"/>
    </row>
    <row r="429" spans="1:3" ht="13" x14ac:dyDescent="0.15">
      <c r="A429" s="10"/>
      <c r="B429" s="13"/>
      <c r="C429" s="13"/>
    </row>
    <row r="430" spans="1:3" ht="13" x14ac:dyDescent="0.15">
      <c r="A430" s="10"/>
      <c r="B430" s="13"/>
      <c r="C430" s="13"/>
    </row>
    <row r="431" spans="1:3" ht="13" x14ac:dyDescent="0.15">
      <c r="A431" s="10"/>
      <c r="B431" s="13"/>
      <c r="C431" s="13"/>
    </row>
    <row r="432" spans="1:3" ht="13" x14ac:dyDescent="0.15">
      <c r="A432" s="10"/>
      <c r="B432" s="13"/>
      <c r="C432" s="13"/>
    </row>
    <row r="433" spans="1:3" ht="13" x14ac:dyDescent="0.15">
      <c r="A433" s="10"/>
      <c r="B433" s="13"/>
      <c r="C433" s="13"/>
    </row>
    <row r="434" spans="1:3" ht="13" x14ac:dyDescent="0.15">
      <c r="A434" s="10"/>
      <c r="B434" s="13"/>
      <c r="C434" s="13"/>
    </row>
    <row r="435" spans="1:3" ht="13" x14ac:dyDescent="0.15">
      <c r="A435" s="10"/>
      <c r="B435" s="13"/>
      <c r="C435" s="13"/>
    </row>
    <row r="436" spans="1:3" ht="13" x14ac:dyDescent="0.15">
      <c r="A436" s="10"/>
      <c r="B436" s="13"/>
      <c r="C436" s="13"/>
    </row>
    <row r="437" spans="1:3" ht="13" x14ac:dyDescent="0.15">
      <c r="A437" s="10"/>
      <c r="B437" s="13"/>
      <c r="C437" s="13"/>
    </row>
    <row r="438" spans="1:3" ht="13" x14ac:dyDescent="0.15">
      <c r="A438" s="10"/>
      <c r="B438" s="13"/>
      <c r="C438" s="13"/>
    </row>
    <row r="439" spans="1:3" ht="13" x14ac:dyDescent="0.15">
      <c r="A439" s="10"/>
      <c r="B439" s="13"/>
      <c r="C439" s="13"/>
    </row>
    <row r="440" spans="1:3" ht="13" x14ac:dyDescent="0.15">
      <c r="A440" s="10"/>
      <c r="B440" s="13"/>
      <c r="C440" s="13"/>
    </row>
    <row r="441" spans="1:3" ht="13" x14ac:dyDescent="0.15">
      <c r="A441" s="10"/>
      <c r="B441" s="13"/>
      <c r="C441" s="13"/>
    </row>
    <row r="442" spans="1:3" ht="13" x14ac:dyDescent="0.15">
      <c r="A442" s="10"/>
      <c r="B442" s="13"/>
      <c r="C442" s="13"/>
    </row>
    <row r="443" spans="1:3" ht="13" x14ac:dyDescent="0.15">
      <c r="A443" s="10"/>
      <c r="B443" s="13"/>
      <c r="C443" s="13"/>
    </row>
    <row r="444" spans="1:3" ht="13" x14ac:dyDescent="0.15">
      <c r="A444" s="10"/>
      <c r="B444" s="13"/>
      <c r="C444" s="13"/>
    </row>
    <row r="445" spans="1:3" ht="13" x14ac:dyDescent="0.15">
      <c r="A445" s="10"/>
      <c r="B445" s="13"/>
      <c r="C445" s="13"/>
    </row>
    <row r="446" spans="1:3" ht="13" x14ac:dyDescent="0.15">
      <c r="A446" s="10"/>
      <c r="B446" s="13"/>
      <c r="C446" s="13"/>
    </row>
    <row r="447" spans="1:3" ht="13" x14ac:dyDescent="0.15">
      <c r="A447" s="10"/>
      <c r="B447" s="13"/>
      <c r="C447" s="13"/>
    </row>
    <row r="448" spans="1:3" ht="13" x14ac:dyDescent="0.15">
      <c r="A448" s="10"/>
      <c r="B448" s="13"/>
      <c r="C448" s="13"/>
    </row>
    <row r="449" spans="1:3" ht="13" x14ac:dyDescent="0.15">
      <c r="A449" s="10"/>
      <c r="B449" s="13"/>
      <c r="C449" s="13"/>
    </row>
    <row r="450" spans="1:3" ht="13" x14ac:dyDescent="0.15">
      <c r="A450" s="10"/>
      <c r="B450" s="13"/>
      <c r="C450" s="13"/>
    </row>
    <row r="451" spans="1:3" ht="13" x14ac:dyDescent="0.15">
      <c r="A451" s="10"/>
      <c r="B451" s="13"/>
      <c r="C451" s="13"/>
    </row>
    <row r="452" spans="1:3" ht="13" x14ac:dyDescent="0.15">
      <c r="A452" s="10"/>
      <c r="B452" s="13"/>
      <c r="C452" s="13"/>
    </row>
    <row r="453" spans="1:3" ht="13" x14ac:dyDescent="0.15">
      <c r="A453" s="10"/>
      <c r="B453" s="13"/>
      <c r="C453" s="13"/>
    </row>
    <row r="454" spans="1:3" ht="13" x14ac:dyDescent="0.15">
      <c r="A454" s="10"/>
      <c r="B454" s="13"/>
      <c r="C454" s="13"/>
    </row>
    <row r="455" spans="1:3" ht="13" x14ac:dyDescent="0.15">
      <c r="A455" s="10"/>
      <c r="B455" s="13"/>
      <c r="C455" s="13"/>
    </row>
    <row r="456" spans="1:3" ht="13" x14ac:dyDescent="0.15">
      <c r="A456" s="10"/>
      <c r="B456" s="13"/>
      <c r="C456" s="13"/>
    </row>
    <row r="457" spans="1:3" ht="13" x14ac:dyDescent="0.15">
      <c r="A457" s="10"/>
      <c r="B457" s="13"/>
      <c r="C457" s="13"/>
    </row>
    <row r="458" spans="1:3" ht="13" x14ac:dyDescent="0.15">
      <c r="A458" s="10"/>
      <c r="B458" s="13"/>
      <c r="C458" s="13"/>
    </row>
    <row r="459" spans="1:3" ht="13" x14ac:dyDescent="0.15">
      <c r="A459" s="10"/>
      <c r="B459" s="13"/>
      <c r="C459" s="13"/>
    </row>
    <row r="460" spans="1:3" ht="13" x14ac:dyDescent="0.15">
      <c r="A460" s="10"/>
      <c r="B460" s="13"/>
      <c r="C460" s="13"/>
    </row>
    <row r="461" spans="1:3" ht="13" x14ac:dyDescent="0.15">
      <c r="A461" s="10"/>
      <c r="B461" s="13"/>
      <c r="C461" s="13"/>
    </row>
    <row r="462" spans="1:3" ht="13" x14ac:dyDescent="0.15">
      <c r="A462" s="10"/>
      <c r="B462" s="13"/>
      <c r="C462" s="13"/>
    </row>
    <row r="463" spans="1:3" ht="13" x14ac:dyDescent="0.15">
      <c r="A463" s="10"/>
      <c r="B463" s="13"/>
      <c r="C463" s="13"/>
    </row>
    <row r="464" spans="1:3" ht="13" x14ac:dyDescent="0.15">
      <c r="A464" s="10"/>
      <c r="B464" s="13"/>
      <c r="C464" s="13"/>
    </row>
    <row r="465" spans="1:3" ht="13" x14ac:dyDescent="0.15">
      <c r="A465" s="10"/>
      <c r="B465" s="13"/>
      <c r="C465" s="13"/>
    </row>
    <row r="466" spans="1:3" ht="13" x14ac:dyDescent="0.15">
      <c r="A466" s="10"/>
      <c r="B466" s="13"/>
      <c r="C466" s="13"/>
    </row>
    <row r="467" spans="1:3" ht="13" x14ac:dyDescent="0.15">
      <c r="A467" s="10"/>
      <c r="B467" s="13"/>
      <c r="C467" s="13"/>
    </row>
    <row r="468" spans="1:3" ht="13" x14ac:dyDescent="0.15">
      <c r="A468" s="10"/>
      <c r="B468" s="13"/>
      <c r="C468" s="13"/>
    </row>
    <row r="469" spans="1:3" ht="13" x14ac:dyDescent="0.15">
      <c r="A469" s="10"/>
      <c r="B469" s="13"/>
      <c r="C469" s="13"/>
    </row>
    <row r="470" spans="1:3" ht="13" x14ac:dyDescent="0.15">
      <c r="A470" s="10"/>
      <c r="B470" s="13"/>
      <c r="C470" s="13"/>
    </row>
    <row r="471" spans="1:3" ht="13" x14ac:dyDescent="0.15">
      <c r="A471" s="10"/>
      <c r="B471" s="13"/>
      <c r="C471" s="13"/>
    </row>
    <row r="472" spans="1:3" ht="13" x14ac:dyDescent="0.15">
      <c r="A472" s="10"/>
      <c r="B472" s="13"/>
      <c r="C472" s="13"/>
    </row>
    <row r="473" spans="1:3" ht="13" x14ac:dyDescent="0.15">
      <c r="A473" s="10"/>
      <c r="B473" s="13"/>
      <c r="C473" s="13"/>
    </row>
    <row r="474" spans="1:3" ht="13" x14ac:dyDescent="0.15">
      <c r="A474" s="10"/>
      <c r="B474" s="13"/>
      <c r="C474" s="13"/>
    </row>
    <row r="475" spans="1:3" ht="13" x14ac:dyDescent="0.15">
      <c r="A475" s="10"/>
      <c r="B475" s="13"/>
      <c r="C475" s="13"/>
    </row>
    <row r="476" spans="1:3" ht="13" x14ac:dyDescent="0.15">
      <c r="A476" s="10"/>
      <c r="B476" s="13"/>
      <c r="C476" s="13"/>
    </row>
    <row r="477" spans="1:3" ht="13" x14ac:dyDescent="0.15">
      <c r="A477" s="10"/>
      <c r="B477" s="13"/>
      <c r="C477" s="13"/>
    </row>
    <row r="478" spans="1:3" ht="13" x14ac:dyDescent="0.15">
      <c r="A478" s="10"/>
      <c r="B478" s="13"/>
      <c r="C478" s="13"/>
    </row>
    <row r="479" spans="1:3" ht="13" x14ac:dyDescent="0.15">
      <c r="A479" s="10"/>
      <c r="B479" s="13"/>
      <c r="C479" s="13"/>
    </row>
    <row r="480" spans="1:3" ht="13" x14ac:dyDescent="0.15">
      <c r="A480" s="10"/>
      <c r="B480" s="13"/>
      <c r="C480" s="13"/>
    </row>
    <row r="481" spans="1:3" ht="13" x14ac:dyDescent="0.15">
      <c r="A481" s="10"/>
      <c r="B481" s="13"/>
      <c r="C481" s="13"/>
    </row>
    <row r="482" spans="1:3" ht="13" x14ac:dyDescent="0.15">
      <c r="A482" s="10"/>
      <c r="B482" s="13"/>
      <c r="C482" s="13"/>
    </row>
    <row r="483" spans="1:3" ht="13" x14ac:dyDescent="0.15">
      <c r="A483" s="10"/>
      <c r="B483" s="13"/>
      <c r="C483" s="13"/>
    </row>
    <row r="484" spans="1:3" ht="13" x14ac:dyDescent="0.15">
      <c r="A484" s="10"/>
      <c r="B484" s="13"/>
      <c r="C484" s="13"/>
    </row>
    <row r="485" spans="1:3" ht="13" x14ac:dyDescent="0.15">
      <c r="A485" s="10"/>
      <c r="B485" s="13"/>
      <c r="C485" s="13"/>
    </row>
    <row r="486" spans="1:3" ht="13" x14ac:dyDescent="0.15">
      <c r="A486" s="10"/>
      <c r="B486" s="13"/>
      <c r="C486" s="13"/>
    </row>
    <row r="487" spans="1:3" ht="13" x14ac:dyDescent="0.15">
      <c r="A487" s="10"/>
      <c r="B487" s="13"/>
      <c r="C487" s="13"/>
    </row>
    <row r="488" spans="1:3" ht="13" x14ac:dyDescent="0.15">
      <c r="A488" s="10"/>
      <c r="B488" s="13"/>
      <c r="C488" s="13"/>
    </row>
    <row r="489" spans="1:3" ht="13" x14ac:dyDescent="0.15">
      <c r="A489" s="10"/>
      <c r="B489" s="13"/>
      <c r="C489" s="13"/>
    </row>
    <row r="490" spans="1:3" ht="13" x14ac:dyDescent="0.15">
      <c r="A490" s="10"/>
      <c r="B490" s="13"/>
      <c r="C490" s="13"/>
    </row>
    <row r="491" spans="1:3" ht="13" x14ac:dyDescent="0.15">
      <c r="A491" s="10"/>
      <c r="B491" s="13"/>
      <c r="C491" s="13"/>
    </row>
    <row r="492" spans="1:3" ht="13" x14ac:dyDescent="0.15">
      <c r="A492" s="10"/>
      <c r="B492" s="13"/>
      <c r="C492" s="13"/>
    </row>
    <row r="493" spans="1:3" ht="13" x14ac:dyDescent="0.15">
      <c r="A493" s="10"/>
      <c r="B493" s="13"/>
      <c r="C493" s="13"/>
    </row>
    <row r="494" spans="1:3" ht="13" x14ac:dyDescent="0.15">
      <c r="A494" s="10"/>
      <c r="B494" s="13"/>
      <c r="C494" s="13"/>
    </row>
    <row r="495" spans="1:3" ht="13" x14ac:dyDescent="0.15">
      <c r="A495" s="10"/>
      <c r="B495" s="13"/>
      <c r="C495" s="13"/>
    </row>
    <row r="496" spans="1:3" ht="13" x14ac:dyDescent="0.15">
      <c r="A496" s="10"/>
      <c r="B496" s="13"/>
      <c r="C496" s="13"/>
    </row>
    <row r="497" spans="1:3" ht="13" x14ac:dyDescent="0.15">
      <c r="A497" s="10"/>
      <c r="B497" s="13"/>
      <c r="C497" s="13"/>
    </row>
    <row r="498" spans="1:3" ht="13" x14ac:dyDescent="0.15">
      <c r="A498" s="10"/>
      <c r="B498" s="13"/>
      <c r="C498" s="13"/>
    </row>
    <row r="499" spans="1:3" ht="13" x14ac:dyDescent="0.15">
      <c r="A499" s="10"/>
      <c r="B499" s="13"/>
      <c r="C499" s="13"/>
    </row>
    <row r="500" spans="1:3" ht="13" x14ac:dyDescent="0.15">
      <c r="A500" s="10"/>
      <c r="B500" s="13"/>
      <c r="C500" s="13"/>
    </row>
    <row r="501" spans="1:3" ht="13" x14ac:dyDescent="0.15">
      <c r="A501" s="10"/>
      <c r="B501" s="13"/>
      <c r="C501" s="13"/>
    </row>
    <row r="502" spans="1:3" ht="13" x14ac:dyDescent="0.15">
      <c r="A502" s="10"/>
      <c r="B502" s="13"/>
      <c r="C502" s="13"/>
    </row>
    <row r="503" spans="1:3" ht="13" x14ac:dyDescent="0.15">
      <c r="A503" s="10"/>
      <c r="B503" s="13"/>
      <c r="C503" s="13"/>
    </row>
    <row r="504" spans="1:3" ht="13" x14ac:dyDescent="0.15">
      <c r="A504" s="10"/>
      <c r="B504" s="13"/>
      <c r="C504" s="13"/>
    </row>
    <row r="505" spans="1:3" ht="13" x14ac:dyDescent="0.15">
      <c r="A505" s="10"/>
      <c r="B505" s="13"/>
      <c r="C505" s="13"/>
    </row>
    <row r="506" spans="1:3" ht="13" x14ac:dyDescent="0.15">
      <c r="A506" s="10"/>
      <c r="B506" s="13"/>
      <c r="C506" s="13"/>
    </row>
    <row r="507" spans="1:3" ht="13" x14ac:dyDescent="0.15">
      <c r="A507" s="10"/>
      <c r="B507" s="13"/>
      <c r="C507" s="13"/>
    </row>
    <row r="508" spans="1:3" ht="13" x14ac:dyDescent="0.15">
      <c r="A508" s="10"/>
      <c r="B508" s="13"/>
      <c r="C508" s="13"/>
    </row>
    <row r="509" spans="1:3" ht="13" x14ac:dyDescent="0.15">
      <c r="A509" s="10"/>
      <c r="B509" s="13"/>
      <c r="C509" s="13"/>
    </row>
    <row r="510" spans="1:3" ht="13" x14ac:dyDescent="0.15">
      <c r="A510" s="10"/>
      <c r="B510" s="13"/>
      <c r="C510" s="13"/>
    </row>
    <row r="511" spans="1:3" ht="13" x14ac:dyDescent="0.15">
      <c r="A511" s="10"/>
      <c r="B511" s="13"/>
      <c r="C511" s="13"/>
    </row>
    <row r="512" spans="1:3" ht="13" x14ac:dyDescent="0.15">
      <c r="A512" s="10"/>
      <c r="B512" s="13"/>
      <c r="C512" s="13"/>
    </row>
    <row r="513" spans="1:3" ht="13" x14ac:dyDescent="0.15">
      <c r="A513" s="10"/>
      <c r="B513" s="13"/>
      <c r="C513" s="13"/>
    </row>
    <row r="514" spans="1:3" ht="13" x14ac:dyDescent="0.15">
      <c r="A514" s="10"/>
      <c r="B514" s="13"/>
      <c r="C514" s="13"/>
    </row>
    <row r="515" spans="1:3" ht="13" x14ac:dyDescent="0.15">
      <c r="A515" s="10"/>
      <c r="B515" s="13"/>
      <c r="C515" s="13"/>
    </row>
    <row r="516" spans="1:3" ht="13" x14ac:dyDescent="0.15">
      <c r="A516" s="10"/>
      <c r="B516" s="13"/>
      <c r="C516" s="13"/>
    </row>
    <row r="517" spans="1:3" ht="13" x14ac:dyDescent="0.15">
      <c r="A517" s="10"/>
      <c r="B517" s="13"/>
      <c r="C517" s="13"/>
    </row>
    <row r="518" spans="1:3" ht="13" x14ac:dyDescent="0.15">
      <c r="A518" s="10"/>
      <c r="B518" s="13"/>
      <c r="C518" s="13"/>
    </row>
    <row r="519" spans="1:3" ht="13" x14ac:dyDescent="0.15">
      <c r="A519" s="10"/>
      <c r="B519" s="13"/>
      <c r="C519" s="13"/>
    </row>
    <row r="520" spans="1:3" ht="13" x14ac:dyDescent="0.15">
      <c r="A520" s="10"/>
      <c r="B520" s="13"/>
      <c r="C520" s="13"/>
    </row>
    <row r="521" spans="1:3" ht="13" x14ac:dyDescent="0.15">
      <c r="A521" s="10"/>
      <c r="B521" s="13"/>
      <c r="C521" s="13"/>
    </row>
    <row r="522" spans="1:3" ht="13" x14ac:dyDescent="0.15">
      <c r="A522" s="10"/>
      <c r="B522" s="13"/>
      <c r="C522" s="13"/>
    </row>
    <row r="523" spans="1:3" ht="13" x14ac:dyDescent="0.15">
      <c r="A523" s="10"/>
      <c r="B523" s="13"/>
      <c r="C523" s="13"/>
    </row>
    <row r="524" spans="1:3" ht="13" x14ac:dyDescent="0.15">
      <c r="A524" s="10"/>
      <c r="B524" s="13"/>
      <c r="C524" s="13"/>
    </row>
    <row r="525" spans="1:3" ht="13" x14ac:dyDescent="0.15">
      <c r="A525" s="10"/>
      <c r="B525" s="13"/>
      <c r="C525" s="13"/>
    </row>
    <row r="526" spans="1:3" ht="13" x14ac:dyDescent="0.15">
      <c r="A526" s="10"/>
      <c r="B526" s="13"/>
      <c r="C526" s="13"/>
    </row>
    <row r="527" spans="1:3" ht="13" x14ac:dyDescent="0.15">
      <c r="A527" s="10"/>
      <c r="B527" s="13"/>
      <c r="C527" s="13"/>
    </row>
    <row r="528" spans="1:3" ht="13" x14ac:dyDescent="0.15">
      <c r="A528" s="10"/>
      <c r="B528" s="13"/>
      <c r="C528" s="13"/>
    </row>
    <row r="529" spans="1:3" ht="13" x14ac:dyDescent="0.15">
      <c r="A529" s="10"/>
      <c r="B529" s="13"/>
      <c r="C529" s="13"/>
    </row>
    <row r="530" spans="1:3" ht="13" x14ac:dyDescent="0.15">
      <c r="A530" s="10"/>
      <c r="B530" s="13"/>
      <c r="C530" s="13"/>
    </row>
    <row r="531" spans="1:3" ht="13" x14ac:dyDescent="0.15">
      <c r="A531" s="10"/>
      <c r="B531" s="13"/>
      <c r="C531" s="13"/>
    </row>
    <row r="532" spans="1:3" ht="13" x14ac:dyDescent="0.15">
      <c r="A532" s="10"/>
      <c r="B532" s="13"/>
      <c r="C532" s="13"/>
    </row>
    <row r="533" spans="1:3" ht="13" x14ac:dyDescent="0.15">
      <c r="A533" s="10"/>
      <c r="B533" s="13"/>
      <c r="C533" s="13"/>
    </row>
    <row r="534" spans="1:3" ht="13" x14ac:dyDescent="0.15">
      <c r="A534" s="10"/>
      <c r="B534" s="13"/>
      <c r="C534" s="13"/>
    </row>
    <row r="535" spans="1:3" ht="13" x14ac:dyDescent="0.15">
      <c r="A535" s="10"/>
      <c r="B535" s="13"/>
      <c r="C535" s="13"/>
    </row>
    <row r="536" spans="1:3" ht="13" x14ac:dyDescent="0.15">
      <c r="A536" s="10"/>
      <c r="B536" s="13"/>
      <c r="C536" s="13"/>
    </row>
    <row r="537" spans="1:3" ht="13" x14ac:dyDescent="0.15">
      <c r="A537" s="10"/>
      <c r="B537" s="13"/>
      <c r="C537" s="13"/>
    </row>
    <row r="538" spans="1:3" ht="13" x14ac:dyDescent="0.15">
      <c r="A538" s="10"/>
      <c r="B538" s="13"/>
      <c r="C538" s="13"/>
    </row>
    <row r="539" spans="1:3" ht="13" x14ac:dyDescent="0.15">
      <c r="A539" s="10"/>
      <c r="B539" s="13"/>
      <c r="C539" s="13"/>
    </row>
    <row r="540" spans="1:3" ht="13" x14ac:dyDescent="0.15">
      <c r="A540" s="10"/>
      <c r="B540" s="13"/>
      <c r="C540" s="13"/>
    </row>
    <row r="541" spans="1:3" ht="13" x14ac:dyDescent="0.15">
      <c r="A541" s="10"/>
      <c r="B541" s="13"/>
      <c r="C541" s="13"/>
    </row>
    <row r="542" spans="1:3" ht="13" x14ac:dyDescent="0.15">
      <c r="A542" s="10"/>
      <c r="B542" s="13"/>
      <c r="C542" s="13"/>
    </row>
    <row r="543" spans="1:3" ht="13" x14ac:dyDescent="0.15">
      <c r="A543" s="10"/>
      <c r="B543" s="13"/>
      <c r="C543" s="13"/>
    </row>
    <row r="544" spans="1:3" ht="13" x14ac:dyDescent="0.15">
      <c r="A544" s="10"/>
      <c r="B544" s="13"/>
      <c r="C544" s="13"/>
    </row>
    <row r="545" spans="1:3" ht="13" x14ac:dyDescent="0.15">
      <c r="A545" s="10"/>
      <c r="B545" s="13"/>
      <c r="C545" s="13"/>
    </row>
    <row r="546" spans="1:3" ht="13" x14ac:dyDescent="0.15">
      <c r="A546" s="10"/>
      <c r="B546" s="13"/>
      <c r="C546" s="13"/>
    </row>
    <row r="547" spans="1:3" ht="13" x14ac:dyDescent="0.15">
      <c r="A547" s="10"/>
      <c r="B547" s="13"/>
      <c r="C547" s="13"/>
    </row>
    <row r="548" spans="1:3" ht="13" x14ac:dyDescent="0.15">
      <c r="A548" s="10"/>
      <c r="B548" s="13"/>
      <c r="C548" s="13"/>
    </row>
    <row r="549" spans="1:3" ht="13" x14ac:dyDescent="0.15">
      <c r="A549" s="10"/>
      <c r="B549" s="13"/>
      <c r="C549" s="13"/>
    </row>
    <row r="550" spans="1:3" ht="13" x14ac:dyDescent="0.15">
      <c r="A550" s="10"/>
      <c r="B550" s="13"/>
      <c r="C550" s="13"/>
    </row>
    <row r="551" spans="1:3" ht="13" x14ac:dyDescent="0.15">
      <c r="A551" s="10"/>
      <c r="B551" s="13"/>
      <c r="C551" s="13"/>
    </row>
    <row r="552" spans="1:3" ht="13" x14ac:dyDescent="0.15">
      <c r="A552" s="10"/>
      <c r="B552" s="13"/>
      <c r="C552" s="13"/>
    </row>
    <row r="553" spans="1:3" ht="13" x14ac:dyDescent="0.15">
      <c r="A553" s="10"/>
      <c r="B553" s="13"/>
      <c r="C553" s="13"/>
    </row>
    <row r="554" spans="1:3" ht="13" x14ac:dyDescent="0.15">
      <c r="A554" s="10"/>
      <c r="B554" s="13"/>
      <c r="C554" s="13"/>
    </row>
    <row r="555" spans="1:3" ht="13" x14ac:dyDescent="0.15">
      <c r="A555" s="10"/>
      <c r="B555" s="13"/>
      <c r="C555" s="13"/>
    </row>
    <row r="556" spans="1:3" ht="13" x14ac:dyDescent="0.15">
      <c r="A556" s="10"/>
      <c r="B556" s="13"/>
      <c r="C556" s="13"/>
    </row>
    <row r="557" spans="1:3" ht="13" x14ac:dyDescent="0.15">
      <c r="A557" s="10"/>
      <c r="B557" s="13"/>
      <c r="C557" s="13"/>
    </row>
    <row r="558" spans="1:3" ht="13" x14ac:dyDescent="0.15">
      <c r="A558" s="10"/>
      <c r="B558" s="13"/>
      <c r="C558" s="13"/>
    </row>
    <row r="559" spans="1:3" ht="13" x14ac:dyDescent="0.15">
      <c r="A559" s="10"/>
      <c r="B559" s="13"/>
      <c r="C559" s="13"/>
    </row>
    <row r="560" spans="1:3" ht="13" x14ac:dyDescent="0.15">
      <c r="A560" s="10"/>
      <c r="B560" s="13"/>
      <c r="C560" s="13"/>
    </row>
    <row r="561" spans="1:3" ht="13" x14ac:dyDescent="0.15">
      <c r="A561" s="10"/>
      <c r="B561" s="13"/>
      <c r="C561" s="13"/>
    </row>
    <row r="562" spans="1:3" ht="13" x14ac:dyDescent="0.15">
      <c r="A562" s="10"/>
      <c r="B562" s="13"/>
      <c r="C562" s="13"/>
    </row>
    <row r="563" spans="1:3" ht="13" x14ac:dyDescent="0.15">
      <c r="A563" s="10"/>
      <c r="B563" s="13"/>
      <c r="C563" s="13"/>
    </row>
    <row r="564" spans="1:3" ht="13" x14ac:dyDescent="0.15">
      <c r="A564" s="10"/>
      <c r="B564" s="13"/>
      <c r="C564" s="13"/>
    </row>
    <row r="565" spans="1:3" ht="13" x14ac:dyDescent="0.15">
      <c r="A565" s="10"/>
      <c r="B565" s="13"/>
      <c r="C565" s="13"/>
    </row>
    <row r="566" spans="1:3" ht="13" x14ac:dyDescent="0.15">
      <c r="A566" s="10"/>
      <c r="B566" s="13"/>
      <c r="C566" s="13"/>
    </row>
    <row r="567" spans="1:3" ht="13" x14ac:dyDescent="0.15">
      <c r="A567" s="10"/>
      <c r="B567" s="13"/>
      <c r="C567" s="13"/>
    </row>
    <row r="568" spans="1:3" ht="13" x14ac:dyDescent="0.15">
      <c r="A568" s="10"/>
      <c r="B568" s="13"/>
      <c r="C568" s="13"/>
    </row>
    <row r="569" spans="1:3" ht="13" x14ac:dyDescent="0.15">
      <c r="A569" s="10"/>
      <c r="B569" s="13"/>
      <c r="C569" s="13"/>
    </row>
    <row r="570" spans="1:3" ht="13" x14ac:dyDescent="0.15">
      <c r="A570" s="10"/>
      <c r="B570" s="13"/>
      <c r="C570" s="13"/>
    </row>
    <row r="571" spans="1:3" ht="13" x14ac:dyDescent="0.15">
      <c r="A571" s="10"/>
      <c r="B571" s="13"/>
      <c r="C571" s="13"/>
    </row>
    <row r="572" spans="1:3" ht="13" x14ac:dyDescent="0.15">
      <c r="A572" s="10"/>
      <c r="B572" s="13"/>
      <c r="C572" s="13"/>
    </row>
    <row r="573" spans="1:3" ht="13" x14ac:dyDescent="0.15">
      <c r="A573" s="10"/>
      <c r="B573" s="13"/>
      <c r="C573" s="13"/>
    </row>
    <row r="574" spans="1:3" ht="13" x14ac:dyDescent="0.15">
      <c r="A574" s="10"/>
      <c r="B574" s="13"/>
      <c r="C574" s="13"/>
    </row>
    <row r="575" spans="1:3" ht="13" x14ac:dyDescent="0.15">
      <c r="A575" s="10"/>
      <c r="B575" s="13"/>
      <c r="C575" s="13"/>
    </row>
    <row r="576" spans="1:3" ht="13" x14ac:dyDescent="0.15">
      <c r="A576" s="10"/>
      <c r="B576" s="13"/>
      <c r="C576" s="13"/>
    </row>
    <row r="577" spans="1:3" ht="13" x14ac:dyDescent="0.15">
      <c r="A577" s="10"/>
      <c r="B577" s="13"/>
      <c r="C577" s="13"/>
    </row>
    <row r="578" spans="1:3" ht="13" x14ac:dyDescent="0.15">
      <c r="A578" s="10"/>
      <c r="B578" s="13"/>
      <c r="C578" s="13"/>
    </row>
    <row r="579" spans="1:3" ht="13" x14ac:dyDescent="0.15">
      <c r="A579" s="10"/>
      <c r="B579" s="13"/>
      <c r="C579" s="13"/>
    </row>
    <row r="580" spans="1:3" ht="13" x14ac:dyDescent="0.15">
      <c r="A580" s="10"/>
      <c r="B580" s="13"/>
      <c r="C580" s="13"/>
    </row>
    <row r="581" spans="1:3" ht="13" x14ac:dyDescent="0.15">
      <c r="A581" s="10"/>
      <c r="B581" s="13"/>
      <c r="C581" s="13"/>
    </row>
    <row r="582" spans="1:3" ht="13" x14ac:dyDescent="0.15">
      <c r="A582" s="10"/>
      <c r="B582" s="13"/>
      <c r="C582" s="13"/>
    </row>
    <row r="583" spans="1:3" ht="13" x14ac:dyDescent="0.15">
      <c r="A583" s="10"/>
      <c r="B583" s="13"/>
      <c r="C583" s="13"/>
    </row>
    <row r="584" spans="1:3" ht="13" x14ac:dyDescent="0.15">
      <c r="A584" s="10"/>
      <c r="B584" s="13"/>
      <c r="C584" s="13"/>
    </row>
    <row r="585" spans="1:3" ht="13" x14ac:dyDescent="0.15">
      <c r="A585" s="10"/>
      <c r="B585" s="13"/>
      <c r="C585" s="13"/>
    </row>
    <row r="586" spans="1:3" ht="13" x14ac:dyDescent="0.15">
      <c r="A586" s="10"/>
      <c r="B586" s="13"/>
      <c r="C586" s="13"/>
    </row>
    <row r="587" spans="1:3" ht="13" x14ac:dyDescent="0.15">
      <c r="A587" s="10"/>
      <c r="B587" s="13"/>
      <c r="C587" s="13"/>
    </row>
    <row r="588" spans="1:3" ht="13" x14ac:dyDescent="0.15">
      <c r="A588" s="10"/>
      <c r="B588" s="13"/>
      <c r="C588" s="13"/>
    </row>
    <row r="589" spans="1:3" ht="13" x14ac:dyDescent="0.15">
      <c r="A589" s="10"/>
      <c r="B589" s="13"/>
      <c r="C589" s="13"/>
    </row>
    <row r="590" spans="1:3" ht="13" x14ac:dyDescent="0.15">
      <c r="A590" s="10"/>
      <c r="B590" s="13"/>
      <c r="C590" s="13"/>
    </row>
    <row r="591" spans="1:3" ht="13" x14ac:dyDescent="0.15">
      <c r="A591" s="10"/>
      <c r="B591" s="13"/>
      <c r="C591" s="13"/>
    </row>
    <row r="592" spans="1:3" ht="13" x14ac:dyDescent="0.15">
      <c r="A592" s="10"/>
      <c r="B592" s="13"/>
      <c r="C592" s="13"/>
    </row>
    <row r="593" spans="1:3" ht="13" x14ac:dyDescent="0.15">
      <c r="A593" s="10"/>
      <c r="B593" s="13"/>
      <c r="C593" s="13"/>
    </row>
    <row r="594" spans="1:3" ht="13" x14ac:dyDescent="0.15">
      <c r="A594" s="10"/>
      <c r="B594" s="13"/>
      <c r="C594" s="13"/>
    </row>
    <row r="595" spans="1:3" ht="13" x14ac:dyDescent="0.15">
      <c r="A595" s="10"/>
      <c r="B595" s="13"/>
      <c r="C595" s="13"/>
    </row>
    <row r="596" spans="1:3" ht="13" x14ac:dyDescent="0.15">
      <c r="A596" s="10"/>
      <c r="B596" s="13"/>
      <c r="C596" s="13"/>
    </row>
    <row r="597" spans="1:3" ht="13" x14ac:dyDescent="0.15">
      <c r="A597" s="10"/>
      <c r="B597" s="13"/>
      <c r="C597" s="13"/>
    </row>
    <row r="598" spans="1:3" ht="13" x14ac:dyDescent="0.15">
      <c r="A598" s="10"/>
      <c r="B598" s="13"/>
      <c r="C598" s="13"/>
    </row>
    <row r="599" spans="1:3" ht="13" x14ac:dyDescent="0.15">
      <c r="A599" s="10"/>
      <c r="B599" s="13"/>
      <c r="C599" s="13"/>
    </row>
    <row r="600" spans="1:3" ht="13" x14ac:dyDescent="0.15">
      <c r="A600" s="10"/>
      <c r="B600" s="13"/>
      <c r="C600" s="13"/>
    </row>
    <row r="601" spans="1:3" ht="13" x14ac:dyDescent="0.15">
      <c r="A601" s="10"/>
      <c r="B601" s="13"/>
      <c r="C601" s="13"/>
    </row>
    <row r="602" spans="1:3" ht="13" x14ac:dyDescent="0.15">
      <c r="A602" s="10"/>
      <c r="B602" s="13"/>
      <c r="C602" s="13"/>
    </row>
    <row r="603" spans="1:3" ht="13" x14ac:dyDescent="0.15">
      <c r="A603" s="10"/>
      <c r="B603" s="13"/>
      <c r="C603" s="13"/>
    </row>
    <row r="604" spans="1:3" ht="13" x14ac:dyDescent="0.15">
      <c r="A604" s="10"/>
      <c r="B604" s="13"/>
      <c r="C604" s="13"/>
    </row>
    <row r="605" spans="1:3" ht="13" x14ac:dyDescent="0.15">
      <c r="A605" s="10"/>
      <c r="B605" s="13"/>
      <c r="C605" s="13"/>
    </row>
    <row r="606" spans="1:3" ht="13" x14ac:dyDescent="0.15">
      <c r="A606" s="10"/>
      <c r="B606" s="13"/>
      <c r="C606" s="13"/>
    </row>
    <row r="607" spans="1:3" ht="13" x14ac:dyDescent="0.15">
      <c r="A607" s="10"/>
      <c r="B607" s="13"/>
      <c r="C607" s="13"/>
    </row>
    <row r="608" spans="1:3" ht="13" x14ac:dyDescent="0.15">
      <c r="A608" s="10"/>
      <c r="B608" s="13"/>
      <c r="C608" s="13"/>
    </row>
    <row r="609" spans="1:3" ht="13" x14ac:dyDescent="0.15">
      <c r="A609" s="10"/>
      <c r="B609" s="13"/>
      <c r="C609" s="13"/>
    </row>
    <row r="610" spans="1:3" ht="13" x14ac:dyDescent="0.15">
      <c r="A610" s="10"/>
      <c r="B610" s="13"/>
      <c r="C610" s="13"/>
    </row>
    <row r="611" spans="1:3" ht="13" x14ac:dyDescent="0.15">
      <c r="A611" s="10"/>
      <c r="B611" s="13"/>
      <c r="C611" s="13"/>
    </row>
    <row r="612" spans="1:3" ht="13" x14ac:dyDescent="0.15">
      <c r="A612" s="10"/>
      <c r="B612" s="13"/>
      <c r="C612" s="13"/>
    </row>
    <row r="613" spans="1:3" ht="13" x14ac:dyDescent="0.15">
      <c r="A613" s="10"/>
      <c r="B613" s="13"/>
      <c r="C613" s="13"/>
    </row>
    <row r="614" spans="1:3" ht="13" x14ac:dyDescent="0.15">
      <c r="A614" s="10"/>
      <c r="B614" s="13"/>
      <c r="C614" s="13"/>
    </row>
    <row r="615" spans="1:3" ht="13" x14ac:dyDescent="0.15">
      <c r="A615" s="10"/>
      <c r="B615" s="13"/>
      <c r="C615" s="13"/>
    </row>
    <row r="616" spans="1:3" ht="13" x14ac:dyDescent="0.15">
      <c r="A616" s="10"/>
      <c r="B616" s="13"/>
      <c r="C616" s="13"/>
    </row>
    <row r="617" spans="1:3" ht="13" x14ac:dyDescent="0.15">
      <c r="A617" s="10"/>
      <c r="B617" s="13"/>
      <c r="C617" s="13"/>
    </row>
    <row r="618" spans="1:3" ht="13" x14ac:dyDescent="0.15">
      <c r="A618" s="10"/>
      <c r="B618" s="13"/>
      <c r="C618" s="13"/>
    </row>
    <row r="619" spans="1:3" ht="13" x14ac:dyDescent="0.15">
      <c r="A619" s="10"/>
      <c r="B619" s="13"/>
      <c r="C619" s="13"/>
    </row>
    <row r="620" spans="1:3" ht="13" x14ac:dyDescent="0.15">
      <c r="A620" s="10"/>
      <c r="B620" s="13"/>
      <c r="C620" s="13"/>
    </row>
    <row r="621" spans="1:3" ht="13" x14ac:dyDescent="0.15">
      <c r="A621" s="10"/>
      <c r="B621" s="13"/>
      <c r="C621" s="13"/>
    </row>
    <row r="622" spans="1:3" ht="13" x14ac:dyDescent="0.15">
      <c r="A622" s="10"/>
      <c r="B622" s="13"/>
      <c r="C622" s="13"/>
    </row>
    <row r="623" spans="1:3" ht="13" x14ac:dyDescent="0.15">
      <c r="A623" s="10"/>
      <c r="B623" s="13"/>
      <c r="C623" s="13"/>
    </row>
    <row r="624" spans="1:3" ht="13" x14ac:dyDescent="0.15">
      <c r="A624" s="10"/>
      <c r="B624" s="13"/>
      <c r="C624" s="13"/>
    </row>
    <row r="625" spans="1:3" ht="13" x14ac:dyDescent="0.15">
      <c r="A625" s="10"/>
      <c r="B625" s="13"/>
      <c r="C625" s="13"/>
    </row>
    <row r="626" spans="1:3" ht="13" x14ac:dyDescent="0.15">
      <c r="A626" s="10"/>
      <c r="B626" s="13"/>
      <c r="C626" s="13"/>
    </row>
    <row r="627" spans="1:3" ht="13" x14ac:dyDescent="0.15">
      <c r="A627" s="10"/>
      <c r="B627" s="13"/>
      <c r="C627" s="13"/>
    </row>
    <row r="628" spans="1:3" ht="13" x14ac:dyDescent="0.15">
      <c r="A628" s="10"/>
      <c r="B628" s="13"/>
      <c r="C628" s="13"/>
    </row>
    <row r="629" spans="1:3" ht="13" x14ac:dyDescent="0.15">
      <c r="A629" s="10"/>
      <c r="B629" s="13"/>
      <c r="C629" s="13"/>
    </row>
    <row r="630" spans="1:3" ht="13" x14ac:dyDescent="0.15">
      <c r="A630" s="10"/>
      <c r="B630" s="13"/>
      <c r="C630" s="13"/>
    </row>
    <row r="631" spans="1:3" ht="13" x14ac:dyDescent="0.15">
      <c r="A631" s="10"/>
      <c r="B631" s="13"/>
      <c r="C631" s="13"/>
    </row>
    <row r="632" spans="1:3" ht="13" x14ac:dyDescent="0.15">
      <c r="A632" s="10"/>
      <c r="B632" s="13"/>
      <c r="C632" s="13"/>
    </row>
    <row r="633" spans="1:3" ht="13" x14ac:dyDescent="0.15">
      <c r="A633" s="10"/>
      <c r="B633" s="13"/>
      <c r="C633" s="13"/>
    </row>
    <row r="634" spans="1:3" ht="13" x14ac:dyDescent="0.15">
      <c r="A634" s="10"/>
      <c r="B634" s="13"/>
      <c r="C634" s="13"/>
    </row>
    <row r="635" spans="1:3" ht="13" x14ac:dyDescent="0.15">
      <c r="A635" s="10"/>
      <c r="B635" s="13"/>
      <c r="C635" s="13"/>
    </row>
    <row r="636" spans="1:3" ht="13" x14ac:dyDescent="0.15">
      <c r="A636" s="10"/>
      <c r="B636" s="13"/>
      <c r="C636" s="13"/>
    </row>
    <row r="637" spans="1:3" ht="13" x14ac:dyDescent="0.15">
      <c r="A637" s="10"/>
      <c r="B637" s="13"/>
      <c r="C637" s="13"/>
    </row>
    <row r="638" spans="1:3" ht="13" x14ac:dyDescent="0.15">
      <c r="A638" s="10"/>
      <c r="B638" s="13"/>
      <c r="C638" s="13"/>
    </row>
    <row r="639" spans="1:3" ht="13" x14ac:dyDescent="0.15">
      <c r="A639" s="10"/>
      <c r="B639" s="13"/>
      <c r="C639" s="13"/>
    </row>
    <row r="640" spans="1:3" ht="13" x14ac:dyDescent="0.15">
      <c r="A640" s="10"/>
      <c r="B640" s="13"/>
      <c r="C640" s="13"/>
    </row>
    <row r="641" spans="1:3" ht="13" x14ac:dyDescent="0.15">
      <c r="A641" s="10"/>
      <c r="B641" s="13"/>
      <c r="C641" s="13"/>
    </row>
    <row r="642" spans="1:3" ht="13" x14ac:dyDescent="0.15">
      <c r="A642" s="10"/>
      <c r="B642" s="13"/>
      <c r="C642" s="13"/>
    </row>
    <row r="643" spans="1:3" ht="13" x14ac:dyDescent="0.15">
      <c r="A643" s="10"/>
      <c r="B643" s="13"/>
      <c r="C643" s="13"/>
    </row>
    <row r="644" spans="1:3" ht="13" x14ac:dyDescent="0.15">
      <c r="A644" s="10"/>
      <c r="B644" s="13"/>
      <c r="C644" s="13"/>
    </row>
    <row r="645" spans="1:3" ht="13" x14ac:dyDescent="0.15">
      <c r="A645" s="10"/>
      <c r="B645" s="13"/>
      <c r="C645" s="13"/>
    </row>
    <row r="646" spans="1:3" ht="13" x14ac:dyDescent="0.15">
      <c r="A646" s="10"/>
      <c r="B646" s="13"/>
      <c r="C646" s="13"/>
    </row>
    <row r="647" spans="1:3" ht="13" x14ac:dyDescent="0.15">
      <c r="A647" s="10"/>
      <c r="B647" s="13"/>
      <c r="C647" s="13"/>
    </row>
    <row r="648" spans="1:3" ht="13" x14ac:dyDescent="0.15">
      <c r="A648" s="10"/>
      <c r="B648" s="13"/>
      <c r="C648" s="13"/>
    </row>
    <row r="649" spans="1:3" ht="13" x14ac:dyDescent="0.15">
      <c r="A649" s="10"/>
      <c r="B649" s="13"/>
      <c r="C649" s="13"/>
    </row>
    <row r="650" spans="1:3" ht="13" x14ac:dyDescent="0.15">
      <c r="A650" s="10"/>
      <c r="B650" s="13"/>
      <c r="C650" s="13"/>
    </row>
    <row r="651" spans="1:3" ht="13" x14ac:dyDescent="0.15">
      <c r="A651" s="10"/>
      <c r="B651" s="13"/>
      <c r="C651" s="13"/>
    </row>
    <row r="652" spans="1:3" ht="13" x14ac:dyDescent="0.15">
      <c r="A652" s="10"/>
      <c r="B652" s="13"/>
      <c r="C652" s="13"/>
    </row>
    <row r="653" spans="1:3" ht="13" x14ac:dyDescent="0.15">
      <c r="A653" s="10"/>
      <c r="B653" s="13"/>
      <c r="C653" s="13"/>
    </row>
    <row r="654" spans="1:3" ht="13" x14ac:dyDescent="0.15">
      <c r="A654" s="10"/>
      <c r="B654" s="13"/>
      <c r="C654" s="13"/>
    </row>
    <row r="655" spans="1:3" ht="13" x14ac:dyDescent="0.15">
      <c r="A655" s="10"/>
      <c r="B655" s="13"/>
      <c r="C655" s="13"/>
    </row>
    <row r="656" spans="1:3" ht="13" x14ac:dyDescent="0.15">
      <c r="A656" s="10"/>
      <c r="B656" s="13"/>
      <c r="C656" s="13"/>
    </row>
    <row r="657" spans="1:3" ht="13" x14ac:dyDescent="0.15">
      <c r="A657" s="10"/>
      <c r="B657" s="13"/>
      <c r="C657" s="13"/>
    </row>
    <row r="658" spans="1:3" ht="13" x14ac:dyDescent="0.15">
      <c r="A658" s="10"/>
      <c r="B658" s="13"/>
      <c r="C658" s="13"/>
    </row>
    <row r="659" spans="1:3" ht="13" x14ac:dyDescent="0.15">
      <c r="A659" s="10"/>
      <c r="B659" s="13"/>
      <c r="C659" s="13"/>
    </row>
    <row r="660" spans="1:3" ht="13" x14ac:dyDescent="0.15">
      <c r="A660" s="10"/>
      <c r="B660" s="13"/>
      <c r="C660" s="13"/>
    </row>
    <row r="661" spans="1:3" ht="13" x14ac:dyDescent="0.15">
      <c r="A661" s="10"/>
      <c r="B661" s="13"/>
      <c r="C661" s="13"/>
    </row>
    <row r="662" spans="1:3" ht="13" x14ac:dyDescent="0.15">
      <c r="A662" s="10"/>
      <c r="B662" s="13"/>
      <c r="C662" s="13"/>
    </row>
    <row r="663" spans="1:3" ht="13" x14ac:dyDescent="0.15">
      <c r="A663" s="10"/>
      <c r="B663" s="13"/>
      <c r="C663" s="13"/>
    </row>
    <row r="664" spans="1:3" ht="13" x14ac:dyDescent="0.15">
      <c r="A664" s="10"/>
      <c r="B664" s="13"/>
      <c r="C664" s="13"/>
    </row>
    <row r="665" spans="1:3" ht="13" x14ac:dyDescent="0.15">
      <c r="A665" s="10"/>
      <c r="B665" s="13"/>
      <c r="C665" s="13"/>
    </row>
    <row r="666" spans="1:3" ht="13" x14ac:dyDescent="0.15">
      <c r="A666" s="10"/>
      <c r="B666" s="13"/>
      <c r="C666" s="13"/>
    </row>
    <row r="667" spans="1:3" ht="13" x14ac:dyDescent="0.15">
      <c r="A667" s="10"/>
      <c r="B667" s="13"/>
      <c r="C667" s="13"/>
    </row>
    <row r="668" spans="1:3" ht="13" x14ac:dyDescent="0.15">
      <c r="A668" s="10"/>
      <c r="B668" s="13"/>
      <c r="C668" s="13"/>
    </row>
    <row r="669" spans="1:3" ht="13" x14ac:dyDescent="0.15">
      <c r="A669" s="10"/>
      <c r="B669" s="13"/>
      <c r="C669" s="13"/>
    </row>
    <row r="670" spans="1:3" ht="13" x14ac:dyDescent="0.15">
      <c r="A670" s="10"/>
      <c r="B670" s="13"/>
      <c r="C670" s="13"/>
    </row>
    <row r="671" spans="1:3" ht="13" x14ac:dyDescent="0.15">
      <c r="A671" s="10"/>
      <c r="B671" s="13"/>
      <c r="C671" s="13"/>
    </row>
    <row r="672" spans="1:3" ht="13" x14ac:dyDescent="0.15">
      <c r="A672" s="10"/>
      <c r="B672" s="13"/>
      <c r="C672" s="13"/>
    </row>
    <row r="673" spans="1:3" ht="13" x14ac:dyDescent="0.15">
      <c r="A673" s="10"/>
      <c r="B673" s="13"/>
      <c r="C673" s="13"/>
    </row>
    <row r="674" spans="1:3" ht="13" x14ac:dyDescent="0.15">
      <c r="A674" s="10"/>
      <c r="B674" s="13"/>
      <c r="C674" s="13"/>
    </row>
    <row r="675" spans="1:3" ht="13" x14ac:dyDescent="0.15">
      <c r="A675" s="10"/>
      <c r="B675" s="13"/>
      <c r="C675" s="13"/>
    </row>
    <row r="676" spans="1:3" ht="13" x14ac:dyDescent="0.15">
      <c r="A676" s="10"/>
      <c r="B676" s="13"/>
      <c r="C676" s="13"/>
    </row>
    <row r="677" spans="1:3" ht="13" x14ac:dyDescent="0.15">
      <c r="A677" s="10"/>
      <c r="B677" s="13"/>
      <c r="C677" s="13"/>
    </row>
    <row r="678" spans="1:3" ht="13" x14ac:dyDescent="0.15">
      <c r="A678" s="10"/>
      <c r="B678" s="13"/>
      <c r="C678" s="13"/>
    </row>
    <row r="679" spans="1:3" ht="13" x14ac:dyDescent="0.15">
      <c r="A679" s="10"/>
      <c r="B679" s="13"/>
      <c r="C679" s="13"/>
    </row>
    <row r="680" spans="1:3" ht="13" x14ac:dyDescent="0.15">
      <c r="A680" s="10"/>
      <c r="B680" s="13"/>
      <c r="C680" s="13"/>
    </row>
    <row r="681" spans="1:3" ht="13" x14ac:dyDescent="0.15">
      <c r="A681" s="10"/>
      <c r="B681" s="13"/>
      <c r="C681" s="13"/>
    </row>
    <row r="682" spans="1:3" ht="13" x14ac:dyDescent="0.15">
      <c r="A682" s="10"/>
      <c r="B682" s="13"/>
      <c r="C682" s="13"/>
    </row>
    <row r="683" spans="1:3" ht="13" x14ac:dyDescent="0.15">
      <c r="A683" s="10"/>
      <c r="B683" s="13"/>
      <c r="C683" s="13"/>
    </row>
    <row r="684" spans="1:3" ht="13" x14ac:dyDescent="0.15">
      <c r="A684" s="10"/>
      <c r="B684" s="13"/>
      <c r="C684" s="13"/>
    </row>
    <row r="685" spans="1:3" ht="13" x14ac:dyDescent="0.15">
      <c r="A685" s="10"/>
      <c r="B685" s="13"/>
      <c r="C685" s="13"/>
    </row>
    <row r="686" spans="1:3" ht="13" x14ac:dyDescent="0.15">
      <c r="A686" s="10"/>
      <c r="B686" s="13"/>
      <c r="C686" s="13"/>
    </row>
    <row r="687" spans="1:3" ht="13" x14ac:dyDescent="0.15">
      <c r="A687" s="10"/>
      <c r="B687" s="13"/>
      <c r="C687" s="13"/>
    </row>
    <row r="688" spans="1:3" ht="13" x14ac:dyDescent="0.15">
      <c r="A688" s="10"/>
      <c r="B688" s="13"/>
      <c r="C688" s="13"/>
    </row>
    <row r="689" spans="1:3" ht="13" x14ac:dyDescent="0.15">
      <c r="A689" s="10"/>
      <c r="B689" s="13"/>
      <c r="C689" s="13"/>
    </row>
    <row r="690" spans="1:3" ht="13" x14ac:dyDescent="0.15">
      <c r="A690" s="10"/>
      <c r="B690" s="13"/>
      <c r="C690" s="13"/>
    </row>
    <row r="691" spans="1:3" ht="13" x14ac:dyDescent="0.15">
      <c r="A691" s="10"/>
      <c r="B691" s="13"/>
      <c r="C691" s="13"/>
    </row>
    <row r="692" spans="1:3" ht="13" x14ac:dyDescent="0.15">
      <c r="A692" s="10"/>
      <c r="B692" s="13"/>
      <c r="C692" s="13"/>
    </row>
    <row r="693" spans="1:3" ht="13" x14ac:dyDescent="0.15">
      <c r="A693" s="10"/>
      <c r="B693" s="13"/>
      <c r="C693" s="13"/>
    </row>
    <row r="694" spans="1:3" ht="13" x14ac:dyDescent="0.15">
      <c r="A694" s="10"/>
      <c r="B694" s="13"/>
      <c r="C694" s="13"/>
    </row>
    <row r="695" spans="1:3" ht="13" x14ac:dyDescent="0.15">
      <c r="A695" s="10"/>
      <c r="B695" s="13"/>
      <c r="C695" s="13"/>
    </row>
    <row r="696" spans="1:3" ht="13" x14ac:dyDescent="0.15">
      <c r="A696" s="10"/>
      <c r="B696" s="13"/>
      <c r="C696" s="13"/>
    </row>
    <row r="697" spans="1:3" ht="13" x14ac:dyDescent="0.15">
      <c r="A697" s="10"/>
      <c r="B697" s="13"/>
      <c r="C697" s="13"/>
    </row>
    <row r="698" spans="1:3" ht="13" x14ac:dyDescent="0.15">
      <c r="A698" s="10"/>
      <c r="B698" s="13"/>
      <c r="C698" s="13"/>
    </row>
    <row r="699" spans="1:3" ht="13" x14ac:dyDescent="0.15">
      <c r="A699" s="10"/>
      <c r="B699" s="13"/>
      <c r="C699" s="13"/>
    </row>
    <row r="700" spans="1:3" ht="13" x14ac:dyDescent="0.15">
      <c r="A700" s="10"/>
      <c r="B700" s="13"/>
      <c r="C700" s="13"/>
    </row>
    <row r="701" spans="1:3" ht="13" x14ac:dyDescent="0.15">
      <c r="A701" s="10"/>
      <c r="B701" s="13"/>
      <c r="C701" s="13"/>
    </row>
    <row r="702" spans="1:3" ht="13" x14ac:dyDescent="0.15">
      <c r="A702" s="10"/>
      <c r="B702" s="13"/>
      <c r="C702" s="13"/>
    </row>
    <row r="703" spans="1:3" ht="13" x14ac:dyDescent="0.15">
      <c r="A703" s="10"/>
      <c r="B703" s="13"/>
      <c r="C703" s="13"/>
    </row>
    <row r="704" spans="1:3" ht="13" x14ac:dyDescent="0.15">
      <c r="A704" s="10"/>
      <c r="B704" s="13"/>
      <c r="C704" s="13"/>
    </row>
    <row r="705" spans="1:3" ht="13" x14ac:dyDescent="0.15">
      <c r="A705" s="10"/>
      <c r="B705" s="13"/>
      <c r="C705" s="13"/>
    </row>
    <row r="706" spans="1:3" ht="13" x14ac:dyDescent="0.15">
      <c r="A706" s="10"/>
      <c r="B706" s="13"/>
      <c r="C706" s="13"/>
    </row>
    <row r="707" spans="1:3" ht="13" x14ac:dyDescent="0.15">
      <c r="A707" s="10"/>
      <c r="B707" s="13"/>
      <c r="C707" s="13"/>
    </row>
    <row r="708" spans="1:3" ht="13" x14ac:dyDescent="0.15">
      <c r="A708" s="10"/>
      <c r="B708" s="13"/>
      <c r="C708" s="13"/>
    </row>
    <row r="709" spans="1:3" ht="13" x14ac:dyDescent="0.15">
      <c r="A709" s="10"/>
      <c r="B709" s="13"/>
      <c r="C709" s="13"/>
    </row>
    <row r="710" spans="1:3" ht="13" x14ac:dyDescent="0.15">
      <c r="A710" s="10"/>
      <c r="B710" s="13"/>
      <c r="C710" s="13"/>
    </row>
    <row r="711" spans="1:3" ht="13" x14ac:dyDescent="0.15">
      <c r="A711" s="10"/>
      <c r="B711" s="13"/>
      <c r="C711" s="13"/>
    </row>
    <row r="712" spans="1:3" ht="13" x14ac:dyDescent="0.15">
      <c r="A712" s="10"/>
      <c r="B712" s="13"/>
      <c r="C712" s="13"/>
    </row>
    <row r="713" spans="1:3" ht="13" x14ac:dyDescent="0.15">
      <c r="A713" s="10"/>
      <c r="B713" s="13"/>
      <c r="C713" s="13"/>
    </row>
    <row r="714" spans="1:3" ht="13" x14ac:dyDescent="0.15">
      <c r="A714" s="10"/>
      <c r="B714" s="13"/>
      <c r="C714" s="13"/>
    </row>
    <row r="715" spans="1:3" ht="13" x14ac:dyDescent="0.15">
      <c r="A715" s="10"/>
      <c r="B715" s="13"/>
      <c r="C715" s="13"/>
    </row>
    <row r="716" spans="1:3" ht="13" x14ac:dyDescent="0.15">
      <c r="A716" s="10"/>
      <c r="B716" s="13"/>
      <c r="C716" s="13"/>
    </row>
    <row r="717" spans="1:3" ht="13" x14ac:dyDescent="0.15">
      <c r="A717" s="10"/>
      <c r="B717" s="13"/>
      <c r="C717" s="13"/>
    </row>
    <row r="718" spans="1:3" ht="13" x14ac:dyDescent="0.15">
      <c r="A718" s="10"/>
      <c r="B718" s="13"/>
      <c r="C718" s="13"/>
    </row>
    <row r="719" spans="1:3" ht="13" x14ac:dyDescent="0.15">
      <c r="A719" s="10"/>
      <c r="B719" s="13"/>
      <c r="C719" s="13"/>
    </row>
    <row r="720" spans="1:3" ht="13" x14ac:dyDescent="0.15">
      <c r="A720" s="10"/>
      <c r="B720" s="13"/>
      <c r="C720" s="13"/>
    </row>
    <row r="721" spans="1:3" ht="13" x14ac:dyDescent="0.15">
      <c r="A721" s="10"/>
      <c r="B721" s="13"/>
      <c r="C721" s="13"/>
    </row>
    <row r="722" spans="1:3" ht="13" x14ac:dyDescent="0.15">
      <c r="A722" s="10"/>
      <c r="B722" s="13"/>
      <c r="C722" s="13"/>
    </row>
    <row r="723" spans="1:3" ht="13" x14ac:dyDescent="0.15">
      <c r="A723" s="10"/>
      <c r="B723" s="13"/>
      <c r="C723" s="13"/>
    </row>
    <row r="724" spans="1:3" ht="13" x14ac:dyDescent="0.15">
      <c r="A724" s="10"/>
      <c r="B724" s="13"/>
      <c r="C724" s="13"/>
    </row>
    <row r="725" spans="1:3" ht="13" x14ac:dyDescent="0.15">
      <c r="A725" s="10"/>
      <c r="B725" s="13"/>
      <c r="C725" s="13"/>
    </row>
    <row r="726" spans="1:3" ht="13" x14ac:dyDescent="0.15">
      <c r="A726" s="10"/>
      <c r="B726" s="13"/>
      <c r="C726" s="13"/>
    </row>
    <row r="727" spans="1:3" ht="13" x14ac:dyDescent="0.15">
      <c r="A727" s="10"/>
      <c r="B727" s="13"/>
      <c r="C727" s="13"/>
    </row>
    <row r="728" spans="1:3" ht="13" x14ac:dyDescent="0.15">
      <c r="A728" s="10"/>
      <c r="B728" s="13"/>
      <c r="C728" s="13"/>
    </row>
    <row r="729" spans="1:3" ht="13" x14ac:dyDescent="0.15">
      <c r="A729" s="10"/>
      <c r="B729" s="13"/>
      <c r="C729" s="13"/>
    </row>
    <row r="730" spans="1:3" ht="13" x14ac:dyDescent="0.15">
      <c r="A730" s="10"/>
      <c r="B730" s="13"/>
      <c r="C730" s="13"/>
    </row>
    <row r="731" spans="1:3" ht="13" x14ac:dyDescent="0.15">
      <c r="A731" s="10"/>
      <c r="B731" s="13"/>
      <c r="C731" s="13"/>
    </row>
    <row r="732" spans="1:3" ht="13" x14ac:dyDescent="0.15">
      <c r="A732" s="10"/>
      <c r="B732" s="13"/>
      <c r="C732" s="13"/>
    </row>
    <row r="733" spans="1:3" ht="13" x14ac:dyDescent="0.15">
      <c r="A733" s="10"/>
      <c r="B733" s="13"/>
      <c r="C733" s="13"/>
    </row>
    <row r="734" spans="1:3" ht="13" x14ac:dyDescent="0.15">
      <c r="A734" s="10"/>
      <c r="B734" s="13"/>
      <c r="C734" s="13"/>
    </row>
    <row r="735" spans="1:3" ht="13" x14ac:dyDescent="0.15">
      <c r="A735" s="10"/>
      <c r="B735" s="13"/>
      <c r="C735" s="13"/>
    </row>
    <row r="736" spans="1:3" ht="13" x14ac:dyDescent="0.15">
      <c r="A736" s="10"/>
      <c r="B736" s="13"/>
      <c r="C736" s="13"/>
    </row>
    <row r="737" spans="1:3" ht="13" x14ac:dyDescent="0.15">
      <c r="A737" s="10"/>
      <c r="B737" s="13"/>
      <c r="C737" s="13"/>
    </row>
    <row r="738" spans="1:3" ht="13" x14ac:dyDescent="0.15">
      <c r="A738" s="10"/>
      <c r="B738" s="13"/>
      <c r="C738" s="13"/>
    </row>
    <row r="739" spans="1:3" ht="13" x14ac:dyDescent="0.15">
      <c r="A739" s="10"/>
      <c r="B739" s="13"/>
      <c r="C739" s="13"/>
    </row>
    <row r="740" spans="1:3" ht="13" x14ac:dyDescent="0.15">
      <c r="A740" s="10"/>
      <c r="B740" s="13"/>
      <c r="C740" s="13"/>
    </row>
    <row r="741" spans="1:3" ht="13" x14ac:dyDescent="0.15">
      <c r="A741" s="10"/>
      <c r="B741" s="13"/>
      <c r="C741" s="13"/>
    </row>
    <row r="742" spans="1:3" ht="13" x14ac:dyDescent="0.15">
      <c r="A742" s="10"/>
      <c r="B742" s="13"/>
      <c r="C742" s="13"/>
    </row>
    <row r="743" spans="1:3" ht="13" x14ac:dyDescent="0.15">
      <c r="A743" s="10"/>
      <c r="B743" s="13"/>
      <c r="C743" s="13"/>
    </row>
    <row r="744" spans="1:3" ht="13" x14ac:dyDescent="0.15">
      <c r="A744" s="10"/>
      <c r="B744" s="13"/>
      <c r="C744" s="13"/>
    </row>
    <row r="745" spans="1:3" ht="13" x14ac:dyDescent="0.15">
      <c r="A745" s="10"/>
      <c r="B745" s="13"/>
      <c r="C745" s="13"/>
    </row>
    <row r="746" spans="1:3" ht="13" x14ac:dyDescent="0.15">
      <c r="A746" s="10"/>
      <c r="B746" s="13"/>
      <c r="C746" s="13"/>
    </row>
    <row r="747" spans="1:3" ht="13" x14ac:dyDescent="0.15">
      <c r="A747" s="10"/>
      <c r="B747" s="13"/>
      <c r="C747" s="13"/>
    </row>
    <row r="748" spans="1:3" ht="13" x14ac:dyDescent="0.15">
      <c r="A748" s="10"/>
      <c r="B748" s="13"/>
      <c r="C748" s="13"/>
    </row>
    <row r="749" spans="1:3" ht="13" x14ac:dyDescent="0.15">
      <c r="A749" s="10"/>
      <c r="B749" s="13"/>
      <c r="C749" s="13"/>
    </row>
    <row r="750" spans="1:3" ht="13" x14ac:dyDescent="0.15">
      <c r="A750" s="10"/>
      <c r="B750" s="13"/>
      <c r="C750" s="13"/>
    </row>
    <row r="751" spans="1:3" ht="13" x14ac:dyDescent="0.15">
      <c r="A751" s="10"/>
      <c r="B751" s="13"/>
      <c r="C751" s="13"/>
    </row>
    <row r="752" spans="1:3" ht="13" x14ac:dyDescent="0.15">
      <c r="A752" s="10"/>
      <c r="B752" s="13"/>
      <c r="C752" s="13"/>
    </row>
    <row r="753" spans="1:3" ht="13" x14ac:dyDescent="0.15">
      <c r="A753" s="10"/>
      <c r="B753" s="13"/>
      <c r="C753" s="13"/>
    </row>
    <row r="754" spans="1:3" ht="13" x14ac:dyDescent="0.15">
      <c r="A754" s="10"/>
      <c r="B754" s="13"/>
      <c r="C754" s="13"/>
    </row>
    <row r="755" spans="1:3" ht="13" x14ac:dyDescent="0.15">
      <c r="A755" s="10"/>
      <c r="B755" s="13"/>
      <c r="C755" s="13"/>
    </row>
    <row r="756" spans="1:3" ht="13" x14ac:dyDescent="0.15">
      <c r="A756" s="10"/>
      <c r="B756" s="13"/>
      <c r="C756" s="13"/>
    </row>
    <row r="757" spans="1:3" ht="13" x14ac:dyDescent="0.15">
      <c r="A757" s="10"/>
      <c r="B757" s="13"/>
      <c r="C757" s="13"/>
    </row>
    <row r="758" spans="1:3" ht="13" x14ac:dyDescent="0.15">
      <c r="A758" s="10"/>
      <c r="B758" s="13"/>
      <c r="C758" s="13"/>
    </row>
    <row r="759" spans="1:3" ht="13" x14ac:dyDescent="0.15">
      <c r="A759" s="10"/>
      <c r="B759" s="13"/>
      <c r="C759" s="13"/>
    </row>
    <row r="760" spans="1:3" ht="13" x14ac:dyDescent="0.15">
      <c r="A760" s="10"/>
      <c r="B760" s="13"/>
      <c r="C760" s="13"/>
    </row>
    <row r="761" spans="1:3" ht="13" x14ac:dyDescent="0.15">
      <c r="A761" s="10"/>
      <c r="B761" s="13"/>
      <c r="C761" s="13"/>
    </row>
    <row r="762" spans="1:3" ht="13" x14ac:dyDescent="0.15">
      <c r="A762" s="10"/>
      <c r="B762" s="13"/>
      <c r="C762" s="13"/>
    </row>
    <row r="763" spans="1:3" ht="13" x14ac:dyDescent="0.15">
      <c r="A763" s="10"/>
      <c r="B763" s="13"/>
      <c r="C763" s="13"/>
    </row>
    <row r="764" spans="1:3" ht="13" x14ac:dyDescent="0.15">
      <c r="A764" s="10"/>
      <c r="B764" s="13"/>
      <c r="C764" s="13"/>
    </row>
    <row r="765" spans="1:3" ht="13" x14ac:dyDescent="0.15">
      <c r="A765" s="10"/>
      <c r="B765" s="13"/>
      <c r="C765" s="13"/>
    </row>
    <row r="766" spans="1:3" ht="13" x14ac:dyDescent="0.15">
      <c r="A766" s="10"/>
      <c r="B766" s="13"/>
      <c r="C766" s="13"/>
    </row>
    <row r="767" spans="1:3" ht="13" x14ac:dyDescent="0.15">
      <c r="A767" s="10"/>
      <c r="B767" s="13"/>
      <c r="C767" s="13"/>
    </row>
    <row r="768" spans="1:3" ht="13" x14ac:dyDescent="0.15">
      <c r="A768" s="10"/>
      <c r="B768" s="13"/>
      <c r="C768" s="13"/>
    </row>
    <row r="769" spans="1:3" ht="13" x14ac:dyDescent="0.15">
      <c r="A769" s="10"/>
      <c r="B769" s="13"/>
      <c r="C769" s="13"/>
    </row>
    <row r="770" spans="1:3" ht="13" x14ac:dyDescent="0.15">
      <c r="A770" s="10"/>
      <c r="B770" s="13"/>
      <c r="C770" s="13"/>
    </row>
    <row r="771" spans="1:3" ht="13" x14ac:dyDescent="0.15">
      <c r="A771" s="10"/>
      <c r="B771" s="13"/>
      <c r="C771" s="13"/>
    </row>
    <row r="772" spans="1:3" ht="13" x14ac:dyDescent="0.15">
      <c r="A772" s="10"/>
      <c r="B772" s="13"/>
      <c r="C772" s="13"/>
    </row>
    <row r="773" spans="1:3" ht="13" x14ac:dyDescent="0.15">
      <c r="A773" s="10"/>
      <c r="B773" s="13"/>
      <c r="C773" s="13"/>
    </row>
    <row r="774" spans="1:3" ht="13" x14ac:dyDescent="0.15">
      <c r="A774" s="10"/>
      <c r="B774" s="13"/>
      <c r="C774" s="13"/>
    </row>
    <row r="775" spans="1:3" ht="13" x14ac:dyDescent="0.15">
      <c r="A775" s="10"/>
      <c r="B775" s="13"/>
      <c r="C775" s="13"/>
    </row>
    <row r="776" spans="1:3" ht="13" x14ac:dyDescent="0.15">
      <c r="A776" s="10"/>
      <c r="B776" s="13"/>
      <c r="C776" s="13"/>
    </row>
    <row r="777" spans="1:3" ht="13" x14ac:dyDescent="0.15">
      <c r="A777" s="10"/>
      <c r="B777" s="13"/>
      <c r="C777" s="13"/>
    </row>
    <row r="778" spans="1:3" ht="13" x14ac:dyDescent="0.15">
      <c r="A778" s="10"/>
      <c r="B778" s="13"/>
      <c r="C778" s="13"/>
    </row>
    <row r="779" spans="1:3" ht="13" x14ac:dyDescent="0.15">
      <c r="A779" s="10"/>
      <c r="B779" s="13"/>
      <c r="C779" s="13"/>
    </row>
    <row r="780" spans="1:3" ht="13" x14ac:dyDescent="0.15">
      <c r="A780" s="10"/>
      <c r="B780" s="13"/>
      <c r="C780" s="13"/>
    </row>
    <row r="781" spans="1:3" ht="13" x14ac:dyDescent="0.15">
      <c r="A781" s="10"/>
      <c r="B781" s="13"/>
      <c r="C781" s="13"/>
    </row>
    <row r="782" spans="1:3" ht="13" x14ac:dyDescent="0.15">
      <c r="A782" s="10"/>
      <c r="B782" s="13"/>
      <c r="C782" s="13"/>
    </row>
    <row r="783" spans="1:3" ht="13" x14ac:dyDescent="0.15">
      <c r="A783" s="10"/>
      <c r="B783" s="13"/>
      <c r="C783" s="13"/>
    </row>
    <row r="784" spans="1:3" ht="13" x14ac:dyDescent="0.15">
      <c r="A784" s="10"/>
      <c r="B784" s="13"/>
      <c r="C784" s="13"/>
    </row>
    <row r="785" spans="1:3" ht="13" x14ac:dyDescent="0.15">
      <c r="A785" s="10"/>
      <c r="B785" s="13"/>
      <c r="C785" s="13"/>
    </row>
    <row r="786" spans="1:3" ht="13" x14ac:dyDescent="0.15">
      <c r="A786" s="10"/>
      <c r="B786" s="13"/>
      <c r="C786" s="13"/>
    </row>
    <row r="787" spans="1:3" ht="13" x14ac:dyDescent="0.15">
      <c r="A787" s="10"/>
      <c r="B787" s="13"/>
      <c r="C787" s="13"/>
    </row>
    <row r="788" spans="1:3" ht="13" x14ac:dyDescent="0.15">
      <c r="A788" s="10"/>
      <c r="B788" s="13"/>
      <c r="C788" s="13"/>
    </row>
    <row r="789" spans="1:3" ht="13" x14ac:dyDescent="0.15">
      <c r="A789" s="10"/>
      <c r="B789" s="13"/>
      <c r="C789" s="13"/>
    </row>
    <row r="790" spans="1:3" ht="13" x14ac:dyDescent="0.15">
      <c r="A790" s="10"/>
      <c r="B790" s="13"/>
      <c r="C790" s="13"/>
    </row>
    <row r="791" spans="1:3" ht="13" x14ac:dyDescent="0.15">
      <c r="A791" s="10"/>
      <c r="B791" s="13"/>
      <c r="C791" s="13"/>
    </row>
    <row r="792" spans="1:3" ht="13" x14ac:dyDescent="0.15">
      <c r="A792" s="10"/>
      <c r="B792" s="13"/>
      <c r="C792" s="13"/>
    </row>
    <row r="793" spans="1:3" ht="13" x14ac:dyDescent="0.15">
      <c r="A793" s="10"/>
      <c r="B793" s="13"/>
      <c r="C793" s="13"/>
    </row>
    <row r="794" spans="1:3" ht="13" x14ac:dyDescent="0.15">
      <c r="A794" s="10"/>
      <c r="B794" s="13"/>
      <c r="C794" s="13"/>
    </row>
    <row r="795" spans="1:3" ht="13" x14ac:dyDescent="0.15">
      <c r="A795" s="10"/>
      <c r="B795" s="13"/>
      <c r="C795" s="13"/>
    </row>
    <row r="796" spans="1:3" ht="13" x14ac:dyDescent="0.15">
      <c r="A796" s="10"/>
      <c r="B796" s="13"/>
      <c r="C796" s="13"/>
    </row>
    <row r="797" spans="1:3" ht="13" x14ac:dyDescent="0.15">
      <c r="A797" s="10"/>
      <c r="B797" s="13"/>
      <c r="C797" s="13"/>
    </row>
    <row r="798" spans="1:3" ht="13" x14ac:dyDescent="0.15">
      <c r="A798" s="10"/>
      <c r="B798" s="13"/>
      <c r="C798" s="13"/>
    </row>
    <row r="799" spans="1:3" ht="13" x14ac:dyDescent="0.15">
      <c r="A799" s="10"/>
      <c r="B799" s="13"/>
      <c r="C799" s="13"/>
    </row>
    <row r="800" spans="1:3" ht="13" x14ac:dyDescent="0.15">
      <c r="A800" s="10"/>
      <c r="B800" s="13"/>
      <c r="C800" s="13"/>
    </row>
    <row r="801" spans="1:3" ht="13" x14ac:dyDescent="0.15">
      <c r="A801" s="10"/>
      <c r="B801" s="13"/>
      <c r="C801" s="13"/>
    </row>
    <row r="802" spans="1:3" ht="13" x14ac:dyDescent="0.15">
      <c r="A802" s="10"/>
      <c r="B802" s="13"/>
      <c r="C802" s="13"/>
    </row>
    <row r="803" spans="1:3" ht="13" x14ac:dyDescent="0.15">
      <c r="A803" s="10"/>
      <c r="B803" s="13"/>
      <c r="C803" s="13"/>
    </row>
    <row r="804" spans="1:3" ht="13" x14ac:dyDescent="0.15">
      <c r="A804" s="10"/>
      <c r="B804" s="13"/>
      <c r="C804" s="13"/>
    </row>
    <row r="805" spans="1:3" ht="13" x14ac:dyDescent="0.15">
      <c r="A805" s="10"/>
      <c r="B805" s="13"/>
      <c r="C805" s="13"/>
    </row>
    <row r="806" spans="1:3" ht="13" x14ac:dyDescent="0.15">
      <c r="A806" s="10"/>
      <c r="B806" s="13"/>
      <c r="C806" s="13"/>
    </row>
    <row r="807" spans="1:3" ht="13" x14ac:dyDescent="0.15">
      <c r="A807" s="10"/>
      <c r="B807" s="13"/>
      <c r="C807" s="13"/>
    </row>
    <row r="808" spans="1:3" ht="13" x14ac:dyDescent="0.15">
      <c r="A808" s="10"/>
      <c r="B808" s="13"/>
      <c r="C808" s="13"/>
    </row>
    <row r="809" spans="1:3" ht="13" x14ac:dyDescent="0.15">
      <c r="A809" s="10"/>
      <c r="B809" s="13"/>
      <c r="C809" s="13"/>
    </row>
    <row r="810" spans="1:3" ht="13" x14ac:dyDescent="0.15">
      <c r="A810" s="10"/>
      <c r="B810" s="13"/>
      <c r="C810" s="13"/>
    </row>
    <row r="811" spans="1:3" ht="13" x14ac:dyDescent="0.15">
      <c r="A811" s="10"/>
      <c r="B811" s="13"/>
      <c r="C811" s="13"/>
    </row>
    <row r="812" spans="1:3" ht="13" x14ac:dyDescent="0.15">
      <c r="A812" s="10"/>
      <c r="B812" s="13"/>
      <c r="C812" s="13"/>
    </row>
    <row r="813" spans="1:3" ht="13" x14ac:dyDescent="0.15">
      <c r="A813" s="10"/>
      <c r="B813" s="13"/>
      <c r="C813" s="13"/>
    </row>
    <row r="814" spans="1:3" ht="13" x14ac:dyDescent="0.15">
      <c r="A814" s="10"/>
      <c r="B814" s="13"/>
      <c r="C814" s="13"/>
    </row>
    <row r="815" spans="1:3" ht="13" x14ac:dyDescent="0.15">
      <c r="A815" s="10"/>
      <c r="B815" s="13"/>
      <c r="C815" s="13"/>
    </row>
    <row r="816" spans="1:3" ht="13" x14ac:dyDescent="0.15">
      <c r="A816" s="10"/>
      <c r="B816" s="13"/>
      <c r="C816" s="13"/>
    </row>
    <row r="817" spans="1:3" ht="13" x14ac:dyDescent="0.15">
      <c r="A817" s="10"/>
      <c r="B817" s="13"/>
      <c r="C817" s="13"/>
    </row>
    <row r="818" spans="1:3" ht="13" x14ac:dyDescent="0.15">
      <c r="A818" s="10"/>
      <c r="B818" s="13"/>
      <c r="C818" s="13"/>
    </row>
    <row r="819" spans="1:3" ht="13" x14ac:dyDescent="0.15">
      <c r="A819" s="10"/>
      <c r="B819" s="13"/>
      <c r="C819" s="13"/>
    </row>
    <row r="820" spans="1:3" ht="13" x14ac:dyDescent="0.15">
      <c r="A820" s="10"/>
      <c r="B820" s="13"/>
      <c r="C820" s="13"/>
    </row>
    <row r="821" spans="1:3" ht="13" x14ac:dyDescent="0.15">
      <c r="A821" s="10"/>
      <c r="B821" s="13"/>
      <c r="C821" s="13"/>
    </row>
    <row r="822" spans="1:3" ht="13" x14ac:dyDescent="0.15">
      <c r="A822" s="10"/>
      <c r="B822" s="13"/>
      <c r="C822" s="13"/>
    </row>
    <row r="823" spans="1:3" ht="13" x14ac:dyDescent="0.15">
      <c r="A823" s="10"/>
      <c r="B823" s="13"/>
      <c r="C823" s="13"/>
    </row>
    <row r="824" spans="1:3" ht="13" x14ac:dyDescent="0.15">
      <c r="A824" s="10"/>
      <c r="B824" s="13"/>
      <c r="C824" s="13"/>
    </row>
    <row r="825" spans="1:3" ht="13" x14ac:dyDescent="0.15">
      <c r="A825" s="10"/>
      <c r="B825" s="13"/>
      <c r="C825" s="13"/>
    </row>
    <row r="826" spans="1:3" ht="13" x14ac:dyDescent="0.15">
      <c r="A826" s="10"/>
      <c r="B826" s="13"/>
      <c r="C826" s="13"/>
    </row>
    <row r="827" spans="1:3" ht="13" x14ac:dyDescent="0.15">
      <c r="A827" s="10"/>
      <c r="B827" s="13"/>
      <c r="C827" s="13"/>
    </row>
    <row r="828" spans="1:3" ht="13" x14ac:dyDescent="0.15">
      <c r="A828" s="10"/>
      <c r="B828" s="13"/>
      <c r="C828" s="13"/>
    </row>
    <row r="829" spans="1:3" ht="13" x14ac:dyDescent="0.15">
      <c r="A829" s="10"/>
      <c r="B829" s="13"/>
      <c r="C829" s="13"/>
    </row>
    <row r="830" spans="1:3" ht="13" x14ac:dyDescent="0.15">
      <c r="A830" s="10"/>
      <c r="B830" s="13"/>
      <c r="C830" s="13"/>
    </row>
    <row r="831" spans="1:3" ht="13" x14ac:dyDescent="0.15">
      <c r="A831" s="10"/>
      <c r="B831" s="13"/>
      <c r="C831" s="13"/>
    </row>
    <row r="832" spans="1:3" ht="13" x14ac:dyDescent="0.15">
      <c r="A832" s="10"/>
      <c r="B832" s="13"/>
      <c r="C832" s="13"/>
    </row>
    <row r="833" spans="1:3" ht="13" x14ac:dyDescent="0.15">
      <c r="A833" s="10"/>
      <c r="B833" s="13"/>
      <c r="C833" s="13"/>
    </row>
    <row r="834" spans="1:3" ht="13" x14ac:dyDescent="0.15">
      <c r="A834" s="10"/>
      <c r="B834" s="13"/>
      <c r="C834" s="13"/>
    </row>
    <row r="835" spans="1:3" ht="13" x14ac:dyDescent="0.15">
      <c r="A835" s="10"/>
      <c r="B835" s="13"/>
      <c r="C835" s="13"/>
    </row>
    <row r="836" spans="1:3" ht="13" x14ac:dyDescent="0.15">
      <c r="A836" s="10"/>
      <c r="B836" s="13"/>
      <c r="C836" s="13"/>
    </row>
    <row r="837" spans="1:3" ht="13" x14ac:dyDescent="0.15">
      <c r="A837" s="10"/>
      <c r="B837" s="13"/>
      <c r="C837" s="13"/>
    </row>
    <row r="838" spans="1:3" ht="13" x14ac:dyDescent="0.15">
      <c r="A838" s="10"/>
      <c r="B838" s="13"/>
      <c r="C838" s="13"/>
    </row>
    <row r="839" spans="1:3" ht="13" x14ac:dyDescent="0.15">
      <c r="A839" s="10"/>
      <c r="B839" s="13"/>
      <c r="C839" s="13"/>
    </row>
    <row r="840" spans="1:3" ht="13" x14ac:dyDescent="0.15">
      <c r="A840" s="10"/>
      <c r="B840" s="13"/>
      <c r="C840" s="13"/>
    </row>
    <row r="841" spans="1:3" ht="13" x14ac:dyDescent="0.15">
      <c r="A841" s="10"/>
      <c r="B841" s="13"/>
      <c r="C841" s="13"/>
    </row>
    <row r="842" spans="1:3" ht="13" x14ac:dyDescent="0.15">
      <c r="A842" s="10"/>
      <c r="B842" s="13"/>
      <c r="C842" s="13"/>
    </row>
    <row r="843" spans="1:3" ht="13" x14ac:dyDescent="0.15">
      <c r="A843" s="10"/>
      <c r="B843" s="13"/>
      <c r="C843" s="13"/>
    </row>
    <row r="844" spans="1:3" ht="13" x14ac:dyDescent="0.15">
      <c r="A844" s="10"/>
      <c r="B844" s="13"/>
      <c r="C844" s="13"/>
    </row>
    <row r="845" spans="1:3" ht="13" x14ac:dyDescent="0.15">
      <c r="A845" s="10"/>
      <c r="B845" s="13"/>
      <c r="C845" s="13"/>
    </row>
    <row r="846" spans="1:3" ht="13" x14ac:dyDescent="0.15">
      <c r="A846" s="10"/>
      <c r="B846" s="13"/>
      <c r="C846" s="13"/>
    </row>
    <row r="847" spans="1:3" ht="13" x14ac:dyDescent="0.15">
      <c r="A847" s="10"/>
      <c r="B847" s="13"/>
      <c r="C847" s="13"/>
    </row>
    <row r="848" spans="1:3" ht="13" x14ac:dyDescent="0.15">
      <c r="A848" s="10"/>
      <c r="B848" s="13"/>
      <c r="C848" s="13"/>
    </row>
    <row r="849" spans="1:3" ht="13" x14ac:dyDescent="0.15">
      <c r="A849" s="10"/>
      <c r="B849" s="13"/>
      <c r="C849" s="13"/>
    </row>
    <row r="850" spans="1:3" ht="13" x14ac:dyDescent="0.15">
      <c r="A850" s="10"/>
      <c r="B850" s="13"/>
      <c r="C850" s="13"/>
    </row>
    <row r="851" spans="1:3" ht="13" x14ac:dyDescent="0.15">
      <c r="A851" s="10"/>
      <c r="B851" s="13"/>
      <c r="C851" s="13"/>
    </row>
    <row r="852" spans="1:3" ht="13" x14ac:dyDescent="0.15">
      <c r="A852" s="10"/>
      <c r="B852" s="13"/>
      <c r="C852" s="13"/>
    </row>
    <row r="853" spans="1:3" ht="13" x14ac:dyDescent="0.15">
      <c r="A853" s="10"/>
      <c r="B853" s="13"/>
      <c r="C853" s="13"/>
    </row>
    <row r="854" spans="1:3" ht="13" x14ac:dyDescent="0.15">
      <c r="A854" s="10"/>
      <c r="B854" s="13"/>
      <c r="C854" s="13"/>
    </row>
    <row r="855" spans="1:3" ht="13" x14ac:dyDescent="0.15">
      <c r="A855" s="10"/>
      <c r="B855" s="13"/>
      <c r="C855" s="13"/>
    </row>
    <row r="856" spans="1:3" ht="13" x14ac:dyDescent="0.15">
      <c r="A856" s="10"/>
      <c r="B856" s="13"/>
      <c r="C856" s="13"/>
    </row>
    <row r="857" spans="1:3" ht="13" x14ac:dyDescent="0.15">
      <c r="A857" s="10"/>
      <c r="B857" s="13"/>
      <c r="C857" s="13"/>
    </row>
    <row r="858" spans="1:3" ht="13" x14ac:dyDescent="0.15">
      <c r="A858" s="10"/>
      <c r="B858" s="13"/>
      <c r="C858" s="13"/>
    </row>
    <row r="859" spans="1:3" ht="13" x14ac:dyDescent="0.15">
      <c r="A859" s="10"/>
      <c r="B859" s="13"/>
      <c r="C859" s="13"/>
    </row>
    <row r="860" spans="1:3" ht="13" x14ac:dyDescent="0.15">
      <c r="A860" s="10"/>
      <c r="B860" s="13"/>
      <c r="C860" s="13"/>
    </row>
    <row r="861" spans="1:3" ht="13" x14ac:dyDescent="0.15">
      <c r="A861" s="10"/>
      <c r="B861" s="13"/>
      <c r="C861" s="13"/>
    </row>
    <row r="862" spans="1:3" ht="13" x14ac:dyDescent="0.15">
      <c r="A862" s="10"/>
      <c r="B862" s="13"/>
      <c r="C862" s="13"/>
    </row>
    <row r="863" spans="1:3" ht="13" x14ac:dyDescent="0.15">
      <c r="A863" s="10"/>
      <c r="B863" s="13"/>
      <c r="C863" s="13"/>
    </row>
    <row r="864" spans="1:3" ht="13" x14ac:dyDescent="0.15">
      <c r="A864" s="10"/>
      <c r="B864" s="13"/>
      <c r="C864" s="13"/>
    </row>
    <row r="865" spans="1:3" ht="13" x14ac:dyDescent="0.15">
      <c r="A865" s="10"/>
      <c r="B865" s="13"/>
      <c r="C865" s="13"/>
    </row>
    <row r="866" spans="1:3" ht="13" x14ac:dyDescent="0.15">
      <c r="A866" s="10"/>
      <c r="B866" s="13"/>
      <c r="C866" s="13"/>
    </row>
    <row r="867" spans="1:3" ht="13" x14ac:dyDescent="0.15">
      <c r="A867" s="10"/>
      <c r="B867" s="13"/>
      <c r="C867" s="13"/>
    </row>
    <row r="868" spans="1:3" ht="13" x14ac:dyDescent="0.15">
      <c r="A868" s="10"/>
      <c r="B868" s="13"/>
      <c r="C868" s="13"/>
    </row>
    <row r="869" spans="1:3" ht="13" x14ac:dyDescent="0.15">
      <c r="A869" s="10"/>
      <c r="B869" s="13"/>
      <c r="C869" s="13"/>
    </row>
    <row r="870" spans="1:3" ht="13" x14ac:dyDescent="0.15">
      <c r="A870" s="10"/>
      <c r="B870" s="13"/>
      <c r="C870" s="13"/>
    </row>
    <row r="871" spans="1:3" ht="13" x14ac:dyDescent="0.15">
      <c r="A871" s="10"/>
      <c r="B871" s="13"/>
      <c r="C871" s="13"/>
    </row>
    <row r="872" spans="1:3" ht="13" x14ac:dyDescent="0.15">
      <c r="A872" s="10"/>
      <c r="B872" s="13"/>
      <c r="C872" s="13"/>
    </row>
    <row r="873" spans="1:3" ht="13" x14ac:dyDescent="0.15">
      <c r="A873" s="10"/>
      <c r="B873" s="13"/>
      <c r="C873" s="13"/>
    </row>
    <row r="874" spans="1:3" ht="13" x14ac:dyDescent="0.15">
      <c r="A874" s="10"/>
      <c r="B874" s="13"/>
      <c r="C874" s="13"/>
    </row>
    <row r="875" spans="1:3" ht="13" x14ac:dyDescent="0.15">
      <c r="A875" s="10"/>
      <c r="B875" s="13"/>
      <c r="C875" s="13"/>
    </row>
    <row r="876" spans="1:3" ht="13" x14ac:dyDescent="0.15">
      <c r="A876" s="10"/>
      <c r="B876" s="13"/>
      <c r="C876" s="13"/>
    </row>
    <row r="877" spans="1:3" ht="13" x14ac:dyDescent="0.15">
      <c r="A877" s="10"/>
      <c r="B877" s="13"/>
      <c r="C877" s="13"/>
    </row>
    <row r="878" spans="1:3" ht="13" x14ac:dyDescent="0.15">
      <c r="A878" s="10"/>
      <c r="B878" s="13"/>
      <c r="C878" s="13"/>
    </row>
    <row r="879" spans="1:3" ht="13" x14ac:dyDescent="0.15">
      <c r="A879" s="10"/>
      <c r="B879" s="13"/>
      <c r="C879" s="13"/>
    </row>
    <row r="880" spans="1:3" ht="13" x14ac:dyDescent="0.15">
      <c r="A880" s="10"/>
      <c r="B880" s="13"/>
      <c r="C880" s="13"/>
    </row>
    <row r="881" spans="1:3" ht="13" x14ac:dyDescent="0.15">
      <c r="A881" s="10"/>
      <c r="B881" s="13"/>
      <c r="C881" s="13"/>
    </row>
    <row r="882" spans="1:3" ht="13" x14ac:dyDescent="0.15">
      <c r="A882" s="10"/>
      <c r="B882" s="13"/>
      <c r="C882" s="13"/>
    </row>
    <row r="883" spans="1:3" ht="13" x14ac:dyDescent="0.15">
      <c r="A883" s="10"/>
      <c r="B883" s="13"/>
      <c r="C883" s="13"/>
    </row>
    <row r="884" spans="1:3" ht="13" x14ac:dyDescent="0.15">
      <c r="A884" s="10"/>
      <c r="B884" s="13"/>
      <c r="C884" s="13"/>
    </row>
    <row r="885" spans="1:3" ht="13" x14ac:dyDescent="0.15">
      <c r="A885" s="10"/>
      <c r="B885" s="13"/>
      <c r="C885" s="13"/>
    </row>
    <row r="886" spans="1:3" ht="13" x14ac:dyDescent="0.15">
      <c r="A886" s="10"/>
      <c r="B886" s="13"/>
      <c r="C886" s="13"/>
    </row>
    <row r="887" spans="1:3" ht="13" x14ac:dyDescent="0.15">
      <c r="A887" s="10"/>
      <c r="B887" s="13"/>
      <c r="C887" s="13"/>
    </row>
    <row r="888" spans="1:3" ht="13" x14ac:dyDescent="0.15">
      <c r="A888" s="10"/>
      <c r="B888" s="13"/>
      <c r="C888" s="13"/>
    </row>
    <row r="889" spans="1:3" ht="13" x14ac:dyDescent="0.15">
      <c r="A889" s="10"/>
      <c r="B889" s="13"/>
      <c r="C889" s="13"/>
    </row>
    <row r="890" spans="1:3" ht="13" x14ac:dyDescent="0.15">
      <c r="A890" s="10"/>
      <c r="B890" s="13"/>
      <c r="C890" s="13"/>
    </row>
    <row r="891" spans="1:3" ht="13" x14ac:dyDescent="0.15">
      <c r="A891" s="10"/>
      <c r="B891" s="13"/>
      <c r="C891" s="13"/>
    </row>
    <row r="892" spans="1:3" ht="13" x14ac:dyDescent="0.15">
      <c r="A892" s="10"/>
      <c r="B892" s="13"/>
      <c r="C892" s="13"/>
    </row>
    <row r="893" spans="1:3" ht="13" x14ac:dyDescent="0.15">
      <c r="A893" s="10"/>
      <c r="B893" s="13"/>
      <c r="C893" s="13"/>
    </row>
    <row r="894" spans="1:3" ht="13" x14ac:dyDescent="0.15">
      <c r="A894" s="10"/>
      <c r="B894" s="13"/>
      <c r="C894" s="13"/>
    </row>
    <row r="895" spans="1:3" ht="13" x14ac:dyDescent="0.15">
      <c r="A895" s="10"/>
      <c r="B895" s="13"/>
      <c r="C895" s="13"/>
    </row>
    <row r="896" spans="1:3" ht="13" x14ac:dyDescent="0.15">
      <c r="A896" s="10"/>
      <c r="B896" s="13"/>
      <c r="C896" s="13"/>
    </row>
    <row r="897" spans="1:3" ht="13" x14ac:dyDescent="0.15">
      <c r="A897" s="10"/>
      <c r="B897" s="13"/>
      <c r="C897" s="13"/>
    </row>
    <row r="898" spans="1:3" ht="13" x14ac:dyDescent="0.15">
      <c r="A898" s="10"/>
      <c r="B898" s="13"/>
      <c r="C898" s="13"/>
    </row>
    <row r="899" spans="1:3" ht="13" x14ac:dyDescent="0.15">
      <c r="A899" s="10"/>
      <c r="B899" s="13"/>
      <c r="C899" s="13"/>
    </row>
    <row r="900" spans="1:3" ht="13" x14ac:dyDescent="0.15">
      <c r="A900" s="10"/>
      <c r="B900" s="13"/>
      <c r="C900" s="13"/>
    </row>
    <row r="901" spans="1:3" ht="13" x14ac:dyDescent="0.15">
      <c r="A901" s="10"/>
      <c r="B901" s="13"/>
      <c r="C901" s="13"/>
    </row>
    <row r="902" spans="1:3" ht="13" x14ac:dyDescent="0.15">
      <c r="A902" s="10"/>
      <c r="B902" s="13"/>
      <c r="C902" s="13"/>
    </row>
    <row r="903" spans="1:3" ht="13" x14ac:dyDescent="0.15">
      <c r="A903" s="10"/>
      <c r="B903" s="13"/>
      <c r="C903" s="13"/>
    </row>
    <row r="904" spans="1:3" ht="13" x14ac:dyDescent="0.15">
      <c r="A904" s="10"/>
      <c r="B904" s="13"/>
      <c r="C904" s="13"/>
    </row>
    <row r="905" spans="1:3" ht="13" x14ac:dyDescent="0.15">
      <c r="A905" s="10"/>
      <c r="B905" s="13"/>
      <c r="C905" s="13"/>
    </row>
    <row r="906" spans="1:3" ht="13" x14ac:dyDescent="0.15">
      <c r="A906" s="10"/>
      <c r="B906" s="13"/>
      <c r="C906" s="13"/>
    </row>
    <row r="907" spans="1:3" ht="13" x14ac:dyDescent="0.15">
      <c r="A907" s="10"/>
      <c r="B907" s="13"/>
      <c r="C907" s="13"/>
    </row>
    <row r="908" spans="1:3" ht="13" x14ac:dyDescent="0.15">
      <c r="A908" s="10"/>
      <c r="B908" s="13"/>
      <c r="C908" s="13"/>
    </row>
    <row r="909" spans="1:3" ht="13" x14ac:dyDescent="0.15">
      <c r="A909" s="10"/>
      <c r="B909" s="13"/>
      <c r="C909" s="13"/>
    </row>
    <row r="910" spans="1:3" ht="13" x14ac:dyDescent="0.15">
      <c r="A910" s="10"/>
      <c r="B910" s="13"/>
      <c r="C910" s="13"/>
    </row>
    <row r="911" spans="1:3" ht="13" x14ac:dyDescent="0.15">
      <c r="A911" s="10"/>
      <c r="B911" s="13"/>
      <c r="C911" s="13"/>
    </row>
    <row r="912" spans="1:3" ht="13" x14ac:dyDescent="0.15">
      <c r="A912" s="10"/>
      <c r="B912" s="13"/>
      <c r="C912" s="13"/>
    </row>
    <row r="913" spans="1:3" ht="13" x14ac:dyDescent="0.15">
      <c r="A913" s="10"/>
      <c r="B913" s="13"/>
      <c r="C913" s="13"/>
    </row>
    <row r="914" spans="1:3" ht="13" x14ac:dyDescent="0.15">
      <c r="A914" s="10"/>
      <c r="B914" s="13"/>
      <c r="C914" s="13"/>
    </row>
    <row r="915" spans="1:3" ht="13" x14ac:dyDescent="0.15">
      <c r="A915" s="10"/>
      <c r="B915" s="13"/>
      <c r="C915" s="13"/>
    </row>
    <row r="916" spans="1:3" ht="13" x14ac:dyDescent="0.15">
      <c r="A916" s="10"/>
      <c r="B916" s="13"/>
      <c r="C916" s="13"/>
    </row>
    <row r="917" spans="1:3" ht="13" x14ac:dyDescent="0.15">
      <c r="A917" s="10"/>
      <c r="B917" s="13"/>
      <c r="C917" s="13"/>
    </row>
    <row r="918" spans="1:3" ht="13" x14ac:dyDescent="0.15">
      <c r="A918" s="10"/>
      <c r="B918" s="13"/>
      <c r="C918" s="13"/>
    </row>
    <row r="919" spans="1:3" ht="13" x14ac:dyDescent="0.15">
      <c r="A919" s="10"/>
      <c r="B919" s="13"/>
      <c r="C919" s="13"/>
    </row>
    <row r="920" spans="1:3" ht="13" x14ac:dyDescent="0.15">
      <c r="A920" s="10"/>
      <c r="B920" s="13"/>
      <c r="C920" s="13"/>
    </row>
    <row r="921" spans="1:3" ht="13" x14ac:dyDescent="0.15">
      <c r="A921" s="10"/>
      <c r="B921" s="13"/>
      <c r="C921" s="13"/>
    </row>
    <row r="922" spans="1:3" ht="13" x14ac:dyDescent="0.15">
      <c r="A922" s="10"/>
      <c r="B922" s="13"/>
      <c r="C922" s="13"/>
    </row>
    <row r="923" spans="1:3" ht="13" x14ac:dyDescent="0.15">
      <c r="A923" s="10"/>
      <c r="B923" s="13"/>
      <c r="C923" s="13"/>
    </row>
    <row r="924" spans="1:3" ht="13" x14ac:dyDescent="0.15">
      <c r="A924" s="10"/>
      <c r="B924" s="13"/>
      <c r="C924" s="13"/>
    </row>
    <row r="925" spans="1:3" ht="13" x14ac:dyDescent="0.15">
      <c r="A925" s="10"/>
      <c r="B925" s="13"/>
      <c r="C925" s="13"/>
    </row>
    <row r="926" spans="1:3" ht="13" x14ac:dyDescent="0.15">
      <c r="A926" s="10"/>
      <c r="B926" s="13"/>
      <c r="C926" s="13"/>
    </row>
    <row r="927" spans="1:3" ht="13" x14ac:dyDescent="0.15">
      <c r="A927" s="10"/>
      <c r="B927" s="13"/>
      <c r="C927" s="13"/>
    </row>
    <row r="928" spans="1:3" ht="13" x14ac:dyDescent="0.15">
      <c r="A928" s="10"/>
      <c r="B928" s="13"/>
      <c r="C928" s="13"/>
    </row>
    <row r="929" spans="1:3" ht="13" x14ac:dyDescent="0.15">
      <c r="A929" s="10"/>
      <c r="B929" s="13"/>
      <c r="C929" s="13"/>
    </row>
    <row r="930" spans="1:3" ht="13" x14ac:dyDescent="0.15">
      <c r="A930" s="10"/>
      <c r="B930" s="13"/>
      <c r="C930" s="13"/>
    </row>
    <row r="931" spans="1:3" ht="13" x14ac:dyDescent="0.15">
      <c r="A931" s="10"/>
      <c r="B931" s="13"/>
      <c r="C931" s="13"/>
    </row>
    <row r="932" spans="1:3" ht="13" x14ac:dyDescent="0.15">
      <c r="A932" s="10"/>
      <c r="B932" s="13"/>
      <c r="C932" s="13"/>
    </row>
    <row r="933" spans="1:3" ht="13" x14ac:dyDescent="0.15">
      <c r="A933" s="10"/>
      <c r="B933" s="13"/>
      <c r="C933" s="13"/>
    </row>
    <row r="934" spans="1:3" ht="13" x14ac:dyDescent="0.15">
      <c r="A934" s="10"/>
      <c r="B934" s="13"/>
      <c r="C934" s="13"/>
    </row>
    <row r="935" spans="1:3" ht="13" x14ac:dyDescent="0.15">
      <c r="A935" s="10"/>
      <c r="B935" s="13"/>
      <c r="C935" s="13"/>
    </row>
    <row r="936" spans="1:3" ht="13" x14ac:dyDescent="0.15">
      <c r="A936" s="10"/>
      <c r="B936" s="13"/>
      <c r="C936" s="13"/>
    </row>
    <row r="937" spans="1:3" ht="13" x14ac:dyDescent="0.15">
      <c r="A937" s="10"/>
      <c r="B937" s="13"/>
      <c r="C937" s="13"/>
    </row>
    <row r="938" spans="1:3" ht="13" x14ac:dyDescent="0.15">
      <c r="A938" s="10"/>
      <c r="B938" s="13"/>
      <c r="C938" s="13"/>
    </row>
    <row r="939" spans="1:3" ht="13" x14ac:dyDescent="0.15">
      <c r="A939" s="10"/>
      <c r="B939" s="13"/>
      <c r="C939" s="13"/>
    </row>
    <row r="940" spans="1:3" ht="13" x14ac:dyDescent="0.15">
      <c r="A940" s="10"/>
      <c r="B940" s="13"/>
      <c r="C940" s="13"/>
    </row>
    <row r="941" spans="1:3" ht="13" x14ac:dyDescent="0.15">
      <c r="A941" s="10"/>
      <c r="B941" s="13"/>
      <c r="C941" s="13"/>
    </row>
    <row r="942" spans="1:3" ht="13" x14ac:dyDescent="0.15">
      <c r="A942" s="10"/>
      <c r="B942" s="13"/>
      <c r="C942" s="13"/>
    </row>
    <row r="943" spans="1:3" ht="13" x14ac:dyDescent="0.15">
      <c r="A943" s="10"/>
      <c r="B943" s="13"/>
      <c r="C943" s="13"/>
    </row>
    <row r="944" spans="1:3" ht="13" x14ac:dyDescent="0.15">
      <c r="A944" s="10"/>
      <c r="B944" s="13"/>
      <c r="C944" s="13"/>
    </row>
    <row r="945" spans="1:3" ht="13" x14ac:dyDescent="0.15">
      <c r="A945" s="10"/>
      <c r="B945" s="13"/>
      <c r="C945" s="13"/>
    </row>
    <row r="946" spans="1:3" ht="13" x14ac:dyDescent="0.15">
      <c r="A946" s="10"/>
      <c r="B946" s="13"/>
      <c r="C946" s="13"/>
    </row>
    <row r="947" spans="1:3" ht="13" x14ac:dyDescent="0.15">
      <c r="A947" s="10"/>
      <c r="B947" s="13"/>
      <c r="C947" s="13"/>
    </row>
    <row r="948" spans="1:3" ht="13" x14ac:dyDescent="0.15">
      <c r="A948" s="10"/>
      <c r="B948" s="13"/>
      <c r="C948" s="13"/>
    </row>
    <row r="949" spans="1:3" ht="13" x14ac:dyDescent="0.15">
      <c r="A949" s="10"/>
      <c r="B949" s="13"/>
      <c r="C949" s="13"/>
    </row>
    <row r="950" spans="1:3" ht="13" x14ac:dyDescent="0.15">
      <c r="A950" s="10"/>
      <c r="B950" s="13"/>
      <c r="C950" s="13"/>
    </row>
    <row r="951" spans="1:3" ht="13" x14ac:dyDescent="0.15">
      <c r="A951" s="10"/>
      <c r="B951" s="13"/>
      <c r="C951" s="13"/>
    </row>
    <row r="952" spans="1:3" ht="13" x14ac:dyDescent="0.15">
      <c r="A952" s="10"/>
      <c r="B952" s="13"/>
      <c r="C952" s="13"/>
    </row>
    <row r="953" spans="1:3" ht="13" x14ac:dyDescent="0.15">
      <c r="A953" s="10"/>
      <c r="B953" s="13"/>
      <c r="C953" s="13"/>
    </row>
    <row r="954" spans="1:3" ht="13" x14ac:dyDescent="0.15">
      <c r="A954" s="10"/>
      <c r="B954" s="13"/>
      <c r="C954" s="13"/>
    </row>
    <row r="955" spans="1:3" ht="13" x14ac:dyDescent="0.15">
      <c r="A955" s="10"/>
      <c r="B955" s="13"/>
      <c r="C955" s="13"/>
    </row>
    <row r="956" spans="1:3" ht="13" x14ac:dyDescent="0.15">
      <c r="A956" s="10"/>
      <c r="B956" s="13"/>
      <c r="C956" s="13"/>
    </row>
    <row r="957" spans="1:3" ht="13" x14ac:dyDescent="0.15">
      <c r="A957" s="10"/>
      <c r="B957" s="13"/>
      <c r="C957" s="13"/>
    </row>
    <row r="958" spans="1:3" ht="13" x14ac:dyDescent="0.15">
      <c r="A958" s="10"/>
      <c r="B958" s="13"/>
      <c r="C958" s="13"/>
    </row>
    <row r="959" spans="1:3" ht="13" x14ac:dyDescent="0.15">
      <c r="A959" s="10"/>
      <c r="B959" s="13"/>
      <c r="C959" s="13"/>
    </row>
    <row r="960" spans="1:3" ht="13" x14ac:dyDescent="0.15">
      <c r="A960" s="10"/>
      <c r="B960" s="13"/>
      <c r="C960" s="13"/>
    </row>
    <row r="961" spans="1:3" ht="13" x14ac:dyDescent="0.15">
      <c r="A961" s="10"/>
      <c r="B961" s="13"/>
      <c r="C961" s="13"/>
    </row>
    <row r="962" spans="1:3" ht="13" x14ac:dyDescent="0.15">
      <c r="A962" s="10"/>
      <c r="B962" s="13"/>
      <c r="C962" s="13"/>
    </row>
    <row r="963" spans="1:3" ht="13" x14ac:dyDescent="0.15">
      <c r="A963" s="10"/>
      <c r="B963" s="13"/>
      <c r="C963" s="13"/>
    </row>
    <row r="964" spans="1:3" ht="13" x14ac:dyDescent="0.15">
      <c r="A964" s="10"/>
      <c r="B964" s="13"/>
      <c r="C964" s="13"/>
    </row>
    <row r="965" spans="1:3" ht="13" x14ac:dyDescent="0.15">
      <c r="A965" s="10"/>
      <c r="B965" s="13"/>
      <c r="C965" s="13"/>
    </row>
    <row r="966" spans="1:3" ht="13" x14ac:dyDescent="0.15">
      <c r="A966" s="10"/>
      <c r="B966" s="13"/>
      <c r="C966" s="13"/>
    </row>
    <row r="967" spans="1:3" ht="13" x14ac:dyDescent="0.15">
      <c r="A967" s="10"/>
      <c r="B967" s="13"/>
      <c r="C967" s="13"/>
    </row>
    <row r="968" spans="1:3" ht="13" x14ac:dyDescent="0.15">
      <c r="A968" s="10"/>
      <c r="B968" s="13"/>
      <c r="C968" s="13"/>
    </row>
    <row r="969" spans="1:3" ht="13" x14ac:dyDescent="0.15">
      <c r="A969" s="10"/>
      <c r="B969" s="13"/>
      <c r="C969" s="13"/>
    </row>
    <row r="970" spans="1:3" ht="13" x14ac:dyDescent="0.15">
      <c r="A970" s="10"/>
      <c r="B970" s="13"/>
      <c r="C970" s="13"/>
    </row>
    <row r="971" spans="1:3" ht="13" x14ac:dyDescent="0.15">
      <c r="A971" s="10"/>
      <c r="B971" s="13"/>
      <c r="C971" s="13"/>
    </row>
    <row r="972" spans="1:3" ht="13" x14ac:dyDescent="0.15">
      <c r="A972" s="10"/>
      <c r="B972" s="13"/>
      <c r="C972" s="13"/>
    </row>
    <row r="973" spans="1:3" ht="13" x14ac:dyDescent="0.15">
      <c r="A973" s="10"/>
      <c r="B973" s="13"/>
      <c r="C973" s="13"/>
    </row>
    <row r="974" spans="1:3" ht="13" x14ac:dyDescent="0.15">
      <c r="A974" s="10"/>
      <c r="B974" s="13"/>
      <c r="C974" s="13"/>
    </row>
    <row r="975" spans="1:3" ht="13" x14ac:dyDescent="0.15">
      <c r="A975" s="10"/>
      <c r="B975" s="13"/>
      <c r="C975" s="13"/>
    </row>
    <row r="976" spans="1:3" ht="13" x14ac:dyDescent="0.15">
      <c r="A976" s="10"/>
      <c r="B976" s="13"/>
      <c r="C976" s="13"/>
    </row>
    <row r="977" spans="1:3" ht="13" x14ac:dyDescent="0.15">
      <c r="A977" s="10"/>
      <c r="B977" s="13"/>
      <c r="C977" s="13"/>
    </row>
    <row r="978" spans="1:3" ht="13" x14ac:dyDescent="0.15">
      <c r="A978" s="10"/>
      <c r="B978" s="13"/>
      <c r="C978" s="13"/>
    </row>
    <row r="979" spans="1:3" ht="13" x14ac:dyDescent="0.15">
      <c r="A979" s="10"/>
      <c r="B979" s="13"/>
      <c r="C979" s="13"/>
    </row>
    <row r="980" spans="1:3" ht="13" x14ac:dyDescent="0.15">
      <c r="A980" s="10"/>
      <c r="B980" s="13"/>
      <c r="C980" s="13"/>
    </row>
    <row r="981" spans="1:3" ht="13" x14ac:dyDescent="0.15">
      <c r="A981" s="10"/>
      <c r="B981" s="13"/>
      <c r="C981" s="13"/>
    </row>
    <row r="982" spans="1:3" ht="13" x14ac:dyDescent="0.15">
      <c r="A982" s="10"/>
      <c r="B982" s="13"/>
      <c r="C982" s="13"/>
    </row>
    <row r="983" spans="1:3" ht="13" x14ac:dyDescent="0.15">
      <c r="A983" s="10"/>
      <c r="B983" s="13"/>
      <c r="C983" s="13"/>
    </row>
    <row r="984" spans="1:3" ht="13" x14ac:dyDescent="0.15">
      <c r="A984" s="10"/>
      <c r="B984" s="13"/>
      <c r="C984" s="13"/>
    </row>
    <row r="985" spans="1:3" ht="13" x14ac:dyDescent="0.15">
      <c r="A985" s="10"/>
      <c r="B985" s="13"/>
      <c r="C985" s="13"/>
    </row>
    <row r="986" spans="1:3" ht="13" x14ac:dyDescent="0.15">
      <c r="A986" s="10"/>
      <c r="B986" s="13"/>
      <c r="C986" s="13"/>
    </row>
    <row r="987" spans="1:3" ht="13" x14ac:dyDescent="0.15">
      <c r="A987" s="10"/>
      <c r="B987" s="13"/>
      <c r="C987" s="13"/>
    </row>
    <row r="988" spans="1:3" ht="13" x14ac:dyDescent="0.15">
      <c r="A988" s="10"/>
      <c r="B988" s="13"/>
      <c r="C988" s="13"/>
    </row>
    <row r="989" spans="1:3" ht="13" x14ac:dyDescent="0.15">
      <c r="A989" s="10"/>
      <c r="B989" s="13"/>
      <c r="C989" s="13"/>
    </row>
    <row r="990" spans="1:3" ht="13" x14ac:dyDescent="0.15">
      <c r="A990" s="10"/>
      <c r="B990" s="13"/>
      <c r="C990" s="13"/>
    </row>
    <row r="991" spans="1:3" ht="13" x14ac:dyDescent="0.15">
      <c r="A991" s="10"/>
      <c r="B991" s="13"/>
      <c r="C991" s="13"/>
    </row>
    <row r="992" spans="1:3" ht="13" x14ac:dyDescent="0.15">
      <c r="A992" s="10"/>
      <c r="B992" s="13"/>
      <c r="C992" s="13"/>
    </row>
    <row r="993" spans="1:3" ht="13" x14ac:dyDescent="0.15">
      <c r="A993" s="10"/>
      <c r="B993" s="13"/>
      <c r="C993" s="13"/>
    </row>
    <row r="994" spans="1:3" ht="13" x14ac:dyDescent="0.15">
      <c r="A994" s="10"/>
      <c r="B994" s="13"/>
      <c r="C994" s="13"/>
    </row>
    <row r="995" spans="1:3" ht="13" x14ac:dyDescent="0.15">
      <c r="A995" s="10"/>
      <c r="B995" s="13"/>
      <c r="C995" s="13"/>
    </row>
    <row r="996" spans="1:3" ht="13" x14ac:dyDescent="0.15">
      <c r="A996" s="10"/>
      <c r="B996" s="13"/>
      <c r="C996" s="13"/>
    </row>
    <row r="997" spans="1:3" ht="13" x14ac:dyDescent="0.15">
      <c r="A997" s="10"/>
      <c r="B997" s="13"/>
      <c r="C997" s="13"/>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outlinePr summaryBelow="0" summaryRight="0"/>
  </sheetPr>
  <dimension ref="A1:D997"/>
  <sheetViews>
    <sheetView workbookViewId="0"/>
  </sheetViews>
  <sheetFormatPr baseColWidth="10" defaultColWidth="12.6640625" defaultRowHeight="15.75" customHeight="1" x14ac:dyDescent="0.15"/>
  <cols>
    <col min="1" max="1" width="71.5" customWidth="1"/>
    <col min="2" max="4" width="37.6640625" customWidth="1"/>
  </cols>
  <sheetData>
    <row r="1" spans="1:4" ht="15.75" customHeight="1" x14ac:dyDescent="0.15">
      <c r="A1" s="1"/>
      <c r="B1" s="12" t="str">
        <f ca="1">IFERROR(__xludf.DUMMYFUNCTION("IMPORTRANGE(""https://docs.google.com/spreadsheets/d/19FYWDv6QyCNB_zbElAOE5cOI1IJ2jraXGOFWNs-qsQM"",""A58!B1:B22"")"),"Braden Brennan")</f>
        <v>Braden Brennan</v>
      </c>
      <c r="C1" s="10" t="str">
        <f ca="1">IFERROR(__xludf.DUMMYFUNCTION("IMPORTRANGE(""https://docs.google.com/spreadsheets/u/0/d/1etLQb97lMSNWG4ebq9e4mMf5V6Y_IPpBxMswZpIG47E"", ""A58!B1:B22"")"),"Erin")</f>
        <v>Erin</v>
      </c>
      <c r="D1" s="2" t="s">
        <v>1</v>
      </c>
    </row>
    <row r="2" spans="1:4" ht="15.75" customHeight="1" x14ac:dyDescent="0.15">
      <c r="A2" s="3" t="s">
        <v>2</v>
      </c>
      <c r="B2" s="15" t="str">
        <f ca="1">IFERROR(__xludf.DUMMYFUNCTION("""COMPUTED_VALUE"""),"32711 - 32962")</f>
        <v>32711 - 32962</v>
      </c>
      <c r="C2" s="15" t="str">
        <f ca="1">IFERROR(__xludf.DUMMYFUNCTION("""COMPUTED_VALUE"""),"32711 - 32962 FOR")</f>
        <v>32711 - 32962 FOR</v>
      </c>
      <c r="D2" s="4"/>
    </row>
    <row r="3" spans="1:4" ht="15.75" customHeight="1" x14ac:dyDescent="0.15">
      <c r="A3" s="5" t="s">
        <v>3</v>
      </c>
      <c r="B3" s="17" t="str">
        <f ca="1">IFERROR(__xludf.DUMMYFUNCTION("""COMPUTED_VALUE"""),"Pham: 58 DNAM: 57")</f>
        <v>Pham: 58 DNAM: 57</v>
      </c>
      <c r="C3" s="17" t="str">
        <f ca="1">IFERROR(__xludf.DUMMYFUNCTION("""COMPUTED_VALUE"""),"DNA:57 Pham:58")</f>
        <v>DNA:57 Pham:58</v>
      </c>
      <c r="D3" s="6"/>
    </row>
    <row r="4" spans="1:4" ht="15.75" customHeight="1" x14ac:dyDescent="0.15">
      <c r="A4" s="5" t="s">
        <v>4</v>
      </c>
      <c r="B4" s="17" t="str">
        <f ca="1">IFERROR(__xludf.DUMMYFUNCTION("""COMPUTED_VALUE"""),"pham 218035   3/13/2025")</f>
        <v>pham 218035   3/13/2025</v>
      </c>
      <c r="C4" s="17" t="str">
        <f ca="1">IFERROR(__xludf.DUMMYFUNCTION("""COMPUTED_VALUE""")," 218035 (3/24/25)")</f>
        <v xml:space="preserve"> 218035 (3/24/25)</v>
      </c>
      <c r="D4" s="6"/>
    </row>
    <row r="5" spans="1:4" ht="15.75" customHeight="1" x14ac:dyDescent="0.15">
      <c r="A5" s="5" t="s">
        <v>5</v>
      </c>
      <c r="B5" s="17"/>
      <c r="C5" s="17" t="str">
        <f ca="1">IFERROR(__xludf.DUMMYFUNCTION("""COMPUTED_VALUE"""),"Kovu_56, YesChef_34")</f>
        <v>Kovu_56, YesChef_34</v>
      </c>
      <c r="D5" s="6"/>
    </row>
    <row r="6" spans="1:4" ht="15.75" customHeight="1" x14ac:dyDescent="0.15">
      <c r="A6" s="5" t="s">
        <v>6</v>
      </c>
      <c r="B6" s="17" t="str">
        <f ca="1">IFERROR(__xludf.DUMMYFUNCTION("""COMPUTED_VALUE"""),"Glimmer call 32711 strength 4.47")</f>
        <v>Glimmer call 32711 strength 4.47</v>
      </c>
      <c r="C6" s="17" t="str">
        <f ca="1">IFERROR(__xludf.DUMMYFUNCTION("""COMPUTED_VALUE"""),"Both call start @ 32711")</f>
        <v>Both call start @ 32711</v>
      </c>
      <c r="D6" s="6"/>
    </row>
    <row r="7" spans="1:4" ht="15.75" customHeight="1" x14ac:dyDescent="0.15">
      <c r="A7" s="5" t="s">
        <v>7</v>
      </c>
      <c r="B7" s="17" t="str">
        <f ca="1">IFERROR(__xludf.DUMMYFUNCTION("""COMPUTED_VALUE"""),"gene has good coding potential ")</f>
        <v xml:space="preserve">gene has good coding potential </v>
      </c>
      <c r="C7" s="17" t="str">
        <f ca="1">IFERROR(__xludf.DUMMYFUNCTION("""COMPUTED_VALUE"""),"Gene has good coding potential, including start")</f>
        <v>Gene has good coding potential, including start</v>
      </c>
      <c r="D7" s="6"/>
    </row>
    <row r="8" spans="1:4" ht="15.75" customHeight="1" x14ac:dyDescent="0.15">
      <c r="A8" s="5" t="s">
        <v>8</v>
      </c>
      <c r="B8" s="17" t="str">
        <f ca="1">IFERROR(__xludf.DUMMYFUNCTION("""COMPUTED_VALUE"""),"No it looks like it could be longer")</f>
        <v>No it looks like it could be longer</v>
      </c>
      <c r="C8" s="17" t="str">
        <f ca="1">IFERROR(__xludf.DUMMYFUNCTION("""COMPUTED_VALUE"""),"No, longest frame is at start 32594")</f>
        <v>No, longest frame is at start 32594</v>
      </c>
      <c r="D8" s="6"/>
    </row>
    <row r="9" spans="1:4" ht="15.75" customHeight="1" x14ac:dyDescent="0.15">
      <c r="A9" s="5" t="s">
        <v>9</v>
      </c>
      <c r="B9" s="17" t="str">
        <f ca="1">IFERROR(__xludf.DUMMYFUNCTION("""COMPUTED_VALUE"""),"Yes it has a three nucleotide overlap with the previous gene")</f>
        <v>Yes it has a three nucleotide overlap with the previous gene</v>
      </c>
      <c r="C9" s="17" t="str">
        <f ca="1">IFERROR(__xludf.DUMMYFUNCTION("""COMPUTED_VALUE"""),"3 nucleotide overlap")</f>
        <v>3 nucleotide overlap</v>
      </c>
      <c r="D9" s="6"/>
    </row>
    <row r="10" spans="1:4" ht="15.75" customHeight="1" x14ac:dyDescent="0.15">
      <c r="A10" s="5" t="s">
        <v>10</v>
      </c>
      <c r="B10" s="17" t="str">
        <f ca="1">IFERROR(__xludf.DUMMYFUNCTION("""COMPUTED_VALUE"""),"SD:-4.012, Z:1.906, Final -5.058")</f>
        <v>SD:-4.012, Z:1.906, Final -5.058</v>
      </c>
      <c r="C10" s="17" t="str">
        <f ca="1">IFERROR(__xludf.DUMMYFUNCTION("""COMPUTED_VALUE"""),"1.869 z-score, best z-score is for start @ 32594 for 2.346")</f>
        <v>1.869 z-score, best z-score is for start @ 32594 for 2.346</v>
      </c>
      <c r="D10" s="6"/>
    </row>
    <row r="11" spans="1:4" ht="15.75" customHeight="1" x14ac:dyDescent="0.15">
      <c r="A11" s="5" t="s">
        <v>11</v>
      </c>
      <c r="B11" s="17" t="str">
        <f ca="1">IFERROR(__xludf.DUMMYFUNCTION("""COMPUTED_VALUE"""),"hypothetical protein SEA_Kovu_56, 80.95% identity, E:9.1E-40")</f>
        <v>hypothetical protein SEA_Kovu_56, 80.95% identity, E:9.1E-40</v>
      </c>
      <c r="C11" s="17" t="str">
        <f ca="1">IFERROR(__xludf.DUMMYFUNCTION("""COMPUTED_VALUE"""),"Kovu_56, 80.95% identity, 9.1e-40, q:84, s:84")</f>
        <v>Kovu_56, 80.95% identity, 9.1e-40, q:84, s:84</v>
      </c>
      <c r="D11" s="6"/>
    </row>
    <row r="12" spans="1:4" ht="15.75" customHeight="1" x14ac:dyDescent="0.15">
      <c r="A12" s="5" t="s">
        <v>12</v>
      </c>
      <c r="B12" s="17" t="str">
        <f ca="1">IFERROR(__xludf.DUMMYFUNCTION("""COMPUTED_VALUE"""),"start 21 Found in 1 of 49")</f>
        <v>start 21 Found in 1 of 49</v>
      </c>
      <c r="C12" s="17" t="str">
        <f ca="1">IFERROR(__xludf.DUMMYFUNCTION("""COMPUTED_VALUE"""),"Not found in all members, called 100% time when present")</f>
        <v>Not found in all members, called 100% time when present</v>
      </c>
      <c r="D12" s="6"/>
    </row>
    <row r="13" spans="1:4" ht="15.75" customHeight="1" x14ac:dyDescent="0.15">
      <c r="A13" s="5" t="s">
        <v>13</v>
      </c>
      <c r="B13" s="17" t="str">
        <f ca="1">IFERROR(__xludf.DUMMYFUNCTION("""COMPUTED_VALUE"""),"No, would lead to an overlap but it would have the same start as Kovu's related gene")</f>
        <v>No, would lead to an overlap but it would have the same start as Kovu's related gene</v>
      </c>
      <c r="C13" s="17" t="str">
        <f ca="1">IFERROR(__xludf.DUMMYFUNCTION("""COMPUTED_VALUE"""),"No")</f>
        <v>No</v>
      </c>
      <c r="D13" s="6"/>
    </row>
    <row r="14" spans="1:4" ht="15.75" customHeight="1" x14ac:dyDescent="0.15">
      <c r="A14" s="5" t="s">
        <v>14</v>
      </c>
      <c r="B14" s="17" t="str">
        <f ca="1">IFERROR(__xludf.DUMMYFUNCTION("""COMPUTED_VALUE"""),"No given function for any homologous genes")</f>
        <v>No given function for any homologous genes</v>
      </c>
      <c r="C14" s="17" t="str">
        <f ca="1">IFERROR(__xludf.DUMMYFUNCTION("""COMPUTED_VALUE"""),"Kovu_56, 6e-33")</f>
        <v>Kovu_56, 6e-33</v>
      </c>
      <c r="D14" s="6"/>
    </row>
    <row r="15" spans="1:4" ht="15.75" customHeight="1" x14ac:dyDescent="0.15">
      <c r="A15" s="5" t="s">
        <v>15</v>
      </c>
      <c r="B15" s="17" t="str">
        <f ca="1">IFERROR(__xludf.DUMMYFUNCTION("""COMPUTED_VALUE"""),"No given function for any homologous genes. does this gene have no purpose or has it not been found yet?")</f>
        <v>No given function for any homologous genes. does this gene have no purpose or has it not been found yet?</v>
      </c>
      <c r="C15" s="17" t="str">
        <f ca="1">IFERROR(__xludf.DUMMYFUNCTION("""COMPUTED_VALUE"""),"function unknown")</f>
        <v>function unknown</v>
      </c>
      <c r="D15" s="6"/>
    </row>
    <row r="16" spans="1:4" ht="15.75" customHeight="1" x14ac:dyDescent="0.15">
      <c r="A16" s="5" t="s">
        <v>16</v>
      </c>
      <c r="B16" s="17" t="str">
        <f ca="1">IFERROR(__xludf.DUMMYFUNCTION("""COMPUTED_VALUE"""),"The adjacent genes match well with their Kovu counterparts (82% according to pham)")</f>
        <v>The adjacent genes match well with their Kovu counterparts (82% according to pham)</v>
      </c>
      <c r="C16" s="17" t="str">
        <f ca="1">IFERROR(__xludf.DUMMYFUNCTION("""COMPUTED_VALUE"""),"Found in similar environment in Kovu")</f>
        <v>Found in similar environment in Kovu</v>
      </c>
      <c r="D16" s="6"/>
    </row>
    <row r="17" spans="1:4" ht="15.75" customHeight="1" x14ac:dyDescent="0.15">
      <c r="A17" s="5" t="s">
        <v>17</v>
      </c>
      <c r="B17" s="17" t="str">
        <f ca="1">IFERROR(__xludf.DUMMYFUNCTION("""COMPUTED_VALUE"""),"putative acetylornithine deacetylase, Probability: 81.45%, % alignment of Q: 57.83,  % alignment of T: 11.09")</f>
        <v>putative acetylornithine deacetylase, Probability: 81.45%, % alignment of Q: 57.83,  % alignment of T: 11.09</v>
      </c>
      <c r="C17" s="17" t="str">
        <f ca="1">IFERROR(__xludf.DUMMYFUNCTION("""COMPUTED_VALUE"""),"8FMW_W:Ribosomal subunit interface protein; hibernating ribosome, bacterial, pathogen, q:83.13%, t:98.97%, functional domain is apart of target part")</f>
        <v>8FMW_W:Ribosomal subunit interface protein; hibernating ribosome, bacterial, pathogen, q:83.13%, t:98.97%, functional domain is apart of target part</v>
      </c>
      <c r="D17" s="6"/>
    </row>
    <row r="18" spans="1:4" ht="15.75" customHeight="1" x14ac:dyDescent="0.15">
      <c r="A18" s="5" t="s">
        <v>18</v>
      </c>
      <c r="B18" s="17" t="str">
        <f ca="1">IFERROR(__xludf.DUMMYFUNCTION("""COMPUTED_VALUE"""),"Phamerator shows no listed domains")</f>
        <v>Phamerator shows no listed domains</v>
      </c>
      <c r="C18" s="17" t="str">
        <f ca="1">IFERROR(__xludf.DUMMYFUNCTION("""COMPUTED_VALUE"""),"None")</f>
        <v>None</v>
      </c>
      <c r="D18" s="6"/>
    </row>
    <row r="19" spans="1:4" ht="15.75" customHeight="1" x14ac:dyDescent="0.15">
      <c r="A19" s="5" t="s">
        <v>19</v>
      </c>
      <c r="B19" s="17" t="str">
        <f ca="1">IFERROR(__xludf.DUMMYFUNCTION("""COMPUTED_VALUE"""),"Inside probability 1")</f>
        <v>Inside probability 1</v>
      </c>
      <c r="C19" s="17" t="str">
        <f ca="1">IFERROR(__xludf.DUMMYFUNCTION("""COMPUTED_VALUE"""),"None")</f>
        <v>None</v>
      </c>
      <c r="D19" s="6"/>
    </row>
    <row r="20" spans="1:4" ht="15.75" customHeight="1" x14ac:dyDescent="0.15">
      <c r="A20" s="5" t="s">
        <v>20</v>
      </c>
      <c r="B20" s="17" t="str">
        <f ca="1">IFERROR(__xludf.DUMMYFUNCTION("""COMPUTED_VALUE"""),"hypothetical protein ")</f>
        <v xml:space="preserve">hypothetical protein </v>
      </c>
      <c r="C20" s="17" t="str">
        <f ca="1">IFERROR(__xludf.DUMMYFUNCTION("""COMPUTED_VALUE"""),"Hypothetical Protein")</f>
        <v>Hypothetical Protein</v>
      </c>
      <c r="D20" s="6"/>
    </row>
    <row r="21" spans="1:4" x14ac:dyDescent="0.2">
      <c r="A21" s="7"/>
      <c r="B21" s="19"/>
      <c r="C21" s="19"/>
      <c r="D21" s="8"/>
    </row>
    <row r="22" spans="1:4" ht="15.75" customHeight="1" x14ac:dyDescent="0.15">
      <c r="A22" s="9" t="s">
        <v>21</v>
      </c>
      <c r="B22" s="19"/>
      <c r="C22" s="19"/>
      <c r="D22" s="8"/>
    </row>
    <row r="23" spans="1:4" ht="15.75" customHeight="1" x14ac:dyDescent="0.15">
      <c r="A23" s="10"/>
      <c r="B23" s="13"/>
      <c r="C23" s="13"/>
    </row>
    <row r="24" spans="1:4" ht="15.75" customHeight="1" x14ac:dyDescent="0.15">
      <c r="A24" s="10"/>
      <c r="B24" s="13"/>
      <c r="C24" s="13"/>
    </row>
    <row r="25" spans="1:4" ht="15.75" customHeight="1" x14ac:dyDescent="0.15">
      <c r="A25" s="10"/>
      <c r="B25" s="13"/>
      <c r="C25" s="13"/>
    </row>
    <row r="26" spans="1:4" ht="15.75" customHeight="1" x14ac:dyDescent="0.15">
      <c r="A26" s="10"/>
      <c r="B26" s="13"/>
      <c r="C26" s="13"/>
    </row>
    <row r="27" spans="1:4" ht="15.75" customHeight="1" x14ac:dyDescent="0.15">
      <c r="A27" s="10"/>
      <c r="B27" s="13"/>
      <c r="C27" s="13"/>
    </row>
    <row r="28" spans="1:4" ht="15.75" customHeight="1" x14ac:dyDescent="0.15">
      <c r="A28" s="10"/>
      <c r="B28" s="13"/>
      <c r="C28" s="13"/>
    </row>
    <row r="29" spans="1:4" ht="15.75" customHeight="1" x14ac:dyDescent="0.15">
      <c r="A29" s="10"/>
      <c r="B29" s="13"/>
      <c r="C29" s="13"/>
    </row>
    <row r="30" spans="1:4" ht="15.75" customHeight="1" x14ac:dyDescent="0.15">
      <c r="A30" s="10"/>
      <c r="B30" s="13"/>
      <c r="C30" s="13"/>
    </row>
    <row r="31" spans="1:4" ht="15.75" customHeight="1" x14ac:dyDescent="0.15">
      <c r="A31" s="10"/>
      <c r="B31" s="13"/>
      <c r="C31" s="13"/>
    </row>
    <row r="32" spans="1:4" ht="15.75" customHeight="1" x14ac:dyDescent="0.15">
      <c r="A32" s="10"/>
      <c r="B32" s="13"/>
      <c r="C32" s="13"/>
    </row>
    <row r="33" spans="1:3" ht="15.75" customHeight="1" x14ac:dyDescent="0.15">
      <c r="A33" s="10"/>
      <c r="B33" s="13"/>
      <c r="C33" s="13"/>
    </row>
    <row r="34" spans="1:3" ht="15.75" customHeight="1" x14ac:dyDescent="0.15">
      <c r="A34" s="10"/>
      <c r="B34" s="13"/>
      <c r="C34" s="13"/>
    </row>
    <row r="35" spans="1:3" ht="15.75" customHeight="1" x14ac:dyDescent="0.15">
      <c r="A35" s="10"/>
      <c r="B35" s="13"/>
      <c r="C35" s="13"/>
    </row>
    <row r="36" spans="1:3" ht="15.75" customHeight="1" x14ac:dyDescent="0.15">
      <c r="A36" s="10"/>
      <c r="B36" s="13"/>
      <c r="C36" s="13"/>
    </row>
    <row r="37" spans="1:3" ht="15.75" customHeight="1" x14ac:dyDescent="0.15">
      <c r="A37" s="10"/>
      <c r="B37" s="13"/>
      <c r="C37" s="13"/>
    </row>
    <row r="38" spans="1:3" ht="15.75" customHeight="1" x14ac:dyDescent="0.15">
      <c r="A38" s="10"/>
      <c r="B38" s="13"/>
      <c r="C38" s="13"/>
    </row>
    <row r="39" spans="1:3" ht="13" x14ac:dyDescent="0.15">
      <c r="A39" s="10"/>
      <c r="B39" s="13"/>
      <c r="C39" s="13"/>
    </row>
    <row r="40" spans="1:3" ht="13" x14ac:dyDescent="0.15">
      <c r="A40" s="10"/>
      <c r="B40" s="13"/>
      <c r="C40" s="13"/>
    </row>
    <row r="41" spans="1:3" ht="13" x14ac:dyDescent="0.15">
      <c r="A41" s="10"/>
      <c r="B41" s="13"/>
      <c r="C41" s="13"/>
    </row>
    <row r="42" spans="1:3" ht="13" x14ac:dyDescent="0.15">
      <c r="A42" s="10"/>
      <c r="B42" s="13"/>
      <c r="C42" s="13"/>
    </row>
    <row r="43" spans="1:3" ht="13" x14ac:dyDescent="0.15">
      <c r="A43" s="10"/>
      <c r="B43" s="13"/>
      <c r="C43" s="13"/>
    </row>
    <row r="44" spans="1:3" ht="13" x14ac:dyDescent="0.15">
      <c r="A44" s="10"/>
      <c r="B44" s="13"/>
      <c r="C44" s="13"/>
    </row>
    <row r="45" spans="1:3" ht="13" x14ac:dyDescent="0.15">
      <c r="A45" s="10"/>
      <c r="B45" s="13"/>
      <c r="C45" s="13"/>
    </row>
    <row r="46" spans="1:3" ht="13" x14ac:dyDescent="0.15">
      <c r="A46" s="10"/>
      <c r="B46" s="13"/>
      <c r="C46" s="13"/>
    </row>
    <row r="47" spans="1:3" ht="13" x14ac:dyDescent="0.15">
      <c r="A47" s="10"/>
      <c r="B47" s="13"/>
      <c r="C47" s="13"/>
    </row>
    <row r="48" spans="1:3" ht="13" x14ac:dyDescent="0.15">
      <c r="A48" s="10"/>
      <c r="B48" s="13"/>
      <c r="C48" s="13"/>
    </row>
    <row r="49" spans="1:3" ht="13" x14ac:dyDescent="0.15">
      <c r="A49" s="10"/>
      <c r="B49" s="13"/>
      <c r="C49" s="13"/>
    </row>
    <row r="50" spans="1:3" ht="13" x14ac:dyDescent="0.15">
      <c r="A50" s="10"/>
      <c r="B50" s="13"/>
      <c r="C50" s="13"/>
    </row>
    <row r="51" spans="1:3" ht="13" x14ac:dyDescent="0.15">
      <c r="A51" s="10"/>
      <c r="B51" s="13"/>
      <c r="C51" s="13"/>
    </row>
    <row r="52" spans="1:3" ht="13" x14ac:dyDescent="0.15">
      <c r="A52" s="10"/>
      <c r="B52" s="13"/>
      <c r="C52" s="13"/>
    </row>
    <row r="53" spans="1:3" ht="13" x14ac:dyDescent="0.15">
      <c r="A53" s="10"/>
      <c r="B53" s="13"/>
      <c r="C53" s="13"/>
    </row>
    <row r="54" spans="1:3" ht="13" x14ac:dyDescent="0.15">
      <c r="A54" s="10"/>
      <c r="B54" s="13"/>
      <c r="C54" s="13"/>
    </row>
    <row r="55" spans="1:3" ht="13" x14ac:dyDescent="0.15">
      <c r="A55" s="10"/>
      <c r="B55" s="13"/>
      <c r="C55" s="13"/>
    </row>
    <row r="56" spans="1:3" ht="13" x14ac:dyDescent="0.15">
      <c r="A56" s="10"/>
      <c r="B56" s="13"/>
      <c r="C56" s="13"/>
    </row>
    <row r="57" spans="1:3" ht="13" x14ac:dyDescent="0.15">
      <c r="A57" s="10"/>
      <c r="B57" s="13"/>
      <c r="C57" s="13"/>
    </row>
    <row r="58" spans="1:3" ht="13" x14ac:dyDescent="0.15">
      <c r="A58" s="10"/>
      <c r="B58" s="13"/>
      <c r="C58" s="13"/>
    </row>
    <row r="59" spans="1:3" ht="13" x14ac:dyDescent="0.15">
      <c r="A59" s="10"/>
      <c r="B59" s="13"/>
      <c r="C59" s="13"/>
    </row>
    <row r="60" spans="1:3" ht="13" x14ac:dyDescent="0.15">
      <c r="A60" s="10"/>
      <c r="B60" s="13"/>
      <c r="C60" s="13"/>
    </row>
    <row r="61" spans="1:3" ht="13" x14ac:dyDescent="0.15">
      <c r="A61" s="10"/>
      <c r="B61" s="13"/>
      <c r="C61" s="13"/>
    </row>
    <row r="62" spans="1:3" ht="13" x14ac:dyDescent="0.15">
      <c r="A62" s="10"/>
      <c r="B62" s="13"/>
      <c r="C62" s="13"/>
    </row>
    <row r="63" spans="1:3" ht="13" x14ac:dyDescent="0.15">
      <c r="A63" s="10"/>
      <c r="B63" s="13"/>
      <c r="C63" s="13"/>
    </row>
    <row r="64" spans="1:3" ht="13" x14ac:dyDescent="0.15">
      <c r="A64" s="10"/>
      <c r="B64" s="13"/>
      <c r="C64" s="13"/>
    </row>
    <row r="65" spans="1:3" ht="13" x14ac:dyDescent="0.15">
      <c r="A65" s="10"/>
      <c r="B65" s="13"/>
      <c r="C65" s="13"/>
    </row>
    <row r="66" spans="1:3" ht="13" x14ac:dyDescent="0.15">
      <c r="A66" s="10"/>
      <c r="B66" s="13"/>
      <c r="C66" s="13"/>
    </row>
    <row r="67" spans="1:3" ht="13" x14ac:dyDescent="0.15">
      <c r="A67" s="10"/>
      <c r="B67" s="13"/>
      <c r="C67" s="13"/>
    </row>
    <row r="68" spans="1:3" ht="13" x14ac:dyDescent="0.15">
      <c r="A68" s="10"/>
      <c r="B68" s="13"/>
      <c r="C68" s="13"/>
    </row>
    <row r="69" spans="1:3" ht="13" x14ac:dyDescent="0.15">
      <c r="A69" s="10"/>
      <c r="B69" s="13"/>
      <c r="C69" s="13"/>
    </row>
    <row r="70" spans="1:3" ht="13" x14ac:dyDescent="0.15">
      <c r="A70" s="10"/>
      <c r="B70" s="13"/>
      <c r="C70" s="13"/>
    </row>
    <row r="71" spans="1:3" ht="13" x14ac:dyDescent="0.15">
      <c r="A71" s="10"/>
      <c r="B71" s="13"/>
      <c r="C71" s="13"/>
    </row>
    <row r="72" spans="1:3" ht="13" x14ac:dyDescent="0.15">
      <c r="A72" s="10"/>
      <c r="B72" s="13"/>
      <c r="C72" s="13"/>
    </row>
    <row r="73" spans="1:3" ht="13" x14ac:dyDescent="0.15">
      <c r="A73" s="10"/>
      <c r="B73" s="13"/>
      <c r="C73" s="13"/>
    </row>
    <row r="74" spans="1:3" ht="13" x14ac:dyDescent="0.15">
      <c r="A74" s="10"/>
      <c r="B74" s="13"/>
      <c r="C74" s="13"/>
    </row>
    <row r="75" spans="1:3" ht="13" x14ac:dyDescent="0.15">
      <c r="A75" s="10"/>
      <c r="B75" s="13"/>
      <c r="C75" s="13"/>
    </row>
    <row r="76" spans="1:3" ht="13" x14ac:dyDescent="0.15">
      <c r="A76" s="10"/>
      <c r="B76" s="13"/>
      <c r="C76" s="13"/>
    </row>
    <row r="77" spans="1:3" ht="13" x14ac:dyDescent="0.15">
      <c r="A77" s="10"/>
      <c r="B77" s="13"/>
      <c r="C77" s="13"/>
    </row>
    <row r="78" spans="1:3" ht="13" x14ac:dyDescent="0.15">
      <c r="A78" s="10"/>
      <c r="B78" s="13"/>
      <c r="C78" s="13"/>
    </row>
    <row r="79" spans="1:3" ht="13" x14ac:dyDescent="0.15">
      <c r="A79" s="10"/>
      <c r="B79" s="13"/>
      <c r="C79" s="13"/>
    </row>
    <row r="80" spans="1:3" ht="13" x14ac:dyDescent="0.15">
      <c r="A80" s="10"/>
      <c r="B80" s="13"/>
      <c r="C80" s="13"/>
    </row>
    <row r="81" spans="1:3" ht="13" x14ac:dyDescent="0.15">
      <c r="A81" s="10"/>
      <c r="B81" s="13"/>
      <c r="C81" s="13"/>
    </row>
    <row r="82" spans="1:3" ht="13" x14ac:dyDescent="0.15">
      <c r="A82" s="10"/>
      <c r="B82" s="13"/>
      <c r="C82" s="13"/>
    </row>
    <row r="83" spans="1:3" ht="13" x14ac:dyDescent="0.15">
      <c r="A83" s="10"/>
      <c r="B83" s="13"/>
      <c r="C83" s="13"/>
    </row>
    <row r="84" spans="1:3" ht="13" x14ac:dyDescent="0.15">
      <c r="A84" s="10"/>
      <c r="B84" s="13"/>
      <c r="C84" s="13"/>
    </row>
    <row r="85" spans="1:3" ht="13" x14ac:dyDescent="0.15">
      <c r="A85" s="10"/>
      <c r="B85" s="13"/>
      <c r="C85" s="13"/>
    </row>
    <row r="86" spans="1:3" ht="13" x14ac:dyDescent="0.15">
      <c r="A86" s="10"/>
      <c r="B86" s="13"/>
      <c r="C86" s="13"/>
    </row>
    <row r="87" spans="1:3" ht="13" x14ac:dyDescent="0.15">
      <c r="A87" s="10"/>
      <c r="B87" s="13"/>
      <c r="C87" s="13"/>
    </row>
    <row r="88" spans="1:3" ht="13" x14ac:dyDescent="0.15">
      <c r="A88" s="10"/>
      <c r="B88" s="13"/>
      <c r="C88" s="13"/>
    </row>
    <row r="89" spans="1:3" ht="13" x14ac:dyDescent="0.15">
      <c r="A89" s="10"/>
      <c r="B89" s="13"/>
      <c r="C89" s="13"/>
    </row>
    <row r="90" spans="1:3" ht="13" x14ac:dyDescent="0.15">
      <c r="A90" s="10"/>
      <c r="B90" s="13"/>
      <c r="C90" s="13"/>
    </row>
    <row r="91" spans="1:3" ht="13" x14ac:dyDescent="0.15">
      <c r="A91" s="10"/>
      <c r="B91" s="13"/>
      <c r="C91" s="13"/>
    </row>
    <row r="92" spans="1:3" ht="13" x14ac:dyDescent="0.15">
      <c r="A92" s="10"/>
      <c r="B92" s="13"/>
      <c r="C92" s="13"/>
    </row>
    <row r="93" spans="1:3" ht="13" x14ac:dyDescent="0.15">
      <c r="A93" s="10"/>
      <c r="B93" s="13"/>
      <c r="C93" s="13"/>
    </row>
    <row r="94" spans="1:3" ht="13" x14ac:dyDescent="0.15">
      <c r="A94" s="10"/>
      <c r="B94" s="13"/>
      <c r="C94" s="13"/>
    </row>
    <row r="95" spans="1:3" ht="13" x14ac:dyDescent="0.15">
      <c r="A95" s="10"/>
      <c r="B95" s="13"/>
      <c r="C95" s="13"/>
    </row>
    <row r="96" spans="1:3" ht="13" x14ac:dyDescent="0.15">
      <c r="A96" s="10"/>
      <c r="B96" s="13"/>
      <c r="C96" s="13"/>
    </row>
    <row r="97" spans="1:3" ht="13" x14ac:dyDescent="0.15">
      <c r="A97" s="10"/>
      <c r="B97" s="13"/>
      <c r="C97" s="13"/>
    </row>
    <row r="98" spans="1:3" ht="13" x14ac:dyDescent="0.15">
      <c r="A98" s="10"/>
      <c r="B98" s="13"/>
      <c r="C98" s="13"/>
    </row>
    <row r="99" spans="1:3" ht="13" x14ac:dyDescent="0.15">
      <c r="A99" s="10"/>
      <c r="B99" s="13"/>
      <c r="C99" s="13"/>
    </row>
    <row r="100" spans="1:3" ht="13" x14ac:dyDescent="0.15">
      <c r="A100" s="10"/>
      <c r="B100" s="13"/>
      <c r="C100" s="13"/>
    </row>
    <row r="101" spans="1:3" ht="13" x14ac:dyDescent="0.15">
      <c r="A101" s="10"/>
      <c r="B101" s="13"/>
      <c r="C101" s="13"/>
    </row>
    <row r="102" spans="1:3" ht="13" x14ac:dyDescent="0.15">
      <c r="A102" s="10"/>
      <c r="B102" s="13"/>
      <c r="C102" s="13"/>
    </row>
    <row r="103" spans="1:3" ht="13" x14ac:dyDescent="0.15">
      <c r="A103" s="10"/>
      <c r="B103" s="13"/>
      <c r="C103" s="13"/>
    </row>
    <row r="104" spans="1:3" ht="13" x14ac:dyDescent="0.15">
      <c r="A104" s="10"/>
      <c r="B104" s="13"/>
      <c r="C104" s="13"/>
    </row>
    <row r="105" spans="1:3" ht="13" x14ac:dyDescent="0.15">
      <c r="A105" s="10"/>
      <c r="B105" s="13"/>
      <c r="C105" s="13"/>
    </row>
    <row r="106" spans="1:3" ht="13" x14ac:dyDescent="0.15">
      <c r="A106" s="10"/>
      <c r="B106" s="13"/>
      <c r="C106" s="13"/>
    </row>
    <row r="107" spans="1:3" ht="13" x14ac:dyDescent="0.15">
      <c r="A107" s="10"/>
      <c r="B107" s="13"/>
      <c r="C107" s="13"/>
    </row>
    <row r="108" spans="1:3" ht="13" x14ac:dyDescent="0.15">
      <c r="A108" s="10"/>
      <c r="B108" s="13"/>
      <c r="C108" s="13"/>
    </row>
    <row r="109" spans="1:3" ht="13" x14ac:dyDescent="0.15">
      <c r="A109" s="10"/>
      <c r="B109" s="13"/>
      <c r="C109" s="13"/>
    </row>
    <row r="110" spans="1:3" ht="13" x14ac:dyDescent="0.15">
      <c r="A110" s="10"/>
      <c r="B110" s="13"/>
      <c r="C110" s="13"/>
    </row>
    <row r="111" spans="1:3" ht="13" x14ac:dyDescent="0.15">
      <c r="A111" s="10"/>
      <c r="B111" s="13"/>
      <c r="C111" s="13"/>
    </row>
    <row r="112" spans="1:3" ht="13" x14ac:dyDescent="0.15">
      <c r="A112" s="10"/>
      <c r="B112" s="13"/>
      <c r="C112" s="13"/>
    </row>
    <row r="113" spans="1:3" ht="13" x14ac:dyDescent="0.15">
      <c r="A113" s="10"/>
      <c r="B113" s="13"/>
      <c r="C113" s="13"/>
    </row>
    <row r="114" spans="1:3" ht="13" x14ac:dyDescent="0.15">
      <c r="A114" s="10"/>
      <c r="B114" s="13"/>
      <c r="C114" s="13"/>
    </row>
    <row r="115" spans="1:3" ht="13" x14ac:dyDescent="0.15">
      <c r="A115" s="10"/>
      <c r="B115" s="13"/>
      <c r="C115" s="13"/>
    </row>
    <row r="116" spans="1:3" ht="13" x14ac:dyDescent="0.15">
      <c r="A116" s="10"/>
      <c r="B116" s="13"/>
      <c r="C116" s="13"/>
    </row>
    <row r="117" spans="1:3" ht="13" x14ac:dyDescent="0.15">
      <c r="A117" s="10"/>
      <c r="B117" s="13"/>
      <c r="C117" s="13"/>
    </row>
    <row r="118" spans="1:3" ht="13" x14ac:dyDescent="0.15">
      <c r="A118" s="10"/>
      <c r="B118" s="13"/>
      <c r="C118" s="13"/>
    </row>
    <row r="119" spans="1:3" ht="13" x14ac:dyDescent="0.15">
      <c r="A119" s="10"/>
      <c r="B119" s="13"/>
      <c r="C119" s="13"/>
    </row>
    <row r="120" spans="1:3" ht="13" x14ac:dyDescent="0.15">
      <c r="A120" s="10"/>
      <c r="B120" s="13"/>
      <c r="C120" s="13"/>
    </row>
    <row r="121" spans="1:3" ht="13" x14ac:dyDescent="0.15">
      <c r="A121" s="10"/>
      <c r="B121" s="13"/>
      <c r="C121" s="13"/>
    </row>
    <row r="122" spans="1:3" ht="13" x14ac:dyDescent="0.15">
      <c r="A122" s="10"/>
      <c r="B122" s="13"/>
      <c r="C122" s="13"/>
    </row>
    <row r="123" spans="1:3" ht="13" x14ac:dyDescent="0.15">
      <c r="A123" s="10"/>
      <c r="B123" s="13"/>
      <c r="C123" s="13"/>
    </row>
    <row r="124" spans="1:3" ht="13" x14ac:dyDescent="0.15">
      <c r="A124" s="10"/>
      <c r="B124" s="13"/>
      <c r="C124" s="13"/>
    </row>
    <row r="125" spans="1:3" ht="13" x14ac:dyDescent="0.15">
      <c r="A125" s="10"/>
      <c r="B125" s="13"/>
      <c r="C125" s="13"/>
    </row>
    <row r="126" spans="1:3" ht="13" x14ac:dyDescent="0.15">
      <c r="A126" s="10"/>
      <c r="B126" s="13"/>
      <c r="C126" s="13"/>
    </row>
    <row r="127" spans="1:3" ht="13" x14ac:dyDescent="0.15">
      <c r="A127" s="10"/>
      <c r="B127" s="13"/>
      <c r="C127" s="13"/>
    </row>
    <row r="128" spans="1:3" ht="13" x14ac:dyDescent="0.15">
      <c r="A128" s="10"/>
      <c r="B128" s="13"/>
      <c r="C128" s="13"/>
    </row>
    <row r="129" spans="1:3" ht="13" x14ac:dyDescent="0.15">
      <c r="A129" s="10"/>
      <c r="B129" s="13"/>
      <c r="C129" s="13"/>
    </row>
    <row r="130" spans="1:3" ht="13" x14ac:dyDescent="0.15">
      <c r="A130" s="10"/>
      <c r="B130" s="13"/>
      <c r="C130" s="13"/>
    </row>
    <row r="131" spans="1:3" ht="13" x14ac:dyDescent="0.15">
      <c r="A131" s="10"/>
      <c r="B131" s="13"/>
      <c r="C131" s="13"/>
    </row>
    <row r="132" spans="1:3" ht="13" x14ac:dyDescent="0.15">
      <c r="A132" s="10"/>
      <c r="B132" s="13"/>
      <c r="C132" s="13"/>
    </row>
    <row r="133" spans="1:3" ht="13" x14ac:dyDescent="0.15">
      <c r="A133" s="10"/>
      <c r="B133" s="13"/>
      <c r="C133" s="13"/>
    </row>
    <row r="134" spans="1:3" ht="13" x14ac:dyDescent="0.15">
      <c r="A134" s="10"/>
      <c r="B134" s="13"/>
      <c r="C134" s="13"/>
    </row>
    <row r="135" spans="1:3" ht="13" x14ac:dyDescent="0.15">
      <c r="A135" s="10"/>
      <c r="B135" s="13"/>
      <c r="C135" s="13"/>
    </row>
    <row r="136" spans="1:3" ht="13" x14ac:dyDescent="0.15">
      <c r="A136" s="10"/>
      <c r="B136" s="13"/>
      <c r="C136" s="13"/>
    </row>
    <row r="137" spans="1:3" ht="13" x14ac:dyDescent="0.15">
      <c r="A137" s="10"/>
      <c r="B137" s="13"/>
      <c r="C137" s="13"/>
    </row>
    <row r="138" spans="1:3" ht="13" x14ac:dyDescent="0.15">
      <c r="A138" s="10"/>
      <c r="B138" s="13"/>
      <c r="C138" s="13"/>
    </row>
    <row r="139" spans="1:3" ht="13" x14ac:dyDescent="0.15">
      <c r="A139" s="10"/>
      <c r="B139" s="13"/>
      <c r="C139" s="13"/>
    </row>
    <row r="140" spans="1:3" ht="13" x14ac:dyDescent="0.15">
      <c r="A140" s="10"/>
      <c r="B140" s="13"/>
      <c r="C140" s="13"/>
    </row>
    <row r="141" spans="1:3" ht="13" x14ac:dyDescent="0.15">
      <c r="A141" s="10"/>
      <c r="B141" s="13"/>
      <c r="C141" s="13"/>
    </row>
    <row r="142" spans="1:3" ht="13" x14ac:dyDescent="0.15">
      <c r="A142" s="10"/>
      <c r="B142" s="13"/>
      <c r="C142" s="13"/>
    </row>
    <row r="143" spans="1:3" ht="13" x14ac:dyDescent="0.15">
      <c r="A143" s="10"/>
      <c r="B143" s="13"/>
      <c r="C143" s="13"/>
    </row>
    <row r="144" spans="1:3" ht="13" x14ac:dyDescent="0.15">
      <c r="A144" s="10"/>
      <c r="B144" s="13"/>
      <c r="C144" s="13"/>
    </row>
    <row r="145" spans="1:3" ht="13" x14ac:dyDescent="0.15">
      <c r="A145" s="10"/>
      <c r="B145" s="13"/>
      <c r="C145" s="13"/>
    </row>
    <row r="146" spans="1:3" ht="13" x14ac:dyDescent="0.15">
      <c r="A146" s="10"/>
      <c r="B146" s="13"/>
      <c r="C146" s="13"/>
    </row>
    <row r="147" spans="1:3" ht="13" x14ac:dyDescent="0.15">
      <c r="A147" s="10"/>
      <c r="B147" s="13"/>
      <c r="C147" s="13"/>
    </row>
    <row r="148" spans="1:3" ht="13" x14ac:dyDescent="0.15">
      <c r="A148" s="10"/>
      <c r="B148" s="13"/>
      <c r="C148" s="13"/>
    </row>
    <row r="149" spans="1:3" ht="13" x14ac:dyDescent="0.15">
      <c r="A149" s="10"/>
      <c r="B149" s="13"/>
      <c r="C149" s="13"/>
    </row>
    <row r="150" spans="1:3" ht="13" x14ac:dyDescent="0.15">
      <c r="A150" s="10"/>
      <c r="B150" s="13"/>
      <c r="C150" s="13"/>
    </row>
    <row r="151" spans="1:3" ht="13" x14ac:dyDescent="0.15">
      <c r="A151" s="10"/>
      <c r="B151" s="13"/>
      <c r="C151" s="13"/>
    </row>
    <row r="152" spans="1:3" ht="13" x14ac:dyDescent="0.15">
      <c r="A152" s="10"/>
      <c r="B152" s="13"/>
      <c r="C152" s="13"/>
    </row>
    <row r="153" spans="1:3" ht="13" x14ac:dyDescent="0.15">
      <c r="A153" s="10"/>
      <c r="B153" s="13"/>
      <c r="C153" s="13"/>
    </row>
    <row r="154" spans="1:3" ht="13" x14ac:dyDescent="0.15">
      <c r="A154" s="10"/>
      <c r="B154" s="13"/>
      <c r="C154" s="13"/>
    </row>
    <row r="155" spans="1:3" ht="13" x14ac:dyDescent="0.15">
      <c r="A155" s="10"/>
      <c r="B155" s="13"/>
      <c r="C155" s="13"/>
    </row>
    <row r="156" spans="1:3" ht="13" x14ac:dyDescent="0.15">
      <c r="A156" s="10"/>
      <c r="B156" s="13"/>
      <c r="C156" s="13"/>
    </row>
    <row r="157" spans="1:3" ht="13" x14ac:dyDescent="0.15">
      <c r="A157" s="10"/>
      <c r="B157" s="13"/>
      <c r="C157" s="13"/>
    </row>
    <row r="158" spans="1:3" ht="13" x14ac:dyDescent="0.15">
      <c r="A158" s="10"/>
      <c r="B158" s="13"/>
      <c r="C158" s="13"/>
    </row>
    <row r="159" spans="1:3" ht="13" x14ac:dyDescent="0.15">
      <c r="A159" s="10"/>
      <c r="B159" s="13"/>
      <c r="C159" s="13"/>
    </row>
    <row r="160" spans="1:3" ht="13" x14ac:dyDescent="0.15">
      <c r="A160" s="10"/>
      <c r="B160" s="13"/>
      <c r="C160" s="13"/>
    </row>
    <row r="161" spans="1:3" ht="13" x14ac:dyDescent="0.15">
      <c r="A161" s="10"/>
      <c r="B161" s="13"/>
      <c r="C161" s="13"/>
    </row>
    <row r="162" spans="1:3" ht="13" x14ac:dyDescent="0.15">
      <c r="A162" s="10"/>
      <c r="B162" s="13"/>
      <c r="C162" s="13"/>
    </row>
    <row r="163" spans="1:3" ht="13" x14ac:dyDescent="0.15">
      <c r="A163" s="10"/>
      <c r="B163" s="13"/>
      <c r="C163" s="13"/>
    </row>
    <row r="164" spans="1:3" ht="13" x14ac:dyDescent="0.15">
      <c r="A164" s="10"/>
      <c r="B164" s="13"/>
      <c r="C164" s="13"/>
    </row>
    <row r="165" spans="1:3" ht="13" x14ac:dyDescent="0.15">
      <c r="A165" s="10"/>
      <c r="B165" s="13"/>
      <c r="C165" s="13"/>
    </row>
    <row r="166" spans="1:3" ht="13" x14ac:dyDescent="0.15">
      <c r="A166" s="10"/>
      <c r="B166" s="13"/>
      <c r="C166" s="13"/>
    </row>
    <row r="167" spans="1:3" ht="13" x14ac:dyDescent="0.15">
      <c r="A167" s="10"/>
      <c r="B167" s="13"/>
      <c r="C167" s="13"/>
    </row>
    <row r="168" spans="1:3" ht="13" x14ac:dyDescent="0.15">
      <c r="A168" s="10"/>
      <c r="B168" s="13"/>
      <c r="C168" s="13"/>
    </row>
    <row r="169" spans="1:3" ht="13" x14ac:dyDescent="0.15">
      <c r="A169" s="10"/>
      <c r="B169" s="13"/>
      <c r="C169" s="13"/>
    </row>
    <row r="170" spans="1:3" ht="13" x14ac:dyDescent="0.15">
      <c r="A170" s="10"/>
      <c r="B170" s="13"/>
      <c r="C170" s="13"/>
    </row>
    <row r="171" spans="1:3" ht="13" x14ac:dyDescent="0.15">
      <c r="A171" s="10"/>
      <c r="B171" s="13"/>
      <c r="C171" s="13"/>
    </row>
    <row r="172" spans="1:3" ht="13" x14ac:dyDescent="0.15">
      <c r="A172" s="10"/>
      <c r="B172" s="13"/>
      <c r="C172" s="13"/>
    </row>
    <row r="173" spans="1:3" ht="13" x14ac:dyDescent="0.15">
      <c r="A173" s="10"/>
      <c r="B173" s="13"/>
      <c r="C173" s="13"/>
    </row>
    <row r="174" spans="1:3" ht="13" x14ac:dyDescent="0.15">
      <c r="A174" s="10"/>
      <c r="B174" s="13"/>
      <c r="C174" s="13"/>
    </row>
    <row r="175" spans="1:3" ht="13" x14ac:dyDescent="0.15">
      <c r="A175" s="10"/>
      <c r="B175" s="13"/>
      <c r="C175" s="13"/>
    </row>
    <row r="176" spans="1:3" ht="13" x14ac:dyDescent="0.15">
      <c r="A176" s="10"/>
      <c r="B176" s="13"/>
      <c r="C176" s="13"/>
    </row>
    <row r="177" spans="1:3" ht="13" x14ac:dyDescent="0.15">
      <c r="A177" s="10"/>
      <c r="B177" s="13"/>
      <c r="C177" s="13"/>
    </row>
    <row r="178" spans="1:3" ht="13" x14ac:dyDescent="0.15">
      <c r="A178" s="10"/>
      <c r="B178" s="13"/>
      <c r="C178" s="13"/>
    </row>
    <row r="179" spans="1:3" ht="13" x14ac:dyDescent="0.15">
      <c r="A179" s="10"/>
      <c r="B179" s="13"/>
      <c r="C179" s="13"/>
    </row>
    <row r="180" spans="1:3" ht="13" x14ac:dyDescent="0.15">
      <c r="A180" s="10"/>
      <c r="B180" s="13"/>
      <c r="C180" s="13"/>
    </row>
    <row r="181" spans="1:3" ht="13" x14ac:dyDescent="0.15">
      <c r="A181" s="10"/>
      <c r="B181" s="13"/>
      <c r="C181" s="13"/>
    </row>
    <row r="182" spans="1:3" ht="13" x14ac:dyDescent="0.15">
      <c r="A182" s="10"/>
      <c r="B182" s="13"/>
      <c r="C182" s="13"/>
    </row>
    <row r="183" spans="1:3" ht="13" x14ac:dyDescent="0.15">
      <c r="A183" s="10"/>
      <c r="B183" s="13"/>
      <c r="C183" s="13"/>
    </row>
    <row r="184" spans="1:3" ht="13" x14ac:dyDescent="0.15">
      <c r="A184" s="10"/>
      <c r="B184" s="13"/>
      <c r="C184" s="13"/>
    </row>
    <row r="185" spans="1:3" ht="13" x14ac:dyDescent="0.15">
      <c r="A185" s="10"/>
      <c r="B185" s="13"/>
      <c r="C185" s="13"/>
    </row>
    <row r="186" spans="1:3" ht="13" x14ac:dyDescent="0.15">
      <c r="A186" s="10"/>
      <c r="B186" s="13"/>
      <c r="C186" s="13"/>
    </row>
    <row r="187" spans="1:3" ht="13" x14ac:dyDescent="0.15">
      <c r="A187" s="10"/>
      <c r="B187" s="13"/>
      <c r="C187" s="13"/>
    </row>
    <row r="188" spans="1:3" ht="13" x14ac:dyDescent="0.15">
      <c r="A188" s="10"/>
      <c r="B188" s="13"/>
      <c r="C188" s="13"/>
    </row>
    <row r="189" spans="1:3" ht="13" x14ac:dyDescent="0.15">
      <c r="A189" s="10"/>
      <c r="B189" s="13"/>
      <c r="C189" s="13"/>
    </row>
    <row r="190" spans="1:3" ht="13" x14ac:dyDescent="0.15">
      <c r="A190" s="10"/>
      <c r="B190" s="13"/>
      <c r="C190" s="13"/>
    </row>
    <row r="191" spans="1:3" ht="13" x14ac:dyDescent="0.15">
      <c r="A191" s="10"/>
      <c r="B191" s="13"/>
      <c r="C191" s="13"/>
    </row>
    <row r="192" spans="1:3" ht="13" x14ac:dyDescent="0.15">
      <c r="A192" s="10"/>
      <c r="B192" s="13"/>
      <c r="C192" s="13"/>
    </row>
    <row r="193" spans="1:3" ht="13" x14ac:dyDescent="0.15">
      <c r="A193" s="10"/>
      <c r="B193" s="13"/>
      <c r="C193" s="13"/>
    </row>
    <row r="194" spans="1:3" ht="13" x14ac:dyDescent="0.15">
      <c r="A194" s="10"/>
      <c r="B194" s="13"/>
      <c r="C194" s="13"/>
    </row>
    <row r="195" spans="1:3" ht="13" x14ac:dyDescent="0.15">
      <c r="A195" s="10"/>
      <c r="B195" s="13"/>
      <c r="C195" s="13"/>
    </row>
    <row r="196" spans="1:3" ht="13" x14ac:dyDescent="0.15">
      <c r="A196" s="10"/>
      <c r="B196" s="13"/>
      <c r="C196" s="13"/>
    </row>
    <row r="197" spans="1:3" ht="13" x14ac:dyDescent="0.15">
      <c r="A197" s="10"/>
      <c r="B197" s="13"/>
      <c r="C197" s="13"/>
    </row>
    <row r="198" spans="1:3" ht="13" x14ac:dyDescent="0.15">
      <c r="A198" s="10"/>
      <c r="B198" s="13"/>
      <c r="C198" s="13"/>
    </row>
    <row r="199" spans="1:3" ht="13" x14ac:dyDescent="0.15">
      <c r="A199" s="10"/>
      <c r="B199" s="13"/>
      <c r="C199" s="13"/>
    </row>
    <row r="200" spans="1:3" ht="13" x14ac:dyDescent="0.15">
      <c r="A200" s="10"/>
      <c r="B200" s="13"/>
      <c r="C200" s="13"/>
    </row>
    <row r="201" spans="1:3" ht="13" x14ac:dyDescent="0.15">
      <c r="A201" s="10"/>
      <c r="B201" s="13"/>
      <c r="C201" s="13"/>
    </row>
    <row r="202" spans="1:3" ht="13" x14ac:dyDescent="0.15">
      <c r="A202" s="10"/>
      <c r="B202" s="13"/>
      <c r="C202" s="13"/>
    </row>
    <row r="203" spans="1:3" ht="13" x14ac:dyDescent="0.15">
      <c r="A203" s="10"/>
      <c r="B203" s="13"/>
      <c r="C203" s="13"/>
    </row>
    <row r="204" spans="1:3" ht="13" x14ac:dyDescent="0.15">
      <c r="A204" s="10"/>
      <c r="B204" s="13"/>
      <c r="C204" s="13"/>
    </row>
    <row r="205" spans="1:3" ht="13" x14ac:dyDescent="0.15">
      <c r="A205" s="10"/>
      <c r="B205" s="13"/>
      <c r="C205" s="13"/>
    </row>
    <row r="206" spans="1:3" ht="13" x14ac:dyDescent="0.15">
      <c r="A206" s="10"/>
      <c r="B206" s="13"/>
      <c r="C206" s="13"/>
    </row>
    <row r="207" spans="1:3" ht="13" x14ac:dyDescent="0.15">
      <c r="A207" s="10"/>
      <c r="B207" s="13"/>
      <c r="C207" s="13"/>
    </row>
    <row r="208" spans="1:3" ht="13" x14ac:dyDescent="0.15">
      <c r="A208" s="10"/>
      <c r="B208" s="13"/>
      <c r="C208" s="13"/>
    </row>
    <row r="209" spans="1:3" ht="13" x14ac:dyDescent="0.15">
      <c r="A209" s="10"/>
      <c r="B209" s="13"/>
      <c r="C209" s="13"/>
    </row>
    <row r="210" spans="1:3" ht="13" x14ac:dyDescent="0.15">
      <c r="A210" s="10"/>
      <c r="B210" s="13"/>
      <c r="C210" s="13"/>
    </row>
    <row r="211" spans="1:3" ht="13" x14ac:dyDescent="0.15">
      <c r="A211" s="10"/>
      <c r="B211" s="13"/>
      <c r="C211" s="13"/>
    </row>
    <row r="212" spans="1:3" ht="13" x14ac:dyDescent="0.15">
      <c r="A212" s="10"/>
      <c r="B212" s="13"/>
      <c r="C212" s="13"/>
    </row>
    <row r="213" spans="1:3" ht="13" x14ac:dyDescent="0.15">
      <c r="A213" s="10"/>
      <c r="B213" s="13"/>
      <c r="C213" s="13"/>
    </row>
    <row r="214" spans="1:3" ht="13" x14ac:dyDescent="0.15">
      <c r="A214" s="10"/>
      <c r="B214" s="13"/>
      <c r="C214" s="13"/>
    </row>
    <row r="215" spans="1:3" ht="13" x14ac:dyDescent="0.15">
      <c r="A215" s="10"/>
      <c r="B215" s="13"/>
      <c r="C215" s="13"/>
    </row>
    <row r="216" spans="1:3" ht="13" x14ac:dyDescent="0.15">
      <c r="A216" s="10"/>
      <c r="B216" s="13"/>
      <c r="C216" s="13"/>
    </row>
    <row r="217" spans="1:3" ht="13" x14ac:dyDescent="0.15">
      <c r="A217" s="10"/>
      <c r="B217" s="13"/>
      <c r="C217" s="13"/>
    </row>
    <row r="218" spans="1:3" ht="13" x14ac:dyDescent="0.15">
      <c r="A218" s="10"/>
      <c r="B218" s="13"/>
      <c r="C218" s="13"/>
    </row>
    <row r="219" spans="1:3" ht="13" x14ac:dyDescent="0.15">
      <c r="A219" s="10"/>
      <c r="B219" s="13"/>
      <c r="C219" s="13"/>
    </row>
    <row r="220" spans="1:3" ht="13" x14ac:dyDescent="0.15">
      <c r="A220" s="10"/>
      <c r="B220" s="13"/>
      <c r="C220" s="13"/>
    </row>
    <row r="221" spans="1:3" ht="13" x14ac:dyDescent="0.15">
      <c r="A221" s="10"/>
      <c r="B221" s="13"/>
      <c r="C221" s="13"/>
    </row>
    <row r="222" spans="1:3" ht="13" x14ac:dyDescent="0.15">
      <c r="A222" s="10"/>
      <c r="B222" s="13"/>
      <c r="C222" s="13"/>
    </row>
    <row r="223" spans="1:3" ht="13" x14ac:dyDescent="0.15">
      <c r="A223" s="10"/>
      <c r="B223" s="13"/>
      <c r="C223" s="13"/>
    </row>
    <row r="224" spans="1:3" ht="13" x14ac:dyDescent="0.15">
      <c r="A224" s="10"/>
      <c r="B224" s="13"/>
      <c r="C224" s="13"/>
    </row>
    <row r="225" spans="1:3" ht="13" x14ac:dyDescent="0.15">
      <c r="A225" s="10"/>
      <c r="B225" s="13"/>
      <c r="C225" s="13"/>
    </row>
    <row r="226" spans="1:3" ht="13" x14ac:dyDescent="0.15">
      <c r="A226" s="10"/>
      <c r="B226" s="13"/>
      <c r="C226" s="13"/>
    </row>
    <row r="227" spans="1:3" ht="13" x14ac:dyDescent="0.15">
      <c r="A227" s="10"/>
      <c r="B227" s="13"/>
      <c r="C227" s="13"/>
    </row>
    <row r="228" spans="1:3" ht="13" x14ac:dyDescent="0.15">
      <c r="A228" s="10"/>
      <c r="B228" s="13"/>
      <c r="C228" s="13"/>
    </row>
    <row r="229" spans="1:3" ht="13" x14ac:dyDescent="0.15">
      <c r="A229" s="10"/>
      <c r="B229" s="13"/>
      <c r="C229" s="13"/>
    </row>
    <row r="230" spans="1:3" ht="13" x14ac:dyDescent="0.15">
      <c r="A230" s="10"/>
      <c r="B230" s="13"/>
      <c r="C230" s="13"/>
    </row>
    <row r="231" spans="1:3" ht="13" x14ac:dyDescent="0.15">
      <c r="A231" s="10"/>
      <c r="B231" s="13"/>
      <c r="C231" s="13"/>
    </row>
    <row r="232" spans="1:3" ht="13" x14ac:dyDescent="0.15">
      <c r="A232" s="10"/>
      <c r="B232" s="13"/>
      <c r="C232" s="13"/>
    </row>
    <row r="233" spans="1:3" ht="13" x14ac:dyDescent="0.15">
      <c r="A233" s="10"/>
      <c r="B233" s="13"/>
      <c r="C233" s="13"/>
    </row>
    <row r="234" spans="1:3" ht="13" x14ac:dyDescent="0.15">
      <c r="A234" s="10"/>
      <c r="B234" s="13"/>
      <c r="C234" s="13"/>
    </row>
    <row r="235" spans="1:3" ht="13" x14ac:dyDescent="0.15">
      <c r="A235" s="10"/>
      <c r="B235" s="13"/>
      <c r="C235" s="13"/>
    </row>
    <row r="236" spans="1:3" ht="13" x14ac:dyDescent="0.15">
      <c r="A236" s="10"/>
      <c r="B236" s="13"/>
      <c r="C236" s="13"/>
    </row>
    <row r="237" spans="1:3" ht="13" x14ac:dyDescent="0.15">
      <c r="A237" s="10"/>
      <c r="B237" s="13"/>
      <c r="C237" s="13"/>
    </row>
    <row r="238" spans="1:3" ht="13" x14ac:dyDescent="0.15">
      <c r="A238" s="10"/>
      <c r="B238" s="13"/>
      <c r="C238" s="13"/>
    </row>
    <row r="239" spans="1:3" ht="13" x14ac:dyDescent="0.15">
      <c r="A239" s="10"/>
      <c r="B239" s="13"/>
      <c r="C239" s="13"/>
    </row>
    <row r="240" spans="1:3" ht="13" x14ac:dyDescent="0.15">
      <c r="A240" s="10"/>
      <c r="B240" s="13"/>
      <c r="C240" s="13"/>
    </row>
    <row r="241" spans="1:3" ht="13" x14ac:dyDescent="0.15">
      <c r="A241" s="10"/>
      <c r="B241" s="13"/>
      <c r="C241" s="13"/>
    </row>
    <row r="242" spans="1:3" ht="13" x14ac:dyDescent="0.15">
      <c r="A242" s="10"/>
      <c r="B242" s="13"/>
      <c r="C242" s="13"/>
    </row>
    <row r="243" spans="1:3" ht="13" x14ac:dyDescent="0.15">
      <c r="A243" s="10"/>
      <c r="B243" s="13"/>
      <c r="C243" s="13"/>
    </row>
    <row r="244" spans="1:3" ht="13" x14ac:dyDescent="0.15">
      <c r="A244" s="10"/>
      <c r="B244" s="13"/>
      <c r="C244" s="13"/>
    </row>
    <row r="245" spans="1:3" ht="13" x14ac:dyDescent="0.15">
      <c r="A245" s="10"/>
      <c r="B245" s="13"/>
      <c r="C245" s="13"/>
    </row>
    <row r="246" spans="1:3" ht="13" x14ac:dyDescent="0.15">
      <c r="A246" s="10"/>
      <c r="B246" s="13"/>
      <c r="C246" s="13"/>
    </row>
    <row r="247" spans="1:3" ht="13" x14ac:dyDescent="0.15">
      <c r="A247" s="10"/>
      <c r="B247" s="13"/>
      <c r="C247" s="13"/>
    </row>
    <row r="248" spans="1:3" ht="13" x14ac:dyDescent="0.15">
      <c r="A248" s="10"/>
      <c r="B248" s="13"/>
      <c r="C248" s="13"/>
    </row>
    <row r="249" spans="1:3" ht="13" x14ac:dyDescent="0.15">
      <c r="A249" s="10"/>
      <c r="B249" s="13"/>
      <c r="C249" s="13"/>
    </row>
    <row r="250" spans="1:3" ht="13" x14ac:dyDescent="0.15">
      <c r="A250" s="10"/>
      <c r="B250" s="13"/>
      <c r="C250" s="13"/>
    </row>
    <row r="251" spans="1:3" ht="13" x14ac:dyDescent="0.15">
      <c r="A251" s="10"/>
      <c r="B251" s="13"/>
      <c r="C251" s="13"/>
    </row>
    <row r="252" spans="1:3" ht="13" x14ac:dyDescent="0.15">
      <c r="A252" s="10"/>
      <c r="B252" s="13"/>
      <c r="C252" s="13"/>
    </row>
    <row r="253" spans="1:3" ht="13" x14ac:dyDescent="0.15">
      <c r="A253" s="10"/>
      <c r="B253" s="13"/>
      <c r="C253" s="13"/>
    </row>
    <row r="254" spans="1:3" ht="13" x14ac:dyDescent="0.15">
      <c r="A254" s="10"/>
      <c r="B254" s="13"/>
      <c r="C254" s="13"/>
    </row>
    <row r="255" spans="1:3" ht="13" x14ac:dyDescent="0.15">
      <c r="A255" s="10"/>
      <c r="B255" s="13"/>
      <c r="C255" s="13"/>
    </row>
    <row r="256" spans="1:3" ht="13" x14ac:dyDescent="0.15">
      <c r="A256" s="10"/>
      <c r="B256" s="13"/>
      <c r="C256" s="13"/>
    </row>
    <row r="257" spans="1:3" ht="13" x14ac:dyDescent="0.15">
      <c r="A257" s="10"/>
      <c r="B257" s="13"/>
      <c r="C257" s="13"/>
    </row>
    <row r="258" spans="1:3" ht="13" x14ac:dyDescent="0.15">
      <c r="A258" s="10"/>
      <c r="B258" s="13"/>
      <c r="C258" s="13"/>
    </row>
    <row r="259" spans="1:3" ht="13" x14ac:dyDescent="0.15">
      <c r="A259" s="10"/>
      <c r="B259" s="13"/>
      <c r="C259" s="13"/>
    </row>
    <row r="260" spans="1:3" ht="13" x14ac:dyDescent="0.15">
      <c r="A260" s="10"/>
      <c r="B260" s="13"/>
      <c r="C260" s="13"/>
    </row>
    <row r="261" spans="1:3" ht="13" x14ac:dyDescent="0.15">
      <c r="A261" s="10"/>
      <c r="B261" s="13"/>
      <c r="C261" s="13"/>
    </row>
    <row r="262" spans="1:3" ht="13" x14ac:dyDescent="0.15">
      <c r="A262" s="10"/>
      <c r="B262" s="13"/>
      <c r="C262" s="13"/>
    </row>
    <row r="263" spans="1:3" ht="13" x14ac:dyDescent="0.15">
      <c r="A263" s="10"/>
      <c r="B263" s="13"/>
      <c r="C263" s="13"/>
    </row>
    <row r="264" spans="1:3" ht="13" x14ac:dyDescent="0.15">
      <c r="A264" s="10"/>
      <c r="B264" s="13"/>
      <c r="C264" s="13"/>
    </row>
    <row r="265" spans="1:3" ht="13" x14ac:dyDescent="0.15">
      <c r="A265" s="10"/>
      <c r="B265" s="13"/>
      <c r="C265" s="13"/>
    </row>
    <row r="266" spans="1:3" ht="13" x14ac:dyDescent="0.15">
      <c r="A266" s="10"/>
      <c r="B266" s="13"/>
      <c r="C266" s="13"/>
    </row>
    <row r="267" spans="1:3" ht="13" x14ac:dyDescent="0.15">
      <c r="A267" s="10"/>
      <c r="B267" s="13"/>
      <c r="C267" s="13"/>
    </row>
    <row r="268" spans="1:3" ht="13" x14ac:dyDescent="0.15">
      <c r="A268" s="10"/>
      <c r="B268" s="13"/>
      <c r="C268" s="13"/>
    </row>
    <row r="269" spans="1:3" ht="13" x14ac:dyDescent="0.15">
      <c r="A269" s="10"/>
      <c r="B269" s="13"/>
      <c r="C269" s="13"/>
    </row>
    <row r="270" spans="1:3" ht="13" x14ac:dyDescent="0.15">
      <c r="A270" s="10"/>
      <c r="B270" s="13"/>
      <c r="C270" s="13"/>
    </row>
    <row r="271" spans="1:3" ht="13" x14ac:dyDescent="0.15">
      <c r="A271" s="10"/>
      <c r="B271" s="13"/>
      <c r="C271" s="13"/>
    </row>
    <row r="272" spans="1:3" ht="13" x14ac:dyDescent="0.15">
      <c r="A272" s="10"/>
      <c r="B272" s="13"/>
      <c r="C272" s="13"/>
    </row>
    <row r="273" spans="1:3" ht="13" x14ac:dyDescent="0.15">
      <c r="A273" s="10"/>
      <c r="B273" s="13"/>
      <c r="C273" s="13"/>
    </row>
    <row r="274" spans="1:3" ht="13" x14ac:dyDescent="0.15">
      <c r="A274" s="10"/>
      <c r="B274" s="13"/>
      <c r="C274" s="13"/>
    </row>
    <row r="275" spans="1:3" ht="13" x14ac:dyDescent="0.15">
      <c r="A275" s="10"/>
      <c r="B275" s="13"/>
      <c r="C275" s="13"/>
    </row>
    <row r="276" spans="1:3" ht="13" x14ac:dyDescent="0.15">
      <c r="A276" s="10"/>
      <c r="B276" s="13"/>
      <c r="C276" s="13"/>
    </row>
    <row r="277" spans="1:3" ht="13" x14ac:dyDescent="0.15">
      <c r="A277" s="10"/>
      <c r="B277" s="13"/>
      <c r="C277" s="13"/>
    </row>
    <row r="278" spans="1:3" ht="13" x14ac:dyDescent="0.15">
      <c r="A278" s="10"/>
      <c r="B278" s="13"/>
      <c r="C278" s="13"/>
    </row>
    <row r="279" spans="1:3" ht="13" x14ac:dyDescent="0.15">
      <c r="A279" s="10"/>
      <c r="B279" s="13"/>
      <c r="C279" s="13"/>
    </row>
    <row r="280" spans="1:3" ht="13" x14ac:dyDescent="0.15">
      <c r="A280" s="10"/>
      <c r="B280" s="13"/>
      <c r="C280" s="13"/>
    </row>
    <row r="281" spans="1:3" ht="13" x14ac:dyDescent="0.15">
      <c r="A281" s="10"/>
      <c r="B281" s="13"/>
      <c r="C281" s="13"/>
    </row>
    <row r="282" spans="1:3" ht="13" x14ac:dyDescent="0.15">
      <c r="A282" s="10"/>
      <c r="B282" s="13"/>
      <c r="C282" s="13"/>
    </row>
    <row r="283" spans="1:3" ht="13" x14ac:dyDescent="0.15">
      <c r="A283" s="10"/>
      <c r="B283" s="13"/>
      <c r="C283" s="13"/>
    </row>
    <row r="284" spans="1:3" ht="13" x14ac:dyDescent="0.15">
      <c r="A284" s="10"/>
      <c r="B284" s="13"/>
      <c r="C284" s="13"/>
    </row>
    <row r="285" spans="1:3" ht="13" x14ac:dyDescent="0.15">
      <c r="A285" s="10"/>
      <c r="B285" s="13"/>
      <c r="C285" s="13"/>
    </row>
    <row r="286" spans="1:3" ht="13" x14ac:dyDescent="0.15">
      <c r="A286" s="10"/>
      <c r="B286" s="13"/>
      <c r="C286" s="13"/>
    </row>
    <row r="287" spans="1:3" ht="13" x14ac:dyDescent="0.15">
      <c r="A287" s="10"/>
      <c r="B287" s="13"/>
      <c r="C287" s="13"/>
    </row>
    <row r="288" spans="1:3" ht="13" x14ac:dyDescent="0.15">
      <c r="A288" s="10"/>
      <c r="B288" s="13"/>
      <c r="C288" s="13"/>
    </row>
    <row r="289" spans="1:3" ht="13" x14ac:dyDescent="0.15">
      <c r="A289" s="10"/>
      <c r="B289" s="13"/>
      <c r="C289" s="13"/>
    </row>
    <row r="290" spans="1:3" ht="13" x14ac:dyDescent="0.15">
      <c r="A290" s="10"/>
      <c r="B290" s="13"/>
      <c r="C290" s="13"/>
    </row>
    <row r="291" spans="1:3" ht="13" x14ac:dyDescent="0.15">
      <c r="A291" s="10"/>
      <c r="B291" s="13"/>
      <c r="C291" s="13"/>
    </row>
    <row r="292" spans="1:3" ht="13" x14ac:dyDescent="0.15">
      <c r="A292" s="10"/>
      <c r="B292" s="13"/>
      <c r="C292" s="13"/>
    </row>
    <row r="293" spans="1:3" ht="13" x14ac:dyDescent="0.15">
      <c r="A293" s="10"/>
      <c r="B293" s="13"/>
      <c r="C293" s="13"/>
    </row>
    <row r="294" spans="1:3" ht="13" x14ac:dyDescent="0.15">
      <c r="A294" s="10"/>
      <c r="B294" s="13"/>
      <c r="C294" s="13"/>
    </row>
    <row r="295" spans="1:3" ht="13" x14ac:dyDescent="0.15">
      <c r="A295" s="10"/>
      <c r="B295" s="13"/>
      <c r="C295" s="13"/>
    </row>
    <row r="296" spans="1:3" ht="13" x14ac:dyDescent="0.15">
      <c r="A296" s="10"/>
      <c r="B296" s="13"/>
      <c r="C296" s="13"/>
    </row>
    <row r="297" spans="1:3" ht="13" x14ac:dyDescent="0.15">
      <c r="A297" s="10"/>
      <c r="B297" s="13"/>
      <c r="C297" s="13"/>
    </row>
    <row r="298" spans="1:3" ht="13" x14ac:dyDescent="0.15">
      <c r="A298" s="10"/>
      <c r="B298" s="13"/>
      <c r="C298" s="13"/>
    </row>
    <row r="299" spans="1:3" ht="13" x14ac:dyDescent="0.15">
      <c r="A299" s="10"/>
      <c r="B299" s="13"/>
      <c r="C299" s="13"/>
    </row>
    <row r="300" spans="1:3" ht="13" x14ac:dyDescent="0.15">
      <c r="A300" s="10"/>
      <c r="B300" s="13"/>
      <c r="C300" s="13"/>
    </row>
    <row r="301" spans="1:3" ht="13" x14ac:dyDescent="0.15">
      <c r="A301" s="10"/>
      <c r="B301" s="13"/>
      <c r="C301" s="13"/>
    </row>
    <row r="302" spans="1:3" ht="13" x14ac:dyDescent="0.15">
      <c r="A302" s="10"/>
      <c r="B302" s="13"/>
      <c r="C302" s="13"/>
    </row>
    <row r="303" spans="1:3" ht="13" x14ac:dyDescent="0.15">
      <c r="A303" s="10"/>
      <c r="B303" s="13"/>
      <c r="C303" s="13"/>
    </row>
    <row r="304" spans="1:3" ht="13" x14ac:dyDescent="0.15">
      <c r="A304" s="10"/>
      <c r="B304" s="13"/>
      <c r="C304" s="13"/>
    </row>
    <row r="305" spans="1:3" ht="13" x14ac:dyDescent="0.15">
      <c r="A305" s="10"/>
      <c r="B305" s="13"/>
      <c r="C305" s="13"/>
    </row>
    <row r="306" spans="1:3" ht="13" x14ac:dyDescent="0.15">
      <c r="A306" s="10"/>
      <c r="B306" s="13"/>
      <c r="C306" s="13"/>
    </row>
    <row r="307" spans="1:3" ht="13" x14ac:dyDescent="0.15">
      <c r="A307" s="10"/>
      <c r="B307" s="13"/>
      <c r="C307" s="13"/>
    </row>
    <row r="308" spans="1:3" ht="13" x14ac:dyDescent="0.15">
      <c r="A308" s="10"/>
      <c r="B308" s="13"/>
      <c r="C308" s="13"/>
    </row>
    <row r="309" spans="1:3" ht="13" x14ac:dyDescent="0.15">
      <c r="A309" s="10"/>
      <c r="B309" s="13"/>
      <c r="C309" s="13"/>
    </row>
    <row r="310" spans="1:3" ht="13" x14ac:dyDescent="0.15">
      <c r="A310" s="10"/>
      <c r="B310" s="13"/>
      <c r="C310" s="13"/>
    </row>
    <row r="311" spans="1:3" ht="13" x14ac:dyDescent="0.15">
      <c r="A311" s="10"/>
      <c r="B311" s="13"/>
      <c r="C311" s="13"/>
    </row>
    <row r="312" spans="1:3" ht="13" x14ac:dyDescent="0.15">
      <c r="A312" s="10"/>
      <c r="B312" s="13"/>
      <c r="C312" s="13"/>
    </row>
    <row r="313" spans="1:3" ht="13" x14ac:dyDescent="0.15">
      <c r="A313" s="10"/>
      <c r="B313" s="13"/>
      <c r="C313" s="13"/>
    </row>
    <row r="314" spans="1:3" ht="13" x14ac:dyDescent="0.15">
      <c r="A314" s="10"/>
      <c r="B314" s="13"/>
      <c r="C314" s="13"/>
    </row>
    <row r="315" spans="1:3" ht="13" x14ac:dyDescent="0.15">
      <c r="A315" s="10"/>
      <c r="B315" s="13"/>
      <c r="C315" s="13"/>
    </row>
    <row r="316" spans="1:3" ht="13" x14ac:dyDescent="0.15">
      <c r="A316" s="10"/>
      <c r="B316" s="13"/>
      <c r="C316" s="13"/>
    </row>
    <row r="317" spans="1:3" ht="13" x14ac:dyDescent="0.15">
      <c r="A317" s="10"/>
      <c r="B317" s="13"/>
      <c r="C317" s="13"/>
    </row>
    <row r="318" spans="1:3" ht="13" x14ac:dyDescent="0.15">
      <c r="A318" s="10"/>
      <c r="B318" s="13"/>
      <c r="C318" s="13"/>
    </row>
    <row r="319" spans="1:3" ht="13" x14ac:dyDescent="0.15">
      <c r="A319" s="10"/>
      <c r="B319" s="13"/>
      <c r="C319" s="13"/>
    </row>
    <row r="320" spans="1:3" ht="13" x14ac:dyDescent="0.15">
      <c r="A320" s="10"/>
      <c r="B320" s="13"/>
      <c r="C320" s="13"/>
    </row>
    <row r="321" spans="1:3" ht="13" x14ac:dyDescent="0.15">
      <c r="A321" s="10"/>
      <c r="B321" s="13"/>
      <c r="C321" s="13"/>
    </row>
    <row r="322" spans="1:3" ht="13" x14ac:dyDescent="0.15">
      <c r="A322" s="10"/>
      <c r="B322" s="13"/>
      <c r="C322" s="13"/>
    </row>
    <row r="323" spans="1:3" ht="13" x14ac:dyDescent="0.15">
      <c r="A323" s="10"/>
      <c r="B323" s="13"/>
      <c r="C323" s="13"/>
    </row>
    <row r="324" spans="1:3" ht="13" x14ac:dyDescent="0.15">
      <c r="A324" s="10"/>
      <c r="B324" s="13"/>
      <c r="C324" s="13"/>
    </row>
    <row r="325" spans="1:3" ht="13" x14ac:dyDescent="0.15">
      <c r="A325" s="10"/>
      <c r="B325" s="13"/>
      <c r="C325" s="13"/>
    </row>
    <row r="326" spans="1:3" ht="13" x14ac:dyDescent="0.15">
      <c r="A326" s="10"/>
      <c r="B326" s="13"/>
      <c r="C326" s="13"/>
    </row>
    <row r="327" spans="1:3" ht="13" x14ac:dyDescent="0.15">
      <c r="A327" s="10"/>
      <c r="B327" s="13"/>
      <c r="C327" s="13"/>
    </row>
    <row r="328" spans="1:3" ht="13" x14ac:dyDescent="0.15">
      <c r="A328" s="10"/>
      <c r="B328" s="13"/>
      <c r="C328" s="13"/>
    </row>
    <row r="329" spans="1:3" ht="13" x14ac:dyDescent="0.15">
      <c r="A329" s="10"/>
      <c r="B329" s="13"/>
      <c r="C329" s="13"/>
    </row>
    <row r="330" spans="1:3" ht="13" x14ac:dyDescent="0.15">
      <c r="A330" s="10"/>
      <c r="B330" s="13"/>
      <c r="C330" s="13"/>
    </row>
    <row r="331" spans="1:3" ht="13" x14ac:dyDescent="0.15">
      <c r="A331" s="10"/>
      <c r="B331" s="13"/>
      <c r="C331" s="13"/>
    </row>
    <row r="332" spans="1:3" ht="13" x14ac:dyDescent="0.15">
      <c r="A332" s="10"/>
      <c r="B332" s="13"/>
      <c r="C332" s="13"/>
    </row>
    <row r="333" spans="1:3" ht="13" x14ac:dyDescent="0.15">
      <c r="A333" s="10"/>
      <c r="B333" s="13"/>
      <c r="C333" s="13"/>
    </row>
    <row r="334" spans="1:3" ht="13" x14ac:dyDescent="0.15">
      <c r="A334" s="10"/>
      <c r="B334" s="13"/>
      <c r="C334" s="13"/>
    </row>
    <row r="335" spans="1:3" ht="13" x14ac:dyDescent="0.15">
      <c r="A335" s="10"/>
      <c r="B335" s="13"/>
      <c r="C335" s="13"/>
    </row>
    <row r="336" spans="1:3" ht="13" x14ac:dyDescent="0.15">
      <c r="A336" s="10"/>
      <c r="B336" s="13"/>
      <c r="C336" s="13"/>
    </row>
    <row r="337" spans="1:3" ht="13" x14ac:dyDescent="0.15">
      <c r="A337" s="10"/>
      <c r="B337" s="13"/>
      <c r="C337" s="13"/>
    </row>
    <row r="338" spans="1:3" ht="13" x14ac:dyDescent="0.15">
      <c r="A338" s="10"/>
      <c r="B338" s="13"/>
      <c r="C338" s="13"/>
    </row>
    <row r="339" spans="1:3" ht="13" x14ac:dyDescent="0.15">
      <c r="A339" s="10"/>
      <c r="B339" s="13"/>
      <c r="C339" s="13"/>
    </row>
    <row r="340" spans="1:3" ht="13" x14ac:dyDescent="0.15">
      <c r="A340" s="10"/>
      <c r="B340" s="13"/>
      <c r="C340" s="13"/>
    </row>
    <row r="341" spans="1:3" ht="13" x14ac:dyDescent="0.15">
      <c r="A341" s="10"/>
      <c r="B341" s="13"/>
      <c r="C341" s="13"/>
    </row>
    <row r="342" spans="1:3" ht="13" x14ac:dyDescent="0.15">
      <c r="A342" s="10"/>
      <c r="B342" s="13"/>
      <c r="C342" s="13"/>
    </row>
    <row r="343" spans="1:3" ht="13" x14ac:dyDescent="0.15">
      <c r="A343" s="10"/>
      <c r="B343" s="13"/>
      <c r="C343" s="13"/>
    </row>
    <row r="344" spans="1:3" ht="13" x14ac:dyDescent="0.15">
      <c r="A344" s="10"/>
      <c r="B344" s="13"/>
      <c r="C344" s="13"/>
    </row>
    <row r="345" spans="1:3" ht="13" x14ac:dyDescent="0.15">
      <c r="A345" s="10"/>
      <c r="B345" s="13"/>
      <c r="C345" s="13"/>
    </row>
    <row r="346" spans="1:3" ht="13" x14ac:dyDescent="0.15">
      <c r="A346" s="10"/>
      <c r="B346" s="13"/>
      <c r="C346" s="13"/>
    </row>
    <row r="347" spans="1:3" ht="13" x14ac:dyDescent="0.15">
      <c r="A347" s="10"/>
      <c r="B347" s="13"/>
      <c r="C347" s="13"/>
    </row>
    <row r="348" spans="1:3" ht="13" x14ac:dyDescent="0.15">
      <c r="A348" s="10"/>
      <c r="B348" s="13"/>
      <c r="C348" s="13"/>
    </row>
    <row r="349" spans="1:3" ht="13" x14ac:dyDescent="0.15">
      <c r="A349" s="10"/>
      <c r="B349" s="13"/>
      <c r="C349" s="13"/>
    </row>
    <row r="350" spans="1:3" ht="13" x14ac:dyDescent="0.15">
      <c r="A350" s="10"/>
      <c r="B350" s="13"/>
      <c r="C350" s="13"/>
    </row>
    <row r="351" spans="1:3" ht="13" x14ac:dyDescent="0.15">
      <c r="A351" s="10"/>
      <c r="B351" s="13"/>
      <c r="C351" s="13"/>
    </row>
    <row r="352" spans="1:3" ht="13" x14ac:dyDescent="0.15">
      <c r="A352" s="10"/>
      <c r="B352" s="13"/>
      <c r="C352" s="13"/>
    </row>
    <row r="353" spans="1:3" ht="13" x14ac:dyDescent="0.15">
      <c r="A353" s="10"/>
      <c r="B353" s="13"/>
      <c r="C353" s="13"/>
    </row>
    <row r="354" spans="1:3" ht="13" x14ac:dyDescent="0.15">
      <c r="A354" s="10"/>
      <c r="B354" s="13"/>
      <c r="C354" s="13"/>
    </row>
    <row r="355" spans="1:3" ht="13" x14ac:dyDescent="0.15">
      <c r="A355" s="10"/>
      <c r="B355" s="13"/>
      <c r="C355" s="13"/>
    </row>
    <row r="356" spans="1:3" ht="13" x14ac:dyDescent="0.15">
      <c r="A356" s="10"/>
      <c r="B356" s="13"/>
      <c r="C356" s="13"/>
    </row>
    <row r="357" spans="1:3" ht="13" x14ac:dyDescent="0.15">
      <c r="A357" s="10"/>
      <c r="B357" s="13"/>
      <c r="C357" s="13"/>
    </row>
    <row r="358" spans="1:3" ht="13" x14ac:dyDescent="0.15">
      <c r="A358" s="10"/>
      <c r="B358" s="13"/>
      <c r="C358" s="13"/>
    </row>
    <row r="359" spans="1:3" ht="13" x14ac:dyDescent="0.15">
      <c r="A359" s="10"/>
      <c r="B359" s="13"/>
      <c r="C359" s="13"/>
    </row>
    <row r="360" spans="1:3" ht="13" x14ac:dyDescent="0.15">
      <c r="A360" s="10"/>
      <c r="B360" s="13"/>
      <c r="C360" s="13"/>
    </row>
    <row r="361" spans="1:3" ht="13" x14ac:dyDescent="0.15">
      <c r="A361" s="10"/>
      <c r="B361" s="13"/>
      <c r="C361" s="13"/>
    </row>
    <row r="362" spans="1:3" ht="13" x14ac:dyDescent="0.15">
      <c r="A362" s="10"/>
      <c r="B362" s="13"/>
      <c r="C362" s="13"/>
    </row>
    <row r="363" spans="1:3" ht="13" x14ac:dyDescent="0.15">
      <c r="A363" s="10"/>
      <c r="B363" s="13"/>
      <c r="C363" s="13"/>
    </row>
    <row r="364" spans="1:3" ht="13" x14ac:dyDescent="0.15">
      <c r="A364" s="10"/>
      <c r="B364" s="13"/>
      <c r="C364" s="13"/>
    </row>
    <row r="365" spans="1:3" ht="13" x14ac:dyDescent="0.15">
      <c r="A365" s="10"/>
      <c r="B365" s="13"/>
      <c r="C365" s="13"/>
    </row>
    <row r="366" spans="1:3" ht="13" x14ac:dyDescent="0.15">
      <c r="A366" s="10"/>
      <c r="B366" s="13"/>
      <c r="C366" s="13"/>
    </row>
    <row r="367" spans="1:3" ht="13" x14ac:dyDescent="0.15">
      <c r="A367" s="10"/>
      <c r="B367" s="13"/>
      <c r="C367" s="13"/>
    </row>
    <row r="368" spans="1:3" ht="13" x14ac:dyDescent="0.15">
      <c r="A368" s="10"/>
      <c r="B368" s="13"/>
      <c r="C368" s="13"/>
    </row>
    <row r="369" spans="1:3" ht="13" x14ac:dyDescent="0.15">
      <c r="A369" s="10"/>
      <c r="B369" s="13"/>
      <c r="C369" s="13"/>
    </row>
    <row r="370" spans="1:3" ht="13" x14ac:dyDescent="0.15">
      <c r="A370" s="10"/>
      <c r="B370" s="13"/>
      <c r="C370" s="13"/>
    </row>
    <row r="371" spans="1:3" ht="13" x14ac:dyDescent="0.15">
      <c r="A371" s="10"/>
      <c r="B371" s="13"/>
      <c r="C371" s="13"/>
    </row>
    <row r="372" spans="1:3" ht="13" x14ac:dyDescent="0.15">
      <c r="A372" s="10"/>
      <c r="B372" s="13"/>
      <c r="C372" s="13"/>
    </row>
    <row r="373" spans="1:3" ht="13" x14ac:dyDescent="0.15">
      <c r="A373" s="10"/>
      <c r="B373" s="13"/>
      <c r="C373" s="13"/>
    </row>
    <row r="374" spans="1:3" ht="13" x14ac:dyDescent="0.15">
      <c r="A374" s="10"/>
      <c r="B374" s="13"/>
      <c r="C374" s="13"/>
    </row>
    <row r="375" spans="1:3" ht="13" x14ac:dyDescent="0.15">
      <c r="A375" s="10"/>
      <c r="B375" s="13"/>
      <c r="C375" s="13"/>
    </row>
    <row r="376" spans="1:3" ht="13" x14ac:dyDescent="0.15">
      <c r="A376" s="10"/>
      <c r="B376" s="13"/>
      <c r="C376" s="13"/>
    </row>
    <row r="377" spans="1:3" ht="13" x14ac:dyDescent="0.15">
      <c r="A377" s="10"/>
      <c r="B377" s="13"/>
      <c r="C377" s="13"/>
    </row>
    <row r="378" spans="1:3" ht="13" x14ac:dyDescent="0.15">
      <c r="A378" s="10"/>
      <c r="B378" s="13"/>
      <c r="C378" s="13"/>
    </row>
    <row r="379" spans="1:3" ht="13" x14ac:dyDescent="0.15">
      <c r="A379" s="10"/>
      <c r="B379" s="13"/>
      <c r="C379" s="13"/>
    </row>
    <row r="380" spans="1:3" ht="13" x14ac:dyDescent="0.15">
      <c r="A380" s="10"/>
      <c r="B380" s="13"/>
      <c r="C380" s="13"/>
    </row>
    <row r="381" spans="1:3" ht="13" x14ac:dyDescent="0.15">
      <c r="A381" s="10"/>
      <c r="B381" s="13"/>
      <c r="C381" s="13"/>
    </row>
    <row r="382" spans="1:3" ht="13" x14ac:dyDescent="0.15">
      <c r="A382" s="10"/>
      <c r="B382" s="13"/>
      <c r="C382" s="13"/>
    </row>
    <row r="383" spans="1:3" ht="13" x14ac:dyDescent="0.15">
      <c r="A383" s="10"/>
      <c r="B383" s="13"/>
      <c r="C383" s="13"/>
    </row>
    <row r="384" spans="1:3" ht="13" x14ac:dyDescent="0.15">
      <c r="A384" s="10"/>
      <c r="B384" s="13"/>
      <c r="C384" s="13"/>
    </row>
    <row r="385" spans="1:3" ht="13" x14ac:dyDescent="0.15">
      <c r="A385" s="10"/>
      <c r="B385" s="13"/>
      <c r="C385" s="13"/>
    </row>
    <row r="386" spans="1:3" ht="13" x14ac:dyDescent="0.15">
      <c r="A386" s="10"/>
      <c r="B386" s="13"/>
      <c r="C386" s="13"/>
    </row>
    <row r="387" spans="1:3" ht="13" x14ac:dyDescent="0.15">
      <c r="A387" s="10"/>
      <c r="B387" s="13"/>
      <c r="C387" s="13"/>
    </row>
    <row r="388" spans="1:3" ht="13" x14ac:dyDescent="0.15">
      <c r="A388" s="10"/>
      <c r="B388" s="13"/>
      <c r="C388" s="13"/>
    </row>
    <row r="389" spans="1:3" ht="13" x14ac:dyDescent="0.15">
      <c r="A389" s="10"/>
      <c r="B389" s="13"/>
      <c r="C389" s="13"/>
    </row>
    <row r="390" spans="1:3" ht="13" x14ac:dyDescent="0.15">
      <c r="A390" s="10"/>
      <c r="B390" s="13"/>
      <c r="C390" s="13"/>
    </row>
    <row r="391" spans="1:3" ht="13" x14ac:dyDescent="0.15">
      <c r="A391" s="10"/>
      <c r="B391" s="13"/>
      <c r="C391" s="13"/>
    </row>
    <row r="392" spans="1:3" ht="13" x14ac:dyDescent="0.15">
      <c r="A392" s="10"/>
      <c r="B392" s="13"/>
      <c r="C392" s="13"/>
    </row>
    <row r="393" spans="1:3" ht="13" x14ac:dyDescent="0.15">
      <c r="A393" s="10"/>
      <c r="B393" s="13"/>
      <c r="C393" s="13"/>
    </row>
    <row r="394" spans="1:3" ht="13" x14ac:dyDescent="0.15">
      <c r="A394" s="10"/>
      <c r="B394" s="13"/>
      <c r="C394" s="13"/>
    </row>
    <row r="395" spans="1:3" ht="13" x14ac:dyDescent="0.15">
      <c r="A395" s="10"/>
      <c r="B395" s="13"/>
      <c r="C395" s="13"/>
    </row>
    <row r="396" spans="1:3" ht="13" x14ac:dyDescent="0.15">
      <c r="A396" s="10"/>
      <c r="B396" s="13"/>
      <c r="C396" s="13"/>
    </row>
    <row r="397" spans="1:3" ht="13" x14ac:dyDescent="0.15">
      <c r="A397" s="10"/>
      <c r="B397" s="13"/>
      <c r="C397" s="13"/>
    </row>
    <row r="398" spans="1:3" ht="13" x14ac:dyDescent="0.15">
      <c r="A398" s="10"/>
      <c r="B398" s="13"/>
      <c r="C398" s="13"/>
    </row>
    <row r="399" spans="1:3" ht="13" x14ac:dyDescent="0.15">
      <c r="A399" s="10"/>
      <c r="B399" s="13"/>
      <c r="C399" s="13"/>
    </row>
    <row r="400" spans="1:3" ht="13" x14ac:dyDescent="0.15">
      <c r="A400" s="10"/>
      <c r="B400" s="13"/>
      <c r="C400" s="13"/>
    </row>
    <row r="401" spans="1:3" ht="13" x14ac:dyDescent="0.15">
      <c r="A401" s="10"/>
      <c r="B401" s="13"/>
      <c r="C401" s="13"/>
    </row>
    <row r="402" spans="1:3" ht="13" x14ac:dyDescent="0.15">
      <c r="A402" s="10"/>
      <c r="B402" s="13"/>
      <c r="C402" s="13"/>
    </row>
    <row r="403" spans="1:3" ht="13" x14ac:dyDescent="0.15">
      <c r="A403" s="10"/>
      <c r="B403" s="13"/>
      <c r="C403" s="13"/>
    </row>
    <row r="404" spans="1:3" ht="13" x14ac:dyDescent="0.15">
      <c r="A404" s="10"/>
      <c r="B404" s="13"/>
      <c r="C404" s="13"/>
    </row>
    <row r="405" spans="1:3" ht="13" x14ac:dyDescent="0.15">
      <c r="A405" s="10"/>
      <c r="B405" s="13"/>
      <c r="C405" s="13"/>
    </row>
    <row r="406" spans="1:3" ht="13" x14ac:dyDescent="0.15">
      <c r="A406" s="10"/>
      <c r="B406" s="13"/>
      <c r="C406" s="13"/>
    </row>
    <row r="407" spans="1:3" ht="13" x14ac:dyDescent="0.15">
      <c r="A407" s="10"/>
      <c r="B407" s="13"/>
      <c r="C407" s="13"/>
    </row>
    <row r="408" spans="1:3" ht="13" x14ac:dyDescent="0.15">
      <c r="A408" s="10"/>
      <c r="B408" s="13"/>
      <c r="C408" s="13"/>
    </row>
    <row r="409" spans="1:3" ht="13" x14ac:dyDescent="0.15">
      <c r="A409" s="10"/>
      <c r="B409" s="13"/>
      <c r="C409" s="13"/>
    </row>
    <row r="410" spans="1:3" ht="13" x14ac:dyDescent="0.15">
      <c r="A410" s="10"/>
      <c r="B410" s="13"/>
      <c r="C410" s="13"/>
    </row>
    <row r="411" spans="1:3" ht="13" x14ac:dyDescent="0.15">
      <c r="A411" s="10"/>
      <c r="B411" s="13"/>
      <c r="C411" s="13"/>
    </row>
    <row r="412" spans="1:3" ht="13" x14ac:dyDescent="0.15">
      <c r="A412" s="10"/>
      <c r="B412" s="13"/>
      <c r="C412" s="13"/>
    </row>
    <row r="413" spans="1:3" ht="13" x14ac:dyDescent="0.15">
      <c r="A413" s="10"/>
      <c r="B413" s="13"/>
      <c r="C413" s="13"/>
    </row>
    <row r="414" spans="1:3" ht="13" x14ac:dyDescent="0.15">
      <c r="A414" s="10"/>
      <c r="B414" s="13"/>
      <c r="C414" s="13"/>
    </row>
    <row r="415" spans="1:3" ht="13" x14ac:dyDescent="0.15">
      <c r="A415" s="10"/>
      <c r="B415" s="13"/>
      <c r="C415" s="13"/>
    </row>
    <row r="416" spans="1:3" ht="13" x14ac:dyDescent="0.15">
      <c r="A416" s="10"/>
      <c r="B416" s="13"/>
      <c r="C416" s="13"/>
    </row>
    <row r="417" spans="1:3" ht="13" x14ac:dyDescent="0.15">
      <c r="A417" s="10"/>
      <c r="B417" s="13"/>
      <c r="C417" s="13"/>
    </row>
    <row r="418" spans="1:3" ht="13" x14ac:dyDescent="0.15">
      <c r="A418" s="10"/>
      <c r="B418" s="13"/>
      <c r="C418" s="13"/>
    </row>
    <row r="419" spans="1:3" ht="13" x14ac:dyDescent="0.15">
      <c r="A419" s="10"/>
      <c r="B419" s="13"/>
      <c r="C419" s="13"/>
    </row>
    <row r="420" spans="1:3" ht="13" x14ac:dyDescent="0.15">
      <c r="A420" s="10"/>
      <c r="B420" s="13"/>
      <c r="C420" s="13"/>
    </row>
    <row r="421" spans="1:3" ht="13" x14ac:dyDescent="0.15">
      <c r="A421" s="10"/>
      <c r="B421" s="13"/>
      <c r="C421" s="13"/>
    </row>
    <row r="422" spans="1:3" ht="13" x14ac:dyDescent="0.15">
      <c r="A422" s="10"/>
      <c r="B422" s="13"/>
      <c r="C422" s="13"/>
    </row>
    <row r="423" spans="1:3" ht="13" x14ac:dyDescent="0.15">
      <c r="A423" s="10"/>
      <c r="B423" s="13"/>
      <c r="C423" s="13"/>
    </row>
    <row r="424" spans="1:3" ht="13" x14ac:dyDescent="0.15">
      <c r="A424" s="10"/>
      <c r="B424" s="13"/>
      <c r="C424" s="13"/>
    </row>
    <row r="425" spans="1:3" ht="13" x14ac:dyDescent="0.15">
      <c r="A425" s="10"/>
      <c r="B425" s="13"/>
      <c r="C425" s="13"/>
    </row>
    <row r="426" spans="1:3" ht="13" x14ac:dyDescent="0.15">
      <c r="A426" s="10"/>
      <c r="B426" s="13"/>
      <c r="C426" s="13"/>
    </row>
    <row r="427" spans="1:3" ht="13" x14ac:dyDescent="0.15">
      <c r="A427" s="10"/>
      <c r="B427" s="13"/>
      <c r="C427" s="13"/>
    </row>
    <row r="428" spans="1:3" ht="13" x14ac:dyDescent="0.15">
      <c r="A428" s="10"/>
      <c r="B428" s="13"/>
      <c r="C428" s="13"/>
    </row>
    <row r="429" spans="1:3" ht="13" x14ac:dyDescent="0.15">
      <c r="A429" s="10"/>
      <c r="B429" s="13"/>
      <c r="C429" s="13"/>
    </row>
    <row r="430" spans="1:3" ht="13" x14ac:dyDescent="0.15">
      <c r="A430" s="10"/>
      <c r="B430" s="13"/>
      <c r="C430" s="13"/>
    </row>
    <row r="431" spans="1:3" ht="13" x14ac:dyDescent="0.15">
      <c r="A431" s="10"/>
      <c r="B431" s="13"/>
      <c r="C431" s="13"/>
    </row>
    <row r="432" spans="1:3" ht="13" x14ac:dyDescent="0.15">
      <c r="A432" s="10"/>
      <c r="B432" s="13"/>
      <c r="C432" s="13"/>
    </row>
    <row r="433" spans="1:3" ht="13" x14ac:dyDescent="0.15">
      <c r="A433" s="10"/>
      <c r="B433" s="13"/>
      <c r="C433" s="13"/>
    </row>
    <row r="434" spans="1:3" ht="13" x14ac:dyDescent="0.15">
      <c r="A434" s="10"/>
      <c r="B434" s="13"/>
      <c r="C434" s="13"/>
    </row>
    <row r="435" spans="1:3" ht="13" x14ac:dyDescent="0.15">
      <c r="A435" s="10"/>
      <c r="B435" s="13"/>
      <c r="C435" s="13"/>
    </row>
    <row r="436" spans="1:3" ht="13" x14ac:dyDescent="0.15">
      <c r="A436" s="10"/>
      <c r="B436" s="13"/>
      <c r="C436" s="13"/>
    </row>
    <row r="437" spans="1:3" ht="13" x14ac:dyDescent="0.15">
      <c r="A437" s="10"/>
      <c r="B437" s="13"/>
      <c r="C437" s="13"/>
    </row>
    <row r="438" spans="1:3" ht="13" x14ac:dyDescent="0.15">
      <c r="A438" s="10"/>
      <c r="B438" s="13"/>
      <c r="C438" s="13"/>
    </row>
    <row r="439" spans="1:3" ht="13" x14ac:dyDescent="0.15">
      <c r="A439" s="10"/>
      <c r="B439" s="13"/>
      <c r="C439" s="13"/>
    </row>
    <row r="440" spans="1:3" ht="13" x14ac:dyDescent="0.15">
      <c r="A440" s="10"/>
      <c r="B440" s="13"/>
      <c r="C440" s="13"/>
    </row>
    <row r="441" spans="1:3" ht="13" x14ac:dyDescent="0.15">
      <c r="A441" s="10"/>
      <c r="B441" s="13"/>
      <c r="C441" s="13"/>
    </row>
    <row r="442" spans="1:3" ht="13" x14ac:dyDescent="0.15">
      <c r="A442" s="10"/>
      <c r="B442" s="13"/>
      <c r="C442" s="13"/>
    </row>
    <row r="443" spans="1:3" ht="13" x14ac:dyDescent="0.15">
      <c r="A443" s="10"/>
      <c r="B443" s="13"/>
      <c r="C443" s="13"/>
    </row>
    <row r="444" spans="1:3" ht="13" x14ac:dyDescent="0.15">
      <c r="A444" s="10"/>
      <c r="B444" s="13"/>
      <c r="C444" s="13"/>
    </row>
    <row r="445" spans="1:3" ht="13" x14ac:dyDescent="0.15">
      <c r="A445" s="10"/>
      <c r="B445" s="13"/>
      <c r="C445" s="13"/>
    </row>
    <row r="446" spans="1:3" ht="13" x14ac:dyDescent="0.15">
      <c r="A446" s="10"/>
      <c r="B446" s="13"/>
      <c r="C446" s="13"/>
    </row>
    <row r="447" spans="1:3" ht="13" x14ac:dyDescent="0.15">
      <c r="A447" s="10"/>
      <c r="B447" s="13"/>
      <c r="C447" s="13"/>
    </row>
    <row r="448" spans="1:3" ht="13" x14ac:dyDescent="0.15">
      <c r="A448" s="10"/>
      <c r="B448" s="13"/>
      <c r="C448" s="13"/>
    </row>
    <row r="449" spans="1:3" ht="13" x14ac:dyDescent="0.15">
      <c r="A449" s="10"/>
      <c r="B449" s="13"/>
      <c r="C449" s="13"/>
    </row>
    <row r="450" spans="1:3" ht="13" x14ac:dyDescent="0.15">
      <c r="A450" s="10"/>
      <c r="B450" s="13"/>
      <c r="C450" s="13"/>
    </row>
    <row r="451" spans="1:3" ht="13" x14ac:dyDescent="0.15">
      <c r="A451" s="10"/>
      <c r="B451" s="13"/>
      <c r="C451" s="13"/>
    </row>
    <row r="452" spans="1:3" ht="13" x14ac:dyDescent="0.15">
      <c r="A452" s="10"/>
      <c r="B452" s="13"/>
      <c r="C452" s="13"/>
    </row>
    <row r="453" spans="1:3" ht="13" x14ac:dyDescent="0.15">
      <c r="A453" s="10"/>
      <c r="B453" s="13"/>
      <c r="C453" s="13"/>
    </row>
    <row r="454" spans="1:3" ht="13" x14ac:dyDescent="0.15">
      <c r="A454" s="10"/>
      <c r="B454" s="13"/>
      <c r="C454" s="13"/>
    </row>
    <row r="455" spans="1:3" ht="13" x14ac:dyDescent="0.15">
      <c r="A455" s="10"/>
      <c r="B455" s="13"/>
      <c r="C455" s="13"/>
    </row>
    <row r="456" spans="1:3" ht="13" x14ac:dyDescent="0.15">
      <c r="A456" s="10"/>
      <c r="B456" s="13"/>
      <c r="C456" s="13"/>
    </row>
    <row r="457" spans="1:3" ht="13" x14ac:dyDescent="0.15">
      <c r="A457" s="10"/>
      <c r="B457" s="13"/>
      <c r="C457" s="13"/>
    </row>
    <row r="458" spans="1:3" ht="13" x14ac:dyDescent="0.15">
      <c r="A458" s="10"/>
      <c r="B458" s="13"/>
      <c r="C458" s="13"/>
    </row>
    <row r="459" spans="1:3" ht="13" x14ac:dyDescent="0.15">
      <c r="A459" s="10"/>
      <c r="B459" s="13"/>
      <c r="C459" s="13"/>
    </row>
    <row r="460" spans="1:3" ht="13" x14ac:dyDescent="0.15">
      <c r="A460" s="10"/>
      <c r="B460" s="13"/>
      <c r="C460" s="13"/>
    </row>
    <row r="461" spans="1:3" ht="13" x14ac:dyDescent="0.15">
      <c r="A461" s="10"/>
      <c r="B461" s="13"/>
      <c r="C461" s="13"/>
    </row>
    <row r="462" spans="1:3" ht="13" x14ac:dyDescent="0.15">
      <c r="A462" s="10"/>
      <c r="B462" s="13"/>
      <c r="C462" s="13"/>
    </row>
    <row r="463" spans="1:3" ht="13" x14ac:dyDescent="0.15">
      <c r="A463" s="10"/>
      <c r="B463" s="13"/>
      <c r="C463" s="13"/>
    </row>
    <row r="464" spans="1:3" ht="13" x14ac:dyDescent="0.15">
      <c r="A464" s="10"/>
      <c r="B464" s="13"/>
      <c r="C464" s="13"/>
    </row>
    <row r="465" spans="1:3" ht="13" x14ac:dyDescent="0.15">
      <c r="A465" s="10"/>
      <c r="B465" s="13"/>
      <c r="C465" s="13"/>
    </row>
    <row r="466" spans="1:3" ht="13" x14ac:dyDescent="0.15">
      <c r="A466" s="10"/>
      <c r="B466" s="13"/>
      <c r="C466" s="13"/>
    </row>
    <row r="467" spans="1:3" ht="13" x14ac:dyDescent="0.15">
      <c r="A467" s="10"/>
      <c r="B467" s="13"/>
      <c r="C467" s="13"/>
    </row>
    <row r="468" spans="1:3" ht="13" x14ac:dyDescent="0.15">
      <c r="A468" s="10"/>
      <c r="B468" s="13"/>
      <c r="C468" s="13"/>
    </row>
    <row r="469" spans="1:3" ht="13" x14ac:dyDescent="0.15">
      <c r="A469" s="10"/>
      <c r="B469" s="13"/>
      <c r="C469" s="13"/>
    </row>
    <row r="470" spans="1:3" ht="13" x14ac:dyDescent="0.15">
      <c r="A470" s="10"/>
      <c r="B470" s="13"/>
      <c r="C470" s="13"/>
    </row>
    <row r="471" spans="1:3" ht="13" x14ac:dyDescent="0.15">
      <c r="A471" s="10"/>
      <c r="B471" s="13"/>
      <c r="C471" s="13"/>
    </row>
    <row r="472" spans="1:3" ht="13" x14ac:dyDescent="0.15">
      <c r="A472" s="10"/>
      <c r="B472" s="13"/>
      <c r="C472" s="13"/>
    </row>
    <row r="473" spans="1:3" ht="13" x14ac:dyDescent="0.15">
      <c r="A473" s="10"/>
      <c r="B473" s="13"/>
      <c r="C473" s="13"/>
    </row>
    <row r="474" spans="1:3" ht="13" x14ac:dyDescent="0.15">
      <c r="A474" s="10"/>
      <c r="B474" s="13"/>
      <c r="C474" s="13"/>
    </row>
    <row r="475" spans="1:3" ht="13" x14ac:dyDescent="0.15">
      <c r="A475" s="10"/>
      <c r="B475" s="13"/>
      <c r="C475" s="13"/>
    </row>
    <row r="476" spans="1:3" ht="13" x14ac:dyDescent="0.15">
      <c r="A476" s="10"/>
      <c r="B476" s="13"/>
      <c r="C476" s="13"/>
    </row>
    <row r="477" spans="1:3" ht="13" x14ac:dyDescent="0.15">
      <c r="A477" s="10"/>
      <c r="B477" s="13"/>
      <c r="C477" s="13"/>
    </row>
    <row r="478" spans="1:3" ht="13" x14ac:dyDescent="0.15">
      <c r="A478" s="10"/>
      <c r="B478" s="13"/>
      <c r="C478" s="13"/>
    </row>
    <row r="479" spans="1:3" ht="13" x14ac:dyDescent="0.15">
      <c r="A479" s="10"/>
      <c r="B479" s="13"/>
      <c r="C479" s="13"/>
    </row>
    <row r="480" spans="1:3" ht="13" x14ac:dyDescent="0.15">
      <c r="A480" s="10"/>
      <c r="B480" s="13"/>
      <c r="C480" s="13"/>
    </row>
    <row r="481" spans="1:3" ht="13" x14ac:dyDescent="0.15">
      <c r="A481" s="10"/>
      <c r="B481" s="13"/>
      <c r="C481" s="13"/>
    </row>
    <row r="482" spans="1:3" ht="13" x14ac:dyDescent="0.15">
      <c r="A482" s="10"/>
      <c r="B482" s="13"/>
      <c r="C482" s="13"/>
    </row>
    <row r="483" spans="1:3" ht="13" x14ac:dyDescent="0.15">
      <c r="A483" s="10"/>
      <c r="B483" s="13"/>
      <c r="C483" s="13"/>
    </row>
    <row r="484" spans="1:3" ht="13" x14ac:dyDescent="0.15">
      <c r="A484" s="10"/>
      <c r="B484" s="13"/>
      <c r="C484" s="13"/>
    </row>
    <row r="485" spans="1:3" ht="13" x14ac:dyDescent="0.15">
      <c r="A485" s="10"/>
      <c r="B485" s="13"/>
      <c r="C485" s="13"/>
    </row>
    <row r="486" spans="1:3" ht="13" x14ac:dyDescent="0.15">
      <c r="A486" s="10"/>
      <c r="B486" s="13"/>
      <c r="C486" s="13"/>
    </row>
    <row r="487" spans="1:3" ht="13" x14ac:dyDescent="0.15">
      <c r="A487" s="10"/>
      <c r="B487" s="13"/>
      <c r="C487" s="13"/>
    </row>
    <row r="488" spans="1:3" ht="13" x14ac:dyDescent="0.15">
      <c r="A488" s="10"/>
      <c r="B488" s="13"/>
      <c r="C488" s="13"/>
    </row>
    <row r="489" spans="1:3" ht="13" x14ac:dyDescent="0.15">
      <c r="A489" s="10"/>
      <c r="B489" s="13"/>
      <c r="C489" s="13"/>
    </row>
    <row r="490" spans="1:3" ht="13" x14ac:dyDescent="0.15">
      <c r="A490" s="10"/>
      <c r="B490" s="13"/>
      <c r="C490" s="13"/>
    </row>
    <row r="491" spans="1:3" ht="13" x14ac:dyDescent="0.15">
      <c r="A491" s="10"/>
      <c r="B491" s="13"/>
      <c r="C491" s="13"/>
    </row>
    <row r="492" spans="1:3" ht="13" x14ac:dyDescent="0.15">
      <c r="A492" s="10"/>
      <c r="B492" s="13"/>
      <c r="C492" s="13"/>
    </row>
    <row r="493" spans="1:3" ht="13" x14ac:dyDescent="0.15">
      <c r="A493" s="10"/>
      <c r="B493" s="13"/>
      <c r="C493" s="13"/>
    </row>
    <row r="494" spans="1:3" ht="13" x14ac:dyDescent="0.15">
      <c r="A494" s="10"/>
      <c r="B494" s="13"/>
      <c r="C494" s="13"/>
    </row>
    <row r="495" spans="1:3" ht="13" x14ac:dyDescent="0.15">
      <c r="A495" s="10"/>
      <c r="B495" s="13"/>
      <c r="C495" s="13"/>
    </row>
    <row r="496" spans="1:3" ht="13" x14ac:dyDescent="0.15">
      <c r="A496" s="10"/>
      <c r="B496" s="13"/>
      <c r="C496" s="13"/>
    </row>
    <row r="497" spans="1:3" ht="13" x14ac:dyDescent="0.15">
      <c r="A497" s="10"/>
      <c r="B497" s="13"/>
      <c r="C497" s="13"/>
    </row>
    <row r="498" spans="1:3" ht="13" x14ac:dyDescent="0.15">
      <c r="A498" s="10"/>
      <c r="B498" s="13"/>
      <c r="C498" s="13"/>
    </row>
    <row r="499" spans="1:3" ht="13" x14ac:dyDescent="0.15">
      <c r="A499" s="10"/>
      <c r="B499" s="13"/>
      <c r="C499" s="13"/>
    </row>
    <row r="500" spans="1:3" ht="13" x14ac:dyDescent="0.15">
      <c r="A500" s="10"/>
      <c r="B500" s="13"/>
      <c r="C500" s="13"/>
    </row>
    <row r="501" spans="1:3" ht="13" x14ac:dyDescent="0.15">
      <c r="A501" s="10"/>
      <c r="B501" s="13"/>
      <c r="C501" s="13"/>
    </row>
    <row r="502" spans="1:3" ht="13" x14ac:dyDescent="0.15">
      <c r="A502" s="10"/>
      <c r="B502" s="13"/>
      <c r="C502" s="13"/>
    </row>
    <row r="503" spans="1:3" ht="13" x14ac:dyDescent="0.15">
      <c r="A503" s="10"/>
      <c r="B503" s="13"/>
      <c r="C503" s="13"/>
    </row>
    <row r="504" spans="1:3" ht="13" x14ac:dyDescent="0.15">
      <c r="A504" s="10"/>
      <c r="B504" s="13"/>
      <c r="C504" s="13"/>
    </row>
    <row r="505" spans="1:3" ht="13" x14ac:dyDescent="0.15">
      <c r="A505" s="10"/>
      <c r="B505" s="13"/>
      <c r="C505" s="13"/>
    </row>
    <row r="506" spans="1:3" ht="13" x14ac:dyDescent="0.15">
      <c r="A506" s="10"/>
      <c r="B506" s="13"/>
      <c r="C506" s="13"/>
    </row>
    <row r="507" spans="1:3" ht="13" x14ac:dyDescent="0.15">
      <c r="A507" s="10"/>
      <c r="B507" s="13"/>
      <c r="C507" s="13"/>
    </row>
    <row r="508" spans="1:3" ht="13" x14ac:dyDescent="0.15">
      <c r="A508" s="10"/>
      <c r="B508" s="13"/>
      <c r="C508" s="13"/>
    </row>
    <row r="509" spans="1:3" ht="13" x14ac:dyDescent="0.15">
      <c r="A509" s="10"/>
      <c r="B509" s="13"/>
      <c r="C509" s="13"/>
    </row>
    <row r="510" spans="1:3" ht="13" x14ac:dyDescent="0.15">
      <c r="A510" s="10"/>
      <c r="B510" s="13"/>
      <c r="C510" s="13"/>
    </row>
    <row r="511" spans="1:3" ht="13" x14ac:dyDescent="0.15">
      <c r="A511" s="10"/>
      <c r="B511" s="13"/>
      <c r="C511" s="13"/>
    </row>
    <row r="512" spans="1:3" ht="13" x14ac:dyDescent="0.15">
      <c r="A512" s="10"/>
      <c r="B512" s="13"/>
      <c r="C512" s="13"/>
    </row>
    <row r="513" spans="1:3" ht="13" x14ac:dyDescent="0.15">
      <c r="A513" s="10"/>
      <c r="B513" s="13"/>
      <c r="C513" s="13"/>
    </row>
    <row r="514" spans="1:3" ht="13" x14ac:dyDescent="0.15">
      <c r="A514" s="10"/>
      <c r="B514" s="13"/>
      <c r="C514" s="13"/>
    </row>
    <row r="515" spans="1:3" ht="13" x14ac:dyDescent="0.15">
      <c r="A515" s="10"/>
      <c r="B515" s="13"/>
      <c r="C515" s="13"/>
    </row>
    <row r="516" spans="1:3" ht="13" x14ac:dyDescent="0.15">
      <c r="A516" s="10"/>
      <c r="B516" s="13"/>
      <c r="C516" s="13"/>
    </row>
    <row r="517" spans="1:3" ht="13" x14ac:dyDescent="0.15">
      <c r="A517" s="10"/>
      <c r="B517" s="13"/>
      <c r="C517" s="13"/>
    </row>
    <row r="518" spans="1:3" ht="13" x14ac:dyDescent="0.15">
      <c r="A518" s="10"/>
      <c r="B518" s="13"/>
      <c r="C518" s="13"/>
    </row>
    <row r="519" spans="1:3" ht="13" x14ac:dyDescent="0.15">
      <c r="A519" s="10"/>
      <c r="B519" s="13"/>
      <c r="C519" s="13"/>
    </row>
    <row r="520" spans="1:3" ht="13" x14ac:dyDescent="0.15">
      <c r="A520" s="10"/>
      <c r="B520" s="13"/>
      <c r="C520" s="13"/>
    </row>
    <row r="521" spans="1:3" ht="13" x14ac:dyDescent="0.15">
      <c r="A521" s="10"/>
      <c r="B521" s="13"/>
      <c r="C521" s="13"/>
    </row>
    <row r="522" spans="1:3" ht="13" x14ac:dyDescent="0.15">
      <c r="A522" s="10"/>
      <c r="B522" s="13"/>
      <c r="C522" s="13"/>
    </row>
    <row r="523" spans="1:3" ht="13" x14ac:dyDescent="0.15">
      <c r="A523" s="10"/>
      <c r="B523" s="13"/>
      <c r="C523" s="13"/>
    </row>
    <row r="524" spans="1:3" ht="13" x14ac:dyDescent="0.15">
      <c r="A524" s="10"/>
      <c r="B524" s="13"/>
      <c r="C524" s="13"/>
    </row>
    <row r="525" spans="1:3" ht="13" x14ac:dyDescent="0.15">
      <c r="A525" s="10"/>
      <c r="B525" s="13"/>
      <c r="C525" s="13"/>
    </row>
    <row r="526" spans="1:3" ht="13" x14ac:dyDescent="0.15">
      <c r="A526" s="10"/>
      <c r="B526" s="13"/>
      <c r="C526" s="13"/>
    </row>
    <row r="527" spans="1:3" ht="13" x14ac:dyDescent="0.15">
      <c r="A527" s="10"/>
      <c r="B527" s="13"/>
      <c r="C527" s="13"/>
    </row>
    <row r="528" spans="1:3" ht="13" x14ac:dyDescent="0.15">
      <c r="A528" s="10"/>
      <c r="B528" s="13"/>
      <c r="C528" s="13"/>
    </row>
    <row r="529" spans="1:3" ht="13" x14ac:dyDescent="0.15">
      <c r="A529" s="10"/>
      <c r="B529" s="13"/>
      <c r="C529" s="13"/>
    </row>
    <row r="530" spans="1:3" ht="13" x14ac:dyDescent="0.15">
      <c r="A530" s="10"/>
      <c r="B530" s="13"/>
      <c r="C530" s="13"/>
    </row>
    <row r="531" spans="1:3" ht="13" x14ac:dyDescent="0.15">
      <c r="A531" s="10"/>
      <c r="B531" s="13"/>
      <c r="C531" s="13"/>
    </row>
    <row r="532" spans="1:3" ht="13" x14ac:dyDescent="0.15">
      <c r="A532" s="10"/>
      <c r="B532" s="13"/>
      <c r="C532" s="13"/>
    </row>
    <row r="533" spans="1:3" ht="13" x14ac:dyDescent="0.15">
      <c r="A533" s="10"/>
      <c r="B533" s="13"/>
      <c r="C533" s="13"/>
    </row>
    <row r="534" spans="1:3" ht="13" x14ac:dyDescent="0.15">
      <c r="A534" s="10"/>
      <c r="B534" s="13"/>
      <c r="C534" s="13"/>
    </row>
    <row r="535" spans="1:3" ht="13" x14ac:dyDescent="0.15">
      <c r="A535" s="10"/>
      <c r="B535" s="13"/>
      <c r="C535" s="13"/>
    </row>
    <row r="536" spans="1:3" ht="13" x14ac:dyDescent="0.15">
      <c r="A536" s="10"/>
      <c r="B536" s="13"/>
      <c r="C536" s="13"/>
    </row>
    <row r="537" spans="1:3" ht="13" x14ac:dyDescent="0.15">
      <c r="A537" s="10"/>
      <c r="B537" s="13"/>
      <c r="C537" s="13"/>
    </row>
    <row r="538" spans="1:3" ht="13" x14ac:dyDescent="0.15">
      <c r="A538" s="10"/>
      <c r="B538" s="13"/>
      <c r="C538" s="13"/>
    </row>
    <row r="539" spans="1:3" ht="13" x14ac:dyDescent="0.15">
      <c r="A539" s="10"/>
      <c r="B539" s="13"/>
      <c r="C539" s="13"/>
    </row>
    <row r="540" spans="1:3" ht="13" x14ac:dyDescent="0.15">
      <c r="A540" s="10"/>
      <c r="B540" s="13"/>
      <c r="C540" s="13"/>
    </row>
    <row r="541" spans="1:3" ht="13" x14ac:dyDescent="0.15">
      <c r="A541" s="10"/>
      <c r="B541" s="13"/>
      <c r="C541" s="13"/>
    </row>
    <row r="542" spans="1:3" ht="13" x14ac:dyDescent="0.15">
      <c r="A542" s="10"/>
      <c r="B542" s="13"/>
      <c r="C542" s="13"/>
    </row>
    <row r="543" spans="1:3" ht="13" x14ac:dyDescent="0.15">
      <c r="A543" s="10"/>
      <c r="B543" s="13"/>
      <c r="C543" s="13"/>
    </row>
    <row r="544" spans="1:3" ht="13" x14ac:dyDescent="0.15">
      <c r="A544" s="10"/>
      <c r="B544" s="13"/>
      <c r="C544" s="13"/>
    </row>
    <row r="545" spans="1:3" ht="13" x14ac:dyDescent="0.15">
      <c r="A545" s="10"/>
      <c r="B545" s="13"/>
      <c r="C545" s="13"/>
    </row>
    <row r="546" spans="1:3" ht="13" x14ac:dyDescent="0.15">
      <c r="A546" s="10"/>
      <c r="B546" s="13"/>
      <c r="C546" s="13"/>
    </row>
    <row r="547" spans="1:3" ht="13" x14ac:dyDescent="0.15">
      <c r="A547" s="10"/>
      <c r="B547" s="13"/>
      <c r="C547" s="13"/>
    </row>
    <row r="548" spans="1:3" ht="13" x14ac:dyDescent="0.15">
      <c r="A548" s="10"/>
      <c r="B548" s="13"/>
      <c r="C548" s="13"/>
    </row>
    <row r="549" spans="1:3" ht="13" x14ac:dyDescent="0.15">
      <c r="A549" s="10"/>
      <c r="B549" s="13"/>
      <c r="C549" s="13"/>
    </row>
    <row r="550" spans="1:3" ht="13" x14ac:dyDescent="0.15">
      <c r="A550" s="10"/>
      <c r="B550" s="13"/>
      <c r="C550" s="13"/>
    </row>
    <row r="551" spans="1:3" ht="13" x14ac:dyDescent="0.15">
      <c r="A551" s="10"/>
      <c r="B551" s="13"/>
      <c r="C551" s="13"/>
    </row>
    <row r="552" spans="1:3" ht="13" x14ac:dyDescent="0.15">
      <c r="A552" s="10"/>
      <c r="B552" s="13"/>
      <c r="C552" s="13"/>
    </row>
    <row r="553" spans="1:3" ht="13" x14ac:dyDescent="0.15">
      <c r="A553" s="10"/>
      <c r="B553" s="13"/>
      <c r="C553" s="13"/>
    </row>
    <row r="554" spans="1:3" ht="13" x14ac:dyDescent="0.15">
      <c r="A554" s="10"/>
      <c r="B554" s="13"/>
      <c r="C554" s="13"/>
    </row>
    <row r="555" spans="1:3" ht="13" x14ac:dyDescent="0.15">
      <c r="A555" s="10"/>
      <c r="B555" s="13"/>
      <c r="C555" s="13"/>
    </row>
    <row r="556" spans="1:3" ht="13" x14ac:dyDescent="0.15">
      <c r="A556" s="10"/>
      <c r="B556" s="13"/>
      <c r="C556" s="13"/>
    </row>
    <row r="557" spans="1:3" ht="13" x14ac:dyDescent="0.15">
      <c r="A557" s="10"/>
      <c r="B557" s="13"/>
      <c r="C557" s="13"/>
    </row>
    <row r="558" spans="1:3" ht="13" x14ac:dyDescent="0.15">
      <c r="A558" s="10"/>
      <c r="B558" s="13"/>
      <c r="C558" s="13"/>
    </row>
    <row r="559" spans="1:3" ht="13" x14ac:dyDescent="0.15">
      <c r="A559" s="10"/>
      <c r="B559" s="13"/>
      <c r="C559" s="13"/>
    </row>
    <row r="560" spans="1:3" ht="13" x14ac:dyDescent="0.15">
      <c r="A560" s="10"/>
      <c r="B560" s="13"/>
      <c r="C560" s="13"/>
    </row>
    <row r="561" spans="1:3" ht="13" x14ac:dyDescent="0.15">
      <c r="A561" s="10"/>
      <c r="B561" s="13"/>
      <c r="C561" s="13"/>
    </row>
    <row r="562" spans="1:3" ht="13" x14ac:dyDescent="0.15">
      <c r="A562" s="10"/>
      <c r="B562" s="13"/>
      <c r="C562" s="13"/>
    </row>
    <row r="563" spans="1:3" ht="13" x14ac:dyDescent="0.15">
      <c r="A563" s="10"/>
      <c r="B563" s="13"/>
      <c r="C563" s="13"/>
    </row>
    <row r="564" spans="1:3" ht="13" x14ac:dyDescent="0.15">
      <c r="A564" s="10"/>
      <c r="B564" s="13"/>
      <c r="C564" s="13"/>
    </row>
    <row r="565" spans="1:3" ht="13" x14ac:dyDescent="0.15">
      <c r="A565" s="10"/>
      <c r="B565" s="13"/>
      <c r="C565" s="13"/>
    </row>
    <row r="566" spans="1:3" ht="13" x14ac:dyDescent="0.15">
      <c r="A566" s="10"/>
      <c r="B566" s="13"/>
      <c r="C566" s="13"/>
    </row>
    <row r="567" spans="1:3" ht="13" x14ac:dyDescent="0.15">
      <c r="A567" s="10"/>
      <c r="B567" s="13"/>
      <c r="C567" s="13"/>
    </row>
    <row r="568" spans="1:3" ht="13" x14ac:dyDescent="0.15">
      <c r="A568" s="10"/>
      <c r="B568" s="13"/>
      <c r="C568" s="13"/>
    </row>
    <row r="569" spans="1:3" ht="13" x14ac:dyDescent="0.15">
      <c r="A569" s="10"/>
      <c r="B569" s="13"/>
      <c r="C569" s="13"/>
    </row>
    <row r="570" spans="1:3" ht="13" x14ac:dyDescent="0.15">
      <c r="A570" s="10"/>
      <c r="B570" s="13"/>
      <c r="C570" s="13"/>
    </row>
    <row r="571" spans="1:3" ht="13" x14ac:dyDescent="0.15">
      <c r="A571" s="10"/>
      <c r="B571" s="13"/>
      <c r="C571" s="13"/>
    </row>
    <row r="572" spans="1:3" ht="13" x14ac:dyDescent="0.15">
      <c r="A572" s="10"/>
      <c r="B572" s="13"/>
      <c r="C572" s="13"/>
    </row>
    <row r="573" spans="1:3" ht="13" x14ac:dyDescent="0.15">
      <c r="A573" s="10"/>
      <c r="B573" s="13"/>
      <c r="C573" s="13"/>
    </row>
    <row r="574" spans="1:3" ht="13" x14ac:dyDescent="0.15">
      <c r="A574" s="10"/>
      <c r="B574" s="13"/>
      <c r="C574" s="13"/>
    </row>
    <row r="575" spans="1:3" ht="13" x14ac:dyDescent="0.15">
      <c r="A575" s="10"/>
      <c r="B575" s="13"/>
      <c r="C575" s="13"/>
    </row>
    <row r="576" spans="1:3" ht="13" x14ac:dyDescent="0.15">
      <c r="A576" s="10"/>
      <c r="B576" s="13"/>
      <c r="C576" s="13"/>
    </row>
    <row r="577" spans="1:3" ht="13" x14ac:dyDescent="0.15">
      <c r="A577" s="10"/>
      <c r="B577" s="13"/>
      <c r="C577" s="13"/>
    </row>
    <row r="578" spans="1:3" ht="13" x14ac:dyDescent="0.15">
      <c r="A578" s="10"/>
      <c r="B578" s="13"/>
      <c r="C578" s="13"/>
    </row>
    <row r="579" spans="1:3" ht="13" x14ac:dyDescent="0.15">
      <c r="A579" s="10"/>
      <c r="B579" s="13"/>
      <c r="C579" s="13"/>
    </row>
    <row r="580" spans="1:3" ht="13" x14ac:dyDescent="0.15">
      <c r="A580" s="10"/>
      <c r="B580" s="13"/>
      <c r="C580" s="13"/>
    </row>
    <row r="581" spans="1:3" ht="13" x14ac:dyDescent="0.15">
      <c r="A581" s="10"/>
      <c r="B581" s="13"/>
      <c r="C581" s="13"/>
    </row>
    <row r="582" spans="1:3" ht="13" x14ac:dyDescent="0.15">
      <c r="A582" s="10"/>
      <c r="B582" s="13"/>
      <c r="C582" s="13"/>
    </row>
    <row r="583" spans="1:3" ht="13" x14ac:dyDescent="0.15">
      <c r="A583" s="10"/>
      <c r="B583" s="13"/>
      <c r="C583" s="13"/>
    </row>
    <row r="584" spans="1:3" ht="13" x14ac:dyDescent="0.15">
      <c r="A584" s="10"/>
      <c r="B584" s="13"/>
      <c r="C584" s="13"/>
    </row>
    <row r="585" spans="1:3" ht="13" x14ac:dyDescent="0.15">
      <c r="A585" s="10"/>
      <c r="B585" s="13"/>
      <c r="C585" s="13"/>
    </row>
    <row r="586" spans="1:3" ht="13" x14ac:dyDescent="0.15">
      <c r="A586" s="10"/>
      <c r="B586" s="13"/>
      <c r="C586" s="13"/>
    </row>
    <row r="587" spans="1:3" ht="13" x14ac:dyDescent="0.15">
      <c r="A587" s="10"/>
      <c r="B587" s="13"/>
      <c r="C587" s="13"/>
    </row>
    <row r="588" spans="1:3" ht="13" x14ac:dyDescent="0.15">
      <c r="A588" s="10"/>
      <c r="B588" s="13"/>
      <c r="C588" s="13"/>
    </row>
    <row r="589" spans="1:3" ht="13" x14ac:dyDescent="0.15">
      <c r="A589" s="10"/>
      <c r="B589" s="13"/>
      <c r="C589" s="13"/>
    </row>
    <row r="590" spans="1:3" ht="13" x14ac:dyDescent="0.15">
      <c r="A590" s="10"/>
      <c r="B590" s="13"/>
      <c r="C590" s="13"/>
    </row>
    <row r="591" spans="1:3" ht="13" x14ac:dyDescent="0.15">
      <c r="A591" s="10"/>
      <c r="B591" s="13"/>
      <c r="C591" s="13"/>
    </row>
    <row r="592" spans="1:3" ht="13" x14ac:dyDescent="0.15">
      <c r="A592" s="10"/>
      <c r="B592" s="13"/>
      <c r="C592" s="13"/>
    </row>
    <row r="593" spans="1:3" ht="13" x14ac:dyDescent="0.15">
      <c r="A593" s="10"/>
      <c r="B593" s="13"/>
      <c r="C593" s="13"/>
    </row>
    <row r="594" spans="1:3" ht="13" x14ac:dyDescent="0.15">
      <c r="A594" s="10"/>
      <c r="B594" s="13"/>
      <c r="C594" s="13"/>
    </row>
    <row r="595" spans="1:3" ht="13" x14ac:dyDescent="0.15">
      <c r="A595" s="10"/>
      <c r="B595" s="13"/>
      <c r="C595" s="13"/>
    </row>
    <row r="596" spans="1:3" ht="13" x14ac:dyDescent="0.15">
      <c r="A596" s="10"/>
      <c r="B596" s="13"/>
      <c r="C596" s="13"/>
    </row>
    <row r="597" spans="1:3" ht="13" x14ac:dyDescent="0.15">
      <c r="A597" s="10"/>
      <c r="B597" s="13"/>
      <c r="C597" s="13"/>
    </row>
    <row r="598" spans="1:3" ht="13" x14ac:dyDescent="0.15">
      <c r="A598" s="10"/>
      <c r="B598" s="13"/>
      <c r="C598" s="13"/>
    </row>
    <row r="599" spans="1:3" ht="13" x14ac:dyDescent="0.15">
      <c r="A599" s="10"/>
      <c r="B599" s="13"/>
      <c r="C599" s="13"/>
    </row>
    <row r="600" spans="1:3" ht="13" x14ac:dyDescent="0.15">
      <c r="A600" s="10"/>
      <c r="B600" s="13"/>
      <c r="C600" s="13"/>
    </row>
    <row r="601" spans="1:3" ht="13" x14ac:dyDescent="0.15">
      <c r="A601" s="10"/>
      <c r="B601" s="13"/>
      <c r="C601" s="13"/>
    </row>
    <row r="602" spans="1:3" ht="13" x14ac:dyDescent="0.15">
      <c r="A602" s="10"/>
      <c r="B602" s="13"/>
      <c r="C602" s="13"/>
    </row>
    <row r="603" spans="1:3" ht="13" x14ac:dyDescent="0.15">
      <c r="A603" s="10"/>
      <c r="B603" s="13"/>
      <c r="C603" s="13"/>
    </row>
    <row r="604" spans="1:3" ht="13" x14ac:dyDescent="0.15">
      <c r="A604" s="10"/>
      <c r="B604" s="13"/>
      <c r="C604" s="13"/>
    </row>
    <row r="605" spans="1:3" ht="13" x14ac:dyDescent="0.15">
      <c r="A605" s="10"/>
      <c r="B605" s="13"/>
      <c r="C605" s="13"/>
    </row>
    <row r="606" spans="1:3" ht="13" x14ac:dyDescent="0.15">
      <c r="A606" s="10"/>
      <c r="B606" s="13"/>
      <c r="C606" s="13"/>
    </row>
    <row r="607" spans="1:3" ht="13" x14ac:dyDescent="0.15">
      <c r="A607" s="10"/>
      <c r="B607" s="13"/>
      <c r="C607" s="13"/>
    </row>
    <row r="608" spans="1:3" ht="13" x14ac:dyDescent="0.15">
      <c r="A608" s="10"/>
      <c r="B608" s="13"/>
      <c r="C608" s="13"/>
    </row>
    <row r="609" spans="1:3" ht="13" x14ac:dyDescent="0.15">
      <c r="A609" s="10"/>
      <c r="B609" s="13"/>
      <c r="C609" s="13"/>
    </row>
    <row r="610" spans="1:3" ht="13" x14ac:dyDescent="0.15">
      <c r="A610" s="10"/>
      <c r="B610" s="13"/>
      <c r="C610" s="13"/>
    </row>
    <row r="611" spans="1:3" ht="13" x14ac:dyDescent="0.15">
      <c r="A611" s="10"/>
      <c r="B611" s="13"/>
      <c r="C611" s="13"/>
    </row>
    <row r="612" spans="1:3" ht="13" x14ac:dyDescent="0.15">
      <c r="A612" s="10"/>
      <c r="B612" s="13"/>
      <c r="C612" s="13"/>
    </row>
    <row r="613" spans="1:3" ht="13" x14ac:dyDescent="0.15">
      <c r="A613" s="10"/>
      <c r="B613" s="13"/>
      <c r="C613" s="13"/>
    </row>
    <row r="614" spans="1:3" ht="13" x14ac:dyDescent="0.15">
      <c r="A614" s="10"/>
      <c r="B614" s="13"/>
      <c r="C614" s="13"/>
    </row>
    <row r="615" spans="1:3" ht="13" x14ac:dyDescent="0.15">
      <c r="A615" s="10"/>
      <c r="B615" s="13"/>
      <c r="C615" s="13"/>
    </row>
    <row r="616" spans="1:3" ht="13" x14ac:dyDescent="0.15">
      <c r="A616" s="10"/>
      <c r="B616" s="13"/>
      <c r="C616" s="13"/>
    </row>
    <row r="617" spans="1:3" ht="13" x14ac:dyDescent="0.15">
      <c r="A617" s="10"/>
      <c r="B617" s="13"/>
      <c r="C617" s="13"/>
    </row>
    <row r="618" spans="1:3" ht="13" x14ac:dyDescent="0.15">
      <c r="A618" s="10"/>
      <c r="B618" s="13"/>
      <c r="C618" s="13"/>
    </row>
    <row r="619" spans="1:3" ht="13" x14ac:dyDescent="0.15">
      <c r="A619" s="10"/>
      <c r="B619" s="13"/>
      <c r="C619" s="13"/>
    </row>
    <row r="620" spans="1:3" ht="13" x14ac:dyDescent="0.15">
      <c r="A620" s="10"/>
      <c r="B620" s="13"/>
      <c r="C620" s="13"/>
    </row>
    <row r="621" spans="1:3" ht="13" x14ac:dyDescent="0.15">
      <c r="A621" s="10"/>
      <c r="B621" s="13"/>
      <c r="C621" s="13"/>
    </row>
    <row r="622" spans="1:3" ht="13" x14ac:dyDescent="0.15">
      <c r="A622" s="10"/>
      <c r="B622" s="13"/>
      <c r="C622" s="13"/>
    </row>
    <row r="623" spans="1:3" ht="13" x14ac:dyDescent="0.15">
      <c r="A623" s="10"/>
      <c r="B623" s="13"/>
      <c r="C623" s="13"/>
    </row>
    <row r="624" spans="1:3" ht="13" x14ac:dyDescent="0.15">
      <c r="A624" s="10"/>
      <c r="B624" s="13"/>
      <c r="C624" s="13"/>
    </row>
    <row r="625" spans="1:3" ht="13" x14ac:dyDescent="0.15">
      <c r="A625" s="10"/>
      <c r="B625" s="13"/>
      <c r="C625" s="13"/>
    </row>
    <row r="626" spans="1:3" ht="13" x14ac:dyDescent="0.15">
      <c r="A626" s="10"/>
      <c r="B626" s="13"/>
      <c r="C626" s="13"/>
    </row>
    <row r="627" spans="1:3" ht="13" x14ac:dyDescent="0.15">
      <c r="A627" s="10"/>
      <c r="B627" s="13"/>
      <c r="C627" s="13"/>
    </row>
    <row r="628" spans="1:3" ht="13" x14ac:dyDescent="0.15">
      <c r="A628" s="10"/>
      <c r="B628" s="13"/>
      <c r="C628" s="13"/>
    </row>
    <row r="629" spans="1:3" ht="13" x14ac:dyDescent="0.15">
      <c r="A629" s="10"/>
      <c r="B629" s="13"/>
      <c r="C629" s="13"/>
    </row>
    <row r="630" spans="1:3" ht="13" x14ac:dyDescent="0.15">
      <c r="A630" s="10"/>
      <c r="B630" s="13"/>
      <c r="C630" s="13"/>
    </row>
    <row r="631" spans="1:3" ht="13" x14ac:dyDescent="0.15">
      <c r="A631" s="10"/>
      <c r="B631" s="13"/>
      <c r="C631" s="13"/>
    </row>
    <row r="632" spans="1:3" ht="13" x14ac:dyDescent="0.15">
      <c r="A632" s="10"/>
      <c r="B632" s="13"/>
      <c r="C632" s="13"/>
    </row>
    <row r="633" spans="1:3" ht="13" x14ac:dyDescent="0.15">
      <c r="A633" s="10"/>
      <c r="B633" s="13"/>
      <c r="C633" s="13"/>
    </row>
    <row r="634" spans="1:3" ht="13" x14ac:dyDescent="0.15">
      <c r="A634" s="10"/>
      <c r="B634" s="13"/>
      <c r="C634" s="13"/>
    </row>
    <row r="635" spans="1:3" ht="13" x14ac:dyDescent="0.15">
      <c r="A635" s="10"/>
      <c r="B635" s="13"/>
      <c r="C635" s="13"/>
    </row>
    <row r="636" spans="1:3" ht="13" x14ac:dyDescent="0.15">
      <c r="A636" s="10"/>
      <c r="B636" s="13"/>
      <c r="C636" s="13"/>
    </row>
    <row r="637" spans="1:3" ht="13" x14ac:dyDescent="0.15">
      <c r="A637" s="10"/>
      <c r="B637" s="13"/>
      <c r="C637" s="13"/>
    </row>
    <row r="638" spans="1:3" ht="13" x14ac:dyDescent="0.15">
      <c r="A638" s="10"/>
      <c r="B638" s="13"/>
      <c r="C638" s="13"/>
    </row>
    <row r="639" spans="1:3" ht="13" x14ac:dyDescent="0.15">
      <c r="A639" s="10"/>
      <c r="B639" s="13"/>
      <c r="C639" s="13"/>
    </row>
    <row r="640" spans="1:3" ht="13" x14ac:dyDescent="0.15">
      <c r="A640" s="10"/>
      <c r="B640" s="13"/>
      <c r="C640" s="13"/>
    </row>
    <row r="641" spans="1:3" ht="13" x14ac:dyDescent="0.15">
      <c r="A641" s="10"/>
      <c r="B641" s="13"/>
      <c r="C641" s="13"/>
    </row>
    <row r="642" spans="1:3" ht="13" x14ac:dyDescent="0.15">
      <c r="A642" s="10"/>
      <c r="B642" s="13"/>
      <c r="C642" s="13"/>
    </row>
    <row r="643" spans="1:3" ht="13" x14ac:dyDescent="0.15">
      <c r="A643" s="10"/>
      <c r="B643" s="13"/>
      <c r="C643" s="13"/>
    </row>
    <row r="644" spans="1:3" ht="13" x14ac:dyDescent="0.15">
      <c r="A644" s="10"/>
      <c r="B644" s="13"/>
      <c r="C644" s="13"/>
    </row>
    <row r="645" spans="1:3" ht="13" x14ac:dyDescent="0.15">
      <c r="A645" s="10"/>
      <c r="B645" s="13"/>
      <c r="C645" s="13"/>
    </row>
    <row r="646" spans="1:3" ht="13" x14ac:dyDescent="0.15">
      <c r="A646" s="10"/>
      <c r="B646" s="13"/>
      <c r="C646" s="13"/>
    </row>
    <row r="647" spans="1:3" ht="13" x14ac:dyDescent="0.15">
      <c r="A647" s="10"/>
      <c r="B647" s="13"/>
      <c r="C647" s="13"/>
    </row>
    <row r="648" spans="1:3" ht="13" x14ac:dyDescent="0.15">
      <c r="A648" s="10"/>
      <c r="B648" s="13"/>
      <c r="C648" s="13"/>
    </row>
    <row r="649" spans="1:3" ht="13" x14ac:dyDescent="0.15">
      <c r="A649" s="10"/>
      <c r="B649" s="13"/>
      <c r="C649" s="13"/>
    </row>
    <row r="650" spans="1:3" ht="13" x14ac:dyDescent="0.15">
      <c r="A650" s="10"/>
      <c r="B650" s="13"/>
      <c r="C650" s="13"/>
    </row>
    <row r="651" spans="1:3" ht="13" x14ac:dyDescent="0.15">
      <c r="A651" s="10"/>
      <c r="B651" s="13"/>
      <c r="C651" s="13"/>
    </row>
    <row r="652" spans="1:3" ht="13" x14ac:dyDescent="0.15">
      <c r="A652" s="10"/>
      <c r="B652" s="13"/>
      <c r="C652" s="13"/>
    </row>
    <row r="653" spans="1:3" ht="13" x14ac:dyDescent="0.15">
      <c r="A653" s="10"/>
      <c r="B653" s="13"/>
      <c r="C653" s="13"/>
    </row>
    <row r="654" spans="1:3" ht="13" x14ac:dyDescent="0.15">
      <c r="A654" s="10"/>
      <c r="B654" s="13"/>
      <c r="C654" s="13"/>
    </row>
    <row r="655" spans="1:3" ht="13" x14ac:dyDescent="0.15">
      <c r="A655" s="10"/>
      <c r="B655" s="13"/>
      <c r="C655" s="13"/>
    </row>
    <row r="656" spans="1:3" ht="13" x14ac:dyDescent="0.15">
      <c r="A656" s="10"/>
      <c r="B656" s="13"/>
      <c r="C656" s="13"/>
    </row>
    <row r="657" spans="1:3" ht="13" x14ac:dyDescent="0.15">
      <c r="A657" s="10"/>
      <c r="B657" s="13"/>
      <c r="C657" s="13"/>
    </row>
    <row r="658" spans="1:3" ht="13" x14ac:dyDescent="0.15">
      <c r="A658" s="10"/>
      <c r="B658" s="13"/>
      <c r="C658" s="13"/>
    </row>
    <row r="659" spans="1:3" ht="13" x14ac:dyDescent="0.15">
      <c r="A659" s="10"/>
      <c r="B659" s="13"/>
      <c r="C659" s="13"/>
    </row>
    <row r="660" spans="1:3" ht="13" x14ac:dyDescent="0.15">
      <c r="A660" s="10"/>
      <c r="B660" s="13"/>
      <c r="C660" s="13"/>
    </row>
    <row r="661" spans="1:3" ht="13" x14ac:dyDescent="0.15">
      <c r="A661" s="10"/>
      <c r="B661" s="13"/>
      <c r="C661" s="13"/>
    </row>
    <row r="662" spans="1:3" ht="13" x14ac:dyDescent="0.15">
      <c r="A662" s="10"/>
      <c r="B662" s="13"/>
      <c r="C662" s="13"/>
    </row>
    <row r="663" spans="1:3" ht="13" x14ac:dyDescent="0.15">
      <c r="A663" s="10"/>
      <c r="B663" s="13"/>
      <c r="C663" s="13"/>
    </row>
    <row r="664" spans="1:3" ht="13" x14ac:dyDescent="0.15">
      <c r="A664" s="10"/>
      <c r="B664" s="13"/>
      <c r="C664" s="13"/>
    </row>
    <row r="665" spans="1:3" ht="13" x14ac:dyDescent="0.15">
      <c r="A665" s="10"/>
      <c r="B665" s="13"/>
      <c r="C665" s="13"/>
    </row>
    <row r="666" spans="1:3" ht="13" x14ac:dyDescent="0.15">
      <c r="A666" s="10"/>
      <c r="B666" s="13"/>
      <c r="C666" s="13"/>
    </row>
    <row r="667" spans="1:3" ht="13" x14ac:dyDescent="0.15">
      <c r="A667" s="10"/>
      <c r="B667" s="13"/>
      <c r="C667" s="13"/>
    </row>
    <row r="668" spans="1:3" ht="13" x14ac:dyDescent="0.15">
      <c r="A668" s="10"/>
      <c r="B668" s="13"/>
      <c r="C668" s="13"/>
    </row>
    <row r="669" spans="1:3" ht="13" x14ac:dyDescent="0.15">
      <c r="A669" s="10"/>
      <c r="B669" s="13"/>
      <c r="C669" s="13"/>
    </row>
    <row r="670" spans="1:3" ht="13" x14ac:dyDescent="0.15">
      <c r="A670" s="10"/>
      <c r="B670" s="13"/>
      <c r="C670" s="13"/>
    </row>
    <row r="671" spans="1:3" ht="13" x14ac:dyDescent="0.15">
      <c r="A671" s="10"/>
      <c r="B671" s="13"/>
      <c r="C671" s="13"/>
    </row>
    <row r="672" spans="1:3" ht="13" x14ac:dyDescent="0.15">
      <c r="A672" s="10"/>
      <c r="B672" s="13"/>
      <c r="C672" s="13"/>
    </row>
    <row r="673" spans="1:3" ht="13" x14ac:dyDescent="0.15">
      <c r="A673" s="10"/>
      <c r="B673" s="13"/>
      <c r="C673" s="13"/>
    </row>
    <row r="674" spans="1:3" ht="13" x14ac:dyDescent="0.15">
      <c r="A674" s="10"/>
      <c r="B674" s="13"/>
      <c r="C674" s="13"/>
    </row>
    <row r="675" spans="1:3" ht="13" x14ac:dyDescent="0.15">
      <c r="A675" s="10"/>
      <c r="B675" s="13"/>
      <c r="C675" s="13"/>
    </row>
    <row r="676" spans="1:3" ht="13" x14ac:dyDescent="0.15">
      <c r="A676" s="10"/>
      <c r="B676" s="13"/>
      <c r="C676" s="13"/>
    </row>
    <row r="677" spans="1:3" ht="13" x14ac:dyDescent="0.15">
      <c r="A677" s="10"/>
      <c r="B677" s="13"/>
      <c r="C677" s="13"/>
    </row>
    <row r="678" spans="1:3" ht="13" x14ac:dyDescent="0.15">
      <c r="A678" s="10"/>
      <c r="B678" s="13"/>
      <c r="C678" s="13"/>
    </row>
    <row r="679" spans="1:3" ht="13" x14ac:dyDescent="0.15">
      <c r="A679" s="10"/>
      <c r="B679" s="13"/>
      <c r="C679" s="13"/>
    </row>
    <row r="680" spans="1:3" ht="13" x14ac:dyDescent="0.15">
      <c r="A680" s="10"/>
      <c r="B680" s="13"/>
      <c r="C680" s="13"/>
    </row>
    <row r="681" spans="1:3" ht="13" x14ac:dyDescent="0.15">
      <c r="A681" s="10"/>
      <c r="B681" s="13"/>
      <c r="C681" s="13"/>
    </row>
    <row r="682" spans="1:3" ht="13" x14ac:dyDescent="0.15">
      <c r="A682" s="10"/>
      <c r="B682" s="13"/>
      <c r="C682" s="13"/>
    </row>
    <row r="683" spans="1:3" ht="13" x14ac:dyDescent="0.15">
      <c r="A683" s="10"/>
      <c r="B683" s="13"/>
      <c r="C683" s="13"/>
    </row>
    <row r="684" spans="1:3" ht="13" x14ac:dyDescent="0.15">
      <c r="A684" s="10"/>
      <c r="B684" s="13"/>
      <c r="C684" s="13"/>
    </row>
    <row r="685" spans="1:3" ht="13" x14ac:dyDescent="0.15">
      <c r="A685" s="10"/>
      <c r="B685" s="13"/>
      <c r="C685" s="13"/>
    </row>
    <row r="686" spans="1:3" ht="13" x14ac:dyDescent="0.15">
      <c r="A686" s="10"/>
      <c r="B686" s="13"/>
      <c r="C686" s="13"/>
    </row>
    <row r="687" spans="1:3" ht="13" x14ac:dyDescent="0.15">
      <c r="A687" s="10"/>
      <c r="B687" s="13"/>
      <c r="C687" s="13"/>
    </row>
    <row r="688" spans="1:3" ht="13" x14ac:dyDescent="0.15">
      <c r="A688" s="10"/>
      <c r="B688" s="13"/>
      <c r="C688" s="13"/>
    </row>
    <row r="689" spans="1:3" ht="13" x14ac:dyDescent="0.15">
      <c r="A689" s="10"/>
      <c r="B689" s="13"/>
      <c r="C689" s="13"/>
    </row>
    <row r="690" spans="1:3" ht="13" x14ac:dyDescent="0.15">
      <c r="A690" s="10"/>
      <c r="B690" s="13"/>
      <c r="C690" s="13"/>
    </row>
    <row r="691" spans="1:3" ht="13" x14ac:dyDescent="0.15">
      <c r="A691" s="10"/>
      <c r="B691" s="13"/>
      <c r="C691" s="13"/>
    </row>
    <row r="692" spans="1:3" ht="13" x14ac:dyDescent="0.15">
      <c r="A692" s="10"/>
      <c r="B692" s="13"/>
      <c r="C692" s="13"/>
    </row>
    <row r="693" spans="1:3" ht="13" x14ac:dyDescent="0.15">
      <c r="A693" s="10"/>
      <c r="B693" s="13"/>
      <c r="C693" s="13"/>
    </row>
    <row r="694" spans="1:3" ht="13" x14ac:dyDescent="0.15">
      <c r="A694" s="10"/>
      <c r="B694" s="13"/>
      <c r="C694" s="13"/>
    </row>
    <row r="695" spans="1:3" ht="13" x14ac:dyDescent="0.15">
      <c r="A695" s="10"/>
      <c r="B695" s="13"/>
      <c r="C695" s="13"/>
    </row>
    <row r="696" spans="1:3" ht="13" x14ac:dyDescent="0.15">
      <c r="A696" s="10"/>
      <c r="B696" s="13"/>
      <c r="C696" s="13"/>
    </row>
    <row r="697" spans="1:3" ht="13" x14ac:dyDescent="0.15">
      <c r="A697" s="10"/>
      <c r="B697" s="13"/>
      <c r="C697" s="13"/>
    </row>
    <row r="698" spans="1:3" ht="13" x14ac:dyDescent="0.15">
      <c r="A698" s="10"/>
      <c r="B698" s="13"/>
      <c r="C698" s="13"/>
    </row>
    <row r="699" spans="1:3" ht="13" x14ac:dyDescent="0.15">
      <c r="A699" s="10"/>
      <c r="B699" s="13"/>
      <c r="C699" s="13"/>
    </row>
    <row r="700" spans="1:3" ht="13" x14ac:dyDescent="0.15">
      <c r="A700" s="10"/>
      <c r="B700" s="13"/>
      <c r="C700" s="13"/>
    </row>
    <row r="701" spans="1:3" ht="13" x14ac:dyDescent="0.15">
      <c r="A701" s="10"/>
      <c r="B701" s="13"/>
      <c r="C701" s="13"/>
    </row>
    <row r="702" spans="1:3" ht="13" x14ac:dyDescent="0.15">
      <c r="A702" s="10"/>
      <c r="B702" s="13"/>
      <c r="C702" s="13"/>
    </row>
    <row r="703" spans="1:3" ht="13" x14ac:dyDescent="0.15">
      <c r="A703" s="10"/>
      <c r="B703" s="13"/>
      <c r="C703" s="13"/>
    </row>
    <row r="704" spans="1:3" ht="13" x14ac:dyDescent="0.15">
      <c r="A704" s="10"/>
      <c r="B704" s="13"/>
      <c r="C704" s="13"/>
    </row>
    <row r="705" spans="1:3" ht="13" x14ac:dyDescent="0.15">
      <c r="A705" s="10"/>
      <c r="B705" s="13"/>
      <c r="C705" s="13"/>
    </row>
    <row r="706" spans="1:3" ht="13" x14ac:dyDescent="0.15">
      <c r="A706" s="10"/>
      <c r="B706" s="13"/>
      <c r="C706" s="13"/>
    </row>
    <row r="707" spans="1:3" ht="13" x14ac:dyDescent="0.15">
      <c r="A707" s="10"/>
      <c r="B707" s="13"/>
      <c r="C707" s="13"/>
    </row>
    <row r="708" spans="1:3" ht="13" x14ac:dyDescent="0.15">
      <c r="A708" s="10"/>
      <c r="B708" s="13"/>
      <c r="C708" s="13"/>
    </row>
    <row r="709" spans="1:3" ht="13" x14ac:dyDescent="0.15">
      <c r="A709" s="10"/>
      <c r="B709" s="13"/>
      <c r="C709" s="13"/>
    </row>
    <row r="710" spans="1:3" ht="13" x14ac:dyDescent="0.15">
      <c r="A710" s="10"/>
      <c r="B710" s="13"/>
      <c r="C710" s="13"/>
    </row>
    <row r="711" spans="1:3" ht="13" x14ac:dyDescent="0.15">
      <c r="A711" s="10"/>
      <c r="B711" s="13"/>
      <c r="C711" s="13"/>
    </row>
    <row r="712" spans="1:3" ht="13" x14ac:dyDescent="0.15">
      <c r="A712" s="10"/>
      <c r="B712" s="13"/>
      <c r="C712" s="13"/>
    </row>
    <row r="713" spans="1:3" ht="13" x14ac:dyDescent="0.15">
      <c r="A713" s="10"/>
      <c r="B713" s="13"/>
      <c r="C713" s="13"/>
    </row>
    <row r="714" spans="1:3" ht="13" x14ac:dyDescent="0.15">
      <c r="A714" s="10"/>
      <c r="B714" s="13"/>
      <c r="C714" s="13"/>
    </row>
    <row r="715" spans="1:3" ht="13" x14ac:dyDescent="0.15">
      <c r="A715" s="10"/>
      <c r="B715" s="13"/>
      <c r="C715" s="13"/>
    </row>
    <row r="716" spans="1:3" ht="13" x14ac:dyDescent="0.15">
      <c r="A716" s="10"/>
      <c r="B716" s="13"/>
      <c r="C716" s="13"/>
    </row>
    <row r="717" spans="1:3" ht="13" x14ac:dyDescent="0.15">
      <c r="A717" s="10"/>
      <c r="B717" s="13"/>
      <c r="C717" s="13"/>
    </row>
    <row r="718" spans="1:3" ht="13" x14ac:dyDescent="0.15">
      <c r="A718" s="10"/>
      <c r="B718" s="13"/>
      <c r="C718" s="13"/>
    </row>
    <row r="719" spans="1:3" ht="13" x14ac:dyDescent="0.15">
      <c r="A719" s="10"/>
      <c r="B719" s="13"/>
      <c r="C719" s="13"/>
    </row>
    <row r="720" spans="1:3" ht="13" x14ac:dyDescent="0.15">
      <c r="A720" s="10"/>
      <c r="B720" s="13"/>
      <c r="C720" s="13"/>
    </row>
    <row r="721" spans="1:3" ht="13" x14ac:dyDescent="0.15">
      <c r="A721" s="10"/>
      <c r="B721" s="13"/>
      <c r="C721" s="13"/>
    </row>
    <row r="722" spans="1:3" ht="13" x14ac:dyDescent="0.15">
      <c r="A722" s="10"/>
      <c r="B722" s="13"/>
      <c r="C722" s="13"/>
    </row>
    <row r="723" spans="1:3" ht="13" x14ac:dyDescent="0.15">
      <c r="A723" s="10"/>
      <c r="B723" s="13"/>
      <c r="C723" s="13"/>
    </row>
    <row r="724" spans="1:3" ht="13" x14ac:dyDescent="0.15">
      <c r="A724" s="10"/>
      <c r="B724" s="13"/>
      <c r="C724" s="13"/>
    </row>
    <row r="725" spans="1:3" ht="13" x14ac:dyDescent="0.15">
      <c r="A725" s="10"/>
      <c r="B725" s="13"/>
      <c r="C725" s="13"/>
    </row>
    <row r="726" spans="1:3" ht="13" x14ac:dyDescent="0.15">
      <c r="A726" s="10"/>
      <c r="B726" s="13"/>
      <c r="C726" s="13"/>
    </row>
    <row r="727" spans="1:3" ht="13" x14ac:dyDescent="0.15">
      <c r="A727" s="10"/>
      <c r="B727" s="13"/>
      <c r="C727" s="13"/>
    </row>
    <row r="728" spans="1:3" ht="13" x14ac:dyDescent="0.15">
      <c r="A728" s="10"/>
      <c r="B728" s="13"/>
      <c r="C728" s="13"/>
    </row>
    <row r="729" spans="1:3" ht="13" x14ac:dyDescent="0.15">
      <c r="A729" s="10"/>
      <c r="B729" s="13"/>
      <c r="C729" s="13"/>
    </row>
    <row r="730" spans="1:3" ht="13" x14ac:dyDescent="0.15">
      <c r="A730" s="10"/>
      <c r="B730" s="13"/>
      <c r="C730" s="13"/>
    </row>
    <row r="731" spans="1:3" ht="13" x14ac:dyDescent="0.15">
      <c r="A731" s="10"/>
      <c r="B731" s="13"/>
      <c r="C731" s="13"/>
    </row>
    <row r="732" spans="1:3" ht="13" x14ac:dyDescent="0.15">
      <c r="A732" s="10"/>
      <c r="B732" s="13"/>
      <c r="C732" s="13"/>
    </row>
    <row r="733" spans="1:3" ht="13" x14ac:dyDescent="0.15">
      <c r="A733" s="10"/>
      <c r="B733" s="13"/>
      <c r="C733" s="13"/>
    </row>
    <row r="734" spans="1:3" ht="13" x14ac:dyDescent="0.15">
      <c r="A734" s="10"/>
      <c r="B734" s="13"/>
      <c r="C734" s="13"/>
    </row>
    <row r="735" spans="1:3" ht="13" x14ac:dyDescent="0.15">
      <c r="A735" s="10"/>
      <c r="B735" s="13"/>
      <c r="C735" s="13"/>
    </row>
    <row r="736" spans="1:3" ht="13" x14ac:dyDescent="0.15">
      <c r="A736" s="10"/>
      <c r="B736" s="13"/>
      <c r="C736" s="13"/>
    </row>
    <row r="737" spans="1:3" ht="13" x14ac:dyDescent="0.15">
      <c r="A737" s="10"/>
      <c r="B737" s="13"/>
      <c r="C737" s="13"/>
    </row>
    <row r="738" spans="1:3" ht="13" x14ac:dyDescent="0.15">
      <c r="A738" s="10"/>
      <c r="B738" s="13"/>
      <c r="C738" s="13"/>
    </row>
    <row r="739" spans="1:3" ht="13" x14ac:dyDescent="0.15">
      <c r="A739" s="10"/>
      <c r="B739" s="13"/>
      <c r="C739" s="13"/>
    </row>
    <row r="740" spans="1:3" ht="13" x14ac:dyDescent="0.15">
      <c r="A740" s="10"/>
      <c r="B740" s="13"/>
      <c r="C740" s="13"/>
    </row>
    <row r="741" spans="1:3" ht="13" x14ac:dyDescent="0.15">
      <c r="A741" s="10"/>
      <c r="B741" s="13"/>
      <c r="C741" s="13"/>
    </row>
    <row r="742" spans="1:3" ht="13" x14ac:dyDescent="0.15">
      <c r="A742" s="10"/>
      <c r="B742" s="13"/>
      <c r="C742" s="13"/>
    </row>
    <row r="743" spans="1:3" ht="13" x14ac:dyDescent="0.15">
      <c r="A743" s="10"/>
      <c r="B743" s="13"/>
      <c r="C743" s="13"/>
    </row>
    <row r="744" spans="1:3" ht="13" x14ac:dyDescent="0.15">
      <c r="A744" s="10"/>
      <c r="B744" s="13"/>
      <c r="C744" s="13"/>
    </row>
    <row r="745" spans="1:3" ht="13" x14ac:dyDescent="0.15">
      <c r="A745" s="10"/>
      <c r="B745" s="13"/>
      <c r="C745" s="13"/>
    </row>
    <row r="746" spans="1:3" ht="13" x14ac:dyDescent="0.15">
      <c r="A746" s="10"/>
      <c r="B746" s="13"/>
      <c r="C746" s="13"/>
    </row>
    <row r="747" spans="1:3" ht="13" x14ac:dyDescent="0.15">
      <c r="A747" s="10"/>
      <c r="B747" s="13"/>
      <c r="C747" s="13"/>
    </row>
    <row r="748" spans="1:3" ht="13" x14ac:dyDescent="0.15">
      <c r="A748" s="10"/>
      <c r="B748" s="13"/>
      <c r="C748" s="13"/>
    </row>
    <row r="749" spans="1:3" ht="13" x14ac:dyDescent="0.15">
      <c r="A749" s="10"/>
      <c r="B749" s="13"/>
      <c r="C749" s="13"/>
    </row>
    <row r="750" spans="1:3" ht="13" x14ac:dyDescent="0.15">
      <c r="A750" s="10"/>
      <c r="B750" s="13"/>
      <c r="C750" s="13"/>
    </row>
    <row r="751" spans="1:3" ht="13" x14ac:dyDescent="0.15">
      <c r="A751" s="10"/>
      <c r="B751" s="13"/>
      <c r="C751" s="13"/>
    </row>
    <row r="752" spans="1:3" ht="13" x14ac:dyDescent="0.15">
      <c r="A752" s="10"/>
      <c r="B752" s="13"/>
      <c r="C752" s="13"/>
    </row>
    <row r="753" spans="1:3" ht="13" x14ac:dyDescent="0.15">
      <c r="A753" s="10"/>
      <c r="B753" s="13"/>
      <c r="C753" s="13"/>
    </row>
    <row r="754" spans="1:3" ht="13" x14ac:dyDescent="0.15">
      <c r="A754" s="10"/>
      <c r="B754" s="13"/>
      <c r="C754" s="13"/>
    </row>
    <row r="755" spans="1:3" ht="13" x14ac:dyDescent="0.15">
      <c r="A755" s="10"/>
      <c r="B755" s="13"/>
      <c r="C755" s="13"/>
    </row>
    <row r="756" spans="1:3" ht="13" x14ac:dyDescent="0.15">
      <c r="A756" s="10"/>
      <c r="B756" s="13"/>
      <c r="C756" s="13"/>
    </row>
    <row r="757" spans="1:3" ht="13" x14ac:dyDescent="0.15">
      <c r="A757" s="10"/>
      <c r="B757" s="13"/>
      <c r="C757" s="13"/>
    </row>
    <row r="758" spans="1:3" ht="13" x14ac:dyDescent="0.15">
      <c r="A758" s="10"/>
      <c r="B758" s="13"/>
      <c r="C758" s="13"/>
    </row>
    <row r="759" spans="1:3" ht="13" x14ac:dyDescent="0.15">
      <c r="A759" s="10"/>
      <c r="B759" s="13"/>
      <c r="C759" s="13"/>
    </row>
    <row r="760" spans="1:3" ht="13" x14ac:dyDescent="0.15">
      <c r="A760" s="10"/>
      <c r="B760" s="13"/>
      <c r="C760" s="13"/>
    </row>
    <row r="761" spans="1:3" ht="13" x14ac:dyDescent="0.15">
      <c r="A761" s="10"/>
      <c r="B761" s="13"/>
      <c r="C761" s="13"/>
    </row>
    <row r="762" spans="1:3" ht="13" x14ac:dyDescent="0.15">
      <c r="A762" s="10"/>
      <c r="B762" s="13"/>
      <c r="C762" s="13"/>
    </row>
    <row r="763" spans="1:3" ht="13" x14ac:dyDescent="0.15">
      <c r="A763" s="10"/>
      <c r="B763" s="13"/>
      <c r="C763" s="13"/>
    </row>
    <row r="764" spans="1:3" ht="13" x14ac:dyDescent="0.15">
      <c r="A764" s="10"/>
      <c r="B764" s="13"/>
      <c r="C764" s="13"/>
    </row>
    <row r="765" spans="1:3" ht="13" x14ac:dyDescent="0.15">
      <c r="A765" s="10"/>
      <c r="B765" s="13"/>
      <c r="C765" s="13"/>
    </row>
    <row r="766" spans="1:3" ht="13" x14ac:dyDescent="0.15">
      <c r="A766" s="10"/>
      <c r="B766" s="13"/>
      <c r="C766" s="13"/>
    </row>
    <row r="767" spans="1:3" ht="13" x14ac:dyDescent="0.15">
      <c r="A767" s="10"/>
      <c r="B767" s="13"/>
      <c r="C767" s="13"/>
    </row>
    <row r="768" spans="1:3" ht="13" x14ac:dyDescent="0.15">
      <c r="A768" s="10"/>
      <c r="B768" s="13"/>
      <c r="C768" s="13"/>
    </row>
    <row r="769" spans="1:3" ht="13" x14ac:dyDescent="0.15">
      <c r="A769" s="10"/>
      <c r="B769" s="13"/>
      <c r="C769" s="13"/>
    </row>
    <row r="770" spans="1:3" ht="13" x14ac:dyDescent="0.15">
      <c r="A770" s="10"/>
      <c r="B770" s="13"/>
      <c r="C770" s="13"/>
    </row>
    <row r="771" spans="1:3" ht="13" x14ac:dyDescent="0.15">
      <c r="A771" s="10"/>
      <c r="B771" s="13"/>
      <c r="C771" s="13"/>
    </row>
    <row r="772" spans="1:3" ht="13" x14ac:dyDescent="0.15">
      <c r="A772" s="10"/>
      <c r="B772" s="13"/>
      <c r="C772" s="13"/>
    </row>
    <row r="773" spans="1:3" ht="13" x14ac:dyDescent="0.15">
      <c r="A773" s="10"/>
      <c r="B773" s="13"/>
      <c r="C773" s="13"/>
    </row>
    <row r="774" spans="1:3" ht="13" x14ac:dyDescent="0.15">
      <c r="A774" s="10"/>
      <c r="B774" s="13"/>
      <c r="C774" s="13"/>
    </row>
    <row r="775" spans="1:3" ht="13" x14ac:dyDescent="0.15">
      <c r="A775" s="10"/>
      <c r="B775" s="13"/>
      <c r="C775" s="13"/>
    </row>
    <row r="776" spans="1:3" ht="13" x14ac:dyDescent="0.15">
      <c r="A776" s="10"/>
      <c r="B776" s="13"/>
      <c r="C776" s="13"/>
    </row>
    <row r="777" spans="1:3" ht="13" x14ac:dyDescent="0.15">
      <c r="A777" s="10"/>
      <c r="B777" s="13"/>
      <c r="C777" s="13"/>
    </row>
    <row r="778" spans="1:3" ht="13" x14ac:dyDescent="0.15">
      <c r="A778" s="10"/>
      <c r="B778" s="13"/>
      <c r="C778" s="13"/>
    </row>
    <row r="779" spans="1:3" ht="13" x14ac:dyDescent="0.15">
      <c r="A779" s="10"/>
      <c r="B779" s="13"/>
      <c r="C779" s="13"/>
    </row>
    <row r="780" spans="1:3" ht="13" x14ac:dyDescent="0.15">
      <c r="A780" s="10"/>
      <c r="B780" s="13"/>
      <c r="C780" s="13"/>
    </row>
    <row r="781" spans="1:3" ht="13" x14ac:dyDescent="0.15">
      <c r="A781" s="10"/>
      <c r="B781" s="13"/>
      <c r="C781" s="13"/>
    </row>
    <row r="782" spans="1:3" ht="13" x14ac:dyDescent="0.15">
      <c r="A782" s="10"/>
      <c r="B782" s="13"/>
      <c r="C782" s="13"/>
    </row>
    <row r="783" spans="1:3" ht="13" x14ac:dyDescent="0.15">
      <c r="A783" s="10"/>
      <c r="B783" s="13"/>
      <c r="C783" s="13"/>
    </row>
    <row r="784" spans="1:3" ht="13" x14ac:dyDescent="0.15">
      <c r="A784" s="10"/>
      <c r="B784" s="13"/>
      <c r="C784" s="13"/>
    </row>
    <row r="785" spans="1:3" ht="13" x14ac:dyDescent="0.15">
      <c r="A785" s="10"/>
      <c r="B785" s="13"/>
      <c r="C785" s="13"/>
    </row>
    <row r="786" spans="1:3" ht="13" x14ac:dyDescent="0.15">
      <c r="A786" s="10"/>
      <c r="B786" s="13"/>
      <c r="C786" s="13"/>
    </row>
    <row r="787" spans="1:3" ht="13" x14ac:dyDescent="0.15">
      <c r="A787" s="10"/>
      <c r="B787" s="13"/>
      <c r="C787" s="13"/>
    </row>
    <row r="788" spans="1:3" ht="13" x14ac:dyDescent="0.15">
      <c r="A788" s="10"/>
      <c r="B788" s="13"/>
      <c r="C788" s="13"/>
    </row>
    <row r="789" spans="1:3" ht="13" x14ac:dyDescent="0.15">
      <c r="A789" s="10"/>
      <c r="B789" s="13"/>
      <c r="C789" s="13"/>
    </row>
    <row r="790" spans="1:3" ht="13" x14ac:dyDescent="0.15">
      <c r="A790" s="10"/>
      <c r="B790" s="13"/>
      <c r="C790" s="13"/>
    </row>
    <row r="791" spans="1:3" ht="13" x14ac:dyDescent="0.15">
      <c r="A791" s="10"/>
      <c r="B791" s="13"/>
      <c r="C791" s="13"/>
    </row>
    <row r="792" spans="1:3" ht="13" x14ac:dyDescent="0.15">
      <c r="A792" s="10"/>
      <c r="B792" s="13"/>
      <c r="C792" s="13"/>
    </row>
    <row r="793" spans="1:3" ht="13" x14ac:dyDescent="0.15">
      <c r="A793" s="10"/>
      <c r="B793" s="13"/>
      <c r="C793" s="13"/>
    </row>
    <row r="794" spans="1:3" ht="13" x14ac:dyDescent="0.15">
      <c r="A794" s="10"/>
      <c r="B794" s="13"/>
      <c r="C794" s="13"/>
    </row>
    <row r="795" spans="1:3" ht="13" x14ac:dyDescent="0.15">
      <c r="A795" s="10"/>
      <c r="B795" s="13"/>
      <c r="C795" s="13"/>
    </row>
    <row r="796" spans="1:3" ht="13" x14ac:dyDescent="0.15">
      <c r="A796" s="10"/>
      <c r="B796" s="13"/>
      <c r="C796" s="13"/>
    </row>
    <row r="797" spans="1:3" ht="13" x14ac:dyDescent="0.15">
      <c r="A797" s="10"/>
      <c r="B797" s="13"/>
      <c r="C797" s="13"/>
    </row>
    <row r="798" spans="1:3" ht="13" x14ac:dyDescent="0.15">
      <c r="A798" s="10"/>
      <c r="B798" s="13"/>
      <c r="C798" s="13"/>
    </row>
    <row r="799" spans="1:3" ht="13" x14ac:dyDescent="0.15">
      <c r="A799" s="10"/>
      <c r="B799" s="13"/>
      <c r="C799" s="13"/>
    </row>
    <row r="800" spans="1:3" ht="13" x14ac:dyDescent="0.15">
      <c r="A800" s="10"/>
      <c r="B800" s="13"/>
      <c r="C800" s="13"/>
    </row>
    <row r="801" spans="1:3" ht="13" x14ac:dyDescent="0.15">
      <c r="A801" s="10"/>
      <c r="B801" s="13"/>
      <c r="C801" s="13"/>
    </row>
    <row r="802" spans="1:3" ht="13" x14ac:dyDescent="0.15">
      <c r="A802" s="10"/>
      <c r="B802" s="13"/>
      <c r="C802" s="13"/>
    </row>
    <row r="803" spans="1:3" ht="13" x14ac:dyDescent="0.15">
      <c r="A803" s="10"/>
      <c r="B803" s="13"/>
      <c r="C803" s="13"/>
    </row>
    <row r="804" spans="1:3" ht="13" x14ac:dyDescent="0.15">
      <c r="A804" s="10"/>
      <c r="B804" s="13"/>
      <c r="C804" s="13"/>
    </row>
    <row r="805" spans="1:3" ht="13" x14ac:dyDescent="0.15">
      <c r="A805" s="10"/>
      <c r="B805" s="13"/>
      <c r="C805" s="13"/>
    </row>
    <row r="806" spans="1:3" ht="13" x14ac:dyDescent="0.15">
      <c r="A806" s="10"/>
      <c r="B806" s="13"/>
      <c r="C806" s="13"/>
    </row>
    <row r="807" spans="1:3" ht="13" x14ac:dyDescent="0.15">
      <c r="A807" s="10"/>
      <c r="B807" s="13"/>
      <c r="C807" s="13"/>
    </row>
    <row r="808" spans="1:3" ht="13" x14ac:dyDescent="0.15">
      <c r="A808" s="10"/>
      <c r="B808" s="13"/>
      <c r="C808" s="13"/>
    </row>
    <row r="809" spans="1:3" ht="13" x14ac:dyDescent="0.15">
      <c r="A809" s="10"/>
      <c r="B809" s="13"/>
      <c r="C809" s="13"/>
    </row>
    <row r="810" spans="1:3" ht="13" x14ac:dyDescent="0.15">
      <c r="A810" s="10"/>
      <c r="B810" s="13"/>
      <c r="C810" s="13"/>
    </row>
    <row r="811" spans="1:3" ht="13" x14ac:dyDescent="0.15">
      <c r="A811" s="10"/>
      <c r="B811" s="13"/>
      <c r="C811" s="13"/>
    </row>
    <row r="812" spans="1:3" ht="13" x14ac:dyDescent="0.15">
      <c r="A812" s="10"/>
      <c r="B812" s="13"/>
      <c r="C812" s="13"/>
    </row>
    <row r="813" spans="1:3" ht="13" x14ac:dyDescent="0.15">
      <c r="A813" s="10"/>
      <c r="B813" s="13"/>
      <c r="C813" s="13"/>
    </row>
    <row r="814" spans="1:3" ht="13" x14ac:dyDescent="0.15">
      <c r="A814" s="10"/>
      <c r="B814" s="13"/>
      <c r="C814" s="13"/>
    </row>
    <row r="815" spans="1:3" ht="13" x14ac:dyDescent="0.15">
      <c r="A815" s="10"/>
      <c r="B815" s="13"/>
      <c r="C815" s="13"/>
    </row>
    <row r="816" spans="1:3" ht="13" x14ac:dyDescent="0.15">
      <c r="A816" s="10"/>
      <c r="B816" s="13"/>
      <c r="C816" s="13"/>
    </row>
    <row r="817" spans="1:3" ht="13" x14ac:dyDescent="0.15">
      <c r="A817" s="10"/>
      <c r="B817" s="13"/>
      <c r="C817" s="13"/>
    </row>
    <row r="818" spans="1:3" ht="13" x14ac:dyDescent="0.15">
      <c r="A818" s="10"/>
      <c r="B818" s="13"/>
      <c r="C818" s="13"/>
    </row>
    <row r="819" spans="1:3" ht="13" x14ac:dyDescent="0.15">
      <c r="A819" s="10"/>
      <c r="B819" s="13"/>
      <c r="C819" s="13"/>
    </row>
    <row r="820" spans="1:3" ht="13" x14ac:dyDescent="0.15">
      <c r="A820" s="10"/>
      <c r="B820" s="13"/>
      <c r="C820" s="13"/>
    </row>
    <row r="821" spans="1:3" ht="13" x14ac:dyDescent="0.15">
      <c r="A821" s="10"/>
      <c r="B821" s="13"/>
      <c r="C821" s="13"/>
    </row>
    <row r="822" spans="1:3" ht="13" x14ac:dyDescent="0.15">
      <c r="A822" s="10"/>
      <c r="B822" s="13"/>
      <c r="C822" s="13"/>
    </row>
    <row r="823" spans="1:3" ht="13" x14ac:dyDescent="0.15">
      <c r="A823" s="10"/>
      <c r="B823" s="13"/>
      <c r="C823" s="13"/>
    </row>
    <row r="824" spans="1:3" ht="13" x14ac:dyDescent="0.15">
      <c r="A824" s="10"/>
      <c r="B824" s="13"/>
      <c r="C824" s="13"/>
    </row>
    <row r="825" spans="1:3" ht="13" x14ac:dyDescent="0.15">
      <c r="A825" s="10"/>
      <c r="B825" s="13"/>
      <c r="C825" s="13"/>
    </row>
    <row r="826" spans="1:3" ht="13" x14ac:dyDescent="0.15">
      <c r="A826" s="10"/>
      <c r="B826" s="13"/>
      <c r="C826" s="13"/>
    </row>
    <row r="827" spans="1:3" ht="13" x14ac:dyDescent="0.15">
      <c r="A827" s="10"/>
      <c r="B827" s="13"/>
      <c r="C827" s="13"/>
    </row>
    <row r="828" spans="1:3" ht="13" x14ac:dyDescent="0.15">
      <c r="A828" s="10"/>
      <c r="B828" s="13"/>
      <c r="C828" s="13"/>
    </row>
    <row r="829" spans="1:3" ht="13" x14ac:dyDescent="0.15">
      <c r="A829" s="10"/>
      <c r="B829" s="13"/>
      <c r="C829" s="13"/>
    </row>
    <row r="830" spans="1:3" ht="13" x14ac:dyDescent="0.15">
      <c r="A830" s="10"/>
      <c r="B830" s="13"/>
      <c r="C830" s="13"/>
    </row>
    <row r="831" spans="1:3" ht="13" x14ac:dyDescent="0.15">
      <c r="A831" s="10"/>
      <c r="B831" s="13"/>
      <c r="C831" s="13"/>
    </row>
    <row r="832" spans="1:3" ht="13" x14ac:dyDescent="0.15">
      <c r="A832" s="10"/>
      <c r="B832" s="13"/>
      <c r="C832" s="13"/>
    </row>
    <row r="833" spans="1:3" ht="13" x14ac:dyDescent="0.15">
      <c r="A833" s="10"/>
      <c r="B833" s="13"/>
      <c r="C833" s="13"/>
    </row>
    <row r="834" spans="1:3" ht="13" x14ac:dyDescent="0.15">
      <c r="A834" s="10"/>
      <c r="B834" s="13"/>
      <c r="C834" s="13"/>
    </row>
    <row r="835" spans="1:3" ht="13" x14ac:dyDescent="0.15">
      <c r="A835" s="10"/>
      <c r="B835" s="13"/>
      <c r="C835" s="13"/>
    </row>
    <row r="836" spans="1:3" ht="13" x14ac:dyDescent="0.15">
      <c r="A836" s="10"/>
      <c r="B836" s="13"/>
      <c r="C836" s="13"/>
    </row>
    <row r="837" spans="1:3" ht="13" x14ac:dyDescent="0.15">
      <c r="A837" s="10"/>
      <c r="B837" s="13"/>
      <c r="C837" s="13"/>
    </row>
    <row r="838" spans="1:3" ht="13" x14ac:dyDescent="0.15">
      <c r="A838" s="10"/>
      <c r="B838" s="13"/>
      <c r="C838" s="13"/>
    </row>
    <row r="839" spans="1:3" ht="13" x14ac:dyDescent="0.15">
      <c r="A839" s="10"/>
      <c r="B839" s="13"/>
      <c r="C839" s="13"/>
    </row>
    <row r="840" spans="1:3" ht="13" x14ac:dyDescent="0.15">
      <c r="A840" s="10"/>
      <c r="B840" s="13"/>
      <c r="C840" s="13"/>
    </row>
    <row r="841" spans="1:3" ht="13" x14ac:dyDescent="0.15">
      <c r="A841" s="10"/>
      <c r="B841" s="13"/>
      <c r="C841" s="13"/>
    </row>
    <row r="842" spans="1:3" ht="13" x14ac:dyDescent="0.15">
      <c r="A842" s="10"/>
      <c r="B842" s="13"/>
      <c r="C842" s="13"/>
    </row>
    <row r="843" spans="1:3" ht="13" x14ac:dyDescent="0.15">
      <c r="A843" s="10"/>
      <c r="B843" s="13"/>
      <c r="C843" s="13"/>
    </row>
    <row r="844" spans="1:3" ht="13" x14ac:dyDescent="0.15">
      <c r="A844" s="10"/>
      <c r="B844" s="13"/>
      <c r="C844" s="13"/>
    </row>
    <row r="845" spans="1:3" ht="13" x14ac:dyDescent="0.15">
      <c r="A845" s="10"/>
      <c r="B845" s="13"/>
      <c r="C845" s="13"/>
    </row>
    <row r="846" spans="1:3" ht="13" x14ac:dyDescent="0.15">
      <c r="A846" s="10"/>
      <c r="B846" s="13"/>
      <c r="C846" s="13"/>
    </row>
    <row r="847" spans="1:3" ht="13" x14ac:dyDescent="0.15">
      <c r="A847" s="10"/>
      <c r="B847" s="13"/>
      <c r="C847" s="13"/>
    </row>
    <row r="848" spans="1:3" ht="13" x14ac:dyDescent="0.15">
      <c r="A848" s="10"/>
      <c r="B848" s="13"/>
      <c r="C848" s="13"/>
    </row>
    <row r="849" spans="1:3" ht="13" x14ac:dyDescent="0.15">
      <c r="A849" s="10"/>
      <c r="B849" s="13"/>
      <c r="C849" s="13"/>
    </row>
    <row r="850" spans="1:3" ht="13" x14ac:dyDescent="0.15">
      <c r="A850" s="10"/>
      <c r="B850" s="13"/>
      <c r="C850" s="13"/>
    </row>
    <row r="851" spans="1:3" ht="13" x14ac:dyDescent="0.15">
      <c r="A851" s="10"/>
      <c r="B851" s="13"/>
      <c r="C851" s="13"/>
    </row>
    <row r="852" spans="1:3" ht="13" x14ac:dyDescent="0.15">
      <c r="A852" s="10"/>
      <c r="B852" s="13"/>
      <c r="C852" s="13"/>
    </row>
    <row r="853" spans="1:3" ht="13" x14ac:dyDescent="0.15">
      <c r="A853" s="10"/>
      <c r="B853" s="13"/>
      <c r="C853" s="13"/>
    </row>
    <row r="854" spans="1:3" ht="13" x14ac:dyDescent="0.15">
      <c r="A854" s="10"/>
      <c r="B854" s="13"/>
      <c r="C854" s="13"/>
    </row>
    <row r="855" spans="1:3" ht="13" x14ac:dyDescent="0.15">
      <c r="A855" s="10"/>
      <c r="B855" s="13"/>
      <c r="C855" s="13"/>
    </row>
    <row r="856" spans="1:3" ht="13" x14ac:dyDescent="0.15">
      <c r="A856" s="10"/>
      <c r="B856" s="13"/>
      <c r="C856" s="13"/>
    </row>
    <row r="857" spans="1:3" ht="13" x14ac:dyDescent="0.15">
      <c r="A857" s="10"/>
      <c r="B857" s="13"/>
      <c r="C857" s="13"/>
    </row>
    <row r="858" spans="1:3" ht="13" x14ac:dyDescent="0.15">
      <c r="A858" s="10"/>
      <c r="B858" s="13"/>
      <c r="C858" s="13"/>
    </row>
    <row r="859" spans="1:3" ht="13" x14ac:dyDescent="0.15">
      <c r="A859" s="10"/>
      <c r="B859" s="13"/>
      <c r="C859" s="13"/>
    </row>
    <row r="860" spans="1:3" ht="13" x14ac:dyDescent="0.15">
      <c r="A860" s="10"/>
      <c r="B860" s="13"/>
      <c r="C860" s="13"/>
    </row>
    <row r="861" spans="1:3" ht="13" x14ac:dyDescent="0.15">
      <c r="A861" s="10"/>
      <c r="B861" s="13"/>
      <c r="C861" s="13"/>
    </row>
    <row r="862" spans="1:3" ht="13" x14ac:dyDescent="0.15">
      <c r="A862" s="10"/>
      <c r="B862" s="13"/>
      <c r="C862" s="13"/>
    </row>
    <row r="863" spans="1:3" ht="13" x14ac:dyDescent="0.15">
      <c r="A863" s="10"/>
      <c r="B863" s="13"/>
      <c r="C863" s="13"/>
    </row>
    <row r="864" spans="1:3" ht="13" x14ac:dyDescent="0.15">
      <c r="A864" s="10"/>
      <c r="B864" s="13"/>
      <c r="C864" s="13"/>
    </row>
    <row r="865" spans="1:3" ht="13" x14ac:dyDescent="0.15">
      <c r="A865" s="10"/>
      <c r="B865" s="13"/>
      <c r="C865" s="13"/>
    </row>
    <row r="866" spans="1:3" ht="13" x14ac:dyDescent="0.15">
      <c r="A866" s="10"/>
      <c r="B866" s="13"/>
      <c r="C866" s="13"/>
    </row>
    <row r="867" spans="1:3" ht="13" x14ac:dyDescent="0.15">
      <c r="A867" s="10"/>
      <c r="B867" s="13"/>
      <c r="C867" s="13"/>
    </row>
    <row r="868" spans="1:3" ht="13" x14ac:dyDescent="0.15">
      <c r="A868" s="10"/>
      <c r="B868" s="13"/>
      <c r="C868" s="13"/>
    </row>
    <row r="869" spans="1:3" ht="13" x14ac:dyDescent="0.15">
      <c r="A869" s="10"/>
      <c r="B869" s="13"/>
      <c r="C869" s="13"/>
    </row>
    <row r="870" spans="1:3" ht="13" x14ac:dyDescent="0.15">
      <c r="A870" s="10"/>
      <c r="B870" s="13"/>
      <c r="C870" s="13"/>
    </row>
    <row r="871" spans="1:3" ht="13" x14ac:dyDescent="0.15">
      <c r="A871" s="10"/>
      <c r="B871" s="13"/>
      <c r="C871" s="13"/>
    </row>
    <row r="872" spans="1:3" ht="13" x14ac:dyDescent="0.15">
      <c r="A872" s="10"/>
      <c r="B872" s="13"/>
      <c r="C872" s="13"/>
    </row>
    <row r="873" spans="1:3" ht="13" x14ac:dyDescent="0.15">
      <c r="A873" s="10"/>
      <c r="B873" s="13"/>
      <c r="C873" s="13"/>
    </row>
    <row r="874" spans="1:3" ht="13" x14ac:dyDescent="0.15">
      <c r="A874" s="10"/>
      <c r="B874" s="13"/>
      <c r="C874" s="13"/>
    </row>
    <row r="875" spans="1:3" ht="13" x14ac:dyDescent="0.15">
      <c r="A875" s="10"/>
      <c r="B875" s="13"/>
      <c r="C875" s="13"/>
    </row>
    <row r="876" spans="1:3" ht="13" x14ac:dyDescent="0.15">
      <c r="A876" s="10"/>
      <c r="B876" s="13"/>
      <c r="C876" s="13"/>
    </row>
    <row r="877" spans="1:3" ht="13" x14ac:dyDescent="0.15">
      <c r="A877" s="10"/>
      <c r="B877" s="13"/>
      <c r="C877" s="13"/>
    </row>
    <row r="878" spans="1:3" ht="13" x14ac:dyDescent="0.15">
      <c r="A878" s="10"/>
      <c r="B878" s="13"/>
      <c r="C878" s="13"/>
    </row>
    <row r="879" spans="1:3" ht="13" x14ac:dyDescent="0.15">
      <c r="A879" s="10"/>
      <c r="B879" s="13"/>
      <c r="C879" s="13"/>
    </row>
    <row r="880" spans="1:3" ht="13" x14ac:dyDescent="0.15">
      <c r="A880" s="10"/>
      <c r="B880" s="13"/>
      <c r="C880" s="13"/>
    </row>
    <row r="881" spans="1:3" ht="13" x14ac:dyDescent="0.15">
      <c r="A881" s="10"/>
      <c r="B881" s="13"/>
      <c r="C881" s="13"/>
    </row>
    <row r="882" spans="1:3" ht="13" x14ac:dyDescent="0.15">
      <c r="A882" s="10"/>
      <c r="B882" s="13"/>
      <c r="C882" s="13"/>
    </row>
    <row r="883" spans="1:3" ht="13" x14ac:dyDescent="0.15">
      <c r="A883" s="10"/>
      <c r="B883" s="13"/>
      <c r="C883" s="13"/>
    </row>
    <row r="884" spans="1:3" ht="13" x14ac:dyDescent="0.15">
      <c r="A884" s="10"/>
      <c r="B884" s="13"/>
      <c r="C884" s="13"/>
    </row>
    <row r="885" spans="1:3" ht="13" x14ac:dyDescent="0.15">
      <c r="A885" s="10"/>
      <c r="B885" s="13"/>
      <c r="C885" s="13"/>
    </row>
    <row r="886" spans="1:3" ht="13" x14ac:dyDescent="0.15">
      <c r="A886" s="10"/>
      <c r="B886" s="13"/>
      <c r="C886" s="13"/>
    </row>
    <row r="887" spans="1:3" ht="13" x14ac:dyDescent="0.15">
      <c r="A887" s="10"/>
      <c r="B887" s="13"/>
      <c r="C887" s="13"/>
    </row>
    <row r="888" spans="1:3" ht="13" x14ac:dyDescent="0.15">
      <c r="A888" s="10"/>
      <c r="B888" s="13"/>
      <c r="C888" s="13"/>
    </row>
    <row r="889" spans="1:3" ht="13" x14ac:dyDescent="0.15">
      <c r="A889" s="10"/>
      <c r="B889" s="13"/>
      <c r="C889" s="13"/>
    </row>
    <row r="890" spans="1:3" ht="13" x14ac:dyDescent="0.15">
      <c r="A890" s="10"/>
      <c r="B890" s="13"/>
      <c r="C890" s="13"/>
    </row>
    <row r="891" spans="1:3" ht="13" x14ac:dyDescent="0.15">
      <c r="A891" s="10"/>
      <c r="B891" s="13"/>
      <c r="C891" s="13"/>
    </row>
    <row r="892" spans="1:3" ht="13" x14ac:dyDescent="0.15">
      <c r="A892" s="10"/>
      <c r="B892" s="13"/>
      <c r="C892" s="13"/>
    </row>
    <row r="893" spans="1:3" ht="13" x14ac:dyDescent="0.15">
      <c r="A893" s="10"/>
      <c r="B893" s="13"/>
      <c r="C893" s="13"/>
    </row>
    <row r="894" spans="1:3" ht="13" x14ac:dyDescent="0.15">
      <c r="A894" s="10"/>
      <c r="B894" s="13"/>
      <c r="C894" s="13"/>
    </row>
    <row r="895" spans="1:3" ht="13" x14ac:dyDescent="0.15">
      <c r="A895" s="10"/>
      <c r="B895" s="13"/>
      <c r="C895" s="13"/>
    </row>
    <row r="896" spans="1:3" ht="13" x14ac:dyDescent="0.15">
      <c r="A896" s="10"/>
      <c r="B896" s="13"/>
      <c r="C896" s="13"/>
    </row>
    <row r="897" spans="1:3" ht="13" x14ac:dyDescent="0.15">
      <c r="A897" s="10"/>
      <c r="B897" s="13"/>
      <c r="C897" s="13"/>
    </row>
    <row r="898" spans="1:3" ht="13" x14ac:dyDescent="0.15">
      <c r="A898" s="10"/>
      <c r="B898" s="13"/>
      <c r="C898" s="13"/>
    </row>
    <row r="899" spans="1:3" ht="13" x14ac:dyDescent="0.15">
      <c r="A899" s="10"/>
      <c r="B899" s="13"/>
      <c r="C899" s="13"/>
    </row>
    <row r="900" spans="1:3" ht="13" x14ac:dyDescent="0.15">
      <c r="A900" s="10"/>
      <c r="B900" s="13"/>
      <c r="C900" s="13"/>
    </row>
    <row r="901" spans="1:3" ht="13" x14ac:dyDescent="0.15">
      <c r="A901" s="10"/>
      <c r="B901" s="13"/>
      <c r="C901" s="13"/>
    </row>
    <row r="902" spans="1:3" ht="13" x14ac:dyDescent="0.15">
      <c r="A902" s="10"/>
      <c r="B902" s="13"/>
      <c r="C902" s="13"/>
    </row>
    <row r="903" spans="1:3" ht="13" x14ac:dyDescent="0.15">
      <c r="A903" s="10"/>
      <c r="B903" s="13"/>
      <c r="C903" s="13"/>
    </row>
    <row r="904" spans="1:3" ht="13" x14ac:dyDescent="0.15">
      <c r="A904" s="10"/>
      <c r="B904" s="13"/>
      <c r="C904" s="13"/>
    </row>
    <row r="905" spans="1:3" ht="13" x14ac:dyDescent="0.15">
      <c r="A905" s="10"/>
      <c r="B905" s="13"/>
      <c r="C905" s="13"/>
    </row>
    <row r="906" spans="1:3" ht="13" x14ac:dyDescent="0.15">
      <c r="A906" s="10"/>
      <c r="B906" s="13"/>
      <c r="C906" s="13"/>
    </row>
    <row r="907" spans="1:3" ht="13" x14ac:dyDescent="0.15">
      <c r="A907" s="10"/>
      <c r="B907" s="13"/>
      <c r="C907" s="13"/>
    </row>
    <row r="908" spans="1:3" ht="13" x14ac:dyDescent="0.15">
      <c r="A908" s="10"/>
      <c r="B908" s="13"/>
      <c r="C908" s="13"/>
    </row>
    <row r="909" spans="1:3" ht="13" x14ac:dyDescent="0.15">
      <c r="A909" s="10"/>
      <c r="B909" s="13"/>
      <c r="C909" s="13"/>
    </row>
    <row r="910" spans="1:3" ht="13" x14ac:dyDescent="0.15">
      <c r="A910" s="10"/>
      <c r="B910" s="13"/>
      <c r="C910" s="13"/>
    </row>
    <row r="911" spans="1:3" ht="13" x14ac:dyDescent="0.15">
      <c r="A911" s="10"/>
      <c r="B911" s="13"/>
      <c r="C911" s="13"/>
    </row>
    <row r="912" spans="1:3" ht="13" x14ac:dyDescent="0.15">
      <c r="A912" s="10"/>
      <c r="B912" s="13"/>
      <c r="C912" s="13"/>
    </row>
    <row r="913" spans="1:3" ht="13" x14ac:dyDescent="0.15">
      <c r="A913" s="10"/>
      <c r="B913" s="13"/>
      <c r="C913" s="13"/>
    </row>
    <row r="914" spans="1:3" ht="13" x14ac:dyDescent="0.15">
      <c r="A914" s="10"/>
      <c r="B914" s="13"/>
      <c r="C914" s="13"/>
    </row>
    <row r="915" spans="1:3" ht="13" x14ac:dyDescent="0.15">
      <c r="A915" s="10"/>
      <c r="B915" s="13"/>
      <c r="C915" s="13"/>
    </row>
    <row r="916" spans="1:3" ht="13" x14ac:dyDescent="0.15">
      <c r="A916" s="10"/>
      <c r="B916" s="13"/>
      <c r="C916" s="13"/>
    </row>
    <row r="917" spans="1:3" ht="13" x14ac:dyDescent="0.15">
      <c r="A917" s="10"/>
      <c r="B917" s="13"/>
      <c r="C917" s="13"/>
    </row>
    <row r="918" spans="1:3" ht="13" x14ac:dyDescent="0.15">
      <c r="A918" s="10"/>
      <c r="B918" s="13"/>
      <c r="C918" s="13"/>
    </row>
    <row r="919" spans="1:3" ht="13" x14ac:dyDescent="0.15">
      <c r="A919" s="10"/>
      <c r="B919" s="13"/>
      <c r="C919" s="13"/>
    </row>
    <row r="920" spans="1:3" ht="13" x14ac:dyDescent="0.15">
      <c r="A920" s="10"/>
      <c r="B920" s="13"/>
      <c r="C920" s="13"/>
    </row>
    <row r="921" spans="1:3" ht="13" x14ac:dyDescent="0.15">
      <c r="A921" s="10"/>
      <c r="B921" s="13"/>
      <c r="C921" s="13"/>
    </row>
    <row r="922" spans="1:3" ht="13" x14ac:dyDescent="0.15">
      <c r="A922" s="10"/>
      <c r="B922" s="13"/>
      <c r="C922" s="13"/>
    </row>
    <row r="923" spans="1:3" ht="13" x14ac:dyDescent="0.15">
      <c r="A923" s="10"/>
      <c r="B923" s="13"/>
      <c r="C923" s="13"/>
    </row>
    <row r="924" spans="1:3" ht="13" x14ac:dyDescent="0.15">
      <c r="A924" s="10"/>
      <c r="B924" s="13"/>
      <c r="C924" s="13"/>
    </row>
    <row r="925" spans="1:3" ht="13" x14ac:dyDescent="0.15">
      <c r="A925" s="10"/>
      <c r="B925" s="13"/>
      <c r="C925" s="13"/>
    </row>
    <row r="926" spans="1:3" ht="13" x14ac:dyDescent="0.15">
      <c r="A926" s="10"/>
      <c r="B926" s="13"/>
      <c r="C926" s="13"/>
    </row>
    <row r="927" spans="1:3" ht="13" x14ac:dyDescent="0.15">
      <c r="A927" s="10"/>
      <c r="B927" s="13"/>
      <c r="C927" s="13"/>
    </row>
    <row r="928" spans="1:3" ht="13" x14ac:dyDescent="0.15">
      <c r="A928" s="10"/>
      <c r="B928" s="13"/>
      <c r="C928" s="13"/>
    </row>
    <row r="929" spans="1:3" ht="13" x14ac:dyDescent="0.15">
      <c r="A929" s="10"/>
      <c r="B929" s="13"/>
      <c r="C929" s="13"/>
    </row>
    <row r="930" spans="1:3" ht="13" x14ac:dyDescent="0.15">
      <c r="A930" s="10"/>
      <c r="B930" s="13"/>
      <c r="C930" s="13"/>
    </row>
    <row r="931" spans="1:3" ht="13" x14ac:dyDescent="0.15">
      <c r="A931" s="10"/>
      <c r="B931" s="13"/>
      <c r="C931" s="13"/>
    </row>
    <row r="932" spans="1:3" ht="13" x14ac:dyDescent="0.15">
      <c r="A932" s="10"/>
      <c r="B932" s="13"/>
      <c r="C932" s="13"/>
    </row>
    <row r="933" spans="1:3" ht="13" x14ac:dyDescent="0.15">
      <c r="A933" s="10"/>
      <c r="B933" s="13"/>
      <c r="C933" s="13"/>
    </row>
    <row r="934" spans="1:3" ht="13" x14ac:dyDescent="0.15">
      <c r="A934" s="10"/>
      <c r="B934" s="13"/>
      <c r="C934" s="13"/>
    </row>
    <row r="935" spans="1:3" ht="13" x14ac:dyDescent="0.15">
      <c r="A935" s="10"/>
      <c r="B935" s="13"/>
      <c r="C935" s="13"/>
    </row>
    <row r="936" spans="1:3" ht="13" x14ac:dyDescent="0.15">
      <c r="A936" s="10"/>
      <c r="B936" s="13"/>
      <c r="C936" s="13"/>
    </row>
    <row r="937" spans="1:3" ht="13" x14ac:dyDescent="0.15">
      <c r="A937" s="10"/>
      <c r="B937" s="13"/>
      <c r="C937" s="13"/>
    </row>
    <row r="938" spans="1:3" ht="13" x14ac:dyDescent="0.15">
      <c r="A938" s="10"/>
      <c r="B938" s="13"/>
      <c r="C938" s="13"/>
    </row>
    <row r="939" spans="1:3" ht="13" x14ac:dyDescent="0.15">
      <c r="A939" s="10"/>
      <c r="B939" s="13"/>
      <c r="C939" s="13"/>
    </row>
    <row r="940" spans="1:3" ht="13" x14ac:dyDescent="0.15">
      <c r="A940" s="10"/>
      <c r="B940" s="13"/>
      <c r="C940" s="13"/>
    </row>
    <row r="941" spans="1:3" ht="13" x14ac:dyDescent="0.15">
      <c r="A941" s="10"/>
      <c r="B941" s="13"/>
      <c r="C941" s="13"/>
    </row>
    <row r="942" spans="1:3" ht="13" x14ac:dyDescent="0.15">
      <c r="A942" s="10"/>
      <c r="B942" s="13"/>
      <c r="C942" s="13"/>
    </row>
    <row r="943" spans="1:3" ht="13" x14ac:dyDescent="0.15">
      <c r="A943" s="10"/>
      <c r="B943" s="13"/>
      <c r="C943" s="13"/>
    </row>
    <row r="944" spans="1:3" ht="13" x14ac:dyDescent="0.15">
      <c r="A944" s="10"/>
      <c r="B944" s="13"/>
      <c r="C944" s="13"/>
    </row>
    <row r="945" spans="1:3" ht="13" x14ac:dyDescent="0.15">
      <c r="A945" s="10"/>
      <c r="B945" s="13"/>
      <c r="C945" s="13"/>
    </row>
    <row r="946" spans="1:3" ht="13" x14ac:dyDescent="0.15">
      <c r="A946" s="10"/>
      <c r="B946" s="13"/>
      <c r="C946" s="13"/>
    </row>
    <row r="947" spans="1:3" ht="13" x14ac:dyDescent="0.15">
      <c r="A947" s="10"/>
      <c r="B947" s="13"/>
      <c r="C947" s="13"/>
    </row>
    <row r="948" spans="1:3" ht="13" x14ac:dyDescent="0.15">
      <c r="A948" s="10"/>
      <c r="B948" s="13"/>
      <c r="C948" s="13"/>
    </row>
    <row r="949" spans="1:3" ht="13" x14ac:dyDescent="0.15">
      <c r="A949" s="10"/>
      <c r="B949" s="13"/>
      <c r="C949" s="13"/>
    </row>
    <row r="950" spans="1:3" ht="13" x14ac:dyDescent="0.15">
      <c r="A950" s="10"/>
      <c r="B950" s="13"/>
      <c r="C950" s="13"/>
    </row>
    <row r="951" spans="1:3" ht="13" x14ac:dyDescent="0.15">
      <c r="A951" s="10"/>
      <c r="B951" s="13"/>
      <c r="C951" s="13"/>
    </row>
    <row r="952" spans="1:3" ht="13" x14ac:dyDescent="0.15">
      <c r="A952" s="10"/>
      <c r="B952" s="13"/>
      <c r="C952" s="13"/>
    </row>
    <row r="953" spans="1:3" ht="13" x14ac:dyDescent="0.15">
      <c r="A953" s="10"/>
      <c r="B953" s="13"/>
      <c r="C953" s="13"/>
    </row>
    <row r="954" spans="1:3" ht="13" x14ac:dyDescent="0.15">
      <c r="A954" s="10"/>
      <c r="B954" s="13"/>
      <c r="C954" s="13"/>
    </row>
    <row r="955" spans="1:3" ht="13" x14ac:dyDescent="0.15">
      <c r="A955" s="10"/>
      <c r="B955" s="13"/>
      <c r="C955" s="13"/>
    </row>
    <row r="956" spans="1:3" ht="13" x14ac:dyDescent="0.15">
      <c r="A956" s="10"/>
      <c r="B956" s="13"/>
      <c r="C956" s="13"/>
    </row>
    <row r="957" spans="1:3" ht="13" x14ac:dyDescent="0.15">
      <c r="A957" s="10"/>
      <c r="B957" s="13"/>
      <c r="C957" s="13"/>
    </row>
    <row r="958" spans="1:3" ht="13" x14ac:dyDescent="0.15">
      <c r="A958" s="10"/>
      <c r="B958" s="13"/>
      <c r="C958" s="13"/>
    </row>
    <row r="959" spans="1:3" ht="13" x14ac:dyDescent="0.15">
      <c r="A959" s="10"/>
      <c r="B959" s="13"/>
      <c r="C959" s="13"/>
    </row>
    <row r="960" spans="1:3" ht="13" x14ac:dyDescent="0.15">
      <c r="A960" s="10"/>
      <c r="B960" s="13"/>
      <c r="C960" s="13"/>
    </row>
    <row r="961" spans="1:3" ht="13" x14ac:dyDescent="0.15">
      <c r="A961" s="10"/>
      <c r="B961" s="13"/>
      <c r="C961" s="13"/>
    </row>
    <row r="962" spans="1:3" ht="13" x14ac:dyDescent="0.15">
      <c r="A962" s="10"/>
      <c r="B962" s="13"/>
      <c r="C962" s="13"/>
    </row>
    <row r="963" spans="1:3" ht="13" x14ac:dyDescent="0.15">
      <c r="A963" s="10"/>
      <c r="B963" s="13"/>
      <c r="C963" s="13"/>
    </row>
    <row r="964" spans="1:3" ht="13" x14ac:dyDescent="0.15">
      <c r="A964" s="10"/>
      <c r="B964" s="13"/>
      <c r="C964" s="13"/>
    </row>
    <row r="965" spans="1:3" ht="13" x14ac:dyDescent="0.15">
      <c r="A965" s="10"/>
      <c r="B965" s="13"/>
      <c r="C965" s="13"/>
    </row>
    <row r="966" spans="1:3" ht="13" x14ac:dyDescent="0.15">
      <c r="A966" s="10"/>
      <c r="B966" s="13"/>
      <c r="C966" s="13"/>
    </row>
    <row r="967" spans="1:3" ht="13" x14ac:dyDescent="0.15">
      <c r="A967" s="10"/>
      <c r="B967" s="13"/>
      <c r="C967" s="13"/>
    </row>
    <row r="968" spans="1:3" ht="13" x14ac:dyDescent="0.15">
      <c r="A968" s="10"/>
      <c r="B968" s="13"/>
      <c r="C968" s="13"/>
    </row>
    <row r="969" spans="1:3" ht="13" x14ac:dyDescent="0.15">
      <c r="A969" s="10"/>
      <c r="B969" s="13"/>
      <c r="C969" s="13"/>
    </row>
    <row r="970" spans="1:3" ht="13" x14ac:dyDescent="0.15">
      <c r="A970" s="10"/>
      <c r="B970" s="13"/>
      <c r="C970" s="13"/>
    </row>
    <row r="971" spans="1:3" ht="13" x14ac:dyDescent="0.15">
      <c r="A971" s="10"/>
      <c r="B971" s="13"/>
      <c r="C971" s="13"/>
    </row>
    <row r="972" spans="1:3" ht="13" x14ac:dyDescent="0.15">
      <c r="A972" s="10"/>
      <c r="B972" s="13"/>
      <c r="C972" s="13"/>
    </row>
    <row r="973" spans="1:3" ht="13" x14ac:dyDescent="0.15">
      <c r="A973" s="10"/>
      <c r="B973" s="13"/>
      <c r="C973" s="13"/>
    </row>
    <row r="974" spans="1:3" ht="13" x14ac:dyDescent="0.15">
      <c r="A974" s="10"/>
      <c r="B974" s="13"/>
      <c r="C974" s="13"/>
    </row>
    <row r="975" spans="1:3" ht="13" x14ac:dyDescent="0.15">
      <c r="A975" s="10"/>
      <c r="B975" s="13"/>
      <c r="C975" s="13"/>
    </row>
    <row r="976" spans="1:3" ht="13" x14ac:dyDescent="0.15">
      <c r="A976" s="10"/>
      <c r="B976" s="13"/>
      <c r="C976" s="13"/>
    </row>
    <row r="977" spans="1:3" ht="13" x14ac:dyDescent="0.15">
      <c r="A977" s="10"/>
      <c r="B977" s="13"/>
      <c r="C977" s="13"/>
    </row>
    <row r="978" spans="1:3" ht="13" x14ac:dyDescent="0.15">
      <c r="A978" s="10"/>
      <c r="B978" s="13"/>
      <c r="C978" s="13"/>
    </row>
    <row r="979" spans="1:3" ht="13" x14ac:dyDescent="0.15">
      <c r="A979" s="10"/>
      <c r="B979" s="13"/>
      <c r="C979" s="13"/>
    </row>
    <row r="980" spans="1:3" ht="13" x14ac:dyDescent="0.15">
      <c r="A980" s="10"/>
      <c r="B980" s="13"/>
      <c r="C980" s="13"/>
    </row>
    <row r="981" spans="1:3" ht="13" x14ac:dyDescent="0.15">
      <c r="A981" s="10"/>
      <c r="B981" s="13"/>
      <c r="C981" s="13"/>
    </row>
    <row r="982" spans="1:3" ht="13" x14ac:dyDescent="0.15">
      <c r="A982" s="10"/>
      <c r="B982" s="13"/>
      <c r="C982" s="13"/>
    </row>
    <row r="983" spans="1:3" ht="13" x14ac:dyDescent="0.15">
      <c r="A983" s="10"/>
      <c r="B983" s="13"/>
      <c r="C983" s="13"/>
    </row>
    <row r="984" spans="1:3" ht="13" x14ac:dyDescent="0.15">
      <c r="A984" s="10"/>
      <c r="B984" s="13"/>
      <c r="C984" s="13"/>
    </row>
    <row r="985" spans="1:3" ht="13" x14ac:dyDescent="0.15">
      <c r="A985" s="10"/>
      <c r="B985" s="13"/>
      <c r="C985" s="13"/>
    </row>
    <row r="986" spans="1:3" ht="13" x14ac:dyDescent="0.15">
      <c r="A986" s="10"/>
      <c r="B986" s="13"/>
      <c r="C986" s="13"/>
    </row>
    <row r="987" spans="1:3" ht="13" x14ac:dyDescent="0.15">
      <c r="A987" s="10"/>
      <c r="B987" s="13"/>
      <c r="C987" s="13"/>
    </row>
    <row r="988" spans="1:3" ht="13" x14ac:dyDescent="0.15">
      <c r="A988" s="10"/>
      <c r="B988" s="13"/>
      <c r="C988" s="13"/>
    </row>
    <row r="989" spans="1:3" ht="13" x14ac:dyDescent="0.15">
      <c r="A989" s="10"/>
      <c r="B989" s="13"/>
      <c r="C989" s="13"/>
    </row>
    <row r="990" spans="1:3" ht="13" x14ac:dyDescent="0.15">
      <c r="A990" s="10"/>
      <c r="B990" s="13"/>
      <c r="C990" s="13"/>
    </row>
    <row r="991" spans="1:3" ht="13" x14ac:dyDescent="0.15">
      <c r="A991" s="10"/>
      <c r="B991" s="13"/>
      <c r="C991" s="13"/>
    </row>
    <row r="992" spans="1:3" ht="13" x14ac:dyDescent="0.15">
      <c r="A992" s="10"/>
      <c r="B992" s="13"/>
      <c r="C992" s="13"/>
    </row>
    <row r="993" spans="1:3" ht="13" x14ac:dyDescent="0.15">
      <c r="A993" s="10"/>
      <c r="B993" s="13"/>
      <c r="C993" s="13"/>
    </row>
    <row r="994" spans="1:3" ht="13" x14ac:dyDescent="0.15">
      <c r="A994" s="10"/>
      <c r="B994" s="13"/>
      <c r="C994" s="13"/>
    </row>
    <row r="995" spans="1:3" ht="13" x14ac:dyDescent="0.15">
      <c r="A995" s="10"/>
      <c r="B995" s="13"/>
      <c r="C995" s="13"/>
    </row>
    <row r="996" spans="1:3" ht="13" x14ac:dyDescent="0.15">
      <c r="A996" s="10"/>
      <c r="B996" s="13"/>
      <c r="C996" s="13"/>
    </row>
    <row r="997" spans="1:3" ht="13" x14ac:dyDescent="0.15">
      <c r="A997" s="10"/>
      <c r="B997" s="13"/>
      <c r="C997" s="13"/>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outlinePr summaryBelow="0" summaryRight="0"/>
  </sheetPr>
  <dimension ref="A1:D997"/>
  <sheetViews>
    <sheetView workbookViewId="0"/>
  </sheetViews>
  <sheetFormatPr baseColWidth="10" defaultColWidth="12.6640625" defaultRowHeight="15.75" customHeight="1" x14ac:dyDescent="0.15"/>
  <cols>
    <col min="1" max="1" width="71.5" customWidth="1"/>
    <col min="2" max="4" width="37.6640625" customWidth="1"/>
  </cols>
  <sheetData>
    <row r="1" spans="1:4" ht="15.75" customHeight="1" x14ac:dyDescent="0.15">
      <c r="A1" s="1"/>
      <c r="B1" s="10" t="str">
        <f ca="1">IFERROR(__xludf.DUMMYFUNCTION("IMPORTRANGE(""https://docs.google.com/spreadsheets/u/0/d/1DTeUShR903oScgwuFGuA8V8JqIoXmME8W-T3lNP0oHM"", ""A59!B1:B22"")"),"McKinzie Novak")</f>
        <v>McKinzie Novak</v>
      </c>
      <c r="C1" s="10" t="str">
        <f ca="1">IFERROR(__xludf.DUMMYFUNCTION("IMPORTRANGE(""https://docs.google.com/spreadsheets/u/0/d/1tjgC5crHxYL6PIwdjQvl-Lz18xb2WRifl2-5aQ8KGT8"", ""A59!B1:B22"")"),"Jake Stafford")</f>
        <v>Jake Stafford</v>
      </c>
      <c r="D1" s="13" t="str">
        <f ca="1">IFERROR(__xludf.DUMMYFUNCTION("IMPORTRANGE(""https://docs.google.com/spreadsheets/u/0/d/1e6QLf1_HeiTNz7JOFlwsfbt48UsSPCJuGTSppexqIJc"", ""58!B1:B22"")"),"Tyler Thibodeaux")</f>
        <v>Tyler Thibodeaux</v>
      </c>
    </row>
    <row r="2" spans="1:4" ht="15.75" customHeight="1" x14ac:dyDescent="0.15">
      <c r="A2" s="3" t="s">
        <v>2</v>
      </c>
      <c r="B2" s="15" t="str">
        <f ca="1">IFERROR(__xludf.DUMMYFUNCTION("""COMPUTED_VALUE"""),"START: 32913
STOP: 33143
FORWARD")</f>
        <v>START: 32913
STOP: 33143
FORWARD</v>
      </c>
      <c r="C2" s="15" t="str">
        <f ca="1">IFERROR(__xludf.DUMMYFUNCTION("""COMPUTED_VALUE"""),"Start: 32913 Stop: 33143 For")</f>
        <v>Start: 32913 Stop: 33143 For</v>
      </c>
      <c r="D2" s="15" t="str">
        <f ca="1">IFERROR(__xludf.DUMMYFUNCTION("""COMPUTED_VALUE"""),"32913 to 33143 (Forward)")</f>
        <v>32913 to 33143 (Forward)</v>
      </c>
    </row>
    <row r="3" spans="1:4" ht="15.75" customHeight="1" x14ac:dyDescent="0.15">
      <c r="A3" s="5" t="s">
        <v>3</v>
      </c>
      <c r="B3" s="17" t="str">
        <f ca="1">IFERROR(__xludf.DUMMYFUNCTION("""COMPUTED_VALUE"""),"DNAM: 58
PHAM: 59
Phagesdb: 59")</f>
        <v>DNAM: 58
PHAM: 59
Phagesdb: 59</v>
      </c>
      <c r="C3" s="17" t="str">
        <f ca="1">IFERROR(__xludf.DUMMYFUNCTION("""COMPUTED_VALUE"""),"59 in Pham, 58 in DNAM")</f>
        <v>59 in Pham, 58 in DNAM</v>
      </c>
      <c r="D3" s="17" t="str">
        <f ca="1">IFERROR(__xludf.DUMMYFUNCTION("""COMPUTED_VALUE"""),"DNAm= 58, PHAM=59 ")</f>
        <v xml:space="preserve">DNAm= 58, PHAM=59 </v>
      </c>
    </row>
    <row r="4" spans="1:4" ht="15.75" customHeight="1" x14ac:dyDescent="0.15">
      <c r="A4" s="5" t="s">
        <v>4</v>
      </c>
      <c r="B4" s="17" t="str">
        <f ca="1">IFERROR(__xludf.DUMMYFUNCTION("""COMPUTED_VALUE""")," #199476  3/10/25")</f>
        <v xml:space="preserve"> #199476  3/10/25</v>
      </c>
      <c r="C4" s="17" t="str">
        <f ca="1">IFERROR(__xludf.DUMMYFUNCTION("""COMPUTED_VALUE"""),"199476 3/10/25")</f>
        <v>199476 3/10/25</v>
      </c>
      <c r="D4" s="17" t="str">
        <f ca="1">IFERROR(__xludf.DUMMYFUNCTION("""COMPUTED_VALUE""")," pham 199476, 3-14-25")</f>
        <v xml:space="preserve"> pham 199476, 3-14-25</v>
      </c>
    </row>
    <row r="5" spans="1:4" ht="15.75" customHeight="1" x14ac:dyDescent="0.15">
      <c r="A5" s="5" t="s">
        <v>5</v>
      </c>
      <c r="B5" s="17" t="str">
        <f ca="1">IFERROR(__xludf.DUMMYFUNCTION("""COMPUTED_VALUE"""),"Kovu #57")</f>
        <v>Kovu #57</v>
      </c>
      <c r="C5" s="17" t="str">
        <f ca="1">IFERROR(__xludf.DUMMYFUNCTION("""COMPUTED_VALUE"""),"Kovu_57")</f>
        <v>Kovu_57</v>
      </c>
      <c r="D5" s="17" t="str">
        <f ca="1">IFERROR(__xludf.DUMMYFUNCTION("""COMPUTED_VALUE"""),"Kovu_57")</f>
        <v>Kovu_57</v>
      </c>
    </row>
    <row r="6" spans="1:4" ht="15.75" customHeight="1" x14ac:dyDescent="0.15">
      <c r="A6" s="5" t="s">
        <v>6</v>
      </c>
      <c r="B6" s="17" t="str">
        <f ca="1">IFERROR(__xludf.DUMMYFUNCTION("""COMPUTED_VALUE"""),"Glimmer calls start at 32913, but GeneMark calls start at 32997")</f>
        <v>Glimmer calls start at 32913, but GeneMark calls start at 32997</v>
      </c>
      <c r="C6" s="17" t="str">
        <f ca="1">IFERROR(__xludf.DUMMYFUNCTION("""COMPUTED_VALUE"""),"Glimmer calls at 32913, genemark calls at 32997")</f>
        <v>Glimmer calls at 32913, genemark calls at 32997</v>
      </c>
      <c r="D6" s="17" t="str">
        <f ca="1">IFERROR(__xludf.DUMMYFUNCTION("""COMPUTED_VALUE"""),"Original Glimmer call @bp 32913. GeneMark calls start at 32997")</f>
        <v>Original Glimmer call @bp 32913. GeneMark calls start at 32997</v>
      </c>
    </row>
    <row r="7" spans="1:4" ht="15.75" customHeight="1" x14ac:dyDescent="0.15">
      <c r="A7" s="5" t="s">
        <v>7</v>
      </c>
      <c r="B7" s="17" t="str">
        <f ca="1">IFERROR(__xludf.DUMMYFUNCTION("""COMPUTED_VALUE"""),"Yes, it has good coding potential. All is caught with Glimmer, but not with genemark.")</f>
        <v>Yes, it has good coding potential. All is caught with Glimmer, but not with genemark.</v>
      </c>
      <c r="C7" s="17" t="str">
        <f ca="1">IFERROR(__xludf.DUMMYFUNCTION("""COMPUTED_VALUE"""),"okay coding potential, not all potential is included with this start. ")</f>
        <v xml:space="preserve">okay coding potential, not all potential is included with this start. </v>
      </c>
      <c r="D7" s="17" t="str">
        <f ca="1">IFERROR(__xludf.DUMMYFUNCTION("""COMPUTED_VALUE"""),"The coding potential is decent. It is mostly included within the start. ")</f>
        <v xml:space="preserve">The coding potential is decent. It is mostly included within the start. </v>
      </c>
    </row>
    <row r="8" spans="1:4" ht="15.75" customHeight="1" x14ac:dyDescent="0.15">
      <c r="A8" s="5" t="s">
        <v>8</v>
      </c>
      <c r="B8" s="17" t="str">
        <f ca="1">IFERROR(__xludf.DUMMYFUNCTION("""COMPUTED_VALUE"""),"No, there is an early start at 32904 before glimmer &amp; genemark.")</f>
        <v>No, there is an early start at 32904 before glimmer &amp; genemark.</v>
      </c>
      <c r="C8" s="17" t="str">
        <f ca="1">IFERROR(__xludf.DUMMYFUNCTION("""COMPUTED_VALUE"""),"No, there is a start before the one being used.")</f>
        <v>No, there is a start before the one being used.</v>
      </c>
      <c r="D8" s="17" t="str">
        <f ca="1">IFERROR(__xludf.DUMMYFUNCTION("""COMPUTED_VALUE"""),"It is not the longest possible because there is more possible start in front. ")</f>
        <v xml:space="preserve">It is not the longest possible because there is more possible start in front. </v>
      </c>
    </row>
    <row r="9" spans="1:4" ht="15.75" customHeight="1" x14ac:dyDescent="0.15">
      <c r="A9" s="5" t="s">
        <v>9</v>
      </c>
      <c r="B9" s="17" t="str">
        <f ca="1">IFERROR(__xludf.DUMMYFUNCTION("""COMPUTED_VALUE"""),"With glimmer there is a 49 base pair overlap, with genemark there is a 35 base pair overlap.")</f>
        <v>With glimmer there is a 49 base pair overlap, with genemark there is a 35 base pair overlap.</v>
      </c>
      <c r="C9" s="17" t="str">
        <f ca="1">IFERROR(__xludf.DUMMYFUNCTION("""COMPUTED_VALUE"""),"47 gap")</f>
        <v>47 gap</v>
      </c>
      <c r="D9" s="17" t="str">
        <f ca="1">IFERROR(__xludf.DUMMYFUNCTION("""COMPUTED_VALUE"""),"49 overlap, it is large and might share function with previous gene. ")</f>
        <v xml:space="preserve">49 overlap, it is large and might share function with previous gene. </v>
      </c>
    </row>
    <row r="10" spans="1:4" ht="15.75" customHeight="1" x14ac:dyDescent="0.15">
      <c r="A10" s="5" t="s">
        <v>10</v>
      </c>
      <c r="B10" s="17" t="str">
        <f ca="1">IFERROR(__xludf.DUMMYFUNCTION("""COMPUTED_VALUE"""),"Start: 32913 Z-val: 2.807 RBS:-3.1
Start: 32997 Z-val: 3.045 RBS:-2.9")</f>
        <v>Start: 32913 Z-val: 2.807 RBS:-3.1
Start: 32997 Z-val: 3.045 RBS:-2.9</v>
      </c>
      <c r="C10" s="17" t="str">
        <f ca="1">IFERROR(__xludf.DUMMYFUNCTION("""COMPUTED_VALUE"""),"z-score 2.807, f-score -2.906, may not be the best score, start#1 (z-score 3.121 f-score -3.140)will introduce larger overlap.")</f>
        <v>z-score 2.807, f-score -2.906, may not be the best score, start#1 (z-score 3.121 f-score -3.140)will introduce larger overlap.</v>
      </c>
      <c r="D10" s="17" t="str">
        <f ca="1">IFERROR(__xludf.DUMMYFUNCTION("""COMPUTED_VALUE"""),"Z score= 3.05, It is the best score relative to the overlap. No others really should be considered. ")</f>
        <v xml:space="preserve">Z score= 3.05, It is the best score relative to the overlap. No others really should be considered. </v>
      </c>
    </row>
    <row r="11" spans="1:4" ht="15.75" customHeight="1" x14ac:dyDescent="0.15">
      <c r="A11" s="5" t="s">
        <v>11</v>
      </c>
      <c r="B11" s="17" t="str">
        <f ca="1">IFERROR(__xludf.DUMMYFUNCTION("""COMPUTED_VALUE"""),"kovu #57 %ID: 93.42 e-val:4.1e-43
Q:1 S:1")</f>
        <v>kovu #57 %ID: 93.42 e-val:4.1e-43
Q:1 S:1</v>
      </c>
      <c r="C11" s="17" t="str">
        <f ca="1">IFERROR(__xludf.DUMMYFUNCTION("""COMPUTED_VALUE"""),"Kovu_57 94.47% identity, 4e-43 ")</f>
        <v xml:space="preserve">Kovu_57 94.47% identity, 4e-43 </v>
      </c>
      <c r="D11" s="17" t="str">
        <f ca="1">IFERROR(__xludf.DUMMYFUNCTION("""COMPUTED_VALUE"""),"Kovu_56, %Identity=93%, e=4e-43, q1:s1")</f>
        <v>Kovu_56, %Identity=93%, e=4e-43, q1:s1</v>
      </c>
    </row>
    <row r="12" spans="1:4" ht="15.75" customHeight="1" x14ac:dyDescent="0.15">
      <c r="A12" s="5" t="s">
        <v>12</v>
      </c>
      <c r="B12" s="17" t="str">
        <f ca="1">IFERROR(__xludf.DUMMYFUNCTION("""COMPUTED_VALUE"""),"Yes, only kovu is the other member and it also chose start #4 with glimmer; 100% of the time")</f>
        <v>Yes, only kovu is the other member and it also chose start #4 with glimmer; 100% of the time</v>
      </c>
      <c r="C12" s="17" t="str">
        <f ca="1">IFERROR(__xludf.DUMMYFUNCTION("""COMPUTED_VALUE"""),"conserved, always called when present")</f>
        <v>conserved, always called when present</v>
      </c>
      <c r="D12" s="17" t="str">
        <f ca="1">IFERROR(__xludf.DUMMYFUNCTION("""COMPUTED_VALUE"""),"It is conserved in all members, called 100% of time ")</f>
        <v xml:space="preserve">It is conserved in all members, called 100% of time </v>
      </c>
    </row>
    <row r="13" spans="1:4" ht="15.75" customHeight="1" x14ac:dyDescent="0.15">
      <c r="A13" s="5" t="s">
        <v>13</v>
      </c>
      <c r="B13" s="17" t="str">
        <f ca="1">IFERROR(__xludf.DUMMYFUNCTION("""COMPUTED_VALUE"""),"No, glimmers start is conserved and there is no need to cut out coding potential and creating a gap")</f>
        <v>No, glimmers start is conserved and there is no need to cut out coding potential and creating a gap</v>
      </c>
      <c r="C13" s="17" t="str">
        <f ca="1">IFERROR(__xludf.DUMMYFUNCTION("""COMPUTED_VALUE"""),"Yes, moved to the previous start")</f>
        <v>Yes, moved to the previous start</v>
      </c>
      <c r="D13" s="17" t="str">
        <f ca="1">IFERROR(__xludf.DUMMYFUNCTION("""COMPUTED_VALUE"""),"Yes, It should be changed due to the large overlap from start 2 to start 3, start 3 has a better Zscore and would eliminate the overlap between gene 57 and 58 (DNAm). ")</f>
        <v xml:space="preserve">Yes, It should be changed due to the large overlap from start 2 to start 3, start 3 has a better Zscore and would eliminate the overlap between gene 57 and 58 (DNAm). </v>
      </c>
    </row>
    <row r="14" spans="1:4" ht="15.75" customHeight="1" x14ac:dyDescent="0.15">
      <c r="A14" s="5" t="s">
        <v>14</v>
      </c>
      <c r="B14" s="17" t="str">
        <f ca="1">IFERROR(__xludf.DUMMYFUNCTION("""COMPUTED_VALUE"""),"Kovu #57 e-val: 4.1E-43")</f>
        <v>Kovu #57 e-val: 4.1E-43</v>
      </c>
      <c r="C14" s="17" t="str">
        <f ca="1">IFERROR(__xludf.DUMMYFUNCTION("""COMPUTED_VALUE"""),"Kovu_57, 3e-36")</f>
        <v>Kovu_57, 3e-36</v>
      </c>
      <c r="D14" s="17" t="str">
        <f ca="1">IFERROR(__xludf.DUMMYFUNCTION("""COMPUTED_VALUE"""),"Kovu_57, e= 3e-36")</f>
        <v>Kovu_57, e= 3e-36</v>
      </c>
    </row>
    <row r="15" spans="1:4" ht="15.75" customHeight="1" x14ac:dyDescent="0.15">
      <c r="A15" s="5" t="s">
        <v>15</v>
      </c>
      <c r="B15" s="17" t="str">
        <f ca="1">IFERROR(__xludf.DUMMYFUNCTION("""COMPUTED_VALUE"""),"Kovu #57 is a hypothetical protein")</f>
        <v>Kovu #57 is a hypothetical protein</v>
      </c>
      <c r="C15" s="17" t="str">
        <f ca="1">IFERROR(__xludf.DUMMYFUNCTION("""COMPUTED_VALUE"""),"Unknown function")</f>
        <v>Unknown function</v>
      </c>
      <c r="D15" s="17" t="str">
        <f ca="1">IFERROR(__xludf.DUMMYFUNCTION("""COMPUTED_VALUE"""),"Kovu_57, function unknown")</f>
        <v>Kovu_57, function unknown</v>
      </c>
    </row>
    <row r="16" spans="1:4" ht="15.75" customHeight="1" x14ac:dyDescent="0.15">
      <c r="A16" s="5" t="s">
        <v>16</v>
      </c>
      <c r="B16" s="17" t="str">
        <f ca="1">IFERROR(__xludf.DUMMYFUNCTION("""COMPUTED_VALUE"""),"Yes the gene seems to fit in with its genetic environment; Both adjacent genes are also hypothetical but have really good alignments.")</f>
        <v>Yes the gene seems to fit in with its genetic environment; Both adjacent genes are also hypothetical but have really good alignments.</v>
      </c>
      <c r="C16" s="17" t="str">
        <f ca="1">IFERROR(__xludf.DUMMYFUNCTION("""COMPUTED_VALUE"""),"Yes, two previous genes are similar to Kovu, genes after are different")</f>
        <v>Yes, two previous genes are similar to Kovu, genes after are different</v>
      </c>
      <c r="D16" s="17" t="str">
        <f ca="1">IFERROR(__xludf.DUMMYFUNCTION("""COMPUTED_VALUE"""),"It is in the same enviornment as kovu. ")</f>
        <v xml:space="preserve">It is in the same enviornment as kovu. </v>
      </c>
    </row>
    <row r="17" spans="1:4" ht="15.75" customHeight="1" x14ac:dyDescent="0.15">
      <c r="A17" s="5" t="s">
        <v>17</v>
      </c>
      <c r="B17" s="17" t="str">
        <f ca="1">IFERROR(__xludf.DUMMYFUNCTION("""COMPUTED_VALUE"""),"DESC: Hypothetical 12.0 kDa protein in ADE3-SER2 intergenic region; Endosome, Trafficking complex, Vps23, Vps28, Vps37, Mvb12,
Prob:79.92 %ALQ:60.5 %ALT:58.2
No, the domain is not in the alignment. Needs futher exploration.")</f>
        <v>DESC: Hypothetical 12.0 kDa protein in ADE3-SER2 intergenic region; Endosome, Trafficking complex, Vps23, Vps28, Vps37, Mvb12,
Prob:79.92 %ALQ:60.5 %ALT:58.2
No, the domain is not in the alignment. Needs futher exploration.</v>
      </c>
      <c r="C17" s="17" t="str">
        <f ca="1">IFERROR(__xludf.DUMMYFUNCTION("""COMPUTED_VALUE"""),"Hypothetical 12.0 kDa protein in ADE3-SER2 intergenic region; Endosome, Trafficking complex, Vps23, Vps28, Vps37, Mvb12, Vacuolar Protein Sorting, ESCRT protein complexes, Endosomal Sorting Complex; HET: SO4; 2.7A {Saccharomyces cerevisiae}, 79.92% prob, "&amp;"60.53% allQ, 58.23% allT. Functional domain is not part of the target alignment. These matches need further exploration")</f>
        <v>Hypothetical 12.0 kDa protein in ADE3-SER2 intergenic region; Endosome, Trafficking complex, Vps23, Vps28, Vps37, Mvb12, Vacuolar Protein Sorting, ESCRT protein complexes, Endosomal Sorting Complex; HET: SO4; 2.7A {Saccharomyces cerevisiae}, 79.92% prob, 60.53% allQ, 58.23% allT. Functional domain is not part of the target alignment. These matches need further exploration</v>
      </c>
      <c r="D17" s="17" t="str">
        <f ca="1">IFERROR(__xludf.DUMMYFUNCTION("""COMPUTED_VALUE"""),"Hypothetical 12.0 kDa protein in ADE3-SER2 intergenic region, %P=79%, %Q= 6%, %T= 27%, The functional domain is not apart of the target allignment. Futher exploration is probably needed")</f>
        <v>Hypothetical 12.0 kDa protein in ADE3-SER2 intergenic region, %P=79%, %Q= 6%, %T= 27%, The functional domain is not apart of the target allignment. Futher exploration is probably needed</v>
      </c>
    </row>
    <row r="18" spans="1:4" ht="15.75" customHeight="1" x14ac:dyDescent="0.15">
      <c r="A18" s="5" t="s">
        <v>18</v>
      </c>
      <c r="B18" s="17" t="str">
        <f ca="1">IFERROR(__xludf.DUMMYFUNCTION("""COMPUTED_VALUE"""),"DUF - unknown")</f>
        <v>DUF - unknown</v>
      </c>
      <c r="C18" s="17" t="str">
        <f ca="1">IFERROR(__xludf.DUMMYFUNCTION("""COMPUTED_VALUE"""),"none")</f>
        <v>none</v>
      </c>
      <c r="D18" s="17" t="str">
        <f ca="1">IFERROR(__xludf.DUMMYFUNCTION("""COMPUTED_VALUE"""),"None")</f>
        <v>None</v>
      </c>
    </row>
    <row r="19" spans="1:4" ht="15.75" customHeight="1" x14ac:dyDescent="0.15">
      <c r="A19" s="5" t="s">
        <v>19</v>
      </c>
      <c r="B19" s="17" t="str">
        <f ca="1">IFERROR(__xludf.DUMMYFUNCTION("""COMPUTED_VALUE"""),"None")</f>
        <v>None</v>
      </c>
      <c r="C19" s="17" t="str">
        <f ca="1">IFERROR(__xludf.DUMMYFUNCTION("""COMPUTED_VALUE"""),"none")</f>
        <v>none</v>
      </c>
      <c r="D19" s="17" t="str">
        <f ca="1">IFERROR(__xludf.DUMMYFUNCTION("""COMPUTED_VALUE"""),"None")</f>
        <v>None</v>
      </c>
    </row>
    <row r="20" spans="1:4" ht="15.75" customHeight="1" x14ac:dyDescent="0.15">
      <c r="A20" s="5" t="s">
        <v>20</v>
      </c>
      <c r="B20" s="17" t="str">
        <f ca="1">IFERROR(__xludf.DUMMYFUNCTION("""COMPUTED_VALUE"""),"Hypothetical Protein")</f>
        <v>Hypothetical Protein</v>
      </c>
      <c r="C20" s="17" t="str">
        <f ca="1">IFERROR(__xludf.DUMMYFUNCTION("""COMPUTED_VALUE"""),"Similar gene function is unknown, has okay synteny, functional domain of with most probability is not part of the target alignment. Function is unknown, hypothetical protein")</f>
        <v>Similar gene function is unknown, has okay synteny, functional domain of with most probability is not part of the target alignment. Function is unknown, hypothetical protein</v>
      </c>
      <c r="D20" s="17" t="str">
        <f ca="1">IFERROR(__xludf.DUMMYFUNCTION("""COMPUTED_VALUE"""),"Hypothetical Protein. This is based on the NCBI unknown function, HHpred being a hypothetical match, synteny with kovu, and no conserved or transmemerable domains. ")</f>
        <v xml:space="preserve">Hypothetical Protein. This is based on the NCBI unknown function, HHpred being a hypothetical match, synteny with kovu, and no conserved or transmemerable domains. </v>
      </c>
    </row>
    <row r="21" spans="1:4" x14ac:dyDescent="0.2">
      <c r="A21" s="7"/>
      <c r="B21" s="19"/>
      <c r="C21" s="19"/>
      <c r="D21" s="19"/>
    </row>
    <row r="22" spans="1:4" ht="15.75" customHeight="1" x14ac:dyDescent="0.15">
      <c r="A22" s="9" t="s">
        <v>21</v>
      </c>
      <c r="B22" s="19"/>
      <c r="C22" s="19"/>
      <c r="D22" s="19"/>
    </row>
    <row r="23" spans="1:4" ht="15.75" customHeight="1" x14ac:dyDescent="0.15">
      <c r="A23" s="10"/>
      <c r="B23" s="13"/>
      <c r="C23" s="13"/>
      <c r="D23" s="13"/>
    </row>
    <row r="24" spans="1:4" ht="15.75" customHeight="1" x14ac:dyDescent="0.15">
      <c r="A24" s="10"/>
      <c r="B24" s="13"/>
      <c r="C24" s="13"/>
      <c r="D24" s="13"/>
    </row>
    <row r="25" spans="1:4" ht="15.75" customHeight="1" x14ac:dyDescent="0.15">
      <c r="A25" s="10"/>
      <c r="B25" s="13"/>
      <c r="C25" s="13"/>
      <c r="D25" s="13"/>
    </row>
    <row r="26" spans="1:4" ht="15.75" customHeight="1" x14ac:dyDescent="0.15">
      <c r="A26" s="10"/>
      <c r="B26" s="13"/>
      <c r="C26" s="13"/>
      <c r="D26" s="13"/>
    </row>
    <row r="27" spans="1:4" ht="15.75" customHeight="1" x14ac:dyDescent="0.15">
      <c r="A27" s="10"/>
      <c r="B27" s="13"/>
      <c r="C27" s="13"/>
      <c r="D27" s="13"/>
    </row>
    <row r="28" spans="1:4" ht="15.75" customHeight="1" x14ac:dyDescent="0.15">
      <c r="A28" s="10"/>
      <c r="B28" s="13"/>
      <c r="C28" s="13"/>
      <c r="D28" s="13"/>
    </row>
    <row r="29" spans="1:4" ht="15.75" customHeight="1" x14ac:dyDescent="0.15">
      <c r="A29" s="10"/>
      <c r="B29" s="13"/>
      <c r="C29" s="13"/>
      <c r="D29" s="13"/>
    </row>
    <row r="30" spans="1:4" ht="15.75" customHeight="1" x14ac:dyDescent="0.15">
      <c r="A30" s="10"/>
      <c r="B30" s="13"/>
      <c r="C30" s="13"/>
      <c r="D30" s="13"/>
    </row>
    <row r="31" spans="1:4" ht="15.75" customHeight="1" x14ac:dyDescent="0.15">
      <c r="A31" s="10"/>
      <c r="B31" s="13"/>
      <c r="C31" s="13"/>
      <c r="D31" s="13"/>
    </row>
    <row r="32" spans="1:4" ht="15.75" customHeight="1" x14ac:dyDescent="0.15">
      <c r="A32" s="10"/>
      <c r="B32" s="13"/>
      <c r="C32" s="13"/>
      <c r="D32" s="13"/>
    </row>
    <row r="33" spans="1:4" ht="15.75" customHeight="1" x14ac:dyDescent="0.15">
      <c r="A33" s="10"/>
      <c r="B33" s="13"/>
      <c r="C33" s="13"/>
      <c r="D33" s="13"/>
    </row>
    <row r="34" spans="1:4" ht="15.75" customHeight="1" x14ac:dyDescent="0.15">
      <c r="A34" s="10"/>
      <c r="B34" s="13"/>
      <c r="C34" s="13"/>
      <c r="D34" s="13"/>
    </row>
    <row r="35" spans="1:4" ht="15.75" customHeight="1" x14ac:dyDescent="0.15">
      <c r="A35" s="10"/>
      <c r="B35" s="13"/>
      <c r="C35" s="13"/>
      <c r="D35" s="13"/>
    </row>
    <row r="36" spans="1:4" ht="15.75" customHeight="1" x14ac:dyDescent="0.15">
      <c r="A36" s="10"/>
      <c r="B36" s="13"/>
      <c r="C36" s="13"/>
      <c r="D36" s="13"/>
    </row>
    <row r="37" spans="1:4" ht="15.75" customHeight="1" x14ac:dyDescent="0.15">
      <c r="A37" s="10"/>
      <c r="B37" s="13"/>
      <c r="C37" s="13"/>
      <c r="D37" s="13"/>
    </row>
    <row r="38" spans="1:4" ht="15.75" customHeight="1" x14ac:dyDescent="0.15">
      <c r="A38" s="10"/>
      <c r="B38" s="13"/>
      <c r="C38" s="13"/>
      <c r="D38" s="13"/>
    </row>
    <row r="39" spans="1:4" ht="13" x14ac:dyDescent="0.15">
      <c r="A39" s="10"/>
      <c r="B39" s="13"/>
      <c r="C39" s="13"/>
      <c r="D39" s="13"/>
    </row>
    <row r="40" spans="1:4" ht="13" x14ac:dyDescent="0.15">
      <c r="A40" s="10"/>
      <c r="B40" s="13"/>
      <c r="C40" s="13"/>
      <c r="D40" s="13"/>
    </row>
    <row r="41" spans="1:4" ht="13" x14ac:dyDescent="0.15">
      <c r="A41" s="10"/>
      <c r="B41" s="13"/>
      <c r="C41" s="13"/>
      <c r="D41" s="13"/>
    </row>
    <row r="42" spans="1:4" ht="13" x14ac:dyDescent="0.15">
      <c r="A42" s="10"/>
      <c r="B42" s="13"/>
      <c r="C42" s="13"/>
      <c r="D42" s="13"/>
    </row>
    <row r="43" spans="1:4" ht="13" x14ac:dyDescent="0.15">
      <c r="A43" s="10"/>
      <c r="B43" s="13"/>
      <c r="C43" s="13"/>
      <c r="D43" s="13"/>
    </row>
    <row r="44" spans="1:4" ht="13" x14ac:dyDescent="0.15">
      <c r="A44" s="10"/>
      <c r="B44" s="13"/>
      <c r="C44" s="13"/>
      <c r="D44" s="13"/>
    </row>
    <row r="45" spans="1:4" ht="13" x14ac:dyDescent="0.15">
      <c r="A45" s="10"/>
      <c r="B45" s="13"/>
      <c r="C45" s="13"/>
      <c r="D45" s="13"/>
    </row>
    <row r="46" spans="1:4" ht="13" x14ac:dyDescent="0.15">
      <c r="A46" s="10"/>
      <c r="B46" s="13"/>
      <c r="C46" s="13"/>
      <c r="D46" s="13"/>
    </row>
    <row r="47" spans="1:4" ht="13" x14ac:dyDescent="0.15">
      <c r="A47" s="10"/>
      <c r="B47" s="13"/>
      <c r="C47" s="13"/>
      <c r="D47" s="13"/>
    </row>
    <row r="48" spans="1:4" ht="13" x14ac:dyDescent="0.15">
      <c r="A48" s="10"/>
      <c r="B48" s="13"/>
      <c r="C48" s="13"/>
      <c r="D48" s="13"/>
    </row>
    <row r="49" spans="1:4" ht="13" x14ac:dyDescent="0.15">
      <c r="A49" s="10"/>
      <c r="B49" s="13"/>
      <c r="C49" s="13"/>
      <c r="D49" s="13"/>
    </row>
    <row r="50" spans="1:4" ht="13" x14ac:dyDescent="0.15">
      <c r="A50" s="10"/>
      <c r="B50" s="13"/>
      <c r="C50" s="13"/>
      <c r="D50" s="13"/>
    </row>
    <row r="51" spans="1:4" ht="13" x14ac:dyDescent="0.15">
      <c r="A51" s="10"/>
      <c r="B51" s="13"/>
      <c r="C51" s="13"/>
      <c r="D51" s="13"/>
    </row>
    <row r="52" spans="1:4" ht="13" x14ac:dyDescent="0.15">
      <c r="A52" s="10"/>
      <c r="B52" s="13"/>
      <c r="C52" s="13"/>
      <c r="D52" s="13"/>
    </row>
    <row r="53" spans="1:4" ht="13" x14ac:dyDescent="0.15">
      <c r="A53" s="10"/>
      <c r="B53" s="13"/>
      <c r="C53" s="13"/>
      <c r="D53" s="13"/>
    </row>
    <row r="54" spans="1:4" ht="13" x14ac:dyDescent="0.15">
      <c r="A54" s="10"/>
      <c r="B54" s="13"/>
      <c r="C54" s="13"/>
      <c r="D54" s="13"/>
    </row>
    <row r="55" spans="1:4" ht="13" x14ac:dyDescent="0.15">
      <c r="A55" s="10"/>
      <c r="B55" s="13"/>
      <c r="C55" s="13"/>
      <c r="D55" s="13"/>
    </row>
    <row r="56" spans="1:4" ht="13" x14ac:dyDescent="0.15">
      <c r="A56" s="10"/>
      <c r="B56" s="13"/>
      <c r="C56" s="13"/>
      <c r="D56" s="13"/>
    </row>
    <row r="57" spans="1:4" ht="13" x14ac:dyDescent="0.15">
      <c r="A57" s="10"/>
      <c r="B57" s="13"/>
      <c r="C57" s="13"/>
      <c r="D57" s="13"/>
    </row>
    <row r="58" spans="1:4" ht="13" x14ac:dyDescent="0.15">
      <c r="A58" s="10"/>
      <c r="B58" s="13"/>
      <c r="C58" s="13"/>
      <c r="D58" s="13"/>
    </row>
    <row r="59" spans="1:4" ht="13" x14ac:dyDescent="0.15">
      <c r="A59" s="10"/>
      <c r="B59" s="13"/>
      <c r="C59" s="13"/>
      <c r="D59" s="13"/>
    </row>
    <row r="60" spans="1:4" ht="13" x14ac:dyDescent="0.15">
      <c r="A60" s="10"/>
      <c r="B60" s="13"/>
      <c r="C60" s="13"/>
      <c r="D60" s="13"/>
    </row>
    <row r="61" spans="1:4" ht="13" x14ac:dyDescent="0.15">
      <c r="A61" s="10"/>
      <c r="B61" s="13"/>
      <c r="C61" s="13"/>
      <c r="D61" s="13"/>
    </row>
    <row r="62" spans="1:4" ht="13" x14ac:dyDescent="0.15">
      <c r="A62" s="10"/>
      <c r="B62" s="13"/>
      <c r="C62" s="13"/>
      <c r="D62" s="13"/>
    </row>
    <row r="63" spans="1:4" ht="13" x14ac:dyDescent="0.15">
      <c r="A63" s="10"/>
      <c r="B63" s="13"/>
      <c r="C63" s="13"/>
      <c r="D63" s="13"/>
    </row>
    <row r="64" spans="1:4" ht="13" x14ac:dyDescent="0.15">
      <c r="A64" s="10"/>
      <c r="B64" s="13"/>
      <c r="C64" s="13"/>
      <c r="D64" s="13"/>
    </row>
    <row r="65" spans="1:4" ht="13" x14ac:dyDescent="0.15">
      <c r="A65" s="10"/>
      <c r="B65" s="13"/>
      <c r="C65" s="13"/>
      <c r="D65" s="13"/>
    </row>
    <row r="66" spans="1:4" ht="13" x14ac:dyDescent="0.15">
      <c r="A66" s="10"/>
      <c r="B66" s="13"/>
      <c r="C66" s="13"/>
      <c r="D66" s="13"/>
    </row>
    <row r="67" spans="1:4" ht="13" x14ac:dyDescent="0.15">
      <c r="A67" s="10"/>
      <c r="B67" s="13"/>
      <c r="C67" s="13"/>
      <c r="D67" s="13"/>
    </row>
    <row r="68" spans="1:4" ht="13" x14ac:dyDescent="0.15">
      <c r="A68" s="10"/>
      <c r="B68" s="13"/>
      <c r="C68" s="13"/>
      <c r="D68" s="13"/>
    </row>
    <row r="69" spans="1:4" ht="13" x14ac:dyDescent="0.15">
      <c r="A69" s="10"/>
      <c r="B69" s="13"/>
      <c r="C69" s="13"/>
      <c r="D69" s="13"/>
    </row>
    <row r="70" spans="1:4" ht="13" x14ac:dyDescent="0.15">
      <c r="A70" s="10"/>
      <c r="B70" s="13"/>
      <c r="C70" s="13"/>
      <c r="D70" s="13"/>
    </row>
    <row r="71" spans="1:4" ht="13" x14ac:dyDescent="0.15">
      <c r="A71" s="10"/>
      <c r="B71" s="13"/>
      <c r="C71" s="13"/>
      <c r="D71" s="13"/>
    </row>
    <row r="72" spans="1:4" ht="13" x14ac:dyDescent="0.15">
      <c r="A72" s="10"/>
      <c r="B72" s="13"/>
      <c r="C72" s="13"/>
      <c r="D72" s="13"/>
    </row>
    <row r="73" spans="1:4" ht="13" x14ac:dyDescent="0.15">
      <c r="A73" s="10"/>
      <c r="B73" s="13"/>
      <c r="C73" s="13"/>
      <c r="D73" s="13"/>
    </row>
    <row r="74" spans="1:4" ht="13" x14ac:dyDescent="0.15">
      <c r="A74" s="10"/>
      <c r="B74" s="13"/>
      <c r="C74" s="13"/>
      <c r="D74" s="13"/>
    </row>
    <row r="75" spans="1:4" ht="13" x14ac:dyDescent="0.15">
      <c r="A75" s="10"/>
      <c r="B75" s="13"/>
      <c r="C75" s="13"/>
      <c r="D75" s="13"/>
    </row>
    <row r="76" spans="1:4" ht="13" x14ac:dyDescent="0.15">
      <c r="A76" s="10"/>
      <c r="B76" s="13"/>
      <c r="C76" s="13"/>
      <c r="D76" s="13"/>
    </row>
    <row r="77" spans="1:4" ht="13" x14ac:dyDescent="0.15">
      <c r="A77" s="10"/>
      <c r="B77" s="13"/>
      <c r="C77" s="13"/>
      <c r="D77" s="13"/>
    </row>
    <row r="78" spans="1:4" ht="13" x14ac:dyDescent="0.15">
      <c r="A78" s="10"/>
      <c r="B78" s="13"/>
      <c r="C78" s="13"/>
      <c r="D78" s="13"/>
    </row>
    <row r="79" spans="1:4" ht="13" x14ac:dyDescent="0.15">
      <c r="A79" s="10"/>
      <c r="B79" s="13"/>
      <c r="C79" s="13"/>
      <c r="D79" s="13"/>
    </row>
    <row r="80" spans="1:4" ht="13" x14ac:dyDescent="0.15">
      <c r="A80" s="10"/>
      <c r="B80" s="13"/>
      <c r="C80" s="13"/>
      <c r="D80" s="13"/>
    </row>
    <row r="81" spans="1:4" ht="13" x14ac:dyDescent="0.15">
      <c r="A81" s="10"/>
      <c r="B81" s="13"/>
      <c r="C81" s="13"/>
      <c r="D81" s="13"/>
    </row>
    <row r="82" spans="1:4" ht="13" x14ac:dyDescent="0.15">
      <c r="A82" s="10"/>
      <c r="B82" s="13"/>
      <c r="C82" s="13"/>
      <c r="D82" s="13"/>
    </row>
    <row r="83" spans="1:4" ht="13" x14ac:dyDescent="0.15">
      <c r="A83" s="10"/>
      <c r="B83" s="13"/>
      <c r="C83" s="13"/>
      <c r="D83" s="13"/>
    </row>
    <row r="84" spans="1:4" ht="13" x14ac:dyDescent="0.15">
      <c r="A84" s="10"/>
      <c r="B84" s="13"/>
      <c r="C84" s="13"/>
      <c r="D84" s="13"/>
    </row>
    <row r="85" spans="1:4" ht="13" x14ac:dyDescent="0.15">
      <c r="A85" s="10"/>
      <c r="B85" s="13"/>
      <c r="C85" s="13"/>
      <c r="D85" s="13"/>
    </row>
    <row r="86" spans="1:4" ht="13" x14ac:dyDescent="0.15">
      <c r="A86" s="10"/>
      <c r="B86" s="13"/>
      <c r="C86" s="13"/>
      <c r="D86" s="13"/>
    </row>
    <row r="87" spans="1:4" ht="13" x14ac:dyDescent="0.15">
      <c r="A87" s="10"/>
      <c r="B87" s="13"/>
      <c r="C87" s="13"/>
      <c r="D87" s="13"/>
    </row>
    <row r="88" spans="1:4" ht="13" x14ac:dyDescent="0.15">
      <c r="A88" s="10"/>
      <c r="B88" s="13"/>
      <c r="C88" s="13"/>
      <c r="D88" s="13"/>
    </row>
    <row r="89" spans="1:4" ht="13" x14ac:dyDescent="0.15">
      <c r="A89" s="10"/>
      <c r="B89" s="13"/>
      <c r="C89" s="13"/>
      <c r="D89" s="13"/>
    </row>
    <row r="90" spans="1:4" ht="13" x14ac:dyDescent="0.15">
      <c r="A90" s="10"/>
      <c r="B90" s="13"/>
      <c r="C90" s="13"/>
      <c r="D90" s="13"/>
    </row>
    <row r="91" spans="1:4" ht="13" x14ac:dyDescent="0.15">
      <c r="A91" s="10"/>
      <c r="B91" s="13"/>
      <c r="C91" s="13"/>
      <c r="D91" s="13"/>
    </row>
    <row r="92" spans="1:4" ht="13" x14ac:dyDescent="0.15">
      <c r="A92" s="10"/>
      <c r="B92" s="13"/>
      <c r="C92" s="13"/>
      <c r="D92" s="13"/>
    </row>
    <row r="93" spans="1:4" ht="13" x14ac:dyDescent="0.15">
      <c r="A93" s="10"/>
      <c r="B93" s="13"/>
      <c r="C93" s="13"/>
      <c r="D93" s="13"/>
    </row>
    <row r="94" spans="1:4" ht="13" x14ac:dyDescent="0.15">
      <c r="A94" s="10"/>
      <c r="B94" s="13"/>
      <c r="C94" s="13"/>
      <c r="D94" s="13"/>
    </row>
    <row r="95" spans="1:4" ht="13" x14ac:dyDescent="0.15">
      <c r="A95" s="10"/>
      <c r="B95" s="13"/>
      <c r="C95" s="13"/>
      <c r="D95" s="13"/>
    </row>
    <row r="96" spans="1:4" ht="13" x14ac:dyDescent="0.15">
      <c r="A96" s="10"/>
      <c r="B96" s="13"/>
      <c r="C96" s="13"/>
      <c r="D96" s="13"/>
    </row>
    <row r="97" spans="1:4" ht="13" x14ac:dyDescent="0.15">
      <c r="A97" s="10"/>
      <c r="B97" s="13"/>
      <c r="C97" s="13"/>
      <c r="D97" s="13"/>
    </row>
    <row r="98" spans="1:4" ht="13" x14ac:dyDescent="0.15">
      <c r="A98" s="10"/>
      <c r="B98" s="13"/>
      <c r="C98" s="13"/>
      <c r="D98" s="13"/>
    </row>
    <row r="99" spans="1:4" ht="13" x14ac:dyDescent="0.15">
      <c r="A99" s="10"/>
      <c r="B99" s="13"/>
      <c r="C99" s="13"/>
      <c r="D99" s="13"/>
    </row>
    <row r="100" spans="1:4" ht="13" x14ac:dyDescent="0.15">
      <c r="A100" s="10"/>
      <c r="B100" s="13"/>
      <c r="C100" s="13"/>
      <c r="D100" s="13"/>
    </row>
    <row r="101" spans="1:4" ht="13" x14ac:dyDescent="0.15">
      <c r="A101" s="10"/>
      <c r="B101" s="13"/>
      <c r="C101" s="13"/>
      <c r="D101" s="13"/>
    </row>
    <row r="102" spans="1:4" ht="13" x14ac:dyDescent="0.15">
      <c r="A102" s="10"/>
      <c r="B102" s="13"/>
      <c r="C102" s="13"/>
      <c r="D102" s="13"/>
    </row>
    <row r="103" spans="1:4" ht="13" x14ac:dyDescent="0.15">
      <c r="A103" s="10"/>
      <c r="B103" s="13"/>
      <c r="C103" s="13"/>
      <c r="D103" s="13"/>
    </row>
    <row r="104" spans="1:4" ht="13" x14ac:dyDescent="0.15">
      <c r="A104" s="10"/>
      <c r="B104" s="13"/>
      <c r="C104" s="13"/>
      <c r="D104" s="13"/>
    </row>
    <row r="105" spans="1:4" ht="13" x14ac:dyDescent="0.15">
      <c r="A105" s="10"/>
      <c r="B105" s="13"/>
      <c r="C105" s="13"/>
      <c r="D105" s="13"/>
    </row>
    <row r="106" spans="1:4" ht="13" x14ac:dyDescent="0.15">
      <c r="A106" s="10"/>
      <c r="B106" s="13"/>
      <c r="C106" s="13"/>
      <c r="D106" s="13"/>
    </row>
    <row r="107" spans="1:4" ht="13" x14ac:dyDescent="0.15">
      <c r="A107" s="10"/>
      <c r="B107" s="13"/>
      <c r="C107" s="13"/>
      <c r="D107" s="13"/>
    </row>
    <row r="108" spans="1:4" ht="13" x14ac:dyDescent="0.15">
      <c r="A108" s="10"/>
      <c r="B108" s="13"/>
      <c r="C108" s="13"/>
      <c r="D108" s="13"/>
    </row>
    <row r="109" spans="1:4" ht="13" x14ac:dyDescent="0.15">
      <c r="A109" s="10"/>
      <c r="B109" s="13"/>
      <c r="C109" s="13"/>
      <c r="D109" s="13"/>
    </row>
    <row r="110" spans="1:4" ht="13" x14ac:dyDescent="0.15">
      <c r="A110" s="10"/>
      <c r="B110" s="13"/>
      <c r="C110" s="13"/>
      <c r="D110" s="13"/>
    </row>
    <row r="111" spans="1:4" ht="13" x14ac:dyDescent="0.15">
      <c r="A111" s="10"/>
      <c r="B111" s="13"/>
      <c r="C111" s="13"/>
      <c r="D111" s="13"/>
    </row>
    <row r="112" spans="1:4" ht="13" x14ac:dyDescent="0.15">
      <c r="A112" s="10"/>
      <c r="B112" s="13"/>
      <c r="C112" s="13"/>
      <c r="D112" s="13"/>
    </row>
    <row r="113" spans="1:4" ht="13" x14ac:dyDescent="0.15">
      <c r="A113" s="10"/>
      <c r="B113" s="13"/>
      <c r="C113" s="13"/>
      <c r="D113" s="13"/>
    </row>
    <row r="114" spans="1:4" ht="13" x14ac:dyDescent="0.15">
      <c r="A114" s="10"/>
      <c r="B114" s="13"/>
      <c r="C114" s="13"/>
      <c r="D114" s="13"/>
    </row>
    <row r="115" spans="1:4" ht="13" x14ac:dyDescent="0.15">
      <c r="A115" s="10"/>
      <c r="B115" s="13"/>
      <c r="C115" s="13"/>
      <c r="D115" s="13"/>
    </row>
    <row r="116" spans="1:4" ht="13" x14ac:dyDescent="0.15">
      <c r="A116" s="10"/>
      <c r="B116" s="13"/>
      <c r="C116" s="13"/>
      <c r="D116" s="13"/>
    </row>
    <row r="117" spans="1:4" ht="13" x14ac:dyDescent="0.15">
      <c r="A117" s="10"/>
      <c r="B117" s="13"/>
      <c r="C117" s="13"/>
      <c r="D117" s="13"/>
    </row>
    <row r="118" spans="1:4" ht="13" x14ac:dyDescent="0.15">
      <c r="A118" s="10"/>
      <c r="B118" s="13"/>
      <c r="C118" s="13"/>
      <c r="D118" s="13"/>
    </row>
    <row r="119" spans="1:4" ht="13" x14ac:dyDescent="0.15">
      <c r="A119" s="10"/>
      <c r="B119" s="13"/>
      <c r="C119" s="13"/>
      <c r="D119" s="13"/>
    </row>
    <row r="120" spans="1:4" ht="13" x14ac:dyDescent="0.15">
      <c r="A120" s="10"/>
      <c r="B120" s="13"/>
      <c r="C120" s="13"/>
      <c r="D120" s="13"/>
    </row>
    <row r="121" spans="1:4" ht="13" x14ac:dyDescent="0.15">
      <c r="A121" s="10"/>
      <c r="B121" s="13"/>
      <c r="C121" s="13"/>
      <c r="D121" s="13"/>
    </row>
    <row r="122" spans="1:4" ht="13" x14ac:dyDescent="0.15">
      <c r="A122" s="10"/>
      <c r="B122" s="13"/>
      <c r="C122" s="13"/>
      <c r="D122" s="13"/>
    </row>
    <row r="123" spans="1:4" ht="13" x14ac:dyDescent="0.15">
      <c r="A123" s="10"/>
      <c r="B123" s="13"/>
      <c r="C123" s="13"/>
      <c r="D123" s="13"/>
    </row>
    <row r="124" spans="1:4" ht="13" x14ac:dyDescent="0.15">
      <c r="A124" s="10"/>
      <c r="B124" s="13"/>
      <c r="C124" s="13"/>
      <c r="D124" s="13"/>
    </row>
    <row r="125" spans="1:4" ht="13" x14ac:dyDescent="0.15">
      <c r="A125" s="10"/>
      <c r="B125" s="13"/>
      <c r="C125" s="13"/>
      <c r="D125" s="13"/>
    </row>
    <row r="126" spans="1:4" ht="13" x14ac:dyDescent="0.15">
      <c r="A126" s="10"/>
      <c r="B126" s="13"/>
      <c r="C126" s="13"/>
      <c r="D126" s="13"/>
    </row>
    <row r="127" spans="1:4" ht="13" x14ac:dyDescent="0.15">
      <c r="A127" s="10"/>
      <c r="B127" s="13"/>
      <c r="C127" s="13"/>
      <c r="D127" s="13"/>
    </row>
    <row r="128" spans="1:4" ht="13" x14ac:dyDescent="0.15">
      <c r="A128" s="10"/>
      <c r="B128" s="13"/>
      <c r="C128" s="13"/>
      <c r="D128" s="13"/>
    </row>
    <row r="129" spans="1:4" ht="13" x14ac:dyDescent="0.15">
      <c r="A129" s="10"/>
      <c r="B129" s="13"/>
      <c r="C129" s="13"/>
      <c r="D129" s="13"/>
    </row>
    <row r="130" spans="1:4" ht="13" x14ac:dyDescent="0.15">
      <c r="A130" s="10"/>
      <c r="B130" s="13"/>
      <c r="C130" s="13"/>
      <c r="D130" s="13"/>
    </row>
    <row r="131" spans="1:4" ht="13" x14ac:dyDescent="0.15">
      <c r="A131" s="10"/>
      <c r="B131" s="13"/>
      <c r="C131" s="13"/>
      <c r="D131" s="13"/>
    </row>
    <row r="132" spans="1:4" ht="13" x14ac:dyDescent="0.15">
      <c r="A132" s="10"/>
      <c r="B132" s="13"/>
      <c r="C132" s="13"/>
      <c r="D132" s="13"/>
    </row>
    <row r="133" spans="1:4" ht="13" x14ac:dyDescent="0.15">
      <c r="A133" s="10"/>
      <c r="B133" s="13"/>
      <c r="C133" s="13"/>
      <c r="D133" s="13"/>
    </row>
    <row r="134" spans="1:4" ht="13" x14ac:dyDescent="0.15">
      <c r="A134" s="10"/>
      <c r="B134" s="13"/>
      <c r="C134" s="13"/>
      <c r="D134" s="13"/>
    </row>
    <row r="135" spans="1:4" ht="13" x14ac:dyDescent="0.15">
      <c r="A135" s="10"/>
      <c r="B135" s="13"/>
      <c r="C135" s="13"/>
      <c r="D135" s="13"/>
    </row>
    <row r="136" spans="1:4" ht="13" x14ac:dyDescent="0.15">
      <c r="A136" s="10"/>
      <c r="B136" s="13"/>
      <c r="C136" s="13"/>
      <c r="D136" s="13"/>
    </row>
    <row r="137" spans="1:4" ht="13" x14ac:dyDescent="0.15">
      <c r="A137" s="10"/>
      <c r="B137" s="13"/>
      <c r="C137" s="13"/>
      <c r="D137" s="13"/>
    </row>
    <row r="138" spans="1:4" ht="13" x14ac:dyDescent="0.15">
      <c r="A138" s="10"/>
      <c r="B138" s="13"/>
      <c r="C138" s="13"/>
      <c r="D138" s="13"/>
    </row>
    <row r="139" spans="1:4" ht="13" x14ac:dyDescent="0.15">
      <c r="A139" s="10"/>
      <c r="B139" s="13"/>
      <c r="C139" s="13"/>
      <c r="D139" s="13"/>
    </row>
    <row r="140" spans="1:4" ht="13" x14ac:dyDescent="0.15">
      <c r="A140" s="10"/>
      <c r="B140" s="13"/>
      <c r="C140" s="13"/>
      <c r="D140" s="13"/>
    </row>
    <row r="141" spans="1:4" ht="13" x14ac:dyDescent="0.15">
      <c r="A141" s="10"/>
      <c r="B141" s="13"/>
      <c r="C141" s="13"/>
      <c r="D141" s="13"/>
    </row>
    <row r="142" spans="1:4" ht="13" x14ac:dyDescent="0.15">
      <c r="A142" s="10"/>
      <c r="B142" s="13"/>
      <c r="C142" s="13"/>
      <c r="D142" s="13"/>
    </row>
    <row r="143" spans="1:4" ht="13" x14ac:dyDescent="0.15">
      <c r="A143" s="10"/>
      <c r="B143" s="13"/>
      <c r="C143" s="13"/>
      <c r="D143" s="13"/>
    </row>
    <row r="144" spans="1:4" ht="13" x14ac:dyDescent="0.15">
      <c r="A144" s="10"/>
      <c r="B144" s="13"/>
      <c r="C144" s="13"/>
      <c r="D144" s="13"/>
    </row>
    <row r="145" spans="1:4" ht="13" x14ac:dyDescent="0.15">
      <c r="A145" s="10"/>
      <c r="B145" s="13"/>
      <c r="C145" s="13"/>
      <c r="D145" s="13"/>
    </row>
    <row r="146" spans="1:4" ht="13" x14ac:dyDescent="0.15">
      <c r="A146" s="10"/>
      <c r="B146" s="13"/>
      <c r="C146" s="13"/>
      <c r="D146" s="13"/>
    </row>
    <row r="147" spans="1:4" ht="13" x14ac:dyDescent="0.15">
      <c r="A147" s="10"/>
      <c r="B147" s="13"/>
      <c r="C147" s="13"/>
      <c r="D147" s="13"/>
    </row>
    <row r="148" spans="1:4" ht="13" x14ac:dyDescent="0.15">
      <c r="A148" s="10"/>
      <c r="B148" s="13"/>
      <c r="C148" s="13"/>
      <c r="D148" s="13"/>
    </row>
    <row r="149" spans="1:4" ht="13" x14ac:dyDescent="0.15">
      <c r="A149" s="10"/>
      <c r="B149" s="13"/>
      <c r="C149" s="13"/>
      <c r="D149" s="13"/>
    </row>
    <row r="150" spans="1:4" ht="13" x14ac:dyDescent="0.15">
      <c r="A150" s="10"/>
      <c r="B150" s="13"/>
      <c r="C150" s="13"/>
      <c r="D150" s="13"/>
    </row>
    <row r="151" spans="1:4" ht="13" x14ac:dyDescent="0.15">
      <c r="A151" s="10"/>
      <c r="B151" s="13"/>
      <c r="C151" s="13"/>
      <c r="D151" s="13"/>
    </row>
    <row r="152" spans="1:4" ht="13" x14ac:dyDescent="0.15">
      <c r="A152" s="10"/>
      <c r="B152" s="13"/>
      <c r="C152" s="13"/>
      <c r="D152" s="13"/>
    </row>
    <row r="153" spans="1:4" ht="13" x14ac:dyDescent="0.15">
      <c r="A153" s="10"/>
      <c r="B153" s="13"/>
      <c r="C153" s="13"/>
      <c r="D153" s="13"/>
    </row>
    <row r="154" spans="1:4" ht="13" x14ac:dyDescent="0.15">
      <c r="A154" s="10"/>
      <c r="B154" s="13"/>
      <c r="C154" s="13"/>
      <c r="D154" s="13"/>
    </row>
    <row r="155" spans="1:4" ht="13" x14ac:dyDescent="0.15">
      <c r="A155" s="10"/>
      <c r="B155" s="13"/>
      <c r="C155" s="13"/>
      <c r="D155" s="13"/>
    </row>
    <row r="156" spans="1:4" ht="13" x14ac:dyDescent="0.15">
      <c r="A156" s="10"/>
      <c r="B156" s="13"/>
      <c r="C156" s="13"/>
      <c r="D156" s="13"/>
    </row>
    <row r="157" spans="1:4" ht="13" x14ac:dyDescent="0.15">
      <c r="A157" s="10"/>
      <c r="B157" s="13"/>
      <c r="C157" s="13"/>
      <c r="D157" s="13"/>
    </row>
    <row r="158" spans="1:4" ht="13" x14ac:dyDescent="0.15">
      <c r="A158" s="10"/>
      <c r="B158" s="13"/>
      <c r="C158" s="13"/>
      <c r="D158" s="13"/>
    </row>
    <row r="159" spans="1:4" ht="13" x14ac:dyDescent="0.15">
      <c r="A159" s="10"/>
      <c r="B159" s="13"/>
      <c r="C159" s="13"/>
      <c r="D159" s="13"/>
    </row>
    <row r="160" spans="1:4" ht="13" x14ac:dyDescent="0.15">
      <c r="A160" s="10"/>
      <c r="B160" s="13"/>
      <c r="C160" s="13"/>
      <c r="D160" s="13"/>
    </row>
    <row r="161" spans="1:4" ht="13" x14ac:dyDescent="0.15">
      <c r="A161" s="10"/>
      <c r="B161" s="13"/>
      <c r="C161" s="13"/>
      <c r="D161" s="13"/>
    </row>
    <row r="162" spans="1:4" ht="13" x14ac:dyDescent="0.15">
      <c r="A162" s="10"/>
      <c r="B162" s="13"/>
      <c r="C162" s="13"/>
      <c r="D162" s="13"/>
    </row>
    <row r="163" spans="1:4" ht="13" x14ac:dyDescent="0.15">
      <c r="A163" s="10"/>
      <c r="B163" s="13"/>
      <c r="C163" s="13"/>
      <c r="D163" s="13"/>
    </row>
    <row r="164" spans="1:4" ht="13" x14ac:dyDescent="0.15">
      <c r="A164" s="10"/>
      <c r="B164" s="13"/>
      <c r="C164" s="13"/>
      <c r="D164" s="13"/>
    </row>
    <row r="165" spans="1:4" ht="13" x14ac:dyDescent="0.15">
      <c r="A165" s="10"/>
      <c r="B165" s="13"/>
      <c r="C165" s="13"/>
      <c r="D165" s="13"/>
    </row>
    <row r="166" spans="1:4" ht="13" x14ac:dyDescent="0.15">
      <c r="A166" s="10"/>
      <c r="B166" s="13"/>
      <c r="C166" s="13"/>
      <c r="D166" s="13"/>
    </row>
    <row r="167" spans="1:4" ht="13" x14ac:dyDescent="0.15">
      <c r="A167" s="10"/>
      <c r="B167" s="13"/>
      <c r="C167" s="13"/>
      <c r="D167" s="13"/>
    </row>
    <row r="168" spans="1:4" ht="13" x14ac:dyDescent="0.15">
      <c r="A168" s="10"/>
      <c r="B168" s="13"/>
      <c r="C168" s="13"/>
      <c r="D168" s="13"/>
    </row>
    <row r="169" spans="1:4" ht="13" x14ac:dyDescent="0.15">
      <c r="A169" s="10"/>
      <c r="B169" s="13"/>
      <c r="C169" s="13"/>
      <c r="D169" s="13"/>
    </row>
    <row r="170" spans="1:4" ht="13" x14ac:dyDescent="0.15">
      <c r="A170" s="10"/>
      <c r="B170" s="13"/>
      <c r="C170" s="13"/>
      <c r="D170" s="13"/>
    </row>
    <row r="171" spans="1:4" ht="13" x14ac:dyDescent="0.15">
      <c r="A171" s="10"/>
      <c r="B171" s="13"/>
      <c r="C171" s="13"/>
      <c r="D171" s="13"/>
    </row>
    <row r="172" spans="1:4" ht="13" x14ac:dyDescent="0.15">
      <c r="A172" s="10"/>
      <c r="B172" s="13"/>
      <c r="C172" s="13"/>
      <c r="D172" s="13"/>
    </row>
    <row r="173" spans="1:4" ht="13" x14ac:dyDescent="0.15">
      <c r="A173" s="10"/>
      <c r="B173" s="13"/>
      <c r="C173" s="13"/>
      <c r="D173" s="13"/>
    </row>
    <row r="174" spans="1:4" ht="13" x14ac:dyDescent="0.15">
      <c r="A174" s="10"/>
      <c r="B174" s="13"/>
      <c r="C174" s="13"/>
      <c r="D174" s="13"/>
    </row>
    <row r="175" spans="1:4" ht="13" x14ac:dyDescent="0.15">
      <c r="A175" s="10"/>
      <c r="B175" s="13"/>
      <c r="C175" s="13"/>
      <c r="D175" s="13"/>
    </row>
    <row r="176" spans="1:4" ht="13" x14ac:dyDescent="0.15">
      <c r="A176" s="10"/>
      <c r="B176" s="13"/>
      <c r="C176" s="13"/>
      <c r="D176" s="13"/>
    </row>
    <row r="177" spans="1:4" ht="13" x14ac:dyDescent="0.15">
      <c r="A177" s="10"/>
      <c r="B177" s="13"/>
      <c r="C177" s="13"/>
      <c r="D177" s="13"/>
    </row>
    <row r="178" spans="1:4" ht="13" x14ac:dyDescent="0.15">
      <c r="A178" s="10"/>
      <c r="B178" s="13"/>
      <c r="C178" s="13"/>
      <c r="D178" s="13"/>
    </row>
    <row r="179" spans="1:4" ht="13" x14ac:dyDescent="0.15">
      <c r="A179" s="10"/>
      <c r="B179" s="13"/>
      <c r="C179" s="13"/>
      <c r="D179" s="13"/>
    </row>
    <row r="180" spans="1:4" ht="13" x14ac:dyDescent="0.15">
      <c r="A180" s="10"/>
      <c r="B180" s="13"/>
      <c r="C180" s="13"/>
      <c r="D180" s="13"/>
    </row>
    <row r="181" spans="1:4" ht="13" x14ac:dyDescent="0.15">
      <c r="A181" s="10"/>
      <c r="B181" s="13"/>
      <c r="C181" s="13"/>
      <c r="D181" s="13"/>
    </row>
    <row r="182" spans="1:4" ht="13" x14ac:dyDescent="0.15">
      <c r="A182" s="10"/>
      <c r="B182" s="13"/>
      <c r="C182" s="13"/>
      <c r="D182" s="13"/>
    </row>
    <row r="183" spans="1:4" ht="13" x14ac:dyDescent="0.15">
      <c r="A183" s="10"/>
      <c r="B183" s="13"/>
      <c r="C183" s="13"/>
      <c r="D183" s="13"/>
    </row>
    <row r="184" spans="1:4" ht="13" x14ac:dyDescent="0.15">
      <c r="A184" s="10"/>
      <c r="B184" s="13"/>
      <c r="C184" s="13"/>
      <c r="D184" s="13"/>
    </row>
    <row r="185" spans="1:4" ht="13" x14ac:dyDescent="0.15">
      <c r="A185" s="10"/>
      <c r="B185" s="13"/>
      <c r="C185" s="13"/>
      <c r="D185" s="13"/>
    </row>
    <row r="186" spans="1:4" ht="13" x14ac:dyDescent="0.15">
      <c r="A186" s="10"/>
      <c r="B186" s="13"/>
      <c r="C186" s="13"/>
      <c r="D186" s="13"/>
    </row>
    <row r="187" spans="1:4" ht="13" x14ac:dyDescent="0.15">
      <c r="A187" s="10"/>
      <c r="B187" s="13"/>
      <c r="C187" s="13"/>
      <c r="D187" s="13"/>
    </row>
    <row r="188" spans="1:4" ht="13" x14ac:dyDescent="0.15">
      <c r="A188" s="10"/>
      <c r="B188" s="13"/>
      <c r="C188" s="13"/>
      <c r="D188" s="13"/>
    </row>
    <row r="189" spans="1:4" ht="13" x14ac:dyDescent="0.15">
      <c r="A189" s="10"/>
      <c r="B189" s="13"/>
      <c r="C189" s="13"/>
      <c r="D189" s="13"/>
    </row>
    <row r="190" spans="1:4" ht="13" x14ac:dyDescent="0.15">
      <c r="A190" s="10"/>
      <c r="B190" s="13"/>
      <c r="C190" s="13"/>
      <c r="D190" s="13"/>
    </row>
    <row r="191" spans="1:4" ht="13" x14ac:dyDescent="0.15">
      <c r="A191" s="10"/>
      <c r="B191" s="13"/>
      <c r="C191" s="13"/>
      <c r="D191" s="13"/>
    </row>
    <row r="192" spans="1:4" ht="13" x14ac:dyDescent="0.15">
      <c r="A192" s="10"/>
      <c r="B192" s="13"/>
      <c r="C192" s="13"/>
      <c r="D192" s="13"/>
    </row>
    <row r="193" spans="1:4" ht="13" x14ac:dyDescent="0.15">
      <c r="A193" s="10"/>
      <c r="B193" s="13"/>
      <c r="C193" s="13"/>
      <c r="D193" s="13"/>
    </row>
    <row r="194" spans="1:4" ht="13" x14ac:dyDescent="0.15">
      <c r="A194" s="10"/>
      <c r="B194" s="13"/>
      <c r="C194" s="13"/>
      <c r="D194" s="13"/>
    </row>
    <row r="195" spans="1:4" ht="13" x14ac:dyDescent="0.15">
      <c r="A195" s="10"/>
      <c r="B195" s="13"/>
      <c r="C195" s="13"/>
      <c r="D195" s="13"/>
    </row>
    <row r="196" spans="1:4" ht="13" x14ac:dyDescent="0.15">
      <c r="A196" s="10"/>
      <c r="B196" s="13"/>
      <c r="C196" s="13"/>
      <c r="D196" s="13"/>
    </row>
    <row r="197" spans="1:4" ht="13" x14ac:dyDescent="0.15">
      <c r="A197" s="10"/>
      <c r="B197" s="13"/>
      <c r="C197" s="13"/>
      <c r="D197" s="13"/>
    </row>
    <row r="198" spans="1:4" ht="13" x14ac:dyDescent="0.15">
      <c r="A198" s="10"/>
      <c r="B198" s="13"/>
      <c r="C198" s="13"/>
      <c r="D198" s="13"/>
    </row>
    <row r="199" spans="1:4" ht="13" x14ac:dyDescent="0.15">
      <c r="A199" s="10"/>
      <c r="B199" s="13"/>
      <c r="C199" s="13"/>
      <c r="D199" s="13"/>
    </row>
    <row r="200" spans="1:4" ht="13" x14ac:dyDescent="0.15">
      <c r="A200" s="10"/>
      <c r="B200" s="13"/>
      <c r="C200" s="13"/>
      <c r="D200" s="13"/>
    </row>
    <row r="201" spans="1:4" ht="13" x14ac:dyDescent="0.15">
      <c r="A201" s="10"/>
      <c r="B201" s="13"/>
      <c r="C201" s="13"/>
      <c r="D201" s="13"/>
    </row>
    <row r="202" spans="1:4" ht="13" x14ac:dyDescent="0.15">
      <c r="A202" s="10"/>
      <c r="B202" s="13"/>
      <c r="C202" s="13"/>
      <c r="D202" s="13"/>
    </row>
    <row r="203" spans="1:4" ht="13" x14ac:dyDescent="0.15">
      <c r="A203" s="10"/>
      <c r="B203" s="13"/>
      <c r="C203" s="13"/>
      <c r="D203" s="13"/>
    </row>
    <row r="204" spans="1:4" ht="13" x14ac:dyDescent="0.15">
      <c r="A204" s="10"/>
      <c r="B204" s="13"/>
      <c r="C204" s="13"/>
      <c r="D204" s="13"/>
    </row>
    <row r="205" spans="1:4" ht="13" x14ac:dyDescent="0.15">
      <c r="A205" s="10"/>
      <c r="B205" s="13"/>
      <c r="C205" s="13"/>
      <c r="D205" s="13"/>
    </row>
    <row r="206" spans="1:4" ht="13" x14ac:dyDescent="0.15">
      <c r="A206" s="10"/>
      <c r="B206" s="13"/>
      <c r="C206" s="13"/>
      <c r="D206" s="13"/>
    </row>
    <row r="207" spans="1:4" ht="13" x14ac:dyDescent="0.15">
      <c r="A207" s="10"/>
      <c r="B207" s="13"/>
      <c r="C207" s="13"/>
      <c r="D207" s="13"/>
    </row>
    <row r="208" spans="1:4" ht="13" x14ac:dyDescent="0.15">
      <c r="A208" s="10"/>
      <c r="B208" s="13"/>
      <c r="C208" s="13"/>
      <c r="D208" s="13"/>
    </row>
    <row r="209" spans="1:4" ht="13" x14ac:dyDescent="0.15">
      <c r="A209" s="10"/>
      <c r="B209" s="13"/>
      <c r="C209" s="13"/>
      <c r="D209" s="13"/>
    </row>
    <row r="210" spans="1:4" ht="13" x14ac:dyDescent="0.15">
      <c r="A210" s="10"/>
      <c r="B210" s="13"/>
      <c r="C210" s="13"/>
      <c r="D210" s="13"/>
    </row>
    <row r="211" spans="1:4" ht="13" x14ac:dyDescent="0.15">
      <c r="A211" s="10"/>
      <c r="B211" s="13"/>
      <c r="C211" s="13"/>
      <c r="D211" s="13"/>
    </row>
    <row r="212" spans="1:4" ht="13" x14ac:dyDescent="0.15">
      <c r="A212" s="10"/>
      <c r="B212" s="13"/>
      <c r="C212" s="13"/>
      <c r="D212" s="13"/>
    </row>
    <row r="213" spans="1:4" ht="13" x14ac:dyDescent="0.15">
      <c r="A213" s="10"/>
      <c r="B213" s="13"/>
      <c r="C213" s="13"/>
      <c r="D213" s="13"/>
    </row>
    <row r="214" spans="1:4" ht="13" x14ac:dyDescent="0.15">
      <c r="A214" s="10"/>
      <c r="B214" s="13"/>
      <c r="C214" s="13"/>
      <c r="D214" s="13"/>
    </row>
    <row r="215" spans="1:4" ht="13" x14ac:dyDescent="0.15">
      <c r="A215" s="10"/>
      <c r="B215" s="13"/>
      <c r="C215" s="13"/>
      <c r="D215" s="13"/>
    </row>
    <row r="216" spans="1:4" ht="13" x14ac:dyDescent="0.15">
      <c r="A216" s="10"/>
      <c r="B216" s="13"/>
      <c r="C216" s="13"/>
      <c r="D216" s="13"/>
    </row>
    <row r="217" spans="1:4" ht="13" x14ac:dyDescent="0.15">
      <c r="A217" s="10"/>
      <c r="B217" s="13"/>
      <c r="C217" s="13"/>
      <c r="D217" s="13"/>
    </row>
    <row r="218" spans="1:4" ht="13" x14ac:dyDescent="0.15">
      <c r="A218" s="10"/>
      <c r="B218" s="13"/>
      <c r="C218" s="13"/>
      <c r="D218" s="13"/>
    </row>
    <row r="219" spans="1:4" ht="13" x14ac:dyDescent="0.15">
      <c r="A219" s="10"/>
      <c r="B219" s="13"/>
      <c r="C219" s="13"/>
      <c r="D219" s="13"/>
    </row>
    <row r="220" spans="1:4" ht="13" x14ac:dyDescent="0.15">
      <c r="A220" s="10"/>
      <c r="B220" s="13"/>
      <c r="C220" s="13"/>
      <c r="D220" s="13"/>
    </row>
    <row r="221" spans="1:4" ht="13" x14ac:dyDescent="0.15">
      <c r="A221" s="10"/>
      <c r="B221" s="13"/>
      <c r="C221" s="13"/>
      <c r="D221" s="13"/>
    </row>
    <row r="222" spans="1:4" ht="13" x14ac:dyDescent="0.15">
      <c r="A222" s="10"/>
      <c r="B222" s="13"/>
      <c r="C222" s="13"/>
      <c r="D222" s="13"/>
    </row>
    <row r="223" spans="1:4" ht="13" x14ac:dyDescent="0.15">
      <c r="A223" s="10"/>
      <c r="B223" s="13"/>
      <c r="C223" s="13"/>
      <c r="D223" s="13"/>
    </row>
    <row r="224" spans="1:4" ht="13" x14ac:dyDescent="0.15">
      <c r="A224" s="10"/>
      <c r="B224" s="13"/>
      <c r="C224" s="13"/>
      <c r="D224" s="13"/>
    </row>
    <row r="225" spans="1:4" ht="13" x14ac:dyDescent="0.15">
      <c r="A225" s="10"/>
      <c r="B225" s="13"/>
      <c r="C225" s="13"/>
      <c r="D225" s="13"/>
    </row>
    <row r="226" spans="1:4" ht="13" x14ac:dyDescent="0.15">
      <c r="A226" s="10"/>
      <c r="B226" s="13"/>
      <c r="C226" s="13"/>
      <c r="D226" s="13"/>
    </row>
    <row r="227" spans="1:4" ht="13" x14ac:dyDescent="0.15">
      <c r="A227" s="10"/>
      <c r="B227" s="13"/>
      <c r="C227" s="13"/>
      <c r="D227" s="13"/>
    </row>
    <row r="228" spans="1:4" ht="13" x14ac:dyDescent="0.15">
      <c r="A228" s="10"/>
      <c r="B228" s="13"/>
      <c r="C228" s="13"/>
      <c r="D228" s="13"/>
    </row>
    <row r="229" spans="1:4" ht="13" x14ac:dyDescent="0.15">
      <c r="A229" s="10"/>
      <c r="B229" s="13"/>
      <c r="C229" s="13"/>
      <c r="D229" s="13"/>
    </row>
    <row r="230" spans="1:4" ht="13" x14ac:dyDescent="0.15">
      <c r="A230" s="10"/>
      <c r="B230" s="13"/>
      <c r="C230" s="13"/>
      <c r="D230" s="13"/>
    </row>
    <row r="231" spans="1:4" ht="13" x14ac:dyDescent="0.15">
      <c r="A231" s="10"/>
      <c r="B231" s="13"/>
      <c r="C231" s="13"/>
      <c r="D231" s="13"/>
    </row>
    <row r="232" spans="1:4" ht="13" x14ac:dyDescent="0.15">
      <c r="A232" s="10"/>
      <c r="B232" s="13"/>
      <c r="C232" s="13"/>
      <c r="D232" s="13"/>
    </row>
    <row r="233" spans="1:4" ht="13" x14ac:dyDescent="0.15">
      <c r="A233" s="10"/>
      <c r="B233" s="13"/>
      <c r="C233" s="13"/>
      <c r="D233" s="13"/>
    </row>
    <row r="234" spans="1:4" ht="13" x14ac:dyDescent="0.15">
      <c r="A234" s="10"/>
      <c r="B234" s="13"/>
      <c r="C234" s="13"/>
      <c r="D234" s="13"/>
    </row>
    <row r="235" spans="1:4" ht="13" x14ac:dyDescent="0.15">
      <c r="A235" s="10"/>
      <c r="B235" s="13"/>
      <c r="C235" s="13"/>
      <c r="D235" s="13"/>
    </row>
    <row r="236" spans="1:4" ht="13" x14ac:dyDescent="0.15">
      <c r="A236" s="10"/>
      <c r="B236" s="13"/>
      <c r="C236" s="13"/>
      <c r="D236" s="13"/>
    </row>
    <row r="237" spans="1:4" ht="13" x14ac:dyDescent="0.15">
      <c r="A237" s="10"/>
      <c r="B237" s="13"/>
      <c r="C237" s="13"/>
      <c r="D237" s="13"/>
    </row>
    <row r="238" spans="1:4" ht="13" x14ac:dyDescent="0.15">
      <c r="A238" s="10"/>
      <c r="B238" s="13"/>
      <c r="C238" s="13"/>
      <c r="D238" s="13"/>
    </row>
    <row r="239" spans="1:4" ht="13" x14ac:dyDescent="0.15">
      <c r="A239" s="10"/>
      <c r="B239" s="13"/>
      <c r="C239" s="13"/>
      <c r="D239" s="13"/>
    </row>
    <row r="240" spans="1:4" ht="13" x14ac:dyDescent="0.15">
      <c r="A240" s="10"/>
      <c r="B240" s="13"/>
      <c r="C240" s="13"/>
      <c r="D240" s="13"/>
    </row>
    <row r="241" spans="1:4" ht="13" x14ac:dyDescent="0.15">
      <c r="A241" s="10"/>
      <c r="B241" s="13"/>
      <c r="C241" s="13"/>
      <c r="D241" s="13"/>
    </row>
    <row r="242" spans="1:4" ht="13" x14ac:dyDescent="0.15">
      <c r="A242" s="10"/>
      <c r="B242" s="13"/>
      <c r="C242" s="13"/>
      <c r="D242" s="13"/>
    </row>
    <row r="243" spans="1:4" ht="13" x14ac:dyDescent="0.15">
      <c r="A243" s="10"/>
      <c r="B243" s="13"/>
      <c r="C243" s="13"/>
      <c r="D243" s="13"/>
    </row>
    <row r="244" spans="1:4" ht="13" x14ac:dyDescent="0.15">
      <c r="A244" s="10"/>
      <c r="B244" s="13"/>
      <c r="C244" s="13"/>
      <c r="D244" s="13"/>
    </row>
    <row r="245" spans="1:4" ht="13" x14ac:dyDescent="0.15">
      <c r="A245" s="10"/>
      <c r="B245" s="13"/>
      <c r="C245" s="13"/>
      <c r="D245" s="13"/>
    </row>
    <row r="246" spans="1:4" ht="13" x14ac:dyDescent="0.15">
      <c r="A246" s="10"/>
      <c r="B246" s="13"/>
      <c r="C246" s="13"/>
      <c r="D246" s="13"/>
    </row>
    <row r="247" spans="1:4" ht="13" x14ac:dyDescent="0.15">
      <c r="A247" s="10"/>
      <c r="B247" s="13"/>
      <c r="C247" s="13"/>
      <c r="D247" s="13"/>
    </row>
    <row r="248" spans="1:4" ht="13" x14ac:dyDescent="0.15">
      <c r="A248" s="10"/>
      <c r="B248" s="13"/>
      <c r="C248" s="13"/>
      <c r="D248" s="13"/>
    </row>
    <row r="249" spans="1:4" ht="13" x14ac:dyDescent="0.15">
      <c r="A249" s="10"/>
      <c r="B249" s="13"/>
      <c r="C249" s="13"/>
      <c r="D249" s="13"/>
    </row>
    <row r="250" spans="1:4" ht="13" x14ac:dyDescent="0.15">
      <c r="A250" s="10"/>
      <c r="B250" s="13"/>
      <c r="C250" s="13"/>
      <c r="D250" s="13"/>
    </row>
    <row r="251" spans="1:4" ht="13" x14ac:dyDescent="0.15">
      <c r="A251" s="10"/>
      <c r="B251" s="13"/>
      <c r="C251" s="13"/>
      <c r="D251" s="13"/>
    </row>
    <row r="252" spans="1:4" ht="13" x14ac:dyDescent="0.15">
      <c r="A252" s="10"/>
      <c r="B252" s="13"/>
      <c r="C252" s="13"/>
      <c r="D252" s="13"/>
    </row>
    <row r="253" spans="1:4" ht="13" x14ac:dyDescent="0.15">
      <c r="A253" s="10"/>
      <c r="B253" s="13"/>
      <c r="C253" s="13"/>
      <c r="D253" s="13"/>
    </row>
    <row r="254" spans="1:4" ht="13" x14ac:dyDescent="0.15">
      <c r="A254" s="10"/>
      <c r="B254" s="13"/>
      <c r="C254" s="13"/>
      <c r="D254" s="13"/>
    </row>
    <row r="255" spans="1:4" ht="13" x14ac:dyDescent="0.15">
      <c r="A255" s="10"/>
      <c r="B255" s="13"/>
      <c r="C255" s="13"/>
      <c r="D255" s="13"/>
    </row>
    <row r="256" spans="1:4" ht="13" x14ac:dyDescent="0.15">
      <c r="A256" s="10"/>
      <c r="B256" s="13"/>
      <c r="C256" s="13"/>
      <c r="D256" s="13"/>
    </row>
    <row r="257" spans="1:4" ht="13" x14ac:dyDescent="0.15">
      <c r="A257" s="10"/>
      <c r="B257" s="13"/>
      <c r="C257" s="13"/>
      <c r="D257" s="13"/>
    </row>
    <row r="258" spans="1:4" ht="13" x14ac:dyDescent="0.15">
      <c r="A258" s="10"/>
      <c r="B258" s="13"/>
      <c r="C258" s="13"/>
      <c r="D258" s="13"/>
    </row>
    <row r="259" spans="1:4" ht="13" x14ac:dyDescent="0.15">
      <c r="A259" s="10"/>
      <c r="B259" s="13"/>
      <c r="C259" s="13"/>
      <c r="D259" s="13"/>
    </row>
    <row r="260" spans="1:4" ht="13" x14ac:dyDescent="0.15">
      <c r="A260" s="10"/>
      <c r="B260" s="13"/>
      <c r="C260" s="13"/>
      <c r="D260" s="13"/>
    </row>
    <row r="261" spans="1:4" ht="13" x14ac:dyDescent="0.15">
      <c r="A261" s="10"/>
      <c r="B261" s="13"/>
      <c r="C261" s="13"/>
      <c r="D261" s="13"/>
    </row>
    <row r="262" spans="1:4" ht="13" x14ac:dyDescent="0.15">
      <c r="A262" s="10"/>
      <c r="B262" s="13"/>
      <c r="C262" s="13"/>
      <c r="D262" s="13"/>
    </row>
    <row r="263" spans="1:4" ht="13" x14ac:dyDescent="0.15">
      <c r="A263" s="10"/>
      <c r="B263" s="13"/>
      <c r="C263" s="13"/>
      <c r="D263" s="13"/>
    </row>
    <row r="264" spans="1:4" ht="13" x14ac:dyDescent="0.15">
      <c r="A264" s="10"/>
      <c r="B264" s="13"/>
      <c r="C264" s="13"/>
      <c r="D264" s="13"/>
    </row>
    <row r="265" spans="1:4" ht="13" x14ac:dyDescent="0.15">
      <c r="A265" s="10"/>
      <c r="B265" s="13"/>
      <c r="C265" s="13"/>
      <c r="D265" s="13"/>
    </row>
    <row r="266" spans="1:4" ht="13" x14ac:dyDescent="0.15">
      <c r="A266" s="10"/>
      <c r="B266" s="13"/>
      <c r="C266" s="13"/>
      <c r="D266" s="13"/>
    </row>
    <row r="267" spans="1:4" ht="13" x14ac:dyDescent="0.15">
      <c r="A267" s="10"/>
      <c r="B267" s="13"/>
      <c r="C267" s="13"/>
      <c r="D267" s="13"/>
    </row>
    <row r="268" spans="1:4" ht="13" x14ac:dyDescent="0.15">
      <c r="A268" s="10"/>
      <c r="B268" s="13"/>
      <c r="C268" s="13"/>
      <c r="D268" s="13"/>
    </row>
    <row r="269" spans="1:4" ht="13" x14ac:dyDescent="0.15">
      <c r="A269" s="10"/>
      <c r="B269" s="13"/>
      <c r="C269" s="13"/>
      <c r="D269" s="13"/>
    </row>
    <row r="270" spans="1:4" ht="13" x14ac:dyDescent="0.15">
      <c r="A270" s="10"/>
      <c r="B270" s="13"/>
      <c r="C270" s="13"/>
      <c r="D270" s="13"/>
    </row>
    <row r="271" spans="1:4" ht="13" x14ac:dyDescent="0.15">
      <c r="A271" s="10"/>
      <c r="B271" s="13"/>
      <c r="C271" s="13"/>
      <c r="D271" s="13"/>
    </row>
    <row r="272" spans="1:4" ht="13" x14ac:dyDescent="0.15">
      <c r="A272" s="10"/>
      <c r="B272" s="13"/>
      <c r="C272" s="13"/>
      <c r="D272" s="13"/>
    </row>
    <row r="273" spans="1:4" ht="13" x14ac:dyDescent="0.15">
      <c r="A273" s="10"/>
      <c r="B273" s="13"/>
      <c r="C273" s="13"/>
      <c r="D273" s="13"/>
    </row>
    <row r="274" spans="1:4" ht="13" x14ac:dyDescent="0.15">
      <c r="A274" s="10"/>
      <c r="B274" s="13"/>
      <c r="C274" s="13"/>
      <c r="D274" s="13"/>
    </row>
    <row r="275" spans="1:4" ht="13" x14ac:dyDescent="0.15">
      <c r="A275" s="10"/>
      <c r="B275" s="13"/>
      <c r="C275" s="13"/>
      <c r="D275" s="13"/>
    </row>
    <row r="276" spans="1:4" ht="13" x14ac:dyDescent="0.15">
      <c r="A276" s="10"/>
      <c r="B276" s="13"/>
      <c r="C276" s="13"/>
      <c r="D276" s="13"/>
    </row>
    <row r="277" spans="1:4" ht="13" x14ac:dyDescent="0.15">
      <c r="A277" s="10"/>
      <c r="B277" s="13"/>
      <c r="C277" s="13"/>
      <c r="D277" s="13"/>
    </row>
    <row r="278" spans="1:4" ht="13" x14ac:dyDescent="0.15">
      <c r="A278" s="10"/>
      <c r="B278" s="13"/>
      <c r="C278" s="13"/>
      <c r="D278" s="13"/>
    </row>
    <row r="279" spans="1:4" ht="13" x14ac:dyDescent="0.15">
      <c r="A279" s="10"/>
      <c r="B279" s="13"/>
      <c r="C279" s="13"/>
      <c r="D279" s="13"/>
    </row>
    <row r="280" spans="1:4" ht="13" x14ac:dyDescent="0.15">
      <c r="A280" s="10"/>
      <c r="B280" s="13"/>
      <c r="C280" s="13"/>
      <c r="D280" s="13"/>
    </row>
    <row r="281" spans="1:4" ht="13" x14ac:dyDescent="0.15">
      <c r="A281" s="10"/>
      <c r="B281" s="13"/>
      <c r="C281" s="13"/>
      <c r="D281" s="13"/>
    </row>
    <row r="282" spans="1:4" ht="13" x14ac:dyDescent="0.15">
      <c r="A282" s="10"/>
      <c r="B282" s="13"/>
      <c r="C282" s="13"/>
      <c r="D282" s="13"/>
    </row>
    <row r="283" spans="1:4" ht="13" x14ac:dyDescent="0.15">
      <c r="A283" s="10"/>
      <c r="B283" s="13"/>
      <c r="C283" s="13"/>
      <c r="D283" s="13"/>
    </row>
    <row r="284" spans="1:4" ht="13" x14ac:dyDescent="0.15">
      <c r="A284" s="10"/>
      <c r="B284" s="13"/>
      <c r="C284" s="13"/>
      <c r="D284" s="13"/>
    </row>
    <row r="285" spans="1:4" ht="13" x14ac:dyDescent="0.15">
      <c r="A285" s="10"/>
      <c r="B285" s="13"/>
      <c r="C285" s="13"/>
      <c r="D285" s="13"/>
    </row>
    <row r="286" spans="1:4" ht="13" x14ac:dyDescent="0.15">
      <c r="A286" s="10"/>
      <c r="B286" s="13"/>
      <c r="C286" s="13"/>
      <c r="D286" s="13"/>
    </row>
    <row r="287" spans="1:4" ht="13" x14ac:dyDescent="0.15">
      <c r="A287" s="10"/>
      <c r="B287" s="13"/>
      <c r="C287" s="13"/>
      <c r="D287" s="13"/>
    </row>
    <row r="288" spans="1:4" ht="13" x14ac:dyDescent="0.15">
      <c r="A288" s="10"/>
      <c r="B288" s="13"/>
      <c r="C288" s="13"/>
      <c r="D288" s="13"/>
    </row>
    <row r="289" spans="1:4" ht="13" x14ac:dyDescent="0.15">
      <c r="A289" s="10"/>
      <c r="B289" s="13"/>
      <c r="C289" s="13"/>
      <c r="D289" s="13"/>
    </row>
    <row r="290" spans="1:4" ht="13" x14ac:dyDescent="0.15">
      <c r="A290" s="10"/>
      <c r="B290" s="13"/>
      <c r="C290" s="13"/>
      <c r="D290" s="13"/>
    </row>
    <row r="291" spans="1:4" ht="13" x14ac:dyDescent="0.15">
      <c r="A291" s="10"/>
      <c r="B291" s="13"/>
      <c r="C291" s="13"/>
      <c r="D291" s="13"/>
    </row>
    <row r="292" spans="1:4" ht="13" x14ac:dyDescent="0.15">
      <c r="A292" s="10"/>
      <c r="B292" s="13"/>
      <c r="C292" s="13"/>
      <c r="D292" s="13"/>
    </row>
    <row r="293" spans="1:4" ht="13" x14ac:dyDescent="0.15">
      <c r="A293" s="10"/>
      <c r="B293" s="13"/>
      <c r="C293" s="13"/>
      <c r="D293" s="13"/>
    </row>
    <row r="294" spans="1:4" ht="13" x14ac:dyDescent="0.15">
      <c r="A294" s="10"/>
      <c r="B294" s="13"/>
      <c r="C294" s="13"/>
      <c r="D294" s="13"/>
    </row>
    <row r="295" spans="1:4" ht="13" x14ac:dyDescent="0.15">
      <c r="A295" s="10"/>
      <c r="B295" s="13"/>
      <c r="C295" s="13"/>
      <c r="D295" s="13"/>
    </row>
    <row r="296" spans="1:4" ht="13" x14ac:dyDescent="0.15">
      <c r="A296" s="10"/>
      <c r="B296" s="13"/>
      <c r="C296" s="13"/>
      <c r="D296" s="13"/>
    </row>
    <row r="297" spans="1:4" ht="13" x14ac:dyDescent="0.15">
      <c r="A297" s="10"/>
      <c r="B297" s="13"/>
      <c r="C297" s="13"/>
      <c r="D297" s="13"/>
    </row>
    <row r="298" spans="1:4" ht="13" x14ac:dyDescent="0.15">
      <c r="A298" s="10"/>
      <c r="B298" s="13"/>
      <c r="C298" s="13"/>
      <c r="D298" s="13"/>
    </row>
    <row r="299" spans="1:4" ht="13" x14ac:dyDescent="0.15">
      <c r="A299" s="10"/>
      <c r="B299" s="13"/>
      <c r="C299" s="13"/>
      <c r="D299" s="13"/>
    </row>
    <row r="300" spans="1:4" ht="13" x14ac:dyDescent="0.15">
      <c r="A300" s="10"/>
      <c r="B300" s="13"/>
      <c r="C300" s="13"/>
      <c r="D300" s="13"/>
    </row>
    <row r="301" spans="1:4" ht="13" x14ac:dyDescent="0.15">
      <c r="A301" s="10"/>
      <c r="B301" s="13"/>
      <c r="C301" s="13"/>
      <c r="D301" s="13"/>
    </row>
    <row r="302" spans="1:4" ht="13" x14ac:dyDescent="0.15">
      <c r="A302" s="10"/>
      <c r="B302" s="13"/>
      <c r="C302" s="13"/>
      <c r="D302" s="13"/>
    </row>
    <row r="303" spans="1:4" ht="13" x14ac:dyDescent="0.15">
      <c r="A303" s="10"/>
      <c r="B303" s="13"/>
      <c r="C303" s="13"/>
      <c r="D303" s="13"/>
    </row>
    <row r="304" spans="1:4" ht="13" x14ac:dyDescent="0.15">
      <c r="A304" s="10"/>
      <c r="B304" s="13"/>
      <c r="C304" s="13"/>
      <c r="D304" s="13"/>
    </row>
    <row r="305" spans="1:4" ht="13" x14ac:dyDescent="0.15">
      <c r="A305" s="10"/>
      <c r="B305" s="13"/>
      <c r="C305" s="13"/>
      <c r="D305" s="13"/>
    </row>
    <row r="306" spans="1:4" ht="13" x14ac:dyDescent="0.15">
      <c r="A306" s="10"/>
      <c r="B306" s="13"/>
      <c r="C306" s="13"/>
      <c r="D306" s="13"/>
    </row>
    <row r="307" spans="1:4" ht="13" x14ac:dyDescent="0.15">
      <c r="A307" s="10"/>
      <c r="B307" s="13"/>
      <c r="C307" s="13"/>
      <c r="D307" s="13"/>
    </row>
    <row r="308" spans="1:4" ht="13" x14ac:dyDescent="0.15">
      <c r="A308" s="10"/>
      <c r="B308" s="13"/>
      <c r="C308" s="13"/>
      <c r="D308" s="13"/>
    </row>
    <row r="309" spans="1:4" ht="13" x14ac:dyDescent="0.15">
      <c r="A309" s="10"/>
      <c r="B309" s="13"/>
      <c r="C309" s="13"/>
      <c r="D309" s="13"/>
    </row>
    <row r="310" spans="1:4" ht="13" x14ac:dyDescent="0.15">
      <c r="A310" s="10"/>
      <c r="B310" s="13"/>
      <c r="C310" s="13"/>
      <c r="D310" s="13"/>
    </row>
    <row r="311" spans="1:4" ht="13" x14ac:dyDescent="0.15">
      <c r="A311" s="10"/>
      <c r="B311" s="13"/>
      <c r="C311" s="13"/>
      <c r="D311" s="13"/>
    </row>
    <row r="312" spans="1:4" ht="13" x14ac:dyDescent="0.15">
      <c r="A312" s="10"/>
      <c r="B312" s="13"/>
      <c r="C312" s="13"/>
      <c r="D312" s="13"/>
    </row>
    <row r="313" spans="1:4" ht="13" x14ac:dyDescent="0.15">
      <c r="A313" s="10"/>
      <c r="B313" s="13"/>
      <c r="C313" s="13"/>
      <c r="D313" s="13"/>
    </row>
    <row r="314" spans="1:4" ht="13" x14ac:dyDescent="0.15">
      <c r="A314" s="10"/>
      <c r="B314" s="13"/>
      <c r="C314" s="13"/>
      <c r="D314" s="13"/>
    </row>
    <row r="315" spans="1:4" ht="13" x14ac:dyDescent="0.15">
      <c r="A315" s="10"/>
      <c r="B315" s="13"/>
      <c r="C315" s="13"/>
      <c r="D315" s="13"/>
    </row>
    <row r="316" spans="1:4" ht="13" x14ac:dyDescent="0.15">
      <c r="A316" s="10"/>
      <c r="B316" s="13"/>
      <c r="C316" s="13"/>
      <c r="D316" s="13"/>
    </row>
    <row r="317" spans="1:4" ht="13" x14ac:dyDescent="0.15">
      <c r="A317" s="10"/>
      <c r="B317" s="13"/>
      <c r="C317" s="13"/>
      <c r="D317" s="13"/>
    </row>
    <row r="318" spans="1:4" ht="13" x14ac:dyDescent="0.15">
      <c r="A318" s="10"/>
      <c r="B318" s="13"/>
      <c r="C318" s="13"/>
      <c r="D318" s="13"/>
    </row>
    <row r="319" spans="1:4" ht="13" x14ac:dyDescent="0.15">
      <c r="A319" s="10"/>
      <c r="B319" s="13"/>
      <c r="C319" s="13"/>
      <c r="D319" s="13"/>
    </row>
    <row r="320" spans="1:4" ht="13" x14ac:dyDescent="0.15">
      <c r="A320" s="10"/>
      <c r="B320" s="13"/>
      <c r="C320" s="13"/>
      <c r="D320" s="13"/>
    </row>
    <row r="321" spans="1:4" ht="13" x14ac:dyDescent="0.15">
      <c r="A321" s="10"/>
      <c r="B321" s="13"/>
      <c r="C321" s="13"/>
      <c r="D321" s="13"/>
    </row>
    <row r="322" spans="1:4" ht="13" x14ac:dyDescent="0.15">
      <c r="A322" s="10"/>
      <c r="B322" s="13"/>
      <c r="C322" s="13"/>
      <c r="D322" s="13"/>
    </row>
    <row r="323" spans="1:4" ht="13" x14ac:dyDescent="0.15">
      <c r="A323" s="10"/>
      <c r="B323" s="13"/>
      <c r="C323" s="13"/>
      <c r="D323" s="13"/>
    </row>
    <row r="324" spans="1:4" ht="13" x14ac:dyDescent="0.15">
      <c r="A324" s="10"/>
      <c r="B324" s="13"/>
      <c r="C324" s="13"/>
      <c r="D324" s="13"/>
    </row>
    <row r="325" spans="1:4" ht="13" x14ac:dyDescent="0.15">
      <c r="A325" s="10"/>
      <c r="B325" s="13"/>
      <c r="C325" s="13"/>
      <c r="D325" s="13"/>
    </row>
    <row r="326" spans="1:4" ht="13" x14ac:dyDescent="0.15">
      <c r="A326" s="10"/>
      <c r="B326" s="13"/>
      <c r="C326" s="13"/>
      <c r="D326" s="13"/>
    </row>
    <row r="327" spans="1:4" ht="13" x14ac:dyDescent="0.15">
      <c r="A327" s="10"/>
      <c r="B327" s="13"/>
      <c r="C327" s="13"/>
      <c r="D327" s="13"/>
    </row>
    <row r="328" spans="1:4" ht="13" x14ac:dyDescent="0.15">
      <c r="A328" s="10"/>
      <c r="B328" s="13"/>
      <c r="C328" s="13"/>
      <c r="D328" s="13"/>
    </row>
    <row r="329" spans="1:4" ht="13" x14ac:dyDescent="0.15">
      <c r="A329" s="10"/>
      <c r="B329" s="13"/>
      <c r="C329" s="13"/>
      <c r="D329" s="13"/>
    </row>
    <row r="330" spans="1:4" ht="13" x14ac:dyDescent="0.15">
      <c r="A330" s="10"/>
      <c r="B330" s="13"/>
      <c r="C330" s="13"/>
      <c r="D330" s="13"/>
    </row>
    <row r="331" spans="1:4" ht="13" x14ac:dyDescent="0.15">
      <c r="A331" s="10"/>
      <c r="B331" s="13"/>
      <c r="C331" s="13"/>
      <c r="D331" s="13"/>
    </row>
    <row r="332" spans="1:4" ht="13" x14ac:dyDescent="0.15">
      <c r="A332" s="10"/>
      <c r="B332" s="13"/>
      <c r="C332" s="13"/>
      <c r="D332" s="13"/>
    </row>
    <row r="333" spans="1:4" ht="13" x14ac:dyDescent="0.15">
      <c r="A333" s="10"/>
      <c r="B333" s="13"/>
      <c r="C333" s="13"/>
      <c r="D333" s="13"/>
    </row>
    <row r="334" spans="1:4" ht="13" x14ac:dyDescent="0.15">
      <c r="A334" s="10"/>
      <c r="B334" s="13"/>
      <c r="C334" s="13"/>
      <c r="D334" s="13"/>
    </row>
    <row r="335" spans="1:4" ht="13" x14ac:dyDescent="0.15">
      <c r="A335" s="10"/>
      <c r="B335" s="13"/>
      <c r="C335" s="13"/>
      <c r="D335" s="13"/>
    </row>
    <row r="336" spans="1:4" ht="13" x14ac:dyDescent="0.15">
      <c r="A336" s="10"/>
      <c r="B336" s="13"/>
      <c r="C336" s="13"/>
      <c r="D336" s="13"/>
    </row>
    <row r="337" spans="1:4" ht="13" x14ac:dyDescent="0.15">
      <c r="A337" s="10"/>
      <c r="B337" s="13"/>
      <c r="C337" s="13"/>
      <c r="D337" s="13"/>
    </row>
    <row r="338" spans="1:4" ht="13" x14ac:dyDescent="0.15">
      <c r="A338" s="10"/>
      <c r="B338" s="13"/>
      <c r="C338" s="13"/>
      <c r="D338" s="13"/>
    </row>
    <row r="339" spans="1:4" ht="13" x14ac:dyDescent="0.15">
      <c r="A339" s="10"/>
      <c r="B339" s="13"/>
      <c r="C339" s="13"/>
      <c r="D339" s="13"/>
    </row>
    <row r="340" spans="1:4" ht="13" x14ac:dyDescent="0.15">
      <c r="A340" s="10"/>
      <c r="B340" s="13"/>
      <c r="C340" s="13"/>
      <c r="D340" s="13"/>
    </row>
    <row r="341" spans="1:4" ht="13" x14ac:dyDescent="0.15">
      <c r="A341" s="10"/>
      <c r="B341" s="13"/>
      <c r="C341" s="13"/>
      <c r="D341" s="13"/>
    </row>
    <row r="342" spans="1:4" ht="13" x14ac:dyDescent="0.15">
      <c r="A342" s="10"/>
      <c r="B342" s="13"/>
      <c r="C342" s="13"/>
      <c r="D342" s="13"/>
    </row>
    <row r="343" spans="1:4" ht="13" x14ac:dyDescent="0.15">
      <c r="A343" s="10"/>
      <c r="B343" s="13"/>
      <c r="C343" s="13"/>
      <c r="D343" s="13"/>
    </row>
    <row r="344" spans="1:4" ht="13" x14ac:dyDescent="0.15">
      <c r="A344" s="10"/>
      <c r="B344" s="13"/>
      <c r="C344" s="13"/>
      <c r="D344" s="13"/>
    </row>
    <row r="345" spans="1:4" ht="13" x14ac:dyDescent="0.15">
      <c r="A345" s="10"/>
      <c r="B345" s="13"/>
      <c r="C345" s="13"/>
      <c r="D345" s="13"/>
    </row>
    <row r="346" spans="1:4" ht="13" x14ac:dyDescent="0.15">
      <c r="A346" s="10"/>
      <c r="B346" s="13"/>
      <c r="C346" s="13"/>
      <c r="D346" s="13"/>
    </row>
    <row r="347" spans="1:4" ht="13" x14ac:dyDescent="0.15">
      <c r="A347" s="10"/>
      <c r="B347" s="13"/>
      <c r="C347" s="13"/>
      <c r="D347" s="13"/>
    </row>
    <row r="348" spans="1:4" ht="13" x14ac:dyDescent="0.15">
      <c r="A348" s="10"/>
      <c r="B348" s="13"/>
      <c r="C348" s="13"/>
      <c r="D348" s="13"/>
    </row>
    <row r="349" spans="1:4" ht="13" x14ac:dyDescent="0.15">
      <c r="A349" s="10"/>
      <c r="B349" s="13"/>
      <c r="C349" s="13"/>
      <c r="D349" s="13"/>
    </row>
    <row r="350" spans="1:4" ht="13" x14ac:dyDescent="0.15">
      <c r="A350" s="10"/>
      <c r="B350" s="13"/>
      <c r="C350" s="13"/>
      <c r="D350" s="13"/>
    </row>
    <row r="351" spans="1:4" ht="13" x14ac:dyDescent="0.15">
      <c r="A351" s="10"/>
      <c r="B351" s="13"/>
      <c r="C351" s="13"/>
      <c r="D351" s="13"/>
    </row>
    <row r="352" spans="1:4" ht="13" x14ac:dyDescent="0.15">
      <c r="A352" s="10"/>
      <c r="B352" s="13"/>
      <c r="C352" s="13"/>
      <c r="D352" s="13"/>
    </row>
    <row r="353" spans="1:4" ht="13" x14ac:dyDescent="0.15">
      <c r="A353" s="10"/>
      <c r="B353" s="13"/>
      <c r="C353" s="13"/>
      <c r="D353" s="13"/>
    </row>
    <row r="354" spans="1:4" ht="13" x14ac:dyDescent="0.15">
      <c r="A354" s="10"/>
      <c r="B354" s="13"/>
      <c r="C354" s="13"/>
      <c r="D354" s="13"/>
    </row>
    <row r="355" spans="1:4" ht="13" x14ac:dyDescent="0.15">
      <c r="A355" s="10"/>
      <c r="B355" s="13"/>
      <c r="C355" s="13"/>
      <c r="D355" s="13"/>
    </row>
    <row r="356" spans="1:4" ht="13" x14ac:dyDescent="0.15">
      <c r="A356" s="10"/>
      <c r="B356" s="13"/>
      <c r="C356" s="13"/>
      <c r="D356" s="13"/>
    </row>
    <row r="357" spans="1:4" ht="13" x14ac:dyDescent="0.15">
      <c r="A357" s="10"/>
      <c r="B357" s="13"/>
      <c r="C357" s="13"/>
      <c r="D357" s="13"/>
    </row>
    <row r="358" spans="1:4" ht="13" x14ac:dyDescent="0.15">
      <c r="A358" s="10"/>
      <c r="B358" s="13"/>
      <c r="C358" s="13"/>
      <c r="D358" s="13"/>
    </row>
    <row r="359" spans="1:4" ht="13" x14ac:dyDescent="0.15">
      <c r="A359" s="10"/>
      <c r="B359" s="13"/>
      <c r="C359" s="13"/>
      <c r="D359" s="13"/>
    </row>
    <row r="360" spans="1:4" ht="13" x14ac:dyDescent="0.15">
      <c r="A360" s="10"/>
      <c r="B360" s="13"/>
      <c r="C360" s="13"/>
      <c r="D360" s="13"/>
    </row>
    <row r="361" spans="1:4" ht="13" x14ac:dyDescent="0.15">
      <c r="A361" s="10"/>
      <c r="B361" s="13"/>
      <c r="C361" s="13"/>
      <c r="D361" s="13"/>
    </row>
    <row r="362" spans="1:4" ht="13" x14ac:dyDescent="0.15">
      <c r="A362" s="10"/>
      <c r="B362" s="13"/>
      <c r="C362" s="13"/>
      <c r="D362" s="13"/>
    </row>
    <row r="363" spans="1:4" ht="13" x14ac:dyDescent="0.15">
      <c r="A363" s="10"/>
      <c r="B363" s="13"/>
      <c r="C363" s="13"/>
      <c r="D363" s="13"/>
    </row>
    <row r="364" spans="1:4" ht="13" x14ac:dyDescent="0.15">
      <c r="A364" s="10"/>
      <c r="B364" s="13"/>
      <c r="C364" s="13"/>
      <c r="D364" s="13"/>
    </row>
    <row r="365" spans="1:4" ht="13" x14ac:dyDescent="0.15">
      <c r="A365" s="10"/>
      <c r="B365" s="13"/>
      <c r="C365" s="13"/>
      <c r="D365" s="13"/>
    </row>
    <row r="366" spans="1:4" ht="13" x14ac:dyDescent="0.15">
      <c r="A366" s="10"/>
      <c r="B366" s="13"/>
      <c r="C366" s="13"/>
      <c r="D366" s="13"/>
    </row>
    <row r="367" spans="1:4" ht="13" x14ac:dyDescent="0.15">
      <c r="A367" s="10"/>
      <c r="B367" s="13"/>
      <c r="C367" s="13"/>
      <c r="D367" s="13"/>
    </row>
    <row r="368" spans="1:4" ht="13" x14ac:dyDescent="0.15">
      <c r="A368" s="10"/>
      <c r="B368" s="13"/>
      <c r="C368" s="13"/>
      <c r="D368" s="13"/>
    </row>
    <row r="369" spans="1:4" ht="13" x14ac:dyDescent="0.15">
      <c r="A369" s="10"/>
      <c r="B369" s="13"/>
      <c r="C369" s="13"/>
      <c r="D369" s="13"/>
    </row>
    <row r="370" spans="1:4" ht="13" x14ac:dyDescent="0.15">
      <c r="A370" s="10"/>
      <c r="B370" s="13"/>
      <c r="C370" s="13"/>
      <c r="D370" s="13"/>
    </row>
    <row r="371" spans="1:4" ht="13" x14ac:dyDescent="0.15">
      <c r="A371" s="10"/>
      <c r="B371" s="13"/>
      <c r="C371" s="13"/>
      <c r="D371" s="13"/>
    </row>
    <row r="372" spans="1:4" ht="13" x14ac:dyDescent="0.15">
      <c r="A372" s="10"/>
      <c r="B372" s="13"/>
      <c r="C372" s="13"/>
      <c r="D372" s="13"/>
    </row>
    <row r="373" spans="1:4" ht="13" x14ac:dyDescent="0.15">
      <c r="A373" s="10"/>
      <c r="B373" s="13"/>
      <c r="C373" s="13"/>
      <c r="D373" s="13"/>
    </row>
    <row r="374" spans="1:4" ht="13" x14ac:dyDescent="0.15">
      <c r="A374" s="10"/>
      <c r="B374" s="13"/>
      <c r="C374" s="13"/>
      <c r="D374" s="13"/>
    </row>
    <row r="375" spans="1:4" ht="13" x14ac:dyDescent="0.15">
      <c r="A375" s="10"/>
      <c r="B375" s="13"/>
      <c r="C375" s="13"/>
      <c r="D375" s="13"/>
    </row>
    <row r="376" spans="1:4" ht="13" x14ac:dyDescent="0.15">
      <c r="A376" s="10"/>
      <c r="B376" s="13"/>
      <c r="C376" s="13"/>
      <c r="D376" s="13"/>
    </row>
    <row r="377" spans="1:4" ht="13" x14ac:dyDescent="0.15">
      <c r="A377" s="10"/>
      <c r="B377" s="13"/>
      <c r="C377" s="13"/>
      <c r="D377" s="13"/>
    </row>
    <row r="378" spans="1:4" ht="13" x14ac:dyDescent="0.15">
      <c r="A378" s="10"/>
      <c r="B378" s="13"/>
      <c r="C378" s="13"/>
      <c r="D378" s="13"/>
    </row>
    <row r="379" spans="1:4" ht="13" x14ac:dyDescent="0.15">
      <c r="A379" s="10"/>
      <c r="B379" s="13"/>
      <c r="C379" s="13"/>
      <c r="D379" s="13"/>
    </row>
    <row r="380" spans="1:4" ht="13" x14ac:dyDescent="0.15">
      <c r="A380" s="10"/>
      <c r="B380" s="13"/>
      <c r="C380" s="13"/>
      <c r="D380" s="13"/>
    </row>
    <row r="381" spans="1:4" ht="13" x14ac:dyDescent="0.15">
      <c r="A381" s="10"/>
      <c r="B381" s="13"/>
      <c r="C381" s="13"/>
      <c r="D381" s="13"/>
    </row>
    <row r="382" spans="1:4" ht="13" x14ac:dyDescent="0.15">
      <c r="A382" s="10"/>
      <c r="B382" s="13"/>
      <c r="C382" s="13"/>
      <c r="D382" s="13"/>
    </row>
    <row r="383" spans="1:4" ht="13" x14ac:dyDescent="0.15">
      <c r="A383" s="10"/>
      <c r="B383" s="13"/>
      <c r="C383" s="13"/>
      <c r="D383" s="13"/>
    </row>
    <row r="384" spans="1:4" ht="13" x14ac:dyDescent="0.15">
      <c r="A384" s="10"/>
      <c r="B384" s="13"/>
      <c r="C384" s="13"/>
      <c r="D384" s="13"/>
    </row>
    <row r="385" spans="1:4" ht="13" x14ac:dyDescent="0.15">
      <c r="A385" s="10"/>
      <c r="B385" s="13"/>
      <c r="C385" s="13"/>
      <c r="D385" s="13"/>
    </row>
    <row r="386" spans="1:4" ht="13" x14ac:dyDescent="0.15">
      <c r="A386" s="10"/>
      <c r="B386" s="13"/>
      <c r="C386" s="13"/>
      <c r="D386" s="13"/>
    </row>
    <row r="387" spans="1:4" ht="13" x14ac:dyDescent="0.15">
      <c r="A387" s="10"/>
      <c r="B387" s="13"/>
      <c r="C387" s="13"/>
      <c r="D387" s="13"/>
    </row>
    <row r="388" spans="1:4" ht="13" x14ac:dyDescent="0.15">
      <c r="A388" s="10"/>
      <c r="B388" s="13"/>
      <c r="C388" s="13"/>
      <c r="D388" s="13"/>
    </row>
    <row r="389" spans="1:4" ht="13" x14ac:dyDescent="0.15">
      <c r="A389" s="10"/>
      <c r="B389" s="13"/>
      <c r="C389" s="13"/>
      <c r="D389" s="13"/>
    </row>
    <row r="390" spans="1:4" ht="13" x14ac:dyDescent="0.15">
      <c r="A390" s="10"/>
      <c r="B390" s="13"/>
      <c r="C390" s="13"/>
      <c r="D390" s="13"/>
    </row>
    <row r="391" spans="1:4" ht="13" x14ac:dyDescent="0.15">
      <c r="A391" s="10"/>
      <c r="B391" s="13"/>
      <c r="C391" s="13"/>
      <c r="D391" s="13"/>
    </row>
    <row r="392" spans="1:4" ht="13" x14ac:dyDescent="0.15">
      <c r="A392" s="10"/>
      <c r="B392" s="13"/>
      <c r="C392" s="13"/>
      <c r="D392" s="13"/>
    </row>
    <row r="393" spans="1:4" ht="13" x14ac:dyDescent="0.15">
      <c r="A393" s="10"/>
      <c r="B393" s="13"/>
      <c r="C393" s="13"/>
      <c r="D393" s="13"/>
    </row>
    <row r="394" spans="1:4" ht="13" x14ac:dyDescent="0.15">
      <c r="A394" s="10"/>
      <c r="B394" s="13"/>
      <c r="C394" s="13"/>
      <c r="D394" s="13"/>
    </row>
    <row r="395" spans="1:4" ht="13" x14ac:dyDescent="0.15">
      <c r="A395" s="10"/>
      <c r="B395" s="13"/>
      <c r="C395" s="13"/>
      <c r="D395" s="13"/>
    </row>
    <row r="396" spans="1:4" ht="13" x14ac:dyDescent="0.15">
      <c r="A396" s="10"/>
      <c r="B396" s="13"/>
      <c r="C396" s="13"/>
      <c r="D396" s="13"/>
    </row>
    <row r="397" spans="1:4" ht="13" x14ac:dyDescent="0.15">
      <c r="A397" s="10"/>
      <c r="B397" s="13"/>
      <c r="C397" s="13"/>
      <c r="D397" s="13"/>
    </row>
    <row r="398" spans="1:4" ht="13" x14ac:dyDescent="0.15">
      <c r="A398" s="10"/>
      <c r="B398" s="13"/>
      <c r="C398" s="13"/>
      <c r="D398" s="13"/>
    </row>
    <row r="399" spans="1:4" ht="13" x14ac:dyDescent="0.15">
      <c r="A399" s="10"/>
      <c r="B399" s="13"/>
      <c r="C399" s="13"/>
      <c r="D399" s="13"/>
    </row>
    <row r="400" spans="1:4" ht="13" x14ac:dyDescent="0.15">
      <c r="A400" s="10"/>
      <c r="B400" s="13"/>
      <c r="C400" s="13"/>
      <c r="D400" s="13"/>
    </row>
    <row r="401" spans="1:4" ht="13" x14ac:dyDescent="0.15">
      <c r="A401" s="10"/>
      <c r="B401" s="13"/>
      <c r="C401" s="13"/>
      <c r="D401" s="13"/>
    </row>
    <row r="402" spans="1:4" ht="13" x14ac:dyDescent="0.15">
      <c r="A402" s="10"/>
      <c r="B402" s="13"/>
      <c r="C402" s="13"/>
      <c r="D402" s="13"/>
    </row>
    <row r="403" spans="1:4" ht="13" x14ac:dyDescent="0.15">
      <c r="A403" s="10"/>
      <c r="B403" s="13"/>
      <c r="C403" s="13"/>
      <c r="D403" s="13"/>
    </row>
    <row r="404" spans="1:4" ht="13" x14ac:dyDescent="0.15">
      <c r="A404" s="10"/>
      <c r="B404" s="13"/>
      <c r="C404" s="13"/>
      <c r="D404" s="13"/>
    </row>
    <row r="405" spans="1:4" ht="13" x14ac:dyDescent="0.15">
      <c r="A405" s="10"/>
      <c r="B405" s="13"/>
      <c r="C405" s="13"/>
      <c r="D405" s="13"/>
    </row>
    <row r="406" spans="1:4" ht="13" x14ac:dyDescent="0.15">
      <c r="A406" s="10"/>
      <c r="B406" s="13"/>
      <c r="C406" s="13"/>
      <c r="D406" s="13"/>
    </row>
    <row r="407" spans="1:4" ht="13" x14ac:dyDescent="0.15">
      <c r="A407" s="10"/>
      <c r="B407" s="13"/>
      <c r="C407" s="13"/>
      <c r="D407" s="13"/>
    </row>
    <row r="408" spans="1:4" ht="13" x14ac:dyDescent="0.15">
      <c r="A408" s="10"/>
      <c r="B408" s="13"/>
      <c r="C408" s="13"/>
      <c r="D408" s="13"/>
    </row>
    <row r="409" spans="1:4" ht="13" x14ac:dyDescent="0.15">
      <c r="A409" s="10"/>
      <c r="B409" s="13"/>
      <c r="C409" s="13"/>
      <c r="D409" s="13"/>
    </row>
    <row r="410" spans="1:4" ht="13" x14ac:dyDescent="0.15">
      <c r="A410" s="10"/>
      <c r="B410" s="13"/>
      <c r="C410" s="13"/>
      <c r="D410" s="13"/>
    </row>
    <row r="411" spans="1:4" ht="13" x14ac:dyDescent="0.15">
      <c r="A411" s="10"/>
      <c r="B411" s="13"/>
      <c r="C411" s="13"/>
      <c r="D411" s="13"/>
    </row>
    <row r="412" spans="1:4" ht="13" x14ac:dyDescent="0.15">
      <c r="A412" s="10"/>
      <c r="B412" s="13"/>
      <c r="C412" s="13"/>
      <c r="D412" s="13"/>
    </row>
    <row r="413" spans="1:4" ht="13" x14ac:dyDescent="0.15">
      <c r="A413" s="10"/>
      <c r="B413" s="13"/>
      <c r="C413" s="13"/>
      <c r="D413" s="13"/>
    </row>
    <row r="414" spans="1:4" ht="13" x14ac:dyDescent="0.15">
      <c r="A414" s="10"/>
      <c r="B414" s="13"/>
      <c r="C414" s="13"/>
      <c r="D414" s="13"/>
    </row>
    <row r="415" spans="1:4" ht="13" x14ac:dyDescent="0.15">
      <c r="A415" s="10"/>
      <c r="B415" s="13"/>
      <c r="C415" s="13"/>
      <c r="D415" s="13"/>
    </row>
    <row r="416" spans="1:4" ht="13" x14ac:dyDescent="0.15">
      <c r="A416" s="10"/>
      <c r="B416" s="13"/>
      <c r="C416" s="13"/>
      <c r="D416" s="13"/>
    </row>
    <row r="417" spans="1:4" ht="13" x14ac:dyDescent="0.15">
      <c r="A417" s="10"/>
      <c r="B417" s="13"/>
      <c r="C417" s="13"/>
      <c r="D417" s="13"/>
    </row>
    <row r="418" spans="1:4" ht="13" x14ac:dyDescent="0.15">
      <c r="A418" s="10"/>
      <c r="B418" s="13"/>
      <c r="C418" s="13"/>
      <c r="D418" s="13"/>
    </row>
    <row r="419" spans="1:4" ht="13" x14ac:dyDescent="0.15">
      <c r="A419" s="10"/>
      <c r="B419" s="13"/>
      <c r="C419" s="13"/>
      <c r="D419" s="13"/>
    </row>
    <row r="420" spans="1:4" ht="13" x14ac:dyDescent="0.15">
      <c r="A420" s="10"/>
      <c r="B420" s="13"/>
      <c r="C420" s="13"/>
      <c r="D420" s="13"/>
    </row>
    <row r="421" spans="1:4" ht="13" x14ac:dyDescent="0.15">
      <c r="A421" s="10"/>
      <c r="B421" s="13"/>
      <c r="C421" s="13"/>
      <c r="D421" s="13"/>
    </row>
    <row r="422" spans="1:4" ht="13" x14ac:dyDescent="0.15">
      <c r="A422" s="10"/>
      <c r="B422" s="13"/>
      <c r="C422" s="13"/>
      <c r="D422" s="13"/>
    </row>
    <row r="423" spans="1:4" ht="13" x14ac:dyDescent="0.15">
      <c r="A423" s="10"/>
      <c r="B423" s="13"/>
      <c r="C423" s="13"/>
      <c r="D423" s="13"/>
    </row>
    <row r="424" spans="1:4" ht="13" x14ac:dyDescent="0.15">
      <c r="A424" s="10"/>
      <c r="B424" s="13"/>
      <c r="C424" s="13"/>
      <c r="D424" s="13"/>
    </row>
    <row r="425" spans="1:4" ht="13" x14ac:dyDescent="0.15">
      <c r="A425" s="10"/>
      <c r="B425" s="13"/>
      <c r="C425" s="13"/>
      <c r="D425" s="13"/>
    </row>
    <row r="426" spans="1:4" ht="13" x14ac:dyDescent="0.15">
      <c r="A426" s="10"/>
      <c r="B426" s="13"/>
      <c r="C426" s="13"/>
      <c r="D426" s="13"/>
    </row>
    <row r="427" spans="1:4" ht="13" x14ac:dyDescent="0.15">
      <c r="A427" s="10"/>
      <c r="B427" s="13"/>
      <c r="C427" s="13"/>
      <c r="D427" s="13"/>
    </row>
    <row r="428" spans="1:4" ht="13" x14ac:dyDescent="0.15">
      <c r="A428" s="10"/>
      <c r="B428" s="13"/>
      <c r="C428" s="13"/>
      <c r="D428" s="13"/>
    </row>
    <row r="429" spans="1:4" ht="13" x14ac:dyDescent="0.15">
      <c r="A429" s="10"/>
      <c r="B429" s="13"/>
      <c r="C429" s="13"/>
      <c r="D429" s="13"/>
    </row>
    <row r="430" spans="1:4" ht="13" x14ac:dyDescent="0.15">
      <c r="A430" s="10"/>
      <c r="B430" s="13"/>
      <c r="C430" s="13"/>
      <c r="D430" s="13"/>
    </row>
    <row r="431" spans="1:4" ht="13" x14ac:dyDescent="0.15">
      <c r="A431" s="10"/>
      <c r="B431" s="13"/>
      <c r="C431" s="13"/>
      <c r="D431" s="13"/>
    </row>
    <row r="432" spans="1:4" ht="13" x14ac:dyDescent="0.15">
      <c r="A432" s="10"/>
      <c r="B432" s="13"/>
      <c r="C432" s="13"/>
      <c r="D432" s="13"/>
    </row>
    <row r="433" spans="1:4" ht="13" x14ac:dyDescent="0.15">
      <c r="A433" s="10"/>
      <c r="B433" s="13"/>
      <c r="C433" s="13"/>
      <c r="D433" s="13"/>
    </row>
    <row r="434" spans="1:4" ht="13" x14ac:dyDescent="0.15">
      <c r="A434" s="10"/>
      <c r="B434" s="13"/>
      <c r="C434" s="13"/>
      <c r="D434" s="13"/>
    </row>
    <row r="435" spans="1:4" ht="13" x14ac:dyDescent="0.15">
      <c r="A435" s="10"/>
      <c r="B435" s="13"/>
      <c r="C435" s="13"/>
      <c r="D435" s="13"/>
    </row>
    <row r="436" spans="1:4" ht="13" x14ac:dyDescent="0.15">
      <c r="A436" s="10"/>
      <c r="B436" s="13"/>
      <c r="C436" s="13"/>
      <c r="D436" s="13"/>
    </row>
    <row r="437" spans="1:4" ht="13" x14ac:dyDescent="0.15">
      <c r="A437" s="10"/>
      <c r="B437" s="13"/>
      <c r="C437" s="13"/>
      <c r="D437" s="13"/>
    </row>
    <row r="438" spans="1:4" ht="13" x14ac:dyDescent="0.15">
      <c r="A438" s="10"/>
      <c r="B438" s="13"/>
      <c r="C438" s="13"/>
      <c r="D438" s="13"/>
    </row>
    <row r="439" spans="1:4" ht="13" x14ac:dyDescent="0.15">
      <c r="A439" s="10"/>
      <c r="B439" s="13"/>
      <c r="C439" s="13"/>
      <c r="D439" s="13"/>
    </row>
    <row r="440" spans="1:4" ht="13" x14ac:dyDescent="0.15">
      <c r="A440" s="10"/>
      <c r="B440" s="13"/>
      <c r="C440" s="13"/>
      <c r="D440" s="13"/>
    </row>
    <row r="441" spans="1:4" ht="13" x14ac:dyDescent="0.15">
      <c r="A441" s="10"/>
      <c r="B441" s="13"/>
      <c r="C441" s="13"/>
      <c r="D441" s="13"/>
    </row>
    <row r="442" spans="1:4" ht="13" x14ac:dyDescent="0.15">
      <c r="A442" s="10"/>
      <c r="B442" s="13"/>
      <c r="C442" s="13"/>
      <c r="D442" s="13"/>
    </row>
    <row r="443" spans="1:4" ht="13" x14ac:dyDescent="0.15">
      <c r="A443" s="10"/>
      <c r="B443" s="13"/>
      <c r="C443" s="13"/>
      <c r="D443" s="13"/>
    </row>
    <row r="444" spans="1:4" ht="13" x14ac:dyDescent="0.15">
      <c r="A444" s="10"/>
      <c r="B444" s="13"/>
      <c r="C444" s="13"/>
      <c r="D444" s="13"/>
    </row>
    <row r="445" spans="1:4" ht="13" x14ac:dyDescent="0.15">
      <c r="A445" s="10"/>
      <c r="B445" s="13"/>
      <c r="C445" s="13"/>
      <c r="D445" s="13"/>
    </row>
    <row r="446" spans="1:4" ht="13" x14ac:dyDescent="0.15">
      <c r="A446" s="10"/>
      <c r="B446" s="13"/>
      <c r="C446" s="13"/>
      <c r="D446" s="13"/>
    </row>
    <row r="447" spans="1:4" ht="13" x14ac:dyDescent="0.15">
      <c r="A447" s="10"/>
      <c r="B447" s="13"/>
      <c r="C447" s="13"/>
      <c r="D447" s="13"/>
    </row>
    <row r="448" spans="1:4" ht="13" x14ac:dyDescent="0.15">
      <c r="A448" s="10"/>
      <c r="B448" s="13"/>
      <c r="C448" s="13"/>
      <c r="D448" s="13"/>
    </row>
    <row r="449" spans="1:4" ht="13" x14ac:dyDescent="0.15">
      <c r="A449" s="10"/>
      <c r="B449" s="13"/>
      <c r="C449" s="13"/>
      <c r="D449" s="13"/>
    </row>
    <row r="450" spans="1:4" ht="13" x14ac:dyDescent="0.15">
      <c r="A450" s="10"/>
      <c r="B450" s="13"/>
      <c r="C450" s="13"/>
      <c r="D450" s="13"/>
    </row>
    <row r="451" spans="1:4" ht="13" x14ac:dyDescent="0.15">
      <c r="A451" s="10"/>
      <c r="B451" s="13"/>
      <c r="C451" s="13"/>
      <c r="D451" s="13"/>
    </row>
    <row r="452" spans="1:4" ht="13" x14ac:dyDescent="0.15">
      <c r="A452" s="10"/>
      <c r="B452" s="13"/>
      <c r="C452" s="13"/>
      <c r="D452" s="13"/>
    </row>
    <row r="453" spans="1:4" ht="13" x14ac:dyDescent="0.15">
      <c r="A453" s="10"/>
      <c r="B453" s="13"/>
      <c r="C453" s="13"/>
      <c r="D453" s="13"/>
    </row>
    <row r="454" spans="1:4" ht="13" x14ac:dyDescent="0.15">
      <c r="A454" s="10"/>
      <c r="B454" s="13"/>
      <c r="C454" s="13"/>
      <c r="D454" s="13"/>
    </row>
    <row r="455" spans="1:4" ht="13" x14ac:dyDescent="0.15">
      <c r="A455" s="10"/>
      <c r="B455" s="13"/>
      <c r="C455" s="13"/>
      <c r="D455" s="13"/>
    </row>
    <row r="456" spans="1:4" ht="13" x14ac:dyDescent="0.15">
      <c r="A456" s="10"/>
      <c r="B456" s="13"/>
      <c r="C456" s="13"/>
      <c r="D456" s="13"/>
    </row>
    <row r="457" spans="1:4" ht="13" x14ac:dyDescent="0.15">
      <c r="A457" s="10"/>
      <c r="B457" s="13"/>
      <c r="C457" s="13"/>
      <c r="D457" s="13"/>
    </row>
    <row r="458" spans="1:4" ht="13" x14ac:dyDescent="0.15">
      <c r="A458" s="10"/>
      <c r="B458" s="13"/>
      <c r="C458" s="13"/>
      <c r="D458" s="13"/>
    </row>
    <row r="459" spans="1:4" ht="13" x14ac:dyDescent="0.15">
      <c r="A459" s="10"/>
      <c r="B459" s="13"/>
      <c r="C459" s="13"/>
      <c r="D459" s="13"/>
    </row>
    <row r="460" spans="1:4" ht="13" x14ac:dyDescent="0.15">
      <c r="A460" s="10"/>
      <c r="B460" s="13"/>
      <c r="C460" s="13"/>
      <c r="D460" s="13"/>
    </row>
    <row r="461" spans="1:4" ht="13" x14ac:dyDescent="0.15">
      <c r="A461" s="10"/>
      <c r="B461" s="13"/>
      <c r="C461" s="13"/>
      <c r="D461" s="13"/>
    </row>
    <row r="462" spans="1:4" ht="13" x14ac:dyDescent="0.15">
      <c r="A462" s="10"/>
      <c r="B462" s="13"/>
      <c r="C462" s="13"/>
      <c r="D462" s="13"/>
    </row>
    <row r="463" spans="1:4" ht="13" x14ac:dyDescent="0.15">
      <c r="A463" s="10"/>
      <c r="B463" s="13"/>
      <c r="C463" s="13"/>
      <c r="D463" s="13"/>
    </row>
    <row r="464" spans="1:4" ht="13" x14ac:dyDescent="0.15">
      <c r="A464" s="10"/>
      <c r="B464" s="13"/>
      <c r="C464" s="13"/>
      <c r="D464" s="13"/>
    </row>
    <row r="465" spans="1:4" ht="13" x14ac:dyDescent="0.15">
      <c r="A465" s="10"/>
      <c r="B465" s="13"/>
      <c r="C465" s="13"/>
      <c r="D465" s="13"/>
    </row>
    <row r="466" spans="1:4" ht="13" x14ac:dyDescent="0.15">
      <c r="A466" s="10"/>
      <c r="B466" s="13"/>
      <c r="C466" s="13"/>
      <c r="D466" s="13"/>
    </row>
    <row r="467" spans="1:4" ht="13" x14ac:dyDescent="0.15">
      <c r="A467" s="10"/>
      <c r="B467" s="13"/>
      <c r="C467" s="13"/>
      <c r="D467" s="13"/>
    </row>
    <row r="468" spans="1:4" ht="13" x14ac:dyDescent="0.15">
      <c r="A468" s="10"/>
      <c r="B468" s="13"/>
      <c r="C468" s="13"/>
      <c r="D468" s="13"/>
    </row>
    <row r="469" spans="1:4" ht="13" x14ac:dyDescent="0.15">
      <c r="A469" s="10"/>
      <c r="B469" s="13"/>
      <c r="C469" s="13"/>
      <c r="D469" s="13"/>
    </row>
    <row r="470" spans="1:4" ht="13" x14ac:dyDescent="0.15">
      <c r="A470" s="10"/>
      <c r="B470" s="13"/>
      <c r="C470" s="13"/>
      <c r="D470" s="13"/>
    </row>
    <row r="471" spans="1:4" ht="13" x14ac:dyDescent="0.15">
      <c r="A471" s="10"/>
      <c r="B471" s="13"/>
      <c r="C471" s="13"/>
      <c r="D471" s="13"/>
    </row>
    <row r="472" spans="1:4" ht="13" x14ac:dyDescent="0.15">
      <c r="A472" s="10"/>
      <c r="B472" s="13"/>
      <c r="C472" s="13"/>
      <c r="D472" s="13"/>
    </row>
    <row r="473" spans="1:4" ht="13" x14ac:dyDescent="0.15">
      <c r="A473" s="10"/>
      <c r="B473" s="13"/>
      <c r="C473" s="13"/>
      <c r="D473" s="13"/>
    </row>
    <row r="474" spans="1:4" ht="13" x14ac:dyDescent="0.15">
      <c r="A474" s="10"/>
      <c r="B474" s="13"/>
      <c r="C474" s="13"/>
      <c r="D474" s="13"/>
    </row>
    <row r="475" spans="1:4" ht="13" x14ac:dyDescent="0.15">
      <c r="A475" s="10"/>
      <c r="B475" s="13"/>
      <c r="C475" s="13"/>
      <c r="D475" s="13"/>
    </row>
    <row r="476" spans="1:4" ht="13" x14ac:dyDescent="0.15">
      <c r="A476" s="10"/>
      <c r="B476" s="13"/>
      <c r="C476" s="13"/>
      <c r="D476" s="13"/>
    </row>
    <row r="477" spans="1:4" ht="13" x14ac:dyDescent="0.15">
      <c r="A477" s="10"/>
      <c r="B477" s="13"/>
      <c r="C477" s="13"/>
      <c r="D477" s="13"/>
    </row>
    <row r="478" spans="1:4" ht="13" x14ac:dyDescent="0.15">
      <c r="A478" s="10"/>
      <c r="B478" s="13"/>
      <c r="C478" s="13"/>
      <c r="D478" s="13"/>
    </row>
    <row r="479" spans="1:4" ht="13" x14ac:dyDescent="0.15">
      <c r="A479" s="10"/>
      <c r="B479" s="13"/>
      <c r="C479" s="13"/>
      <c r="D479" s="13"/>
    </row>
    <row r="480" spans="1:4" ht="13" x14ac:dyDescent="0.15">
      <c r="A480" s="10"/>
      <c r="B480" s="13"/>
      <c r="C480" s="13"/>
      <c r="D480" s="13"/>
    </row>
    <row r="481" spans="1:4" ht="13" x14ac:dyDescent="0.15">
      <c r="A481" s="10"/>
      <c r="B481" s="13"/>
      <c r="C481" s="13"/>
      <c r="D481" s="13"/>
    </row>
    <row r="482" spans="1:4" ht="13" x14ac:dyDescent="0.15">
      <c r="A482" s="10"/>
      <c r="B482" s="13"/>
      <c r="C482" s="13"/>
      <c r="D482" s="13"/>
    </row>
    <row r="483" spans="1:4" ht="13" x14ac:dyDescent="0.15">
      <c r="A483" s="10"/>
      <c r="B483" s="13"/>
      <c r="C483" s="13"/>
      <c r="D483" s="13"/>
    </row>
    <row r="484" spans="1:4" ht="13" x14ac:dyDescent="0.15">
      <c r="A484" s="10"/>
      <c r="B484" s="13"/>
      <c r="C484" s="13"/>
      <c r="D484" s="13"/>
    </row>
    <row r="485" spans="1:4" ht="13" x14ac:dyDescent="0.15">
      <c r="A485" s="10"/>
      <c r="B485" s="13"/>
      <c r="C485" s="13"/>
      <c r="D485" s="13"/>
    </row>
    <row r="486" spans="1:4" ht="13" x14ac:dyDescent="0.15">
      <c r="A486" s="10"/>
      <c r="B486" s="13"/>
      <c r="C486" s="13"/>
      <c r="D486" s="13"/>
    </row>
    <row r="487" spans="1:4" ht="13" x14ac:dyDescent="0.15">
      <c r="A487" s="10"/>
      <c r="B487" s="13"/>
      <c r="C487" s="13"/>
      <c r="D487" s="13"/>
    </row>
    <row r="488" spans="1:4" ht="13" x14ac:dyDescent="0.15">
      <c r="A488" s="10"/>
      <c r="B488" s="13"/>
      <c r="C488" s="13"/>
      <c r="D488" s="13"/>
    </row>
    <row r="489" spans="1:4" ht="13" x14ac:dyDescent="0.15">
      <c r="A489" s="10"/>
      <c r="B489" s="13"/>
      <c r="C489" s="13"/>
      <c r="D489" s="13"/>
    </row>
    <row r="490" spans="1:4" ht="13" x14ac:dyDescent="0.15">
      <c r="A490" s="10"/>
      <c r="B490" s="13"/>
      <c r="C490" s="13"/>
      <c r="D490" s="13"/>
    </row>
    <row r="491" spans="1:4" ht="13" x14ac:dyDescent="0.15">
      <c r="A491" s="10"/>
      <c r="B491" s="13"/>
      <c r="C491" s="13"/>
      <c r="D491" s="13"/>
    </row>
    <row r="492" spans="1:4" ht="13" x14ac:dyDescent="0.15">
      <c r="A492" s="10"/>
      <c r="B492" s="13"/>
      <c r="C492" s="13"/>
      <c r="D492" s="13"/>
    </row>
    <row r="493" spans="1:4" ht="13" x14ac:dyDescent="0.15">
      <c r="A493" s="10"/>
      <c r="B493" s="13"/>
      <c r="C493" s="13"/>
      <c r="D493" s="13"/>
    </row>
    <row r="494" spans="1:4" ht="13" x14ac:dyDescent="0.15">
      <c r="A494" s="10"/>
      <c r="B494" s="13"/>
      <c r="C494" s="13"/>
      <c r="D494" s="13"/>
    </row>
    <row r="495" spans="1:4" ht="13" x14ac:dyDescent="0.15">
      <c r="A495" s="10"/>
      <c r="B495" s="13"/>
      <c r="C495" s="13"/>
      <c r="D495" s="13"/>
    </row>
    <row r="496" spans="1:4" ht="13" x14ac:dyDescent="0.15">
      <c r="A496" s="10"/>
      <c r="B496" s="13"/>
      <c r="C496" s="13"/>
      <c r="D496" s="13"/>
    </row>
    <row r="497" spans="1:4" ht="13" x14ac:dyDescent="0.15">
      <c r="A497" s="10"/>
      <c r="B497" s="13"/>
      <c r="C497" s="13"/>
      <c r="D497" s="13"/>
    </row>
    <row r="498" spans="1:4" ht="13" x14ac:dyDescent="0.15">
      <c r="A498" s="10"/>
      <c r="B498" s="13"/>
      <c r="C498" s="13"/>
      <c r="D498" s="13"/>
    </row>
    <row r="499" spans="1:4" ht="13" x14ac:dyDescent="0.15">
      <c r="A499" s="10"/>
      <c r="B499" s="13"/>
      <c r="C499" s="13"/>
      <c r="D499" s="13"/>
    </row>
    <row r="500" spans="1:4" ht="13" x14ac:dyDescent="0.15">
      <c r="A500" s="10"/>
      <c r="B500" s="13"/>
      <c r="C500" s="13"/>
      <c r="D500" s="13"/>
    </row>
    <row r="501" spans="1:4" ht="13" x14ac:dyDescent="0.15">
      <c r="A501" s="10"/>
      <c r="B501" s="13"/>
      <c r="C501" s="13"/>
      <c r="D501" s="13"/>
    </row>
    <row r="502" spans="1:4" ht="13" x14ac:dyDescent="0.15">
      <c r="A502" s="10"/>
      <c r="B502" s="13"/>
      <c r="C502" s="13"/>
      <c r="D502" s="13"/>
    </row>
    <row r="503" spans="1:4" ht="13" x14ac:dyDescent="0.15">
      <c r="A503" s="10"/>
      <c r="B503" s="13"/>
      <c r="C503" s="13"/>
      <c r="D503" s="13"/>
    </row>
    <row r="504" spans="1:4" ht="13" x14ac:dyDescent="0.15">
      <c r="A504" s="10"/>
      <c r="B504" s="13"/>
      <c r="C504" s="13"/>
      <c r="D504" s="13"/>
    </row>
    <row r="505" spans="1:4" ht="13" x14ac:dyDescent="0.15">
      <c r="A505" s="10"/>
      <c r="B505" s="13"/>
      <c r="C505" s="13"/>
      <c r="D505" s="13"/>
    </row>
    <row r="506" spans="1:4" ht="13" x14ac:dyDescent="0.15">
      <c r="A506" s="10"/>
      <c r="B506" s="13"/>
      <c r="C506" s="13"/>
      <c r="D506" s="13"/>
    </row>
    <row r="507" spans="1:4" ht="13" x14ac:dyDescent="0.15">
      <c r="A507" s="10"/>
      <c r="B507" s="13"/>
      <c r="C507" s="13"/>
      <c r="D507" s="13"/>
    </row>
    <row r="508" spans="1:4" ht="13" x14ac:dyDescent="0.15">
      <c r="A508" s="10"/>
      <c r="B508" s="13"/>
      <c r="C508" s="13"/>
      <c r="D508" s="13"/>
    </row>
    <row r="509" spans="1:4" ht="13" x14ac:dyDescent="0.15">
      <c r="A509" s="10"/>
      <c r="B509" s="13"/>
      <c r="C509" s="13"/>
      <c r="D509" s="13"/>
    </row>
    <row r="510" spans="1:4" ht="13" x14ac:dyDescent="0.15">
      <c r="A510" s="10"/>
      <c r="B510" s="13"/>
      <c r="C510" s="13"/>
      <c r="D510" s="13"/>
    </row>
    <row r="511" spans="1:4" ht="13" x14ac:dyDescent="0.15">
      <c r="A511" s="10"/>
      <c r="B511" s="13"/>
      <c r="C511" s="13"/>
      <c r="D511" s="13"/>
    </row>
    <row r="512" spans="1:4" ht="13" x14ac:dyDescent="0.15">
      <c r="A512" s="10"/>
      <c r="B512" s="13"/>
      <c r="C512" s="13"/>
      <c r="D512" s="13"/>
    </row>
    <row r="513" spans="1:4" ht="13" x14ac:dyDescent="0.15">
      <c r="A513" s="10"/>
      <c r="B513" s="13"/>
      <c r="C513" s="13"/>
      <c r="D513" s="13"/>
    </row>
    <row r="514" spans="1:4" ht="13" x14ac:dyDescent="0.15">
      <c r="A514" s="10"/>
      <c r="B514" s="13"/>
      <c r="C514" s="13"/>
      <c r="D514" s="13"/>
    </row>
    <row r="515" spans="1:4" ht="13" x14ac:dyDescent="0.15">
      <c r="A515" s="10"/>
      <c r="B515" s="13"/>
      <c r="C515" s="13"/>
      <c r="D515" s="13"/>
    </row>
    <row r="516" spans="1:4" ht="13" x14ac:dyDescent="0.15">
      <c r="A516" s="10"/>
      <c r="B516" s="13"/>
      <c r="C516" s="13"/>
      <c r="D516" s="13"/>
    </row>
    <row r="517" spans="1:4" ht="13" x14ac:dyDescent="0.15">
      <c r="A517" s="10"/>
      <c r="B517" s="13"/>
      <c r="C517" s="13"/>
      <c r="D517" s="13"/>
    </row>
    <row r="518" spans="1:4" ht="13" x14ac:dyDescent="0.15">
      <c r="A518" s="10"/>
      <c r="B518" s="13"/>
      <c r="C518" s="13"/>
      <c r="D518" s="13"/>
    </row>
    <row r="519" spans="1:4" ht="13" x14ac:dyDescent="0.15">
      <c r="A519" s="10"/>
      <c r="B519" s="13"/>
      <c r="C519" s="13"/>
      <c r="D519" s="13"/>
    </row>
    <row r="520" spans="1:4" ht="13" x14ac:dyDescent="0.15">
      <c r="A520" s="10"/>
      <c r="B520" s="13"/>
      <c r="C520" s="13"/>
      <c r="D520" s="13"/>
    </row>
    <row r="521" spans="1:4" ht="13" x14ac:dyDescent="0.15">
      <c r="A521" s="10"/>
      <c r="B521" s="13"/>
      <c r="C521" s="13"/>
      <c r="D521" s="13"/>
    </row>
    <row r="522" spans="1:4" ht="13" x14ac:dyDescent="0.15">
      <c r="A522" s="10"/>
      <c r="B522" s="13"/>
      <c r="C522" s="13"/>
      <c r="D522" s="13"/>
    </row>
    <row r="523" spans="1:4" ht="13" x14ac:dyDescent="0.15">
      <c r="A523" s="10"/>
      <c r="B523" s="13"/>
      <c r="C523" s="13"/>
      <c r="D523" s="13"/>
    </row>
    <row r="524" spans="1:4" ht="13" x14ac:dyDescent="0.15">
      <c r="A524" s="10"/>
      <c r="B524" s="13"/>
      <c r="C524" s="13"/>
      <c r="D524" s="13"/>
    </row>
    <row r="525" spans="1:4" ht="13" x14ac:dyDescent="0.15">
      <c r="A525" s="10"/>
      <c r="B525" s="13"/>
      <c r="C525" s="13"/>
      <c r="D525" s="13"/>
    </row>
    <row r="526" spans="1:4" ht="13" x14ac:dyDescent="0.15">
      <c r="A526" s="10"/>
      <c r="B526" s="13"/>
      <c r="C526" s="13"/>
      <c r="D526" s="13"/>
    </row>
    <row r="527" spans="1:4" ht="13" x14ac:dyDescent="0.15">
      <c r="A527" s="10"/>
      <c r="B527" s="13"/>
      <c r="C527" s="13"/>
      <c r="D527" s="13"/>
    </row>
    <row r="528" spans="1:4" ht="13" x14ac:dyDescent="0.15">
      <c r="A528" s="10"/>
      <c r="B528" s="13"/>
      <c r="C528" s="13"/>
      <c r="D528" s="13"/>
    </row>
    <row r="529" spans="1:4" ht="13" x14ac:dyDescent="0.15">
      <c r="A529" s="10"/>
      <c r="B529" s="13"/>
      <c r="C529" s="13"/>
      <c r="D529" s="13"/>
    </row>
    <row r="530" spans="1:4" ht="13" x14ac:dyDescent="0.15">
      <c r="A530" s="10"/>
      <c r="B530" s="13"/>
      <c r="C530" s="13"/>
      <c r="D530" s="13"/>
    </row>
    <row r="531" spans="1:4" ht="13" x14ac:dyDescent="0.15">
      <c r="A531" s="10"/>
      <c r="B531" s="13"/>
      <c r="C531" s="13"/>
      <c r="D531" s="13"/>
    </row>
    <row r="532" spans="1:4" ht="13" x14ac:dyDescent="0.15">
      <c r="A532" s="10"/>
      <c r="B532" s="13"/>
      <c r="C532" s="13"/>
      <c r="D532" s="13"/>
    </row>
    <row r="533" spans="1:4" ht="13" x14ac:dyDescent="0.15">
      <c r="A533" s="10"/>
      <c r="B533" s="13"/>
      <c r="C533" s="13"/>
      <c r="D533" s="13"/>
    </row>
    <row r="534" spans="1:4" ht="13" x14ac:dyDescent="0.15">
      <c r="A534" s="10"/>
      <c r="B534" s="13"/>
      <c r="C534" s="13"/>
      <c r="D534" s="13"/>
    </row>
    <row r="535" spans="1:4" ht="13" x14ac:dyDescent="0.15">
      <c r="A535" s="10"/>
      <c r="B535" s="13"/>
      <c r="C535" s="13"/>
      <c r="D535" s="13"/>
    </row>
    <row r="536" spans="1:4" ht="13" x14ac:dyDescent="0.15">
      <c r="A536" s="10"/>
      <c r="B536" s="13"/>
      <c r="C536" s="13"/>
      <c r="D536" s="13"/>
    </row>
    <row r="537" spans="1:4" ht="13" x14ac:dyDescent="0.15">
      <c r="A537" s="10"/>
      <c r="B537" s="13"/>
      <c r="C537" s="13"/>
      <c r="D537" s="13"/>
    </row>
    <row r="538" spans="1:4" ht="13" x14ac:dyDescent="0.15">
      <c r="A538" s="10"/>
      <c r="B538" s="13"/>
      <c r="C538" s="13"/>
      <c r="D538" s="13"/>
    </row>
    <row r="539" spans="1:4" ht="13" x14ac:dyDescent="0.15">
      <c r="A539" s="10"/>
      <c r="B539" s="13"/>
      <c r="C539" s="13"/>
      <c r="D539" s="13"/>
    </row>
    <row r="540" spans="1:4" ht="13" x14ac:dyDescent="0.15">
      <c r="A540" s="10"/>
      <c r="B540" s="13"/>
      <c r="C540" s="13"/>
      <c r="D540" s="13"/>
    </row>
    <row r="541" spans="1:4" ht="13" x14ac:dyDescent="0.15">
      <c r="A541" s="10"/>
      <c r="B541" s="13"/>
      <c r="C541" s="13"/>
      <c r="D541" s="13"/>
    </row>
    <row r="542" spans="1:4" ht="13" x14ac:dyDescent="0.15">
      <c r="A542" s="10"/>
      <c r="B542" s="13"/>
      <c r="C542" s="13"/>
      <c r="D542" s="13"/>
    </row>
    <row r="543" spans="1:4" ht="13" x14ac:dyDescent="0.15">
      <c r="A543" s="10"/>
      <c r="B543" s="13"/>
      <c r="C543" s="13"/>
      <c r="D543" s="13"/>
    </row>
    <row r="544" spans="1:4" ht="13" x14ac:dyDescent="0.15">
      <c r="A544" s="10"/>
      <c r="B544" s="13"/>
      <c r="C544" s="13"/>
      <c r="D544" s="13"/>
    </row>
    <row r="545" spans="1:4" ht="13" x14ac:dyDescent="0.15">
      <c r="A545" s="10"/>
      <c r="B545" s="13"/>
      <c r="C545" s="13"/>
      <c r="D545" s="13"/>
    </row>
    <row r="546" spans="1:4" ht="13" x14ac:dyDescent="0.15">
      <c r="A546" s="10"/>
      <c r="B546" s="13"/>
      <c r="C546" s="13"/>
      <c r="D546" s="13"/>
    </row>
    <row r="547" spans="1:4" ht="13" x14ac:dyDescent="0.15">
      <c r="A547" s="10"/>
      <c r="B547" s="13"/>
      <c r="C547" s="13"/>
      <c r="D547" s="13"/>
    </row>
    <row r="548" spans="1:4" ht="13" x14ac:dyDescent="0.15">
      <c r="A548" s="10"/>
      <c r="B548" s="13"/>
      <c r="C548" s="13"/>
      <c r="D548" s="13"/>
    </row>
    <row r="549" spans="1:4" ht="13" x14ac:dyDescent="0.15">
      <c r="A549" s="10"/>
      <c r="B549" s="13"/>
      <c r="C549" s="13"/>
      <c r="D549" s="13"/>
    </row>
    <row r="550" spans="1:4" ht="13" x14ac:dyDescent="0.15">
      <c r="A550" s="10"/>
      <c r="B550" s="13"/>
      <c r="C550" s="13"/>
      <c r="D550" s="13"/>
    </row>
    <row r="551" spans="1:4" ht="13" x14ac:dyDescent="0.15">
      <c r="A551" s="10"/>
      <c r="B551" s="13"/>
      <c r="C551" s="13"/>
      <c r="D551" s="13"/>
    </row>
    <row r="552" spans="1:4" ht="13" x14ac:dyDescent="0.15">
      <c r="A552" s="10"/>
      <c r="B552" s="13"/>
      <c r="C552" s="13"/>
      <c r="D552" s="13"/>
    </row>
    <row r="553" spans="1:4" ht="13" x14ac:dyDescent="0.15">
      <c r="A553" s="10"/>
      <c r="B553" s="13"/>
      <c r="C553" s="13"/>
      <c r="D553" s="13"/>
    </row>
    <row r="554" spans="1:4" ht="13" x14ac:dyDescent="0.15">
      <c r="A554" s="10"/>
      <c r="B554" s="13"/>
      <c r="C554" s="13"/>
      <c r="D554" s="13"/>
    </row>
    <row r="555" spans="1:4" ht="13" x14ac:dyDescent="0.15">
      <c r="A555" s="10"/>
      <c r="B555" s="13"/>
      <c r="C555" s="13"/>
      <c r="D555" s="13"/>
    </row>
    <row r="556" spans="1:4" ht="13" x14ac:dyDescent="0.15">
      <c r="A556" s="10"/>
      <c r="B556" s="13"/>
      <c r="C556" s="13"/>
      <c r="D556" s="13"/>
    </row>
    <row r="557" spans="1:4" ht="13" x14ac:dyDescent="0.15">
      <c r="A557" s="10"/>
      <c r="B557" s="13"/>
      <c r="C557" s="13"/>
      <c r="D557" s="13"/>
    </row>
    <row r="558" spans="1:4" ht="13" x14ac:dyDescent="0.15">
      <c r="A558" s="10"/>
      <c r="B558" s="13"/>
      <c r="C558" s="13"/>
      <c r="D558" s="13"/>
    </row>
    <row r="559" spans="1:4" ht="13" x14ac:dyDescent="0.15">
      <c r="A559" s="10"/>
      <c r="B559" s="13"/>
      <c r="C559" s="13"/>
      <c r="D559" s="13"/>
    </row>
    <row r="560" spans="1:4" ht="13" x14ac:dyDescent="0.15">
      <c r="A560" s="10"/>
      <c r="B560" s="13"/>
      <c r="C560" s="13"/>
      <c r="D560" s="13"/>
    </row>
    <row r="561" spans="1:4" ht="13" x14ac:dyDescent="0.15">
      <c r="A561" s="10"/>
      <c r="B561" s="13"/>
      <c r="C561" s="13"/>
      <c r="D561" s="13"/>
    </row>
    <row r="562" spans="1:4" ht="13" x14ac:dyDescent="0.15">
      <c r="A562" s="10"/>
      <c r="B562" s="13"/>
      <c r="C562" s="13"/>
      <c r="D562" s="13"/>
    </row>
    <row r="563" spans="1:4" ht="13" x14ac:dyDescent="0.15">
      <c r="A563" s="10"/>
      <c r="B563" s="13"/>
      <c r="C563" s="13"/>
      <c r="D563" s="13"/>
    </row>
    <row r="564" spans="1:4" ht="13" x14ac:dyDescent="0.15">
      <c r="A564" s="10"/>
      <c r="B564" s="13"/>
      <c r="C564" s="13"/>
      <c r="D564" s="13"/>
    </row>
    <row r="565" spans="1:4" ht="13" x14ac:dyDescent="0.15">
      <c r="A565" s="10"/>
      <c r="B565" s="13"/>
      <c r="C565" s="13"/>
      <c r="D565" s="13"/>
    </row>
    <row r="566" spans="1:4" ht="13" x14ac:dyDescent="0.15">
      <c r="A566" s="10"/>
      <c r="B566" s="13"/>
      <c r="C566" s="13"/>
      <c r="D566" s="13"/>
    </row>
    <row r="567" spans="1:4" ht="13" x14ac:dyDescent="0.15">
      <c r="A567" s="10"/>
      <c r="B567" s="13"/>
      <c r="C567" s="13"/>
      <c r="D567" s="13"/>
    </row>
    <row r="568" spans="1:4" ht="13" x14ac:dyDescent="0.15">
      <c r="A568" s="10"/>
      <c r="B568" s="13"/>
      <c r="C568" s="13"/>
      <c r="D568" s="13"/>
    </row>
    <row r="569" spans="1:4" ht="13" x14ac:dyDescent="0.15">
      <c r="A569" s="10"/>
      <c r="B569" s="13"/>
      <c r="C569" s="13"/>
      <c r="D569" s="13"/>
    </row>
    <row r="570" spans="1:4" ht="13" x14ac:dyDescent="0.15">
      <c r="A570" s="10"/>
      <c r="B570" s="13"/>
      <c r="C570" s="13"/>
      <c r="D570" s="13"/>
    </row>
    <row r="571" spans="1:4" ht="13" x14ac:dyDescent="0.15">
      <c r="A571" s="10"/>
      <c r="B571" s="13"/>
      <c r="C571" s="13"/>
      <c r="D571" s="13"/>
    </row>
    <row r="572" spans="1:4" ht="13" x14ac:dyDescent="0.15">
      <c r="A572" s="10"/>
      <c r="B572" s="13"/>
      <c r="C572" s="13"/>
      <c r="D572" s="13"/>
    </row>
    <row r="573" spans="1:4" ht="13" x14ac:dyDescent="0.15">
      <c r="A573" s="10"/>
      <c r="B573" s="13"/>
      <c r="C573" s="13"/>
      <c r="D573" s="13"/>
    </row>
    <row r="574" spans="1:4" ht="13" x14ac:dyDescent="0.15">
      <c r="A574" s="10"/>
      <c r="B574" s="13"/>
      <c r="C574" s="13"/>
      <c r="D574" s="13"/>
    </row>
    <row r="575" spans="1:4" ht="13" x14ac:dyDescent="0.15">
      <c r="A575" s="10"/>
      <c r="B575" s="13"/>
      <c r="C575" s="13"/>
      <c r="D575" s="13"/>
    </row>
    <row r="576" spans="1:4" ht="13" x14ac:dyDescent="0.15">
      <c r="A576" s="10"/>
      <c r="B576" s="13"/>
      <c r="C576" s="13"/>
      <c r="D576" s="13"/>
    </row>
    <row r="577" spans="1:4" ht="13" x14ac:dyDescent="0.15">
      <c r="A577" s="10"/>
      <c r="B577" s="13"/>
      <c r="C577" s="13"/>
      <c r="D577" s="13"/>
    </row>
    <row r="578" spans="1:4" ht="13" x14ac:dyDescent="0.15">
      <c r="A578" s="10"/>
      <c r="B578" s="13"/>
      <c r="C578" s="13"/>
      <c r="D578" s="13"/>
    </row>
    <row r="579" spans="1:4" ht="13" x14ac:dyDescent="0.15">
      <c r="A579" s="10"/>
      <c r="B579" s="13"/>
      <c r="C579" s="13"/>
      <c r="D579" s="13"/>
    </row>
    <row r="580" spans="1:4" ht="13" x14ac:dyDescent="0.15">
      <c r="A580" s="10"/>
      <c r="B580" s="13"/>
      <c r="C580" s="13"/>
      <c r="D580" s="13"/>
    </row>
    <row r="581" spans="1:4" ht="13" x14ac:dyDescent="0.15">
      <c r="A581" s="10"/>
      <c r="B581" s="13"/>
      <c r="C581" s="13"/>
      <c r="D581" s="13"/>
    </row>
    <row r="582" spans="1:4" ht="13" x14ac:dyDescent="0.15">
      <c r="A582" s="10"/>
      <c r="B582" s="13"/>
      <c r="C582" s="13"/>
      <c r="D582" s="13"/>
    </row>
    <row r="583" spans="1:4" ht="13" x14ac:dyDescent="0.15">
      <c r="A583" s="10"/>
      <c r="B583" s="13"/>
      <c r="C583" s="13"/>
      <c r="D583" s="13"/>
    </row>
    <row r="584" spans="1:4" ht="13" x14ac:dyDescent="0.15">
      <c r="A584" s="10"/>
      <c r="B584" s="13"/>
      <c r="C584" s="13"/>
      <c r="D584" s="13"/>
    </row>
    <row r="585" spans="1:4" ht="13" x14ac:dyDescent="0.15">
      <c r="A585" s="10"/>
      <c r="B585" s="13"/>
      <c r="C585" s="13"/>
      <c r="D585" s="13"/>
    </row>
    <row r="586" spans="1:4" ht="13" x14ac:dyDescent="0.15">
      <c r="A586" s="10"/>
      <c r="B586" s="13"/>
      <c r="C586" s="13"/>
      <c r="D586" s="13"/>
    </row>
    <row r="587" spans="1:4" ht="13" x14ac:dyDescent="0.15">
      <c r="A587" s="10"/>
      <c r="B587" s="13"/>
      <c r="C587" s="13"/>
      <c r="D587" s="13"/>
    </row>
    <row r="588" spans="1:4" ht="13" x14ac:dyDescent="0.15">
      <c r="A588" s="10"/>
      <c r="B588" s="13"/>
      <c r="C588" s="13"/>
      <c r="D588" s="13"/>
    </row>
    <row r="589" spans="1:4" ht="13" x14ac:dyDescent="0.15">
      <c r="A589" s="10"/>
      <c r="B589" s="13"/>
      <c r="C589" s="13"/>
      <c r="D589" s="13"/>
    </row>
    <row r="590" spans="1:4" ht="13" x14ac:dyDescent="0.15">
      <c r="A590" s="10"/>
      <c r="B590" s="13"/>
      <c r="C590" s="13"/>
      <c r="D590" s="13"/>
    </row>
    <row r="591" spans="1:4" ht="13" x14ac:dyDescent="0.15">
      <c r="A591" s="10"/>
      <c r="B591" s="13"/>
      <c r="C591" s="13"/>
      <c r="D591" s="13"/>
    </row>
    <row r="592" spans="1:4" ht="13" x14ac:dyDescent="0.15">
      <c r="A592" s="10"/>
      <c r="B592" s="13"/>
      <c r="C592" s="13"/>
      <c r="D592" s="13"/>
    </row>
    <row r="593" spans="1:4" ht="13" x14ac:dyDescent="0.15">
      <c r="A593" s="10"/>
      <c r="B593" s="13"/>
      <c r="C593" s="13"/>
      <c r="D593" s="13"/>
    </row>
    <row r="594" spans="1:4" ht="13" x14ac:dyDescent="0.15">
      <c r="A594" s="10"/>
      <c r="B594" s="13"/>
      <c r="C594" s="13"/>
      <c r="D594" s="13"/>
    </row>
    <row r="595" spans="1:4" ht="13" x14ac:dyDescent="0.15">
      <c r="A595" s="10"/>
      <c r="B595" s="13"/>
      <c r="C595" s="13"/>
      <c r="D595" s="13"/>
    </row>
    <row r="596" spans="1:4" ht="13" x14ac:dyDescent="0.15">
      <c r="A596" s="10"/>
      <c r="B596" s="13"/>
      <c r="C596" s="13"/>
      <c r="D596" s="13"/>
    </row>
    <row r="597" spans="1:4" ht="13" x14ac:dyDescent="0.15">
      <c r="A597" s="10"/>
      <c r="B597" s="13"/>
      <c r="C597" s="13"/>
      <c r="D597" s="13"/>
    </row>
    <row r="598" spans="1:4" ht="13" x14ac:dyDescent="0.15">
      <c r="A598" s="10"/>
      <c r="B598" s="13"/>
      <c r="C598" s="13"/>
      <c r="D598" s="13"/>
    </row>
    <row r="599" spans="1:4" ht="13" x14ac:dyDescent="0.15">
      <c r="A599" s="10"/>
      <c r="B599" s="13"/>
      <c r="C599" s="13"/>
      <c r="D599" s="13"/>
    </row>
    <row r="600" spans="1:4" ht="13" x14ac:dyDescent="0.15">
      <c r="A600" s="10"/>
      <c r="B600" s="13"/>
      <c r="C600" s="13"/>
      <c r="D600" s="13"/>
    </row>
    <row r="601" spans="1:4" ht="13" x14ac:dyDescent="0.15">
      <c r="A601" s="10"/>
      <c r="B601" s="13"/>
      <c r="C601" s="13"/>
      <c r="D601" s="13"/>
    </row>
    <row r="602" spans="1:4" ht="13" x14ac:dyDescent="0.15">
      <c r="A602" s="10"/>
      <c r="B602" s="13"/>
      <c r="C602" s="13"/>
      <c r="D602" s="13"/>
    </row>
    <row r="603" spans="1:4" ht="13" x14ac:dyDescent="0.15">
      <c r="A603" s="10"/>
      <c r="B603" s="13"/>
      <c r="C603" s="13"/>
      <c r="D603" s="13"/>
    </row>
    <row r="604" spans="1:4" ht="13" x14ac:dyDescent="0.15">
      <c r="A604" s="10"/>
      <c r="B604" s="13"/>
      <c r="C604" s="13"/>
      <c r="D604" s="13"/>
    </row>
    <row r="605" spans="1:4" ht="13" x14ac:dyDescent="0.15">
      <c r="A605" s="10"/>
      <c r="B605" s="13"/>
      <c r="C605" s="13"/>
      <c r="D605" s="13"/>
    </row>
    <row r="606" spans="1:4" ht="13" x14ac:dyDescent="0.15">
      <c r="A606" s="10"/>
      <c r="B606" s="13"/>
      <c r="C606" s="13"/>
      <c r="D606" s="13"/>
    </row>
    <row r="607" spans="1:4" ht="13" x14ac:dyDescent="0.15">
      <c r="A607" s="10"/>
      <c r="B607" s="13"/>
      <c r="C607" s="13"/>
      <c r="D607" s="13"/>
    </row>
    <row r="608" spans="1:4" ht="13" x14ac:dyDescent="0.15">
      <c r="A608" s="10"/>
      <c r="B608" s="13"/>
      <c r="C608" s="13"/>
      <c r="D608" s="13"/>
    </row>
    <row r="609" spans="1:4" ht="13" x14ac:dyDescent="0.15">
      <c r="A609" s="10"/>
      <c r="B609" s="13"/>
      <c r="C609" s="13"/>
      <c r="D609" s="13"/>
    </row>
    <row r="610" spans="1:4" ht="13" x14ac:dyDescent="0.15">
      <c r="A610" s="10"/>
      <c r="B610" s="13"/>
      <c r="C610" s="13"/>
      <c r="D610" s="13"/>
    </row>
    <row r="611" spans="1:4" ht="13" x14ac:dyDescent="0.15">
      <c r="A611" s="10"/>
      <c r="B611" s="13"/>
      <c r="C611" s="13"/>
      <c r="D611" s="13"/>
    </row>
    <row r="612" spans="1:4" ht="13" x14ac:dyDescent="0.15">
      <c r="A612" s="10"/>
      <c r="B612" s="13"/>
      <c r="C612" s="13"/>
      <c r="D612" s="13"/>
    </row>
    <row r="613" spans="1:4" ht="13" x14ac:dyDescent="0.15">
      <c r="A613" s="10"/>
      <c r="B613" s="13"/>
      <c r="C613" s="13"/>
      <c r="D613" s="13"/>
    </row>
    <row r="614" spans="1:4" ht="13" x14ac:dyDescent="0.15">
      <c r="A614" s="10"/>
      <c r="B614" s="13"/>
      <c r="C614" s="13"/>
      <c r="D614" s="13"/>
    </row>
    <row r="615" spans="1:4" ht="13" x14ac:dyDescent="0.15">
      <c r="A615" s="10"/>
      <c r="B615" s="13"/>
      <c r="C615" s="13"/>
      <c r="D615" s="13"/>
    </row>
    <row r="616" spans="1:4" ht="13" x14ac:dyDescent="0.15">
      <c r="A616" s="10"/>
      <c r="B616" s="13"/>
      <c r="C616" s="13"/>
      <c r="D616" s="13"/>
    </row>
    <row r="617" spans="1:4" ht="13" x14ac:dyDescent="0.15">
      <c r="A617" s="10"/>
      <c r="B617" s="13"/>
      <c r="C617" s="13"/>
      <c r="D617" s="13"/>
    </row>
    <row r="618" spans="1:4" ht="13" x14ac:dyDescent="0.15">
      <c r="A618" s="10"/>
      <c r="B618" s="13"/>
      <c r="C618" s="13"/>
      <c r="D618" s="13"/>
    </row>
    <row r="619" spans="1:4" ht="13" x14ac:dyDescent="0.15">
      <c r="A619" s="10"/>
      <c r="B619" s="13"/>
      <c r="C619" s="13"/>
      <c r="D619" s="13"/>
    </row>
    <row r="620" spans="1:4" ht="13" x14ac:dyDescent="0.15">
      <c r="A620" s="10"/>
      <c r="B620" s="13"/>
      <c r="C620" s="13"/>
      <c r="D620" s="13"/>
    </row>
    <row r="621" spans="1:4" ht="13" x14ac:dyDescent="0.15">
      <c r="A621" s="10"/>
      <c r="B621" s="13"/>
      <c r="C621" s="13"/>
      <c r="D621" s="13"/>
    </row>
    <row r="622" spans="1:4" ht="13" x14ac:dyDescent="0.15">
      <c r="A622" s="10"/>
      <c r="B622" s="13"/>
      <c r="C622" s="13"/>
      <c r="D622" s="13"/>
    </row>
    <row r="623" spans="1:4" ht="13" x14ac:dyDescent="0.15">
      <c r="A623" s="10"/>
      <c r="B623" s="13"/>
      <c r="C623" s="13"/>
      <c r="D623" s="13"/>
    </row>
    <row r="624" spans="1:4" ht="13" x14ac:dyDescent="0.15">
      <c r="A624" s="10"/>
      <c r="B624" s="13"/>
      <c r="C624" s="13"/>
      <c r="D624" s="13"/>
    </row>
    <row r="625" spans="1:4" ht="13" x14ac:dyDescent="0.15">
      <c r="A625" s="10"/>
      <c r="B625" s="13"/>
      <c r="C625" s="13"/>
      <c r="D625" s="13"/>
    </row>
    <row r="626" spans="1:4" ht="13" x14ac:dyDescent="0.15">
      <c r="A626" s="10"/>
      <c r="B626" s="13"/>
      <c r="C626" s="13"/>
      <c r="D626" s="13"/>
    </row>
    <row r="627" spans="1:4" ht="13" x14ac:dyDescent="0.15">
      <c r="A627" s="10"/>
      <c r="B627" s="13"/>
      <c r="C627" s="13"/>
      <c r="D627" s="13"/>
    </row>
    <row r="628" spans="1:4" ht="13" x14ac:dyDescent="0.15">
      <c r="A628" s="10"/>
      <c r="B628" s="13"/>
      <c r="C628" s="13"/>
      <c r="D628" s="13"/>
    </row>
    <row r="629" spans="1:4" ht="13" x14ac:dyDescent="0.15">
      <c r="A629" s="10"/>
      <c r="B629" s="13"/>
      <c r="C629" s="13"/>
      <c r="D629" s="13"/>
    </row>
    <row r="630" spans="1:4" ht="13" x14ac:dyDescent="0.15">
      <c r="A630" s="10"/>
      <c r="B630" s="13"/>
      <c r="C630" s="13"/>
      <c r="D630" s="13"/>
    </row>
    <row r="631" spans="1:4" ht="13" x14ac:dyDescent="0.15">
      <c r="A631" s="10"/>
      <c r="B631" s="13"/>
      <c r="C631" s="13"/>
      <c r="D631" s="13"/>
    </row>
    <row r="632" spans="1:4" ht="13" x14ac:dyDescent="0.15">
      <c r="A632" s="10"/>
      <c r="B632" s="13"/>
      <c r="C632" s="13"/>
      <c r="D632" s="13"/>
    </row>
    <row r="633" spans="1:4" ht="13" x14ac:dyDescent="0.15">
      <c r="A633" s="10"/>
      <c r="B633" s="13"/>
      <c r="C633" s="13"/>
      <c r="D633" s="13"/>
    </row>
    <row r="634" spans="1:4" ht="13" x14ac:dyDescent="0.15">
      <c r="A634" s="10"/>
      <c r="B634" s="13"/>
      <c r="C634" s="13"/>
      <c r="D634" s="13"/>
    </row>
    <row r="635" spans="1:4" ht="13" x14ac:dyDescent="0.15">
      <c r="A635" s="10"/>
      <c r="B635" s="13"/>
      <c r="C635" s="13"/>
      <c r="D635" s="13"/>
    </row>
    <row r="636" spans="1:4" ht="13" x14ac:dyDescent="0.15">
      <c r="A636" s="10"/>
      <c r="B636" s="13"/>
      <c r="C636" s="13"/>
      <c r="D636" s="13"/>
    </row>
    <row r="637" spans="1:4" ht="13" x14ac:dyDescent="0.15">
      <c r="A637" s="10"/>
      <c r="B637" s="13"/>
      <c r="C637" s="13"/>
      <c r="D637" s="13"/>
    </row>
    <row r="638" spans="1:4" ht="13" x14ac:dyDescent="0.15">
      <c r="A638" s="10"/>
      <c r="B638" s="13"/>
      <c r="C638" s="13"/>
      <c r="D638" s="13"/>
    </row>
    <row r="639" spans="1:4" ht="13" x14ac:dyDescent="0.15">
      <c r="A639" s="10"/>
      <c r="B639" s="13"/>
      <c r="C639" s="13"/>
      <c r="D639" s="13"/>
    </row>
    <row r="640" spans="1:4" ht="13" x14ac:dyDescent="0.15">
      <c r="A640" s="10"/>
      <c r="B640" s="13"/>
      <c r="C640" s="13"/>
      <c r="D640" s="13"/>
    </row>
    <row r="641" spans="1:4" ht="13" x14ac:dyDescent="0.15">
      <c r="A641" s="10"/>
      <c r="B641" s="13"/>
      <c r="C641" s="13"/>
      <c r="D641" s="13"/>
    </row>
    <row r="642" spans="1:4" ht="13" x14ac:dyDescent="0.15">
      <c r="A642" s="10"/>
      <c r="B642" s="13"/>
      <c r="C642" s="13"/>
      <c r="D642" s="13"/>
    </row>
    <row r="643" spans="1:4" ht="13" x14ac:dyDescent="0.15">
      <c r="A643" s="10"/>
      <c r="B643" s="13"/>
      <c r="C643" s="13"/>
      <c r="D643" s="13"/>
    </row>
    <row r="644" spans="1:4" ht="13" x14ac:dyDescent="0.15">
      <c r="A644" s="10"/>
      <c r="B644" s="13"/>
      <c r="C644" s="13"/>
      <c r="D644" s="13"/>
    </row>
    <row r="645" spans="1:4" ht="13" x14ac:dyDescent="0.15">
      <c r="A645" s="10"/>
      <c r="B645" s="13"/>
      <c r="C645" s="13"/>
      <c r="D645" s="13"/>
    </row>
    <row r="646" spans="1:4" ht="13" x14ac:dyDescent="0.15">
      <c r="A646" s="10"/>
      <c r="B646" s="13"/>
      <c r="C646" s="13"/>
      <c r="D646" s="13"/>
    </row>
    <row r="647" spans="1:4" ht="13" x14ac:dyDescent="0.15">
      <c r="A647" s="10"/>
      <c r="B647" s="13"/>
      <c r="C647" s="13"/>
      <c r="D647" s="13"/>
    </row>
    <row r="648" spans="1:4" ht="13" x14ac:dyDescent="0.15">
      <c r="A648" s="10"/>
      <c r="B648" s="13"/>
      <c r="C648" s="13"/>
      <c r="D648" s="13"/>
    </row>
    <row r="649" spans="1:4" ht="13" x14ac:dyDescent="0.15">
      <c r="A649" s="10"/>
      <c r="B649" s="13"/>
      <c r="C649" s="13"/>
      <c r="D649" s="13"/>
    </row>
    <row r="650" spans="1:4" ht="13" x14ac:dyDescent="0.15">
      <c r="A650" s="10"/>
      <c r="B650" s="13"/>
      <c r="C650" s="13"/>
      <c r="D650" s="13"/>
    </row>
    <row r="651" spans="1:4" ht="13" x14ac:dyDescent="0.15">
      <c r="A651" s="10"/>
      <c r="B651" s="13"/>
      <c r="C651" s="13"/>
      <c r="D651" s="13"/>
    </row>
    <row r="652" spans="1:4" ht="13" x14ac:dyDescent="0.15">
      <c r="A652" s="10"/>
      <c r="B652" s="13"/>
      <c r="C652" s="13"/>
      <c r="D652" s="13"/>
    </row>
    <row r="653" spans="1:4" ht="13" x14ac:dyDescent="0.15">
      <c r="A653" s="10"/>
      <c r="B653" s="13"/>
      <c r="C653" s="13"/>
      <c r="D653" s="13"/>
    </row>
    <row r="654" spans="1:4" ht="13" x14ac:dyDescent="0.15">
      <c r="A654" s="10"/>
      <c r="B654" s="13"/>
      <c r="C654" s="13"/>
      <c r="D654" s="13"/>
    </row>
    <row r="655" spans="1:4" ht="13" x14ac:dyDescent="0.15">
      <c r="A655" s="10"/>
      <c r="B655" s="13"/>
      <c r="C655" s="13"/>
      <c r="D655" s="13"/>
    </row>
    <row r="656" spans="1:4" ht="13" x14ac:dyDescent="0.15">
      <c r="A656" s="10"/>
      <c r="B656" s="13"/>
      <c r="C656" s="13"/>
      <c r="D656" s="13"/>
    </row>
    <row r="657" spans="1:4" ht="13" x14ac:dyDescent="0.15">
      <c r="A657" s="10"/>
      <c r="B657" s="13"/>
      <c r="C657" s="13"/>
      <c r="D657" s="13"/>
    </row>
    <row r="658" spans="1:4" ht="13" x14ac:dyDescent="0.15">
      <c r="A658" s="10"/>
      <c r="B658" s="13"/>
      <c r="C658" s="13"/>
      <c r="D658" s="13"/>
    </row>
    <row r="659" spans="1:4" ht="13" x14ac:dyDescent="0.15">
      <c r="A659" s="10"/>
      <c r="B659" s="13"/>
      <c r="C659" s="13"/>
      <c r="D659" s="13"/>
    </row>
    <row r="660" spans="1:4" ht="13" x14ac:dyDescent="0.15">
      <c r="A660" s="10"/>
      <c r="B660" s="13"/>
      <c r="C660" s="13"/>
      <c r="D660" s="13"/>
    </row>
    <row r="661" spans="1:4" ht="13" x14ac:dyDescent="0.15">
      <c r="A661" s="10"/>
      <c r="B661" s="13"/>
      <c r="C661" s="13"/>
      <c r="D661" s="13"/>
    </row>
    <row r="662" spans="1:4" ht="13" x14ac:dyDescent="0.15">
      <c r="A662" s="10"/>
      <c r="B662" s="13"/>
      <c r="C662" s="13"/>
      <c r="D662" s="13"/>
    </row>
    <row r="663" spans="1:4" ht="13" x14ac:dyDescent="0.15">
      <c r="A663" s="10"/>
      <c r="B663" s="13"/>
      <c r="C663" s="13"/>
      <c r="D663" s="13"/>
    </row>
    <row r="664" spans="1:4" ht="13" x14ac:dyDescent="0.15">
      <c r="A664" s="10"/>
      <c r="B664" s="13"/>
      <c r="C664" s="13"/>
      <c r="D664" s="13"/>
    </row>
    <row r="665" spans="1:4" ht="13" x14ac:dyDescent="0.15">
      <c r="A665" s="10"/>
      <c r="B665" s="13"/>
      <c r="C665" s="13"/>
      <c r="D665" s="13"/>
    </row>
    <row r="666" spans="1:4" ht="13" x14ac:dyDescent="0.15">
      <c r="A666" s="10"/>
      <c r="B666" s="13"/>
      <c r="C666" s="13"/>
      <c r="D666" s="13"/>
    </row>
    <row r="667" spans="1:4" ht="13" x14ac:dyDescent="0.15">
      <c r="A667" s="10"/>
      <c r="B667" s="13"/>
      <c r="C667" s="13"/>
      <c r="D667" s="13"/>
    </row>
    <row r="668" spans="1:4" ht="13" x14ac:dyDescent="0.15">
      <c r="A668" s="10"/>
      <c r="B668" s="13"/>
      <c r="C668" s="13"/>
      <c r="D668" s="13"/>
    </row>
    <row r="669" spans="1:4" ht="13" x14ac:dyDescent="0.15">
      <c r="A669" s="10"/>
      <c r="B669" s="13"/>
      <c r="C669" s="13"/>
      <c r="D669" s="13"/>
    </row>
    <row r="670" spans="1:4" ht="13" x14ac:dyDescent="0.15">
      <c r="A670" s="10"/>
      <c r="B670" s="13"/>
      <c r="C670" s="13"/>
      <c r="D670" s="13"/>
    </row>
    <row r="671" spans="1:4" ht="13" x14ac:dyDescent="0.15">
      <c r="A671" s="10"/>
      <c r="B671" s="13"/>
      <c r="C671" s="13"/>
      <c r="D671" s="13"/>
    </row>
    <row r="672" spans="1:4" ht="13" x14ac:dyDescent="0.15">
      <c r="A672" s="10"/>
      <c r="B672" s="13"/>
      <c r="C672" s="13"/>
      <c r="D672" s="13"/>
    </row>
    <row r="673" spans="1:4" ht="13" x14ac:dyDescent="0.15">
      <c r="A673" s="10"/>
      <c r="B673" s="13"/>
      <c r="C673" s="13"/>
      <c r="D673" s="13"/>
    </row>
    <row r="674" spans="1:4" ht="13" x14ac:dyDescent="0.15">
      <c r="A674" s="10"/>
      <c r="B674" s="13"/>
      <c r="C674" s="13"/>
      <c r="D674" s="13"/>
    </row>
    <row r="675" spans="1:4" ht="13" x14ac:dyDescent="0.15">
      <c r="A675" s="10"/>
      <c r="B675" s="13"/>
      <c r="C675" s="13"/>
      <c r="D675" s="13"/>
    </row>
    <row r="676" spans="1:4" ht="13" x14ac:dyDescent="0.15">
      <c r="A676" s="10"/>
      <c r="B676" s="13"/>
      <c r="C676" s="13"/>
      <c r="D676" s="13"/>
    </row>
    <row r="677" spans="1:4" ht="13" x14ac:dyDescent="0.15">
      <c r="A677" s="10"/>
      <c r="B677" s="13"/>
      <c r="C677" s="13"/>
      <c r="D677" s="13"/>
    </row>
    <row r="678" spans="1:4" ht="13" x14ac:dyDescent="0.15">
      <c r="A678" s="10"/>
      <c r="B678" s="13"/>
      <c r="C678" s="13"/>
      <c r="D678" s="13"/>
    </row>
    <row r="679" spans="1:4" ht="13" x14ac:dyDescent="0.15">
      <c r="A679" s="10"/>
      <c r="B679" s="13"/>
      <c r="C679" s="13"/>
      <c r="D679" s="13"/>
    </row>
    <row r="680" spans="1:4" ht="13" x14ac:dyDescent="0.15">
      <c r="A680" s="10"/>
      <c r="B680" s="13"/>
      <c r="C680" s="13"/>
      <c r="D680" s="13"/>
    </row>
    <row r="681" spans="1:4" ht="13" x14ac:dyDescent="0.15">
      <c r="A681" s="10"/>
      <c r="B681" s="13"/>
      <c r="C681" s="13"/>
      <c r="D681" s="13"/>
    </row>
    <row r="682" spans="1:4" ht="13" x14ac:dyDescent="0.15">
      <c r="A682" s="10"/>
      <c r="B682" s="13"/>
      <c r="C682" s="13"/>
      <c r="D682" s="13"/>
    </row>
    <row r="683" spans="1:4" ht="13" x14ac:dyDescent="0.15">
      <c r="A683" s="10"/>
      <c r="B683" s="13"/>
      <c r="C683" s="13"/>
      <c r="D683" s="13"/>
    </row>
    <row r="684" spans="1:4" ht="13" x14ac:dyDescent="0.15">
      <c r="A684" s="10"/>
      <c r="B684" s="13"/>
      <c r="C684" s="13"/>
      <c r="D684" s="13"/>
    </row>
    <row r="685" spans="1:4" ht="13" x14ac:dyDescent="0.15">
      <c r="A685" s="10"/>
      <c r="B685" s="13"/>
      <c r="C685" s="13"/>
      <c r="D685" s="13"/>
    </row>
    <row r="686" spans="1:4" ht="13" x14ac:dyDescent="0.15">
      <c r="A686" s="10"/>
      <c r="B686" s="13"/>
      <c r="C686" s="13"/>
      <c r="D686" s="13"/>
    </row>
    <row r="687" spans="1:4" ht="13" x14ac:dyDescent="0.15">
      <c r="A687" s="10"/>
      <c r="B687" s="13"/>
      <c r="C687" s="13"/>
      <c r="D687" s="13"/>
    </row>
    <row r="688" spans="1:4" ht="13" x14ac:dyDescent="0.15">
      <c r="A688" s="10"/>
      <c r="B688" s="13"/>
      <c r="C688" s="13"/>
      <c r="D688" s="13"/>
    </row>
    <row r="689" spans="1:4" ht="13" x14ac:dyDescent="0.15">
      <c r="A689" s="10"/>
      <c r="B689" s="13"/>
      <c r="C689" s="13"/>
      <c r="D689" s="13"/>
    </row>
    <row r="690" spans="1:4" ht="13" x14ac:dyDescent="0.15">
      <c r="A690" s="10"/>
      <c r="B690" s="13"/>
      <c r="C690" s="13"/>
      <c r="D690" s="13"/>
    </row>
    <row r="691" spans="1:4" ht="13" x14ac:dyDescent="0.15">
      <c r="A691" s="10"/>
      <c r="B691" s="13"/>
      <c r="C691" s="13"/>
      <c r="D691" s="13"/>
    </row>
    <row r="692" spans="1:4" ht="13" x14ac:dyDescent="0.15">
      <c r="A692" s="10"/>
      <c r="B692" s="13"/>
      <c r="C692" s="13"/>
      <c r="D692" s="13"/>
    </row>
    <row r="693" spans="1:4" ht="13" x14ac:dyDescent="0.15">
      <c r="A693" s="10"/>
      <c r="B693" s="13"/>
      <c r="C693" s="13"/>
      <c r="D693" s="13"/>
    </row>
    <row r="694" spans="1:4" ht="13" x14ac:dyDescent="0.15">
      <c r="A694" s="10"/>
      <c r="B694" s="13"/>
      <c r="C694" s="13"/>
      <c r="D694" s="13"/>
    </row>
    <row r="695" spans="1:4" ht="13" x14ac:dyDescent="0.15">
      <c r="A695" s="10"/>
      <c r="B695" s="13"/>
      <c r="C695" s="13"/>
      <c r="D695" s="13"/>
    </row>
    <row r="696" spans="1:4" ht="13" x14ac:dyDescent="0.15">
      <c r="A696" s="10"/>
      <c r="B696" s="13"/>
      <c r="C696" s="13"/>
      <c r="D696" s="13"/>
    </row>
    <row r="697" spans="1:4" ht="13" x14ac:dyDescent="0.15">
      <c r="A697" s="10"/>
      <c r="B697" s="13"/>
      <c r="C697" s="13"/>
      <c r="D697" s="13"/>
    </row>
    <row r="698" spans="1:4" ht="13" x14ac:dyDescent="0.15">
      <c r="A698" s="10"/>
      <c r="B698" s="13"/>
      <c r="C698" s="13"/>
      <c r="D698" s="13"/>
    </row>
    <row r="699" spans="1:4" ht="13" x14ac:dyDescent="0.15">
      <c r="A699" s="10"/>
      <c r="B699" s="13"/>
      <c r="C699" s="13"/>
      <c r="D699" s="13"/>
    </row>
    <row r="700" spans="1:4" ht="13" x14ac:dyDescent="0.15">
      <c r="A700" s="10"/>
      <c r="B700" s="13"/>
      <c r="C700" s="13"/>
      <c r="D700" s="13"/>
    </row>
    <row r="701" spans="1:4" ht="13" x14ac:dyDescent="0.15">
      <c r="A701" s="10"/>
      <c r="B701" s="13"/>
      <c r="C701" s="13"/>
      <c r="D701" s="13"/>
    </row>
    <row r="702" spans="1:4" ht="13" x14ac:dyDescent="0.15">
      <c r="A702" s="10"/>
      <c r="B702" s="13"/>
      <c r="C702" s="13"/>
      <c r="D702" s="13"/>
    </row>
    <row r="703" spans="1:4" ht="13" x14ac:dyDescent="0.15">
      <c r="A703" s="10"/>
      <c r="B703" s="13"/>
      <c r="C703" s="13"/>
      <c r="D703" s="13"/>
    </row>
    <row r="704" spans="1:4" ht="13" x14ac:dyDescent="0.15">
      <c r="A704" s="10"/>
      <c r="B704" s="13"/>
      <c r="C704" s="13"/>
      <c r="D704" s="13"/>
    </row>
    <row r="705" spans="1:4" ht="13" x14ac:dyDescent="0.15">
      <c r="A705" s="10"/>
      <c r="B705" s="13"/>
      <c r="C705" s="13"/>
      <c r="D705" s="13"/>
    </row>
    <row r="706" spans="1:4" ht="13" x14ac:dyDescent="0.15">
      <c r="A706" s="10"/>
      <c r="B706" s="13"/>
      <c r="C706" s="13"/>
      <c r="D706" s="13"/>
    </row>
    <row r="707" spans="1:4" ht="13" x14ac:dyDescent="0.15">
      <c r="A707" s="10"/>
      <c r="B707" s="13"/>
      <c r="C707" s="13"/>
      <c r="D707" s="13"/>
    </row>
    <row r="708" spans="1:4" ht="13" x14ac:dyDescent="0.15">
      <c r="A708" s="10"/>
      <c r="B708" s="13"/>
      <c r="C708" s="13"/>
      <c r="D708" s="13"/>
    </row>
    <row r="709" spans="1:4" ht="13" x14ac:dyDescent="0.15">
      <c r="A709" s="10"/>
      <c r="B709" s="13"/>
      <c r="C709" s="13"/>
      <c r="D709" s="13"/>
    </row>
    <row r="710" spans="1:4" ht="13" x14ac:dyDescent="0.15">
      <c r="A710" s="10"/>
      <c r="B710" s="13"/>
      <c r="C710" s="13"/>
      <c r="D710" s="13"/>
    </row>
    <row r="711" spans="1:4" ht="13" x14ac:dyDescent="0.15">
      <c r="A711" s="10"/>
      <c r="B711" s="13"/>
      <c r="C711" s="13"/>
      <c r="D711" s="13"/>
    </row>
    <row r="712" spans="1:4" ht="13" x14ac:dyDescent="0.15">
      <c r="A712" s="10"/>
      <c r="B712" s="13"/>
      <c r="C712" s="13"/>
      <c r="D712" s="13"/>
    </row>
    <row r="713" spans="1:4" ht="13" x14ac:dyDescent="0.15">
      <c r="A713" s="10"/>
      <c r="B713" s="13"/>
      <c r="C713" s="13"/>
      <c r="D713" s="13"/>
    </row>
    <row r="714" spans="1:4" ht="13" x14ac:dyDescent="0.15">
      <c r="A714" s="10"/>
      <c r="B714" s="13"/>
      <c r="C714" s="13"/>
      <c r="D714" s="13"/>
    </row>
    <row r="715" spans="1:4" ht="13" x14ac:dyDescent="0.15">
      <c r="A715" s="10"/>
      <c r="B715" s="13"/>
      <c r="C715" s="13"/>
      <c r="D715" s="13"/>
    </row>
    <row r="716" spans="1:4" ht="13" x14ac:dyDescent="0.15">
      <c r="A716" s="10"/>
      <c r="B716" s="13"/>
      <c r="C716" s="13"/>
      <c r="D716" s="13"/>
    </row>
    <row r="717" spans="1:4" ht="13" x14ac:dyDescent="0.15">
      <c r="A717" s="10"/>
      <c r="B717" s="13"/>
      <c r="C717" s="13"/>
      <c r="D717" s="13"/>
    </row>
    <row r="718" spans="1:4" ht="13" x14ac:dyDescent="0.15">
      <c r="A718" s="10"/>
      <c r="B718" s="13"/>
      <c r="C718" s="13"/>
      <c r="D718" s="13"/>
    </row>
    <row r="719" spans="1:4" ht="13" x14ac:dyDescent="0.15">
      <c r="A719" s="10"/>
      <c r="B719" s="13"/>
      <c r="C719" s="13"/>
      <c r="D719" s="13"/>
    </row>
    <row r="720" spans="1:4" ht="13" x14ac:dyDescent="0.15">
      <c r="A720" s="10"/>
      <c r="B720" s="13"/>
      <c r="C720" s="13"/>
      <c r="D720" s="13"/>
    </row>
    <row r="721" spans="1:4" ht="13" x14ac:dyDescent="0.15">
      <c r="A721" s="10"/>
      <c r="B721" s="13"/>
      <c r="C721" s="13"/>
      <c r="D721" s="13"/>
    </row>
    <row r="722" spans="1:4" ht="13" x14ac:dyDescent="0.15">
      <c r="A722" s="10"/>
      <c r="B722" s="13"/>
      <c r="C722" s="13"/>
      <c r="D722" s="13"/>
    </row>
    <row r="723" spans="1:4" ht="13" x14ac:dyDescent="0.15">
      <c r="A723" s="10"/>
      <c r="B723" s="13"/>
      <c r="C723" s="13"/>
      <c r="D723" s="13"/>
    </row>
    <row r="724" spans="1:4" ht="13" x14ac:dyDescent="0.15">
      <c r="A724" s="10"/>
      <c r="B724" s="13"/>
      <c r="C724" s="13"/>
      <c r="D724" s="13"/>
    </row>
    <row r="725" spans="1:4" ht="13" x14ac:dyDescent="0.15">
      <c r="A725" s="10"/>
      <c r="B725" s="13"/>
      <c r="C725" s="13"/>
      <c r="D725" s="13"/>
    </row>
    <row r="726" spans="1:4" ht="13" x14ac:dyDescent="0.15">
      <c r="A726" s="10"/>
      <c r="B726" s="13"/>
      <c r="C726" s="13"/>
      <c r="D726" s="13"/>
    </row>
    <row r="727" spans="1:4" ht="13" x14ac:dyDescent="0.15">
      <c r="A727" s="10"/>
      <c r="B727" s="13"/>
      <c r="C727" s="13"/>
      <c r="D727" s="13"/>
    </row>
    <row r="728" spans="1:4" ht="13" x14ac:dyDescent="0.15">
      <c r="A728" s="10"/>
      <c r="B728" s="13"/>
      <c r="C728" s="13"/>
      <c r="D728" s="13"/>
    </row>
    <row r="729" spans="1:4" ht="13" x14ac:dyDescent="0.15">
      <c r="A729" s="10"/>
      <c r="B729" s="13"/>
      <c r="C729" s="13"/>
      <c r="D729" s="13"/>
    </row>
    <row r="730" spans="1:4" ht="13" x14ac:dyDescent="0.15">
      <c r="A730" s="10"/>
      <c r="B730" s="13"/>
      <c r="C730" s="13"/>
      <c r="D730" s="13"/>
    </row>
    <row r="731" spans="1:4" ht="13" x14ac:dyDescent="0.15">
      <c r="A731" s="10"/>
      <c r="B731" s="13"/>
      <c r="C731" s="13"/>
      <c r="D731" s="13"/>
    </row>
    <row r="732" spans="1:4" ht="13" x14ac:dyDescent="0.15">
      <c r="A732" s="10"/>
      <c r="B732" s="13"/>
      <c r="C732" s="13"/>
      <c r="D732" s="13"/>
    </row>
    <row r="733" spans="1:4" ht="13" x14ac:dyDescent="0.15">
      <c r="A733" s="10"/>
      <c r="B733" s="13"/>
      <c r="C733" s="13"/>
      <c r="D733" s="13"/>
    </row>
    <row r="734" spans="1:4" ht="13" x14ac:dyDescent="0.15">
      <c r="A734" s="10"/>
      <c r="B734" s="13"/>
      <c r="C734" s="13"/>
      <c r="D734" s="13"/>
    </row>
    <row r="735" spans="1:4" ht="13" x14ac:dyDescent="0.15">
      <c r="A735" s="10"/>
      <c r="B735" s="13"/>
      <c r="C735" s="13"/>
      <c r="D735" s="13"/>
    </row>
    <row r="736" spans="1:4" ht="13" x14ac:dyDescent="0.15">
      <c r="A736" s="10"/>
      <c r="B736" s="13"/>
      <c r="C736" s="13"/>
      <c r="D736" s="13"/>
    </row>
    <row r="737" spans="1:4" ht="13" x14ac:dyDescent="0.15">
      <c r="A737" s="10"/>
      <c r="B737" s="13"/>
      <c r="C737" s="13"/>
      <c r="D737" s="13"/>
    </row>
    <row r="738" spans="1:4" ht="13" x14ac:dyDescent="0.15">
      <c r="A738" s="10"/>
      <c r="B738" s="13"/>
      <c r="C738" s="13"/>
      <c r="D738" s="13"/>
    </row>
    <row r="739" spans="1:4" ht="13" x14ac:dyDescent="0.15">
      <c r="A739" s="10"/>
      <c r="B739" s="13"/>
      <c r="C739" s="13"/>
      <c r="D739" s="13"/>
    </row>
    <row r="740" spans="1:4" ht="13" x14ac:dyDescent="0.15">
      <c r="A740" s="10"/>
      <c r="B740" s="13"/>
      <c r="C740" s="13"/>
      <c r="D740" s="13"/>
    </row>
    <row r="741" spans="1:4" ht="13" x14ac:dyDescent="0.15">
      <c r="A741" s="10"/>
      <c r="B741" s="13"/>
      <c r="C741" s="13"/>
      <c r="D741" s="13"/>
    </row>
    <row r="742" spans="1:4" ht="13" x14ac:dyDescent="0.15">
      <c r="A742" s="10"/>
      <c r="B742" s="13"/>
      <c r="C742" s="13"/>
      <c r="D742" s="13"/>
    </row>
    <row r="743" spans="1:4" ht="13" x14ac:dyDescent="0.15">
      <c r="A743" s="10"/>
      <c r="B743" s="13"/>
      <c r="C743" s="13"/>
      <c r="D743" s="13"/>
    </row>
    <row r="744" spans="1:4" ht="13" x14ac:dyDescent="0.15">
      <c r="A744" s="10"/>
      <c r="B744" s="13"/>
      <c r="C744" s="13"/>
      <c r="D744" s="13"/>
    </row>
    <row r="745" spans="1:4" ht="13" x14ac:dyDescent="0.15">
      <c r="A745" s="10"/>
      <c r="B745" s="13"/>
      <c r="C745" s="13"/>
      <c r="D745" s="13"/>
    </row>
    <row r="746" spans="1:4" ht="13" x14ac:dyDescent="0.15">
      <c r="A746" s="10"/>
      <c r="B746" s="13"/>
      <c r="C746" s="13"/>
      <c r="D746" s="13"/>
    </row>
    <row r="747" spans="1:4" ht="13" x14ac:dyDescent="0.15">
      <c r="A747" s="10"/>
      <c r="B747" s="13"/>
      <c r="C747" s="13"/>
      <c r="D747" s="13"/>
    </row>
    <row r="748" spans="1:4" ht="13" x14ac:dyDescent="0.15">
      <c r="A748" s="10"/>
      <c r="B748" s="13"/>
      <c r="C748" s="13"/>
      <c r="D748" s="13"/>
    </row>
    <row r="749" spans="1:4" ht="13" x14ac:dyDescent="0.15">
      <c r="A749" s="10"/>
      <c r="B749" s="13"/>
      <c r="C749" s="13"/>
      <c r="D749" s="13"/>
    </row>
    <row r="750" spans="1:4" ht="13" x14ac:dyDescent="0.15">
      <c r="A750" s="10"/>
      <c r="B750" s="13"/>
      <c r="C750" s="13"/>
      <c r="D750" s="13"/>
    </row>
    <row r="751" spans="1:4" ht="13" x14ac:dyDescent="0.15">
      <c r="A751" s="10"/>
      <c r="B751" s="13"/>
      <c r="C751" s="13"/>
      <c r="D751" s="13"/>
    </row>
    <row r="752" spans="1:4" ht="13" x14ac:dyDescent="0.15">
      <c r="A752" s="10"/>
      <c r="B752" s="13"/>
      <c r="C752" s="13"/>
      <c r="D752" s="13"/>
    </row>
    <row r="753" spans="1:4" ht="13" x14ac:dyDescent="0.15">
      <c r="A753" s="10"/>
      <c r="B753" s="13"/>
      <c r="C753" s="13"/>
      <c r="D753" s="13"/>
    </row>
    <row r="754" spans="1:4" ht="13" x14ac:dyDescent="0.15">
      <c r="A754" s="10"/>
      <c r="B754" s="13"/>
      <c r="C754" s="13"/>
      <c r="D754" s="13"/>
    </row>
    <row r="755" spans="1:4" ht="13" x14ac:dyDescent="0.15">
      <c r="A755" s="10"/>
      <c r="B755" s="13"/>
      <c r="C755" s="13"/>
      <c r="D755" s="13"/>
    </row>
    <row r="756" spans="1:4" ht="13" x14ac:dyDescent="0.15">
      <c r="A756" s="10"/>
      <c r="B756" s="13"/>
      <c r="C756" s="13"/>
      <c r="D756" s="13"/>
    </row>
    <row r="757" spans="1:4" ht="13" x14ac:dyDescent="0.15">
      <c r="A757" s="10"/>
      <c r="B757" s="13"/>
      <c r="C757" s="13"/>
      <c r="D757" s="13"/>
    </row>
    <row r="758" spans="1:4" ht="13" x14ac:dyDescent="0.15">
      <c r="A758" s="10"/>
      <c r="B758" s="13"/>
      <c r="C758" s="13"/>
      <c r="D758" s="13"/>
    </row>
    <row r="759" spans="1:4" ht="13" x14ac:dyDescent="0.15">
      <c r="A759" s="10"/>
      <c r="B759" s="13"/>
      <c r="C759" s="13"/>
      <c r="D759" s="13"/>
    </row>
    <row r="760" spans="1:4" ht="13" x14ac:dyDescent="0.15">
      <c r="A760" s="10"/>
      <c r="B760" s="13"/>
      <c r="C760" s="13"/>
      <c r="D760" s="13"/>
    </row>
    <row r="761" spans="1:4" ht="13" x14ac:dyDescent="0.15">
      <c r="A761" s="10"/>
      <c r="B761" s="13"/>
      <c r="C761" s="13"/>
      <c r="D761" s="13"/>
    </row>
    <row r="762" spans="1:4" ht="13" x14ac:dyDescent="0.15">
      <c r="A762" s="10"/>
      <c r="B762" s="13"/>
      <c r="C762" s="13"/>
      <c r="D762" s="13"/>
    </row>
    <row r="763" spans="1:4" ht="13" x14ac:dyDescent="0.15">
      <c r="A763" s="10"/>
      <c r="B763" s="13"/>
      <c r="C763" s="13"/>
      <c r="D763" s="13"/>
    </row>
    <row r="764" spans="1:4" ht="13" x14ac:dyDescent="0.15">
      <c r="A764" s="10"/>
      <c r="B764" s="13"/>
      <c r="C764" s="13"/>
      <c r="D764" s="13"/>
    </row>
    <row r="765" spans="1:4" ht="13" x14ac:dyDescent="0.15">
      <c r="A765" s="10"/>
      <c r="B765" s="13"/>
      <c r="C765" s="13"/>
      <c r="D765" s="13"/>
    </row>
    <row r="766" spans="1:4" ht="13" x14ac:dyDescent="0.15">
      <c r="A766" s="10"/>
      <c r="B766" s="13"/>
      <c r="C766" s="13"/>
      <c r="D766" s="13"/>
    </row>
    <row r="767" spans="1:4" ht="13" x14ac:dyDescent="0.15">
      <c r="A767" s="10"/>
      <c r="B767" s="13"/>
      <c r="C767" s="13"/>
      <c r="D767" s="13"/>
    </row>
    <row r="768" spans="1:4" ht="13" x14ac:dyDescent="0.15">
      <c r="A768" s="10"/>
      <c r="B768" s="13"/>
      <c r="C768" s="13"/>
      <c r="D768" s="13"/>
    </row>
    <row r="769" spans="1:4" ht="13" x14ac:dyDescent="0.15">
      <c r="A769" s="10"/>
      <c r="B769" s="13"/>
      <c r="C769" s="13"/>
      <c r="D769" s="13"/>
    </row>
    <row r="770" spans="1:4" ht="13" x14ac:dyDescent="0.15">
      <c r="A770" s="10"/>
      <c r="B770" s="13"/>
      <c r="C770" s="13"/>
      <c r="D770" s="13"/>
    </row>
    <row r="771" spans="1:4" ht="13" x14ac:dyDescent="0.15">
      <c r="A771" s="10"/>
      <c r="B771" s="13"/>
      <c r="C771" s="13"/>
      <c r="D771" s="13"/>
    </row>
    <row r="772" spans="1:4" ht="13" x14ac:dyDescent="0.15">
      <c r="A772" s="10"/>
      <c r="B772" s="13"/>
      <c r="C772" s="13"/>
      <c r="D772" s="13"/>
    </row>
    <row r="773" spans="1:4" ht="13" x14ac:dyDescent="0.15">
      <c r="A773" s="10"/>
      <c r="B773" s="13"/>
      <c r="C773" s="13"/>
      <c r="D773" s="13"/>
    </row>
    <row r="774" spans="1:4" ht="13" x14ac:dyDescent="0.15">
      <c r="A774" s="10"/>
      <c r="B774" s="13"/>
      <c r="C774" s="13"/>
      <c r="D774" s="13"/>
    </row>
    <row r="775" spans="1:4" ht="13" x14ac:dyDescent="0.15">
      <c r="A775" s="10"/>
      <c r="B775" s="13"/>
      <c r="C775" s="13"/>
      <c r="D775" s="13"/>
    </row>
    <row r="776" spans="1:4" ht="13" x14ac:dyDescent="0.15">
      <c r="A776" s="10"/>
      <c r="B776" s="13"/>
      <c r="C776" s="13"/>
      <c r="D776" s="13"/>
    </row>
    <row r="777" spans="1:4" ht="13" x14ac:dyDescent="0.15">
      <c r="A777" s="10"/>
      <c r="B777" s="13"/>
      <c r="C777" s="13"/>
      <c r="D777" s="13"/>
    </row>
    <row r="778" spans="1:4" ht="13" x14ac:dyDescent="0.15">
      <c r="A778" s="10"/>
      <c r="B778" s="13"/>
      <c r="C778" s="13"/>
      <c r="D778" s="13"/>
    </row>
    <row r="779" spans="1:4" ht="13" x14ac:dyDescent="0.15">
      <c r="A779" s="10"/>
      <c r="B779" s="13"/>
      <c r="C779" s="13"/>
      <c r="D779" s="13"/>
    </row>
    <row r="780" spans="1:4" ht="13" x14ac:dyDescent="0.15">
      <c r="A780" s="10"/>
      <c r="B780" s="13"/>
      <c r="C780" s="13"/>
      <c r="D780" s="13"/>
    </row>
    <row r="781" spans="1:4" ht="13" x14ac:dyDescent="0.15">
      <c r="A781" s="10"/>
      <c r="B781" s="13"/>
      <c r="C781" s="13"/>
      <c r="D781" s="13"/>
    </row>
    <row r="782" spans="1:4" ht="13" x14ac:dyDescent="0.15">
      <c r="A782" s="10"/>
      <c r="B782" s="13"/>
      <c r="C782" s="13"/>
      <c r="D782" s="13"/>
    </row>
    <row r="783" spans="1:4" ht="13" x14ac:dyDescent="0.15">
      <c r="A783" s="10"/>
      <c r="B783" s="13"/>
      <c r="C783" s="13"/>
      <c r="D783" s="13"/>
    </row>
    <row r="784" spans="1:4" ht="13" x14ac:dyDescent="0.15">
      <c r="A784" s="10"/>
      <c r="B784" s="13"/>
      <c r="C784" s="13"/>
      <c r="D784" s="13"/>
    </row>
    <row r="785" spans="1:4" ht="13" x14ac:dyDescent="0.15">
      <c r="A785" s="10"/>
      <c r="B785" s="13"/>
      <c r="C785" s="13"/>
      <c r="D785" s="13"/>
    </row>
    <row r="786" spans="1:4" ht="13" x14ac:dyDescent="0.15">
      <c r="A786" s="10"/>
      <c r="B786" s="13"/>
      <c r="C786" s="13"/>
      <c r="D786" s="13"/>
    </row>
    <row r="787" spans="1:4" ht="13" x14ac:dyDescent="0.15">
      <c r="A787" s="10"/>
      <c r="B787" s="13"/>
      <c r="C787" s="13"/>
      <c r="D787" s="13"/>
    </row>
    <row r="788" spans="1:4" ht="13" x14ac:dyDescent="0.15">
      <c r="A788" s="10"/>
      <c r="B788" s="13"/>
      <c r="C788" s="13"/>
      <c r="D788" s="13"/>
    </row>
    <row r="789" spans="1:4" ht="13" x14ac:dyDescent="0.15">
      <c r="A789" s="10"/>
      <c r="B789" s="13"/>
      <c r="C789" s="13"/>
      <c r="D789" s="13"/>
    </row>
    <row r="790" spans="1:4" ht="13" x14ac:dyDescent="0.15">
      <c r="A790" s="10"/>
      <c r="B790" s="13"/>
      <c r="C790" s="13"/>
      <c r="D790" s="13"/>
    </row>
    <row r="791" spans="1:4" ht="13" x14ac:dyDescent="0.15">
      <c r="A791" s="10"/>
      <c r="B791" s="13"/>
      <c r="C791" s="13"/>
      <c r="D791" s="13"/>
    </row>
    <row r="792" spans="1:4" ht="13" x14ac:dyDescent="0.15">
      <c r="A792" s="10"/>
      <c r="B792" s="13"/>
      <c r="C792" s="13"/>
      <c r="D792" s="13"/>
    </row>
    <row r="793" spans="1:4" ht="13" x14ac:dyDescent="0.15">
      <c r="A793" s="10"/>
      <c r="B793" s="13"/>
      <c r="C793" s="13"/>
      <c r="D793" s="13"/>
    </row>
    <row r="794" spans="1:4" ht="13" x14ac:dyDescent="0.15">
      <c r="A794" s="10"/>
      <c r="B794" s="13"/>
      <c r="C794" s="13"/>
      <c r="D794" s="13"/>
    </row>
    <row r="795" spans="1:4" ht="13" x14ac:dyDescent="0.15">
      <c r="A795" s="10"/>
      <c r="B795" s="13"/>
      <c r="C795" s="13"/>
      <c r="D795" s="13"/>
    </row>
    <row r="796" spans="1:4" ht="13" x14ac:dyDescent="0.15">
      <c r="A796" s="10"/>
      <c r="B796" s="13"/>
      <c r="C796" s="13"/>
      <c r="D796" s="13"/>
    </row>
    <row r="797" spans="1:4" ht="13" x14ac:dyDescent="0.15">
      <c r="A797" s="10"/>
      <c r="B797" s="13"/>
      <c r="C797" s="13"/>
      <c r="D797" s="13"/>
    </row>
    <row r="798" spans="1:4" ht="13" x14ac:dyDescent="0.15">
      <c r="A798" s="10"/>
      <c r="B798" s="13"/>
      <c r="C798" s="13"/>
      <c r="D798" s="13"/>
    </row>
    <row r="799" spans="1:4" ht="13" x14ac:dyDescent="0.15">
      <c r="A799" s="10"/>
      <c r="B799" s="13"/>
      <c r="C799" s="13"/>
      <c r="D799" s="13"/>
    </row>
    <row r="800" spans="1:4" ht="13" x14ac:dyDescent="0.15">
      <c r="A800" s="10"/>
      <c r="B800" s="13"/>
      <c r="C800" s="13"/>
      <c r="D800" s="13"/>
    </row>
    <row r="801" spans="1:4" ht="13" x14ac:dyDescent="0.15">
      <c r="A801" s="10"/>
      <c r="B801" s="13"/>
      <c r="C801" s="13"/>
      <c r="D801" s="13"/>
    </row>
    <row r="802" spans="1:4" ht="13" x14ac:dyDescent="0.15">
      <c r="A802" s="10"/>
      <c r="B802" s="13"/>
      <c r="C802" s="13"/>
      <c r="D802" s="13"/>
    </row>
    <row r="803" spans="1:4" ht="13" x14ac:dyDescent="0.15">
      <c r="A803" s="10"/>
      <c r="B803" s="13"/>
      <c r="C803" s="13"/>
      <c r="D803" s="13"/>
    </row>
    <row r="804" spans="1:4" ht="13" x14ac:dyDescent="0.15">
      <c r="A804" s="10"/>
      <c r="B804" s="13"/>
      <c r="C804" s="13"/>
      <c r="D804" s="13"/>
    </row>
    <row r="805" spans="1:4" ht="13" x14ac:dyDescent="0.15">
      <c r="A805" s="10"/>
      <c r="B805" s="13"/>
      <c r="C805" s="13"/>
      <c r="D805" s="13"/>
    </row>
    <row r="806" spans="1:4" ht="13" x14ac:dyDescent="0.15">
      <c r="A806" s="10"/>
      <c r="B806" s="13"/>
      <c r="C806" s="13"/>
      <c r="D806" s="13"/>
    </row>
    <row r="807" spans="1:4" ht="13" x14ac:dyDescent="0.15">
      <c r="A807" s="10"/>
      <c r="B807" s="13"/>
      <c r="C807" s="13"/>
      <c r="D807" s="13"/>
    </row>
    <row r="808" spans="1:4" ht="13" x14ac:dyDescent="0.15">
      <c r="A808" s="10"/>
      <c r="B808" s="13"/>
      <c r="C808" s="13"/>
      <c r="D808" s="13"/>
    </row>
    <row r="809" spans="1:4" ht="13" x14ac:dyDescent="0.15">
      <c r="A809" s="10"/>
      <c r="B809" s="13"/>
      <c r="C809" s="13"/>
      <c r="D809" s="13"/>
    </row>
    <row r="810" spans="1:4" ht="13" x14ac:dyDescent="0.15">
      <c r="A810" s="10"/>
      <c r="B810" s="13"/>
      <c r="C810" s="13"/>
      <c r="D810" s="13"/>
    </row>
    <row r="811" spans="1:4" ht="13" x14ac:dyDescent="0.15">
      <c r="A811" s="10"/>
      <c r="B811" s="13"/>
      <c r="C811" s="13"/>
      <c r="D811" s="13"/>
    </row>
    <row r="812" spans="1:4" ht="13" x14ac:dyDescent="0.15">
      <c r="A812" s="10"/>
      <c r="B812" s="13"/>
      <c r="C812" s="13"/>
      <c r="D812" s="13"/>
    </row>
    <row r="813" spans="1:4" ht="13" x14ac:dyDescent="0.15">
      <c r="A813" s="10"/>
      <c r="B813" s="13"/>
      <c r="C813" s="13"/>
      <c r="D813" s="13"/>
    </row>
    <row r="814" spans="1:4" ht="13" x14ac:dyDescent="0.15">
      <c r="A814" s="10"/>
      <c r="B814" s="13"/>
      <c r="C814" s="13"/>
      <c r="D814" s="13"/>
    </row>
    <row r="815" spans="1:4" ht="13" x14ac:dyDescent="0.15">
      <c r="A815" s="10"/>
      <c r="B815" s="13"/>
      <c r="C815" s="13"/>
      <c r="D815" s="13"/>
    </row>
    <row r="816" spans="1:4" ht="13" x14ac:dyDescent="0.15">
      <c r="A816" s="10"/>
      <c r="B816" s="13"/>
      <c r="C816" s="13"/>
      <c r="D816" s="13"/>
    </row>
    <row r="817" spans="1:4" ht="13" x14ac:dyDescent="0.15">
      <c r="A817" s="10"/>
      <c r="B817" s="13"/>
      <c r="C817" s="13"/>
      <c r="D817" s="13"/>
    </row>
    <row r="818" spans="1:4" ht="13" x14ac:dyDescent="0.15">
      <c r="A818" s="10"/>
      <c r="B818" s="13"/>
      <c r="C818" s="13"/>
      <c r="D818" s="13"/>
    </row>
    <row r="819" spans="1:4" ht="13" x14ac:dyDescent="0.15">
      <c r="A819" s="10"/>
      <c r="B819" s="13"/>
      <c r="C819" s="13"/>
      <c r="D819" s="13"/>
    </row>
    <row r="820" spans="1:4" ht="13" x14ac:dyDescent="0.15">
      <c r="A820" s="10"/>
      <c r="B820" s="13"/>
      <c r="C820" s="13"/>
      <c r="D820" s="13"/>
    </row>
    <row r="821" spans="1:4" ht="13" x14ac:dyDescent="0.15">
      <c r="A821" s="10"/>
      <c r="B821" s="13"/>
      <c r="C821" s="13"/>
      <c r="D821" s="13"/>
    </row>
    <row r="822" spans="1:4" ht="13" x14ac:dyDescent="0.15">
      <c r="A822" s="10"/>
      <c r="B822" s="13"/>
      <c r="C822" s="13"/>
      <c r="D822" s="13"/>
    </row>
    <row r="823" spans="1:4" ht="13" x14ac:dyDescent="0.15">
      <c r="A823" s="10"/>
      <c r="B823" s="13"/>
      <c r="C823" s="13"/>
      <c r="D823" s="13"/>
    </row>
    <row r="824" spans="1:4" ht="13" x14ac:dyDescent="0.15">
      <c r="A824" s="10"/>
      <c r="B824" s="13"/>
      <c r="C824" s="13"/>
      <c r="D824" s="13"/>
    </row>
    <row r="825" spans="1:4" ht="13" x14ac:dyDescent="0.15">
      <c r="A825" s="10"/>
      <c r="B825" s="13"/>
      <c r="C825" s="13"/>
      <c r="D825" s="13"/>
    </row>
    <row r="826" spans="1:4" ht="13" x14ac:dyDescent="0.15">
      <c r="A826" s="10"/>
      <c r="B826" s="13"/>
      <c r="C826" s="13"/>
      <c r="D826" s="13"/>
    </row>
    <row r="827" spans="1:4" ht="13" x14ac:dyDescent="0.15">
      <c r="A827" s="10"/>
      <c r="B827" s="13"/>
      <c r="C827" s="13"/>
      <c r="D827" s="13"/>
    </row>
    <row r="828" spans="1:4" ht="13" x14ac:dyDescent="0.15">
      <c r="A828" s="10"/>
      <c r="B828" s="13"/>
      <c r="C828" s="13"/>
      <c r="D828" s="13"/>
    </row>
    <row r="829" spans="1:4" ht="13" x14ac:dyDescent="0.15">
      <c r="A829" s="10"/>
      <c r="B829" s="13"/>
      <c r="C829" s="13"/>
      <c r="D829" s="13"/>
    </row>
    <row r="830" spans="1:4" ht="13" x14ac:dyDescent="0.15">
      <c r="A830" s="10"/>
      <c r="B830" s="13"/>
      <c r="C830" s="13"/>
      <c r="D830" s="13"/>
    </row>
    <row r="831" spans="1:4" ht="13" x14ac:dyDescent="0.15">
      <c r="A831" s="10"/>
      <c r="B831" s="13"/>
      <c r="C831" s="13"/>
      <c r="D831" s="13"/>
    </row>
    <row r="832" spans="1:4" ht="13" x14ac:dyDescent="0.15">
      <c r="A832" s="10"/>
      <c r="B832" s="13"/>
      <c r="C832" s="13"/>
      <c r="D832" s="13"/>
    </row>
    <row r="833" spans="1:4" ht="13" x14ac:dyDescent="0.15">
      <c r="A833" s="10"/>
      <c r="B833" s="13"/>
      <c r="C833" s="13"/>
      <c r="D833" s="13"/>
    </row>
    <row r="834" spans="1:4" ht="13" x14ac:dyDescent="0.15">
      <c r="A834" s="10"/>
      <c r="B834" s="13"/>
      <c r="C834" s="13"/>
      <c r="D834" s="13"/>
    </row>
    <row r="835" spans="1:4" ht="13" x14ac:dyDescent="0.15">
      <c r="A835" s="10"/>
      <c r="B835" s="13"/>
      <c r="C835" s="13"/>
      <c r="D835" s="13"/>
    </row>
    <row r="836" spans="1:4" ht="13" x14ac:dyDescent="0.15">
      <c r="A836" s="10"/>
      <c r="B836" s="13"/>
      <c r="C836" s="13"/>
      <c r="D836" s="13"/>
    </row>
    <row r="837" spans="1:4" ht="13" x14ac:dyDescent="0.15">
      <c r="A837" s="10"/>
      <c r="B837" s="13"/>
      <c r="C837" s="13"/>
      <c r="D837" s="13"/>
    </row>
    <row r="838" spans="1:4" ht="13" x14ac:dyDescent="0.15">
      <c r="A838" s="10"/>
      <c r="B838" s="13"/>
      <c r="C838" s="13"/>
      <c r="D838" s="13"/>
    </row>
    <row r="839" spans="1:4" ht="13" x14ac:dyDescent="0.15">
      <c r="A839" s="10"/>
      <c r="B839" s="13"/>
      <c r="C839" s="13"/>
      <c r="D839" s="13"/>
    </row>
    <row r="840" spans="1:4" ht="13" x14ac:dyDescent="0.15">
      <c r="A840" s="10"/>
      <c r="B840" s="13"/>
      <c r="C840" s="13"/>
      <c r="D840" s="13"/>
    </row>
    <row r="841" spans="1:4" ht="13" x14ac:dyDescent="0.15">
      <c r="A841" s="10"/>
      <c r="B841" s="13"/>
      <c r="C841" s="13"/>
      <c r="D841" s="13"/>
    </row>
    <row r="842" spans="1:4" ht="13" x14ac:dyDescent="0.15">
      <c r="A842" s="10"/>
      <c r="B842" s="13"/>
      <c r="C842" s="13"/>
      <c r="D842" s="13"/>
    </row>
    <row r="843" spans="1:4" ht="13" x14ac:dyDescent="0.15">
      <c r="A843" s="10"/>
      <c r="B843" s="13"/>
      <c r="C843" s="13"/>
      <c r="D843" s="13"/>
    </row>
    <row r="844" spans="1:4" ht="13" x14ac:dyDescent="0.15">
      <c r="A844" s="10"/>
      <c r="B844" s="13"/>
      <c r="C844" s="13"/>
      <c r="D844" s="13"/>
    </row>
    <row r="845" spans="1:4" ht="13" x14ac:dyDescent="0.15">
      <c r="A845" s="10"/>
      <c r="B845" s="13"/>
      <c r="C845" s="13"/>
      <c r="D845" s="13"/>
    </row>
    <row r="846" spans="1:4" ht="13" x14ac:dyDescent="0.15">
      <c r="A846" s="10"/>
      <c r="B846" s="13"/>
      <c r="C846" s="13"/>
      <c r="D846" s="13"/>
    </row>
    <row r="847" spans="1:4" ht="13" x14ac:dyDescent="0.15">
      <c r="A847" s="10"/>
      <c r="B847" s="13"/>
      <c r="C847" s="13"/>
      <c r="D847" s="13"/>
    </row>
    <row r="848" spans="1:4" ht="13" x14ac:dyDescent="0.15">
      <c r="A848" s="10"/>
      <c r="B848" s="13"/>
      <c r="C848" s="13"/>
      <c r="D848" s="13"/>
    </row>
    <row r="849" spans="1:4" ht="13" x14ac:dyDescent="0.15">
      <c r="A849" s="10"/>
      <c r="B849" s="13"/>
      <c r="C849" s="13"/>
      <c r="D849" s="13"/>
    </row>
    <row r="850" spans="1:4" ht="13" x14ac:dyDescent="0.15">
      <c r="A850" s="10"/>
      <c r="B850" s="13"/>
      <c r="C850" s="13"/>
      <c r="D850" s="13"/>
    </row>
    <row r="851" spans="1:4" ht="13" x14ac:dyDescent="0.15">
      <c r="A851" s="10"/>
      <c r="B851" s="13"/>
      <c r="C851" s="13"/>
      <c r="D851" s="13"/>
    </row>
    <row r="852" spans="1:4" ht="13" x14ac:dyDescent="0.15">
      <c r="A852" s="10"/>
      <c r="B852" s="13"/>
      <c r="C852" s="13"/>
      <c r="D852" s="13"/>
    </row>
    <row r="853" spans="1:4" ht="13" x14ac:dyDescent="0.15">
      <c r="A853" s="10"/>
      <c r="B853" s="13"/>
      <c r="C853" s="13"/>
      <c r="D853" s="13"/>
    </row>
    <row r="854" spans="1:4" ht="13" x14ac:dyDescent="0.15">
      <c r="A854" s="10"/>
      <c r="B854" s="13"/>
      <c r="C854" s="13"/>
      <c r="D854" s="13"/>
    </row>
    <row r="855" spans="1:4" ht="13" x14ac:dyDescent="0.15">
      <c r="A855" s="10"/>
      <c r="B855" s="13"/>
      <c r="C855" s="13"/>
      <c r="D855" s="13"/>
    </row>
    <row r="856" spans="1:4" ht="13" x14ac:dyDescent="0.15">
      <c r="A856" s="10"/>
      <c r="B856" s="13"/>
      <c r="C856" s="13"/>
      <c r="D856" s="13"/>
    </row>
    <row r="857" spans="1:4" ht="13" x14ac:dyDescent="0.15">
      <c r="A857" s="10"/>
      <c r="B857" s="13"/>
      <c r="C857" s="13"/>
      <c r="D857" s="13"/>
    </row>
    <row r="858" spans="1:4" ht="13" x14ac:dyDescent="0.15">
      <c r="A858" s="10"/>
      <c r="B858" s="13"/>
      <c r="C858" s="13"/>
      <c r="D858" s="13"/>
    </row>
    <row r="859" spans="1:4" ht="13" x14ac:dyDescent="0.15">
      <c r="A859" s="10"/>
      <c r="B859" s="13"/>
      <c r="C859" s="13"/>
      <c r="D859" s="13"/>
    </row>
    <row r="860" spans="1:4" ht="13" x14ac:dyDescent="0.15">
      <c r="A860" s="10"/>
      <c r="B860" s="13"/>
      <c r="C860" s="13"/>
      <c r="D860" s="13"/>
    </row>
    <row r="861" spans="1:4" ht="13" x14ac:dyDescent="0.15">
      <c r="A861" s="10"/>
      <c r="B861" s="13"/>
      <c r="C861" s="13"/>
      <c r="D861" s="13"/>
    </row>
    <row r="862" spans="1:4" ht="13" x14ac:dyDescent="0.15">
      <c r="A862" s="10"/>
      <c r="B862" s="13"/>
      <c r="C862" s="13"/>
      <c r="D862" s="13"/>
    </row>
    <row r="863" spans="1:4" ht="13" x14ac:dyDescent="0.15">
      <c r="A863" s="10"/>
      <c r="B863" s="13"/>
      <c r="C863" s="13"/>
      <c r="D863" s="13"/>
    </row>
    <row r="864" spans="1:4" ht="13" x14ac:dyDescent="0.15">
      <c r="A864" s="10"/>
      <c r="B864" s="13"/>
      <c r="C864" s="13"/>
      <c r="D864" s="13"/>
    </row>
    <row r="865" spans="1:4" ht="13" x14ac:dyDescent="0.15">
      <c r="A865" s="10"/>
      <c r="B865" s="13"/>
      <c r="C865" s="13"/>
      <c r="D865" s="13"/>
    </row>
    <row r="866" spans="1:4" ht="13" x14ac:dyDescent="0.15">
      <c r="A866" s="10"/>
      <c r="B866" s="13"/>
      <c r="C866" s="13"/>
      <c r="D866" s="13"/>
    </row>
    <row r="867" spans="1:4" ht="13" x14ac:dyDescent="0.15">
      <c r="A867" s="10"/>
      <c r="B867" s="13"/>
      <c r="C867" s="13"/>
      <c r="D867" s="13"/>
    </row>
    <row r="868" spans="1:4" ht="13" x14ac:dyDescent="0.15">
      <c r="A868" s="10"/>
      <c r="B868" s="13"/>
      <c r="C868" s="13"/>
      <c r="D868" s="13"/>
    </row>
    <row r="869" spans="1:4" ht="13" x14ac:dyDescent="0.15">
      <c r="A869" s="10"/>
      <c r="B869" s="13"/>
      <c r="C869" s="13"/>
      <c r="D869" s="13"/>
    </row>
    <row r="870" spans="1:4" ht="13" x14ac:dyDescent="0.15">
      <c r="A870" s="10"/>
      <c r="B870" s="13"/>
      <c r="C870" s="13"/>
      <c r="D870" s="13"/>
    </row>
    <row r="871" spans="1:4" ht="13" x14ac:dyDescent="0.15">
      <c r="A871" s="10"/>
      <c r="B871" s="13"/>
      <c r="C871" s="13"/>
      <c r="D871" s="13"/>
    </row>
    <row r="872" spans="1:4" ht="13" x14ac:dyDescent="0.15">
      <c r="A872" s="10"/>
      <c r="B872" s="13"/>
      <c r="C872" s="13"/>
      <c r="D872" s="13"/>
    </row>
    <row r="873" spans="1:4" ht="13" x14ac:dyDescent="0.15">
      <c r="A873" s="10"/>
      <c r="B873" s="13"/>
      <c r="C873" s="13"/>
      <c r="D873" s="13"/>
    </row>
    <row r="874" spans="1:4" ht="13" x14ac:dyDescent="0.15">
      <c r="A874" s="10"/>
      <c r="B874" s="13"/>
      <c r="C874" s="13"/>
      <c r="D874" s="13"/>
    </row>
    <row r="875" spans="1:4" ht="13" x14ac:dyDescent="0.15">
      <c r="A875" s="10"/>
      <c r="B875" s="13"/>
      <c r="C875" s="13"/>
      <c r="D875" s="13"/>
    </row>
    <row r="876" spans="1:4" ht="13" x14ac:dyDescent="0.15">
      <c r="A876" s="10"/>
      <c r="B876" s="13"/>
      <c r="C876" s="13"/>
      <c r="D876" s="13"/>
    </row>
    <row r="877" spans="1:4" ht="13" x14ac:dyDescent="0.15">
      <c r="A877" s="10"/>
      <c r="B877" s="13"/>
      <c r="C877" s="13"/>
      <c r="D877" s="13"/>
    </row>
    <row r="878" spans="1:4" ht="13" x14ac:dyDescent="0.15">
      <c r="A878" s="10"/>
      <c r="B878" s="13"/>
      <c r="C878" s="13"/>
      <c r="D878" s="13"/>
    </row>
    <row r="879" spans="1:4" ht="13" x14ac:dyDescent="0.15">
      <c r="A879" s="10"/>
      <c r="B879" s="13"/>
      <c r="C879" s="13"/>
      <c r="D879" s="13"/>
    </row>
    <row r="880" spans="1:4" ht="13" x14ac:dyDescent="0.15">
      <c r="A880" s="10"/>
      <c r="B880" s="13"/>
      <c r="C880" s="13"/>
      <c r="D880" s="13"/>
    </row>
    <row r="881" spans="1:4" ht="13" x14ac:dyDescent="0.15">
      <c r="A881" s="10"/>
      <c r="B881" s="13"/>
      <c r="C881" s="13"/>
      <c r="D881" s="13"/>
    </row>
    <row r="882" spans="1:4" ht="13" x14ac:dyDescent="0.15">
      <c r="A882" s="10"/>
      <c r="B882" s="13"/>
      <c r="C882" s="13"/>
      <c r="D882" s="13"/>
    </row>
    <row r="883" spans="1:4" ht="13" x14ac:dyDescent="0.15">
      <c r="A883" s="10"/>
      <c r="B883" s="13"/>
      <c r="C883" s="13"/>
      <c r="D883" s="13"/>
    </row>
    <row r="884" spans="1:4" ht="13" x14ac:dyDescent="0.15">
      <c r="A884" s="10"/>
      <c r="B884" s="13"/>
      <c r="C884" s="13"/>
      <c r="D884" s="13"/>
    </row>
    <row r="885" spans="1:4" ht="13" x14ac:dyDescent="0.15">
      <c r="A885" s="10"/>
      <c r="B885" s="13"/>
      <c r="C885" s="13"/>
      <c r="D885" s="13"/>
    </row>
    <row r="886" spans="1:4" ht="13" x14ac:dyDescent="0.15">
      <c r="A886" s="10"/>
      <c r="B886" s="13"/>
      <c r="C886" s="13"/>
      <c r="D886" s="13"/>
    </row>
    <row r="887" spans="1:4" ht="13" x14ac:dyDescent="0.15">
      <c r="A887" s="10"/>
      <c r="B887" s="13"/>
      <c r="C887" s="13"/>
      <c r="D887" s="13"/>
    </row>
    <row r="888" spans="1:4" ht="13" x14ac:dyDescent="0.15">
      <c r="A888" s="10"/>
      <c r="B888" s="13"/>
      <c r="C888" s="13"/>
      <c r="D888" s="13"/>
    </row>
    <row r="889" spans="1:4" ht="13" x14ac:dyDescent="0.15">
      <c r="A889" s="10"/>
      <c r="B889" s="13"/>
      <c r="C889" s="13"/>
      <c r="D889" s="13"/>
    </row>
    <row r="890" spans="1:4" ht="13" x14ac:dyDescent="0.15">
      <c r="A890" s="10"/>
      <c r="B890" s="13"/>
      <c r="C890" s="13"/>
      <c r="D890" s="13"/>
    </row>
    <row r="891" spans="1:4" ht="13" x14ac:dyDescent="0.15">
      <c r="A891" s="10"/>
      <c r="B891" s="13"/>
      <c r="C891" s="13"/>
      <c r="D891" s="13"/>
    </row>
    <row r="892" spans="1:4" ht="13" x14ac:dyDescent="0.15">
      <c r="A892" s="10"/>
      <c r="B892" s="13"/>
      <c r="C892" s="13"/>
      <c r="D892" s="13"/>
    </row>
    <row r="893" spans="1:4" ht="13" x14ac:dyDescent="0.15">
      <c r="A893" s="10"/>
      <c r="B893" s="13"/>
      <c r="C893" s="13"/>
      <c r="D893" s="13"/>
    </row>
    <row r="894" spans="1:4" ht="13" x14ac:dyDescent="0.15">
      <c r="A894" s="10"/>
      <c r="B894" s="13"/>
      <c r="C894" s="13"/>
      <c r="D894" s="13"/>
    </row>
    <row r="895" spans="1:4" ht="13" x14ac:dyDescent="0.15">
      <c r="A895" s="10"/>
      <c r="B895" s="13"/>
      <c r="C895" s="13"/>
      <c r="D895" s="13"/>
    </row>
    <row r="896" spans="1:4" ht="13" x14ac:dyDescent="0.15">
      <c r="A896" s="10"/>
      <c r="B896" s="13"/>
      <c r="C896" s="13"/>
      <c r="D896" s="13"/>
    </row>
    <row r="897" spans="1:4" ht="13" x14ac:dyDescent="0.15">
      <c r="A897" s="10"/>
      <c r="B897" s="13"/>
      <c r="C897" s="13"/>
      <c r="D897" s="13"/>
    </row>
    <row r="898" spans="1:4" ht="13" x14ac:dyDescent="0.15">
      <c r="A898" s="10"/>
      <c r="B898" s="13"/>
      <c r="C898" s="13"/>
      <c r="D898" s="13"/>
    </row>
    <row r="899" spans="1:4" ht="13" x14ac:dyDescent="0.15">
      <c r="A899" s="10"/>
      <c r="B899" s="13"/>
      <c r="C899" s="13"/>
      <c r="D899" s="13"/>
    </row>
    <row r="900" spans="1:4" ht="13" x14ac:dyDescent="0.15">
      <c r="A900" s="10"/>
      <c r="B900" s="13"/>
      <c r="C900" s="13"/>
      <c r="D900" s="13"/>
    </row>
    <row r="901" spans="1:4" ht="13" x14ac:dyDescent="0.15">
      <c r="A901" s="10"/>
      <c r="B901" s="13"/>
      <c r="C901" s="13"/>
      <c r="D901" s="13"/>
    </row>
    <row r="902" spans="1:4" ht="13" x14ac:dyDescent="0.15">
      <c r="A902" s="10"/>
      <c r="B902" s="13"/>
      <c r="C902" s="13"/>
      <c r="D902" s="13"/>
    </row>
    <row r="903" spans="1:4" ht="13" x14ac:dyDescent="0.15">
      <c r="A903" s="10"/>
      <c r="B903" s="13"/>
      <c r="C903" s="13"/>
      <c r="D903" s="13"/>
    </row>
    <row r="904" spans="1:4" ht="13" x14ac:dyDescent="0.15">
      <c r="A904" s="10"/>
      <c r="B904" s="13"/>
      <c r="C904" s="13"/>
      <c r="D904" s="13"/>
    </row>
    <row r="905" spans="1:4" ht="13" x14ac:dyDescent="0.15">
      <c r="A905" s="10"/>
      <c r="B905" s="13"/>
      <c r="C905" s="13"/>
      <c r="D905" s="13"/>
    </row>
    <row r="906" spans="1:4" ht="13" x14ac:dyDescent="0.15">
      <c r="A906" s="10"/>
      <c r="B906" s="13"/>
      <c r="C906" s="13"/>
      <c r="D906" s="13"/>
    </row>
    <row r="907" spans="1:4" ht="13" x14ac:dyDescent="0.15">
      <c r="A907" s="10"/>
      <c r="B907" s="13"/>
      <c r="C907" s="13"/>
      <c r="D907" s="13"/>
    </row>
    <row r="908" spans="1:4" ht="13" x14ac:dyDescent="0.15">
      <c r="A908" s="10"/>
      <c r="B908" s="13"/>
      <c r="C908" s="13"/>
      <c r="D908" s="13"/>
    </row>
    <row r="909" spans="1:4" ht="13" x14ac:dyDescent="0.15">
      <c r="A909" s="10"/>
      <c r="B909" s="13"/>
      <c r="C909" s="13"/>
      <c r="D909" s="13"/>
    </row>
    <row r="910" spans="1:4" ht="13" x14ac:dyDescent="0.15">
      <c r="A910" s="10"/>
      <c r="B910" s="13"/>
      <c r="C910" s="13"/>
      <c r="D910" s="13"/>
    </row>
    <row r="911" spans="1:4" ht="13" x14ac:dyDescent="0.15">
      <c r="A911" s="10"/>
      <c r="B911" s="13"/>
      <c r="C911" s="13"/>
      <c r="D911" s="13"/>
    </row>
    <row r="912" spans="1:4" ht="13" x14ac:dyDescent="0.15">
      <c r="A912" s="10"/>
      <c r="B912" s="13"/>
      <c r="C912" s="13"/>
      <c r="D912" s="13"/>
    </row>
    <row r="913" spans="1:4" ht="13" x14ac:dyDescent="0.15">
      <c r="A913" s="10"/>
      <c r="B913" s="13"/>
      <c r="C913" s="13"/>
      <c r="D913" s="13"/>
    </row>
    <row r="914" spans="1:4" ht="13" x14ac:dyDescent="0.15">
      <c r="A914" s="10"/>
      <c r="B914" s="13"/>
      <c r="C914" s="13"/>
      <c r="D914" s="13"/>
    </row>
    <row r="915" spans="1:4" ht="13" x14ac:dyDescent="0.15">
      <c r="A915" s="10"/>
      <c r="B915" s="13"/>
      <c r="C915" s="13"/>
      <c r="D915" s="13"/>
    </row>
    <row r="916" spans="1:4" ht="13" x14ac:dyDescent="0.15">
      <c r="A916" s="10"/>
      <c r="B916" s="13"/>
      <c r="C916" s="13"/>
      <c r="D916" s="13"/>
    </row>
    <row r="917" spans="1:4" ht="13" x14ac:dyDescent="0.15">
      <c r="A917" s="10"/>
      <c r="B917" s="13"/>
      <c r="C917" s="13"/>
      <c r="D917" s="13"/>
    </row>
    <row r="918" spans="1:4" ht="13" x14ac:dyDescent="0.15">
      <c r="A918" s="10"/>
      <c r="B918" s="13"/>
      <c r="C918" s="13"/>
      <c r="D918" s="13"/>
    </row>
    <row r="919" spans="1:4" ht="13" x14ac:dyDescent="0.15">
      <c r="A919" s="10"/>
      <c r="B919" s="13"/>
      <c r="C919" s="13"/>
      <c r="D919" s="13"/>
    </row>
    <row r="920" spans="1:4" ht="13" x14ac:dyDescent="0.15">
      <c r="A920" s="10"/>
      <c r="B920" s="13"/>
      <c r="C920" s="13"/>
      <c r="D920" s="13"/>
    </row>
    <row r="921" spans="1:4" ht="13" x14ac:dyDescent="0.15">
      <c r="A921" s="10"/>
      <c r="B921" s="13"/>
      <c r="C921" s="13"/>
      <c r="D921" s="13"/>
    </row>
    <row r="922" spans="1:4" ht="13" x14ac:dyDescent="0.15">
      <c r="A922" s="10"/>
      <c r="B922" s="13"/>
      <c r="C922" s="13"/>
      <c r="D922" s="13"/>
    </row>
    <row r="923" spans="1:4" ht="13" x14ac:dyDescent="0.15">
      <c r="A923" s="10"/>
      <c r="B923" s="13"/>
      <c r="C923" s="13"/>
      <c r="D923" s="13"/>
    </row>
    <row r="924" spans="1:4" ht="13" x14ac:dyDescent="0.15">
      <c r="A924" s="10"/>
      <c r="B924" s="13"/>
      <c r="C924" s="13"/>
      <c r="D924" s="13"/>
    </row>
    <row r="925" spans="1:4" ht="13" x14ac:dyDescent="0.15">
      <c r="A925" s="10"/>
      <c r="B925" s="13"/>
      <c r="C925" s="13"/>
      <c r="D925" s="13"/>
    </row>
    <row r="926" spans="1:4" ht="13" x14ac:dyDescent="0.15">
      <c r="A926" s="10"/>
      <c r="B926" s="13"/>
      <c r="C926" s="13"/>
      <c r="D926" s="13"/>
    </row>
    <row r="927" spans="1:4" ht="13" x14ac:dyDescent="0.15">
      <c r="A927" s="10"/>
      <c r="B927" s="13"/>
      <c r="C927" s="13"/>
      <c r="D927" s="13"/>
    </row>
    <row r="928" spans="1:4" ht="13" x14ac:dyDescent="0.15">
      <c r="A928" s="10"/>
      <c r="B928" s="13"/>
      <c r="C928" s="13"/>
      <c r="D928" s="13"/>
    </row>
    <row r="929" spans="1:4" ht="13" x14ac:dyDescent="0.15">
      <c r="A929" s="10"/>
      <c r="B929" s="13"/>
      <c r="C929" s="13"/>
      <c r="D929" s="13"/>
    </row>
    <row r="930" spans="1:4" ht="13" x14ac:dyDescent="0.15">
      <c r="A930" s="10"/>
      <c r="B930" s="13"/>
      <c r="C930" s="13"/>
      <c r="D930" s="13"/>
    </row>
    <row r="931" spans="1:4" ht="13" x14ac:dyDescent="0.15">
      <c r="A931" s="10"/>
      <c r="B931" s="13"/>
      <c r="C931" s="13"/>
      <c r="D931" s="13"/>
    </row>
    <row r="932" spans="1:4" ht="13" x14ac:dyDescent="0.15">
      <c r="A932" s="10"/>
      <c r="B932" s="13"/>
      <c r="C932" s="13"/>
      <c r="D932" s="13"/>
    </row>
    <row r="933" spans="1:4" ht="13" x14ac:dyDescent="0.15">
      <c r="A933" s="10"/>
      <c r="B933" s="13"/>
      <c r="C933" s="13"/>
      <c r="D933" s="13"/>
    </row>
    <row r="934" spans="1:4" ht="13" x14ac:dyDescent="0.15">
      <c r="A934" s="10"/>
      <c r="B934" s="13"/>
      <c r="C934" s="13"/>
      <c r="D934" s="13"/>
    </row>
    <row r="935" spans="1:4" ht="13" x14ac:dyDescent="0.15">
      <c r="A935" s="10"/>
      <c r="B935" s="13"/>
      <c r="C935" s="13"/>
      <c r="D935" s="13"/>
    </row>
    <row r="936" spans="1:4" ht="13" x14ac:dyDescent="0.15">
      <c r="A936" s="10"/>
      <c r="B936" s="13"/>
      <c r="C936" s="13"/>
      <c r="D936" s="13"/>
    </row>
    <row r="937" spans="1:4" ht="13" x14ac:dyDescent="0.15">
      <c r="A937" s="10"/>
      <c r="B937" s="13"/>
      <c r="C937" s="13"/>
      <c r="D937" s="13"/>
    </row>
    <row r="938" spans="1:4" ht="13" x14ac:dyDescent="0.15">
      <c r="A938" s="10"/>
      <c r="B938" s="13"/>
      <c r="C938" s="13"/>
      <c r="D938" s="13"/>
    </row>
    <row r="939" spans="1:4" ht="13" x14ac:dyDescent="0.15">
      <c r="A939" s="10"/>
      <c r="B939" s="13"/>
      <c r="C939" s="13"/>
      <c r="D939" s="13"/>
    </row>
    <row r="940" spans="1:4" ht="13" x14ac:dyDescent="0.15">
      <c r="A940" s="10"/>
      <c r="B940" s="13"/>
      <c r="C940" s="13"/>
      <c r="D940" s="13"/>
    </row>
    <row r="941" spans="1:4" ht="13" x14ac:dyDescent="0.15">
      <c r="A941" s="10"/>
      <c r="B941" s="13"/>
      <c r="C941" s="13"/>
      <c r="D941" s="13"/>
    </row>
    <row r="942" spans="1:4" ht="13" x14ac:dyDescent="0.15">
      <c r="A942" s="10"/>
      <c r="B942" s="13"/>
      <c r="C942" s="13"/>
      <c r="D942" s="13"/>
    </row>
    <row r="943" spans="1:4" ht="13" x14ac:dyDescent="0.15">
      <c r="A943" s="10"/>
      <c r="B943" s="13"/>
      <c r="C943" s="13"/>
      <c r="D943" s="13"/>
    </row>
    <row r="944" spans="1:4" ht="13" x14ac:dyDescent="0.15">
      <c r="A944" s="10"/>
      <c r="B944" s="13"/>
      <c r="C944" s="13"/>
      <c r="D944" s="13"/>
    </row>
    <row r="945" spans="1:4" ht="13" x14ac:dyDescent="0.15">
      <c r="A945" s="10"/>
      <c r="B945" s="13"/>
      <c r="C945" s="13"/>
      <c r="D945" s="13"/>
    </row>
    <row r="946" spans="1:4" ht="13" x14ac:dyDescent="0.15">
      <c r="A946" s="10"/>
      <c r="B946" s="13"/>
      <c r="C946" s="13"/>
      <c r="D946" s="13"/>
    </row>
    <row r="947" spans="1:4" ht="13" x14ac:dyDescent="0.15">
      <c r="A947" s="10"/>
      <c r="B947" s="13"/>
      <c r="C947" s="13"/>
      <c r="D947" s="13"/>
    </row>
    <row r="948" spans="1:4" ht="13" x14ac:dyDescent="0.15">
      <c r="A948" s="10"/>
      <c r="B948" s="13"/>
      <c r="C948" s="13"/>
      <c r="D948" s="13"/>
    </row>
    <row r="949" spans="1:4" ht="13" x14ac:dyDescent="0.15">
      <c r="A949" s="10"/>
      <c r="B949" s="13"/>
      <c r="C949" s="13"/>
      <c r="D949" s="13"/>
    </row>
    <row r="950" spans="1:4" ht="13" x14ac:dyDescent="0.15">
      <c r="A950" s="10"/>
      <c r="B950" s="13"/>
      <c r="C950" s="13"/>
      <c r="D950" s="13"/>
    </row>
    <row r="951" spans="1:4" ht="13" x14ac:dyDescent="0.15">
      <c r="A951" s="10"/>
      <c r="B951" s="13"/>
      <c r="C951" s="13"/>
      <c r="D951" s="13"/>
    </row>
    <row r="952" spans="1:4" ht="13" x14ac:dyDescent="0.15">
      <c r="A952" s="10"/>
      <c r="B952" s="13"/>
      <c r="C952" s="13"/>
      <c r="D952" s="13"/>
    </row>
    <row r="953" spans="1:4" ht="13" x14ac:dyDescent="0.15">
      <c r="A953" s="10"/>
      <c r="B953" s="13"/>
      <c r="C953" s="13"/>
      <c r="D953" s="13"/>
    </row>
    <row r="954" spans="1:4" ht="13" x14ac:dyDescent="0.15">
      <c r="A954" s="10"/>
      <c r="B954" s="13"/>
      <c r="C954" s="13"/>
      <c r="D954" s="13"/>
    </row>
    <row r="955" spans="1:4" ht="13" x14ac:dyDescent="0.15">
      <c r="A955" s="10"/>
      <c r="B955" s="13"/>
      <c r="C955" s="13"/>
      <c r="D955" s="13"/>
    </row>
    <row r="956" spans="1:4" ht="13" x14ac:dyDescent="0.15">
      <c r="A956" s="10"/>
      <c r="B956" s="13"/>
      <c r="C956" s="13"/>
      <c r="D956" s="13"/>
    </row>
    <row r="957" spans="1:4" ht="13" x14ac:dyDescent="0.15">
      <c r="A957" s="10"/>
      <c r="B957" s="13"/>
      <c r="C957" s="13"/>
      <c r="D957" s="13"/>
    </row>
    <row r="958" spans="1:4" ht="13" x14ac:dyDescent="0.15">
      <c r="A958" s="10"/>
      <c r="B958" s="13"/>
      <c r="C958" s="13"/>
      <c r="D958" s="13"/>
    </row>
    <row r="959" spans="1:4" ht="13" x14ac:dyDescent="0.15">
      <c r="A959" s="10"/>
      <c r="B959" s="13"/>
      <c r="C959" s="13"/>
      <c r="D959" s="13"/>
    </row>
    <row r="960" spans="1:4" ht="13" x14ac:dyDescent="0.15">
      <c r="A960" s="10"/>
      <c r="B960" s="13"/>
      <c r="C960" s="13"/>
      <c r="D960" s="13"/>
    </row>
    <row r="961" spans="1:4" ht="13" x14ac:dyDescent="0.15">
      <c r="A961" s="10"/>
      <c r="B961" s="13"/>
      <c r="C961" s="13"/>
      <c r="D961" s="13"/>
    </row>
    <row r="962" spans="1:4" ht="13" x14ac:dyDescent="0.15">
      <c r="A962" s="10"/>
      <c r="B962" s="13"/>
      <c r="C962" s="13"/>
      <c r="D962" s="13"/>
    </row>
    <row r="963" spans="1:4" ht="13" x14ac:dyDescent="0.15">
      <c r="A963" s="10"/>
      <c r="B963" s="13"/>
      <c r="C963" s="13"/>
      <c r="D963" s="13"/>
    </row>
    <row r="964" spans="1:4" ht="13" x14ac:dyDescent="0.15">
      <c r="A964" s="10"/>
      <c r="B964" s="13"/>
      <c r="C964" s="13"/>
      <c r="D964" s="13"/>
    </row>
    <row r="965" spans="1:4" ht="13" x14ac:dyDescent="0.15">
      <c r="A965" s="10"/>
      <c r="B965" s="13"/>
      <c r="C965" s="13"/>
      <c r="D965" s="13"/>
    </row>
    <row r="966" spans="1:4" ht="13" x14ac:dyDescent="0.15">
      <c r="A966" s="10"/>
      <c r="B966" s="13"/>
      <c r="C966" s="13"/>
      <c r="D966" s="13"/>
    </row>
    <row r="967" spans="1:4" ht="13" x14ac:dyDescent="0.15">
      <c r="A967" s="10"/>
      <c r="B967" s="13"/>
      <c r="C967" s="13"/>
      <c r="D967" s="13"/>
    </row>
    <row r="968" spans="1:4" ht="13" x14ac:dyDescent="0.15">
      <c r="A968" s="10"/>
      <c r="B968" s="13"/>
      <c r="C968" s="13"/>
      <c r="D968" s="13"/>
    </row>
    <row r="969" spans="1:4" ht="13" x14ac:dyDescent="0.15">
      <c r="A969" s="10"/>
      <c r="B969" s="13"/>
      <c r="C969" s="13"/>
      <c r="D969" s="13"/>
    </row>
    <row r="970" spans="1:4" ht="13" x14ac:dyDescent="0.15">
      <c r="A970" s="10"/>
      <c r="B970" s="13"/>
      <c r="C970" s="13"/>
      <c r="D970" s="13"/>
    </row>
    <row r="971" spans="1:4" ht="13" x14ac:dyDescent="0.15">
      <c r="A971" s="10"/>
      <c r="B971" s="13"/>
      <c r="C971" s="13"/>
      <c r="D971" s="13"/>
    </row>
    <row r="972" spans="1:4" ht="13" x14ac:dyDescent="0.15">
      <c r="A972" s="10"/>
      <c r="B972" s="13"/>
      <c r="C972" s="13"/>
      <c r="D972" s="13"/>
    </row>
    <row r="973" spans="1:4" ht="13" x14ac:dyDescent="0.15">
      <c r="A973" s="10"/>
      <c r="B973" s="13"/>
      <c r="C973" s="13"/>
      <c r="D973" s="13"/>
    </row>
    <row r="974" spans="1:4" ht="13" x14ac:dyDescent="0.15">
      <c r="A974" s="10"/>
      <c r="B974" s="13"/>
      <c r="C974" s="13"/>
      <c r="D974" s="13"/>
    </row>
    <row r="975" spans="1:4" ht="13" x14ac:dyDescent="0.15">
      <c r="A975" s="10"/>
      <c r="B975" s="13"/>
      <c r="C975" s="13"/>
      <c r="D975" s="13"/>
    </row>
    <row r="976" spans="1:4" ht="13" x14ac:dyDescent="0.15">
      <c r="A976" s="10"/>
      <c r="B976" s="13"/>
      <c r="C976" s="13"/>
      <c r="D976" s="13"/>
    </row>
    <row r="977" spans="1:4" ht="13" x14ac:dyDescent="0.15">
      <c r="A977" s="10"/>
      <c r="B977" s="13"/>
      <c r="C977" s="13"/>
      <c r="D977" s="13"/>
    </row>
    <row r="978" spans="1:4" ht="13" x14ac:dyDescent="0.15">
      <c r="A978" s="10"/>
      <c r="B978" s="13"/>
      <c r="C978" s="13"/>
      <c r="D978" s="13"/>
    </row>
    <row r="979" spans="1:4" ht="13" x14ac:dyDescent="0.15">
      <c r="A979" s="10"/>
      <c r="B979" s="13"/>
      <c r="C979" s="13"/>
      <c r="D979" s="13"/>
    </row>
    <row r="980" spans="1:4" ht="13" x14ac:dyDescent="0.15">
      <c r="A980" s="10"/>
      <c r="B980" s="13"/>
      <c r="C980" s="13"/>
      <c r="D980" s="13"/>
    </row>
    <row r="981" spans="1:4" ht="13" x14ac:dyDescent="0.15">
      <c r="A981" s="10"/>
      <c r="B981" s="13"/>
      <c r="C981" s="13"/>
      <c r="D981" s="13"/>
    </row>
    <row r="982" spans="1:4" ht="13" x14ac:dyDescent="0.15">
      <c r="A982" s="10"/>
      <c r="B982" s="13"/>
      <c r="C982" s="13"/>
      <c r="D982" s="13"/>
    </row>
    <row r="983" spans="1:4" ht="13" x14ac:dyDescent="0.15">
      <c r="A983" s="10"/>
      <c r="B983" s="13"/>
      <c r="C983" s="13"/>
      <c r="D983" s="13"/>
    </row>
    <row r="984" spans="1:4" ht="13" x14ac:dyDescent="0.15">
      <c r="A984" s="10"/>
      <c r="B984" s="13"/>
      <c r="C984" s="13"/>
      <c r="D984" s="13"/>
    </row>
    <row r="985" spans="1:4" ht="13" x14ac:dyDescent="0.15">
      <c r="A985" s="10"/>
      <c r="B985" s="13"/>
      <c r="C985" s="13"/>
      <c r="D985" s="13"/>
    </row>
    <row r="986" spans="1:4" ht="13" x14ac:dyDescent="0.15">
      <c r="A986" s="10"/>
      <c r="B986" s="13"/>
      <c r="C986" s="13"/>
      <c r="D986" s="13"/>
    </row>
    <row r="987" spans="1:4" ht="13" x14ac:dyDescent="0.15">
      <c r="A987" s="10"/>
      <c r="B987" s="13"/>
      <c r="C987" s="13"/>
      <c r="D987" s="13"/>
    </row>
    <row r="988" spans="1:4" ht="13" x14ac:dyDescent="0.15">
      <c r="A988" s="10"/>
      <c r="B988" s="13"/>
      <c r="C988" s="13"/>
      <c r="D988" s="13"/>
    </row>
    <row r="989" spans="1:4" ht="13" x14ac:dyDescent="0.15">
      <c r="A989" s="10"/>
      <c r="B989" s="13"/>
      <c r="C989" s="13"/>
      <c r="D989" s="13"/>
    </row>
    <row r="990" spans="1:4" ht="13" x14ac:dyDescent="0.15">
      <c r="A990" s="10"/>
      <c r="B990" s="13"/>
      <c r="C990" s="13"/>
      <c r="D990" s="13"/>
    </row>
    <row r="991" spans="1:4" ht="13" x14ac:dyDescent="0.15">
      <c r="A991" s="10"/>
      <c r="B991" s="13"/>
      <c r="C991" s="13"/>
      <c r="D991" s="13"/>
    </row>
    <row r="992" spans="1:4" ht="13" x14ac:dyDescent="0.15">
      <c r="A992" s="10"/>
      <c r="B992" s="13"/>
      <c r="C992" s="13"/>
      <c r="D992" s="13"/>
    </row>
    <row r="993" spans="1:4" ht="13" x14ac:dyDescent="0.15">
      <c r="A993" s="10"/>
      <c r="B993" s="13"/>
      <c r="C993" s="13"/>
      <c r="D993" s="13"/>
    </row>
    <row r="994" spans="1:4" ht="13" x14ac:dyDescent="0.15">
      <c r="A994" s="10"/>
      <c r="B994" s="13"/>
      <c r="C994" s="13"/>
      <c r="D994" s="13"/>
    </row>
    <row r="995" spans="1:4" ht="13" x14ac:dyDescent="0.15">
      <c r="A995" s="10"/>
      <c r="B995" s="13"/>
      <c r="C995" s="13"/>
      <c r="D995" s="13"/>
    </row>
    <row r="996" spans="1:4" ht="13" x14ac:dyDescent="0.15">
      <c r="A996" s="10"/>
      <c r="B996" s="13"/>
      <c r="C996" s="13"/>
      <c r="D996" s="13"/>
    </row>
    <row r="997" spans="1:4" ht="13" x14ac:dyDescent="0.15">
      <c r="A997" s="10"/>
      <c r="B997" s="13"/>
      <c r="C997" s="13"/>
      <c r="D997" s="13"/>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D997"/>
  <sheetViews>
    <sheetView workbookViewId="0"/>
  </sheetViews>
  <sheetFormatPr baseColWidth="10" defaultColWidth="12.6640625" defaultRowHeight="15.75" customHeight="1" x14ac:dyDescent="0.15"/>
  <cols>
    <col min="1" max="1" width="71.5" customWidth="1"/>
    <col min="2" max="4" width="37.6640625" customWidth="1"/>
  </cols>
  <sheetData>
    <row r="1" spans="1:4" x14ac:dyDescent="0.2">
      <c r="A1" s="11"/>
      <c r="B1" s="12" t="str">
        <f ca="1">IFERROR(__xludf.DUMMYFUNCTION("IMPORTRANGE(""https://docs.google.com/spreadsheets/d/19FYWDv6QyCNB_zbElAOE5cOI1IJ2jraXGOFWNs-qsQM"",""A6!B1:B22"")"),"Braden Brennan")</f>
        <v>Braden Brennan</v>
      </c>
      <c r="C1" s="23" t="str">
        <f ca="1">IFERROR(__xludf.DUMMYFUNCTION("IMPORTRANGE(""https://docs.google.com/spreadsheets/u/0/d/1_NcUY7_L0-VKMwwoDwesshr7eGsHFBVPNg4YI6jkjhk"", ""A6!B1:B22"")"),"Noelle Labadens")</f>
        <v>Noelle Labadens</v>
      </c>
      <c r="D1" s="12" t="s">
        <v>1</v>
      </c>
    </row>
    <row r="2" spans="1:4" ht="15.75" customHeight="1" x14ac:dyDescent="0.15">
      <c r="A2" s="14" t="s">
        <v>2</v>
      </c>
      <c r="B2" s="15" t="str">
        <f ca="1">IFERROR(__xludf.DUMMYFUNCTION("""COMPUTED_VALUE"""),"4920 - 5489")</f>
        <v>4920 - 5489</v>
      </c>
      <c r="C2" s="15" t="str">
        <f ca="1">IFERROR(__xludf.DUMMYFUNCTION("""COMPUTED_VALUE""")," 4920-5489 (Phamerator); Forwards")</f>
        <v xml:space="preserve"> 4920-5489 (Phamerator); Forwards</v>
      </c>
      <c r="D2" s="15"/>
    </row>
    <row r="3" spans="1:4" ht="15.75" customHeight="1" x14ac:dyDescent="0.15">
      <c r="A3" s="16" t="s">
        <v>3</v>
      </c>
      <c r="B3" s="17" t="str">
        <f ca="1">IFERROR(__xludf.DUMMYFUNCTION("""COMPUTED_VALUE"""),"Both gene 6")</f>
        <v>Both gene 6</v>
      </c>
      <c r="C3" s="17" t="str">
        <f ca="1">IFERROR(__xludf.DUMMYFUNCTION("""COMPUTED_VALUE"""),"DNA Master: 6; Phamerator: 6")</f>
        <v>DNA Master: 6; Phamerator: 6</v>
      </c>
      <c r="D3" s="17"/>
    </row>
    <row r="4" spans="1:4" ht="15.75" customHeight="1" x14ac:dyDescent="0.15">
      <c r="A4" s="16" t="s">
        <v>4</v>
      </c>
      <c r="B4" s="17" t="str">
        <f ca="1">IFERROR(__xludf.DUMMYFUNCTION("""COMPUTED_VALUE"""),"pham 85699 3/12/2025")</f>
        <v>pham 85699 3/12/2025</v>
      </c>
      <c r="C4" s="17" t="str">
        <f ca="1">IFERROR(__xludf.DUMMYFUNCTION("""COMPUTED_VALUE"""),"Pham 85699 2/26/2025")</f>
        <v>Pham 85699 2/26/2025</v>
      </c>
      <c r="D4" s="17"/>
    </row>
    <row r="5" spans="1:4" ht="15.75" customHeight="1" x14ac:dyDescent="0.15">
      <c r="A5" s="16" t="s">
        <v>5</v>
      </c>
      <c r="B5" s="17"/>
      <c r="C5" s="17" t="str">
        <f ca="1">IFERROR(__xludf.DUMMYFUNCTION("""COMPUTED_VALUE"""),"Edmundo_6, Kouv_7, Laroye_7, etc. (65 total)")</f>
        <v>Edmundo_6, Kouv_7, Laroye_7, etc. (65 total)</v>
      </c>
      <c r="D5" s="17"/>
    </row>
    <row r="6" spans="1:4" ht="15.75" customHeight="1" x14ac:dyDescent="0.15">
      <c r="A6" s="16" t="s">
        <v>6</v>
      </c>
      <c r="B6" s="17" t="str">
        <f ca="1">IFERROR(__xludf.DUMMYFUNCTION("""COMPUTED_VALUE"""),"both call 4920")</f>
        <v>both call 4920</v>
      </c>
      <c r="C6" s="17" t="str">
        <f ca="1">IFERROR(__xludf.DUMMYFUNCTION("""COMPUTED_VALUE"""),"Both")</f>
        <v>Both</v>
      </c>
      <c r="D6" s="17"/>
    </row>
    <row r="7" spans="1:4" ht="15.75" customHeight="1" x14ac:dyDescent="0.15">
      <c r="A7" s="16" t="s">
        <v>7</v>
      </c>
      <c r="B7" s="17" t="str">
        <f ca="1">IFERROR(__xludf.DUMMYFUNCTION("""COMPUTED_VALUE"""),"Good coding potential ")</f>
        <v xml:space="preserve">Good coding potential </v>
      </c>
      <c r="C7" s="17" t="str">
        <f ca="1">IFERROR(__xludf.DUMMYFUNCTION("""COMPUTED_VALUE"""),"Great coding potential; pretty much all potential is captured, a tiny bit is missing at the end")</f>
        <v>Great coding potential; pretty much all potential is captured, a tiny bit is missing at the end</v>
      </c>
      <c r="D7" s="17"/>
    </row>
    <row r="8" spans="1:4" ht="15.75" customHeight="1" x14ac:dyDescent="0.15">
      <c r="A8" s="16" t="s">
        <v>8</v>
      </c>
      <c r="B8" s="17" t="str">
        <f ca="1">IFERROR(__xludf.DUMMYFUNCTION("""COMPUTED_VALUE"""),"Yes ")</f>
        <v xml:space="preserve">Yes </v>
      </c>
      <c r="C8" s="17" t="str">
        <f ca="1">IFERROR(__xludf.DUMMYFUNCTION("""COMPUTED_VALUE"""),"Yes")</f>
        <v>Yes</v>
      </c>
      <c r="D8" s="17"/>
    </row>
    <row r="9" spans="1:4" ht="15.75" customHeight="1" x14ac:dyDescent="0.15">
      <c r="A9" s="16" t="s">
        <v>9</v>
      </c>
      <c r="B9" s="17" t="str">
        <f ca="1">IFERROR(__xludf.DUMMYFUNCTION("""COMPUTED_VALUE"""),"Three nucleotide overlap ")</f>
        <v xml:space="preserve">Three nucleotide overlap </v>
      </c>
      <c r="C9" s="17" t="str">
        <f ca="1">IFERROR(__xludf.DUMMYFUNCTION("""COMPUTED_VALUE"""),"3 nt overlap")</f>
        <v>3 nt overlap</v>
      </c>
      <c r="D9" s="17"/>
    </row>
    <row r="10" spans="1:4" ht="15.75" customHeight="1" x14ac:dyDescent="0.15">
      <c r="A10" s="16" t="s">
        <v>10</v>
      </c>
      <c r="B10" s="17" t="str">
        <f ca="1">IFERROR(__xludf.DUMMYFUNCTION("""COMPUTED_VALUE"""),"Raw SD: -1.767) Z: 2.950) Final Score: -2.992")</f>
        <v>Raw SD: -1.767) Z: 2.950) Final Score: -2.992</v>
      </c>
      <c r="C10" s="17" t="str">
        <f ca="1">IFERROR(__xludf.DUMMYFUNCTION("""COMPUTED_VALUE"""),"raw SD: -1.748; Z score: 2.957")</f>
        <v>raw SD: -1.748; Z score: 2.957</v>
      </c>
      <c r="D10" s="17"/>
    </row>
    <row r="11" spans="1:4" ht="15.75" customHeight="1" x14ac:dyDescent="0.15">
      <c r="A11" s="16" t="s">
        <v>11</v>
      </c>
      <c r="B11" s="17" t="str">
        <f ca="1">IFERROR(__xludf.DUMMYFUNCTION("""COMPUTED_VALUE"""),"(ParB -like partition protein, phage Laroye, 85.96% identitiy, E:0.0E0) (ParB-like dsDNA partitioning protein, phage Kovu, 90% identitiy, E:0.0E0)")</f>
        <v>(ParB -like partition protein, phage Laroye, 85.96% identitiy, E:0.0E0) (ParB-like dsDNA partitioning protein, phage Kovu, 90% identitiy, E:0.0E0)</v>
      </c>
      <c r="C11" s="17" t="str">
        <f ca="1">IFERROR(__xludf.DUMMYFUNCTION("""COMPUTED_VALUE"""),"Kovu_7, 92%, 5e-92; q:12 s:7")</f>
        <v>Kovu_7, 92%, 5e-92; q:12 s:7</v>
      </c>
      <c r="D11" s="17"/>
    </row>
    <row r="12" spans="1:4" ht="15.75" customHeight="1" x14ac:dyDescent="0.15">
      <c r="A12" s="16" t="s">
        <v>12</v>
      </c>
      <c r="B12" s="17" t="str">
        <f ca="1">IFERROR(__xludf.DUMMYFUNCTION("""COMPUTED_VALUE"""),"ApoKipo 6 is the only gene in the pham to have this start 1/65 called 100% of the time")</f>
        <v>ApoKipo 6 is the only gene in the pham to have this start 1/65 called 100% of the time</v>
      </c>
      <c r="C12" s="17" t="str">
        <f ca="1">IFERROR(__xludf.DUMMYFUNCTION("""COMPUTED_VALUE"""),"no; only called in ApoKipo")</f>
        <v>no; only called in ApoKipo</v>
      </c>
      <c r="D12" s="17"/>
    </row>
    <row r="13" spans="1:4" ht="15.75" customHeight="1" x14ac:dyDescent="0.15">
      <c r="A13" s="16" t="s">
        <v>13</v>
      </c>
      <c r="B13" s="17" t="str">
        <f ca="1">IFERROR(__xludf.DUMMYFUNCTION("""COMPUTED_VALUE"""),"while the start is odd it looks like there are no other start codons that would work")</f>
        <v>while the start is odd it looks like there are no other start codons that would work</v>
      </c>
      <c r="C13" s="17" t="str">
        <f ca="1">IFERROR(__xludf.DUMMYFUNCTION("""COMPUTED_VALUE"""),"No; No compelling information to change the site - it captures all coding potential, the 3nt overlap is fine and better than the large gap the next start would create, and the start is only in kovu so there are really no comparisions")</f>
        <v>No; No compelling information to change the site - it captures all coding potential, the 3nt overlap is fine and better than the large gap the next start would create, and the start is only in kovu so there are really no comparisions</v>
      </c>
      <c r="D13" s="17"/>
    </row>
    <row r="14" spans="1:4" ht="15.75" customHeight="1" x14ac:dyDescent="0.15">
      <c r="A14" s="16" t="s">
        <v>14</v>
      </c>
      <c r="B14" s="17" t="str">
        <f ca="1">IFERROR(__xludf.DUMMYFUNCTION("""COMPUTED_VALUE"""),"(Abinghost_5) (Kovu_7)")</f>
        <v>(Abinghost_5) (Kovu_7)</v>
      </c>
      <c r="C14" s="17" t="str">
        <f ca="1">IFERROR(__xludf.DUMMYFUNCTION("""COMPUTED_VALUE"""),"ParB-like dsDNA partitioning protein, Kovu_7, 5e-92")</f>
        <v>ParB-like dsDNA partitioning protein, Kovu_7, 5e-92</v>
      </c>
      <c r="D14" s="17"/>
    </row>
    <row r="15" spans="1:4" ht="15.75" customHeight="1" x14ac:dyDescent="0.15">
      <c r="A15" s="16" t="s">
        <v>15</v>
      </c>
      <c r="B15" s="17" t="str">
        <f ca="1">IFERROR(__xludf.DUMMYFUNCTION("""COMPUTED_VALUE"""),"Some (ParB-like nuclease domain protein)(Abinghost) and others (ParB-like dsDNA partitioning protein)(Kovu)")</f>
        <v>Some (ParB-like nuclease domain protein)(Abinghost) and others (ParB-like dsDNA partitioning protein)(Kovu)</v>
      </c>
      <c r="C15" s="17" t="str">
        <f ca="1">IFERROR(__xludf.DUMMYFUNCTION("""COMPUTED_VALUE"""),"ParB-like dsDNA partitioning protein")</f>
        <v>ParB-like dsDNA partitioning protein</v>
      </c>
      <c r="D15" s="17"/>
    </row>
    <row r="16" spans="1:4" ht="15.75" customHeight="1" x14ac:dyDescent="0.15">
      <c r="A16" s="16" t="s">
        <v>16</v>
      </c>
      <c r="B16" s="17" t="str">
        <f ca="1">IFERROR(__xludf.DUMMYFUNCTION("""COMPUTED_VALUE"""),"the gene and its nearby genes seem to align well with each other and their Kovu counterparts ")</f>
        <v xml:space="preserve">the gene and its nearby genes seem to align well with each other and their Kovu counterparts </v>
      </c>
      <c r="C16" s="17" t="str">
        <f ca="1">IFERROR(__xludf.DUMMYFUNCTION("""COMPUTED_VALUE"""),"yes, similar environment to Kovu except Kovu_8 doesn't relly line up with ApoKipo_7. ")</f>
        <v xml:space="preserve">yes, similar environment to Kovu except Kovu_8 doesn't relly line up with ApoKipo_7. </v>
      </c>
      <c r="D16" s="17"/>
    </row>
    <row r="17" spans="1:4" ht="15.75" customHeight="1" x14ac:dyDescent="0.15">
      <c r="A17" s="16" t="s">
        <v>17</v>
      </c>
      <c r="B17" s="17" t="str">
        <f ca="1">IFERROR(__xludf.DUMMYFUNCTION("""COMPUTED_VALUE"""),"Nucleoid occlusion protein; Probability: 99.77% ;% alignment of Q 79.89; % alignment of T 59.92")</f>
        <v>Nucleoid occlusion protein; Probability: 99.77% ;% alignment of Q 79.89; % alignment of T 59.92</v>
      </c>
      <c r="C17" s="17" t="str">
        <f ca="1">IFERROR(__xludf.DUMMYFUNCTION("""COMPUTED_VALUE"""),"PROBABLE CHROMOSOME-PARTITIONING PROTEIN PARB; DNA BINDING PROTEIN-DNA COMPLEX; HET: SO4; 3.096A {HELICOBACTER PYLORI}; 99.73% probability; %Q = 76.88%, %T = 59.58%; I don't think so no")</f>
        <v>PROBABLE CHROMOSOME-PARTITIONING PROTEIN PARB; DNA BINDING PROTEIN-DNA COMPLEX; HET: SO4; 3.096A {HELICOBACTER PYLORI}; 99.73% probability; %Q = 76.88%, %T = 59.58%; I don't think so no</v>
      </c>
      <c r="D17" s="17"/>
    </row>
    <row r="18" spans="1:4" ht="15.75" customHeight="1" x14ac:dyDescent="0.15">
      <c r="A18" s="16" t="s">
        <v>18</v>
      </c>
      <c r="B18" s="17" t="str">
        <f ca="1">IFERROR(__xludf.DUMMYFUNCTION("""COMPUTED_VALUE"""),"Phamerator shows ")</f>
        <v xml:space="preserve">Phamerator shows </v>
      </c>
      <c r="C18" s="17" t="str">
        <f ca="1">IFERROR(__xludf.DUMMYFUNCTION("""COMPUTED_VALUE"""),"yes")</f>
        <v>yes</v>
      </c>
      <c r="D18" s="17"/>
    </row>
    <row r="19" spans="1:4" ht="15.75" customHeight="1" x14ac:dyDescent="0.15">
      <c r="A19" s="16" t="s">
        <v>19</v>
      </c>
      <c r="B19" s="17" t="str">
        <f ca="1">IFERROR(__xludf.DUMMYFUNCTION("""COMPUTED_VALUE"""),"Inside Probability 1")</f>
        <v>Inside Probability 1</v>
      </c>
      <c r="C19" s="17" t="str">
        <f ca="1">IFERROR(__xludf.DUMMYFUNCTION("""COMPUTED_VALUE"""),"none")</f>
        <v>none</v>
      </c>
      <c r="D19" s="17"/>
    </row>
    <row r="20" spans="1:4" ht="15.75" customHeight="1" x14ac:dyDescent="0.15">
      <c r="A20" s="16" t="s">
        <v>20</v>
      </c>
      <c r="B20" s="17" t="str">
        <f ca="1">IFERROR(__xludf.DUMMYFUNCTION("""COMPUTED_VALUE"""),"Probably a ParB-like nuclease domain as all programs lead to this or simular genes")</f>
        <v>Probably a ParB-like nuclease domain as all programs lead to this or simular genes</v>
      </c>
      <c r="C20" s="17" t="str">
        <f ca="1">IFERROR(__xludf.DUMMYFUNCTION("""COMPUTED_VALUE"""),"ParB-like dsDNA partitioning protien because of it's similarity to Kovu and both of their similarity to a similar function in HHPred")</f>
        <v>ParB-like dsDNA partitioning protien because of it's similarity to Kovu and both of their similarity to a similar function in HHPred</v>
      </c>
      <c r="D20" s="17"/>
    </row>
    <row r="21" spans="1:4" x14ac:dyDescent="0.2">
      <c r="A21" s="7"/>
      <c r="B21" s="8"/>
      <c r="C21" s="8"/>
      <c r="D21" s="8"/>
    </row>
    <row r="22" spans="1:4" ht="15.75" customHeight="1" x14ac:dyDescent="0.15">
      <c r="A22" s="9" t="s">
        <v>21</v>
      </c>
      <c r="B22" s="8"/>
      <c r="C22" s="8"/>
      <c r="D22" s="8"/>
    </row>
    <row r="23" spans="1:4" ht="15.75" customHeight="1" x14ac:dyDescent="0.15">
      <c r="A23" s="10"/>
    </row>
    <row r="24" spans="1:4" ht="15.75" customHeight="1" x14ac:dyDescent="0.15">
      <c r="A24" s="10"/>
    </row>
    <row r="25" spans="1:4" ht="15.75" customHeight="1" x14ac:dyDescent="0.15">
      <c r="A25" s="10"/>
    </row>
    <row r="26" spans="1:4" ht="15.75" customHeight="1" x14ac:dyDescent="0.15">
      <c r="A26" s="10"/>
    </row>
    <row r="27" spans="1:4" ht="15.75" customHeight="1" x14ac:dyDescent="0.15">
      <c r="A27" s="10"/>
    </row>
    <row r="28" spans="1:4" ht="15.75" customHeight="1" x14ac:dyDescent="0.15">
      <c r="A28" s="10"/>
    </row>
    <row r="29" spans="1:4" ht="15.75" customHeight="1" x14ac:dyDescent="0.15">
      <c r="A29" s="10"/>
    </row>
    <row r="30" spans="1:4" ht="15.75" customHeight="1" x14ac:dyDescent="0.15">
      <c r="A30" s="10"/>
    </row>
    <row r="31" spans="1:4" ht="15.75" customHeight="1" x14ac:dyDescent="0.15">
      <c r="A31" s="10"/>
    </row>
    <row r="32" spans="1:4" ht="15.75" customHeight="1" x14ac:dyDescent="0.15">
      <c r="A32" s="10"/>
    </row>
    <row r="33" spans="1:1" ht="15.75" customHeight="1" x14ac:dyDescent="0.15">
      <c r="A33" s="10"/>
    </row>
    <row r="34" spans="1:1" ht="15.75" customHeight="1" x14ac:dyDescent="0.15">
      <c r="A34" s="10"/>
    </row>
    <row r="35" spans="1:1" ht="15.75" customHeight="1" x14ac:dyDescent="0.15">
      <c r="A35" s="10"/>
    </row>
    <row r="36" spans="1:1" ht="15.75" customHeight="1" x14ac:dyDescent="0.15">
      <c r="A36" s="10"/>
    </row>
    <row r="37" spans="1:1" ht="15.75" customHeight="1" x14ac:dyDescent="0.15">
      <c r="A37" s="10"/>
    </row>
    <row r="38" spans="1:1" ht="15.75" customHeight="1" x14ac:dyDescent="0.15">
      <c r="A38" s="10"/>
    </row>
    <row r="39" spans="1:1" ht="13" x14ac:dyDescent="0.15">
      <c r="A39" s="10"/>
    </row>
    <row r="40" spans="1:1" ht="13" x14ac:dyDescent="0.15">
      <c r="A40" s="10"/>
    </row>
    <row r="41" spans="1:1" ht="13" x14ac:dyDescent="0.15">
      <c r="A41" s="10"/>
    </row>
    <row r="42" spans="1:1" ht="13" x14ac:dyDescent="0.15">
      <c r="A42" s="10"/>
    </row>
    <row r="43" spans="1:1" ht="13" x14ac:dyDescent="0.15">
      <c r="A43" s="10"/>
    </row>
    <row r="44" spans="1:1" ht="13" x14ac:dyDescent="0.15">
      <c r="A44" s="10"/>
    </row>
    <row r="45" spans="1:1" ht="13" x14ac:dyDescent="0.15">
      <c r="A45" s="10"/>
    </row>
    <row r="46" spans="1:1" ht="13" x14ac:dyDescent="0.15">
      <c r="A46" s="10"/>
    </row>
    <row r="47" spans="1:1" ht="13" x14ac:dyDescent="0.15">
      <c r="A47" s="10"/>
    </row>
    <row r="48" spans="1:1" ht="13" x14ac:dyDescent="0.15">
      <c r="A48" s="10"/>
    </row>
    <row r="49" spans="1:1" ht="13" x14ac:dyDescent="0.15">
      <c r="A49" s="10"/>
    </row>
    <row r="50" spans="1:1" ht="13" x14ac:dyDescent="0.15">
      <c r="A50" s="10"/>
    </row>
    <row r="51" spans="1:1" ht="13" x14ac:dyDescent="0.15">
      <c r="A51" s="10"/>
    </row>
    <row r="52" spans="1:1" ht="13" x14ac:dyDescent="0.15">
      <c r="A52" s="10"/>
    </row>
    <row r="53" spans="1:1" ht="13" x14ac:dyDescent="0.15">
      <c r="A53" s="10"/>
    </row>
    <row r="54" spans="1:1" ht="13" x14ac:dyDescent="0.15">
      <c r="A54" s="10"/>
    </row>
    <row r="55" spans="1:1" ht="13" x14ac:dyDescent="0.15">
      <c r="A55" s="10"/>
    </row>
    <row r="56" spans="1:1" ht="13" x14ac:dyDescent="0.15">
      <c r="A56" s="10"/>
    </row>
    <row r="57" spans="1:1" ht="13" x14ac:dyDescent="0.15">
      <c r="A57" s="10"/>
    </row>
    <row r="58" spans="1:1" ht="13" x14ac:dyDescent="0.15">
      <c r="A58" s="10"/>
    </row>
    <row r="59" spans="1:1" ht="13" x14ac:dyDescent="0.15">
      <c r="A59" s="10"/>
    </row>
    <row r="60" spans="1:1" ht="13" x14ac:dyDescent="0.15">
      <c r="A60" s="10"/>
    </row>
    <row r="61" spans="1:1" ht="13" x14ac:dyDescent="0.15">
      <c r="A61" s="10"/>
    </row>
    <row r="62" spans="1:1" ht="13" x14ac:dyDescent="0.15">
      <c r="A62" s="10"/>
    </row>
    <row r="63" spans="1:1" ht="13" x14ac:dyDescent="0.15">
      <c r="A63" s="10"/>
    </row>
    <row r="64" spans="1:1" ht="13" x14ac:dyDescent="0.15">
      <c r="A64" s="10"/>
    </row>
    <row r="65" spans="1:1" ht="13" x14ac:dyDescent="0.15">
      <c r="A65" s="10"/>
    </row>
    <row r="66" spans="1:1" ht="13" x14ac:dyDescent="0.15">
      <c r="A66" s="10"/>
    </row>
    <row r="67" spans="1:1" ht="13" x14ac:dyDescent="0.15">
      <c r="A67" s="10"/>
    </row>
    <row r="68" spans="1:1" ht="13" x14ac:dyDescent="0.15">
      <c r="A68" s="10"/>
    </row>
    <row r="69" spans="1:1" ht="13" x14ac:dyDescent="0.15">
      <c r="A69" s="10"/>
    </row>
    <row r="70" spans="1:1" ht="13" x14ac:dyDescent="0.15">
      <c r="A70" s="10"/>
    </row>
    <row r="71" spans="1:1" ht="13" x14ac:dyDescent="0.15">
      <c r="A71" s="10"/>
    </row>
    <row r="72" spans="1:1" ht="13" x14ac:dyDescent="0.15">
      <c r="A72" s="10"/>
    </row>
    <row r="73" spans="1:1" ht="13" x14ac:dyDescent="0.15">
      <c r="A73" s="10"/>
    </row>
    <row r="74" spans="1:1" ht="13" x14ac:dyDescent="0.15">
      <c r="A74" s="10"/>
    </row>
    <row r="75" spans="1:1" ht="13" x14ac:dyDescent="0.15">
      <c r="A75" s="10"/>
    </row>
    <row r="76" spans="1:1" ht="13" x14ac:dyDescent="0.15">
      <c r="A76" s="10"/>
    </row>
    <row r="77" spans="1:1" ht="13" x14ac:dyDescent="0.15">
      <c r="A77" s="10"/>
    </row>
    <row r="78" spans="1:1" ht="13" x14ac:dyDescent="0.15">
      <c r="A78" s="10"/>
    </row>
    <row r="79" spans="1:1" ht="13" x14ac:dyDescent="0.15">
      <c r="A79" s="10"/>
    </row>
    <row r="80" spans="1:1" ht="13" x14ac:dyDescent="0.15">
      <c r="A80" s="10"/>
    </row>
    <row r="81" spans="1:1" ht="13" x14ac:dyDescent="0.15">
      <c r="A81" s="10"/>
    </row>
    <row r="82" spans="1:1" ht="13" x14ac:dyDescent="0.15">
      <c r="A82" s="10"/>
    </row>
    <row r="83" spans="1:1" ht="13" x14ac:dyDescent="0.15">
      <c r="A83" s="10"/>
    </row>
    <row r="84" spans="1:1" ht="13" x14ac:dyDescent="0.15">
      <c r="A84" s="10"/>
    </row>
    <row r="85" spans="1:1" ht="13" x14ac:dyDescent="0.15">
      <c r="A85" s="10"/>
    </row>
    <row r="86" spans="1:1" ht="13" x14ac:dyDescent="0.15">
      <c r="A86" s="10"/>
    </row>
    <row r="87" spans="1:1" ht="13" x14ac:dyDescent="0.15">
      <c r="A87" s="10"/>
    </row>
    <row r="88" spans="1:1" ht="13" x14ac:dyDescent="0.15">
      <c r="A88" s="10"/>
    </row>
    <row r="89" spans="1:1" ht="13" x14ac:dyDescent="0.15">
      <c r="A89" s="10"/>
    </row>
    <row r="90" spans="1:1" ht="13" x14ac:dyDescent="0.15">
      <c r="A90" s="10"/>
    </row>
    <row r="91" spans="1:1" ht="13" x14ac:dyDescent="0.15">
      <c r="A91" s="10"/>
    </row>
    <row r="92" spans="1:1" ht="13" x14ac:dyDescent="0.15">
      <c r="A92" s="10"/>
    </row>
    <row r="93" spans="1:1" ht="13" x14ac:dyDescent="0.15">
      <c r="A93" s="10"/>
    </row>
    <row r="94" spans="1:1" ht="13" x14ac:dyDescent="0.15">
      <c r="A94" s="10"/>
    </row>
    <row r="95" spans="1:1" ht="13" x14ac:dyDescent="0.15">
      <c r="A95" s="10"/>
    </row>
    <row r="96" spans="1:1" ht="13" x14ac:dyDescent="0.15">
      <c r="A96" s="10"/>
    </row>
    <row r="97" spans="1:1" ht="13" x14ac:dyDescent="0.15">
      <c r="A97" s="10"/>
    </row>
    <row r="98" spans="1:1" ht="13" x14ac:dyDescent="0.15">
      <c r="A98" s="10"/>
    </row>
    <row r="99" spans="1:1" ht="13" x14ac:dyDescent="0.15">
      <c r="A99" s="10"/>
    </row>
    <row r="100" spans="1:1" ht="13" x14ac:dyDescent="0.15">
      <c r="A100" s="10"/>
    </row>
    <row r="101" spans="1:1" ht="13" x14ac:dyDescent="0.15">
      <c r="A101" s="10"/>
    </row>
    <row r="102" spans="1:1" ht="13" x14ac:dyDescent="0.15">
      <c r="A102" s="10"/>
    </row>
    <row r="103" spans="1:1" ht="13" x14ac:dyDescent="0.15">
      <c r="A103" s="10"/>
    </row>
    <row r="104" spans="1:1" ht="13" x14ac:dyDescent="0.15">
      <c r="A104" s="10"/>
    </row>
    <row r="105" spans="1:1" ht="13" x14ac:dyDescent="0.15">
      <c r="A105" s="10"/>
    </row>
    <row r="106" spans="1:1" ht="13" x14ac:dyDescent="0.15">
      <c r="A106" s="10"/>
    </row>
    <row r="107" spans="1:1" ht="13" x14ac:dyDescent="0.15">
      <c r="A107" s="10"/>
    </row>
    <row r="108" spans="1:1" ht="13" x14ac:dyDescent="0.15">
      <c r="A108" s="10"/>
    </row>
    <row r="109" spans="1:1" ht="13" x14ac:dyDescent="0.15">
      <c r="A109" s="10"/>
    </row>
    <row r="110" spans="1:1" ht="13" x14ac:dyDescent="0.15">
      <c r="A110" s="10"/>
    </row>
    <row r="111" spans="1:1" ht="13" x14ac:dyDescent="0.15">
      <c r="A111" s="10"/>
    </row>
    <row r="112" spans="1:1" ht="13" x14ac:dyDescent="0.15">
      <c r="A112" s="10"/>
    </row>
    <row r="113" spans="1:1" ht="13" x14ac:dyDescent="0.15">
      <c r="A113" s="10"/>
    </row>
    <row r="114" spans="1:1" ht="13" x14ac:dyDescent="0.15">
      <c r="A114" s="10"/>
    </row>
    <row r="115" spans="1:1" ht="13" x14ac:dyDescent="0.15">
      <c r="A115" s="10"/>
    </row>
    <row r="116" spans="1:1" ht="13" x14ac:dyDescent="0.15">
      <c r="A116" s="10"/>
    </row>
    <row r="117" spans="1:1" ht="13" x14ac:dyDescent="0.15">
      <c r="A117" s="10"/>
    </row>
    <row r="118" spans="1:1" ht="13" x14ac:dyDescent="0.15">
      <c r="A118" s="10"/>
    </row>
    <row r="119" spans="1:1" ht="13" x14ac:dyDescent="0.15">
      <c r="A119" s="10"/>
    </row>
    <row r="120" spans="1:1" ht="13" x14ac:dyDescent="0.15">
      <c r="A120" s="10"/>
    </row>
    <row r="121" spans="1:1" ht="13" x14ac:dyDescent="0.15">
      <c r="A121" s="10"/>
    </row>
    <row r="122" spans="1:1" ht="13" x14ac:dyDescent="0.15">
      <c r="A122" s="10"/>
    </row>
    <row r="123" spans="1:1" ht="13" x14ac:dyDescent="0.15">
      <c r="A123" s="10"/>
    </row>
    <row r="124" spans="1:1" ht="13" x14ac:dyDescent="0.15">
      <c r="A124" s="10"/>
    </row>
    <row r="125" spans="1:1" ht="13" x14ac:dyDescent="0.15">
      <c r="A125" s="10"/>
    </row>
    <row r="126" spans="1:1" ht="13" x14ac:dyDescent="0.15">
      <c r="A126" s="10"/>
    </row>
    <row r="127" spans="1:1" ht="13" x14ac:dyDescent="0.15">
      <c r="A127" s="10"/>
    </row>
    <row r="128" spans="1:1" ht="13" x14ac:dyDescent="0.15">
      <c r="A128" s="10"/>
    </row>
    <row r="129" spans="1:1" ht="13" x14ac:dyDescent="0.15">
      <c r="A129" s="10"/>
    </row>
    <row r="130" spans="1:1" ht="13" x14ac:dyDescent="0.15">
      <c r="A130" s="10"/>
    </row>
    <row r="131" spans="1:1" ht="13" x14ac:dyDescent="0.15">
      <c r="A131" s="10"/>
    </row>
    <row r="132" spans="1:1" ht="13" x14ac:dyDescent="0.15">
      <c r="A132" s="10"/>
    </row>
    <row r="133" spans="1:1" ht="13" x14ac:dyDescent="0.15">
      <c r="A133" s="10"/>
    </row>
    <row r="134" spans="1:1" ht="13" x14ac:dyDescent="0.15">
      <c r="A134" s="10"/>
    </row>
    <row r="135" spans="1:1" ht="13" x14ac:dyDescent="0.15">
      <c r="A135" s="10"/>
    </row>
    <row r="136" spans="1:1" ht="13" x14ac:dyDescent="0.15">
      <c r="A136" s="10"/>
    </row>
    <row r="137" spans="1:1" ht="13" x14ac:dyDescent="0.15">
      <c r="A137" s="10"/>
    </row>
    <row r="138" spans="1:1" ht="13" x14ac:dyDescent="0.15">
      <c r="A138" s="10"/>
    </row>
    <row r="139" spans="1:1" ht="13" x14ac:dyDescent="0.15">
      <c r="A139" s="10"/>
    </row>
    <row r="140" spans="1:1" ht="13" x14ac:dyDescent="0.15">
      <c r="A140" s="10"/>
    </row>
    <row r="141" spans="1:1" ht="13" x14ac:dyDescent="0.15">
      <c r="A141" s="10"/>
    </row>
    <row r="142" spans="1:1" ht="13" x14ac:dyDescent="0.15">
      <c r="A142" s="10"/>
    </row>
    <row r="143" spans="1:1" ht="13" x14ac:dyDescent="0.15">
      <c r="A143" s="10"/>
    </row>
    <row r="144" spans="1:1" ht="13" x14ac:dyDescent="0.15">
      <c r="A144" s="10"/>
    </row>
    <row r="145" spans="1:1" ht="13" x14ac:dyDescent="0.15">
      <c r="A145" s="10"/>
    </row>
    <row r="146" spans="1:1" ht="13" x14ac:dyDescent="0.15">
      <c r="A146" s="10"/>
    </row>
    <row r="147" spans="1:1" ht="13" x14ac:dyDescent="0.15">
      <c r="A147" s="10"/>
    </row>
    <row r="148" spans="1:1" ht="13" x14ac:dyDescent="0.15">
      <c r="A148" s="10"/>
    </row>
    <row r="149" spans="1:1" ht="13" x14ac:dyDescent="0.15">
      <c r="A149" s="10"/>
    </row>
    <row r="150" spans="1:1" ht="13" x14ac:dyDescent="0.15">
      <c r="A150" s="10"/>
    </row>
    <row r="151" spans="1:1" ht="13" x14ac:dyDescent="0.15">
      <c r="A151" s="10"/>
    </row>
    <row r="152" spans="1:1" ht="13" x14ac:dyDescent="0.15">
      <c r="A152" s="10"/>
    </row>
    <row r="153" spans="1:1" ht="13" x14ac:dyDescent="0.15">
      <c r="A153" s="10"/>
    </row>
    <row r="154" spans="1:1" ht="13" x14ac:dyDescent="0.15">
      <c r="A154" s="10"/>
    </row>
    <row r="155" spans="1:1" ht="13" x14ac:dyDescent="0.15">
      <c r="A155" s="10"/>
    </row>
    <row r="156" spans="1:1" ht="13" x14ac:dyDescent="0.15">
      <c r="A156" s="10"/>
    </row>
    <row r="157" spans="1:1" ht="13" x14ac:dyDescent="0.15">
      <c r="A157" s="10"/>
    </row>
    <row r="158" spans="1:1" ht="13" x14ac:dyDescent="0.15">
      <c r="A158" s="10"/>
    </row>
    <row r="159" spans="1:1" ht="13" x14ac:dyDescent="0.15">
      <c r="A159" s="10"/>
    </row>
    <row r="160" spans="1:1" ht="13" x14ac:dyDescent="0.15">
      <c r="A160" s="10"/>
    </row>
    <row r="161" spans="1:1" ht="13" x14ac:dyDescent="0.15">
      <c r="A161" s="10"/>
    </row>
    <row r="162" spans="1:1" ht="13" x14ac:dyDescent="0.15">
      <c r="A162" s="10"/>
    </row>
    <row r="163" spans="1:1" ht="13" x14ac:dyDescent="0.15">
      <c r="A163" s="10"/>
    </row>
    <row r="164" spans="1:1" ht="13" x14ac:dyDescent="0.15">
      <c r="A164" s="10"/>
    </row>
    <row r="165" spans="1:1" ht="13" x14ac:dyDescent="0.15">
      <c r="A165" s="10"/>
    </row>
    <row r="166" spans="1:1" ht="13" x14ac:dyDescent="0.15">
      <c r="A166" s="10"/>
    </row>
    <row r="167" spans="1:1" ht="13" x14ac:dyDescent="0.15">
      <c r="A167" s="10"/>
    </row>
    <row r="168" spans="1:1" ht="13" x14ac:dyDescent="0.15">
      <c r="A168" s="10"/>
    </row>
    <row r="169" spans="1:1" ht="13" x14ac:dyDescent="0.15">
      <c r="A169" s="10"/>
    </row>
    <row r="170" spans="1:1" ht="13" x14ac:dyDescent="0.15">
      <c r="A170" s="10"/>
    </row>
    <row r="171" spans="1:1" ht="13" x14ac:dyDescent="0.15">
      <c r="A171" s="10"/>
    </row>
    <row r="172" spans="1:1" ht="13" x14ac:dyDescent="0.15">
      <c r="A172" s="10"/>
    </row>
    <row r="173" spans="1:1" ht="13" x14ac:dyDescent="0.15">
      <c r="A173" s="10"/>
    </row>
    <row r="174" spans="1:1" ht="13" x14ac:dyDescent="0.15">
      <c r="A174" s="10"/>
    </row>
    <row r="175" spans="1:1" ht="13" x14ac:dyDescent="0.15">
      <c r="A175" s="10"/>
    </row>
    <row r="176" spans="1:1" ht="13" x14ac:dyDescent="0.15">
      <c r="A176" s="10"/>
    </row>
    <row r="177" spans="1:1" ht="13" x14ac:dyDescent="0.15">
      <c r="A177" s="10"/>
    </row>
    <row r="178" spans="1:1" ht="13" x14ac:dyDescent="0.15">
      <c r="A178" s="10"/>
    </row>
    <row r="179" spans="1:1" ht="13" x14ac:dyDescent="0.15">
      <c r="A179" s="10"/>
    </row>
    <row r="180" spans="1:1" ht="13" x14ac:dyDescent="0.15">
      <c r="A180" s="10"/>
    </row>
    <row r="181" spans="1:1" ht="13" x14ac:dyDescent="0.15">
      <c r="A181" s="10"/>
    </row>
    <row r="182" spans="1:1" ht="13" x14ac:dyDescent="0.15">
      <c r="A182" s="10"/>
    </row>
    <row r="183" spans="1:1" ht="13" x14ac:dyDescent="0.15">
      <c r="A183" s="10"/>
    </row>
    <row r="184" spans="1:1" ht="13" x14ac:dyDescent="0.15">
      <c r="A184" s="10"/>
    </row>
    <row r="185" spans="1:1" ht="13" x14ac:dyDescent="0.15">
      <c r="A185" s="10"/>
    </row>
    <row r="186" spans="1:1" ht="13" x14ac:dyDescent="0.15">
      <c r="A186" s="10"/>
    </row>
    <row r="187" spans="1:1" ht="13" x14ac:dyDescent="0.15">
      <c r="A187" s="10"/>
    </row>
    <row r="188" spans="1:1" ht="13" x14ac:dyDescent="0.15">
      <c r="A188" s="10"/>
    </row>
    <row r="189" spans="1:1" ht="13" x14ac:dyDescent="0.15">
      <c r="A189" s="10"/>
    </row>
    <row r="190" spans="1:1" ht="13" x14ac:dyDescent="0.15">
      <c r="A190" s="10"/>
    </row>
    <row r="191" spans="1:1" ht="13" x14ac:dyDescent="0.15">
      <c r="A191" s="10"/>
    </row>
    <row r="192" spans="1:1" ht="13" x14ac:dyDescent="0.15">
      <c r="A192" s="10"/>
    </row>
    <row r="193" spans="1:1" ht="13" x14ac:dyDescent="0.15">
      <c r="A193" s="10"/>
    </row>
    <row r="194" spans="1:1" ht="13" x14ac:dyDescent="0.15">
      <c r="A194" s="10"/>
    </row>
    <row r="195" spans="1:1" ht="13" x14ac:dyDescent="0.15">
      <c r="A195" s="10"/>
    </row>
    <row r="196" spans="1:1" ht="13" x14ac:dyDescent="0.15">
      <c r="A196" s="10"/>
    </row>
    <row r="197" spans="1:1" ht="13" x14ac:dyDescent="0.15">
      <c r="A197" s="10"/>
    </row>
    <row r="198" spans="1:1" ht="13" x14ac:dyDescent="0.15">
      <c r="A198" s="10"/>
    </row>
    <row r="199" spans="1:1" ht="13" x14ac:dyDescent="0.15">
      <c r="A199" s="10"/>
    </row>
    <row r="200" spans="1:1" ht="13" x14ac:dyDescent="0.15">
      <c r="A200" s="10"/>
    </row>
    <row r="201" spans="1:1" ht="13" x14ac:dyDescent="0.15">
      <c r="A201" s="10"/>
    </row>
    <row r="202" spans="1:1" ht="13" x14ac:dyDescent="0.15">
      <c r="A202" s="10"/>
    </row>
    <row r="203" spans="1:1" ht="13" x14ac:dyDescent="0.15">
      <c r="A203" s="10"/>
    </row>
    <row r="204" spans="1:1" ht="13" x14ac:dyDescent="0.15">
      <c r="A204" s="10"/>
    </row>
    <row r="205" spans="1:1" ht="13" x14ac:dyDescent="0.15">
      <c r="A205" s="10"/>
    </row>
    <row r="206" spans="1:1" ht="13" x14ac:dyDescent="0.15">
      <c r="A206" s="10"/>
    </row>
    <row r="207" spans="1:1" ht="13" x14ac:dyDescent="0.15">
      <c r="A207" s="10"/>
    </row>
    <row r="208" spans="1:1" ht="13" x14ac:dyDescent="0.15">
      <c r="A208" s="10"/>
    </row>
    <row r="209" spans="1:1" ht="13" x14ac:dyDescent="0.15">
      <c r="A209" s="10"/>
    </row>
    <row r="210" spans="1:1" ht="13" x14ac:dyDescent="0.15">
      <c r="A210" s="10"/>
    </row>
    <row r="211" spans="1:1" ht="13" x14ac:dyDescent="0.15">
      <c r="A211" s="10"/>
    </row>
    <row r="212" spans="1:1" ht="13" x14ac:dyDescent="0.15">
      <c r="A212" s="10"/>
    </row>
    <row r="213" spans="1:1" ht="13" x14ac:dyDescent="0.15">
      <c r="A213" s="10"/>
    </row>
    <row r="214" spans="1:1" ht="13" x14ac:dyDescent="0.15">
      <c r="A214" s="10"/>
    </row>
    <row r="215" spans="1:1" ht="13" x14ac:dyDescent="0.15">
      <c r="A215" s="10"/>
    </row>
    <row r="216" spans="1:1" ht="13" x14ac:dyDescent="0.15">
      <c r="A216" s="10"/>
    </row>
    <row r="217" spans="1:1" ht="13" x14ac:dyDescent="0.15">
      <c r="A217" s="10"/>
    </row>
    <row r="218" spans="1:1" ht="13" x14ac:dyDescent="0.15">
      <c r="A218" s="10"/>
    </row>
    <row r="219" spans="1:1" ht="13" x14ac:dyDescent="0.15">
      <c r="A219" s="10"/>
    </row>
    <row r="220" spans="1:1" ht="13" x14ac:dyDescent="0.15">
      <c r="A220" s="10"/>
    </row>
    <row r="221" spans="1:1" ht="13" x14ac:dyDescent="0.15">
      <c r="A221" s="10"/>
    </row>
    <row r="222" spans="1:1" ht="13" x14ac:dyDescent="0.15">
      <c r="A222" s="10"/>
    </row>
    <row r="223" spans="1:1" ht="13" x14ac:dyDescent="0.15">
      <c r="A223" s="10"/>
    </row>
    <row r="224" spans="1:1" ht="13" x14ac:dyDescent="0.15">
      <c r="A224" s="10"/>
    </row>
    <row r="225" spans="1:1" ht="13" x14ac:dyDescent="0.15">
      <c r="A225" s="10"/>
    </row>
    <row r="226" spans="1:1" ht="13" x14ac:dyDescent="0.15">
      <c r="A226" s="10"/>
    </row>
    <row r="227" spans="1:1" ht="13" x14ac:dyDescent="0.15">
      <c r="A227" s="10"/>
    </row>
    <row r="228" spans="1:1" ht="13" x14ac:dyDescent="0.15">
      <c r="A228" s="10"/>
    </row>
    <row r="229" spans="1:1" ht="13" x14ac:dyDescent="0.15">
      <c r="A229" s="10"/>
    </row>
    <row r="230" spans="1:1" ht="13" x14ac:dyDescent="0.15">
      <c r="A230" s="10"/>
    </row>
    <row r="231" spans="1:1" ht="13" x14ac:dyDescent="0.15">
      <c r="A231" s="10"/>
    </row>
    <row r="232" spans="1:1" ht="13" x14ac:dyDescent="0.15">
      <c r="A232" s="10"/>
    </row>
    <row r="233" spans="1:1" ht="13" x14ac:dyDescent="0.15">
      <c r="A233" s="10"/>
    </row>
    <row r="234" spans="1:1" ht="13" x14ac:dyDescent="0.15">
      <c r="A234" s="10"/>
    </row>
    <row r="235" spans="1:1" ht="13" x14ac:dyDescent="0.15">
      <c r="A235" s="10"/>
    </row>
    <row r="236" spans="1:1" ht="13" x14ac:dyDescent="0.15">
      <c r="A236" s="10"/>
    </row>
    <row r="237" spans="1:1" ht="13" x14ac:dyDescent="0.15">
      <c r="A237" s="10"/>
    </row>
    <row r="238" spans="1:1" ht="13" x14ac:dyDescent="0.15">
      <c r="A238" s="10"/>
    </row>
    <row r="239" spans="1:1" ht="13" x14ac:dyDescent="0.15">
      <c r="A239" s="10"/>
    </row>
    <row r="240" spans="1:1" ht="13" x14ac:dyDescent="0.15">
      <c r="A240" s="10"/>
    </row>
    <row r="241" spans="1:1" ht="13" x14ac:dyDescent="0.15">
      <c r="A241" s="10"/>
    </row>
    <row r="242" spans="1:1" ht="13" x14ac:dyDescent="0.15">
      <c r="A242" s="10"/>
    </row>
    <row r="243" spans="1:1" ht="13" x14ac:dyDescent="0.15">
      <c r="A243" s="10"/>
    </row>
    <row r="244" spans="1:1" ht="13" x14ac:dyDescent="0.15">
      <c r="A244" s="10"/>
    </row>
    <row r="245" spans="1:1" ht="13" x14ac:dyDescent="0.15">
      <c r="A245" s="10"/>
    </row>
    <row r="246" spans="1:1" ht="13" x14ac:dyDescent="0.15">
      <c r="A246" s="10"/>
    </row>
    <row r="247" spans="1:1" ht="13" x14ac:dyDescent="0.15">
      <c r="A247" s="10"/>
    </row>
    <row r="248" spans="1:1" ht="13" x14ac:dyDescent="0.15">
      <c r="A248" s="10"/>
    </row>
    <row r="249" spans="1:1" ht="13" x14ac:dyDescent="0.15">
      <c r="A249" s="10"/>
    </row>
    <row r="250" spans="1:1" ht="13" x14ac:dyDescent="0.15">
      <c r="A250" s="10"/>
    </row>
    <row r="251" spans="1:1" ht="13" x14ac:dyDescent="0.15">
      <c r="A251" s="10"/>
    </row>
    <row r="252" spans="1:1" ht="13" x14ac:dyDescent="0.15">
      <c r="A252" s="10"/>
    </row>
    <row r="253" spans="1:1" ht="13" x14ac:dyDescent="0.15">
      <c r="A253" s="10"/>
    </row>
    <row r="254" spans="1:1" ht="13" x14ac:dyDescent="0.15">
      <c r="A254" s="10"/>
    </row>
    <row r="255" spans="1:1" ht="13" x14ac:dyDescent="0.15">
      <c r="A255" s="10"/>
    </row>
    <row r="256" spans="1:1" ht="13" x14ac:dyDescent="0.15">
      <c r="A256" s="10"/>
    </row>
    <row r="257" spans="1:1" ht="13" x14ac:dyDescent="0.15">
      <c r="A257" s="10"/>
    </row>
    <row r="258" spans="1:1" ht="13" x14ac:dyDescent="0.15">
      <c r="A258" s="10"/>
    </row>
    <row r="259" spans="1:1" ht="13" x14ac:dyDescent="0.15">
      <c r="A259" s="10"/>
    </row>
    <row r="260" spans="1:1" ht="13" x14ac:dyDescent="0.15">
      <c r="A260" s="10"/>
    </row>
    <row r="261" spans="1:1" ht="13" x14ac:dyDescent="0.15">
      <c r="A261" s="10"/>
    </row>
    <row r="262" spans="1:1" ht="13" x14ac:dyDescent="0.15">
      <c r="A262" s="10"/>
    </row>
    <row r="263" spans="1:1" ht="13" x14ac:dyDescent="0.15">
      <c r="A263" s="10"/>
    </row>
    <row r="264" spans="1:1" ht="13" x14ac:dyDescent="0.15">
      <c r="A264" s="10"/>
    </row>
    <row r="265" spans="1:1" ht="13" x14ac:dyDescent="0.15">
      <c r="A265" s="10"/>
    </row>
    <row r="266" spans="1:1" ht="13" x14ac:dyDescent="0.15">
      <c r="A266" s="10"/>
    </row>
    <row r="267" spans="1:1" ht="13" x14ac:dyDescent="0.15">
      <c r="A267" s="10"/>
    </row>
    <row r="268" spans="1:1" ht="13" x14ac:dyDescent="0.15">
      <c r="A268" s="10"/>
    </row>
    <row r="269" spans="1:1" ht="13" x14ac:dyDescent="0.15">
      <c r="A269" s="10"/>
    </row>
    <row r="270" spans="1:1" ht="13" x14ac:dyDescent="0.15">
      <c r="A270" s="10"/>
    </row>
    <row r="271" spans="1:1" ht="13" x14ac:dyDescent="0.15">
      <c r="A271" s="10"/>
    </row>
    <row r="272" spans="1:1" ht="13" x14ac:dyDescent="0.15">
      <c r="A272" s="10"/>
    </row>
    <row r="273" spans="1:1" ht="13" x14ac:dyDescent="0.15">
      <c r="A273" s="10"/>
    </row>
    <row r="274" spans="1:1" ht="13" x14ac:dyDescent="0.15">
      <c r="A274" s="10"/>
    </row>
    <row r="275" spans="1:1" ht="13" x14ac:dyDescent="0.15">
      <c r="A275" s="10"/>
    </row>
    <row r="276" spans="1:1" ht="13" x14ac:dyDescent="0.15">
      <c r="A276" s="10"/>
    </row>
    <row r="277" spans="1:1" ht="13" x14ac:dyDescent="0.15">
      <c r="A277" s="10"/>
    </row>
    <row r="278" spans="1:1" ht="13" x14ac:dyDescent="0.15">
      <c r="A278" s="10"/>
    </row>
    <row r="279" spans="1:1" ht="13" x14ac:dyDescent="0.15">
      <c r="A279" s="10"/>
    </row>
    <row r="280" spans="1:1" ht="13" x14ac:dyDescent="0.15">
      <c r="A280" s="10"/>
    </row>
    <row r="281" spans="1:1" ht="13" x14ac:dyDescent="0.15">
      <c r="A281" s="10"/>
    </row>
    <row r="282" spans="1:1" ht="13" x14ac:dyDescent="0.15">
      <c r="A282" s="10"/>
    </row>
    <row r="283" spans="1:1" ht="13" x14ac:dyDescent="0.15">
      <c r="A283" s="10"/>
    </row>
    <row r="284" spans="1:1" ht="13" x14ac:dyDescent="0.15">
      <c r="A284" s="10"/>
    </row>
    <row r="285" spans="1:1" ht="13" x14ac:dyDescent="0.15">
      <c r="A285" s="10"/>
    </row>
    <row r="286" spans="1:1" ht="13" x14ac:dyDescent="0.15">
      <c r="A286" s="10"/>
    </row>
    <row r="287" spans="1:1" ht="13" x14ac:dyDescent="0.15">
      <c r="A287" s="10"/>
    </row>
    <row r="288" spans="1:1" ht="13" x14ac:dyDescent="0.15">
      <c r="A288" s="10"/>
    </row>
    <row r="289" spans="1:1" ht="13" x14ac:dyDescent="0.15">
      <c r="A289" s="10"/>
    </row>
    <row r="290" spans="1:1" ht="13" x14ac:dyDescent="0.15">
      <c r="A290" s="10"/>
    </row>
    <row r="291" spans="1:1" ht="13" x14ac:dyDescent="0.15">
      <c r="A291" s="10"/>
    </row>
    <row r="292" spans="1:1" ht="13" x14ac:dyDescent="0.15">
      <c r="A292" s="10"/>
    </row>
    <row r="293" spans="1:1" ht="13" x14ac:dyDescent="0.15">
      <c r="A293" s="10"/>
    </row>
    <row r="294" spans="1:1" ht="13" x14ac:dyDescent="0.15">
      <c r="A294" s="10"/>
    </row>
    <row r="295" spans="1:1" ht="13" x14ac:dyDescent="0.15">
      <c r="A295" s="10"/>
    </row>
    <row r="296" spans="1:1" ht="13" x14ac:dyDescent="0.15">
      <c r="A296" s="10"/>
    </row>
    <row r="297" spans="1:1" ht="13" x14ac:dyDescent="0.15">
      <c r="A297" s="10"/>
    </row>
    <row r="298" spans="1:1" ht="13" x14ac:dyDescent="0.15">
      <c r="A298" s="10"/>
    </row>
    <row r="299" spans="1:1" ht="13" x14ac:dyDescent="0.15">
      <c r="A299" s="10"/>
    </row>
    <row r="300" spans="1:1" ht="13" x14ac:dyDescent="0.15">
      <c r="A300" s="10"/>
    </row>
    <row r="301" spans="1:1" ht="13" x14ac:dyDescent="0.15">
      <c r="A301" s="10"/>
    </row>
    <row r="302" spans="1:1" ht="13" x14ac:dyDescent="0.15">
      <c r="A302" s="10"/>
    </row>
    <row r="303" spans="1:1" ht="13" x14ac:dyDescent="0.15">
      <c r="A303" s="10"/>
    </row>
    <row r="304" spans="1:1" ht="13" x14ac:dyDescent="0.15">
      <c r="A304" s="10"/>
    </row>
    <row r="305" spans="1:1" ht="13" x14ac:dyDescent="0.15">
      <c r="A305" s="10"/>
    </row>
    <row r="306" spans="1:1" ht="13" x14ac:dyDescent="0.15">
      <c r="A306" s="10"/>
    </row>
    <row r="307" spans="1:1" ht="13" x14ac:dyDescent="0.15">
      <c r="A307" s="10"/>
    </row>
    <row r="308" spans="1:1" ht="13" x14ac:dyDescent="0.15">
      <c r="A308" s="10"/>
    </row>
    <row r="309" spans="1:1" ht="13" x14ac:dyDescent="0.15">
      <c r="A309" s="10"/>
    </row>
    <row r="310" spans="1:1" ht="13" x14ac:dyDescent="0.15">
      <c r="A310" s="10"/>
    </row>
    <row r="311" spans="1:1" ht="13" x14ac:dyDescent="0.15">
      <c r="A311" s="10"/>
    </row>
    <row r="312" spans="1:1" ht="13" x14ac:dyDescent="0.15">
      <c r="A312" s="10"/>
    </row>
    <row r="313" spans="1:1" ht="13" x14ac:dyDescent="0.15">
      <c r="A313" s="10"/>
    </row>
    <row r="314" spans="1:1" ht="13" x14ac:dyDescent="0.15">
      <c r="A314" s="10"/>
    </row>
    <row r="315" spans="1:1" ht="13" x14ac:dyDescent="0.15">
      <c r="A315" s="10"/>
    </row>
    <row r="316" spans="1:1" ht="13" x14ac:dyDescent="0.15">
      <c r="A316" s="10"/>
    </row>
    <row r="317" spans="1:1" ht="13" x14ac:dyDescent="0.15">
      <c r="A317" s="10"/>
    </row>
    <row r="318" spans="1:1" ht="13" x14ac:dyDescent="0.15">
      <c r="A318" s="10"/>
    </row>
    <row r="319" spans="1:1" ht="13" x14ac:dyDescent="0.15">
      <c r="A319" s="10"/>
    </row>
    <row r="320" spans="1:1" ht="13" x14ac:dyDescent="0.15">
      <c r="A320" s="10"/>
    </row>
    <row r="321" spans="1:1" ht="13" x14ac:dyDescent="0.15">
      <c r="A321" s="10"/>
    </row>
    <row r="322" spans="1:1" ht="13" x14ac:dyDescent="0.15">
      <c r="A322" s="10"/>
    </row>
    <row r="323" spans="1:1" ht="13" x14ac:dyDescent="0.15">
      <c r="A323" s="10"/>
    </row>
    <row r="324" spans="1:1" ht="13" x14ac:dyDescent="0.15">
      <c r="A324" s="10"/>
    </row>
    <row r="325" spans="1:1" ht="13" x14ac:dyDescent="0.15">
      <c r="A325" s="10"/>
    </row>
    <row r="326" spans="1:1" ht="13" x14ac:dyDescent="0.15">
      <c r="A326" s="10"/>
    </row>
    <row r="327" spans="1:1" ht="13" x14ac:dyDescent="0.15">
      <c r="A327" s="10"/>
    </row>
    <row r="328" spans="1:1" ht="13" x14ac:dyDescent="0.15">
      <c r="A328" s="10"/>
    </row>
    <row r="329" spans="1:1" ht="13" x14ac:dyDescent="0.15">
      <c r="A329" s="10"/>
    </row>
    <row r="330" spans="1:1" ht="13" x14ac:dyDescent="0.15">
      <c r="A330" s="10"/>
    </row>
    <row r="331" spans="1:1" ht="13" x14ac:dyDescent="0.15">
      <c r="A331" s="10"/>
    </row>
    <row r="332" spans="1:1" ht="13" x14ac:dyDescent="0.15">
      <c r="A332" s="10"/>
    </row>
    <row r="333" spans="1:1" ht="13" x14ac:dyDescent="0.15">
      <c r="A333" s="10"/>
    </row>
    <row r="334" spans="1:1" ht="13" x14ac:dyDescent="0.15">
      <c r="A334" s="10"/>
    </row>
    <row r="335" spans="1:1" ht="13" x14ac:dyDescent="0.15">
      <c r="A335" s="10"/>
    </row>
    <row r="336" spans="1:1" ht="13" x14ac:dyDescent="0.15">
      <c r="A336" s="10"/>
    </row>
    <row r="337" spans="1:1" ht="13" x14ac:dyDescent="0.15">
      <c r="A337" s="10"/>
    </row>
    <row r="338" spans="1:1" ht="13" x14ac:dyDescent="0.15">
      <c r="A338" s="10"/>
    </row>
    <row r="339" spans="1:1" ht="13" x14ac:dyDescent="0.15">
      <c r="A339" s="10"/>
    </row>
    <row r="340" spans="1:1" ht="13" x14ac:dyDescent="0.15">
      <c r="A340" s="10"/>
    </row>
    <row r="341" spans="1:1" ht="13" x14ac:dyDescent="0.15">
      <c r="A341" s="10"/>
    </row>
    <row r="342" spans="1:1" ht="13" x14ac:dyDescent="0.15">
      <c r="A342" s="10"/>
    </row>
    <row r="343" spans="1:1" ht="13" x14ac:dyDescent="0.15">
      <c r="A343" s="10"/>
    </row>
    <row r="344" spans="1:1" ht="13" x14ac:dyDescent="0.15">
      <c r="A344" s="10"/>
    </row>
    <row r="345" spans="1:1" ht="13" x14ac:dyDescent="0.15">
      <c r="A345" s="10"/>
    </row>
    <row r="346" spans="1:1" ht="13" x14ac:dyDescent="0.15">
      <c r="A346" s="10"/>
    </row>
    <row r="347" spans="1:1" ht="13" x14ac:dyDescent="0.15">
      <c r="A347" s="10"/>
    </row>
    <row r="348" spans="1:1" ht="13" x14ac:dyDescent="0.15">
      <c r="A348" s="10"/>
    </row>
    <row r="349" spans="1:1" ht="13" x14ac:dyDescent="0.15">
      <c r="A349" s="10"/>
    </row>
    <row r="350" spans="1:1" ht="13" x14ac:dyDescent="0.15">
      <c r="A350" s="10"/>
    </row>
    <row r="351" spans="1:1" ht="13" x14ac:dyDescent="0.15">
      <c r="A351" s="10"/>
    </row>
    <row r="352" spans="1:1" ht="13" x14ac:dyDescent="0.15">
      <c r="A352" s="10"/>
    </row>
    <row r="353" spans="1:1" ht="13" x14ac:dyDescent="0.15">
      <c r="A353" s="10"/>
    </row>
    <row r="354" spans="1:1" ht="13" x14ac:dyDescent="0.15">
      <c r="A354" s="10"/>
    </row>
    <row r="355" spans="1:1" ht="13" x14ac:dyDescent="0.15">
      <c r="A355" s="10"/>
    </row>
    <row r="356" spans="1:1" ht="13" x14ac:dyDescent="0.15">
      <c r="A356" s="10"/>
    </row>
    <row r="357" spans="1:1" ht="13" x14ac:dyDescent="0.15">
      <c r="A357" s="10"/>
    </row>
    <row r="358" spans="1:1" ht="13" x14ac:dyDescent="0.15">
      <c r="A358" s="10"/>
    </row>
    <row r="359" spans="1:1" ht="13" x14ac:dyDescent="0.15">
      <c r="A359" s="10"/>
    </row>
    <row r="360" spans="1:1" ht="13" x14ac:dyDescent="0.15">
      <c r="A360" s="10"/>
    </row>
    <row r="361" spans="1:1" ht="13" x14ac:dyDescent="0.15">
      <c r="A361" s="10"/>
    </row>
    <row r="362" spans="1:1" ht="13" x14ac:dyDescent="0.15">
      <c r="A362" s="10"/>
    </row>
    <row r="363" spans="1:1" ht="13" x14ac:dyDescent="0.15">
      <c r="A363" s="10"/>
    </row>
    <row r="364" spans="1:1" ht="13" x14ac:dyDescent="0.15">
      <c r="A364" s="10"/>
    </row>
    <row r="365" spans="1:1" ht="13" x14ac:dyDescent="0.15">
      <c r="A365" s="10"/>
    </row>
    <row r="366" spans="1:1" ht="13" x14ac:dyDescent="0.15">
      <c r="A366" s="10"/>
    </row>
    <row r="367" spans="1:1" ht="13" x14ac:dyDescent="0.15">
      <c r="A367" s="10"/>
    </row>
    <row r="368" spans="1:1" ht="13" x14ac:dyDescent="0.15">
      <c r="A368" s="10"/>
    </row>
    <row r="369" spans="1:1" ht="13" x14ac:dyDescent="0.15">
      <c r="A369" s="10"/>
    </row>
    <row r="370" spans="1:1" ht="13" x14ac:dyDescent="0.15">
      <c r="A370" s="10"/>
    </row>
    <row r="371" spans="1:1" ht="13" x14ac:dyDescent="0.15">
      <c r="A371" s="10"/>
    </row>
    <row r="372" spans="1:1" ht="13" x14ac:dyDescent="0.15">
      <c r="A372" s="10"/>
    </row>
    <row r="373" spans="1:1" ht="13" x14ac:dyDescent="0.15">
      <c r="A373" s="10"/>
    </row>
    <row r="374" spans="1:1" ht="13" x14ac:dyDescent="0.15">
      <c r="A374" s="10"/>
    </row>
    <row r="375" spans="1:1" ht="13" x14ac:dyDescent="0.15">
      <c r="A375" s="10"/>
    </row>
    <row r="376" spans="1:1" ht="13" x14ac:dyDescent="0.15">
      <c r="A376" s="10"/>
    </row>
    <row r="377" spans="1:1" ht="13" x14ac:dyDescent="0.15">
      <c r="A377" s="10"/>
    </row>
    <row r="378" spans="1:1" ht="13" x14ac:dyDescent="0.15">
      <c r="A378" s="10"/>
    </row>
    <row r="379" spans="1:1" ht="13" x14ac:dyDescent="0.15">
      <c r="A379" s="10"/>
    </row>
    <row r="380" spans="1:1" ht="13" x14ac:dyDescent="0.15">
      <c r="A380" s="10"/>
    </row>
    <row r="381" spans="1:1" ht="13" x14ac:dyDescent="0.15">
      <c r="A381" s="10"/>
    </row>
    <row r="382" spans="1:1" ht="13" x14ac:dyDescent="0.15">
      <c r="A382" s="10"/>
    </row>
    <row r="383" spans="1:1" ht="13" x14ac:dyDescent="0.15">
      <c r="A383" s="10"/>
    </row>
    <row r="384" spans="1:1" ht="13" x14ac:dyDescent="0.15">
      <c r="A384" s="10"/>
    </row>
    <row r="385" spans="1:1" ht="13" x14ac:dyDescent="0.15">
      <c r="A385" s="10"/>
    </row>
    <row r="386" spans="1:1" ht="13" x14ac:dyDescent="0.15">
      <c r="A386" s="10"/>
    </row>
    <row r="387" spans="1:1" ht="13" x14ac:dyDescent="0.15">
      <c r="A387" s="10"/>
    </row>
    <row r="388" spans="1:1" ht="13" x14ac:dyDescent="0.15">
      <c r="A388" s="10"/>
    </row>
    <row r="389" spans="1:1" ht="13" x14ac:dyDescent="0.15">
      <c r="A389" s="10"/>
    </row>
    <row r="390" spans="1:1" ht="13" x14ac:dyDescent="0.15">
      <c r="A390" s="10"/>
    </row>
    <row r="391" spans="1:1" ht="13" x14ac:dyDescent="0.15">
      <c r="A391" s="10"/>
    </row>
    <row r="392" spans="1:1" ht="13" x14ac:dyDescent="0.15">
      <c r="A392" s="10"/>
    </row>
    <row r="393" spans="1:1" ht="13" x14ac:dyDescent="0.15">
      <c r="A393" s="10"/>
    </row>
    <row r="394" spans="1:1" ht="13" x14ac:dyDescent="0.15">
      <c r="A394" s="10"/>
    </row>
    <row r="395" spans="1:1" ht="13" x14ac:dyDescent="0.15">
      <c r="A395" s="10"/>
    </row>
    <row r="396" spans="1:1" ht="13" x14ac:dyDescent="0.15">
      <c r="A396" s="10"/>
    </row>
    <row r="397" spans="1:1" ht="13" x14ac:dyDescent="0.15">
      <c r="A397" s="10"/>
    </row>
    <row r="398" spans="1:1" ht="13" x14ac:dyDescent="0.15">
      <c r="A398" s="10"/>
    </row>
    <row r="399" spans="1:1" ht="13" x14ac:dyDescent="0.15">
      <c r="A399" s="10"/>
    </row>
    <row r="400" spans="1:1" ht="13" x14ac:dyDescent="0.15">
      <c r="A400" s="10"/>
    </row>
    <row r="401" spans="1:1" ht="13" x14ac:dyDescent="0.15">
      <c r="A401" s="10"/>
    </row>
    <row r="402" spans="1:1" ht="13" x14ac:dyDescent="0.15">
      <c r="A402" s="10"/>
    </row>
    <row r="403" spans="1:1" ht="13" x14ac:dyDescent="0.15">
      <c r="A403" s="10"/>
    </row>
    <row r="404" spans="1:1" ht="13" x14ac:dyDescent="0.15">
      <c r="A404" s="10"/>
    </row>
    <row r="405" spans="1:1" ht="13" x14ac:dyDescent="0.15">
      <c r="A405" s="10"/>
    </row>
    <row r="406" spans="1:1" ht="13" x14ac:dyDescent="0.15">
      <c r="A406" s="10"/>
    </row>
    <row r="407" spans="1:1" ht="13" x14ac:dyDescent="0.15">
      <c r="A407" s="10"/>
    </row>
    <row r="408" spans="1:1" ht="13" x14ac:dyDescent="0.15">
      <c r="A408" s="10"/>
    </row>
    <row r="409" spans="1:1" ht="13" x14ac:dyDescent="0.15">
      <c r="A409" s="10"/>
    </row>
    <row r="410" spans="1:1" ht="13" x14ac:dyDescent="0.15">
      <c r="A410" s="10"/>
    </row>
    <row r="411" spans="1:1" ht="13" x14ac:dyDescent="0.15">
      <c r="A411" s="10"/>
    </row>
    <row r="412" spans="1:1" ht="13" x14ac:dyDescent="0.15">
      <c r="A412" s="10"/>
    </row>
    <row r="413" spans="1:1" ht="13" x14ac:dyDescent="0.15">
      <c r="A413" s="10"/>
    </row>
    <row r="414" spans="1:1" ht="13" x14ac:dyDescent="0.15">
      <c r="A414" s="10"/>
    </row>
    <row r="415" spans="1:1" ht="13" x14ac:dyDescent="0.15">
      <c r="A415" s="10"/>
    </row>
    <row r="416" spans="1:1" ht="13" x14ac:dyDescent="0.15">
      <c r="A416" s="10"/>
    </row>
    <row r="417" spans="1:1" ht="13" x14ac:dyDescent="0.15">
      <c r="A417" s="10"/>
    </row>
    <row r="418" spans="1:1" ht="13" x14ac:dyDescent="0.15">
      <c r="A418" s="10"/>
    </row>
    <row r="419" spans="1:1" ht="13" x14ac:dyDescent="0.15">
      <c r="A419" s="10"/>
    </row>
    <row r="420" spans="1:1" ht="13" x14ac:dyDescent="0.15">
      <c r="A420" s="10"/>
    </row>
    <row r="421" spans="1:1" ht="13" x14ac:dyDescent="0.15">
      <c r="A421" s="10"/>
    </row>
    <row r="422" spans="1:1" ht="13" x14ac:dyDescent="0.15">
      <c r="A422" s="10"/>
    </row>
    <row r="423" spans="1:1" ht="13" x14ac:dyDescent="0.15">
      <c r="A423" s="10"/>
    </row>
    <row r="424" spans="1:1" ht="13" x14ac:dyDescent="0.15">
      <c r="A424" s="10"/>
    </row>
    <row r="425" spans="1:1" ht="13" x14ac:dyDescent="0.15">
      <c r="A425" s="10"/>
    </row>
    <row r="426" spans="1:1" ht="13" x14ac:dyDescent="0.15">
      <c r="A426" s="10"/>
    </row>
    <row r="427" spans="1:1" ht="13" x14ac:dyDescent="0.15">
      <c r="A427" s="10"/>
    </row>
    <row r="428" spans="1:1" ht="13" x14ac:dyDescent="0.15">
      <c r="A428" s="10"/>
    </row>
    <row r="429" spans="1:1" ht="13" x14ac:dyDescent="0.15">
      <c r="A429" s="10"/>
    </row>
    <row r="430" spans="1:1" ht="13" x14ac:dyDescent="0.15">
      <c r="A430" s="10"/>
    </row>
    <row r="431" spans="1:1" ht="13" x14ac:dyDescent="0.15">
      <c r="A431" s="10"/>
    </row>
    <row r="432" spans="1:1" ht="13" x14ac:dyDescent="0.15">
      <c r="A432" s="10"/>
    </row>
    <row r="433" spans="1:1" ht="13" x14ac:dyDescent="0.15">
      <c r="A433" s="10"/>
    </row>
    <row r="434" spans="1:1" ht="13" x14ac:dyDescent="0.15">
      <c r="A434" s="10"/>
    </row>
    <row r="435" spans="1:1" ht="13" x14ac:dyDescent="0.15">
      <c r="A435" s="10"/>
    </row>
    <row r="436" spans="1:1" ht="13" x14ac:dyDescent="0.15">
      <c r="A436" s="10"/>
    </row>
    <row r="437" spans="1:1" ht="13" x14ac:dyDescent="0.15">
      <c r="A437" s="10"/>
    </row>
    <row r="438" spans="1:1" ht="13" x14ac:dyDescent="0.15">
      <c r="A438" s="10"/>
    </row>
    <row r="439" spans="1:1" ht="13" x14ac:dyDescent="0.15">
      <c r="A439" s="10"/>
    </row>
    <row r="440" spans="1:1" ht="13" x14ac:dyDescent="0.15">
      <c r="A440" s="10"/>
    </row>
    <row r="441" spans="1:1" ht="13" x14ac:dyDescent="0.15">
      <c r="A441" s="10"/>
    </row>
    <row r="442" spans="1:1" ht="13" x14ac:dyDescent="0.15">
      <c r="A442" s="10"/>
    </row>
    <row r="443" spans="1:1" ht="13" x14ac:dyDescent="0.15">
      <c r="A443" s="10"/>
    </row>
    <row r="444" spans="1:1" ht="13" x14ac:dyDescent="0.15">
      <c r="A444" s="10"/>
    </row>
    <row r="445" spans="1:1" ht="13" x14ac:dyDescent="0.15">
      <c r="A445" s="10"/>
    </row>
    <row r="446" spans="1:1" ht="13" x14ac:dyDescent="0.15">
      <c r="A446" s="10"/>
    </row>
    <row r="447" spans="1:1" ht="13" x14ac:dyDescent="0.15">
      <c r="A447" s="10"/>
    </row>
    <row r="448" spans="1:1" ht="13" x14ac:dyDescent="0.15">
      <c r="A448" s="10"/>
    </row>
    <row r="449" spans="1:1" ht="13" x14ac:dyDescent="0.15">
      <c r="A449" s="10"/>
    </row>
    <row r="450" spans="1:1" ht="13" x14ac:dyDescent="0.15">
      <c r="A450" s="10"/>
    </row>
    <row r="451" spans="1:1" ht="13" x14ac:dyDescent="0.15">
      <c r="A451" s="10"/>
    </row>
    <row r="452" spans="1:1" ht="13" x14ac:dyDescent="0.15">
      <c r="A452" s="10"/>
    </row>
    <row r="453" spans="1:1" ht="13" x14ac:dyDescent="0.15">
      <c r="A453" s="10"/>
    </row>
    <row r="454" spans="1:1" ht="13" x14ac:dyDescent="0.15">
      <c r="A454" s="10"/>
    </row>
    <row r="455" spans="1:1" ht="13" x14ac:dyDescent="0.15">
      <c r="A455" s="10"/>
    </row>
    <row r="456" spans="1:1" ht="13" x14ac:dyDescent="0.15">
      <c r="A456" s="10"/>
    </row>
    <row r="457" spans="1:1" ht="13" x14ac:dyDescent="0.15">
      <c r="A457" s="10"/>
    </row>
    <row r="458" spans="1:1" ht="13" x14ac:dyDescent="0.15">
      <c r="A458" s="10"/>
    </row>
    <row r="459" spans="1:1" ht="13" x14ac:dyDescent="0.15">
      <c r="A459" s="10"/>
    </row>
    <row r="460" spans="1:1" ht="13" x14ac:dyDescent="0.15">
      <c r="A460" s="10"/>
    </row>
    <row r="461" spans="1:1" ht="13" x14ac:dyDescent="0.15">
      <c r="A461" s="10"/>
    </row>
    <row r="462" spans="1:1" ht="13" x14ac:dyDescent="0.15">
      <c r="A462" s="10"/>
    </row>
    <row r="463" spans="1:1" ht="13" x14ac:dyDescent="0.15">
      <c r="A463" s="10"/>
    </row>
    <row r="464" spans="1:1" ht="13" x14ac:dyDescent="0.15">
      <c r="A464" s="10"/>
    </row>
    <row r="465" spans="1:1" ht="13" x14ac:dyDescent="0.15">
      <c r="A465" s="10"/>
    </row>
    <row r="466" spans="1:1" ht="13" x14ac:dyDescent="0.15">
      <c r="A466" s="10"/>
    </row>
    <row r="467" spans="1:1" ht="13" x14ac:dyDescent="0.15">
      <c r="A467" s="10"/>
    </row>
    <row r="468" spans="1:1" ht="13" x14ac:dyDescent="0.15">
      <c r="A468" s="10"/>
    </row>
    <row r="469" spans="1:1" ht="13" x14ac:dyDescent="0.15">
      <c r="A469" s="10"/>
    </row>
    <row r="470" spans="1:1" ht="13" x14ac:dyDescent="0.15">
      <c r="A470" s="10"/>
    </row>
    <row r="471" spans="1:1" ht="13" x14ac:dyDescent="0.15">
      <c r="A471" s="10"/>
    </row>
    <row r="472" spans="1:1" ht="13" x14ac:dyDescent="0.15">
      <c r="A472" s="10"/>
    </row>
    <row r="473" spans="1:1" ht="13" x14ac:dyDescent="0.15">
      <c r="A473" s="10"/>
    </row>
    <row r="474" spans="1:1" ht="13" x14ac:dyDescent="0.15">
      <c r="A474" s="10"/>
    </row>
    <row r="475" spans="1:1" ht="13" x14ac:dyDescent="0.15">
      <c r="A475" s="10"/>
    </row>
    <row r="476" spans="1:1" ht="13" x14ac:dyDescent="0.15">
      <c r="A476" s="10"/>
    </row>
    <row r="477" spans="1:1" ht="13" x14ac:dyDescent="0.15">
      <c r="A477" s="10"/>
    </row>
    <row r="478" spans="1:1" ht="13" x14ac:dyDescent="0.15">
      <c r="A478" s="10"/>
    </row>
    <row r="479" spans="1:1" ht="13" x14ac:dyDescent="0.15">
      <c r="A479" s="10"/>
    </row>
    <row r="480" spans="1:1" ht="13" x14ac:dyDescent="0.15">
      <c r="A480" s="10"/>
    </row>
    <row r="481" spans="1:1" ht="13" x14ac:dyDescent="0.15">
      <c r="A481" s="10"/>
    </row>
    <row r="482" spans="1:1" ht="13" x14ac:dyDescent="0.15">
      <c r="A482" s="10"/>
    </row>
    <row r="483" spans="1:1" ht="13" x14ac:dyDescent="0.15">
      <c r="A483" s="10"/>
    </row>
    <row r="484" spans="1:1" ht="13" x14ac:dyDescent="0.15">
      <c r="A484" s="10"/>
    </row>
    <row r="485" spans="1:1" ht="13" x14ac:dyDescent="0.15">
      <c r="A485" s="10"/>
    </row>
    <row r="486" spans="1:1" ht="13" x14ac:dyDescent="0.15">
      <c r="A486" s="10"/>
    </row>
    <row r="487" spans="1:1" ht="13" x14ac:dyDescent="0.15">
      <c r="A487" s="10"/>
    </row>
    <row r="488" spans="1:1" ht="13" x14ac:dyDescent="0.15">
      <c r="A488" s="10"/>
    </row>
    <row r="489" spans="1:1" ht="13" x14ac:dyDescent="0.15">
      <c r="A489" s="10"/>
    </row>
    <row r="490" spans="1:1" ht="13" x14ac:dyDescent="0.15">
      <c r="A490" s="10"/>
    </row>
    <row r="491" spans="1:1" ht="13" x14ac:dyDescent="0.15">
      <c r="A491" s="10"/>
    </row>
    <row r="492" spans="1:1" ht="13" x14ac:dyDescent="0.15">
      <c r="A492" s="10"/>
    </row>
    <row r="493" spans="1:1" ht="13" x14ac:dyDescent="0.15">
      <c r="A493" s="10"/>
    </row>
    <row r="494" spans="1:1" ht="13" x14ac:dyDescent="0.15">
      <c r="A494" s="10"/>
    </row>
    <row r="495" spans="1:1" ht="13" x14ac:dyDescent="0.15">
      <c r="A495" s="10"/>
    </row>
    <row r="496" spans="1:1" ht="13" x14ac:dyDescent="0.15">
      <c r="A496" s="10"/>
    </row>
    <row r="497" spans="1:1" ht="13" x14ac:dyDescent="0.15">
      <c r="A497" s="10"/>
    </row>
    <row r="498" spans="1:1" ht="13" x14ac:dyDescent="0.15">
      <c r="A498" s="10"/>
    </row>
    <row r="499" spans="1:1" ht="13" x14ac:dyDescent="0.15">
      <c r="A499" s="10"/>
    </row>
    <row r="500" spans="1:1" ht="13" x14ac:dyDescent="0.15">
      <c r="A500" s="10"/>
    </row>
    <row r="501" spans="1:1" ht="13" x14ac:dyDescent="0.15">
      <c r="A501" s="10"/>
    </row>
    <row r="502" spans="1:1" ht="13" x14ac:dyDescent="0.15">
      <c r="A502" s="10"/>
    </row>
    <row r="503" spans="1:1" ht="13" x14ac:dyDescent="0.15">
      <c r="A503" s="10"/>
    </row>
    <row r="504" spans="1:1" ht="13" x14ac:dyDescent="0.15">
      <c r="A504" s="10"/>
    </row>
    <row r="505" spans="1:1" ht="13" x14ac:dyDescent="0.15">
      <c r="A505" s="10"/>
    </row>
    <row r="506" spans="1:1" ht="13" x14ac:dyDescent="0.15">
      <c r="A506" s="10"/>
    </row>
    <row r="507" spans="1:1" ht="13" x14ac:dyDescent="0.15">
      <c r="A507" s="10"/>
    </row>
    <row r="508" spans="1:1" ht="13" x14ac:dyDescent="0.15">
      <c r="A508" s="10"/>
    </row>
    <row r="509" spans="1:1" ht="13" x14ac:dyDescent="0.15">
      <c r="A509" s="10"/>
    </row>
    <row r="510" spans="1:1" ht="13" x14ac:dyDescent="0.15">
      <c r="A510" s="10"/>
    </row>
    <row r="511" spans="1:1" ht="13" x14ac:dyDescent="0.15">
      <c r="A511" s="10"/>
    </row>
    <row r="512" spans="1:1" ht="13" x14ac:dyDescent="0.15">
      <c r="A512" s="10"/>
    </row>
    <row r="513" spans="1:1" ht="13" x14ac:dyDescent="0.15">
      <c r="A513" s="10"/>
    </row>
    <row r="514" spans="1:1" ht="13" x14ac:dyDescent="0.15">
      <c r="A514" s="10"/>
    </row>
    <row r="515" spans="1:1" ht="13" x14ac:dyDescent="0.15">
      <c r="A515" s="10"/>
    </row>
    <row r="516" spans="1:1" ht="13" x14ac:dyDescent="0.15">
      <c r="A516" s="10"/>
    </row>
    <row r="517" spans="1:1" ht="13" x14ac:dyDescent="0.15">
      <c r="A517" s="10"/>
    </row>
    <row r="518" spans="1:1" ht="13" x14ac:dyDescent="0.15">
      <c r="A518" s="10"/>
    </row>
    <row r="519" spans="1:1" ht="13" x14ac:dyDescent="0.15">
      <c r="A519" s="10"/>
    </row>
    <row r="520" spans="1:1" ht="13" x14ac:dyDescent="0.15">
      <c r="A520" s="10"/>
    </row>
    <row r="521" spans="1:1" ht="13" x14ac:dyDescent="0.15">
      <c r="A521" s="10"/>
    </row>
    <row r="522" spans="1:1" ht="13" x14ac:dyDescent="0.15">
      <c r="A522" s="10"/>
    </row>
    <row r="523" spans="1:1" ht="13" x14ac:dyDescent="0.15">
      <c r="A523" s="10"/>
    </row>
    <row r="524" spans="1:1" ht="13" x14ac:dyDescent="0.15">
      <c r="A524" s="10"/>
    </row>
    <row r="525" spans="1:1" ht="13" x14ac:dyDescent="0.15">
      <c r="A525" s="10"/>
    </row>
    <row r="526" spans="1:1" ht="13" x14ac:dyDescent="0.15">
      <c r="A526" s="10"/>
    </row>
    <row r="527" spans="1:1" ht="13" x14ac:dyDescent="0.15">
      <c r="A527" s="10"/>
    </row>
    <row r="528" spans="1:1" ht="13" x14ac:dyDescent="0.15">
      <c r="A528" s="10"/>
    </row>
    <row r="529" spans="1:1" ht="13" x14ac:dyDescent="0.15">
      <c r="A529" s="10"/>
    </row>
    <row r="530" spans="1:1" ht="13" x14ac:dyDescent="0.15">
      <c r="A530" s="10"/>
    </row>
    <row r="531" spans="1:1" ht="13" x14ac:dyDescent="0.15">
      <c r="A531" s="10"/>
    </row>
    <row r="532" spans="1:1" ht="13" x14ac:dyDescent="0.15">
      <c r="A532" s="10"/>
    </row>
    <row r="533" spans="1:1" ht="13" x14ac:dyDescent="0.15">
      <c r="A533" s="10"/>
    </row>
    <row r="534" spans="1:1" ht="13" x14ac:dyDescent="0.15">
      <c r="A534" s="10"/>
    </row>
    <row r="535" spans="1:1" ht="13" x14ac:dyDescent="0.15">
      <c r="A535" s="10"/>
    </row>
    <row r="536" spans="1:1" ht="13" x14ac:dyDescent="0.15">
      <c r="A536" s="10"/>
    </row>
    <row r="537" spans="1:1" ht="13" x14ac:dyDescent="0.15">
      <c r="A537" s="10"/>
    </row>
    <row r="538" spans="1:1" ht="13" x14ac:dyDescent="0.15">
      <c r="A538" s="10"/>
    </row>
    <row r="539" spans="1:1" ht="13" x14ac:dyDescent="0.15">
      <c r="A539" s="10"/>
    </row>
    <row r="540" spans="1:1" ht="13" x14ac:dyDescent="0.15">
      <c r="A540" s="10"/>
    </row>
    <row r="541" spans="1:1" ht="13" x14ac:dyDescent="0.15">
      <c r="A541" s="10"/>
    </row>
    <row r="542" spans="1:1" ht="13" x14ac:dyDescent="0.15">
      <c r="A542" s="10"/>
    </row>
    <row r="543" spans="1:1" ht="13" x14ac:dyDescent="0.15">
      <c r="A543" s="10"/>
    </row>
    <row r="544" spans="1:1" ht="13" x14ac:dyDescent="0.15">
      <c r="A544" s="10"/>
    </row>
    <row r="545" spans="1:1" ht="13" x14ac:dyDescent="0.15">
      <c r="A545" s="10"/>
    </row>
    <row r="546" spans="1:1" ht="13" x14ac:dyDescent="0.15">
      <c r="A546" s="10"/>
    </row>
    <row r="547" spans="1:1" ht="13" x14ac:dyDescent="0.15">
      <c r="A547" s="10"/>
    </row>
    <row r="548" spans="1:1" ht="13" x14ac:dyDescent="0.15">
      <c r="A548" s="10"/>
    </row>
    <row r="549" spans="1:1" ht="13" x14ac:dyDescent="0.15">
      <c r="A549" s="10"/>
    </row>
    <row r="550" spans="1:1" ht="13" x14ac:dyDescent="0.15">
      <c r="A550" s="10"/>
    </row>
    <row r="551" spans="1:1" ht="13" x14ac:dyDescent="0.15">
      <c r="A551" s="10"/>
    </row>
    <row r="552" spans="1:1" ht="13" x14ac:dyDescent="0.15">
      <c r="A552" s="10"/>
    </row>
    <row r="553" spans="1:1" ht="13" x14ac:dyDescent="0.15">
      <c r="A553" s="10"/>
    </row>
    <row r="554" spans="1:1" ht="13" x14ac:dyDescent="0.15">
      <c r="A554" s="10"/>
    </row>
    <row r="555" spans="1:1" ht="13" x14ac:dyDescent="0.15">
      <c r="A555" s="10"/>
    </row>
    <row r="556" spans="1:1" ht="13" x14ac:dyDescent="0.15">
      <c r="A556" s="10"/>
    </row>
    <row r="557" spans="1:1" ht="13" x14ac:dyDescent="0.15">
      <c r="A557" s="10"/>
    </row>
    <row r="558" spans="1:1" ht="13" x14ac:dyDescent="0.15">
      <c r="A558" s="10"/>
    </row>
    <row r="559" spans="1:1" ht="13" x14ac:dyDescent="0.15">
      <c r="A559" s="10"/>
    </row>
    <row r="560" spans="1:1" ht="13" x14ac:dyDescent="0.15">
      <c r="A560" s="10"/>
    </row>
    <row r="561" spans="1:1" ht="13" x14ac:dyDescent="0.15">
      <c r="A561" s="10"/>
    </row>
    <row r="562" spans="1:1" ht="13" x14ac:dyDescent="0.15">
      <c r="A562" s="10"/>
    </row>
    <row r="563" spans="1:1" ht="13" x14ac:dyDescent="0.15">
      <c r="A563" s="10"/>
    </row>
    <row r="564" spans="1:1" ht="13" x14ac:dyDescent="0.15">
      <c r="A564" s="10"/>
    </row>
    <row r="565" spans="1:1" ht="13" x14ac:dyDescent="0.15">
      <c r="A565" s="10"/>
    </row>
    <row r="566" spans="1:1" ht="13" x14ac:dyDescent="0.15">
      <c r="A566" s="10"/>
    </row>
    <row r="567" spans="1:1" ht="13" x14ac:dyDescent="0.15">
      <c r="A567" s="10"/>
    </row>
    <row r="568" spans="1:1" ht="13" x14ac:dyDescent="0.15">
      <c r="A568" s="10"/>
    </row>
    <row r="569" spans="1:1" ht="13" x14ac:dyDescent="0.15">
      <c r="A569" s="10"/>
    </row>
    <row r="570" spans="1:1" ht="13" x14ac:dyDescent="0.15">
      <c r="A570" s="10"/>
    </row>
    <row r="571" spans="1:1" ht="13" x14ac:dyDescent="0.15">
      <c r="A571" s="10"/>
    </row>
    <row r="572" spans="1:1" ht="13" x14ac:dyDescent="0.15">
      <c r="A572" s="10"/>
    </row>
    <row r="573" spans="1:1" ht="13" x14ac:dyDescent="0.15">
      <c r="A573" s="10"/>
    </row>
    <row r="574" spans="1:1" ht="13" x14ac:dyDescent="0.15">
      <c r="A574" s="10"/>
    </row>
    <row r="575" spans="1:1" ht="13" x14ac:dyDescent="0.15">
      <c r="A575" s="10"/>
    </row>
    <row r="576" spans="1:1" ht="13" x14ac:dyDescent="0.15">
      <c r="A576" s="10"/>
    </row>
    <row r="577" spans="1:1" ht="13" x14ac:dyDescent="0.15">
      <c r="A577" s="10"/>
    </row>
    <row r="578" spans="1:1" ht="13" x14ac:dyDescent="0.15">
      <c r="A578" s="10"/>
    </row>
    <row r="579" spans="1:1" ht="13" x14ac:dyDescent="0.15">
      <c r="A579" s="10"/>
    </row>
    <row r="580" spans="1:1" ht="13" x14ac:dyDescent="0.15">
      <c r="A580" s="10"/>
    </row>
    <row r="581" spans="1:1" ht="13" x14ac:dyDescent="0.15">
      <c r="A581" s="10"/>
    </row>
    <row r="582" spans="1:1" ht="13" x14ac:dyDescent="0.15">
      <c r="A582" s="10"/>
    </row>
    <row r="583" spans="1:1" ht="13" x14ac:dyDescent="0.15">
      <c r="A583" s="10"/>
    </row>
    <row r="584" spans="1:1" ht="13" x14ac:dyDescent="0.15">
      <c r="A584" s="10"/>
    </row>
    <row r="585" spans="1:1" ht="13" x14ac:dyDescent="0.15">
      <c r="A585" s="10"/>
    </row>
    <row r="586" spans="1:1" ht="13" x14ac:dyDescent="0.15">
      <c r="A586" s="10"/>
    </row>
    <row r="587" spans="1:1" ht="13" x14ac:dyDescent="0.15">
      <c r="A587" s="10"/>
    </row>
    <row r="588" spans="1:1" ht="13" x14ac:dyDescent="0.15">
      <c r="A588" s="10"/>
    </row>
    <row r="589" spans="1:1" ht="13" x14ac:dyDescent="0.15">
      <c r="A589" s="10"/>
    </row>
    <row r="590" spans="1:1" ht="13" x14ac:dyDescent="0.15">
      <c r="A590" s="10"/>
    </row>
    <row r="591" spans="1:1" ht="13" x14ac:dyDescent="0.15">
      <c r="A591" s="10"/>
    </row>
    <row r="592" spans="1:1" ht="13" x14ac:dyDescent="0.15">
      <c r="A592" s="10"/>
    </row>
    <row r="593" spans="1:1" ht="13" x14ac:dyDescent="0.15">
      <c r="A593" s="10"/>
    </row>
    <row r="594" spans="1:1" ht="13" x14ac:dyDescent="0.15">
      <c r="A594" s="10"/>
    </row>
    <row r="595" spans="1:1" ht="13" x14ac:dyDescent="0.15">
      <c r="A595" s="10"/>
    </row>
    <row r="596" spans="1:1" ht="13" x14ac:dyDescent="0.15">
      <c r="A596" s="10"/>
    </row>
    <row r="597" spans="1:1" ht="13" x14ac:dyDescent="0.15">
      <c r="A597" s="10"/>
    </row>
    <row r="598" spans="1:1" ht="13" x14ac:dyDescent="0.15">
      <c r="A598" s="10"/>
    </row>
    <row r="599" spans="1:1" ht="13" x14ac:dyDescent="0.15">
      <c r="A599" s="10"/>
    </row>
    <row r="600" spans="1:1" ht="13" x14ac:dyDescent="0.15">
      <c r="A600" s="10"/>
    </row>
    <row r="601" spans="1:1" ht="13" x14ac:dyDescent="0.15">
      <c r="A601" s="10"/>
    </row>
    <row r="602" spans="1:1" ht="13" x14ac:dyDescent="0.15">
      <c r="A602" s="10"/>
    </row>
    <row r="603" spans="1:1" ht="13" x14ac:dyDescent="0.15">
      <c r="A603" s="10"/>
    </row>
    <row r="604" spans="1:1" ht="13" x14ac:dyDescent="0.15">
      <c r="A604" s="10"/>
    </row>
    <row r="605" spans="1:1" ht="13" x14ac:dyDescent="0.15">
      <c r="A605" s="10"/>
    </row>
    <row r="606" spans="1:1" ht="13" x14ac:dyDescent="0.15">
      <c r="A606" s="10"/>
    </row>
    <row r="607" spans="1:1" ht="13" x14ac:dyDescent="0.15">
      <c r="A607" s="10"/>
    </row>
    <row r="608" spans="1:1" ht="13" x14ac:dyDescent="0.15">
      <c r="A608" s="10"/>
    </row>
    <row r="609" spans="1:1" ht="13" x14ac:dyDescent="0.15">
      <c r="A609" s="10"/>
    </row>
    <row r="610" spans="1:1" ht="13" x14ac:dyDescent="0.15">
      <c r="A610" s="10"/>
    </row>
    <row r="611" spans="1:1" ht="13" x14ac:dyDescent="0.15">
      <c r="A611" s="10"/>
    </row>
    <row r="612" spans="1:1" ht="13" x14ac:dyDescent="0.15">
      <c r="A612" s="10"/>
    </row>
    <row r="613" spans="1:1" ht="13" x14ac:dyDescent="0.15">
      <c r="A613" s="10"/>
    </row>
    <row r="614" spans="1:1" ht="13" x14ac:dyDescent="0.15">
      <c r="A614" s="10"/>
    </row>
    <row r="615" spans="1:1" ht="13" x14ac:dyDescent="0.15">
      <c r="A615" s="10"/>
    </row>
    <row r="616" spans="1:1" ht="13" x14ac:dyDescent="0.15">
      <c r="A616" s="10"/>
    </row>
    <row r="617" spans="1:1" ht="13" x14ac:dyDescent="0.15">
      <c r="A617" s="10"/>
    </row>
    <row r="618" spans="1:1" ht="13" x14ac:dyDescent="0.15">
      <c r="A618" s="10"/>
    </row>
    <row r="619" spans="1:1" ht="13" x14ac:dyDescent="0.15">
      <c r="A619" s="10"/>
    </row>
    <row r="620" spans="1:1" ht="13" x14ac:dyDescent="0.15">
      <c r="A620" s="10"/>
    </row>
    <row r="621" spans="1:1" ht="13" x14ac:dyDescent="0.15">
      <c r="A621" s="10"/>
    </row>
    <row r="622" spans="1:1" ht="13" x14ac:dyDescent="0.15">
      <c r="A622" s="10"/>
    </row>
    <row r="623" spans="1:1" ht="13" x14ac:dyDescent="0.15">
      <c r="A623" s="10"/>
    </row>
    <row r="624" spans="1:1" ht="13" x14ac:dyDescent="0.15">
      <c r="A624" s="10"/>
    </row>
    <row r="625" spans="1:1" ht="13" x14ac:dyDescent="0.15">
      <c r="A625" s="10"/>
    </row>
    <row r="626" spans="1:1" ht="13" x14ac:dyDescent="0.15">
      <c r="A626" s="10"/>
    </row>
    <row r="627" spans="1:1" ht="13" x14ac:dyDescent="0.15">
      <c r="A627" s="10"/>
    </row>
    <row r="628" spans="1:1" ht="13" x14ac:dyDescent="0.15">
      <c r="A628" s="10"/>
    </row>
    <row r="629" spans="1:1" ht="13" x14ac:dyDescent="0.15">
      <c r="A629" s="10"/>
    </row>
    <row r="630" spans="1:1" ht="13" x14ac:dyDescent="0.15">
      <c r="A630" s="10"/>
    </row>
    <row r="631" spans="1:1" ht="13" x14ac:dyDescent="0.15">
      <c r="A631" s="10"/>
    </row>
    <row r="632" spans="1:1" ht="13" x14ac:dyDescent="0.15">
      <c r="A632" s="10"/>
    </row>
    <row r="633" spans="1:1" ht="13" x14ac:dyDescent="0.15">
      <c r="A633" s="10"/>
    </row>
    <row r="634" spans="1:1" ht="13" x14ac:dyDescent="0.15">
      <c r="A634" s="10"/>
    </row>
    <row r="635" spans="1:1" ht="13" x14ac:dyDescent="0.15">
      <c r="A635" s="10"/>
    </row>
    <row r="636" spans="1:1" ht="13" x14ac:dyDescent="0.15">
      <c r="A636" s="10"/>
    </row>
    <row r="637" spans="1:1" ht="13" x14ac:dyDescent="0.15">
      <c r="A637" s="10"/>
    </row>
    <row r="638" spans="1:1" ht="13" x14ac:dyDescent="0.15">
      <c r="A638" s="10"/>
    </row>
    <row r="639" spans="1:1" ht="13" x14ac:dyDescent="0.15">
      <c r="A639" s="10"/>
    </row>
    <row r="640" spans="1:1" ht="13" x14ac:dyDescent="0.15">
      <c r="A640" s="10"/>
    </row>
    <row r="641" spans="1:1" ht="13" x14ac:dyDescent="0.15">
      <c r="A641" s="10"/>
    </row>
    <row r="642" spans="1:1" ht="13" x14ac:dyDescent="0.15">
      <c r="A642" s="10"/>
    </row>
    <row r="643" spans="1:1" ht="13" x14ac:dyDescent="0.15">
      <c r="A643" s="10"/>
    </row>
    <row r="644" spans="1:1" ht="13" x14ac:dyDescent="0.15">
      <c r="A644" s="10"/>
    </row>
    <row r="645" spans="1:1" ht="13" x14ac:dyDescent="0.15">
      <c r="A645" s="10"/>
    </row>
    <row r="646" spans="1:1" ht="13" x14ac:dyDescent="0.15">
      <c r="A646" s="10"/>
    </row>
    <row r="647" spans="1:1" ht="13" x14ac:dyDescent="0.15">
      <c r="A647" s="10"/>
    </row>
    <row r="648" spans="1:1" ht="13" x14ac:dyDescent="0.15">
      <c r="A648" s="10"/>
    </row>
    <row r="649" spans="1:1" ht="13" x14ac:dyDescent="0.15">
      <c r="A649" s="10"/>
    </row>
    <row r="650" spans="1:1" ht="13" x14ac:dyDescent="0.15">
      <c r="A650" s="10"/>
    </row>
    <row r="651" spans="1:1" ht="13" x14ac:dyDescent="0.15">
      <c r="A651" s="10"/>
    </row>
    <row r="652" spans="1:1" ht="13" x14ac:dyDescent="0.15">
      <c r="A652" s="10"/>
    </row>
    <row r="653" spans="1:1" ht="13" x14ac:dyDescent="0.15">
      <c r="A653" s="10"/>
    </row>
    <row r="654" spans="1:1" ht="13" x14ac:dyDescent="0.15">
      <c r="A654" s="10"/>
    </row>
    <row r="655" spans="1:1" ht="13" x14ac:dyDescent="0.15">
      <c r="A655" s="10"/>
    </row>
    <row r="656" spans="1:1" ht="13" x14ac:dyDescent="0.15">
      <c r="A656" s="10"/>
    </row>
    <row r="657" spans="1:1" ht="13" x14ac:dyDescent="0.15">
      <c r="A657" s="10"/>
    </row>
    <row r="658" spans="1:1" ht="13" x14ac:dyDescent="0.15">
      <c r="A658" s="10"/>
    </row>
    <row r="659" spans="1:1" ht="13" x14ac:dyDescent="0.15">
      <c r="A659" s="10"/>
    </row>
    <row r="660" spans="1:1" ht="13" x14ac:dyDescent="0.15">
      <c r="A660" s="10"/>
    </row>
    <row r="661" spans="1:1" ht="13" x14ac:dyDescent="0.15">
      <c r="A661" s="10"/>
    </row>
    <row r="662" spans="1:1" ht="13" x14ac:dyDescent="0.15">
      <c r="A662" s="10"/>
    </row>
    <row r="663" spans="1:1" ht="13" x14ac:dyDescent="0.15">
      <c r="A663" s="10"/>
    </row>
    <row r="664" spans="1:1" ht="13" x14ac:dyDescent="0.15">
      <c r="A664" s="10"/>
    </row>
    <row r="665" spans="1:1" ht="13" x14ac:dyDescent="0.15">
      <c r="A665" s="10"/>
    </row>
    <row r="666" spans="1:1" ht="13" x14ac:dyDescent="0.15">
      <c r="A666" s="10"/>
    </row>
    <row r="667" spans="1:1" ht="13" x14ac:dyDescent="0.15">
      <c r="A667" s="10"/>
    </row>
    <row r="668" spans="1:1" ht="13" x14ac:dyDescent="0.15">
      <c r="A668" s="10"/>
    </row>
    <row r="669" spans="1:1" ht="13" x14ac:dyDescent="0.15">
      <c r="A669" s="10"/>
    </row>
    <row r="670" spans="1:1" ht="13" x14ac:dyDescent="0.15">
      <c r="A670" s="10"/>
    </row>
    <row r="671" spans="1:1" ht="13" x14ac:dyDescent="0.15">
      <c r="A671" s="10"/>
    </row>
    <row r="672" spans="1:1" ht="13" x14ac:dyDescent="0.15">
      <c r="A672" s="10"/>
    </row>
    <row r="673" spans="1:1" ht="13" x14ac:dyDescent="0.15">
      <c r="A673" s="10"/>
    </row>
    <row r="674" spans="1:1" ht="13" x14ac:dyDescent="0.15">
      <c r="A674" s="10"/>
    </row>
    <row r="675" spans="1:1" ht="13" x14ac:dyDescent="0.15">
      <c r="A675" s="10"/>
    </row>
    <row r="676" spans="1:1" ht="13" x14ac:dyDescent="0.15">
      <c r="A676" s="10"/>
    </row>
    <row r="677" spans="1:1" ht="13" x14ac:dyDescent="0.15">
      <c r="A677" s="10"/>
    </row>
    <row r="678" spans="1:1" ht="13" x14ac:dyDescent="0.15">
      <c r="A678" s="10"/>
    </row>
    <row r="679" spans="1:1" ht="13" x14ac:dyDescent="0.15">
      <c r="A679" s="10"/>
    </row>
    <row r="680" spans="1:1" ht="13" x14ac:dyDescent="0.15">
      <c r="A680" s="10"/>
    </row>
    <row r="681" spans="1:1" ht="13" x14ac:dyDescent="0.15">
      <c r="A681" s="10"/>
    </row>
    <row r="682" spans="1:1" ht="13" x14ac:dyDescent="0.15">
      <c r="A682" s="10"/>
    </row>
    <row r="683" spans="1:1" ht="13" x14ac:dyDescent="0.15">
      <c r="A683" s="10"/>
    </row>
    <row r="684" spans="1:1" ht="13" x14ac:dyDescent="0.15">
      <c r="A684" s="10"/>
    </row>
    <row r="685" spans="1:1" ht="13" x14ac:dyDescent="0.15">
      <c r="A685" s="10"/>
    </row>
    <row r="686" spans="1:1" ht="13" x14ac:dyDescent="0.15">
      <c r="A686" s="10"/>
    </row>
    <row r="687" spans="1:1" ht="13" x14ac:dyDescent="0.15">
      <c r="A687" s="10"/>
    </row>
    <row r="688" spans="1:1" ht="13" x14ac:dyDescent="0.15">
      <c r="A688" s="10"/>
    </row>
    <row r="689" spans="1:1" ht="13" x14ac:dyDescent="0.15">
      <c r="A689" s="10"/>
    </row>
    <row r="690" spans="1:1" ht="13" x14ac:dyDescent="0.15">
      <c r="A690" s="10"/>
    </row>
    <row r="691" spans="1:1" ht="13" x14ac:dyDescent="0.15">
      <c r="A691" s="10"/>
    </row>
    <row r="692" spans="1:1" ht="13" x14ac:dyDescent="0.15">
      <c r="A692" s="10"/>
    </row>
    <row r="693" spans="1:1" ht="13" x14ac:dyDescent="0.15">
      <c r="A693" s="10"/>
    </row>
    <row r="694" spans="1:1" ht="13" x14ac:dyDescent="0.15">
      <c r="A694" s="10"/>
    </row>
    <row r="695" spans="1:1" ht="13" x14ac:dyDescent="0.15">
      <c r="A695" s="10"/>
    </row>
    <row r="696" spans="1:1" ht="13" x14ac:dyDescent="0.15">
      <c r="A696" s="10"/>
    </row>
    <row r="697" spans="1:1" ht="13" x14ac:dyDescent="0.15">
      <c r="A697" s="10"/>
    </row>
    <row r="698" spans="1:1" ht="13" x14ac:dyDescent="0.15">
      <c r="A698" s="10"/>
    </row>
    <row r="699" spans="1:1" ht="13" x14ac:dyDescent="0.15">
      <c r="A699" s="10"/>
    </row>
    <row r="700" spans="1:1" ht="13" x14ac:dyDescent="0.15">
      <c r="A700" s="10"/>
    </row>
    <row r="701" spans="1:1" ht="13" x14ac:dyDescent="0.15">
      <c r="A701" s="10"/>
    </row>
    <row r="702" spans="1:1" ht="13" x14ac:dyDescent="0.15">
      <c r="A702" s="10"/>
    </row>
    <row r="703" spans="1:1" ht="13" x14ac:dyDescent="0.15">
      <c r="A703" s="10"/>
    </row>
    <row r="704" spans="1:1" ht="13" x14ac:dyDescent="0.15">
      <c r="A704" s="10"/>
    </row>
    <row r="705" spans="1:1" ht="13" x14ac:dyDescent="0.15">
      <c r="A705" s="10"/>
    </row>
    <row r="706" spans="1:1" ht="13" x14ac:dyDescent="0.15">
      <c r="A706" s="10"/>
    </row>
    <row r="707" spans="1:1" ht="13" x14ac:dyDescent="0.15">
      <c r="A707" s="10"/>
    </row>
    <row r="708" spans="1:1" ht="13" x14ac:dyDescent="0.15">
      <c r="A708" s="10"/>
    </row>
    <row r="709" spans="1:1" ht="13" x14ac:dyDescent="0.15">
      <c r="A709" s="10"/>
    </row>
    <row r="710" spans="1:1" ht="13" x14ac:dyDescent="0.15">
      <c r="A710" s="10"/>
    </row>
    <row r="711" spans="1:1" ht="13" x14ac:dyDescent="0.15">
      <c r="A711" s="10"/>
    </row>
    <row r="712" spans="1:1" ht="13" x14ac:dyDescent="0.15">
      <c r="A712" s="10"/>
    </row>
    <row r="713" spans="1:1" ht="13" x14ac:dyDescent="0.15">
      <c r="A713" s="10"/>
    </row>
    <row r="714" spans="1:1" ht="13" x14ac:dyDescent="0.15">
      <c r="A714" s="10"/>
    </row>
    <row r="715" spans="1:1" ht="13" x14ac:dyDescent="0.15">
      <c r="A715" s="10"/>
    </row>
    <row r="716" spans="1:1" ht="13" x14ac:dyDescent="0.15">
      <c r="A716" s="10"/>
    </row>
    <row r="717" spans="1:1" ht="13" x14ac:dyDescent="0.15">
      <c r="A717" s="10"/>
    </row>
    <row r="718" spans="1:1" ht="13" x14ac:dyDescent="0.15">
      <c r="A718" s="10"/>
    </row>
    <row r="719" spans="1:1" ht="13" x14ac:dyDescent="0.15">
      <c r="A719" s="10"/>
    </row>
    <row r="720" spans="1:1" ht="13" x14ac:dyDescent="0.15">
      <c r="A720" s="10"/>
    </row>
    <row r="721" spans="1:1" ht="13" x14ac:dyDescent="0.15">
      <c r="A721" s="10"/>
    </row>
    <row r="722" spans="1:1" ht="13" x14ac:dyDescent="0.15">
      <c r="A722" s="10"/>
    </row>
    <row r="723" spans="1:1" ht="13" x14ac:dyDescent="0.15">
      <c r="A723" s="10"/>
    </row>
    <row r="724" spans="1:1" ht="13" x14ac:dyDescent="0.15">
      <c r="A724" s="10"/>
    </row>
    <row r="725" spans="1:1" ht="13" x14ac:dyDescent="0.15">
      <c r="A725" s="10"/>
    </row>
    <row r="726" spans="1:1" ht="13" x14ac:dyDescent="0.15">
      <c r="A726" s="10"/>
    </row>
    <row r="727" spans="1:1" ht="13" x14ac:dyDescent="0.15">
      <c r="A727" s="10"/>
    </row>
    <row r="728" spans="1:1" ht="13" x14ac:dyDescent="0.15">
      <c r="A728" s="10"/>
    </row>
    <row r="729" spans="1:1" ht="13" x14ac:dyDescent="0.15">
      <c r="A729" s="10"/>
    </row>
    <row r="730" spans="1:1" ht="13" x14ac:dyDescent="0.15">
      <c r="A730" s="10"/>
    </row>
    <row r="731" spans="1:1" ht="13" x14ac:dyDescent="0.15">
      <c r="A731" s="10"/>
    </row>
    <row r="732" spans="1:1" ht="13" x14ac:dyDescent="0.15">
      <c r="A732" s="10"/>
    </row>
    <row r="733" spans="1:1" ht="13" x14ac:dyDescent="0.15">
      <c r="A733" s="10"/>
    </row>
    <row r="734" spans="1:1" ht="13" x14ac:dyDescent="0.15">
      <c r="A734" s="10"/>
    </row>
    <row r="735" spans="1:1" ht="13" x14ac:dyDescent="0.15">
      <c r="A735" s="10"/>
    </row>
    <row r="736" spans="1:1" ht="13" x14ac:dyDescent="0.15">
      <c r="A736" s="10"/>
    </row>
    <row r="737" spans="1:1" ht="13" x14ac:dyDescent="0.15">
      <c r="A737" s="10"/>
    </row>
    <row r="738" spans="1:1" ht="13" x14ac:dyDescent="0.15">
      <c r="A738" s="10"/>
    </row>
    <row r="739" spans="1:1" ht="13" x14ac:dyDescent="0.15">
      <c r="A739" s="10"/>
    </row>
    <row r="740" spans="1:1" ht="13" x14ac:dyDescent="0.15">
      <c r="A740" s="10"/>
    </row>
    <row r="741" spans="1:1" ht="13" x14ac:dyDescent="0.15">
      <c r="A741" s="10"/>
    </row>
    <row r="742" spans="1:1" ht="13" x14ac:dyDescent="0.15">
      <c r="A742" s="10"/>
    </row>
    <row r="743" spans="1:1" ht="13" x14ac:dyDescent="0.15">
      <c r="A743" s="10"/>
    </row>
    <row r="744" spans="1:1" ht="13" x14ac:dyDescent="0.15">
      <c r="A744" s="10"/>
    </row>
    <row r="745" spans="1:1" ht="13" x14ac:dyDescent="0.15">
      <c r="A745" s="10"/>
    </row>
    <row r="746" spans="1:1" ht="13" x14ac:dyDescent="0.15">
      <c r="A746" s="10"/>
    </row>
    <row r="747" spans="1:1" ht="13" x14ac:dyDescent="0.15">
      <c r="A747" s="10"/>
    </row>
    <row r="748" spans="1:1" ht="13" x14ac:dyDescent="0.15">
      <c r="A748" s="10"/>
    </row>
    <row r="749" spans="1:1" ht="13" x14ac:dyDescent="0.15">
      <c r="A749" s="10"/>
    </row>
    <row r="750" spans="1:1" ht="13" x14ac:dyDescent="0.15">
      <c r="A750" s="10"/>
    </row>
    <row r="751" spans="1:1" ht="13" x14ac:dyDescent="0.15">
      <c r="A751" s="10"/>
    </row>
    <row r="752" spans="1:1" ht="13" x14ac:dyDescent="0.15">
      <c r="A752" s="10"/>
    </row>
    <row r="753" spans="1:1" ht="13" x14ac:dyDescent="0.15">
      <c r="A753" s="10"/>
    </row>
    <row r="754" spans="1:1" ht="13" x14ac:dyDescent="0.15">
      <c r="A754" s="10"/>
    </row>
    <row r="755" spans="1:1" ht="13" x14ac:dyDescent="0.15">
      <c r="A755" s="10"/>
    </row>
    <row r="756" spans="1:1" ht="13" x14ac:dyDescent="0.15">
      <c r="A756" s="10"/>
    </row>
    <row r="757" spans="1:1" ht="13" x14ac:dyDescent="0.15">
      <c r="A757" s="10"/>
    </row>
    <row r="758" spans="1:1" ht="13" x14ac:dyDescent="0.15">
      <c r="A758" s="10"/>
    </row>
    <row r="759" spans="1:1" ht="13" x14ac:dyDescent="0.15">
      <c r="A759" s="10"/>
    </row>
    <row r="760" spans="1:1" ht="13" x14ac:dyDescent="0.15">
      <c r="A760" s="10"/>
    </row>
    <row r="761" spans="1:1" ht="13" x14ac:dyDescent="0.15">
      <c r="A761" s="10"/>
    </row>
    <row r="762" spans="1:1" ht="13" x14ac:dyDescent="0.15">
      <c r="A762" s="10"/>
    </row>
    <row r="763" spans="1:1" ht="13" x14ac:dyDescent="0.15">
      <c r="A763" s="10"/>
    </row>
    <row r="764" spans="1:1" ht="13" x14ac:dyDescent="0.15">
      <c r="A764" s="10"/>
    </row>
    <row r="765" spans="1:1" ht="13" x14ac:dyDescent="0.15">
      <c r="A765" s="10"/>
    </row>
    <row r="766" spans="1:1" ht="13" x14ac:dyDescent="0.15">
      <c r="A766" s="10"/>
    </row>
    <row r="767" spans="1:1" ht="13" x14ac:dyDescent="0.15">
      <c r="A767" s="10"/>
    </row>
    <row r="768" spans="1:1" ht="13" x14ac:dyDescent="0.15">
      <c r="A768" s="10"/>
    </row>
    <row r="769" spans="1:1" ht="13" x14ac:dyDescent="0.15">
      <c r="A769" s="10"/>
    </row>
    <row r="770" spans="1:1" ht="13" x14ac:dyDescent="0.15">
      <c r="A770" s="10"/>
    </row>
    <row r="771" spans="1:1" ht="13" x14ac:dyDescent="0.15">
      <c r="A771" s="10"/>
    </row>
    <row r="772" spans="1:1" ht="13" x14ac:dyDescent="0.15">
      <c r="A772" s="10"/>
    </row>
    <row r="773" spans="1:1" ht="13" x14ac:dyDescent="0.15">
      <c r="A773" s="10"/>
    </row>
    <row r="774" spans="1:1" ht="13" x14ac:dyDescent="0.15">
      <c r="A774" s="10"/>
    </row>
    <row r="775" spans="1:1" ht="13" x14ac:dyDescent="0.15">
      <c r="A775" s="10"/>
    </row>
    <row r="776" spans="1:1" ht="13" x14ac:dyDescent="0.15">
      <c r="A776" s="10"/>
    </row>
    <row r="777" spans="1:1" ht="13" x14ac:dyDescent="0.15">
      <c r="A777" s="10"/>
    </row>
    <row r="778" spans="1:1" ht="13" x14ac:dyDescent="0.15">
      <c r="A778" s="10"/>
    </row>
    <row r="779" spans="1:1" ht="13" x14ac:dyDescent="0.15">
      <c r="A779" s="10"/>
    </row>
    <row r="780" spans="1:1" ht="13" x14ac:dyDescent="0.15">
      <c r="A780" s="10"/>
    </row>
    <row r="781" spans="1:1" ht="13" x14ac:dyDescent="0.15">
      <c r="A781" s="10"/>
    </row>
    <row r="782" spans="1:1" ht="13" x14ac:dyDescent="0.15">
      <c r="A782" s="10"/>
    </row>
    <row r="783" spans="1:1" ht="13" x14ac:dyDescent="0.15">
      <c r="A783" s="10"/>
    </row>
    <row r="784" spans="1:1" ht="13" x14ac:dyDescent="0.15">
      <c r="A784" s="10"/>
    </row>
    <row r="785" spans="1:1" ht="13" x14ac:dyDescent="0.15">
      <c r="A785" s="10"/>
    </row>
    <row r="786" spans="1:1" ht="13" x14ac:dyDescent="0.15">
      <c r="A786" s="10"/>
    </row>
    <row r="787" spans="1:1" ht="13" x14ac:dyDescent="0.15">
      <c r="A787" s="10"/>
    </row>
    <row r="788" spans="1:1" ht="13" x14ac:dyDescent="0.15">
      <c r="A788" s="10"/>
    </row>
    <row r="789" spans="1:1" ht="13" x14ac:dyDescent="0.15">
      <c r="A789" s="10"/>
    </row>
    <row r="790" spans="1:1" ht="13" x14ac:dyDescent="0.15">
      <c r="A790" s="10"/>
    </row>
    <row r="791" spans="1:1" ht="13" x14ac:dyDescent="0.15">
      <c r="A791" s="10"/>
    </row>
    <row r="792" spans="1:1" ht="13" x14ac:dyDescent="0.15">
      <c r="A792" s="10"/>
    </row>
    <row r="793" spans="1:1" ht="13" x14ac:dyDescent="0.15">
      <c r="A793" s="10"/>
    </row>
    <row r="794" spans="1:1" ht="13" x14ac:dyDescent="0.15">
      <c r="A794" s="10"/>
    </row>
    <row r="795" spans="1:1" ht="13" x14ac:dyDescent="0.15">
      <c r="A795" s="10"/>
    </row>
    <row r="796" spans="1:1" ht="13" x14ac:dyDescent="0.15">
      <c r="A796" s="10"/>
    </row>
    <row r="797" spans="1:1" ht="13" x14ac:dyDescent="0.15">
      <c r="A797" s="10"/>
    </row>
    <row r="798" spans="1:1" ht="13" x14ac:dyDescent="0.15">
      <c r="A798" s="10"/>
    </row>
    <row r="799" spans="1:1" ht="13" x14ac:dyDescent="0.15">
      <c r="A799" s="10"/>
    </row>
    <row r="800" spans="1:1" ht="13" x14ac:dyDescent="0.15">
      <c r="A800" s="10"/>
    </row>
    <row r="801" spans="1:1" ht="13" x14ac:dyDescent="0.15">
      <c r="A801" s="10"/>
    </row>
    <row r="802" spans="1:1" ht="13" x14ac:dyDescent="0.15">
      <c r="A802" s="10"/>
    </row>
    <row r="803" spans="1:1" ht="13" x14ac:dyDescent="0.15">
      <c r="A803" s="10"/>
    </row>
    <row r="804" spans="1:1" ht="13" x14ac:dyDescent="0.15">
      <c r="A804" s="10"/>
    </row>
    <row r="805" spans="1:1" ht="13" x14ac:dyDescent="0.15">
      <c r="A805" s="10"/>
    </row>
    <row r="806" spans="1:1" ht="13" x14ac:dyDescent="0.15">
      <c r="A806" s="10"/>
    </row>
    <row r="807" spans="1:1" ht="13" x14ac:dyDescent="0.15">
      <c r="A807" s="10"/>
    </row>
    <row r="808" spans="1:1" ht="13" x14ac:dyDescent="0.15">
      <c r="A808" s="10"/>
    </row>
    <row r="809" spans="1:1" ht="13" x14ac:dyDescent="0.15">
      <c r="A809" s="10"/>
    </row>
    <row r="810" spans="1:1" ht="13" x14ac:dyDescent="0.15">
      <c r="A810" s="10"/>
    </row>
    <row r="811" spans="1:1" ht="13" x14ac:dyDescent="0.15">
      <c r="A811" s="10"/>
    </row>
    <row r="812" spans="1:1" ht="13" x14ac:dyDescent="0.15">
      <c r="A812" s="10"/>
    </row>
    <row r="813" spans="1:1" ht="13" x14ac:dyDescent="0.15">
      <c r="A813" s="10"/>
    </row>
    <row r="814" spans="1:1" ht="13" x14ac:dyDescent="0.15">
      <c r="A814" s="10"/>
    </row>
    <row r="815" spans="1:1" ht="13" x14ac:dyDescent="0.15">
      <c r="A815" s="10"/>
    </row>
    <row r="816" spans="1:1" ht="13" x14ac:dyDescent="0.15">
      <c r="A816" s="10"/>
    </row>
    <row r="817" spans="1:1" ht="13" x14ac:dyDescent="0.15">
      <c r="A817" s="10"/>
    </row>
    <row r="818" spans="1:1" ht="13" x14ac:dyDescent="0.15">
      <c r="A818" s="10"/>
    </row>
    <row r="819" spans="1:1" ht="13" x14ac:dyDescent="0.15">
      <c r="A819" s="10"/>
    </row>
    <row r="820" spans="1:1" ht="13" x14ac:dyDescent="0.15">
      <c r="A820" s="10"/>
    </row>
    <row r="821" spans="1:1" ht="13" x14ac:dyDescent="0.15">
      <c r="A821" s="10"/>
    </row>
    <row r="822" spans="1:1" ht="13" x14ac:dyDescent="0.15">
      <c r="A822" s="10"/>
    </row>
    <row r="823" spans="1:1" ht="13" x14ac:dyDescent="0.15">
      <c r="A823" s="10"/>
    </row>
    <row r="824" spans="1:1" ht="13" x14ac:dyDescent="0.15">
      <c r="A824" s="10"/>
    </row>
    <row r="825" spans="1:1" ht="13" x14ac:dyDescent="0.15">
      <c r="A825" s="10"/>
    </row>
    <row r="826" spans="1:1" ht="13" x14ac:dyDescent="0.15">
      <c r="A826" s="10"/>
    </row>
    <row r="827" spans="1:1" ht="13" x14ac:dyDescent="0.15">
      <c r="A827" s="10"/>
    </row>
    <row r="828" spans="1:1" ht="13" x14ac:dyDescent="0.15">
      <c r="A828" s="10"/>
    </row>
    <row r="829" spans="1:1" ht="13" x14ac:dyDescent="0.15">
      <c r="A829" s="10"/>
    </row>
    <row r="830" spans="1:1" ht="13" x14ac:dyDescent="0.15">
      <c r="A830" s="10"/>
    </row>
    <row r="831" spans="1:1" ht="13" x14ac:dyDescent="0.15">
      <c r="A831" s="10"/>
    </row>
    <row r="832" spans="1:1" ht="13" x14ac:dyDescent="0.15">
      <c r="A832" s="10"/>
    </row>
    <row r="833" spans="1:1" ht="13" x14ac:dyDescent="0.15">
      <c r="A833" s="10"/>
    </row>
    <row r="834" spans="1:1" ht="13" x14ac:dyDescent="0.15">
      <c r="A834" s="10"/>
    </row>
    <row r="835" spans="1:1" ht="13" x14ac:dyDescent="0.15">
      <c r="A835" s="10"/>
    </row>
    <row r="836" spans="1:1" ht="13" x14ac:dyDescent="0.15">
      <c r="A836" s="10"/>
    </row>
    <row r="837" spans="1:1" ht="13" x14ac:dyDescent="0.15">
      <c r="A837" s="10"/>
    </row>
    <row r="838" spans="1:1" ht="13" x14ac:dyDescent="0.15">
      <c r="A838" s="10"/>
    </row>
    <row r="839" spans="1:1" ht="13" x14ac:dyDescent="0.15">
      <c r="A839" s="10"/>
    </row>
    <row r="840" spans="1:1" ht="13" x14ac:dyDescent="0.15">
      <c r="A840" s="10"/>
    </row>
    <row r="841" spans="1:1" ht="13" x14ac:dyDescent="0.15">
      <c r="A841" s="10"/>
    </row>
    <row r="842" spans="1:1" ht="13" x14ac:dyDescent="0.15">
      <c r="A842" s="10"/>
    </row>
    <row r="843" spans="1:1" ht="13" x14ac:dyDescent="0.15">
      <c r="A843" s="10"/>
    </row>
    <row r="844" spans="1:1" ht="13" x14ac:dyDescent="0.15">
      <c r="A844" s="10"/>
    </row>
    <row r="845" spans="1:1" ht="13" x14ac:dyDescent="0.15">
      <c r="A845" s="10"/>
    </row>
    <row r="846" spans="1:1" ht="13" x14ac:dyDescent="0.15">
      <c r="A846" s="10"/>
    </row>
    <row r="847" spans="1:1" ht="13" x14ac:dyDescent="0.15">
      <c r="A847" s="10"/>
    </row>
    <row r="848" spans="1:1" ht="13" x14ac:dyDescent="0.15">
      <c r="A848" s="10"/>
    </row>
    <row r="849" spans="1:1" ht="13" x14ac:dyDescent="0.15">
      <c r="A849" s="10"/>
    </row>
    <row r="850" spans="1:1" ht="13" x14ac:dyDescent="0.15">
      <c r="A850" s="10"/>
    </row>
    <row r="851" spans="1:1" ht="13" x14ac:dyDescent="0.15">
      <c r="A851" s="10"/>
    </row>
    <row r="852" spans="1:1" ht="13" x14ac:dyDescent="0.15">
      <c r="A852" s="10"/>
    </row>
    <row r="853" spans="1:1" ht="13" x14ac:dyDescent="0.15">
      <c r="A853" s="10"/>
    </row>
    <row r="854" spans="1:1" ht="13" x14ac:dyDescent="0.15">
      <c r="A854" s="10"/>
    </row>
    <row r="855" spans="1:1" ht="13" x14ac:dyDescent="0.15">
      <c r="A855" s="10"/>
    </row>
    <row r="856" spans="1:1" ht="13" x14ac:dyDescent="0.15">
      <c r="A856" s="10"/>
    </row>
    <row r="857" spans="1:1" ht="13" x14ac:dyDescent="0.15">
      <c r="A857" s="10"/>
    </row>
    <row r="858" spans="1:1" ht="13" x14ac:dyDescent="0.15">
      <c r="A858" s="10"/>
    </row>
    <row r="859" spans="1:1" ht="13" x14ac:dyDescent="0.15">
      <c r="A859" s="10"/>
    </row>
    <row r="860" spans="1:1" ht="13" x14ac:dyDescent="0.15">
      <c r="A860" s="10"/>
    </row>
    <row r="861" spans="1:1" ht="13" x14ac:dyDescent="0.15">
      <c r="A861" s="10"/>
    </row>
    <row r="862" spans="1:1" ht="13" x14ac:dyDescent="0.15">
      <c r="A862" s="10"/>
    </row>
    <row r="863" spans="1:1" ht="13" x14ac:dyDescent="0.15">
      <c r="A863" s="10"/>
    </row>
    <row r="864" spans="1:1" ht="13" x14ac:dyDescent="0.15">
      <c r="A864" s="10"/>
    </row>
    <row r="865" spans="1:1" ht="13" x14ac:dyDescent="0.15">
      <c r="A865" s="10"/>
    </row>
    <row r="866" spans="1:1" ht="13" x14ac:dyDescent="0.15">
      <c r="A866" s="10"/>
    </row>
    <row r="867" spans="1:1" ht="13" x14ac:dyDescent="0.15">
      <c r="A867" s="10"/>
    </row>
    <row r="868" spans="1:1" ht="13" x14ac:dyDescent="0.15">
      <c r="A868" s="10"/>
    </row>
    <row r="869" spans="1:1" ht="13" x14ac:dyDescent="0.15">
      <c r="A869" s="10"/>
    </row>
    <row r="870" spans="1:1" ht="13" x14ac:dyDescent="0.15">
      <c r="A870" s="10"/>
    </row>
    <row r="871" spans="1:1" ht="13" x14ac:dyDescent="0.15">
      <c r="A871" s="10"/>
    </row>
    <row r="872" spans="1:1" ht="13" x14ac:dyDescent="0.15">
      <c r="A872" s="10"/>
    </row>
    <row r="873" spans="1:1" ht="13" x14ac:dyDescent="0.15">
      <c r="A873" s="10"/>
    </row>
    <row r="874" spans="1:1" ht="13" x14ac:dyDescent="0.15">
      <c r="A874" s="10"/>
    </row>
    <row r="875" spans="1:1" ht="13" x14ac:dyDescent="0.15">
      <c r="A875" s="10"/>
    </row>
    <row r="876" spans="1:1" ht="13" x14ac:dyDescent="0.15">
      <c r="A876" s="10"/>
    </row>
    <row r="877" spans="1:1" ht="13" x14ac:dyDescent="0.15">
      <c r="A877" s="10"/>
    </row>
    <row r="878" spans="1:1" ht="13" x14ac:dyDescent="0.15">
      <c r="A878" s="10"/>
    </row>
    <row r="879" spans="1:1" ht="13" x14ac:dyDescent="0.15">
      <c r="A879" s="10"/>
    </row>
    <row r="880" spans="1:1" ht="13" x14ac:dyDescent="0.15">
      <c r="A880" s="10"/>
    </row>
    <row r="881" spans="1:1" ht="13" x14ac:dyDescent="0.15">
      <c r="A881" s="10"/>
    </row>
    <row r="882" spans="1:1" ht="13" x14ac:dyDescent="0.15">
      <c r="A882" s="10"/>
    </row>
    <row r="883" spans="1:1" ht="13" x14ac:dyDescent="0.15">
      <c r="A883" s="10"/>
    </row>
    <row r="884" spans="1:1" ht="13" x14ac:dyDescent="0.15">
      <c r="A884" s="10"/>
    </row>
    <row r="885" spans="1:1" ht="13" x14ac:dyDescent="0.15">
      <c r="A885" s="10"/>
    </row>
    <row r="886" spans="1:1" ht="13" x14ac:dyDescent="0.15">
      <c r="A886" s="10"/>
    </row>
    <row r="887" spans="1:1" ht="13" x14ac:dyDescent="0.15">
      <c r="A887" s="10"/>
    </row>
    <row r="888" spans="1:1" ht="13" x14ac:dyDescent="0.15">
      <c r="A888" s="10"/>
    </row>
    <row r="889" spans="1:1" ht="13" x14ac:dyDescent="0.15">
      <c r="A889" s="10"/>
    </row>
    <row r="890" spans="1:1" ht="13" x14ac:dyDescent="0.15">
      <c r="A890" s="10"/>
    </row>
    <row r="891" spans="1:1" ht="13" x14ac:dyDescent="0.15">
      <c r="A891" s="10"/>
    </row>
    <row r="892" spans="1:1" ht="13" x14ac:dyDescent="0.15">
      <c r="A892" s="10"/>
    </row>
    <row r="893" spans="1:1" ht="13" x14ac:dyDescent="0.15">
      <c r="A893" s="10"/>
    </row>
    <row r="894" spans="1:1" ht="13" x14ac:dyDescent="0.15">
      <c r="A894" s="10"/>
    </row>
    <row r="895" spans="1:1" ht="13" x14ac:dyDescent="0.15">
      <c r="A895" s="10"/>
    </row>
    <row r="896" spans="1:1" ht="13" x14ac:dyDescent="0.15">
      <c r="A896" s="10"/>
    </row>
    <row r="897" spans="1:1" ht="13" x14ac:dyDescent="0.15">
      <c r="A897" s="10"/>
    </row>
    <row r="898" spans="1:1" ht="13" x14ac:dyDescent="0.15">
      <c r="A898" s="10"/>
    </row>
    <row r="899" spans="1:1" ht="13" x14ac:dyDescent="0.15">
      <c r="A899" s="10"/>
    </row>
    <row r="900" spans="1:1" ht="13" x14ac:dyDescent="0.15">
      <c r="A900" s="10"/>
    </row>
    <row r="901" spans="1:1" ht="13" x14ac:dyDescent="0.15">
      <c r="A901" s="10"/>
    </row>
    <row r="902" spans="1:1" ht="13" x14ac:dyDescent="0.15">
      <c r="A902" s="10"/>
    </row>
    <row r="903" spans="1:1" ht="13" x14ac:dyDescent="0.15">
      <c r="A903" s="10"/>
    </row>
    <row r="904" spans="1:1" ht="13" x14ac:dyDescent="0.15">
      <c r="A904" s="10"/>
    </row>
    <row r="905" spans="1:1" ht="13" x14ac:dyDescent="0.15">
      <c r="A905" s="10"/>
    </row>
    <row r="906" spans="1:1" ht="13" x14ac:dyDescent="0.15">
      <c r="A906" s="10"/>
    </row>
    <row r="907" spans="1:1" ht="13" x14ac:dyDescent="0.15">
      <c r="A907" s="10"/>
    </row>
    <row r="908" spans="1:1" ht="13" x14ac:dyDescent="0.15">
      <c r="A908" s="10"/>
    </row>
    <row r="909" spans="1:1" ht="13" x14ac:dyDescent="0.15">
      <c r="A909" s="10"/>
    </row>
    <row r="910" spans="1:1" ht="13" x14ac:dyDescent="0.15">
      <c r="A910" s="10"/>
    </row>
    <row r="911" spans="1:1" ht="13" x14ac:dyDescent="0.15">
      <c r="A911" s="10"/>
    </row>
    <row r="912" spans="1:1" ht="13" x14ac:dyDescent="0.15">
      <c r="A912" s="10"/>
    </row>
    <row r="913" spans="1:1" ht="13" x14ac:dyDescent="0.15">
      <c r="A913" s="10"/>
    </row>
    <row r="914" spans="1:1" ht="13" x14ac:dyDescent="0.15">
      <c r="A914" s="10"/>
    </row>
    <row r="915" spans="1:1" ht="13" x14ac:dyDescent="0.15">
      <c r="A915" s="10"/>
    </row>
    <row r="916" spans="1:1" ht="13" x14ac:dyDescent="0.15">
      <c r="A916" s="10"/>
    </row>
    <row r="917" spans="1:1" ht="13" x14ac:dyDescent="0.15">
      <c r="A917" s="10"/>
    </row>
    <row r="918" spans="1:1" ht="13" x14ac:dyDescent="0.15">
      <c r="A918" s="10"/>
    </row>
    <row r="919" spans="1:1" ht="13" x14ac:dyDescent="0.15">
      <c r="A919" s="10"/>
    </row>
    <row r="920" spans="1:1" ht="13" x14ac:dyDescent="0.15">
      <c r="A920" s="10"/>
    </row>
    <row r="921" spans="1:1" ht="13" x14ac:dyDescent="0.15">
      <c r="A921" s="10"/>
    </row>
    <row r="922" spans="1:1" ht="13" x14ac:dyDescent="0.15">
      <c r="A922" s="10"/>
    </row>
    <row r="923" spans="1:1" ht="13" x14ac:dyDescent="0.15">
      <c r="A923" s="10"/>
    </row>
    <row r="924" spans="1:1" ht="13" x14ac:dyDescent="0.15">
      <c r="A924" s="10"/>
    </row>
    <row r="925" spans="1:1" ht="13" x14ac:dyDescent="0.15">
      <c r="A925" s="10"/>
    </row>
    <row r="926" spans="1:1" ht="13" x14ac:dyDescent="0.15">
      <c r="A926" s="10"/>
    </row>
    <row r="927" spans="1:1" ht="13" x14ac:dyDescent="0.15">
      <c r="A927" s="10"/>
    </row>
    <row r="928" spans="1:1" ht="13" x14ac:dyDescent="0.15">
      <c r="A928" s="10"/>
    </row>
    <row r="929" spans="1:1" ht="13" x14ac:dyDescent="0.15">
      <c r="A929" s="10"/>
    </row>
    <row r="930" spans="1:1" ht="13" x14ac:dyDescent="0.15">
      <c r="A930" s="10"/>
    </row>
    <row r="931" spans="1:1" ht="13" x14ac:dyDescent="0.15">
      <c r="A931" s="10"/>
    </row>
    <row r="932" spans="1:1" ht="13" x14ac:dyDescent="0.15">
      <c r="A932" s="10"/>
    </row>
    <row r="933" spans="1:1" ht="13" x14ac:dyDescent="0.15">
      <c r="A933" s="10"/>
    </row>
    <row r="934" spans="1:1" ht="13" x14ac:dyDescent="0.15">
      <c r="A934" s="10"/>
    </row>
    <row r="935" spans="1:1" ht="13" x14ac:dyDescent="0.15">
      <c r="A935" s="10"/>
    </row>
    <row r="936" spans="1:1" ht="13" x14ac:dyDescent="0.15">
      <c r="A936" s="10"/>
    </row>
    <row r="937" spans="1:1" ht="13" x14ac:dyDescent="0.15">
      <c r="A937" s="10"/>
    </row>
    <row r="938" spans="1:1" ht="13" x14ac:dyDescent="0.15">
      <c r="A938" s="10"/>
    </row>
    <row r="939" spans="1:1" ht="13" x14ac:dyDescent="0.15">
      <c r="A939" s="10"/>
    </row>
    <row r="940" spans="1:1" ht="13" x14ac:dyDescent="0.15">
      <c r="A940" s="10"/>
    </row>
    <row r="941" spans="1:1" ht="13" x14ac:dyDescent="0.15">
      <c r="A941" s="10"/>
    </row>
    <row r="942" spans="1:1" ht="13" x14ac:dyDescent="0.15">
      <c r="A942" s="10"/>
    </row>
    <row r="943" spans="1:1" ht="13" x14ac:dyDescent="0.15">
      <c r="A943" s="10"/>
    </row>
    <row r="944" spans="1:1" ht="13" x14ac:dyDescent="0.15">
      <c r="A944" s="10"/>
    </row>
    <row r="945" spans="1:1" ht="13" x14ac:dyDescent="0.15">
      <c r="A945" s="10"/>
    </row>
    <row r="946" spans="1:1" ht="13" x14ac:dyDescent="0.15">
      <c r="A946" s="10"/>
    </row>
    <row r="947" spans="1:1" ht="13" x14ac:dyDescent="0.15">
      <c r="A947" s="10"/>
    </row>
    <row r="948" spans="1:1" ht="13" x14ac:dyDescent="0.15">
      <c r="A948" s="10"/>
    </row>
    <row r="949" spans="1:1" ht="13" x14ac:dyDescent="0.15">
      <c r="A949" s="10"/>
    </row>
    <row r="950" spans="1:1" ht="13" x14ac:dyDescent="0.15">
      <c r="A950" s="10"/>
    </row>
    <row r="951" spans="1:1" ht="13" x14ac:dyDescent="0.15">
      <c r="A951" s="10"/>
    </row>
    <row r="952" spans="1:1" ht="13" x14ac:dyDescent="0.15">
      <c r="A952" s="10"/>
    </row>
    <row r="953" spans="1:1" ht="13" x14ac:dyDescent="0.15">
      <c r="A953" s="10"/>
    </row>
    <row r="954" spans="1:1" ht="13" x14ac:dyDescent="0.15">
      <c r="A954" s="10"/>
    </row>
    <row r="955" spans="1:1" ht="13" x14ac:dyDescent="0.15">
      <c r="A955" s="10"/>
    </row>
    <row r="956" spans="1:1" ht="13" x14ac:dyDescent="0.15">
      <c r="A956" s="10"/>
    </row>
    <row r="957" spans="1:1" ht="13" x14ac:dyDescent="0.15">
      <c r="A957" s="10"/>
    </row>
    <row r="958" spans="1:1" ht="13" x14ac:dyDescent="0.15">
      <c r="A958" s="10"/>
    </row>
    <row r="959" spans="1:1" ht="13" x14ac:dyDescent="0.15">
      <c r="A959" s="10"/>
    </row>
    <row r="960" spans="1:1" ht="13" x14ac:dyDescent="0.15">
      <c r="A960" s="10"/>
    </row>
    <row r="961" spans="1:1" ht="13" x14ac:dyDescent="0.15">
      <c r="A961" s="10"/>
    </row>
    <row r="962" spans="1:1" ht="13" x14ac:dyDescent="0.15">
      <c r="A962" s="10"/>
    </row>
    <row r="963" spans="1:1" ht="13" x14ac:dyDescent="0.15">
      <c r="A963" s="10"/>
    </row>
    <row r="964" spans="1:1" ht="13" x14ac:dyDescent="0.15">
      <c r="A964" s="10"/>
    </row>
    <row r="965" spans="1:1" ht="13" x14ac:dyDescent="0.15">
      <c r="A965" s="10"/>
    </row>
    <row r="966" spans="1:1" ht="13" x14ac:dyDescent="0.15">
      <c r="A966" s="10"/>
    </row>
    <row r="967" spans="1:1" ht="13" x14ac:dyDescent="0.15">
      <c r="A967" s="10"/>
    </row>
    <row r="968" spans="1:1" ht="13" x14ac:dyDescent="0.15">
      <c r="A968" s="10"/>
    </row>
    <row r="969" spans="1:1" ht="13" x14ac:dyDescent="0.15">
      <c r="A969" s="10"/>
    </row>
    <row r="970" spans="1:1" ht="13" x14ac:dyDescent="0.15">
      <c r="A970" s="10"/>
    </row>
    <row r="971" spans="1:1" ht="13" x14ac:dyDescent="0.15">
      <c r="A971" s="10"/>
    </row>
    <row r="972" spans="1:1" ht="13" x14ac:dyDescent="0.15">
      <c r="A972" s="10"/>
    </row>
    <row r="973" spans="1:1" ht="13" x14ac:dyDescent="0.15">
      <c r="A973" s="10"/>
    </row>
    <row r="974" spans="1:1" ht="13" x14ac:dyDescent="0.15">
      <c r="A974" s="10"/>
    </row>
    <row r="975" spans="1:1" ht="13" x14ac:dyDescent="0.15">
      <c r="A975" s="10"/>
    </row>
    <row r="976" spans="1:1" ht="13" x14ac:dyDescent="0.15">
      <c r="A976" s="10"/>
    </row>
    <row r="977" spans="1:1" ht="13" x14ac:dyDescent="0.15">
      <c r="A977" s="10"/>
    </row>
    <row r="978" spans="1:1" ht="13" x14ac:dyDescent="0.15">
      <c r="A978" s="10"/>
    </row>
    <row r="979" spans="1:1" ht="13" x14ac:dyDescent="0.15">
      <c r="A979" s="10"/>
    </row>
    <row r="980" spans="1:1" ht="13" x14ac:dyDescent="0.15">
      <c r="A980" s="10"/>
    </row>
    <row r="981" spans="1:1" ht="13" x14ac:dyDescent="0.15">
      <c r="A981" s="10"/>
    </row>
    <row r="982" spans="1:1" ht="13" x14ac:dyDescent="0.15">
      <c r="A982" s="10"/>
    </row>
    <row r="983" spans="1:1" ht="13" x14ac:dyDescent="0.15">
      <c r="A983" s="10"/>
    </row>
    <row r="984" spans="1:1" ht="13" x14ac:dyDescent="0.15">
      <c r="A984" s="10"/>
    </row>
    <row r="985" spans="1:1" ht="13" x14ac:dyDescent="0.15">
      <c r="A985" s="10"/>
    </row>
    <row r="986" spans="1:1" ht="13" x14ac:dyDescent="0.15">
      <c r="A986" s="10"/>
    </row>
    <row r="987" spans="1:1" ht="13" x14ac:dyDescent="0.15">
      <c r="A987" s="10"/>
    </row>
    <row r="988" spans="1:1" ht="13" x14ac:dyDescent="0.15">
      <c r="A988" s="10"/>
    </row>
    <row r="989" spans="1:1" ht="13" x14ac:dyDescent="0.15">
      <c r="A989" s="10"/>
    </row>
    <row r="990" spans="1:1" ht="13" x14ac:dyDescent="0.15">
      <c r="A990" s="10"/>
    </row>
    <row r="991" spans="1:1" ht="13" x14ac:dyDescent="0.15">
      <c r="A991" s="10"/>
    </row>
    <row r="992" spans="1:1" ht="13" x14ac:dyDescent="0.15">
      <c r="A992" s="10"/>
    </row>
    <row r="993" spans="1:1" ht="13" x14ac:dyDescent="0.15">
      <c r="A993" s="10"/>
    </row>
    <row r="994" spans="1:1" ht="13" x14ac:dyDescent="0.15">
      <c r="A994" s="10"/>
    </row>
    <row r="995" spans="1:1" ht="13" x14ac:dyDescent="0.15">
      <c r="A995" s="10"/>
    </row>
    <row r="996" spans="1:1" ht="13" x14ac:dyDescent="0.15">
      <c r="A996" s="10"/>
    </row>
    <row r="997" spans="1:1" ht="13" x14ac:dyDescent="0.15">
      <c r="A997" s="10"/>
    </row>
  </sheetData>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outlinePr summaryBelow="0" summaryRight="0"/>
  </sheetPr>
  <dimension ref="A1:D997"/>
  <sheetViews>
    <sheetView workbookViewId="0"/>
  </sheetViews>
  <sheetFormatPr baseColWidth="10" defaultColWidth="12.6640625" defaultRowHeight="15.75" customHeight="1" x14ac:dyDescent="0.15"/>
  <cols>
    <col min="1" max="1" width="71.5" customWidth="1"/>
    <col min="2" max="4" width="37.6640625" customWidth="1"/>
  </cols>
  <sheetData>
    <row r="1" spans="1:4" x14ac:dyDescent="0.2">
      <c r="A1" s="1"/>
      <c r="B1" s="12" t="str">
        <f ca="1">IFERROR(__xludf.DUMMYFUNCTION("IMPORTRANGE(""https://docs.google.com/spreadsheets/d/13SmE7eku7nG0PwUe_FIOCUfCnXVjPMNZ0Q_x8FW6s5I"",""A60!B1:B22"")"),"Josiah Bolton")</f>
        <v>Josiah Bolton</v>
      </c>
      <c r="C1" s="21" t="str">
        <f ca="1">IFERROR(__xludf.DUMMYFUNCTION("IMPORTRANGE(""https://docs.google.com/spreadsheets/d/1Eq2M_a4_TeZImjU1FJcBSaIp6Xib8-RIHm3cQ24mbRI"", ""A60!B1:B22"")"),"Zachary Edwards")</f>
        <v>Zachary Edwards</v>
      </c>
      <c r="D1" s="2" t="s">
        <v>1</v>
      </c>
    </row>
    <row r="2" spans="1:4" ht="15.75" customHeight="1" x14ac:dyDescent="0.15">
      <c r="A2" s="3" t="s">
        <v>2</v>
      </c>
      <c r="B2" s="15" t="str">
        <f ca="1">IFERROR(__xludf.DUMMYFUNCTION("""COMPUTED_VALUE"""),"33385-33507 FOR")</f>
        <v>33385-33507 FOR</v>
      </c>
      <c r="C2" s="15" t="str">
        <f ca="1">IFERROR(__xludf.DUMMYFUNCTION("""COMPUTED_VALUE"""),"PHAM Start:33385 Stop:33507
DNAM Start:33385 Stop:33507")</f>
        <v>PHAM Start:33385 Stop:33507
DNAM Start:33385 Stop:33507</v>
      </c>
      <c r="D2" s="4"/>
    </row>
    <row r="3" spans="1:4" ht="15.75" customHeight="1" x14ac:dyDescent="0.15">
      <c r="A3" s="5" t="s">
        <v>3</v>
      </c>
      <c r="B3" s="17" t="str">
        <f ca="1">IFERROR(__xludf.DUMMYFUNCTION("""COMPUTED_VALUE"""),"59 in DNA Master
60 on Phamerator map")</f>
        <v>59 in DNA Master
60 on Phamerator map</v>
      </c>
      <c r="C3" s="17" t="str">
        <f ca="1">IFERROR(__xludf.DUMMYFUNCTION("""COMPUTED_VALUE"""),"PHAM: Gene 60
DNAM:Gene 59")</f>
        <v>PHAM: Gene 60
DNAM:Gene 59</v>
      </c>
      <c r="D3" s="6"/>
    </row>
    <row r="4" spans="1:4" ht="15.75" customHeight="1" x14ac:dyDescent="0.15">
      <c r="A4" s="5" t="s">
        <v>4</v>
      </c>
      <c r="B4" s="17" t="str">
        <f ca="1">IFERROR(__xludf.DUMMYFUNCTION("""COMPUTED_VALUE"""),"209803 3/13/2025")</f>
        <v>209803 3/13/2025</v>
      </c>
      <c r="C4" s="17" t="str">
        <f ca="1">IFERROR(__xludf.DUMMYFUNCTION("""COMPUTED_VALUE"""),"209803 3/12/2025")</f>
        <v>209803 3/12/2025</v>
      </c>
      <c r="D4" s="6"/>
    </row>
    <row r="5" spans="1:4" ht="15.75" customHeight="1" x14ac:dyDescent="0.15">
      <c r="A5" s="5" t="s">
        <v>5</v>
      </c>
      <c r="B5" s="17" t="str">
        <f ca="1">IFERROR(__xludf.DUMMYFUNCTION("""COMPUTED_VALUE"""),"Orphan")</f>
        <v>Orphan</v>
      </c>
      <c r="C5" s="17" t="str">
        <f ca="1">IFERROR(__xludf.DUMMYFUNCTION("""COMPUTED_VALUE"""),"Orpham")</f>
        <v>Orpham</v>
      </c>
      <c r="D5" s="6"/>
    </row>
    <row r="6" spans="1:4" ht="15.75" customHeight="1" x14ac:dyDescent="0.15">
      <c r="A6" s="5" t="s">
        <v>6</v>
      </c>
      <c r="B6" s="17" t="str">
        <f ca="1">IFERROR(__xludf.DUMMYFUNCTION("""COMPUTED_VALUE"""),"Both call at 33385.")</f>
        <v>Both call at 33385.</v>
      </c>
      <c r="C6" s="17" t="str">
        <f ca="1">IFERROR(__xludf.DUMMYFUNCTION("""COMPUTED_VALUE"""),"Both Call it a gene")</f>
        <v>Both Call it a gene</v>
      </c>
      <c r="D6" s="6"/>
    </row>
    <row r="7" spans="1:4" ht="15.75" customHeight="1" x14ac:dyDescent="0.15">
      <c r="A7" s="5" t="s">
        <v>7</v>
      </c>
      <c r="B7" s="17" t="str">
        <f ca="1">IFERROR(__xludf.DUMMYFUNCTION("""COMPUTED_VALUE"""),"Has okay coding potential
Does not include all coding potential because there is some about 30-50 bp that it misses.")</f>
        <v>Has okay coding potential
Does not include all coding potential because there is some about 30-50 bp that it misses.</v>
      </c>
      <c r="C7" s="17" t="str">
        <f ca="1">IFERROR(__xludf.DUMMYFUNCTION("""COMPUTED_VALUE"""),"Coding for where the gene is includes the coding prior to the current start.")</f>
        <v>Coding for where the gene is includes the coding prior to the current start.</v>
      </c>
      <c r="D7" s="6"/>
    </row>
    <row r="8" spans="1:4" ht="15.75" customHeight="1" x14ac:dyDescent="0.15">
      <c r="A8" s="5" t="s">
        <v>8</v>
      </c>
      <c r="B8" s="17" t="str">
        <f ca="1">IFERROR(__xludf.DUMMYFUNCTION("""COMPUTED_VALUE"""),"Not the longest possible ORF there is another start 96 bp before the called start.")</f>
        <v>Not the longest possible ORF there is another start 96 bp before the called start.</v>
      </c>
      <c r="C8" s="17" t="str">
        <f ca="1">IFERROR(__xludf.DUMMYFUNCTION("""COMPUTED_VALUE"""),"No there are two other starts prior to the current start and after the last stop")</f>
        <v>No there are two other starts prior to the current start and after the last stop</v>
      </c>
      <c r="D8" s="6"/>
    </row>
    <row r="9" spans="1:4" ht="15.75" customHeight="1" x14ac:dyDescent="0.15">
      <c r="A9" s="5" t="s">
        <v>9</v>
      </c>
      <c r="B9" s="17" t="str">
        <f ca="1">IFERROR(__xludf.DUMMYFUNCTION("""COMPUTED_VALUE"""),"242 bp gap.")</f>
        <v>242 bp gap.</v>
      </c>
      <c r="C9" s="17" t="str">
        <f ca="1">IFERROR(__xludf.DUMMYFUNCTION("""COMPUTED_VALUE"""),"242 NT Gap ")</f>
        <v xml:space="preserve">242 NT Gap </v>
      </c>
      <c r="D9" s="6"/>
    </row>
    <row r="10" spans="1:4" ht="15.75" customHeight="1" x14ac:dyDescent="0.15">
      <c r="A10" s="5" t="s">
        <v>10</v>
      </c>
      <c r="B10" s="17" t="str">
        <f ca="1">IFERROR(__xludf.DUMMYFUNCTION("""COMPUTED_VALUE"""),"Z score for called site is 2.270 with a final score of -4.000. The best score is at 33136 with z score 2.346 and final score of -5.061. This would be an overlap if considered.")</f>
        <v>Z score for called site is 2.270 with a final score of -4.000. The best score is at 33136 with z score 2.346 and final score of -5.061. This would be an overlap if considered.</v>
      </c>
      <c r="C10" s="17" t="str">
        <f ca="1">IFERROR(__xludf.DUMMYFUNCTION("""COMPUTED_VALUE"""),"Current Start: 2.270
Other Potential earlier starts: 2.346 (33136) and 2.089 (33289)")</f>
        <v>Current Start: 2.270
Other Potential earlier starts: 2.346 (33136) and 2.089 (33289)</v>
      </c>
      <c r="D10" s="6"/>
    </row>
    <row r="11" spans="1:4" ht="15.75" customHeight="1" x14ac:dyDescent="0.15">
      <c r="A11" s="5" t="s">
        <v>11</v>
      </c>
      <c r="B11" s="17" t="str">
        <f ca="1">IFERROR(__xludf.DUMMYFUNCTION("""COMPUTED_VALUE"""),"Kovu 58 % identity is 83.33%
e value is 5.1e-3 q1-24: s84-107")</f>
        <v>Kovu 58 % identity is 83.33%
e value is 5.1e-3 q1-24: s84-107</v>
      </c>
      <c r="C11" s="17" t="str">
        <f ca="1">IFERROR(__xludf.DUMMYFUNCTION("""COMPUTED_VALUE"""),"Kovu_58
%ID: 83.33
5.1E-3
1:84")</f>
        <v>Kovu_58
%ID: 83.33
5.1E-3
1:84</v>
      </c>
      <c r="D11" s="6"/>
    </row>
    <row r="12" spans="1:4" ht="15.75" customHeight="1" x14ac:dyDescent="0.15">
      <c r="A12" s="5" t="s">
        <v>12</v>
      </c>
      <c r="B12" s="17" t="str">
        <f ca="1">IFERROR(__xludf.DUMMYFUNCTION("""COMPUTED_VALUE"""),"Orpham")</f>
        <v>Orpham</v>
      </c>
      <c r="C12" s="17" t="str">
        <f ca="1">IFERROR(__xludf.DUMMYFUNCTION("""COMPUTED_VALUE"""),"Nothing to compare to.")</f>
        <v>Nothing to compare to.</v>
      </c>
      <c r="D12" s="6"/>
    </row>
    <row r="13" spans="1:4" ht="15.75" customHeight="1" x14ac:dyDescent="0.15">
      <c r="A13" s="5" t="s">
        <v>13</v>
      </c>
      <c r="B13" s="17" t="str">
        <f ca="1">IFERROR(__xludf.DUMMYFUNCTION("""COMPUTED_VALUE"""),"Yes a start change because of the better z value and closes the 249 gap with previous gene. This results in a 3bp overlap.")</f>
        <v>Yes a start change because of the better z value and closes the 249 gap with previous gene. This results in a 3bp overlap.</v>
      </c>
      <c r="C13" s="17" t="str">
        <f ca="1">IFERROR(__xludf.DUMMYFUNCTION("""COMPUTED_VALUE"""),"Yes, move start to start 33136. There is a very large gap that should be closed down moving this start would create a 20 NT Overlap. The Z-score is the best. Kovu_58 was the best hit for Gene 60 (although not in the same Phamily) changing this start would"&amp;" also create a 1:1 alignment instead of the current 1:84. It would capture all coding potenital if you move it ")</f>
        <v xml:space="preserve">Yes, move start to start 33136. There is a very large gap that should be closed down moving this start would create a 20 NT Overlap. The Z-score is the best. Kovu_58 was the best hit for Gene 60 (although not in the same Phamily) changing this start would also create a 1:1 alignment instead of the current 1:84. It would capture all coding potenital if you move it </v>
      </c>
      <c r="D13" s="6"/>
    </row>
    <row r="14" spans="1:4" ht="15.75" customHeight="1" x14ac:dyDescent="0.15">
      <c r="A14" s="5" t="s">
        <v>14</v>
      </c>
      <c r="B14" s="17" t="str">
        <f ca="1">IFERROR(__xludf.DUMMYFUNCTION("""COMPUTED_VALUE"""),"Kovu 58 e value is 3e-10.")</f>
        <v>Kovu 58 e value is 3e-10.</v>
      </c>
      <c r="C14" s="17" t="str">
        <f ca="1">IFERROR(__xludf.DUMMYFUNCTION("""COMPUTED_VALUE"""),"Kovu_58 E:3e-10")</f>
        <v>Kovu_58 E:3e-10</v>
      </c>
      <c r="D14" s="6"/>
    </row>
    <row r="15" spans="1:4" ht="15.75" customHeight="1" x14ac:dyDescent="0.15">
      <c r="A15" s="5" t="s">
        <v>15</v>
      </c>
      <c r="B15" s="17" t="str">
        <f ca="1">IFERROR(__xludf.DUMMYFUNCTION("""COMPUTED_VALUE"""),"Unknown function.")</f>
        <v>Unknown function.</v>
      </c>
      <c r="C15" s="17" t="str">
        <f ca="1">IFERROR(__xludf.DUMMYFUNCTION("""COMPUTED_VALUE"""),"Unknown Function")</f>
        <v>Unknown Function</v>
      </c>
      <c r="D15" s="6"/>
    </row>
    <row r="16" spans="1:4" ht="15.75" customHeight="1" x14ac:dyDescent="0.15">
      <c r="A16" s="5" t="s">
        <v>16</v>
      </c>
      <c r="B16" s="17" t="str">
        <f ca="1">IFERROR(__xludf.DUMMYFUNCTION("""COMPUTED_VALUE"""),"Not enough information for synteny.")</f>
        <v>Not enough information for synteny.</v>
      </c>
      <c r="C16" s="17" t="str">
        <f ca="1">IFERROR(__xludf.DUMMYFUNCTION("""COMPUTED_VALUE"""),"Nothing to compare to.")</f>
        <v>Nothing to compare to.</v>
      </c>
      <c r="D16" s="6"/>
    </row>
    <row r="17" spans="1:4" ht="15.75" customHeight="1" x14ac:dyDescent="0.15">
      <c r="A17" s="5" t="s">
        <v>17</v>
      </c>
      <c r="B17" s="17" t="str">
        <f ca="1">IFERROR(__xludf.DUMMYFUNCTION("""COMPUTED_VALUE"""),"Not helpful at all. Precentages are way below 50%.")</f>
        <v>Not helpful at all. Precentages are way below 50%.</v>
      </c>
      <c r="C17" s="17" t="str">
        <f ca="1">IFERROR(__xludf.DUMMYFUNCTION("""COMPUTED_VALUE"""),"The first compartor was an RNA Binding domain however. Probabilty, Evaule, Score are all bad. In additon its also compared to unknwon functions of equally bad scores.")</f>
        <v>The first compartor was an RNA Binding domain however. Probabilty, Evaule, Score are all bad. In additon its also compared to unknwon functions of equally bad scores.</v>
      </c>
      <c r="D17" s="6"/>
    </row>
    <row r="18" spans="1:4" ht="15.75" customHeight="1" x14ac:dyDescent="0.15">
      <c r="A18" s="5" t="s">
        <v>18</v>
      </c>
      <c r="B18" s="17" t="str">
        <f ca="1">IFERROR(__xludf.DUMMYFUNCTION("""COMPUTED_VALUE"""),"Unknown.")</f>
        <v>Unknown.</v>
      </c>
      <c r="C18" s="17" t="str">
        <f ca="1">IFERROR(__xludf.DUMMYFUNCTION("""COMPUTED_VALUE"""),"DUF")</f>
        <v>DUF</v>
      </c>
      <c r="D18" s="6"/>
    </row>
    <row r="19" spans="1:4" ht="15.75" customHeight="1" x14ac:dyDescent="0.15">
      <c r="A19" s="5" t="s">
        <v>19</v>
      </c>
      <c r="B19" s="17" t="str">
        <f ca="1">IFERROR(__xludf.DUMMYFUNCTION("""COMPUTED_VALUE"""),"None.")</f>
        <v>None.</v>
      </c>
      <c r="C19" s="17" t="str">
        <f ca="1">IFERROR(__xludf.DUMMYFUNCTION("""COMPUTED_VALUE"""),"No")</f>
        <v>No</v>
      </c>
      <c r="D19" s="6"/>
    </row>
    <row r="20" spans="1:4" ht="15.75" customHeight="1" x14ac:dyDescent="0.15">
      <c r="A20" s="5" t="s">
        <v>20</v>
      </c>
      <c r="B20" s="17" t="str">
        <f ca="1">IFERROR(__xludf.DUMMYFUNCTION("""COMPUTED_VALUE"""),"Hypothetical Protein. Not enough given information to classify it to a specific gene pham.")</f>
        <v>Hypothetical Protein. Not enough given information to classify it to a specific gene pham.</v>
      </c>
      <c r="C20" s="17" t="str">
        <f ca="1">IFERROR(__xludf.DUMMYFUNCTION("""COMPUTED_VALUE"""),"Hypotethical Protein")</f>
        <v>Hypotethical Protein</v>
      </c>
      <c r="D20" s="6"/>
    </row>
    <row r="21" spans="1:4" x14ac:dyDescent="0.2">
      <c r="A21" s="7"/>
      <c r="B21" s="19"/>
      <c r="C21" s="19"/>
      <c r="D21" s="8"/>
    </row>
    <row r="22" spans="1:4" ht="15.75" customHeight="1" x14ac:dyDescent="0.15">
      <c r="A22" s="9" t="s">
        <v>21</v>
      </c>
      <c r="B22" s="19"/>
      <c r="C22" s="19"/>
      <c r="D22" s="8"/>
    </row>
    <row r="23" spans="1:4" ht="15.75" customHeight="1" x14ac:dyDescent="0.15">
      <c r="A23" s="10"/>
      <c r="B23" s="13"/>
      <c r="C23" s="13"/>
    </row>
    <row r="24" spans="1:4" ht="15.75" customHeight="1" x14ac:dyDescent="0.15">
      <c r="A24" s="10"/>
      <c r="B24" s="13"/>
      <c r="C24" s="13"/>
    </row>
    <row r="25" spans="1:4" ht="15.75" customHeight="1" x14ac:dyDescent="0.15">
      <c r="A25" s="10"/>
      <c r="B25" s="13"/>
      <c r="C25" s="13"/>
    </row>
    <row r="26" spans="1:4" ht="15.75" customHeight="1" x14ac:dyDescent="0.15">
      <c r="A26" s="10"/>
      <c r="B26" s="13"/>
      <c r="C26" s="13"/>
    </row>
    <row r="27" spans="1:4" ht="15.75" customHeight="1" x14ac:dyDescent="0.15">
      <c r="A27" s="10"/>
      <c r="B27" s="13"/>
      <c r="C27" s="13"/>
    </row>
    <row r="28" spans="1:4" ht="15.75" customHeight="1" x14ac:dyDescent="0.15">
      <c r="A28" s="10"/>
      <c r="B28" s="13"/>
      <c r="C28" s="13"/>
    </row>
    <row r="29" spans="1:4" ht="15.75" customHeight="1" x14ac:dyDescent="0.15">
      <c r="A29" s="10"/>
      <c r="B29" s="13"/>
      <c r="C29" s="13"/>
    </row>
    <row r="30" spans="1:4" ht="15.75" customHeight="1" x14ac:dyDescent="0.15">
      <c r="A30" s="10"/>
      <c r="B30" s="13"/>
      <c r="C30" s="13"/>
    </row>
    <row r="31" spans="1:4" ht="15.75" customHeight="1" x14ac:dyDescent="0.15">
      <c r="A31" s="10"/>
      <c r="B31" s="13"/>
      <c r="C31" s="13"/>
    </row>
    <row r="32" spans="1:4" ht="15.75" customHeight="1" x14ac:dyDescent="0.15">
      <c r="A32" s="10"/>
      <c r="B32" s="13"/>
      <c r="C32" s="13"/>
    </row>
    <row r="33" spans="1:3" ht="15.75" customHeight="1" x14ac:dyDescent="0.15">
      <c r="A33" s="10"/>
      <c r="B33" s="13"/>
      <c r="C33" s="13"/>
    </row>
    <row r="34" spans="1:3" ht="15.75" customHeight="1" x14ac:dyDescent="0.15">
      <c r="A34" s="10"/>
      <c r="B34" s="13"/>
      <c r="C34" s="13"/>
    </row>
    <row r="35" spans="1:3" ht="15.75" customHeight="1" x14ac:dyDescent="0.15">
      <c r="A35" s="10"/>
      <c r="B35" s="13"/>
      <c r="C35" s="13"/>
    </row>
    <row r="36" spans="1:3" ht="15.75" customHeight="1" x14ac:dyDescent="0.15">
      <c r="A36" s="10"/>
      <c r="B36" s="13"/>
      <c r="C36" s="13"/>
    </row>
    <row r="37" spans="1:3" ht="15.75" customHeight="1" x14ac:dyDescent="0.15">
      <c r="A37" s="10"/>
      <c r="B37" s="13"/>
      <c r="C37" s="13"/>
    </row>
    <row r="38" spans="1:3" ht="15.75" customHeight="1" x14ac:dyDescent="0.15">
      <c r="A38" s="10"/>
      <c r="B38" s="13"/>
      <c r="C38" s="13"/>
    </row>
    <row r="39" spans="1:3" ht="13" x14ac:dyDescent="0.15">
      <c r="A39" s="10"/>
      <c r="B39" s="13"/>
      <c r="C39" s="13"/>
    </row>
    <row r="40" spans="1:3" ht="13" x14ac:dyDescent="0.15">
      <c r="A40" s="10"/>
      <c r="B40" s="13"/>
      <c r="C40" s="13"/>
    </row>
    <row r="41" spans="1:3" ht="13" x14ac:dyDescent="0.15">
      <c r="A41" s="10"/>
      <c r="B41" s="13"/>
      <c r="C41" s="13"/>
    </row>
    <row r="42" spans="1:3" ht="13" x14ac:dyDescent="0.15">
      <c r="A42" s="10"/>
      <c r="B42" s="13"/>
      <c r="C42" s="13"/>
    </row>
    <row r="43" spans="1:3" ht="13" x14ac:dyDescent="0.15">
      <c r="A43" s="10"/>
      <c r="B43" s="13"/>
      <c r="C43" s="13"/>
    </row>
    <row r="44" spans="1:3" ht="13" x14ac:dyDescent="0.15">
      <c r="A44" s="10"/>
      <c r="B44" s="13"/>
      <c r="C44" s="13"/>
    </row>
    <row r="45" spans="1:3" ht="13" x14ac:dyDescent="0.15">
      <c r="A45" s="10"/>
      <c r="B45" s="13"/>
      <c r="C45" s="13"/>
    </row>
    <row r="46" spans="1:3" ht="13" x14ac:dyDescent="0.15">
      <c r="A46" s="10"/>
      <c r="B46" s="13"/>
      <c r="C46" s="13"/>
    </row>
    <row r="47" spans="1:3" ht="13" x14ac:dyDescent="0.15">
      <c r="A47" s="10"/>
      <c r="B47" s="13"/>
      <c r="C47" s="13"/>
    </row>
    <row r="48" spans="1:3" ht="13" x14ac:dyDescent="0.15">
      <c r="A48" s="10"/>
      <c r="B48" s="13"/>
      <c r="C48" s="13"/>
    </row>
    <row r="49" spans="1:3" ht="13" x14ac:dyDescent="0.15">
      <c r="A49" s="10"/>
      <c r="B49" s="13"/>
      <c r="C49" s="13"/>
    </row>
    <row r="50" spans="1:3" ht="13" x14ac:dyDescent="0.15">
      <c r="A50" s="10"/>
      <c r="B50" s="13"/>
      <c r="C50" s="13"/>
    </row>
    <row r="51" spans="1:3" ht="13" x14ac:dyDescent="0.15">
      <c r="A51" s="10"/>
      <c r="B51" s="13"/>
      <c r="C51" s="13"/>
    </row>
    <row r="52" spans="1:3" ht="13" x14ac:dyDescent="0.15">
      <c r="A52" s="10"/>
      <c r="B52" s="13"/>
      <c r="C52" s="13"/>
    </row>
    <row r="53" spans="1:3" ht="13" x14ac:dyDescent="0.15">
      <c r="A53" s="10"/>
      <c r="B53" s="13"/>
      <c r="C53" s="13"/>
    </row>
    <row r="54" spans="1:3" ht="13" x14ac:dyDescent="0.15">
      <c r="A54" s="10"/>
      <c r="B54" s="13"/>
      <c r="C54" s="13"/>
    </row>
    <row r="55" spans="1:3" ht="13" x14ac:dyDescent="0.15">
      <c r="A55" s="10"/>
      <c r="B55" s="13"/>
      <c r="C55" s="13"/>
    </row>
    <row r="56" spans="1:3" ht="13" x14ac:dyDescent="0.15">
      <c r="A56" s="10"/>
      <c r="B56" s="13"/>
      <c r="C56" s="13"/>
    </row>
    <row r="57" spans="1:3" ht="13" x14ac:dyDescent="0.15">
      <c r="A57" s="10"/>
      <c r="B57" s="13"/>
      <c r="C57" s="13"/>
    </row>
    <row r="58" spans="1:3" ht="13" x14ac:dyDescent="0.15">
      <c r="A58" s="10"/>
      <c r="B58" s="13"/>
      <c r="C58" s="13"/>
    </row>
    <row r="59" spans="1:3" ht="13" x14ac:dyDescent="0.15">
      <c r="A59" s="10"/>
      <c r="B59" s="13"/>
      <c r="C59" s="13"/>
    </row>
    <row r="60" spans="1:3" ht="13" x14ac:dyDescent="0.15">
      <c r="A60" s="10"/>
      <c r="B60" s="13"/>
      <c r="C60" s="13"/>
    </row>
    <row r="61" spans="1:3" ht="13" x14ac:dyDescent="0.15">
      <c r="A61" s="10"/>
      <c r="B61" s="13"/>
      <c r="C61" s="13"/>
    </row>
    <row r="62" spans="1:3" ht="13" x14ac:dyDescent="0.15">
      <c r="A62" s="10"/>
      <c r="B62" s="13"/>
      <c r="C62" s="13"/>
    </row>
    <row r="63" spans="1:3" ht="13" x14ac:dyDescent="0.15">
      <c r="A63" s="10"/>
      <c r="B63" s="13"/>
      <c r="C63" s="13"/>
    </row>
    <row r="64" spans="1:3" ht="13" x14ac:dyDescent="0.15">
      <c r="A64" s="10"/>
      <c r="B64" s="13"/>
      <c r="C64" s="13"/>
    </row>
    <row r="65" spans="1:3" ht="13" x14ac:dyDescent="0.15">
      <c r="A65" s="10"/>
      <c r="B65" s="13"/>
      <c r="C65" s="13"/>
    </row>
    <row r="66" spans="1:3" ht="13" x14ac:dyDescent="0.15">
      <c r="A66" s="10"/>
      <c r="B66" s="13"/>
      <c r="C66" s="13"/>
    </row>
    <row r="67" spans="1:3" ht="13" x14ac:dyDescent="0.15">
      <c r="A67" s="10"/>
      <c r="B67" s="13"/>
      <c r="C67" s="13"/>
    </row>
    <row r="68" spans="1:3" ht="13" x14ac:dyDescent="0.15">
      <c r="A68" s="10"/>
      <c r="B68" s="13"/>
      <c r="C68" s="13"/>
    </row>
    <row r="69" spans="1:3" ht="13" x14ac:dyDescent="0.15">
      <c r="A69" s="10"/>
      <c r="B69" s="13"/>
      <c r="C69" s="13"/>
    </row>
    <row r="70" spans="1:3" ht="13" x14ac:dyDescent="0.15">
      <c r="A70" s="10"/>
      <c r="B70" s="13"/>
      <c r="C70" s="13"/>
    </row>
    <row r="71" spans="1:3" ht="13" x14ac:dyDescent="0.15">
      <c r="A71" s="10"/>
      <c r="B71" s="13"/>
      <c r="C71" s="13"/>
    </row>
    <row r="72" spans="1:3" ht="13" x14ac:dyDescent="0.15">
      <c r="A72" s="10"/>
      <c r="B72" s="13"/>
      <c r="C72" s="13"/>
    </row>
    <row r="73" spans="1:3" ht="13" x14ac:dyDescent="0.15">
      <c r="A73" s="10"/>
      <c r="B73" s="13"/>
      <c r="C73" s="13"/>
    </row>
    <row r="74" spans="1:3" ht="13" x14ac:dyDescent="0.15">
      <c r="A74" s="10"/>
      <c r="B74" s="13"/>
      <c r="C74" s="13"/>
    </row>
    <row r="75" spans="1:3" ht="13" x14ac:dyDescent="0.15">
      <c r="A75" s="10"/>
      <c r="B75" s="13"/>
      <c r="C75" s="13"/>
    </row>
    <row r="76" spans="1:3" ht="13" x14ac:dyDescent="0.15">
      <c r="A76" s="10"/>
      <c r="B76" s="13"/>
      <c r="C76" s="13"/>
    </row>
    <row r="77" spans="1:3" ht="13" x14ac:dyDescent="0.15">
      <c r="A77" s="10"/>
      <c r="B77" s="13"/>
      <c r="C77" s="13"/>
    </row>
    <row r="78" spans="1:3" ht="13" x14ac:dyDescent="0.15">
      <c r="A78" s="10"/>
      <c r="B78" s="13"/>
      <c r="C78" s="13"/>
    </row>
    <row r="79" spans="1:3" ht="13" x14ac:dyDescent="0.15">
      <c r="A79" s="10"/>
      <c r="B79" s="13"/>
      <c r="C79" s="13"/>
    </row>
    <row r="80" spans="1:3" ht="13" x14ac:dyDescent="0.15">
      <c r="A80" s="10"/>
      <c r="B80" s="13"/>
      <c r="C80" s="13"/>
    </row>
    <row r="81" spans="1:3" ht="13" x14ac:dyDescent="0.15">
      <c r="A81" s="10"/>
      <c r="B81" s="13"/>
      <c r="C81" s="13"/>
    </row>
    <row r="82" spans="1:3" ht="13" x14ac:dyDescent="0.15">
      <c r="A82" s="10"/>
      <c r="B82" s="13"/>
      <c r="C82" s="13"/>
    </row>
    <row r="83" spans="1:3" ht="13" x14ac:dyDescent="0.15">
      <c r="A83" s="10"/>
      <c r="B83" s="13"/>
      <c r="C83" s="13"/>
    </row>
    <row r="84" spans="1:3" ht="13" x14ac:dyDescent="0.15">
      <c r="A84" s="10"/>
      <c r="B84" s="13"/>
      <c r="C84" s="13"/>
    </row>
    <row r="85" spans="1:3" ht="13" x14ac:dyDescent="0.15">
      <c r="A85" s="10"/>
      <c r="B85" s="13"/>
      <c r="C85" s="13"/>
    </row>
    <row r="86" spans="1:3" ht="13" x14ac:dyDescent="0.15">
      <c r="A86" s="10"/>
      <c r="B86" s="13"/>
      <c r="C86" s="13"/>
    </row>
    <row r="87" spans="1:3" ht="13" x14ac:dyDescent="0.15">
      <c r="A87" s="10"/>
      <c r="B87" s="13"/>
      <c r="C87" s="13"/>
    </row>
    <row r="88" spans="1:3" ht="13" x14ac:dyDescent="0.15">
      <c r="A88" s="10"/>
      <c r="B88" s="13"/>
      <c r="C88" s="13"/>
    </row>
    <row r="89" spans="1:3" ht="13" x14ac:dyDescent="0.15">
      <c r="A89" s="10"/>
      <c r="B89" s="13"/>
      <c r="C89" s="13"/>
    </row>
    <row r="90" spans="1:3" ht="13" x14ac:dyDescent="0.15">
      <c r="A90" s="10"/>
      <c r="B90" s="13"/>
      <c r="C90" s="13"/>
    </row>
    <row r="91" spans="1:3" ht="13" x14ac:dyDescent="0.15">
      <c r="A91" s="10"/>
      <c r="B91" s="13"/>
      <c r="C91" s="13"/>
    </row>
    <row r="92" spans="1:3" ht="13" x14ac:dyDescent="0.15">
      <c r="A92" s="10"/>
      <c r="B92" s="13"/>
      <c r="C92" s="13"/>
    </row>
    <row r="93" spans="1:3" ht="13" x14ac:dyDescent="0.15">
      <c r="A93" s="10"/>
      <c r="B93" s="13"/>
      <c r="C93" s="13"/>
    </row>
    <row r="94" spans="1:3" ht="13" x14ac:dyDescent="0.15">
      <c r="A94" s="10"/>
      <c r="B94" s="13"/>
      <c r="C94" s="13"/>
    </row>
    <row r="95" spans="1:3" ht="13" x14ac:dyDescent="0.15">
      <c r="A95" s="10"/>
      <c r="B95" s="13"/>
      <c r="C95" s="13"/>
    </row>
    <row r="96" spans="1:3" ht="13" x14ac:dyDescent="0.15">
      <c r="A96" s="10"/>
      <c r="B96" s="13"/>
      <c r="C96" s="13"/>
    </row>
    <row r="97" spans="1:3" ht="13" x14ac:dyDescent="0.15">
      <c r="A97" s="10"/>
      <c r="B97" s="13"/>
      <c r="C97" s="13"/>
    </row>
    <row r="98" spans="1:3" ht="13" x14ac:dyDescent="0.15">
      <c r="A98" s="10"/>
      <c r="B98" s="13"/>
      <c r="C98" s="13"/>
    </row>
    <row r="99" spans="1:3" ht="13" x14ac:dyDescent="0.15">
      <c r="A99" s="10"/>
      <c r="B99" s="13"/>
      <c r="C99" s="13"/>
    </row>
    <row r="100" spans="1:3" ht="13" x14ac:dyDescent="0.15">
      <c r="A100" s="10"/>
      <c r="B100" s="13"/>
      <c r="C100" s="13"/>
    </row>
    <row r="101" spans="1:3" ht="13" x14ac:dyDescent="0.15">
      <c r="A101" s="10"/>
      <c r="B101" s="13"/>
      <c r="C101" s="13"/>
    </row>
    <row r="102" spans="1:3" ht="13" x14ac:dyDescent="0.15">
      <c r="A102" s="10"/>
      <c r="B102" s="13"/>
      <c r="C102" s="13"/>
    </row>
    <row r="103" spans="1:3" ht="13" x14ac:dyDescent="0.15">
      <c r="A103" s="10"/>
      <c r="B103" s="13"/>
      <c r="C103" s="13"/>
    </row>
    <row r="104" spans="1:3" ht="13" x14ac:dyDescent="0.15">
      <c r="A104" s="10"/>
      <c r="B104" s="13"/>
      <c r="C104" s="13"/>
    </row>
    <row r="105" spans="1:3" ht="13" x14ac:dyDescent="0.15">
      <c r="A105" s="10"/>
      <c r="B105" s="13"/>
      <c r="C105" s="13"/>
    </row>
    <row r="106" spans="1:3" ht="13" x14ac:dyDescent="0.15">
      <c r="A106" s="10"/>
      <c r="B106" s="13"/>
      <c r="C106" s="13"/>
    </row>
    <row r="107" spans="1:3" ht="13" x14ac:dyDescent="0.15">
      <c r="A107" s="10"/>
      <c r="B107" s="13"/>
      <c r="C107" s="13"/>
    </row>
    <row r="108" spans="1:3" ht="13" x14ac:dyDescent="0.15">
      <c r="A108" s="10"/>
      <c r="B108" s="13"/>
      <c r="C108" s="13"/>
    </row>
    <row r="109" spans="1:3" ht="13" x14ac:dyDescent="0.15">
      <c r="A109" s="10"/>
      <c r="B109" s="13"/>
      <c r="C109" s="13"/>
    </row>
    <row r="110" spans="1:3" ht="13" x14ac:dyDescent="0.15">
      <c r="A110" s="10"/>
      <c r="B110" s="13"/>
      <c r="C110" s="13"/>
    </row>
    <row r="111" spans="1:3" ht="13" x14ac:dyDescent="0.15">
      <c r="A111" s="10"/>
      <c r="B111" s="13"/>
      <c r="C111" s="13"/>
    </row>
    <row r="112" spans="1:3" ht="13" x14ac:dyDescent="0.15">
      <c r="A112" s="10"/>
      <c r="B112" s="13"/>
      <c r="C112" s="13"/>
    </row>
    <row r="113" spans="1:3" ht="13" x14ac:dyDescent="0.15">
      <c r="A113" s="10"/>
      <c r="B113" s="13"/>
      <c r="C113" s="13"/>
    </row>
    <row r="114" spans="1:3" ht="13" x14ac:dyDescent="0.15">
      <c r="A114" s="10"/>
      <c r="B114" s="13"/>
      <c r="C114" s="13"/>
    </row>
    <row r="115" spans="1:3" ht="13" x14ac:dyDescent="0.15">
      <c r="A115" s="10"/>
      <c r="B115" s="13"/>
      <c r="C115" s="13"/>
    </row>
    <row r="116" spans="1:3" ht="13" x14ac:dyDescent="0.15">
      <c r="A116" s="10"/>
      <c r="B116" s="13"/>
      <c r="C116" s="13"/>
    </row>
    <row r="117" spans="1:3" ht="13" x14ac:dyDescent="0.15">
      <c r="A117" s="10"/>
      <c r="B117" s="13"/>
      <c r="C117" s="13"/>
    </row>
    <row r="118" spans="1:3" ht="13" x14ac:dyDescent="0.15">
      <c r="A118" s="10"/>
      <c r="B118" s="13"/>
      <c r="C118" s="13"/>
    </row>
    <row r="119" spans="1:3" ht="13" x14ac:dyDescent="0.15">
      <c r="A119" s="10"/>
      <c r="B119" s="13"/>
      <c r="C119" s="13"/>
    </row>
    <row r="120" spans="1:3" ht="13" x14ac:dyDescent="0.15">
      <c r="A120" s="10"/>
      <c r="B120" s="13"/>
      <c r="C120" s="13"/>
    </row>
    <row r="121" spans="1:3" ht="13" x14ac:dyDescent="0.15">
      <c r="A121" s="10"/>
      <c r="B121" s="13"/>
      <c r="C121" s="13"/>
    </row>
    <row r="122" spans="1:3" ht="13" x14ac:dyDescent="0.15">
      <c r="A122" s="10"/>
      <c r="B122" s="13"/>
      <c r="C122" s="13"/>
    </row>
    <row r="123" spans="1:3" ht="13" x14ac:dyDescent="0.15">
      <c r="A123" s="10"/>
      <c r="B123" s="13"/>
      <c r="C123" s="13"/>
    </row>
    <row r="124" spans="1:3" ht="13" x14ac:dyDescent="0.15">
      <c r="A124" s="10"/>
      <c r="B124" s="13"/>
      <c r="C124" s="13"/>
    </row>
    <row r="125" spans="1:3" ht="13" x14ac:dyDescent="0.15">
      <c r="A125" s="10"/>
      <c r="B125" s="13"/>
      <c r="C125" s="13"/>
    </row>
    <row r="126" spans="1:3" ht="13" x14ac:dyDescent="0.15">
      <c r="A126" s="10"/>
      <c r="B126" s="13"/>
      <c r="C126" s="13"/>
    </row>
    <row r="127" spans="1:3" ht="13" x14ac:dyDescent="0.15">
      <c r="A127" s="10"/>
      <c r="B127" s="13"/>
      <c r="C127" s="13"/>
    </row>
    <row r="128" spans="1:3" ht="13" x14ac:dyDescent="0.15">
      <c r="A128" s="10"/>
      <c r="B128" s="13"/>
      <c r="C128" s="13"/>
    </row>
    <row r="129" spans="1:3" ht="13" x14ac:dyDescent="0.15">
      <c r="A129" s="10"/>
      <c r="B129" s="13"/>
      <c r="C129" s="13"/>
    </row>
    <row r="130" spans="1:3" ht="13" x14ac:dyDescent="0.15">
      <c r="A130" s="10"/>
      <c r="B130" s="13"/>
      <c r="C130" s="13"/>
    </row>
    <row r="131" spans="1:3" ht="13" x14ac:dyDescent="0.15">
      <c r="A131" s="10"/>
      <c r="B131" s="13"/>
      <c r="C131" s="13"/>
    </row>
    <row r="132" spans="1:3" ht="13" x14ac:dyDescent="0.15">
      <c r="A132" s="10"/>
      <c r="B132" s="13"/>
      <c r="C132" s="13"/>
    </row>
    <row r="133" spans="1:3" ht="13" x14ac:dyDescent="0.15">
      <c r="A133" s="10"/>
      <c r="B133" s="13"/>
      <c r="C133" s="13"/>
    </row>
    <row r="134" spans="1:3" ht="13" x14ac:dyDescent="0.15">
      <c r="A134" s="10"/>
      <c r="B134" s="13"/>
      <c r="C134" s="13"/>
    </row>
    <row r="135" spans="1:3" ht="13" x14ac:dyDescent="0.15">
      <c r="A135" s="10"/>
      <c r="B135" s="13"/>
      <c r="C135" s="13"/>
    </row>
    <row r="136" spans="1:3" ht="13" x14ac:dyDescent="0.15">
      <c r="A136" s="10"/>
      <c r="B136" s="13"/>
      <c r="C136" s="13"/>
    </row>
    <row r="137" spans="1:3" ht="13" x14ac:dyDescent="0.15">
      <c r="A137" s="10"/>
      <c r="B137" s="13"/>
      <c r="C137" s="13"/>
    </row>
    <row r="138" spans="1:3" ht="13" x14ac:dyDescent="0.15">
      <c r="A138" s="10"/>
      <c r="B138" s="13"/>
      <c r="C138" s="13"/>
    </row>
    <row r="139" spans="1:3" ht="13" x14ac:dyDescent="0.15">
      <c r="A139" s="10"/>
      <c r="B139" s="13"/>
      <c r="C139" s="13"/>
    </row>
    <row r="140" spans="1:3" ht="13" x14ac:dyDescent="0.15">
      <c r="A140" s="10"/>
      <c r="B140" s="13"/>
      <c r="C140" s="13"/>
    </row>
    <row r="141" spans="1:3" ht="13" x14ac:dyDescent="0.15">
      <c r="A141" s="10"/>
      <c r="B141" s="13"/>
      <c r="C141" s="13"/>
    </row>
    <row r="142" spans="1:3" ht="13" x14ac:dyDescent="0.15">
      <c r="A142" s="10"/>
      <c r="B142" s="13"/>
      <c r="C142" s="13"/>
    </row>
    <row r="143" spans="1:3" ht="13" x14ac:dyDescent="0.15">
      <c r="A143" s="10"/>
      <c r="B143" s="13"/>
      <c r="C143" s="13"/>
    </row>
    <row r="144" spans="1:3" ht="13" x14ac:dyDescent="0.15">
      <c r="A144" s="10"/>
      <c r="B144" s="13"/>
      <c r="C144" s="13"/>
    </row>
    <row r="145" spans="1:3" ht="13" x14ac:dyDescent="0.15">
      <c r="A145" s="10"/>
      <c r="B145" s="13"/>
      <c r="C145" s="13"/>
    </row>
    <row r="146" spans="1:3" ht="13" x14ac:dyDescent="0.15">
      <c r="A146" s="10"/>
      <c r="B146" s="13"/>
      <c r="C146" s="13"/>
    </row>
    <row r="147" spans="1:3" ht="13" x14ac:dyDescent="0.15">
      <c r="A147" s="10"/>
      <c r="B147" s="13"/>
      <c r="C147" s="13"/>
    </row>
    <row r="148" spans="1:3" ht="13" x14ac:dyDescent="0.15">
      <c r="A148" s="10"/>
      <c r="B148" s="13"/>
      <c r="C148" s="13"/>
    </row>
    <row r="149" spans="1:3" ht="13" x14ac:dyDescent="0.15">
      <c r="A149" s="10"/>
      <c r="B149" s="13"/>
      <c r="C149" s="13"/>
    </row>
    <row r="150" spans="1:3" ht="13" x14ac:dyDescent="0.15">
      <c r="A150" s="10"/>
      <c r="B150" s="13"/>
      <c r="C150" s="13"/>
    </row>
    <row r="151" spans="1:3" ht="13" x14ac:dyDescent="0.15">
      <c r="A151" s="10"/>
      <c r="B151" s="13"/>
      <c r="C151" s="13"/>
    </row>
    <row r="152" spans="1:3" ht="13" x14ac:dyDescent="0.15">
      <c r="A152" s="10"/>
      <c r="B152" s="13"/>
      <c r="C152" s="13"/>
    </row>
    <row r="153" spans="1:3" ht="13" x14ac:dyDescent="0.15">
      <c r="A153" s="10"/>
      <c r="B153" s="13"/>
      <c r="C153" s="13"/>
    </row>
    <row r="154" spans="1:3" ht="13" x14ac:dyDescent="0.15">
      <c r="A154" s="10"/>
      <c r="B154" s="13"/>
      <c r="C154" s="13"/>
    </row>
    <row r="155" spans="1:3" ht="13" x14ac:dyDescent="0.15">
      <c r="A155" s="10"/>
      <c r="B155" s="13"/>
      <c r="C155" s="13"/>
    </row>
    <row r="156" spans="1:3" ht="13" x14ac:dyDescent="0.15">
      <c r="A156" s="10"/>
      <c r="B156" s="13"/>
      <c r="C156" s="13"/>
    </row>
    <row r="157" spans="1:3" ht="13" x14ac:dyDescent="0.15">
      <c r="A157" s="10"/>
      <c r="B157" s="13"/>
      <c r="C157" s="13"/>
    </row>
    <row r="158" spans="1:3" ht="13" x14ac:dyDescent="0.15">
      <c r="A158" s="10"/>
      <c r="B158" s="13"/>
      <c r="C158" s="13"/>
    </row>
    <row r="159" spans="1:3" ht="13" x14ac:dyDescent="0.15">
      <c r="A159" s="10"/>
      <c r="B159" s="13"/>
      <c r="C159" s="13"/>
    </row>
    <row r="160" spans="1:3" ht="13" x14ac:dyDescent="0.15">
      <c r="A160" s="10"/>
      <c r="B160" s="13"/>
      <c r="C160" s="13"/>
    </row>
    <row r="161" spans="1:3" ht="13" x14ac:dyDescent="0.15">
      <c r="A161" s="10"/>
      <c r="B161" s="13"/>
      <c r="C161" s="13"/>
    </row>
    <row r="162" spans="1:3" ht="13" x14ac:dyDescent="0.15">
      <c r="A162" s="10"/>
      <c r="B162" s="13"/>
      <c r="C162" s="13"/>
    </row>
    <row r="163" spans="1:3" ht="13" x14ac:dyDescent="0.15">
      <c r="A163" s="10"/>
      <c r="B163" s="13"/>
      <c r="C163" s="13"/>
    </row>
    <row r="164" spans="1:3" ht="13" x14ac:dyDescent="0.15">
      <c r="A164" s="10"/>
      <c r="B164" s="13"/>
      <c r="C164" s="13"/>
    </row>
    <row r="165" spans="1:3" ht="13" x14ac:dyDescent="0.15">
      <c r="A165" s="10"/>
      <c r="B165" s="13"/>
      <c r="C165" s="13"/>
    </row>
    <row r="166" spans="1:3" ht="13" x14ac:dyDescent="0.15">
      <c r="A166" s="10"/>
      <c r="B166" s="13"/>
      <c r="C166" s="13"/>
    </row>
    <row r="167" spans="1:3" ht="13" x14ac:dyDescent="0.15">
      <c r="A167" s="10"/>
      <c r="B167" s="13"/>
      <c r="C167" s="13"/>
    </row>
    <row r="168" spans="1:3" ht="13" x14ac:dyDescent="0.15">
      <c r="A168" s="10"/>
      <c r="B168" s="13"/>
      <c r="C168" s="13"/>
    </row>
    <row r="169" spans="1:3" ht="13" x14ac:dyDescent="0.15">
      <c r="A169" s="10"/>
      <c r="B169" s="13"/>
      <c r="C169" s="13"/>
    </row>
    <row r="170" spans="1:3" ht="13" x14ac:dyDescent="0.15">
      <c r="A170" s="10"/>
      <c r="B170" s="13"/>
      <c r="C170" s="13"/>
    </row>
    <row r="171" spans="1:3" ht="13" x14ac:dyDescent="0.15">
      <c r="A171" s="10"/>
      <c r="B171" s="13"/>
      <c r="C171" s="13"/>
    </row>
    <row r="172" spans="1:3" ht="13" x14ac:dyDescent="0.15">
      <c r="A172" s="10"/>
      <c r="B172" s="13"/>
      <c r="C172" s="13"/>
    </row>
    <row r="173" spans="1:3" ht="13" x14ac:dyDescent="0.15">
      <c r="A173" s="10"/>
      <c r="B173" s="13"/>
      <c r="C173" s="13"/>
    </row>
    <row r="174" spans="1:3" ht="13" x14ac:dyDescent="0.15">
      <c r="A174" s="10"/>
      <c r="B174" s="13"/>
      <c r="C174" s="13"/>
    </row>
    <row r="175" spans="1:3" ht="13" x14ac:dyDescent="0.15">
      <c r="A175" s="10"/>
      <c r="B175" s="13"/>
      <c r="C175" s="13"/>
    </row>
    <row r="176" spans="1:3" ht="13" x14ac:dyDescent="0.15">
      <c r="A176" s="10"/>
      <c r="B176" s="13"/>
      <c r="C176" s="13"/>
    </row>
    <row r="177" spans="1:3" ht="13" x14ac:dyDescent="0.15">
      <c r="A177" s="10"/>
      <c r="B177" s="13"/>
      <c r="C177" s="13"/>
    </row>
    <row r="178" spans="1:3" ht="13" x14ac:dyDescent="0.15">
      <c r="A178" s="10"/>
      <c r="B178" s="13"/>
      <c r="C178" s="13"/>
    </row>
    <row r="179" spans="1:3" ht="13" x14ac:dyDescent="0.15">
      <c r="A179" s="10"/>
      <c r="B179" s="13"/>
      <c r="C179" s="13"/>
    </row>
    <row r="180" spans="1:3" ht="13" x14ac:dyDescent="0.15">
      <c r="A180" s="10"/>
      <c r="B180" s="13"/>
      <c r="C180" s="13"/>
    </row>
    <row r="181" spans="1:3" ht="13" x14ac:dyDescent="0.15">
      <c r="A181" s="10"/>
      <c r="B181" s="13"/>
      <c r="C181" s="13"/>
    </row>
    <row r="182" spans="1:3" ht="13" x14ac:dyDescent="0.15">
      <c r="A182" s="10"/>
      <c r="B182" s="13"/>
      <c r="C182" s="13"/>
    </row>
    <row r="183" spans="1:3" ht="13" x14ac:dyDescent="0.15">
      <c r="A183" s="10"/>
      <c r="B183" s="13"/>
      <c r="C183" s="13"/>
    </row>
    <row r="184" spans="1:3" ht="13" x14ac:dyDescent="0.15">
      <c r="A184" s="10"/>
      <c r="B184" s="13"/>
      <c r="C184" s="13"/>
    </row>
    <row r="185" spans="1:3" ht="13" x14ac:dyDescent="0.15">
      <c r="A185" s="10"/>
      <c r="B185" s="13"/>
      <c r="C185" s="13"/>
    </row>
    <row r="186" spans="1:3" ht="13" x14ac:dyDescent="0.15">
      <c r="A186" s="10"/>
      <c r="B186" s="13"/>
      <c r="C186" s="13"/>
    </row>
    <row r="187" spans="1:3" ht="13" x14ac:dyDescent="0.15">
      <c r="A187" s="10"/>
      <c r="B187" s="13"/>
      <c r="C187" s="13"/>
    </row>
    <row r="188" spans="1:3" ht="13" x14ac:dyDescent="0.15">
      <c r="A188" s="10"/>
      <c r="B188" s="13"/>
      <c r="C188" s="13"/>
    </row>
    <row r="189" spans="1:3" ht="13" x14ac:dyDescent="0.15">
      <c r="A189" s="10"/>
      <c r="B189" s="13"/>
      <c r="C189" s="13"/>
    </row>
    <row r="190" spans="1:3" ht="13" x14ac:dyDescent="0.15">
      <c r="A190" s="10"/>
      <c r="B190" s="13"/>
      <c r="C190" s="13"/>
    </row>
    <row r="191" spans="1:3" ht="13" x14ac:dyDescent="0.15">
      <c r="A191" s="10"/>
      <c r="B191" s="13"/>
      <c r="C191" s="13"/>
    </row>
    <row r="192" spans="1:3" ht="13" x14ac:dyDescent="0.15">
      <c r="A192" s="10"/>
      <c r="B192" s="13"/>
      <c r="C192" s="13"/>
    </row>
    <row r="193" spans="1:3" ht="13" x14ac:dyDescent="0.15">
      <c r="A193" s="10"/>
      <c r="B193" s="13"/>
      <c r="C193" s="13"/>
    </row>
    <row r="194" spans="1:3" ht="13" x14ac:dyDescent="0.15">
      <c r="A194" s="10"/>
      <c r="B194" s="13"/>
      <c r="C194" s="13"/>
    </row>
    <row r="195" spans="1:3" ht="13" x14ac:dyDescent="0.15">
      <c r="A195" s="10"/>
      <c r="B195" s="13"/>
      <c r="C195" s="13"/>
    </row>
    <row r="196" spans="1:3" ht="13" x14ac:dyDescent="0.15">
      <c r="A196" s="10"/>
      <c r="B196" s="13"/>
      <c r="C196" s="13"/>
    </row>
    <row r="197" spans="1:3" ht="13" x14ac:dyDescent="0.15">
      <c r="A197" s="10"/>
      <c r="B197" s="13"/>
      <c r="C197" s="13"/>
    </row>
    <row r="198" spans="1:3" ht="13" x14ac:dyDescent="0.15">
      <c r="A198" s="10"/>
      <c r="B198" s="13"/>
      <c r="C198" s="13"/>
    </row>
    <row r="199" spans="1:3" ht="13" x14ac:dyDescent="0.15">
      <c r="A199" s="10"/>
      <c r="B199" s="13"/>
      <c r="C199" s="13"/>
    </row>
    <row r="200" spans="1:3" ht="13" x14ac:dyDescent="0.15">
      <c r="A200" s="10"/>
      <c r="B200" s="13"/>
      <c r="C200" s="13"/>
    </row>
    <row r="201" spans="1:3" ht="13" x14ac:dyDescent="0.15">
      <c r="A201" s="10"/>
      <c r="B201" s="13"/>
      <c r="C201" s="13"/>
    </row>
    <row r="202" spans="1:3" ht="13" x14ac:dyDescent="0.15">
      <c r="A202" s="10"/>
      <c r="B202" s="13"/>
      <c r="C202" s="13"/>
    </row>
    <row r="203" spans="1:3" ht="13" x14ac:dyDescent="0.15">
      <c r="A203" s="10"/>
      <c r="B203" s="13"/>
      <c r="C203" s="13"/>
    </row>
    <row r="204" spans="1:3" ht="13" x14ac:dyDescent="0.15">
      <c r="A204" s="10"/>
      <c r="B204" s="13"/>
      <c r="C204" s="13"/>
    </row>
    <row r="205" spans="1:3" ht="13" x14ac:dyDescent="0.15">
      <c r="A205" s="10"/>
      <c r="B205" s="13"/>
      <c r="C205" s="13"/>
    </row>
    <row r="206" spans="1:3" ht="13" x14ac:dyDescent="0.15">
      <c r="A206" s="10"/>
      <c r="B206" s="13"/>
      <c r="C206" s="13"/>
    </row>
    <row r="207" spans="1:3" ht="13" x14ac:dyDescent="0.15">
      <c r="A207" s="10"/>
      <c r="B207" s="13"/>
      <c r="C207" s="13"/>
    </row>
    <row r="208" spans="1:3" ht="13" x14ac:dyDescent="0.15">
      <c r="A208" s="10"/>
      <c r="B208" s="13"/>
      <c r="C208" s="13"/>
    </row>
    <row r="209" spans="1:3" ht="13" x14ac:dyDescent="0.15">
      <c r="A209" s="10"/>
      <c r="B209" s="13"/>
      <c r="C209" s="13"/>
    </row>
    <row r="210" spans="1:3" ht="13" x14ac:dyDescent="0.15">
      <c r="A210" s="10"/>
      <c r="B210" s="13"/>
      <c r="C210" s="13"/>
    </row>
    <row r="211" spans="1:3" ht="13" x14ac:dyDescent="0.15">
      <c r="A211" s="10"/>
      <c r="B211" s="13"/>
      <c r="C211" s="13"/>
    </row>
    <row r="212" spans="1:3" ht="13" x14ac:dyDescent="0.15">
      <c r="A212" s="10"/>
      <c r="B212" s="13"/>
      <c r="C212" s="13"/>
    </row>
    <row r="213" spans="1:3" ht="13" x14ac:dyDescent="0.15">
      <c r="A213" s="10"/>
      <c r="B213" s="13"/>
      <c r="C213" s="13"/>
    </row>
    <row r="214" spans="1:3" ht="13" x14ac:dyDescent="0.15">
      <c r="A214" s="10"/>
      <c r="B214" s="13"/>
      <c r="C214" s="13"/>
    </row>
    <row r="215" spans="1:3" ht="13" x14ac:dyDescent="0.15">
      <c r="A215" s="10"/>
      <c r="B215" s="13"/>
      <c r="C215" s="13"/>
    </row>
    <row r="216" spans="1:3" ht="13" x14ac:dyDescent="0.15">
      <c r="A216" s="10"/>
      <c r="B216" s="13"/>
      <c r="C216" s="13"/>
    </row>
    <row r="217" spans="1:3" ht="13" x14ac:dyDescent="0.15">
      <c r="A217" s="10"/>
      <c r="B217" s="13"/>
      <c r="C217" s="13"/>
    </row>
    <row r="218" spans="1:3" ht="13" x14ac:dyDescent="0.15">
      <c r="A218" s="10"/>
      <c r="B218" s="13"/>
      <c r="C218" s="13"/>
    </row>
    <row r="219" spans="1:3" ht="13" x14ac:dyDescent="0.15">
      <c r="A219" s="10"/>
      <c r="B219" s="13"/>
      <c r="C219" s="13"/>
    </row>
    <row r="220" spans="1:3" ht="13" x14ac:dyDescent="0.15">
      <c r="A220" s="10"/>
      <c r="B220" s="13"/>
      <c r="C220" s="13"/>
    </row>
    <row r="221" spans="1:3" ht="13" x14ac:dyDescent="0.15">
      <c r="A221" s="10"/>
      <c r="B221" s="13"/>
      <c r="C221" s="13"/>
    </row>
    <row r="222" spans="1:3" ht="13" x14ac:dyDescent="0.15">
      <c r="A222" s="10"/>
      <c r="B222" s="13"/>
      <c r="C222" s="13"/>
    </row>
    <row r="223" spans="1:3" ht="13" x14ac:dyDescent="0.15">
      <c r="A223" s="10"/>
      <c r="B223" s="13"/>
      <c r="C223" s="13"/>
    </row>
    <row r="224" spans="1:3" ht="13" x14ac:dyDescent="0.15">
      <c r="A224" s="10"/>
      <c r="B224" s="13"/>
      <c r="C224" s="13"/>
    </row>
    <row r="225" spans="1:3" ht="13" x14ac:dyDescent="0.15">
      <c r="A225" s="10"/>
      <c r="B225" s="13"/>
      <c r="C225" s="13"/>
    </row>
    <row r="226" spans="1:3" ht="13" x14ac:dyDescent="0.15">
      <c r="A226" s="10"/>
      <c r="B226" s="13"/>
      <c r="C226" s="13"/>
    </row>
    <row r="227" spans="1:3" ht="13" x14ac:dyDescent="0.15">
      <c r="A227" s="10"/>
      <c r="B227" s="13"/>
      <c r="C227" s="13"/>
    </row>
    <row r="228" spans="1:3" ht="13" x14ac:dyDescent="0.15">
      <c r="A228" s="10"/>
      <c r="B228" s="13"/>
      <c r="C228" s="13"/>
    </row>
    <row r="229" spans="1:3" ht="13" x14ac:dyDescent="0.15">
      <c r="A229" s="10"/>
      <c r="B229" s="13"/>
      <c r="C229" s="13"/>
    </row>
    <row r="230" spans="1:3" ht="13" x14ac:dyDescent="0.15">
      <c r="A230" s="10"/>
      <c r="B230" s="13"/>
      <c r="C230" s="13"/>
    </row>
    <row r="231" spans="1:3" ht="13" x14ac:dyDescent="0.15">
      <c r="A231" s="10"/>
      <c r="B231" s="13"/>
      <c r="C231" s="13"/>
    </row>
    <row r="232" spans="1:3" ht="13" x14ac:dyDescent="0.15">
      <c r="A232" s="10"/>
      <c r="B232" s="13"/>
      <c r="C232" s="13"/>
    </row>
    <row r="233" spans="1:3" ht="13" x14ac:dyDescent="0.15">
      <c r="A233" s="10"/>
      <c r="B233" s="13"/>
      <c r="C233" s="13"/>
    </row>
    <row r="234" spans="1:3" ht="13" x14ac:dyDescent="0.15">
      <c r="A234" s="10"/>
      <c r="B234" s="13"/>
      <c r="C234" s="13"/>
    </row>
    <row r="235" spans="1:3" ht="13" x14ac:dyDescent="0.15">
      <c r="A235" s="10"/>
      <c r="B235" s="13"/>
      <c r="C235" s="13"/>
    </row>
    <row r="236" spans="1:3" ht="13" x14ac:dyDescent="0.15">
      <c r="A236" s="10"/>
      <c r="B236" s="13"/>
      <c r="C236" s="13"/>
    </row>
    <row r="237" spans="1:3" ht="13" x14ac:dyDescent="0.15">
      <c r="A237" s="10"/>
      <c r="B237" s="13"/>
      <c r="C237" s="13"/>
    </row>
    <row r="238" spans="1:3" ht="13" x14ac:dyDescent="0.15">
      <c r="A238" s="10"/>
      <c r="B238" s="13"/>
      <c r="C238" s="13"/>
    </row>
    <row r="239" spans="1:3" ht="13" x14ac:dyDescent="0.15">
      <c r="A239" s="10"/>
      <c r="B239" s="13"/>
      <c r="C239" s="13"/>
    </row>
    <row r="240" spans="1:3" ht="13" x14ac:dyDescent="0.15">
      <c r="A240" s="10"/>
      <c r="B240" s="13"/>
      <c r="C240" s="13"/>
    </row>
    <row r="241" spans="1:3" ht="13" x14ac:dyDescent="0.15">
      <c r="A241" s="10"/>
      <c r="B241" s="13"/>
      <c r="C241" s="13"/>
    </row>
    <row r="242" spans="1:3" ht="13" x14ac:dyDescent="0.15">
      <c r="A242" s="10"/>
      <c r="B242" s="13"/>
      <c r="C242" s="13"/>
    </row>
    <row r="243" spans="1:3" ht="13" x14ac:dyDescent="0.15">
      <c r="A243" s="10"/>
      <c r="B243" s="13"/>
      <c r="C243" s="13"/>
    </row>
    <row r="244" spans="1:3" ht="13" x14ac:dyDescent="0.15">
      <c r="A244" s="10"/>
      <c r="B244" s="13"/>
      <c r="C244" s="13"/>
    </row>
    <row r="245" spans="1:3" ht="13" x14ac:dyDescent="0.15">
      <c r="A245" s="10"/>
      <c r="B245" s="13"/>
      <c r="C245" s="13"/>
    </row>
    <row r="246" spans="1:3" ht="13" x14ac:dyDescent="0.15">
      <c r="A246" s="10"/>
      <c r="B246" s="13"/>
      <c r="C246" s="13"/>
    </row>
    <row r="247" spans="1:3" ht="13" x14ac:dyDescent="0.15">
      <c r="A247" s="10"/>
      <c r="B247" s="13"/>
      <c r="C247" s="13"/>
    </row>
    <row r="248" spans="1:3" ht="13" x14ac:dyDescent="0.15">
      <c r="A248" s="10"/>
      <c r="B248" s="13"/>
      <c r="C248" s="13"/>
    </row>
    <row r="249" spans="1:3" ht="13" x14ac:dyDescent="0.15">
      <c r="A249" s="10"/>
      <c r="B249" s="13"/>
      <c r="C249" s="13"/>
    </row>
    <row r="250" spans="1:3" ht="13" x14ac:dyDescent="0.15">
      <c r="A250" s="10"/>
      <c r="B250" s="13"/>
      <c r="C250" s="13"/>
    </row>
    <row r="251" spans="1:3" ht="13" x14ac:dyDescent="0.15">
      <c r="A251" s="10"/>
      <c r="B251" s="13"/>
      <c r="C251" s="13"/>
    </row>
    <row r="252" spans="1:3" ht="13" x14ac:dyDescent="0.15">
      <c r="A252" s="10"/>
      <c r="B252" s="13"/>
      <c r="C252" s="13"/>
    </row>
    <row r="253" spans="1:3" ht="13" x14ac:dyDescent="0.15">
      <c r="A253" s="10"/>
      <c r="B253" s="13"/>
      <c r="C253" s="13"/>
    </row>
    <row r="254" spans="1:3" ht="13" x14ac:dyDescent="0.15">
      <c r="A254" s="10"/>
      <c r="B254" s="13"/>
      <c r="C254" s="13"/>
    </row>
    <row r="255" spans="1:3" ht="13" x14ac:dyDescent="0.15">
      <c r="A255" s="10"/>
      <c r="B255" s="13"/>
      <c r="C255" s="13"/>
    </row>
    <row r="256" spans="1:3" ht="13" x14ac:dyDescent="0.15">
      <c r="A256" s="10"/>
      <c r="B256" s="13"/>
      <c r="C256" s="13"/>
    </row>
    <row r="257" spans="1:3" ht="13" x14ac:dyDescent="0.15">
      <c r="A257" s="10"/>
      <c r="B257" s="13"/>
      <c r="C257" s="13"/>
    </row>
    <row r="258" spans="1:3" ht="13" x14ac:dyDescent="0.15">
      <c r="A258" s="10"/>
      <c r="B258" s="13"/>
      <c r="C258" s="13"/>
    </row>
    <row r="259" spans="1:3" ht="13" x14ac:dyDescent="0.15">
      <c r="A259" s="10"/>
      <c r="B259" s="13"/>
      <c r="C259" s="13"/>
    </row>
    <row r="260" spans="1:3" ht="13" x14ac:dyDescent="0.15">
      <c r="A260" s="10"/>
      <c r="B260" s="13"/>
      <c r="C260" s="13"/>
    </row>
    <row r="261" spans="1:3" ht="13" x14ac:dyDescent="0.15">
      <c r="A261" s="10"/>
      <c r="B261" s="13"/>
      <c r="C261" s="13"/>
    </row>
    <row r="262" spans="1:3" ht="13" x14ac:dyDescent="0.15">
      <c r="A262" s="10"/>
      <c r="B262" s="13"/>
      <c r="C262" s="13"/>
    </row>
    <row r="263" spans="1:3" ht="13" x14ac:dyDescent="0.15">
      <c r="A263" s="10"/>
      <c r="B263" s="13"/>
      <c r="C263" s="13"/>
    </row>
    <row r="264" spans="1:3" ht="13" x14ac:dyDescent="0.15">
      <c r="A264" s="10"/>
      <c r="B264" s="13"/>
      <c r="C264" s="13"/>
    </row>
    <row r="265" spans="1:3" ht="13" x14ac:dyDescent="0.15">
      <c r="A265" s="10"/>
      <c r="B265" s="13"/>
      <c r="C265" s="13"/>
    </row>
    <row r="266" spans="1:3" ht="13" x14ac:dyDescent="0.15">
      <c r="A266" s="10"/>
      <c r="B266" s="13"/>
      <c r="C266" s="13"/>
    </row>
    <row r="267" spans="1:3" ht="13" x14ac:dyDescent="0.15">
      <c r="A267" s="10"/>
      <c r="B267" s="13"/>
      <c r="C267" s="13"/>
    </row>
    <row r="268" spans="1:3" ht="13" x14ac:dyDescent="0.15">
      <c r="A268" s="10"/>
      <c r="B268" s="13"/>
      <c r="C268" s="13"/>
    </row>
    <row r="269" spans="1:3" ht="13" x14ac:dyDescent="0.15">
      <c r="A269" s="10"/>
      <c r="B269" s="13"/>
      <c r="C269" s="13"/>
    </row>
    <row r="270" spans="1:3" ht="13" x14ac:dyDescent="0.15">
      <c r="A270" s="10"/>
      <c r="B270" s="13"/>
      <c r="C270" s="13"/>
    </row>
    <row r="271" spans="1:3" ht="13" x14ac:dyDescent="0.15">
      <c r="A271" s="10"/>
      <c r="B271" s="13"/>
      <c r="C271" s="13"/>
    </row>
    <row r="272" spans="1:3" ht="13" x14ac:dyDescent="0.15">
      <c r="A272" s="10"/>
      <c r="B272" s="13"/>
      <c r="C272" s="13"/>
    </row>
    <row r="273" spans="1:3" ht="13" x14ac:dyDescent="0.15">
      <c r="A273" s="10"/>
      <c r="B273" s="13"/>
      <c r="C273" s="13"/>
    </row>
    <row r="274" spans="1:3" ht="13" x14ac:dyDescent="0.15">
      <c r="A274" s="10"/>
      <c r="B274" s="13"/>
      <c r="C274" s="13"/>
    </row>
    <row r="275" spans="1:3" ht="13" x14ac:dyDescent="0.15">
      <c r="A275" s="10"/>
      <c r="B275" s="13"/>
      <c r="C275" s="13"/>
    </row>
    <row r="276" spans="1:3" ht="13" x14ac:dyDescent="0.15">
      <c r="A276" s="10"/>
      <c r="B276" s="13"/>
      <c r="C276" s="13"/>
    </row>
    <row r="277" spans="1:3" ht="13" x14ac:dyDescent="0.15">
      <c r="A277" s="10"/>
      <c r="B277" s="13"/>
      <c r="C277" s="13"/>
    </row>
    <row r="278" spans="1:3" ht="13" x14ac:dyDescent="0.15">
      <c r="A278" s="10"/>
      <c r="B278" s="13"/>
      <c r="C278" s="13"/>
    </row>
    <row r="279" spans="1:3" ht="13" x14ac:dyDescent="0.15">
      <c r="A279" s="10"/>
      <c r="B279" s="13"/>
      <c r="C279" s="13"/>
    </row>
    <row r="280" spans="1:3" ht="13" x14ac:dyDescent="0.15">
      <c r="A280" s="10"/>
      <c r="B280" s="13"/>
      <c r="C280" s="13"/>
    </row>
    <row r="281" spans="1:3" ht="13" x14ac:dyDescent="0.15">
      <c r="A281" s="10"/>
      <c r="B281" s="13"/>
      <c r="C281" s="13"/>
    </row>
    <row r="282" spans="1:3" ht="13" x14ac:dyDescent="0.15">
      <c r="A282" s="10"/>
      <c r="B282" s="13"/>
      <c r="C282" s="13"/>
    </row>
    <row r="283" spans="1:3" ht="13" x14ac:dyDescent="0.15">
      <c r="A283" s="10"/>
      <c r="B283" s="13"/>
      <c r="C283" s="13"/>
    </row>
    <row r="284" spans="1:3" ht="13" x14ac:dyDescent="0.15">
      <c r="A284" s="10"/>
      <c r="B284" s="13"/>
      <c r="C284" s="13"/>
    </row>
    <row r="285" spans="1:3" ht="13" x14ac:dyDescent="0.15">
      <c r="A285" s="10"/>
      <c r="B285" s="13"/>
      <c r="C285" s="13"/>
    </row>
    <row r="286" spans="1:3" ht="13" x14ac:dyDescent="0.15">
      <c r="A286" s="10"/>
      <c r="B286" s="13"/>
      <c r="C286" s="13"/>
    </row>
    <row r="287" spans="1:3" ht="13" x14ac:dyDescent="0.15">
      <c r="A287" s="10"/>
      <c r="B287" s="13"/>
      <c r="C287" s="13"/>
    </row>
    <row r="288" spans="1:3" ht="13" x14ac:dyDescent="0.15">
      <c r="A288" s="10"/>
      <c r="B288" s="13"/>
      <c r="C288" s="13"/>
    </row>
    <row r="289" spans="1:3" ht="13" x14ac:dyDescent="0.15">
      <c r="A289" s="10"/>
      <c r="B289" s="13"/>
      <c r="C289" s="13"/>
    </row>
    <row r="290" spans="1:3" ht="13" x14ac:dyDescent="0.15">
      <c r="A290" s="10"/>
      <c r="B290" s="13"/>
      <c r="C290" s="13"/>
    </row>
    <row r="291" spans="1:3" ht="13" x14ac:dyDescent="0.15">
      <c r="A291" s="10"/>
      <c r="B291" s="13"/>
      <c r="C291" s="13"/>
    </row>
    <row r="292" spans="1:3" ht="13" x14ac:dyDescent="0.15">
      <c r="A292" s="10"/>
      <c r="B292" s="13"/>
      <c r="C292" s="13"/>
    </row>
    <row r="293" spans="1:3" ht="13" x14ac:dyDescent="0.15">
      <c r="A293" s="10"/>
      <c r="B293" s="13"/>
      <c r="C293" s="13"/>
    </row>
    <row r="294" spans="1:3" ht="13" x14ac:dyDescent="0.15">
      <c r="A294" s="10"/>
      <c r="B294" s="13"/>
      <c r="C294" s="13"/>
    </row>
    <row r="295" spans="1:3" ht="13" x14ac:dyDescent="0.15">
      <c r="A295" s="10"/>
      <c r="B295" s="13"/>
      <c r="C295" s="13"/>
    </row>
    <row r="296" spans="1:3" ht="13" x14ac:dyDescent="0.15">
      <c r="A296" s="10"/>
      <c r="B296" s="13"/>
      <c r="C296" s="13"/>
    </row>
    <row r="297" spans="1:3" ht="13" x14ac:dyDescent="0.15">
      <c r="A297" s="10"/>
      <c r="B297" s="13"/>
      <c r="C297" s="13"/>
    </row>
    <row r="298" spans="1:3" ht="13" x14ac:dyDescent="0.15">
      <c r="A298" s="10"/>
      <c r="B298" s="13"/>
      <c r="C298" s="13"/>
    </row>
    <row r="299" spans="1:3" ht="13" x14ac:dyDescent="0.15">
      <c r="A299" s="10"/>
      <c r="B299" s="13"/>
      <c r="C299" s="13"/>
    </row>
    <row r="300" spans="1:3" ht="13" x14ac:dyDescent="0.15">
      <c r="A300" s="10"/>
      <c r="B300" s="13"/>
      <c r="C300" s="13"/>
    </row>
    <row r="301" spans="1:3" ht="13" x14ac:dyDescent="0.15">
      <c r="A301" s="10"/>
      <c r="B301" s="13"/>
      <c r="C301" s="13"/>
    </row>
    <row r="302" spans="1:3" ht="13" x14ac:dyDescent="0.15">
      <c r="A302" s="10"/>
      <c r="B302" s="13"/>
      <c r="C302" s="13"/>
    </row>
    <row r="303" spans="1:3" ht="13" x14ac:dyDescent="0.15">
      <c r="A303" s="10"/>
      <c r="B303" s="13"/>
      <c r="C303" s="13"/>
    </row>
    <row r="304" spans="1:3" ht="13" x14ac:dyDescent="0.15">
      <c r="A304" s="10"/>
      <c r="B304" s="13"/>
      <c r="C304" s="13"/>
    </row>
    <row r="305" spans="1:3" ht="13" x14ac:dyDescent="0.15">
      <c r="A305" s="10"/>
      <c r="B305" s="13"/>
      <c r="C305" s="13"/>
    </row>
    <row r="306" spans="1:3" ht="13" x14ac:dyDescent="0.15">
      <c r="A306" s="10"/>
      <c r="B306" s="13"/>
      <c r="C306" s="13"/>
    </row>
    <row r="307" spans="1:3" ht="13" x14ac:dyDescent="0.15">
      <c r="A307" s="10"/>
      <c r="B307" s="13"/>
      <c r="C307" s="13"/>
    </row>
    <row r="308" spans="1:3" ht="13" x14ac:dyDescent="0.15">
      <c r="A308" s="10"/>
      <c r="B308" s="13"/>
      <c r="C308" s="13"/>
    </row>
    <row r="309" spans="1:3" ht="13" x14ac:dyDescent="0.15">
      <c r="A309" s="10"/>
      <c r="B309" s="13"/>
      <c r="C309" s="13"/>
    </row>
    <row r="310" spans="1:3" ht="13" x14ac:dyDescent="0.15">
      <c r="A310" s="10"/>
      <c r="B310" s="13"/>
      <c r="C310" s="13"/>
    </row>
    <row r="311" spans="1:3" ht="13" x14ac:dyDescent="0.15">
      <c r="A311" s="10"/>
      <c r="B311" s="13"/>
      <c r="C311" s="13"/>
    </row>
    <row r="312" spans="1:3" ht="13" x14ac:dyDescent="0.15">
      <c r="A312" s="10"/>
      <c r="B312" s="13"/>
      <c r="C312" s="13"/>
    </row>
    <row r="313" spans="1:3" ht="13" x14ac:dyDescent="0.15">
      <c r="A313" s="10"/>
      <c r="B313" s="13"/>
      <c r="C313" s="13"/>
    </row>
    <row r="314" spans="1:3" ht="13" x14ac:dyDescent="0.15">
      <c r="A314" s="10"/>
      <c r="B314" s="13"/>
      <c r="C314" s="13"/>
    </row>
    <row r="315" spans="1:3" ht="13" x14ac:dyDescent="0.15">
      <c r="A315" s="10"/>
      <c r="B315" s="13"/>
      <c r="C315" s="13"/>
    </row>
    <row r="316" spans="1:3" ht="13" x14ac:dyDescent="0.15">
      <c r="A316" s="10"/>
      <c r="B316" s="13"/>
      <c r="C316" s="13"/>
    </row>
    <row r="317" spans="1:3" ht="13" x14ac:dyDescent="0.15">
      <c r="A317" s="10"/>
      <c r="B317" s="13"/>
      <c r="C317" s="13"/>
    </row>
    <row r="318" spans="1:3" ht="13" x14ac:dyDescent="0.15">
      <c r="A318" s="10"/>
      <c r="B318" s="13"/>
      <c r="C318" s="13"/>
    </row>
    <row r="319" spans="1:3" ht="13" x14ac:dyDescent="0.15">
      <c r="A319" s="10"/>
      <c r="B319" s="13"/>
      <c r="C319" s="13"/>
    </row>
    <row r="320" spans="1:3" ht="13" x14ac:dyDescent="0.15">
      <c r="A320" s="10"/>
      <c r="B320" s="13"/>
      <c r="C320" s="13"/>
    </row>
    <row r="321" spans="1:3" ht="13" x14ac:dyDescent="0.15">
      <c r="A321" s="10"/>
      <c r="B321" s="13"/>
      <c r="C321" s="13"/>
    </row>
    <row r="322" spans="1:3" ht="13" x14ac:dyDescent="0.15">
      <c r="A322" s="10"/>
      <c r="B322" s="13"/>
      <c r="C322" s="13"/>
    </row>
    <row r="323" spans="1:3" ht="13" x14ac:dyDescent="0.15">
      <c r="A323" s="10"/>
      <c r="B323" s="13"/>
      <c r="C323" s="13"/>
    </row>
    <row r="324" spans="1:3" ht="13" x14ac:dyDescent="0.15">
      <c r="A324" s="10"/>
      <c r="B324" s="13"/>
      <c r="C324" s="13"/>
    </row>
    <row r="325" spans="1:3" ht="13" x14ac:dyDescent="0.15">
      <c r="A325" s="10"/>
      <c r="B325" s="13"/>
      <c r="C325" s="13"/>
    </row>
    <row r="326" spans="1:3" ht="13" x14ac:dyDescent="0.15">
      <c r="A326" s="10"/>
      <c r="B326" s="13"/>
      <c r="C326" s="13"/>
    </row>
    <row r="327" spans="1:3" ht="13" x14ac:dyDescent="0.15">
      <c r="A327" s="10"/>
      <c r="B327" s="13"/>
      <c r="C327" s="13"/>
    </row>
    <row r="328" spans="1:3" ht="13" x14ac:dyDescent="0.15">
      <c r="A328" s="10"/>
      <c r="B328" s="13"/>
      <c r="C328" s="13"/>
    </row>
    <row r="329" spans="1:3" ht="13" x14ac:dyDescent="0.15">
      <c r="A329" s="10"/>
      <c r="B329" s="13"/>
      <c r="C329" s="13"/>
    </row>
    <row r="330" spans="1:3" ht="13" x14ac:dyDescent="0.15">
      <c r="A330" s="10"/>
      <c r="B330" s="13"/>
      <c r="C330" s="13"/>
    </row>
    <row r="331" spans="1:3" ht="13" x14ac:dyDescent="0.15">
      <c r="A331" s="10"/>
      <c r="B331" s="13"/>
      <c r="C331" s="13"/>
    </row>
    <row r="332" spans="1:3" ht="13" x14ac:dyDescent="0.15">
      <c r="A332" s="10"/>
      <c r="B332" s="13"/>
      <c r="C332" s="13"/>
    </row>
    <row r="333" spans="1:3" ht="13" x14ac:dyDescent="0.15">
      <c r="A333" s="10"/>
      <c r="B333" s="13"/>
      <c r="C333" s="13"/>
    </row>
    <row r="334" spans="1:3" ht="13" x14ac:dyDescent="0.15">
      <c r="A334" s="10"/>
      <c r="B334" s="13"/>
      <c r="C334" s="13"/>
    </row>
    <row r="335" spans="1:3" ht="13" x14ac:dyDescent="0.15">
      <c r="A335" s="10"/>
      <c r="B335" s="13"/>
      <c r="C335" s="13"/>
    </row>
    <row r="336" spans="1:3" ht="13" x14ac:dyDescent="0.15">
      <c r="A336" s="10"/>
      <c r="B336" s="13"/>
      <c r="C336" s="13"/>
    </row>
    <row r="337" spans="1:3" ht="13" x14ac:dyDescent="0.15">
      <c r="A337" s="10"/>
      <c r="B337" s="13"/>
      <c r="C337" s="13"/>
    </row>
    <row r="338" spans="1:3" ht="13" x14ac:dyDescent="0.15">
      <c r="A338" s="10"/>
      <c r="B338" s="13"/>
      <c r="C338" s="13"/>
    </row>
    <row r="339" spans="1:3" ht="13" x14ac:dyDescent="0.15">
      <c r="A339" s="10"/>
      <c r="B339" s="13"/>
      <c r="C339" s="13"/>
    </row>
    <row r="340" spans="1:3" ht="13" x14ac:dyDescent="0.15">
      <c r="A340" s="10"/>
      <c r="B340" s="13"/>
      <c r="C340" s="13"/>
    </row>
    <row r="341" spans="1:3" ht="13" x14ac:dyDescent="0.15">
      <c r="A341" s="10"/>
      <c r="B341" s="13"/>
      <c r="C341" s="13"/>
    </row>
    <row r="342" spans="1:3" ht="13" x14ac:dyDescent="0.15">
      <c r="A342" s="10"/>
      <c r="B342" s="13"/>
      <c r="C342" s="13"/>
    </row>
    <row r="343" spans="1:3" ht="13" x14ac:dyDescent="0.15">
      <c r="A343" s="10"/>
      <c r="B343" s="13"/>
      <c r="C343" s="13"/>
    </row>
    <row r="344" spans="1:3" ht="13" x14ac:dyDescent="0.15">
      <c r="A344" s="10"/>
      <c r="B344" s="13"/>
      <c r="C344" s="13"/>
    </row>
    <row r="345" spans="1:3" ht="13" x14ac:dyDescent="0.15">
      <c r="A345" s="10"/>
      <c r="B345" s="13"/>
      <c r="C345" s="13"/>
    </row>
    <row r="346" spans="1:3" ht="13" x14ac:dyDescent="0.15">
      <c r="A346" s="10"/>
      <c r="B346" s="13"/>
      <c r="C346" s="13"/>
    </row>
    <row r="347" spans="1:3" ht="13" x14ac:dyDescent="0.15">
      <c r="A347" s="10"/>
      <c r="B347" s="13"/>
      <c r="C347" s="13"/>
    </row>
    <row r="348" spans="1:3" ht="13" x14ac:dyDescent="0.15">
      <c r="A348" s="10"/>
      <c r="B348" s="13"/>
      <c r="C348" s="13"/>
    </row>
    <row r="349" spans="1:3" ht="13" x14ac:dyDescent="0.15">
      <c r="A349" s="10"/>
      <c r="B349" s="13"/>
      <c r="C349" s="13"/>
    </row>
    <row r="350" spans="1:3" ht="13" x14ac:dyDescent="0.15">
      <c r="A350" s="10"/>
      <c r="B350" s="13"/>
      <c r="C350" s="13"/>
    </row>
    <row r="351" spans="1:3" ht="13" x14ac:dyDescent="0.15">
      <c r="A351" s="10"/>
      <c r="B351" s="13"/>
      <c r="C351" s="13"/>
    </row>
    <row r="352" spans="1:3" ht="13" x14ac:dyDescent="0.15">
      <c r="A352" s="10"/>
      <c r="B352" s="13"/>
      <c r="C352" s="13"/>
    </row>
    <row r="353" spans="1:3" ht="13" x14ac:dyDescent="0.15">
      <c r="A353" s="10"/>
      <c r="B353" s="13"/>
      <c r="C353" s="13"/>
    </row>
    <row r="354" spans="1:3" ht="13" x14ac:dyDescent="0.15">
      <c r="A354" s="10"/>
      <c r="B354" s="13"/>
      <c r="C354" s="13"/>
    </row>
    <row r="355" spans="1:3" ht="13" x14ac:dyDescent="0.15">
      <c r="A355" s="10"/>
      <c r="B355" s="13"/>
      <c r="C355" s="13"/>
    </row>
    <row r="356" spans="1:3" ht="13" x14ac:dyDescent="0.15">
      <c r="A356" s="10"/>
      <c r="B356" s="13"/>
      <c r="C356" s="13"/>
    </row>
    <row r="357" spans="1:3" ht="13" x14ac:dyDescent="0.15">
      <c r="A357" s="10"/>
      <c r="B357" s="13"/>
      <c r="C357" s="13"/>
    </row>
    <row r="358" spans="1:3" ht="13" x14ac:dyDescent="0.15">
      <c r="A358" s="10"/>
      <c r="B358" s="13"/>
      <c r="C358" s="13"/>
    </row>
    <row r="359" spans="1:3" ht="13" x14ac:dyDescent="0.15">
      <c r="A359" s="10"/>
      <c r="B359" s="13"/>
      <c r="C359" s="13"/>
    </row>
    <row r="360" spans="1:3" ht="13" x14ac:dyDescent="0.15">
      <c r="A360" s="10"/>
      <c r="B360" s="13"/>
      <c r="C360" s="13"/>
    </row>
    <row r="361" spans="1:3" ht="13" x14ac:dyDescent="0.15">
      <c r="A361" s="10"/>
      <c r="B361" s="13"/>
      <c r="C361" s="13"/>
    </row>
    <row r="362" spans="1:3" ht="13" x14ac:dyDescent="0.15">
      <c r="A362" s="10"/>
      <c r="B362" s="13"/>
      <c r="C362" s="13"/>
    </row>
    <row r="363" spans="1:3" ht="13" x14ac:dyDescent="0.15">
      <c r="A363" s="10"/>
      <c r="B363" s="13"/>
      <c r="C363" s="13"/>
    </row>
    <row r="364" spans="1:3" ht="13" x14ac:dyDescent="0.15">
      <c r="A364" s="10"/>
      <c r="B364" s="13"/>
      <c r="C364" s="13"/>
    </row>
    <row r="365" spans="1:3" ht="13" x14ac:dyDescent="0.15">
      <c r="A365" s="10"/>
      <c r="B365" s="13"/>
      <c r="C365" s="13"/>
    </row>
    <row r="366" spans="1:3" ht="13" x14ac:dyDescent="0.15">
      <c r="A366" s="10"/>
      <c r="B366" s="13"/>
      <c r="C366" s="13"/>
    </row>
    <row r="367" spans="1:3" ht="13" x14ac:dyDescent="0.15">
      <c r="A367" s="10"/>
      <c r="B367" s="13"/>
      <c r="C367" s="13"/>
    </row>
    <row r="368" spans="1:3" ht="13" x14ac:dyDescent="0.15">
      <c r="A368" s="10"/>
      <c r="B368" s="13"/>
      <c r="C368" s="13"/>
    </row>
    <row r="369" spans="1:3" ht="13" x14ac:dyDescent="0.15">
      <c r="A369" s="10"/>
      <c r="B369" s="13"/>
      <c r="C369" s="13"/>
    </row>
    <row r="370" spans="1:3" ht="13" x14ac:dyDescent="0.15">
      <c r="A370" s="10"/>
      <c r="B370" s="13"/>
      <c r="C370" s="13"/>
    </row>
    <row r="371" spans="1:3" ht="13" x14ac:dyDescent="0.15">
      <c r="A371" s="10"/>
      <c r="B371" s="13"/>
      <c r="C371" s="13"/>
    </row>
    <row r="372" spans="1:3" ht="13" x14ac:dyDescent="0.15">
      <c r="A372" s="10"/>
      <c r="B372" s="13"/>
      <c r="C372" s="13"/>
    </row>
    <row r="373" spans="1:3" ht="13" x14ac:dyDescent="0.15">
      <c r="A373" s="10"/>
      <c r="B373" s="13"/>
      <c r="C373" s="13"/>
    </row>
    <row r="374" spans="1:3" ht="13" x14ac:dyDescent="0.15">
      <c r="A374" s="10"/>
      <c r="B374" s="13"/>
      <c r="C374" s="13"/>
    </row>
    <row r="375" spans="1:3" ht="13" x14ac:dyDescent="0.15">
      <c r="A375" s="10"/>
      <c r="B375" s="13"/>
      <c r="C375" s="13"/>
    </row>
    <row r="376" spans="1:3" ht="13" x14ac:dyDescent="0.15">
      <c r="A376" s="10"/>
      <c r="B376" s="13"/>
      <c r="C376" s="13"/>
    </row>
    <row r="377" spans="1:3" ht="13" x14ac:dyDescent="0.15">
      <c r="A377" s="10"/>
      <c r="B377" s="13"/>
      <c r="C377" s="13"/>
    </row>
    <row r="378" spans="1:3" ht="13" x14ac:dyDescent="0.15">
      <c r="A378" s="10"/>
      <c r="B378" s="13"/>
      <c r="C378" s="13"/>
    </row>
    <row r="379" spans="1:3" ht="13" x14ac:dyDescent="0.15">
      <c r="A379" s="10"/>
      <c r="B379" s="13"/>
      <c r="C379" s="13"/>
    </row>
    <row r="380" spans="1:3" ht="13" x14ac:dyDescent="0.15">
      <c r="A380" s="10"/>
      <c r="B380" s="13"/>
      <c r="C380" s="13"/>
    </row>
    <row r="381" spans="1:3" ht="13" x14ac:dyDescent="0.15">
      <c r="A381" s="10"/>
      <c r="B381" s="13"/>
      <c r="C381" s="13"/>
    </row>
    <row r="382" spans="1:3" ht="13" x14ac:dyDescent="0.15">
      <c r="A382" s="10"/>
      <c r="B382" s="13"/>
      <c r="C382" s="13"/>
    </row>
    <row r="383" spans="1:3" ht="13" x14ac:dyDescent="0.15">
      <c r="A383" s="10"/>
      <c r="B383" s="13"/>
      <c r="C383" s="13"/>
    </row>
    <row r="384" spans="1:3" ht="13" x14ac:dyDescent="0.15">
      <c r="A384" s="10"/>
      <c r="B384" s="13"/>
      <c r="C384" s="13"/>
    </row>
    <row r="385" spans="1:3" ht="13" x14ac:dyDescent="0.15">
      <c r="A385" s="10"/>
      <c r="B385" s="13"/>
      <c r="C385" s="13"/>
    </row>
    <row r="386" spans="1:3" ht="13" x14ac:dyDescent="0.15">
      <c r="A386" s="10"/>
      <c r="B386" s="13"/>
      <c r="C386" s="13"/>
    </row>
    <row r="387" spans="1:3" ht="13" x14ac:dyDescent="0.15">
      <c r="A387" s="10"/>
      <c r="B387" s="13"/>
      <c r="C387" s="13"/>
    </row>
    <row r="388" spans="1:3" ht="13" x14ac:dyDescent="0.15">
      <c r="A388" s="10"/>
      <c r="B388" s="13"/>
      <c r="C388" s="13"/>
    </row>
    <row r="389" spans="1:3" ht="13" x14ac:dyDescent="0.15">
      <c r="A389" s="10"/>
      <c r="B389" s="13"/>
      <c r="C389" s="13"/>
    </row>
    <row r="390" spans="1:3" ht="13" x14ac:dyDescent="0.15">
      <c r="A390" s="10"/>
      <c r="B390" s="13"/>
      <c r="C390" s="13"/>
    </row>
    <row r="391" spans="1:3" ht="13" x14ac:dyDescent="0.15">
      <c r="A391" s="10"/>
      <c r="B391" s="13"/>
      <c r="C391" s="13"/>
    </row>
    <row r="392" spans="1:3" ht="13" x14ac:dyDescent="0.15">
      <c r="A392" s="10"/>
      <c r="B392" s="13"/>
      <c r="C392" s="13"/>
    </row>
    <row r="393" spans="1:3" ht="13" x14ac:dyDescent="0.15">
      <c r="A393" s="10"/>
      <c r="B393" s="13"/>
      <c r="C393" s="13"/>
    </row>
    <row r="394" spans="1:3" ht="13" x14ac:dyDescent="0.15">
      <c r="A394" s="10"/>
      <c r="B394" s="13"/>
      <c r="C394" s="13"/>
    </row>
    <row r="395" spans="1:3" ht="13" x14ac:dyDescent="0.15">
      <c r="A395" s="10"/>
      <c r="B395" s="13"/>
      <c r="C395" s="13"/>
    </row>
    <row r="396" spans="1:3" ht="13" x14ac:dyDescent="0.15">
      <c r="A396" s="10"/>
      <c r="B396" s="13"/>
      <c r="C396" s="13"/>
    </row>
    <row r="397" spans="1:3" ht="13" x14ac:dyDescent="0.15">
      <c r="A397" s="10"/>
      <c r="B397" s="13"/>
      <c r="C397" s="13"/>
    </row>
    <row r="398" spans="1:3" ht="13" x14ac:dyDescent="0.15">
      <c r="A398" s="10"/>
      <c r="B398" s="13"/>
      <c r="C398" s="13"/>
    </row>
    <row r="399" spans="1:3" ht="13" x14ac:dyDescent="0.15">
      <c r="A399" s="10"/>
      <c r="B399" s="13"/>
      <c r="C399" s="13"/>
    </row>
    <row r="400" spans="1:3" ht="13" x14ac:dyDescent="0.15">
      <c r="A400" s="10"/>
      <c r="B400" s="13"/>
      <c r="C400" s="13"/>
    </row>
    <row r="401" spans="1:3" ht="13" x14ac:dyDescent="0.15">
      <c r="A401" s="10"/>
      <c r="B401" s="13"/>
      <c r="C401" s="13"/>
    </row>
    <row r="402" spans="1:3" ht="13" x14ac:dyDescent="0.15">
      <c r="A402" s="10"/>
      <c r="B402" s="13"/>
      <c r="C402" s="13"/>
    </row>
    <row r="403" spans="1:3" ht="13" x14ac:dyDescent="0.15">
      <c r="A403" s="10"/>
      <c r="B403" s="13"/>
      <c r="C403" s="13"/>
    </row>
    <row r="404" spans="1:3" ht="13" x14ac:dyDescent="0.15">
      <c r="A404" s="10"/>
      <c r="B404" s="13"/>
      <c r="C404" s="13"/>
    </row>
    <row r="405" spans="1:3" ht="13" x14ac:dyDescent="0.15">
      <c r="A405" s="10"/>
      <c r="B405" s="13"/>
      <c r="C405" s="13"/>
    </row>
    <row r="406" spans="1:3" ht="13" x14ac:dyDescent="0.15">
      <c r="A406" s="10"/>
      <c r="B406" s="13"/>
      <c r="C406" s="13"/>
    </row>
    <row r="407" spans="1:3" ht="13" x14ac:dyDescent="0.15">
      <c r="A407" s="10"/>
      <c r="B407" s="13"/>
      <c r="C407" s="13"/>
    </row>
    <row r="408" spans="1:3" ht="13" x14ac:dyDescent="0.15">
      <c r="A408" s="10"/>
      <c r="B408" s="13"/>
      <c r="C408" s="13"/>
    </row>
    <row r="409" spans="1:3" ht="13" x14ac:dyDescent="0.15">
      <c r="A409" s="10"/>
      <c r="B409" s="13"/>
      <c r="C409" s="13"/>
    </row>
    <row r="410" spans="1:3" ht="13" x14ac:dyDescent="0.15">
      <c r="A410" s="10"/>
      <c r="B410" s="13"/>
      <c r="C410" s="13"/>
    </row>
    <row r="411" spans="1:3" ht="13" x14ac:dyDescent="0.15">
      <c r="A411" s="10"/>
      <c r="B411" s="13"/>
      <c r="C411" s="13"/>
    </row>
    <row r="412" spans="1:3" ht="13" x14ac:dyDescent="0.15">
      <c r="A412" s="10"/>
      <c r="B412" s="13"/>
      <c r="C412" s="13"/>
    </row>
    <row r="413" spans="1:3" ht="13" x14ac:dyDescent="0.15">
      <c r="A413" s="10"/>
      <c r="B413" s="13"/>
      <c r="C413" s="13"/>
    </row>
    <row r="414" spans="1:3" ht="13" x14ac:dyDescent="0.15">
      <c r="A414" s="10"/>
      <c r="B414" s="13"/>
      <c r="C414" s="13"/>
    </row>
    <row r="415" spans="1:3" ht="13" x14ac:dyDescent="0.15">
      <c r="A415" s="10"/>
      <c r="B415" s="13"/>
      <c r="C415" s="13"/>
    </row>
    <row r="416" spans="1:3" ht="13" x14ac:dyDescent="0.15">
      <c r="A416" s="10"/>
      <c r="B416" s="13"/>
      <c r="C416" s="13"/>
    </row>
    <row r="417" spans="1:3" ht="13" x14ac:dyDescent="0.15">
      <c r="A417" s="10"/>
      <c r="B417" s="13"/>
      <c r="C417" s="13"/>
    </row>
    <row r="418" spans="1:3" ht="13" x14ac:dyDescent="0.15">
      <c r="A418" s="10"/>
      <c r="B418" s="13"/>
      <c r="C418" s="13"/>
    </row>
    <row r="419" spans="1:3" ht="13" x14ac:dyDescent="0.15">
      <c r="A419" s="10"/>
      <c r="B419" s="13"/>
      <c r="C419" s="13"/>
    </row>
    <row r="420" spans="1:3" ht="13" x14ac:dyDescent="0.15">
      <c r="A420" s="10"/>
      <c r="B420" s="13"/>
      <c r="C420" s="13"/>
    </row>
    <row r="421" spans="1:3" ht="13" x14ac:dyDescent="0.15">
      <c r="A421" s="10"/>
      <c r="B421" s="13"/>
      <c r="C421" s="13"/>
    </row>
    <row r="422" spans="1:3" ht="13" x14ac:dyDescent="0.15">
      <c r="A422" s="10"/>
      <c r="B422" s="13"/>
      <c r="C422" s="13"/>
    </row>
    <row r="423" spans="1:3" ht="13" x14ac:dyDescent="0.15">
      <c r="A423" s="10"/>
      <c r="B423" s="13"/>
      <c r="C423" s="13"/>
    </row>
    <row r="424" spans="1:3" ht="13" x14ac:dyDescent="0.15">
      <c r="A424" s="10"/>
      <c r="B424" s="13"/>
      <c r="C424" s="13"/>
    </row>
    <row r="425" spans="1:3" ht="13" x14ac:dyDescent="0.15">
      <c r="A425" s="10"/>
      <c r="B425" s="13"/>
      <c r="C425" s="13"/>
    </row>
    <row r="426" spans="1:3" ht="13" x14ac:dyDescent="0.15">
      <c r="A426" s="10"/>
      <c r="B426" s="13"/>
      <c r="C426" s="13"/>
    </row>
    <row r="427" spans="1:3" ht="13" x14ac:dyDescent="0.15">
      <c r="A427" s="10"/>
      <c r="B427" s="13"/>
      <c r="C427" s="13"/>
    </row>
    <row r="428" spans="1:3" ht="13" x14ac:dyDescent="0.15">
      <c r="A428" s="10"/>
      <c r="B428" s="13"/>
      <c r="C428" s="13"/>
    </row>
    <row r="429" spans="1:3" ht="13" x14ac:dyDescent="0.15">
      <c r="A429" s="10"/>
      <c r="B429" s="13"/>
      <c r="C429" s="13"/>
    </row>
    <row r="430" spans="1:3" ht="13" x14ac:dyDescent="0.15">
      <c r="A430" s="10"/>
      <c r="B430" s="13"/>
      <c r="C430" s="13"/>
    </row>
    <row r="431" spans="1:3" ht="13" x14ac:dyDescent="0.15">
      <c r="A431" s="10"/>
      <c r="B431" s="13"/>
      <c r="C431" s="13"/>
    </row>
    <row r="432" spans="1:3" ht="13" x14ac:dyDescent="0.15">
      <c r="A432" s="10"/>
      <c r="B432" s="13"/>
      <c r="C432" s="13"/>
    </row>
    <row r="433" spans="1:3" ht="13" x14ac:dyDescent="0.15">
      <c r="A433" s="10"/>
      <c r="B433" s="13"/>
      <c r="C433" s="13"/>
    </row>
    <row r="434" spans="1:3" ht="13" x14ac:dyDescent="0.15">
      <c r="A434" s="10"/>
      <c r="B434" s="13"/>
      <c r="C434" s="13"/>
    </row>
    <row r="435" spans="1:3" ht="13" x14ac:dyDescent="0.15">
      <c r="A435" s="10"/>
      <c r="B435" s="13"/>
      <c r="C435" s="13"/>
    </row>
    <row r="436" spans="1:3" ht="13" x14ac:dyDescent="0.15">
      <c r="A436" s="10"/>
      <c r="B436" s="13"/>
      <c r="C436" s="13"/>
    </row>
    <row r="437" spans="1:3" ht="13" x14ac:dyDescent="0.15">
      <c r="A437" s="10"/>
      <c r="B437" s="13"/>
      <c r="C437" s="13"/>
    </row>
    <row r="438" spans="1:3" ht="13" x14ac:dyDescent="0.15">
      <c r="A438" s="10"/>
      <c r="B438" s="13"/>
      <c r="C438" s="13"/>
    </row>
    <row r="439" spans="1:3" ht="13" x14ac:dyDescent="0.15">
      <c r="A439" s="10"/>
      <c r="B439" s="13"/>
      <c r="C439" s="13"/>
    </row>
    <row r="440" spans="1:3" ht="13" x14ac:dyDescent="0.15">
      <c r="A440" s="10"/>
      <c r="B440" s="13"/>
      <c r="C440" s="13"/>
    </row>
    <row r="441" spans="1:3" ht="13" x14ac:dyDescent="0.15">
      <c r="A441" s="10"/>
      <c r="B441" s="13"/>
      <c r="C441" s="13"/>
    </row>
    <row r="442" spans="1:3" ht="13" x14ac:dyDescent="0.15">
      <c r="A442" s="10"/>
      <c r="B442" s="13"/>
      <c r="C442" s="13"/>
    </row>
    <row r="443" spans="1:3" ht="13" x14ac:dyDescent="0.15">
      <c r="A443" s="10"/>
      <c r="B443" s="13"/>
      <c r="C443" s="13"/>
    </row>
    <row r="444" spans="1:3" ht="13" x14ac:dyDescent="0.15">
      <c r="A444" s="10"/>
      <c r="B444" s="13"/>
      <c r="C444" s="13"/>
    </row>
    <row r="445" spans="1:3" ht="13" x14ac:dyDescent="0.15">
      <c r="A445" s="10"/>
      <c r="B445" s="13"/>
      <c r="C445" s="13"/>
    </row>
    <row r="446" spans="1:3" ht="13" x14ac:dyDescent="0.15">
      <c r="A446" s="10"/>
      <c r="B446" s="13"/>
      <c r="C446" s="13"/>
    </row>
    <row r="447" spans="1:3" ht="13" x14ac:dyDescent="0.15">
      <c r="A447" s="10"/>
      <c r="B447" s="13"/>
      <c r="C447" s="13"/>
    </row>
    <row r="448" spans="1:3" ht="13" x14ac:dyDescent="0.15">
      <c r="A448" s="10"/>
      <c r="B448" s="13"/>
      <c r="C448" s="13"/>
    </row>
    <row r="449" spans="1:3" ht="13" x14ac:dyDescent="0.15">
      <c r="A449" s="10"/>
      <c r="B449" s="13"/>
      <c r="C449" s="13"/>
    </row>
    <row r="450" spans="1:3" ht="13" x14ac:dyDescent="0.15">
      <c r="A450" s="10"/>
      <c r="B450" s="13"/>
      <c r="C450" s="13"/>
    </row>
    <row r="451" spans="1:3" ht="13" x14ac:dyDescent="0.15">
      <c r="A451" s="10"/>
      <c r="B451" s="13"/>
      <c r="C451" s="13"/>
    </row>
    <row r="452" spans="1:3" ht="13" x14ac:dyDescent="0.15">
      <c r="A452" s="10"/>
      <c r="B452" s="13"/>
      <c r="C452" s="13"/>
    </row>
    <row r="453" spans="1:3" ht="13" x14ac:dyDescent="0.15">
      <c r="A453" s="10"/>
      <c r="B453" s="13"/>
      <c r="C453" s="13"/>
    </row>
    <row r="454" spans="1:3" ht="13" x14ac:dyDescent="0.15">
      <c r="A454" s="10"/>
      <c r="B454" s="13"/>
      <c r="C454" s="13"/>
    </row>
    <row r="455" spans="1:3" ht="13" x14ac:dyDescent="0.15">
      <c r="A455" s="10"/>
      <c r="B455" s="13"/>
      <c r="C455" s="13"/>
    </row>
    <row r="456" spans="1:3" ht="13" x14ac:dyDescent="0.15">
      <c r="A456" s="10"/>
      <c r="B456" s="13"/>
      <c r="C456" s="13"/>
    </row>
    <row r="457" spans="1:3" ht="13" x14ac:dyDescent="0.15">
      <c r="A457" s="10"/>
      <c r="B457" s="13"/>
      <c r="C457" s="13"/>
    </row>
    <row r="458" spans="1:3" ht="13" x14ac:dyDescent="0.15">
      <c r="A458" s="10"/>
      <c r="B458" s="13"/>
      <c r="C458" s="13"/>
    </row>
    <row r="459" spans="1:3" ht="13" x14ac:dyDescent="0.15">
      <c r="A459" s="10"/>
      <c r="B459" s="13"/>
      <c r="C459" s="13"/>
    </row>
    <row r="460" spans="1:3" ht="13" x14ac:dyDescent="0.15">
      <c r="A460" s="10"/>
      <c r="B460" s="13"/>
      <c r="C460" s="13"/>
    </row>
    <row r="461" spans="1:3" ht="13" x14ac:dyDescent="0.15">
      <c r="A461" s="10"/>
      <c r="B461" s="13"/>
      <c r="C461" s="13"/>
    </row>
    <row r="462" spans="1:3" ht="13" x14ac:dyDescent="0.15">
      <c r="A462" s="10"/>
      <c r="B462" s="13"/>
      <c r="C462" s="13"/>
    </row>
    <row r="463" spans="1:3" ht="13" x14ac:dyDescent="0.15">
      <c r="A463" s="10"/>
      <c r="B463" s="13"/>
      <c r="C463" s="13"/>
    </row>
    <row r="464" spans="1:3" ht="13" x14ac:dyDescent="0.15">
      <c r="A464" s="10"/>
      <c r="B464" s="13"/>
      <c r="C464" s="13"/>
    </row>
    <row r="465" spans="1:3" ht="13" x14ac:dyDescent="0.15">
      <c r="A465" s="10"/>
      <c r="B465" s="13"/>
      <c r="C465" s="13"/>
    </row>
    <row r="466" spans="1:3" ht="13" x14ac:dyDescent="0.15">
      <c r="A466" s="10"/>
      <c r="B466" s="13"/>
      <c r="C466" s="13"/>
    </row>
    <row r="467" spans="1:3" ht="13" x14ac:dyDescent="0.15">
      <c r="A467" s="10"/>
      <c r="B467" s="13"/>
      <c r="C467" s="13"/>
    </row>
    <row r="468" spans="1:3" ht="13" x14ac:dyDescent="0.15">
      <c r="A468" s="10"/>
      <c r="B468" s="13"/>
      <c r="C468" s="13"/>
    </row>
    <row r="469" spans="1:3" ht="13" x14ac:dyDescent="0.15">
      <c r="A469" s="10"/>
      <c r="B469" s="13"/>
      <c r="C469" s="13"/>
    </row>
    <row r="470" spans="1:3" ht="13" x14ac:dyDescent="0.15">
      <c r="A470" s="10"/>
      <c r="B470" s="13"/>
      <c r="C470" s="13"/>
    </row>
    <row r="471" spans="1:3" ht="13" x14ac:dyDescent="0.15">
      <c r="A471" s="10"/>
      <c r="B471" s="13"/>
      <c r="C471" s="13"/>
    </row>
    <row r="472" spans="1:3" ht="13" x14ac:dyDescent="0.15">
      <c r="A472" s="10"/>
      <c r="B472" s="13"/>
      <c r="C472" s="13"/>
    </row>
    <row r="473" spans="1:3" ht="13" x14ac:dyDescent="0.15">
      <c r="A473" s="10"/>
      <c r="B473" s="13"/>
      <c r="C473" s="13"/>
    </row>
    <row r="474" spans="1:3" ht="13" x14ac:dyDescent="0.15">
      <c r="A474" s="10"/>
      <c r="B474" s="13"/>
      <c r="C474" s="13"/>
    </row>
    <row r="475" spans="1:3" ht="13" x14ac:dyDescent="0.15">
      <c r="A475" s="10"/>
      <c r="B475" s="13"/>
      <c r="C475" s="13"/>
    </row>
    <row r="476" spans="1:3" ht="13" x14ac:dyDescent="0.15">
      <c r="A476" s="10"/>
      <c r="B476" s="13"/>
      <c r="C476" s="13"/>
    </row>
    <row r="477" spans="1:3" ht="13" x14ac:dyDescent="0.15">
      <c r="A477" s="10"/>
      <c r="B477" s="13"/>
      <c r="C477" s="13"/>
    </row>
    <row r="478" spans="1:3" ht="13" x14ac:dyDescent="0.15">
      <c r="A478" s="10"/>
      <c r="B478" s="13"/>
      <c r="C478" s="13"/>
    </row>
    <row r="479" spans="1:3" ht="13" x14ac:dyDescent="0.15">
      <c r="A479" s="10"/>
      <c r="B479" s="13"/>
      <c r="C479" s="13"/>
    </row>
    <row r="480" spans="1:3" ht="13" x14ac:dyDescent="0.15">
      <c r="A480" s="10"/>
      <c r="B480" s="13"/>
      <c r="C480" s="13"/>
    </row>
    <row r="481" spans="1:3" ht="13" x14ac:dyDescent="0.15">
      <c r="A481" s="10"/>
      <c r="B481" s="13"/>
      <c r="C481" s="13"/>
    </row>
    <row r="482" spans="1:3" ht="13" x14ac:dyDescent="0.15">
      <c r="A482" s="10"/>
      <c r="B482" s="13"/>
      <c r="C482" s="13"/>
    </row>
    <row r="483" spans="1:3" ht="13" x14ac:dyDescent="0.15">
      <c r="A483" s="10"/>
      <c r="B483" s="13"/>
      <c r="C483" s="13"/>
    </row>
    <row r="484" spans="1:3" ht="13" x14ac:dyDescent="0.15">
      <c r="A484" s="10"/>
      <c r="B484" s="13"/>
      <c r="C484" s="13"/>
    </row>
    <row r="485" spans="1:3" ht="13" x14ac:dyDescent="0.15">
      <c r="A485" s="10"/>
      <c r="B485" s="13"/>
      <c r="C485" s="13"/>
    </row>
    <row r="486" spans="1:3" ht="13" x14ac:dyDescent="0.15">
      <c r="A486" s="10"/>
      <c r="B486" s="13"/>
      <c r="C486" s="13"/>
    </row>
    <row r="487" spans="1:3" ht="13" x14ac:dyDescent="0.15">
      <c r="A487" s="10"/>
      <c r="B487" s="13"/>
      <c r="C487" s="13"/>
    </row>
    <row r="488" spans="1:3" ht="13" x14ac:dyDescent="0.15">
      <c r="A488" s="10"/>
      <c r="B488" s="13"/>
      <c r="C488" s="13"/>
    </row>
    <row r="489" spans="1:3" ht="13" x14ac:dyDescent="0.15">
      <c r="A489" s="10"/>
      <c r="B489" s="13"/>
      <c r="C489" s="13"/>
    </row>
    <row r="490" spans="1:3" ht="13" x14ac:dyDescent="0.15">
      <c r="A490" s="10"/>
      <c r="B490" s="13"/>
      <c r="C490" s="13"/>
    </row>
    <row r="491" spans="1:3" ht="13" x14ac:dyDescent="0.15">
      <c r="A491" s="10"/>
      <c r="B491" s="13"/>
      <c r="C491" s="13"/>
    </row>
    <row r="492" spans="1:3" ht="13" x14ac:dyDescent="0.15">
      <c r="A492" s="10"/>
      <c r="B492" s="13"/>
      <c r="C492" s="13"/>
    </row>
    <row r="493" spans="1:3" ht="13" x14ac:dyDescent="0.15">
      <c r="A493" s="10"/>
      <c r="B493" s="13"/>
      <c r="C493" s="13"/>
    </row>
    <row r="494" spans="1:3" ht="13" x14ac:dyDescent="0.15">
      <c r="A494" s="10"/>
      <c r="B494" s="13"/>
      <c r="C494" s="13"/>
    </row>
    <row r="495" spans="1:3" ht="13" x14ac:dyDescent="0.15">
      <c r="A495" s="10"/>
      <c r="B495" s="13"/>
      <c r="C495" s="13"/>
    </row>
    <row r="496" spans="1:3" ht="13" x14ac:dyDescent="0.15">
      <c r="A496" s="10"/>
      <c r="B496" s="13"/>
      <c r="C496" s="13"/>
    </row>
    <row r="497" spans="1:3" ht="13" x14ac:dyDescent="0.15">
      <c r="A497" s="10"/>
      <c r="B497" s="13"/>
      <c r="C497" s="13"/>
    </row>
    <row r="498" spans="1:3" ht="13" x14ac:dyDescent="0.15">
      <c r="A498" s="10"/>
      <c r="B498" s="13"/>
      <c r="C498" s="13"/>
    </row>
    <row r="499" spans="1:3" ht="13" x14ac:dyDescent="0.15">
      <c r="A499" s="10"/>
      <c r="B499" s="13"/>
      <c r="C499" s="13"/>
    </row>
    <row r="500" spans="1:3" ht="13" x14ac:dyDescent="0.15">
      <c r="A500" s="10"/>
      <c r="B500" s="13"/>
      <c r="C500" s="13"/>
    </row>
    <row r="501" spans="1:3" ht="13" x14ac:dyDescent="0.15">
      <c r="A501" s="10"/>
      <c r="B501" s="13"/>
      <c r="C501" s="13"/>
    </row>
    <row r="502" spans="1:3" ht="13" x14ac:dyDescent="0.15">
      <c r="A502" s="10"/>
      <c r="B502" s="13"/>
      <c r="C502" s="13"/>
    </row>
    <row r="503" spans="1:3" ht="13" x14ac:dyDescent="0.15">
      <c r="A503" s="10"/>
      <c r="B503" s="13"/>
      <c r="C503" s="13"/>
    </row>
    <row r="504" spans="1:3" ht="13" x14ac:dyDescent="0.15">
      <c r="A504" s="10"/>
      <c r="B504" s="13"/>
      <c r="C504" s="13"/>
    </row>
    <row r="505" spans="1:3" ht="13" x14ac:dyDescent="0.15">
      <c r="A505" s="10"/>
      <c r="B505" s="13"/>
      <c r="C505" s="13"/>
    </row>
    <row r="506" spans="1:3" ht="13" x14ac:dyDescent="0.15">
      <c r="A506" s="10"/>
      <c r="B506" s="13"/>
      <c r="C506" s="13"/>
    </row>
    <row r="507" spans="1:3" ht="13" x14ac:dyDescent="0.15">
      <c r="A507" s="10"/>
      <c r="B507" s="13"/>
      <c r="C507" s="13"/>
    </row>
    <row r="508" spans="1:3" ht="13" x14ac:dyDescent="0.15">
      <c r="A508" s="10"/>
      <c r="B508" s="13"/>
      <c r="C508" s="13"/>
    </row>
    <row r="509" spans="1:3" ht="13" x14ac:dyDescent="0.15">
      <c r="A509" s="10"/>
      <c r="B509" s="13"/>
      <c r="C509" s="13"/>
    </row>
    <row r="510" spans="1:3" ht="13" x14ac:dyDescent="0.15">
      <c r="A510" s="10"/>
      <c r="B510" s="13"/>
      <c r="C510" s="13"/>
    </row>
    <row r="511" spans="1:3" ht="13" x14ac:dyDescent="0.15">
      <c r="A511" s="10"/>
      <c r="B511" s="13"/>
      <c r="C511" s="13"/>
    </row>
    <row r="512" spans="1:3" ht="13" x14ac:dyDescent="0.15">
      <c r="A512" s="10"/>
      <c r="B512" s="13"/>
      <c r="C512" s="13"/>
    </row>
    <row r="513" spans="1:3" ht="13" x14ac:dyDescent="0.15">
      <c r="A513" s="10"/>
      <c r="B513" s="13"/>
      <c r="C513" s="13"/>
    </row>
    <row r="514" spans="1:3" ht="13" x14ac:dyDescent="0.15">
      <c r="A514" s="10"/>
      <c r="B514" s="13"/>
      <c r="C514" s="13"/>
    </row>
    <row r="515" spans="1:3" ht="13" x14ac:dyDescent="0.15">
      <c r="A515" s="10"/>
      <c r="B515" s="13"/>
      <c r="C515" s="13"/>
    </row>
    <row r="516" spans="1:3" ht="13" x14ac:dyDescent="0.15">
      <c r="A516" s="10"/>
      <c r="B516" s="13"/>
      <c r="C516" s="13"/>
    </row>
    <row r="517" spans="1:3" ht="13" x14ac:dyDescent="0.15">
      <c r="A517" s="10"/>
      <c r="B517" s="13"/>
      <c r="C517" s="13"/>
    </row>
    <row r="518" spans="1:3" ht="13" x14ac:dyDescent="0.15">
      <c r="A518" s="10"/>
      <c r="B518" s="13"/>
      <c r="C518" s="13"/>
    </row>
    <row r="519" spans="1:3" ht="13" x14ac:dyDescent="0.15">
      <c r="A519" s="10"/>
      <c r="B519" s="13"/>
      <c r="C519" s="13"/>
    </row>
    <row r="520" spans="1:3" ht="13" x14ac:dyDescent="0.15">
      <c r="A520" s="10"/>
      <c r="B520" s="13"/>
      <c r="C520" s="13"/>
    </row>
    <row r="521" spans="1:3" ht="13" x14ac:dyDescent="0.15">
      <c r="A521" s="10"/>
      <c r="B521" s="13"/>
      <c r="C521" s="13"/>
    </row>
    <row r="522" spans="1:3" ht="13" x14ac:dyDescent="0.15">
      <c r="A522" s="10"/>
      <c r="B522" s="13"/>
      <c r="C522" s="13"/>
    </row>
    <row r="523" spans="1:3" ht="13" x14ac:dyDescent="0.15">
      <c r="A523" s="10"/>
      <c r="B523" s="13"/>
      <c r="C523" s="13"/>
    </row>
    <row r="524" spans="1:3" ht="13" x14ac:dyDescent="0.15">
      <c r="A524" s="10"/>
      <c r="B524" s="13"/>
      <c r="C524" s="13"/>
    </row>
    <row r="525" spans="1:3" ht="13" x14ac:dyDescent="0.15">
      <c r="A525" s="10"/>
      <c r="B525" s="13"/>
      <c r="C525" s="13"/>
    </row>
    <row r="526" spans="1:3" ht="13" x14ac:dyDescent="0.15">
      <c r="A526" s="10"/>
      <c r="B526" s="13"/>
      <c r="C526" s="13"/>
    </row>
    <row r="527" spans="1:3" ht="13" x14ac:dyDescent="0.15">
      <c r="A527" s="10"/>
      <c r="B527" s="13"/>
      <c r="C527" s="13"/>
    </row>
    <row r="528" spans="1:3" ht="13" x14ac:dyDescent="0.15">
      <c r="A528" s="10"/>
      <c r="B528" s="13"/>
      <c r="C528" s="13"/>
    </row>
    <row r="529" spans="1:3" ht="13" x14ac:dyDescent="0.15">
      <c r="A529" s="10"/>
      <c r="B529" s="13"/>
      <c r="C529" s="13"/>
    </row>
    <row r="530" spans="1:3" ht="13" x14ac:dyDescent="0.15">
      <c r="A530" s="10"/>
      <c r="B530" s="13"/>
      <c r="C530" s="13"/>
    </row>
    <row r="531" spans="1:3" ht="13" x14ac:dyDescent="0.15">
      <c r="A531" s="10"/>
      <c r="B531" s="13"/>
      <c r="C531" s="13"/>
    </row>
    <row r="532" spans="1:3" ht="13" x14ac:dyDescent="0.15">
      <c r="A532" s="10"/>
      <c r="B532" s="13"/>
      <c r="C532" s="13"/>
    </row>
    <row r="533" spans="1:3" ht="13" x14ac:dyDescent="0.15">
      <c r="A533" s="10"/>
      <c r="B533" s="13"/>
      <c r="C533" s="13"/>
    </row>
    <row r="534" spans="1:3" ht="13" x14ac:dyDescent="0.15">
      <c r="A534" s="10"/>
      <c r="B534" s="13"/>
      <c r="C534" s="13"/>
    </row>
    <row r="535" spans="1:3" ht="13" x14ac:dyDescent="0.15">
      <c r="A535" s="10"/>
      <c r="B535" s="13"/>
      <c r="C535" s="13"/>
    </row>
    <row r="536" spans="1:3" ht="13" x14ac:dyDescent="0.15">
      <c r="A536" s="10"/>
      <c r="B536" s="13"/>
      <c r="C536" s="13"/>
    </row>
    <row r="537" spans="1:3" ht="13" x14ac:dyDescent="0.15">
      <c r="A537" s="10"/>
      <c r="B537" s="13"/>
      <c r="C537" s="13"/>
    </row>
    <row r="538" spans="1:3" ht="13" x14ac:dyDescent="0.15">
      <c r="A538" s="10"/>
      <c r="B538" s="13"/>
      <c r="C538" s="13"/>
    </row>
    <row r="539" spans="1:3" ht="13" x14ac:dyDescent="0.15">
      <c r="A539" s="10"/>
      <c r="B539" s="13"/>
      <c r="C539" s="13"/>
    </row>
    <row r="540" spans="1:3" ht="13" x14ac:dyDescent="0.15">
      <c r="A540" s="10"/>
      <c r="B540" s="13"/>
      <c r="C540" s="13"/>
    </row>
    <row r="541" spans="1:3" ht="13" x14ac:dyDescent="0.15">
      <c r="A541" s="10"/>
      <c r="B541" s="13"/>
      <c r="C541" s="13"/>
    </row>
    <row r="542" spans="1:3" ht="13" x14ac:dyDescent="0.15">
      <c r="A542" s="10"/>
      <c r="B542" s="13"/>
      <c r="C542" s="13"/>
    </row>
    <row r="543" spans="1:3" ht="13" x14ac:dyDescent="0.15">
      <c r="A543" s="10"/>
      <c r="B543" s="13"/>
      <c r="C543" s="13"/>
    </row>
    <row r="544" spans="1:3" ht="13" x14ac:dyDescent="0.15">
      <c r="A544" s="10"/>
      <c r="B544" s="13"/>
      <c r="C544" s="13"/>
    </row>
    <row r="545" spans="1:3" ht="13" x14ac:dyDescent="0.15">
      <c r="A545" s="10"/>
      <c r="B545" s="13"/>
      <c r="C545" s="13"/>
    </row>
    <row r="546" spans="1:3" ht="13" x14ac:dyDescent="0.15">
      <c r="A546" s="10"/>
      <c r="B546" s="13"/>
      <c r="C546" s="13"/>
    </row>
    <row r="547" spans="1:3" ht="13" x14ac:dyDescent="0.15">
      <c r="A547" s="10"/>
      <c r="B547" s="13"/>
      <c r="C547" s="13"/>
    </row>
    <row r="548" spans="1:3" ht="13" x14ac:dyDescent="0.15">
      <c r="A548" s="10"/>
      <c r="B548" s="13"/>
      <c r="C548" s="13"/>
    </row>
    <row r="549" spans="1:3" ht="13" x14ac:dyDescent="0.15">
      <c r="A549" s="10"/>
      <c r="B549" s="13"/>
      <c r="C549" s="13"/>
    </row>
    <row r="550" spans="1:3" ht="13" x14ac:dyDescent="0.15">
      <c r="A550" s="10"/>
      <c r="B550" s="13"/>
      <c r="C550" s="13"/>
    </row>
    <row r="551" spans="1:3" ht="13" x14ac:dyDescent="0.15">
      <c r="A551" s="10"/>
      <c r="B551" s="13"/>
      <c r="C551" s="13"/>
    </row>
    <row r="552" spans="1:3" ht="13" x14ac:dyDescent="0.15">
      <c r="A552" s="10"/>
      <c r="B552" s="13"/>
      <c r="C552" s="13"/>
    </row>
    <row r="553" spans="1:3" ht="13" x14ac:dyDescent="0.15">
      <c r="A553" s="10"/>
      <c r="B553" s="13"/>
      <c r="C553" s="13"/>
    </row>
    <row r="554" spans="1:3" ht="13" x14ac:dyDescent="0.15">
      <c r="A554" s="10"/>
      <c r="B554" s="13"/>
      <c r="C554" s="13"/>
    </row>
    <row r="555" spans="1:3" ht="13" x14ac:dyDescent="0.15">
      <c r="A555" s="10"/>
      <c r="B555" s="13"/>
      <c r="C555" s="13"/>
    </row>
    <row r="556" spans="1:3" ht="13" x14ac:dyDescent="0.15">
      <c r="A556" s="10"/>
      <c r="B556" s="13"/>
      <c r="C556" s="13"/>
    </row>
    <row r="557" spans="1:3" ht="13" x14ac:dyDescent="0.15">
      <c r="A557" s="10"/>
      <c r="B557" s="13"/>
      <c r="C557" s="13"/>
    </row>
    <row r="558" spans="1:3" ht="13" x14ac:dyDescent="0.15">
      <c r="A558" s="10"/>
      <c r="B558" s="13"/>
      <c r="C558" s="13"/>
    </row>
    <row r="559" spans="1:3" ht="13" x14ac:dyDescent="0.15">
      <c r="A559" s="10"/>
      <c r="B559" s="13"/>
      <c r="C559" s="13"/>
    </row>
    <row r="560" spans="1:3" ht="13" x14ac:dyDescent="0.15">
      <c r="A560" s="10"/>
      <c r="B560" s="13"/>
      <c r="C560" s="13"/>
    </row>
    <row r="561" spans="1:3" ht="13" x14ac:dyDescent="0.15">
      <c r="A561" s="10"/>
      <c r="B561" s="13"/>
      <c r="C561" s="13"/>
    </row>
    <row r="562" spans="1:3" ht="13" x14ac:dyDescent="0.15">
      <c r="A562" s="10"/>
      <c r="B562" s="13"/>
      <c r="C562" s="13"/>
    </row>
    <row r="563" spans="1:3" ht="13" x14ac:dyDescent="0.15">
      <c r="A563" s="10"/>
      <c r="B563" s="13"/>
      <c r="C563" s="13"/>
    </row>
    <row r="564" spans="1:3" ht="13" x14ac:dyDescent="0.15">
      <c r="A564" s="10"/>
      <c r="B564" s="13"/>
      <c r="C564" s="13"/>
    </row>
    <row r="565" spans="1:3" ht="13" x14ac:dyDescent="0.15">
      <c r="A565" s="10"/>
      <c r="B565" s="13"/>
      <c r="C565" s="13"/>
    </row>
    <row r="566" spans="1:3" ht="13" x14ac:dyDescent="0.15">
      <c r="A566" s="10"/>
      <c r="B566" s="13"/>
      <c r="C566" s="13"/>
    </row>
    <row r="567" spans="1:3" ht="13" x14ac:dyDescent="0.15">
      <c r="A567" s="10"/>
      <c r="B567" s="13"/>
      <c r="C567" s="13"/>
    </row>
    <row r="568" spans="1:3" ht="13" x14ac:dyDescent="0.15">
      <c r="A568" s="10"/>
      <c r="B568" s="13"/>
      <c r="C568" s="13"/>
    </row>
    <row r="569" spans="1:3" ht="13" x14ac:dyDescent="0.15">
      <c r="A569" s="10"/>
      <c r="B569" s="13"/>
      <c r="C569" s="13"/>
    </row>
    <row r="570" spans="1:3" ht="13" x14ac:dyDescent="0.15">
      <c r="A570" s="10"/>
      <c r="B570" s="13"/>
      <c r="C570" s="13"/>
    </row>
    <row r="571" spans="1:3" ht="13" x14ac:dyDescent="0.15">
      <c r="A571" s="10"/>
      <c r="B571" s="13"/>
      <c r="C571" s="13"/>
    </row>
    <row r="572" spans="1:3" ht="13" x14ac:dyDescent="0.15">
      <c r="A572" s="10"/>
      <c r="B572" s="13"/>
      <c r="C572" s="13"/>
    </row>
    <row r="573" spans="1:3" ht="13" x14ac:dyDescent="0.15">
      <c r="A573" s="10"/>
      <c r="B573" s="13"/>
      <c r="C573" s="13"/>
    </row>
    <row r="574" spans="1:3" ht="13" x14ac:dyDescent="0.15">
      <c r="A574" s="10"/>
      <c r="B574" s="13"/>
      <c r="C574" s="13"/>
    </row>
    <row r="575" spans="1:3" ht="13" x14ac:dyDescent="0.15">
      <c r="A575" s="10"/>
      <c r="B575" s="13"/>
      <c r="C575" s="13"/>
    </row>
    <row r="576" spans="1:3" ht="13" x14ac:dyDescent="0.15">
      <c r="A576" s="10"/>
      <c r="B576" s="13"/>
      <c r="C576" s="13"/>
    </row>
    <row r="577" spans="1:3" ht="13" x14ac:dyDescent="0.15">
      <c r="A577" s="10"/>
      <c r="B577" s="13"/>
      <c r="C577" s="13"/>
    </row>
    <row r="578" spans="1:3" ht="13" x14ac:dyDescent="0.15">
      <c r="A578" s="10"/>
      <c r="B578" s="13"/>
      <c r="C578" s="13"/>
    </row>
    <row r="579" spans="1:3" ht="13" x14ac:dyDescent="0.15">
      <c r="A579" s="10"/>
      <c r="B579" s="13"/>
      <c r="C579" s="13"/>
    </row>
    <row r="580" spans="1:3" ht="13" x14ac:dyDescent="0.15">
      <c r="A580" s="10"/>
      <c r="B580" s="13"/>
      <c r="C580" s="13"/>
    </row>
    <row r="581" spans="1:3" ht="13" x14ac:dyDescent="0.15">
      <c r="A581" s="10"/>
      <c r="B581" s="13"/>
      <c r="C581" s="13"/>
    </row>
    <row r="582" spans="1:3" ht="13" x14ac:dyDescent="0.15">
      <c r="A582" s="10"/>
      <c r="B582" s="13"/>
      <c r="C582" s="13"/>
    </row>
    <row r="583" spans="1:3" ht="13" x14ac:dyDescent="0.15">
      <c r="A583" s="10"/>
      <c r="B583" s="13"/>
      <c r="C583" s="13"/>
    </row>
    <row r="584" spans="1:3" ht="13" x14ac:dyDescent="0.15">
      <c r="A584" s="10"/>
      <c r="B584" s="13"/>
      <c r="C584" s="13"/>
    </row>
    <row r="585" spans="1:3" ht="13" x14ac:dyDescent="0.15">
      <c r="A585" s="10"/>
      <c r="B585" s="13"/>
      <c r="C585" s="13"/>
    </row>
    <row r="586" spans="1:3" ht="13" x14ac:dyDescent="0.15">
      <c r="A586" s="10"/>
      <c r="B586" s="13"/>
      <c r="C586" s="13"/>
    </row>
    <row r="587" spans="1:3" ht="13" x14ac:dyDescent="0.15">
      <c r="A587" s="10"/>
      <c r="B587" s="13"/>
      <c r="C587" s="13"/>
    </row>
    <row r="588" spans="1:3" ht="13" x14ac:dyDescent="0.15">
      <c r="A588" s="10"/>
      <c r="B588" s="13"/>
      <c r="C588" s="13"/>
    </row>
    <row r="589" spans="1:3" ht="13" x14ac:dyDescent="0.15">
      <c r="A589" s="10"/>
      <c r="B589" s="13"/>
      <c r="C589" s="13"/>
    </row>
    <row r="590" spans="1:3" ht="13" x14ac:dyDescent="0.15">
      <c r="A590" s="10"/>
      <c r="B590" s="13"/>
      <c r="C590" s="13"/>
    </row>
    <row r="591" spans="1:3" ht="13" x14ac:dyDescent="0.15">
      <c r="A591" s="10"/>
      <c r="B591" s="13"/>
      <c r="C591" s="13"/>
    </row>
    <row r="592" spans="1:3" ht="13" x14ac:dyDescent="0.15">
      <c r="A592" s="10"/>
      <c r="B592" s="13"/>
      <c r="C592" s="13"/>
    </row>
    <row r="593" spans="1:3" ht="13" x14ac:dyDescent="0.15">
      <c r="A593" s="10"/>
      <c r="B593" s="13"/>
      <c r="C593" s="13"/>
    </row>
    <row r="594" spans="1:3" ht="13" x14ac:dyDescent="0.15">
      <c r="A594" s="10"/>
      <c r="B594" s="13"/>
      <c r="C594" s="13"/>
    </row>
    <row r="595" spans="1:3" ht="13" x14ac:dyDescent="0.15">
      <c r="A595" s="10"/>
      <c r="B595" s="13"/>
      <c r="C595" s="13"/>
    </row>
    <row r="596" spans="1:3" ht="13" x14ac:dyDescent="0.15">
      <c r="A596" s="10"/>
      <c r="B596" s="13"/>
      <c r="C596" s="13"/>
    </row>
    <row r="597" spans="1:3" ht="13" x14ac:dyDescent="0.15">
      <c r="A597" s="10"/>
      <c r="B597" s="13"/>
      <c r="C597" s="13"/>
    </row>
    <row r="598" spans="1:3" ht="13" x14ac:dyDescent="0.15">
      <c r="A598" s="10"/>
      <c r="B598" s="13"/>
      <c r="C598" s="13"/>
    </row>
    <row r="599" spans="1:3" ht="13" x14ac:dyDescent="0.15">
      <c r="A599" s="10"/>
      <c r="B599" s="13"/>
      <c r="C599" s="13"/>
    </row>
    <row r="600" spans="1:3" ht="13" x14ac:dyDescent="0.15">
      <c r="A600" s="10"/>
      <c r="B600" s="13"/>
      <c r="C600" s="13"/>
    </row>
    <row r="601" spans="1:3" ht="13" x14ac:dyDescent="0.15">
      <c r="A601" s="10"/>
      <c r="B601" s="13"/>
      <c r="C601" s="13"/>
    </row>
    <row r="602" spans="1:3" ht="13" x14ac:dyDescent="0.15">
      <c r="A602" s="10"/>
      <c r="B602" s="13"/>
      <c r="C602" s="13"/>
    </row>
    <row r="603" spans="1:3" ht="13" x14ac:dyDescent="0.15">
      <c r="A603" s="10"/>
      <c r="B603" s="13"/>
      <c r="C603" s="13"/>
    </row>
    <row r="604" spans="1:3" ht="13" x14ac:dyDescent="0.15">
      <c r="A604" s="10"/>
      <c r="B604" s="13"/>
      <c r="C604" s="13"/>
    </row>
    <row r="605" spans="1:3" ht="13" x14ac:dyDescent="0.15">
      <c r="A605" s="10"/>
      <c r="B605" s="13"/>
      <c r="C605" s="13"/>
    </row>
    <row r="606" spans="1:3" ht="13" x14ac:dyDescent="0.15">
      <c r="A606" s="10"/>
      <c r="B606" s="13"/>
      <c r="C606" s="13"/>
    </row>
    <row r="607" spans="1:3" ht="13" x14ac:dyDescent="0.15">
      <c r="A607" s="10"/>
      <c r="B607" s="13"/>
      <c r="C607" s="13"/>
    </row>
    <row r="608" spans="1:3" ht="13" x14ac:dyDescent="0.15">
      <c r="A608" s="10"/>
      <c r="B608" s="13"/>
      <c r="C608" s="13"/>
    </row>
    <row r="609" spans="1:3" ht="13" x14ac:dyDescent="0.15">
      <c r="A609" s="10"/>
      <c r="B609" s="13"/>
      <c r="C609" s="13"/>
    </row>
    <row r="610" spans="1:3" ht="13" x14ac:dyDescent="0.15">
      <c r="A610" s="10"/>
      <c r="B610" s="13"/>
      <c r="C610" s="13"/>
    </row>
    <row r="611" spans="1:3" ht="13" x14ac:dyDescent="0.15">
      <c r="A611" s="10"/>
      <c r="B611" s="13"/>
      <c r="C611" s="13"/>
    </row>
    <row r="612" spans="1:3" ht="13" x14ac:dyDescent="0.15">
      <c r="A612" s="10"/>
      <c r="B612" s="13"/>
      <c r="C612" s="13"/>
    </row>
    <row r="613" spans="1:3" ht="13" x14ac:dyDescent="0.15">
      <c r="A613" s="10"/>
      <c r="B613" s="13"/>
      <c r="C613" s="13"/>
    </row>
    <row r="614" spans="1:3" ht="13" x14ac:dyDescent="0.15">
      <c r="A614" s="10"/>
      <c r="B614" s="13"/>
      <c r="C614" s="13"/>
    </row>
    <row r="615" spans="1:3" ht="13" x14ac:dyDescent="0.15">
      <c r="A615" s="10"/>
      <c r="B615" s="13"/>
      <c r="C615" s="13"/>
    </row>
    <row r="616" spans="1:3" ht="13" x14ac:dyDescent="0.15">
      <c r="A616" s="10"/>
      <c r="B616" s="13"/>
      <c r="C616" s="13"/>
    </row>
    <row r="617" spans="1:3" ht="13" x14ac:dyDescent="0.15">
      <c r="A617" s="10"/>
      <c r="B617" s="13"/>
      <c r="C617" s="13"/>
    </row>
    <row r="618" spans="1:3" ht="13" x14ac:dyDescent="0.15">
      <c r="A618" s="10"/>
      <c r="B618" s="13"/>
      <c r="C618" s="13"/>
    </row>
    <row r="619" spans="1:3" ht="13" x14ac:dyDescent="0.15">
      <c r="A619" s="10"/>
      <c r="B619" s="13"/>
      <c r="C619" s="13"/>
    </row>
    <row r="620" spans="1:3" ht="13" x14ac:dyDescent="0.15">
      <c r="A620" s="10"/>
      <c r="B620" s="13"/>
      <c r="C620" s="13"/>
    </row>
    <row r="621" spans="1:3" ht="13" x14ac:dyDescent="0.15">
      <c r="A621" s="10"/>
      <c r="B621" s="13"/>
      <c r="C621" s="13"/>
    </row>
    <row r="622" spans="1:3" ht="13" x14ac:dyDescent="0.15">
      <c r="A622" s="10"/>
      <c r="B622" s="13"/>
      <c r="C622" s="13"/>
    </row>
    <row r="623" spans="1:3" ht="13" x14ac:dyDescent="0.15">
      <c r="A623" s="10"/>
      <c r="B623" s="13"/>
      <c r="C623" s="13"/>
    </row>
    <row r="624" spans="1:3" ht="13" x14ac:dyDescent="0.15">
      <c r="A624" s="10"/>
      <c r="B624" s="13"/>
      <c r="C624" s="13"/>
    </row>
    <row r="625" spans="1:3" ht="13" x14ac:dyDescent="0.15">
      <c r="A625" s="10"/>
      <c r="B625" s="13"/>
      <c r="C625" s="13"/>
    </row>
    <row r="626" spans="1:3" ht="13" x14ac:dyDescent="0.15">
      <c r="A626" s="10"/>
      <c r="B626" s="13"/>
      <c r="C626" s="13"/>
    </row>
    <row r="627" spans="1:3" ht="13" x14ac:dyDescent="0.15">
      <c r="A627" s="10"/>
      <c r="B627" s="13"/>
      <c r="C627" s="13"/>
    </row>
    <row r="628" spans="1:3" ht="13" x14ac:dyDescent="0.15">
      <c r="A628" s="10"/>
      <c r="B628" s="13"/>
      <c r="C628" s="13"/>
    </row>
    <row r="629" spans="1:3" ht="13" x14ac:dyDescent="0.15">
      <c r="A629" s="10"/>
      <c r="B629" s="13"/>
      <c r="C629" s="13"/>
    </row>
    <row r="630" spans="1:3" ht="13" x14ac:dyDescent="0.15">
      <c r="A630" s="10"/>
      <c r="B630" s="13"/>
      <c r="C630" s="13"/>
    </row>
    <row r="631" spans="1:3" ht="13" x14ac:dyDescent="0.15">
      <c r="A631" s="10"/>
      <c r="B631" s="13"/>
      <c r="C631" s="13"/>
    </row>
    <row r="632" spans="1:3" ht="13" x14ac:dyDescent="0.15">
      <c r="A632" s="10"/>
      <c r="B632" s="13"/>
      <c r="C632" s="13"/>
    </row>
    <row r="633" spans="1:3" ht="13" x14ac:dyDescent="0.15">
      <c r="A633" s="10"/>
      <c r="B633" s="13"/>
      <c r="C633" s="13"/>
    </row>
    <row r="634" spans="1:3" ht="13" x14ac:dyDescent="0.15">
      <c r="A634" s="10"/>
      <c r="B634" s="13"/>
      <c r="C634" s="13"/>
    </row>
    <row r="635" spans="1:3" ht="13" x14ac:dyDescent="0.15">
      <c r="A635" s="10"/>
      <c r="B635" s="13"/>
      <c r="C635" s="13"/>
    </row>
    <row r="636" spans="1:3" ht="13" x14ac:dyDescent="0.15">
      <c r="A636" s="10"/>
      <c r="B636" s="13"/>
      <c r="C636" s="13"/>
    </row>
    <row r="637" spans="1:3" ht="13" x14ac:dyDescent="0.15">
      <c r="A637" s="10"/>
      <c r="B637" s="13"/>
      <c r="C637" s="13"/>
    </row>
    <row r="638" spans="1:3" ht="13" x14ac:dyDescent="0.15">
      <c r="A638" s="10"/>
      <c r="B638" s="13"/>
      <c r="C638" s="13"/>
    </row>
    <row r="639" spans="1:3" ht="13" x14ac:dyDescent="0.15">
      <c r="A639" s="10"/>
      <c r="B639" s="13"/>
      <c r="C639" s="13"/>
    </row>
    <row r="640" spans="1:3" ht="13" x14ac:dyDescent="0.15">
      <c r="A640" s="10"/>
      <c r="B640" s="13"/>
      <c r="C640" s="13"/>
    </row>
    <row r="641" spans="1:3" ht="13" x14ac:dyDescent="0.15">
      <c r="A641" s="10"/>
      <c r="B641" s="13"/>
      <c r="C641" s="13"/>
    </row>
    <row r="642" spans="1:3" ht="13" x14ac:dyDescent="0.15">
      <c r="A642" s="10"/>
      <c r="B642" s="13"/>
      <c r="C642" s="13"/>
    </row>
    <row r="643" spans="1:3" ht="13" x14ac:dyDescent="0.15">
      <c r="A643" s="10"/>
      <c r="B643" s="13"/>
      <c r="C643" s="13"/>
    </row>
    <row r="644" spans="1:3" ht="13" x14ac:dyDescent="0.15">
      <c r="A644" s="10"/>
      <c r="B644" s="13"/>
      <c r="C644" s="13"/>
    </row>
    <row r="645" spans="1:3" ht="13" x14ac:dyDescent="0.15">
      <c r="A645" s="10"/>
      <c r="B645" s="13"/>
      <c r="C645" s="13"/>
    </row>
    <row r="646" spans="1:3" ht="13" x14ac:dyDescent="0.15">
      <c r="A646" s="10"/>
      <c r="B646" s="13"/>
      <c r="C646" s="13"/>
    </row>
    <row r="647" spans="1:3" ht="13" x14ac:dyDescent="0.15">
      <c r="A647" s="10"/>
      <c r="B647" s="13"/>
      <c r="C647" s="13"/>
    </row>
    <row r="648" spans="1:3" ht="13" x14ac:dyDescent="0.15">
      <c r="A648" s="10"/>
      <c r="B648" s="13"/>
      <c r="C648" s="13"/>
    </row>
    <row r="649" spans="1:3" ht="13" x14ac:dyDescent="0.15">
      <c r="A649" s="10"/>
      <c r="B649" s="13"/>
      <c r="C649" s="13"/>
    </row>
    <row r="650" spans="1:3" ht="13" x14ac:dyDescent="0.15">
      <c r="A650" s="10"/>
      <c r="B650" s="13"/>
      <c r="C650" s="13"/>
    </row>
    <row r="651" spans="1:3" ht="13" x14ac:dyDescent="0.15">
      <c r="A651" s="10"/>
      <c r="B651" s="13"/>
      <c r="C651" s="13"/>
    </row>
    <row r="652" spans="1:3" ht="13" x14ac:dyDescent="0.15">
      <c r="A652" s="10"/>
      <c r="B652" s="13"/>
      <c r="C652" s="13"/>
    </row>
    <row r="653" spans="1:3" ht="13" x14ac:dyDescent="0.15">
      <c r="A653" s="10"/>
      <c r="B653" s="13"/>
      <c r="C653" s="13"/>
    </row>
    <row r="654" spans="1:3" ht="13" x14ac:dyDescent="0.15">
      <c r="A654" s="10"/>
      <c r="B654" s="13"/>
      <c r="C654" s="13"/>
    </row>
    <row r="655" spans="1:3" ht="13" x14ac:dyDescent="0.15">
      <c r="A655" s="10"/>
      <c r="B655" s="13"/>
      <c r="C655" s="13"/>
    </row>
    <row r="656" spans="1:3" ht="13" x14ac:dyDescent="0.15">
      <c r="A656" s="10"/>
      <c r="B656" s="13"/>
      <c r="C656" s="13"/>
    </row>
    <row r="657" spans="1:3" ht="13" x14ac:dyDescent="0.15">
      <c r="A657" s="10"/>
      <c r="B657" s="13"/>
      <c r="C657" s="13"/>
    </row>
    <row r="658" spans="1:3" ht="13" x14ac:dyDescent="0.15">
      <c r="A658" s="10"/>
      <c r="B658" s="13"/>
      <c r="C658" s="13"/>
    </row>
    <row r="659" spans="1:3" ht="13" x14ac:dyDescent="0.15">
      <c r="A659" s="10"/>
      <c r="B659" s="13"/>
      <c r="C659" s="13"/>
    </row>
    <row r="660" spans="1:3" ht="13" x14ac:dyDescent="0.15">
      <c r="A660" s="10"/>
      <c r="B660" s="13"/>
      <c r="C660" s="13"/>
    </row>
    <row r="661" spans="1:3" ht="13" x14ac:dyDescent="0.15">
      <c r="A661" s="10"/>
      <c r="B661" s="13"/>
      <c r="C661" s="13"/>
    </row>
    <row r="662" spans="1:3" ht="13" x14ac:dyDescent="0.15">
      <c r="A662" s="10"/>
      <c r="B662" s="13"/>
      <c r="C662" s="13"/>
    </row>
    <row r="663" spans="1:3" ht="13" x14ac:dyDescent="0.15">
      <c r="A663" s="10"/>
      <c r="B663" s="13"/>
      <c r="C663" s="13"/>
    </row>
    <row r="664" spans="1:3" ht="13" x14ac:dyDescent="0.15">
      <c r="A664" s="10"/>
      <c r="B664" s="13"/>
      <c r="C664" s="13"/>
    </row>
    <row r="665" spans="1:3" ht="13" x14ac:dyDescent="0.15">
      <c r="A665" s="10"/>
      <c r="B665" s="13"/>
      <c r="C665" s="13"/>
    </row>
    <row r="666" spans="1:3" ht="13" x14ac:dyDescent="0.15">
      <c r="A666" s="10"/>
      <c r="B666" s="13"/>
      <c r="C666" s="13"/>
    </row>
    <row r="667" spans="1:3" ht="13" x14ac:dyDescent="0.15">
      <c r="A667" s="10"/>
      <c r="B667" s="13"/>
      <c r="C667" s="13"/>
    </row>
    <row r="668" spans="1:3" ht="13" x14ac:dyDescent="0.15">
      <c r="A668" s="10"/>
      <c r="B668" s="13"/>
      <c r="C668" s="13"/>
    </row>
    <row r="669" spans="1:3" ht="13" x14ac:dyDescent="0.15">
      <c r="A669" s="10"/>
      <c r="B669" s="13"/>
      <c r="C669" s="13"/>
    </row>
    <row r="670" spans="1:3" ht="13" x14ac:dyDescent="0.15">
      <c r="A670" s="10"/>
      <c r="B670" s="13"/>
      <c r="C670" s="13"/>
    </row>
    <row r="671" spans="1:3" ht="13" x14ac:dyDescent="0.15">
      <c r="A671" s="10"/>
      <c r="B671" s="13"/>
      <c r="C671" s="13"/>
    </row>
    <row r="672" spans="1:3" ht="13" x14ac:dyDescent="0.15">
      <c r="A672" s="10"/>
      <c r="B672" s="13"/>
      <c r="C672" s="13"/>
    </row>
    <row r="673" spans="1:3" ht="13" x14ac:dyDescent="0.15">
      <c r="A673" s="10"/>
      <c r="B673" s="13"/>
      <c r="C673" s="13"/>
    </row>
    <row r="674" spans="1:3" ht="13" x14ac:dyDescent="0.15">
      <c r="A674" s="10"/>
      <c r="B674" s="13"/>
      <c r="C674" s="13"/>
    </row>
    <row r="675" spans="1:3" ht="13" x14ac:dyDescent="0.15">
      <c r="A675" s="10"/>
      <c r="B675" s="13"/>
      <c r="C675" s="13"/>
    </row>
    <row r="676" spans="1:3" ht="13" x14ac:dyDescent="0.15">
      <c r="A676" s="10"/>
      <c r="B676" s="13"/>
      <c r="C676" s="13"/>
    </row>
    <row r="677" spans="1:3" ht="13" x14ac:dyDescent="0.15">
      <c r="A677" s="10"/>
      <c r="B677" s="13"/>
      <c r="C677" s="13"/>
    </row>
    <row r="678" spans="1:3" ht="13" x14ac:dyDescent="0.15">
      <c r="A678" s="10"/>
      <c r="B678" s="13"/>
      <c r="C678" s="13"/>
    </row>
    <row r="679" spans="1:3" ht="13" x14ac:dyDescent="0.15">
      <c r="A679" s="10"/>
      <c r="B679" s="13"/>
      <c r="C679" s="13"/>
    </row>
    <row r="680" spans="1:3" ht="13" x14ac:dyDescent="0.15">
      <c r="A680" s="10"/>
      <c r="B680" s="13"/>
      <c r="C680" s="13"/>
    </row>
    <row r="681" spans="1:3" ht="13" x14ac:dyDescent="0.15">
      <c r="A681" s="10"/>
      <c r="B681" s="13"/>
      <c r="C681" s="13"/>
    </row>
    <row r="682" spans="1:3" ht="13" x14ac:dyDescent="0.15">
      <c r="A682" s="10"/>
      <c r="B682" s="13"/>
      <c r="C682" s="13"/>
    </row>
    <row r="683" spans="1:3" ht="13" x14ac:dyDescent="0.15">
      <c r="A683" s="10"/>
      <c r="B683" s="13"/>
      <c r="C683" s="13"/>
    </row>
    <row r="684" spans="1:3" ht="13" x14ac:dyDescent="0.15">
      <c r="A684" s="10"/>
      <c r="B684" s="13"/>
      <c r="C684" s="13"/>
    </row>
    <row r="685" spans="1:3" ht="13" x14ac:dyDescent="0.15">
      <c r="A685" s="10"/>
      <c r="B685" s="13"/>
      <c r="C685" s="13"/>
    </row>
    <row r="686" spans="1:3" ht="13" x14ac:dyDescent="0.15">
      <c r="A686" s="10"/>
      <c r="B686" s="13"/>
      <c r="C686" s="13"/>
    </row>
    <row r="687" spans="1:3" ht="13" x14ac:dyDescent="0.15">
      <c r="A687" s="10"/>
      <c r="B687" s="13"/>
      <c r="C687" s="13"/>
    </row>
    <row r="688" spans="1:3" ht="13" x14ac:dyDescent="0.15">
      <c r="A688" s="10"/>
      <c r="B688" s="13"/>
      <c r="C688" s="13"/>
    </row>
    <row r="689" spans="1:3" ht="13" x14ac:dyDescent="0.15">
      <c r="A689" s="10"/>
      <c r="B689" s="13"/>
      <c r="C689" s="13"/>
    </row>
    <row r="690" spans="1:3" ht="13" x14ac:dyDescent="0.15">
      <c r="A690" s="10"/>
      <c r="B690" s="13"/>
      <c r="C690" s="13"/>
    </row>
    <row r="691" spans="1:3" ht="13" x14ac:dyDescent="0.15">
      <c r="A691" s="10"/>
      <c r="B691" s="13"/>
      <c r="C691" s="13"/>
    </row>
    <row r="692" spans="1:3" ht="13" x14ac:dyDescent="0.15">
      <c r="A692" s="10"/>
      <c r="B692" s="13"/>
      <c r="C692" s="13"/>
    </row>
    <row r="693" spans="1:3" ht="13" x14ac:dyDescent="0.15">
      <c r="A693" s="10"/>
      <c r="B693" s="13"/>
      <c r="C693" s="13"/>
    </row>
    <row r="694" spans="1:3" ht="13" x14ac:dyDescent="0.15">
      <c r="A694" s="10"/>
      <c r="B694" s="13"/>
      <c r="C694" s="13"/>
    </row>
    <row r="695" spans="1:3" ht="13" x14ac:dyDescent="0.15">
      <c r="A695" s="10"/>
      <c r="B695" s="13"/>
      <c r="C695" s="13"/>
    </row>
    <row r="696" spans="1:3" ht="13" x14ac:dyDescent="0.15">
      <c r="A696" s="10"/>
      <c r="B696" s="13"/>
      <c r="C696" s="13"/>
    </row>
    <row r="697" spans="1:3" ht="13" x14ac:dyDescent="0.15">
      <c r="A697" s="10"/>
      <c r="B697" s="13"/>
      <c r="C697" s="13"/>
    </row>
    <row r="698" spans="1:3" ht="13" x14ac:dyDescent="0.15">
      <c r="A698" s="10"/>
      <c r="B698" s="13"/>
      <c r="C698" s="13"/>
    </row>
    <row r="699" spans="1:3" ht="13" x14ac:dyDescent="0.15">
      <c r="A699" s="10"/>
      <c r="B699" s="13"/>
      <c r="C699" s="13"/>
    </row>
    <row r="700" spans="1:3" ht="13" x14ac:dyDescent="0.15">
      <c r="A700" s="10"/>
      <c r="B700" s="13"/>
      <c r="C700" s="13"/>
    </row>
    <row r="701" spans="1:3" ht="13" x14ac:dyDescent="0.15">
      <c r="A701" s="10"/>
      <c r="B701" s="13"/>
      <c r="C701" s="13"/>
    </row>
    <row r="702" spans="1:3" ht="13" x14ac:dyDescent="0.15">
      <c r="A702" s="10"/>
      <c r="B702" s="13"/>
      <c r="C702" s="13"/>
    </row>
    <row r="703" spans="1:3" ht="13" x14ac:dyDescent="0.15">
      <c r="A703" s="10"/>
      <c r="B703" s="13"/>
      <c r="C703" s="13"/>
    </row>
    <row r="704" spans="1:3" ht="13" x14ac:dyDescent="0.15">
      <c r="A704" s="10"/>
      <c r="B704" s="13"/>
      <c r="C704" s="13"/>
    </row>
    <row r="705" spans="1:3" ht="13" x14ac:dyDescent="0.15">
      <c r="A705" s="10"/>
      <c r="B705" s="13"/>
      <c r="C705" s="13"/>
    </row>
    <row r="706" spans="1:3" ht="13" x14ac:dyDescent="0.15">
      <c r="A706" s="10"/>
      <c r="B706" s="13"/>
      <c r="C706" s="13"/>
    </row>
    <row r="707" spans="1:3" ht="13" x14ac:dyDescent="0.15">
      <c r="A707" s="10"/>
      <c r="B707" s="13"/>
      <c r="C707" s="13"/>
    </row>
    <row r="708" spans="1:3" ht="13" x14ac:dyDescent="0.15">
      <c r="A708" s="10"/>
      <c r="B708" s="13"/>
      <c r="C708" s="13"/>
    </row>
    <row r="709" spans="1:3" ht="13" x14ac:dyDescent="0.15">
      <c r="A709" s="10"/>
      <c r="B709" s="13"/>
      <c r="C709" s="13"/>
    </row>
    <row r="710" spans="1:3" ht="13" x14ac:dyDescent="0.15">
      <c r="A710" s="10"/>
      <c r="B710" s="13"/>
      <c r="C710" s="13"/>
    </row>
    <row r="711" spans="1:3" ht="13" x14ac:dyDescent="0.15">
      <c r="A711" s="10"/>
      <c r="B711" s="13"/>
      <c r="C711" s="13"/>
    </row>
    <row r="712" spans="1:3" ht="13" x14ac:dyDescent="0.15">
      <c r="A712" s="10"/>
      <c r="B712" s="13"/>
      <c r="C712" s="13"/>
    </row>
    <row r="713" spans="1:3" ht="13" x14ac:dyDescent="0.15">
      <c r="A713" s="10"/>
      <c r="B713" s="13"/>
      <c r="C713" s="13"/>
    </row>
    <row r="714" spans="1:3" ht="13" x14ac:dyDescent="0.15">
      <c r="A714" s="10"/>
      <c r="B714" s="13"/>
      <c r="C714" s="13"/>
    </row>
    <row r="715" spans="1:3" ht="13" x14ac:dyDescent="0.15">
      <c r="A715" s="10"/>
      <c r="B715" s="13"/>
      <c r="C715" s="13"/>
    </row>
    <row r="716" spans="1:3" ht="13" x14ac:dyDescent="0.15">
      <c r="A716" s="10"/>
      <c r="B716" s="13"/>
      <c r="C716" s="13"/>
    </row>
    <row r="717" spans="1:3" ht="13" x14ac:dyDescent="0.15">
      <c r="A717" s="10"/>
      <c r="B717" s="13"/>
      <c r="C717" s="13"/>
    </row>
    <row r="718" spans="1:3" ht="13" x14ac:dyDescent="0.15">
      <c r="A718" s="10"/>
      <c r="B718" s="13"/>
      <c r="C718" s="13"/>
    </row>
    <row r="719" spans="1:3" ht="13" x14ac:dyDescent="0.15">
      <c r="A719" s="10"/>
      <c r="B719" s="13"/>
      <c r="C719" s="13"/>
    </row>
    <row r="720" spans="1:3" ht="13" x14ac:dyDescent="0.15">
      <c r="A720" s="10"/>
      <c r="B720" s="13"/>
      <c r="C720" s="13"/>
    </row>
    <row r="721" spans="1:3" ht="13" x14ac:dyDescent="0.15">
      <c r="A721" s="10"/>
      <c r="B721" s="13"/>
      <c r="C721" s="13"/>
    </row>
    <row r="722" spans="1:3" ht="13" x14ac:dyDescent="0.15">
      <c r="A722" s="10"/>
      <c r="B722" s="13"/>
      <c r="C722" s="13"/>
    </row>
    <row r="723" spans="1:3" ht="13" x14ac:dyDescent="0.15">
      <c r="A723" s="10"/>
      <c r="B723" s="13"/>
      <c r="C723" s="13"/>
    </row>
    <row r="724" spans="1:3" ht="13" x14ac:dyDescent="0.15">
      <c r="A724" s="10"/>
      <c r="B724" s="13"/>
      <c r="C724" s="13"/>
    </row>
    <row r="725" spans="1:3" ht="13" x14ac:dyDescent="0.15">
      <c r="A725" s="10"/>
      <c r="B725" s="13"/>
      <c r="C725" s="13"/>
    </row>
    <row r="726" spans="1:3" ht="13" x14ac:dyDescent="0.15">
      <c r="A726" s="10"/>
      <c r="B726" s="13"/>
      <c r="C726" s="13"/>
    </row>
    <row r="727" spans="1:3" ht="13" x14ac:dyDescent="0.15">
      <c r="A727" s="10"/>
      <c r="B727" s="13"/>
      <c r="C727" s="13"/>
    </row>
    <row r="728" spans="1:3" ht="13" x14ac:dyDescent="0.15">
      <c r="A728" s="10"/>
      <c r="B728" s="13"/>
      <c r="C728" s="13"/>
    </row>
    <row r="729" spans="1:3" ht="13" x14ac:dyDescent="0.15">
      <c r="A729" s="10"/>
      <c r="B729" s="13"/>
      <c r="C729" s="13"/>
    </row>
    <row r="730" spans="1:3" ht="13" x14ac:dyDescent="0.15">
      <c r="A730" s="10"/>
      <c r="B730" s="13"/>
      <c r="C730" s="13"/>
    </row>
    <row r="731" spans="1:3" ht="13" x14ac:dyDescent="0.15">
      <c r="A731" s="10"/>
      <c r="B731" s="13"/>
      <c r="C731" s="13"/>
    </row>
    <row r="732" spans="1:3" ht="13" x14ac:dyDescent="0.15">
      <c r="A732" s="10"/>
      <c r="B732" s="13"/>
      <c r="C732" s="13"/>
    </row>
    <row r="733" spans="1:3" ht="13" x14ac:dyDescent="0.15">
      <c r="A733" s="10"/>
      <c r="B733" s="13"/>
      <c r="C733" s="13"/>
    </row>
    <row r="734" spans="1:3" ht="13" x14ac:dyDescent="0.15">
      <c r="A734" s="10"/>
      <c r="B734" s="13"/>
      <c r="C734" s="13"/>
    </row>
    <row r="735" spans="1:3" ht="13" x14ac:dyDescent="0.15">
      <c r="A735" s="10"/>
      <c r="B735" s="13"/>
      <c r="C735" s="13"/>
    </row>
    <row r="736" spans="1:3" ht="13" x14ac:dyDescent="0.15">
      <c r="A736" s="10"/>
      <c r="B736" s="13"/>
      <c r="C736" s="13"/>
    </row>
    <row r="737" spans="1:3" ht="13" x14ac:dyDescent="0.15">
      <c r="A737" s="10"/>
      <c r="B737" s="13"/>
      <c r="C737" s="13"/>
    </row>
    <row r="738" spans="1:3" ht="13" x14ac:dyDescent="0.15">
      <c r="A738" s="10"/>
      <c r="B738" s="13"/>
      <c r="C738" s="13"/>
    </row>
    <row r="739" spans="1:3" ht="13" x14ac:dyDescent="0.15">
      <c r="A739" s="10"/>
      <c r="B739" s="13"/>
      <c r="C739" s="13"/>
    </row>
    <row r="740" spans="1:3" ht="13" x14ac:dyDescent="0.15">
      <c r="A740" s="10"/>
      <c r="B740" s="13"/>
      <c r="C740" s="13"/>
    </row>
    <row r="741" spans="1:3" ht="13" x14ac:dyDescent="0.15">
      <c r="A741" s="10"/>
      <c r="B741" s="13"/>
      <c r="C741" s="13"/>
    </row>
    <row r="742" spans="1:3" ht="13" x14ac:dyDescent="0.15">
      <c r="A742" s="10"/>
      <c r="B742" s="13"/>
      <c r="C742" s="13"/>
    </row>
    <row r="743" spans="1:3" ht="13" x14ac:dyDescent="0.15">
      <c r="A743" s="10"/>
      <c r="B743" s="13"/>
      <c r="C743" s="13"/>
    </row>
    <row r="744" spans="1:3" ht="13" x14ac:dyDescent="0.15">
      <c r="A744" s="10"/>
      <c r="B744" s="13"/>
      <c r="C744" s="13"/>
    </row>
    <row r="745" spans="1:3" ht="13" x14ac:dyDescent="0.15">
      <c r="A745" s="10"/>
      <c r="B745" s="13"/>
      <c r="C745" s="13"/>
    </row>
    <row r="746" spans="1:3" ht="13" x14ac:dyDescent="0.15">
      <c r="A746" s="10"/>
      <c r="B746" s="13"/>
      <c r="C746" s="13"/>
    </row>
    <row r="747" spans="1:3" ht="13" x14ac:dyDescent="0.15">
      <c r="A747" s="10"/>
      <c r="B747" s="13"/>
      <c r="C747" s="13"/>
    </row>
    <row r="748" spans="1:3" ht="13" x14ac:dyDescent="0.15">
      <c r="A748" s="10"/>
      <c r="B748" s="13"/>
      <c r="C748" s="13"/>
    </row>
    <row r="749" spans="1:3" ht="13" x14ac:dyDescent="0.15">
      <c r="A749" s="10"/>
      <c r="B749" s="13"/>
      <c r="C749" s="13"/>
    </row>
    <row r="750" spans="1:3" ht="13" x14ac:dyDescent="0.15">
      <c r="A750" s="10"/>
      <c r="B750" s="13"/>
      <c r="C750" s="13"/>
    </row>
    <row r="751" spans="1:3" ht="13" x14ac:dyDescent="0.15">
      <c r="A751" s="10"/>
      <c r="B751" s="13"/>
      <c r="C751" s="13"/>
    </row>
    <row r="752" spans="1:3" ht="13" x14ac:dyDescent="0.15">
      <c r="A752" s="10"/>
      <c r="B752" s="13"/>
      <c r="C752" s="13"/>
    </row>
    <row r="753" spans="1:3" ht="13" x14ac:dyDescent="0.15">
      <c r="A753" s="10"/>
      <c r="B753" s="13"/>
      <c r="C753" s="13"/>
    </row>
    <row r="754" spans="1:3" ht="13" x14ac:dyDescent="0.15">
      <c r="A754" s="10"/>
      <c r="B754" s="13"/>
      <c r="C754" s="13"/>
    </row>
    <row r="755" spans="1:3" ht="13" x14ac:dyDescent="0.15">
      <c r="A755" s="10"/>
      <c r="B755" s="13"/>
      <c r="C755" s="13"/>
    </row>
    <row r="756" spans="1:3" ht="13" x14ac:dyDescent="0.15">
      <c r="A756" s="10"/>
      <c r="B756" s="13"/>
      <c r="C756" s="13"/>
    </row>
    <row r="757" spans="1:3" ht="13" x14ac:dyDescent="0.15">
      <c r="A757" s="10"/>
      <c r="B757" s="13"/>
      <c r="C757" s="13"/>
    </row>
    <row r="758" spans="1:3" ht="13" x14ac:dyDescent="0.15">
      <c r="A758" s="10"/>
      <c r="B758" s="13"/>
      <c r="C758" s="13"/>
    </row>
    <row r="759" spans="1:3" ht="13" x14ac:dyDescent="0.15">
      <c r="A759" s="10"/>
      <c r="B759" s="13"/>
      <c r="C759" s="13"/>
    </row>
    <row r="760" spans="1:3" ht="13" x14ac:dyDescent="0.15">
      <c r="A760" s="10"/>
      <c r="B760" s="13"/>
      <c r="C760" s="13"/>
    </row>
    <row r="761" spans="1:3" ht="13" x14ac:dyDescent="0.15">
      <c r="A761" s="10"/>
      <c r="B761" s="13"/>
      <c r="C761" s="13"/>
    </row>
    <row r="762" spans="1:3" ht="13" x14ac:dyDescent="0.15">
      <c r="A762" s="10"/>
      <c r="B762" s="13"/>
      <c r="C762" s="13"/>
    </row>
    <row r="763" spans="1:3" ht="13" x14ac:dyDescent="0.15">
      <c r="A763" s="10"/>
      <c r="B763" s="13"/>
      <c r="C763" s="13"/>
    </row>
    <row r="764" spans="1:3" ht="13" x14ac:dyDescent="0.15">
      <c r="A764" s="10"/>
      <c r="B764" s="13"/>
      <c r="C764" s="13"/>
    </row>
    <row r="765" spans="1:3" ht="13" x14ac:dyDescent="0.15">
      <c r="A765" s="10"/>
      <c r="B765" s="13"/>
      <c r="C765" s="13"/>
    </row>
    <row r="766" spans="1:3" ht="13" x14ac:dyDescent="0.15">
      <c r="A766" s="10"/>
      <c r="B766" s="13"/>
      <c r="C766" s="13"/>
    </row>
    <row r="767" spans="1:3" ht="13" x14ac:dyDescent="0.15">
      <c r="A767" s="10"/>
      <c r="B767" s="13"/>
      <c r="C767" s="13"/>
    </row>
    <row r="768" spans="1:3" ht="13" x14ac:dyDescent="0.15">
      <c r="A768" s="10"/>
      <c r="B768" s="13"/>
      <c r="C768" s="13"/>
    </row>
    <row r="769" spans="1:3" ht="13" x14ac:dyDescent="0.15">
      <c r="A769" s="10"/>
      <c r="B769" s="13"/>
      <c r="C769" s="13"/>
    </row>
    <row r="770" spans="1:3" ht="13" x14ac:dyDescent="0.15">
      <c r="A770" s="10"/>
      <c r="B770" s="13"/>
      <c r="C770" s="13"/>
    </row>
    <row r="771" spans="1:3" ht="13" x14ac:dyDescent="0.15">
      <c r="A771" s="10"/>
      <c r="B771" s="13"/>
      <c r="C771" s="13"/>
    </row>
    <row r="772" spans="1:3" ht="13" x14ac:dyDescent="0.15">
      <c r="A772" s="10"/>
      <c r="B772" s="13"/>
      <c r="C772" s="13"/>
    </row>
    <row r="773" spans="1:3" ht="13" x14ac:dyDescent="0.15">
      <c r="A773" s="10"/>
      <c r="B773" s="13"/>
      <c r="C773" s="13"/>
    </row>
    <row r="774" spans="1:3" ht="13" x14ac:dyDescent="0.15">
      <c r="A774" s="10"/>
      <c r="B774" s="13"/>
      <c r="C774" s="13"/>
    </row>
    <row r="775" spans="1:3" ht="13" x14ac:dyDescent="0.15">
      <c r="A775" s="10"/>
      <c r="B775" s="13"/>
      <c r="C775" s="13"/>
    </row>
    <row r="776" spans="1:3" ht="13" x14ac:dyDescent="0.15">
      <c r="A776" s="10"/>
      <c r="B776" s="13"/>
      <c r="C776" s="13"/>
    </row>
    <row r="777" spans="1:3" ht="13" x14ac:dyDescent="0.15">
      <c r="A777" s="10"/>
      <c r="B777" s="13"/>
      <c r="C777" s="13"/>
    </row>
    <row r="778" spans="1:3" ht="13" x14ac:dyDescent="0.15">
      <c r="A778" s="10"/>
      <c r="B778" s="13"/>
      <c r="C778" s="13"/>
    </row>
    <row r="779" spans="1:3" ht="13" x14ac:dyDescent="0.15">
      <c r="A779" s="10"/>
      <c r="B779" s="13"/>
      <c r="C779" s="13"/>
    </row>
    <row r="780" spans="1:3" ht="13" x14ac:dyDescent="0.15">
      <c r="A780" s="10"/>
      <c r="B780" s="13"/>
      <c r="C780" s="13"/>
    </row>
    <row r="781" spans="1:3" ht="13" x14ac:dyDescent="0.15">
      <c r="A781" s="10"/>
      <c r="B781" s="13"/>
      <c r="C781" s="13"/>
    </row>
    <row r="782" spans="1:3" ht="13" x14ac:dyDescent="0.15">
      <c r="A782" s="10"/>
      <c r="B782" s="13"/>
      <c r="C782" s="13"/>
    </row>
    <row r="783" spans="1:3" ht="13" x14ac:dyDescent="0.15">
      <c r="A783" s="10"/>
      <c r="B783" s="13"/>
      <c r="C783" s="13"/>
    </row>
    <row r="784" spans="1:3" ht="13" x14ac:dyDescent="0.15">
      <c r="A784" s="10"/>
      <c r="B784" s="13"/>
      <c r="C784" s="13"/>
    </row>
    <row r="785" spans="1:3" ht="13" x14ac:dyDescent="0.15">
      <c r="A785" s="10"/>
      <c r="B785" s="13"/>
      <c r="C785" s="13"/>
    </row>
    <row r="786" spans="1:3" ht="13" x14ac:dyDescent="0.15">
      <c r="A786" s="10"/>
      <c r="B786" s="13"/>
      <c r="C786" s="13"/>
    </row>
    <row r="787" spans="1:3" ht="13" x14ac:dyDescent="0.15">
      <c r="A787" s="10"/>
      <c r="B787" s="13"/>
      <c r="C787" s="13"/>
    </row>
    <row r="788" spans="1:3" ht="13" x14ac:dyDescent="0.15">
      <c r="A788" s="10"/>
      <c r="B788" s="13"/>
      <c r="C788" s="13"/>
    </row>
    <row r="789" spans="1:3" ht="13" x14ac:dyDescent="0.15">
      <c r="A789" s="10"/>
      <c r="B789" s="13"/>
      <c r="C789" s="13"/>
    </row>
    <row r="790" spans="1:3" ht="13" x14ac:dyDescent="0.15">
      <c r="A790" s="10"/>
      <c r="B790" s="13"/>
      <c r="C790" s="13"/>
    </row>
    <row r="791" spans="1:3" ht="13" x14ac:dyDescent="0.15">
      <c r="A791" s="10"/>
      <c r="B791" s="13"/>
      <c r="C791" s="13"/>
    </row>
    <row r="792" spans="1:3" ht="13" x14ac:dyDescent="0.15">
      <c r="A792" s="10"/>
      <c r="B792" s="13"/>
      <c r="C792" s="13"/>
    </row>
    <row r="793" spans="1:3" ht="13" x14ac:dyDescent="0.15">
      <c r="A793" s="10"/>
      <c r="B793" s="13"/>
      <c r="C793" s="13"/>
    </row>
    <row r="794" spans="1:3" ht="13" x14ac:dyDescent="0.15">
      <c r="A794" s="10"/>
      <c r="B794" s="13"/>
      <c r="C794" s="13"/>
    </row>
    <row r="795" spans="1:3" ht="13" x14ac:dyDescent="0.15">
      <c r="A795" s="10"/>
      <c r="B795" s="13"/>
      <c r="C795" s="13"/>
    </row>
    <row r="796" spans="1:3" ht="13" x14ac:dyDescent="0.15">
      <c r="A796" s="10"/>
      <c r="B796" s="13"/>
      <c r="C796" s="13"/>
    </row>
    <row r="797" spans="1:3" ht="13" x14ac:dyDescent="0.15">
      <c r="A797" s="10"/>
      <c r="B797" s="13"/>
      <c r="C797" s="13"/>
    </row>
    <row r="798" spans="1:3" ht="13" x14ac:dyDescent="0.15">
      <c r="A798" s="10"/>
      <c r="B798" s="13"/>
      <c r="C798" s="13"/>
    </row>
    <row r="799" spans="1:3" ht="13" x14ac:dyDescent="0.15">
      <c r="A799" s="10"/>
      <c r="B799" s="13"/>
      <c r="C799" s="13"/>
    </row>
    <row r="800" spans="1:3" ht="13" x14ac:dyDescent="0.15">
      <c r="A800" s="10"/>
      <c r="B800" s="13"/>
      <c r="C800" s="13"/>
    </row>
    <row r="801" spans="1:3" ht="13" x14ac:dyDescent="0.15">
      <c r="A801" s="10"/>
      <c r="B801" s="13"/>
      <c r="C801" s="13"/>
    </row>
    <row r="802" spans="1:3" ht="13" x14ac:dyDescent="0.15">
      <c r="A802" s="10"/>
      <c r="B802" s="13"/>
      <c r="C802" s="13"/>
    </row>
    <row r="803" spans="1:3" ht="13" x14ac:dyDescent="0.15">
      <c r="A803" s="10"/>
      <c r="B803" s="13"/>
      <c r="C803" s="13"/>
    </row>
    <row r="804" spans="1:3" ht="13" x14ac:dyDescent="0.15">
      <c r="A804" s="10"/>
      <c r="B804" s="13"/>
      <c r="C804" s="13"/>
    </row>
    <row r="805" spans="1:3" ht="13" x14ac:dyDescent="0.15">
      <c r="A805" s="10"/>
      <c r="B805" s="13"/>
      <c r="C805" s="13"/>
    </row>
    <row r="806" spans="1:3" ht="13" x14ac:dyDescent="0.15">
      <c r="A806" s="10"/>
      <c r="B806" s="13"/>
      <c r="C806" s="13"/>
    </row>
    <row r="807" spans="1:3" ht="13" x14ac:dyDescent="0.15">
      <c r="A807" s="10"/>
      <c r="B807" s="13"/>
      <c r="C807" s="13"/>
    </row>
    <row r="808" spans="1:3" ht="13" x14ac:dyDescent="0.15">
      <c r="A808" s="10"/>
      <c r="B808" s="13"/>
      <c r="C808" s="13"/>
    </row>
    <row r="809" spans="1:3" ht="13" x14ac:dyDescent="0.15">
      <c r="A809" s="10"/>
      <c r="B809" s="13"/>
      <c r="C809" s="13"/>
    </row>
    <row r="810" spans="1:3" ht="13" x14ac:dyDescent="0.15">
      <c r="A810" s="10"/>
      <c r="B810" s="13"/>
      <c r="C810" s="13"/>
    </row>
    <row r="811" spans="1:3" ht="13" x14ac:dyDescent="0.15">
      <c r="A811" s="10"/>
      <c r="B811" s="13"/>
      <c r="C811" s="13"/>
    </row>
    <row r="812" spans="1:3" ht="13" x14ac:dyDescent="0.15">
      <c r="A812" s="10"/>
      <c r="B812" s="13"/>
      <c r="C812" s="13"/>
    </row>
    <row r="813" spans="1:3" ht="13" x14ac:dyDescent="0.15">
      <c r="A813" s="10"/>
      <c r="B813" s="13"/>
      <c r="C813" s="13"/>
    </row>
    <row r="814" spans="1:3" ht="13" x14ac:dyDescent="0.15">
      <c r="A814" s="10"/>
      <c r="B814" s="13"/>
      <c r="C814" s="13"/>
    </row>
    <row r="815" spans="1:3" ht="13" x14ac:dyDescent="0.15">
      <c r="A815" s="10"/>
      <c r="B815" s="13"/>
      <c r="C815" s="13"/>
    </row>
    <row r="816" spans="1:3" ht="13" x14ac:dyDescent="0.15">
      <c r="A816" s="10"/>
      <c r="B816" s="13"/>
      <c r="C816" s="13"/>
    </row>
    <row r="817" spans="1:3" ht="13" x14ac:dyDescent="0.15">
      <c r="A817" s="10"/>
      <c r="B817" s="13"/>
      <c r="C817" s="13"/>
    </row>
    <row r="818" spans="1:3" ht="13" x14ac:dyDescent="0.15">
      <c r="A818" s="10"/>
      <c r="B818" s="13"/>
      <c r="C818" s="13"/>
    </row>
    <row r="819" spans="1:3" ht="13" x14ac:dyDescent="0.15">
      <c r="A819" s="10"/>
      <c r="B819" s="13"/>
      <c r="C819" s="13"/>
    </row>
    <row r="820" spans="1:3" ht="13" x14ac:dyDescent="0.15">
      <c r="A820" s="10"/>
      <c r="B820" s="13"/>
      <c r="C820" s="13"/>
    </row>
    <row r="821" spans="1:3" ht="13" x14ac:dyDescent="0.15">
      <c r="A821" s="10"/>
      <c r="B821" s="13"/>
      <c r="C821" s="13"/>
    </row>
    <row r="822" spans="1:3" ht="13" x14ac:dyDescent="0.15">
      <c r="A822" s="10"/>
      <c r="B822" s="13"/>
      <c r="C822" s="13"/>
    </row>
    <row r="823" spans="1:3" ht="13" x14ac:dyDescent="0.15">
      <c r="A823" s="10"/>
      <c r="B823" s="13"/>
      <c r="C823" s="13"/>
    </row>
    <row r="824" spans="1:3" ht="13" x14ac:dyDescent="0.15">
      <c r="A824" s="10"/>
      <c r="B824" s="13"/>
      <c r="C824" s="13"/>
    </row>
    <row r="825" spans="1:3" ht="13" x14ac:dyDescent="0.15">
      <c r="A825" s="10"/>
      <c r="B825" s="13"/>
      <c r="C825" s="13"/>
    </row>
    <row r="826" spans="1:3" ht="13" x14ac:dyDescent="0.15">
      <c r="A826" s="10"/>
      <c r="B826" s="13"/>
      <c r="C826" s="13"/>
    </row>
    <row r="827" spans="1:3" ht="13" x14ac:dyDescent="0.15">
      <c r="A827" s="10"/>
      <c r="B827" s="13"/>
      <c r="C827" s="13"/>
    </row>
    <row r="828" spans="1:3" ht="13" x14ac:dyDescent="0.15">
      <c r="A828" s="10"/>
      <c r="B828" s="13"/>
      <c r="C828" s="13"/>
    </row>
    <row r="829" spans="1:3" ht="13" x14ac:dyDescent="0.15">
      <c r="A829" s="10"/>
      <c r="B829" s="13"/>
      <c r="C829" s="13"/>
    </row>
    <row r="830" spans="1:3" ht="13" x14ac:dyDescent="0.15">
      <c r="A830" s="10"/>
      <c r="B830" s="13"/>
      <c r="C830" s="13"/>
    </row>
    <row r="831" spans="1:3" ht="13" x14ac:dyDescent="0.15">
      <c r="A831" s="10"/>
      <c r="B831" s="13"/>
      <c r="C831" s="13"/>
    </row>
    <row r="832" spans="1:3" ht="13" x14ac:dyDescent="0.15">
      <c r="A832" s="10"/>
      <c r="B832" s="13"/>
      <c r="C832" s="13"/>
    </row>
    <row r="833" spans="1:3" ht="13" x14ac:dyDescent="0.15">
      <c r="A833" s="10"/>
      <c r="B833" s="13"/>
      <c r="C833" s="13"/>
    </row>
    <row r="834" spans="1:3" ht="13" x14ac:dyDescent="0.15">
      <c r="A834" s="10"/>
      <c r="B834" s="13"/>
      <c r="C834" s="13"/>
    </row>
    <row r="835" spans="1:3" ht="13" x14ac:dyDescent="0.15">
      <c r="A835" s="10"/>
      <c r="B835" s="13"/>
      <c r="C835" s="13"/>
    </row>
    <row r="836" spans="1:3" ht="13" x14ac:dyDescent="0.15">
      <c r="A836" s="10"/>
      <c r="B836" s="13"/>
      <c r="C836" s="13"/>
    </row>
    <row r="837" spans="1:3" ht="13" x14ac:dyDescent="0.15">
      <c r="A837" s="10"/>
      <c r="B837" s="13"/>
      <c r="C837" s="13"/>
    </row>
    <row r="838" spans="1:3" ht="13" x14ac:dyDescent="0.15">
      <c r="A838" s="10"/>
      <c r="B838" s="13"/>
      <c r="C838" s="13"/>
    </row>
    <row r="839" spans="1:3" ht="13" x14ac:dyDescent="0.15">
      <c r="A839" s="10"/>
      <c r="B839" s="13"/>
      <c r="C839" s="13"/>
    </row>
    <row r="840" spans="1:3" ht="13" x14ac:dyDescent="0.15">
      <c r="A840" s="10"/>
      <c r="B840" s="13"/>
      <c r="C840" s="13"/>
    </row>
    <row r="841" spans="1:3" ht="13" x14ac:dyDescent="0.15">
      <c r="A841" s="10"/>
      <c r="B841" s="13"/>
      <c r="C841" s="13"/>
    </row>
    <row r="842" spans="1:3" ht="13" x14ac:dyDescent="0.15">
      <c r="A842" s="10"/>
      <c r="B842" s="13"/>
      <c r="C842" s="13"/>
    </row>
    <row r="843" spans="1:3" ht="13" x14ac:dyDescent="0.15">
      <c r="A843" s="10"/>
      <c r="B843" s="13"/>
      <c r="C843" s="13"/>
    </row>
    <row r="844" spans="1:3" ht="13" x14ac:dyDescent="0.15">
      <c r="A844" s="10"/>
      <c r="B844" s="13"/>
      <c r="C844" s="13"/>
    </row>
    <row r="845" spans="1:3" ht="13" x14ac:dyDescent="0.15">
      <c r="A845" s="10"/>
      <c r="B845" s="13"/>
      <c r="C845" s="13"/>
    </row>
    <row r="846" spans="1:3" ht="13" x14ac:dyDescent="0.15">
      <c r="A846" s="10"/>
      <c r="B846" s="13"/>
      <c r="C846" s="13"/>
    </row>
    <row r="847" spans="1:3" ht="13" x14ac:dyDescent="0.15">
      <c r="A847" s="10"/>
      <c r="B847" s="13"/>
      <c r="C847" s="13"/>
    </row>
    <row r="848" spans="1:3" ht="13" x14ac:dyDescent="0.15">
      <c r="A848" s="10"/>
      <c r="B848" s="13"/>
      <c r="C848" s="13"/>
    </row>
    <row r="849" spans="1:3" ht="13" x14ac:dyDescent="0.15">
      <c r="A849" s="10"/>
      <c r="B849" s="13"/>
      <c r="C849" s="13"/>
    </row>
    <row r="850" spans="1:3" ht="13" x14ac:dyDescent="0.15">
      <c r="A850" s="10"/>
      <c r="B850" s="13"/>
      <c r="C850" s="13"/>
    </row>
    <row r="851" spans="1:3" ht="13" x14ac:dyDescent="0.15">
      <c r="A851" s="10"/>
      <c r="B851" s="13"/>
      <c r="C851" s="13"/>
    </row>
    <row r="852" spans="1:3" ht="13" x14ac:dyDescent="0.15">
      <c r="A852" s="10"/>
      <c r="B852" s="13"/>
      <c r="C852" s="13"/>
    </row>
    <row r="853" spans="1:3" ht="13" x14ac:dyDescent="0.15">
      <c r="A853" s="10"/>
      <c r="B853" s="13"/>
      <c r="C853" s="13"/>
    </row>
    <row r="854" spans="1:3" ht="13" x14ac:dyDescent="0.15">
      <c r="A854" s="10"/>
      <c r="B854" s="13"/>
      <c r="C854" s="13"/>
    </row>
    <row r="855" spans="1:3" ht="13" x14ac:dyDescent="0.15">
      <c r="A855" s="10"/>
      <c r="B855" s="13"/>
      <c r="C855" s="13"/>
    </row>
    <row r="856" spans="1:3" ht="13" x14ac:dyDescent="0.15">
      <c r="A856" s="10"/>
      <c r="B856" s="13"/>
      <c r="C856" s="13"/>
    </row>
    <row r="857" spans="1:3" ht="13" x14ac:dyDescent="0.15">
      <c r="A857" s="10"/>
      <c r="B857" s="13"/>
      <c r="C857" s="13"/>
    </row>
    <row r="858" spans="1:3" ht="13" x14ac:dyDescent="0.15">
      <c r="A858" s="10"/>
      <c r="B858" s="13"/>
      <c r="C858" s="13"/>
    </row>
    <row r="859" spans="1:3" ht="13" x14ac:dyDescent="0.15">
      <c r="A859" s="10"/>
      <c r="B859" s="13"/>
      <c r="C859" s="13"/>
    </row>
    <row r="860" spans="1:3" ht="13" x14ac:dyDescent="0.15">
      <c r="A860" s="10"/>
      <c r="B860" s="13"/>
      <c r="C860" s="13"/>
    </row>
    <row r="861" spans="1:3" ht="13" x14ac:dyDescent="0.15">
      <c r="A861" s="10"/>
      <c r="B861" s="13"/>
      <c r="C861" s="13"/>
    </row>
    <row r="862" spans="1:3" ht="13" x14ac:dyDescent="0.15">
      <c r="A862" s="10"/>
      <c r="B862" s="13"/>
      <c r="C862" s="13"/>
    </row>
    <row r="863" spans="1:3" ht="13" x14ac:dyDescent="0.15">
      <c r="A863" s="10"/>
      <c r="B863" s="13"/>
      <c r="C863" s="13"/>
    </row>
    <row r="864" spans="1:3" ht="13" x14ac:dyDescent="0.15">
      <c r="A864" s="10"/>
      <c r="B864" s="13"/>
      <c r="C864" s="13"/>
    </row>
    <row r="865" spans="1:3" ht="13" x14ac:dyDescent="0.15">
      <c r="A865" s="10"/>
      <c r="B865" s="13"/>
      <c r="C865" s="13"/>
    </row>
    <row r="866" spans="1:3" ht="13" x14ac:dyDescent="0.15">
      <c r="A866" s="10"/>
      <c r="B866" s="13"/>
      <c r="C866" s="13"/>
    </row>
    <row r="867" spans="1:3" ht="13" x14ac:dyDescent="0.15">
      <c r="A867" s="10"/>
      <c r="B867" s="13"/>
      <c r="C867" s="13"/>
    </row>
    <row r="868" spans="1:3" ht="13" x14ac:dyDescent="0.15">
      <c r="A868" s="10"/>
      <c r="B868" s="13"/>
      <c r="C868" s="13"/>
    </row>
    <row r="869" spans="1:3" ht="13" x14ac:dyDescent="0.15">
      <c r="A869" s="10"/>
      <c r="B869" s="13"/>
      <c r="C869" s="13"/>
    </row>
    <row r="870" spans="1:3" ht="13" x14ac:dyDescent="0.15">
      <c r="A870" s="10"/>
      <c r="B870" s="13"/>
      <c r="C870" s="13"/>
    </row>
    <row r="871" spans="1:3" ht="13" x14ac:dyDescent="0.15">
      <c r="A871" s="10"/>
      <c r="B871" s="13"/>
      <c r="C871" s="13"/>
    </row>
    <row r="872" spans="1:3" ht="13" x14ac:dyDescent="0.15">
      <c r="A872" s="10"/>
      <c r="B872" s="13"/>
      <c r="C872" s="13"/>
    </row>
    <row r="873" spans="1:3" ht="13" x14ac:dyDescent="0.15">
      <c r="A873" s="10"/>
      <c r="B873" s="13"/>
      <c r="C873" s="13"/>
    </row>
    <row r="874" spans="1:3" ht="13" x14ac:dyDescent="0.15">
      <c r="A874" s="10"/>
      <c r="B874" s="13"/>
      <c r="C874" s="13"/>
    </row>
    <row r="875" spans="1:3" ht="13" x14ac:dyDescent="0.15">
      <c r="A875" s="10"/>
      <c r="B875" s="13"/>
      <c r="C875" s="13"/>
    </row>
    <row r="876" spans="1:3" ht="13" x14ac:dyDescent="0.15">
      <c r="A876" s="10"/>
      <c r="B876" s="13"/>
      <c r="C876" s="13"/>
    </row>
    <row r="877" spans="1:3" ht="13" x14ac:dyDescent="0.15">
      <c r="A877" s="10"/>
      <c r="B877" s="13"/>
      <c r="C877" s="13"/>
    </row>
    <row r="878" spans="1:3" ht="13" x14ac:dyDescent="0.15">
      <c r="A878" s="10"/>
      <c r="B878" s="13"/>
      <c r="C878" s="13"/>
    </row>
    <row r="879" spans="1:3" ht="13" x14ac:dyDescent="0.15">
      <c r="A879" s="10"/>
      <c r="B879" s="13"/>
      <c r="C879" s="13"/>
    </row>
    <row r="880" spans="1:3" ht="13" x14ac:dyDescent="0.15">
      <c r="A880" s="10"/>
      <c r="B880" s="13"/>
      <c r="C880" s="13"/>
    </row>
    <row r="881" spans="1:3" ht="13" x14ac:dyDescent="0.15">
      <c r="A881" s="10"/>
      <c r="B881" s="13"/>
      <c r="C881" s="13"/>
    </row>
    <row r="882" spans="1:3" ht="13" x14ac:dyDescent="0.15">
      <c r="A882" s="10"/>
      <c r="B882" s="13"/>
      <c r="C882" s="13"/>
    </row>
    <row r="883" spans="1:3" ht="13" x14ac:dyDescent="0.15">
      <c r="A883" s="10"/>
      <c r="B883" s="13"/>
      <c r="C883" s="13"/>
    </row>
    <row r="884" spans="1:3" ht="13" x14ac:dyDescent="0.15">
      <c r="A884" s="10"/>
      <c r="B884" s="13"/>
      <c r="C884" s="13"/>
    </row>
    <row r="885" spans="1:3" ht="13" x14ac:dyDescent="0.15">
      <c r="A885" s="10"/>
      <c r="B885" s="13"/>
      <c r="C885" s="13"/>
    </row>
    <row r="886" spans="1:3" ht="13" x14ac:dyDescent="0.15">
      <c r="A886" s="10"/>
      <c r="B886" s="13"/>
      <c r="C886" s="13"/>
    </row>
    <row r="887" spans="1:3" ht="13" x14ac:dyDescent="0.15">
      <c r="A887" s="10"/>
      <c r="B887" s="13"/>
      <c r="C887" s="13"/>
    </row>
    <row r="888" spans="1:3" ht="13" x14ac:dyDescent="0.15">
      <c r="A888" s="10"/>
      <c r="B888" s="13"/>
      <c r="C888" s="13"/>
    </row>
    <row r="889" spans="1:3" ht="13" x14ac:dyDescent="0.15">
      <c r="A889" s="10"/>
      <c r="B889" s="13"/>
      <c r="C889" s="13"/>
    </row>
    <row r="890" spans="1:3" ht="13" x14ac:dyDescent="0.15">
      <c r="A890" s="10"/>
      <c r="B890" s="13"/>
      <c r="C890" s="13"/>
    </row>
    <row r="891" spans="1:3" ht="13" x14ac:dyDescent="0.15">
      <c r="A891" s="10"/>
      <c r="B891" s="13"/>
      <c r="C891" s="13"/>
    </row>
    <row r="892" spans="1:3" ht="13" x14ac:dyDescent="0.15">
      <c r="A892" s="10"/>
      <c r="B892" s="13"/>
      <c r="C892" s="13"/>
    </row>
    <row r="893" spans="1:3" ht="13" x14ac:dyDescent="0.15">
      <c r="A893" s="10"/>
      <c r="B893" s="13"/>
      <c r="C893" s="13"/>
    </row>
    <row r="894" spans="1:3" ht="13" x14ac:dyDescent="0.15">
      <c r="A894" s="10"/>
      <c r="B894" s="13"/>
      <c r="C894" s="13"/>
    </row>
    <row r="895" spans="1:3" ht="13" x14ac:dyDescent="0.15">
      <c r="A895" s="10"/>
      <c r="B895" s="13"/>
      <c r="C895" s="13"/>
    </row>
    <row r="896" spans="1:3" ht="13" x14ac:dyDescent="0.15">
      <c r="A896" s="10"/>
      <c r="B896" s="13"/>
      <c r="C896" s="13"/>
    </row>
    <row r="897" spans="1:3" ht="13" x14ac:dyDescent="0.15">
      <c r="A897" s="10"/>
      <c r="B897" s="13"/>
      <c r="C897" s="13"/>
    </row>
    <row r="898" spans="1:3" ht="13" x14ac:dyDescent="0.15">
      <c r="A898" s="10"/>
      <c r="B898" s="13"/>
      <c r="C898" s="13"/>
    </row>
    <row r="899" spans="1:3" ht="13" x14ac:dyDescent="0.15">
      <c r="A899" s="10"/>
      <c r="B899" s="13"/>
      <c r="C899" s="13"/>
    </row>
    <row r="900" spans="1:3" ht="13" x14ac:dyDescent="0.15">
      <c r="A900" s="10"/>
      <c r="B900" s="13"/>
      <c r="C900" s="13"/>
    </row>
    <row r="901" spans="1:3" ht="13" x14ac:dyDescent="0.15">
      <c r="A901" s="10"/>
      <c r="B901" s="13"/>
      <c r="C901" s="13"/>
    </row>
    <row r="902" spans="1:3" ht="13" x14ac:dyDescent="0.15">
      <c r="A902" s="10"/>
      <c r="B902" s="13"/>
      <c r="C902" s="13"/>
    </row>
    <row r="903" spans="1:3" ht="13" x14ac:dyDescent="0.15">
      <c r="A903" s="10"/>
      <c r="B903" s="13"/>
      <c r="C903" s="13"/>
    </row>
    <row r="904" spans="1:3" ht="13" x14ac:dyDescent="0.15">
      <c r="A904" s="10"/>
      <c r="B904" s="13"/>
      <c r="C904" s="13"/>
    </row>
    <row r="905" spans="1:3" ht="13" x14ac:dyDescent="0.15">
      <c r="A905" s="10"/>
      <c r="B905" s="13"/>
      <c r="C905" s="13"/>
    </row>
    <row r="906" spans="1:3" ht="13" x14ac:dyDescent="0.15">
      <c r="A906" s="10"/>
      <c r="B906" s="13"/>
      <c r="C906" s="13"/>
    </row>
    <row r="907" spans="1:3" ht="13" x14ac:dyDescent="0.15">
      <c r="A907" s="10"/>
      <c r="B907" s="13"/>
      <c r="C907" s="13"/>
    </row>
    <row r="908" spans="1:3" ht="13" x14ac:dyDescent="0.15">
      <c r="A908" s="10"/>
      <c r="B908" s="13"/>
      <c r="C908" s="13"/>
    </row>
    <row r="909" spans="1:3" ht="13" x14ac:dyDescent="0.15">
      <c r="A909" s="10"/>
      <c r="B909" s="13"/>
      <c r="C909" s="13"/>
    </row>
    <row r="910" spans="1:3" ht="13" x14ac:dyDescent="0.15">
      <c r="A910" s="10"/>
      <c r="B910" s="13"/>
      <c r="C910" s="13"/>
    </row>
    <row r="911" spans="1:3" ht="13" x14ac:dyDescent="0.15">
      <c r="A911" s="10"/>
      <c r="B911" s="13"/>
      <c r="C911" s="13"/>
    </row>
    <row r="912" spans="1:3" ht="13" x14ac:dyDescent="0.15">
      <c r="A912" s="10"/>
      <c r="B912" s="13"/>
      <c r="C912" s="13"/>
    </row>
    <row r="913" spans="1:3" ht="13" x14ac:dyDescent="0.15">
      <c r="A913" s="10"/>
      <c r="B913" s="13"/>
      <c r="C913" s="13"/>
    </row>
    <row r="914" spans="1:3" ht="13" x14ac:dyDescent="0.15">
      <c r="A914" s="10"/>
      <c r="B914" s="13"/>
      <c r="C914" s="13"/>
    </row>
    <row r="915" spans="1:3" ht="13" x14ac:dyDescent="0.15">
      <c r="A915" s="10"/>
      <c r="B915" s="13"/>
      <c r="C915" s="13"/>
    </row>
    <row r="916" spans="1:3" ht="13" x14ac:dyDescent="0.15">
      <c r="A916" s="10"/>
      <c r="B916" s="13"/>
      <c r="C916" s="13"/>
    </row>
    <row r="917" spans="1:3" ht="13" x14ac:dyDescent="0.15">
      <c r="A917" s="10"/>
      <c r="B917" s="13"/>
      <c r="C917" s="13"/>
    </row>
    <row r="918" spans="1:3" ht="13" x14ac:dyDescent="0.15">
      <c r="A918" s="10"/>
      <c r="B918" s="13"/>
      <c r="C918" s="13"/>
    </row>
    <row r="919" spans="1:3" ht="13" x14ac:dyDescent="0.15">
      <c r="A919" s="10"/>
      <c r="B919" s="13"/>
      <c r="C919" s="13"/>
    </row>
    <row r="920" spans="1:3" ht="13" x14ac:dyDescent="0.15">
      <c r="A920" s="10"/>
      <c r="B920" s="13"/>
      <c r="C920" s="13"/>
    </row>
    <row r="921" spans="1:3" ht="13" x14ac:dyDescent="0.15">
      <c r="A921" s="10"/>
      <c r="B921" s="13"/>
      <c r="C921" s="13"/>
    </row>
    <row r="922" spans="1:3" ht="13" x14ac:dyDescent="0.15">
      <c r="A922" s="10"/>
      <c r="B922" s="13"/>
      <c r="C922" s="13"/>
    </row>
    <row r="923" spans="1:3" ht="13" x14ac:dyDescent="0.15">
      <c r="A923" s="10"/>
      <c r="B923" s="13"/>
      <c r="C923" s="13"/>
    </row>
    <row r="924" spans="1:3" ht="13" x14ac:dyDescent="0.15">
      <c r="A924" s="10"/>
      <c r="B924" s="13"/>
      <c r="C924" s="13"/>
    </row>
    <row r="925" spans="1:3" ht="13" x14ac:dyDescent="0.15">
      <c r="A925" s="10"/>
      <c r="B925" s="13"/>
      <c r="C925" s="13"/>
    </row>
    <row r="926" spans="1:3" ht="13" x14ac:dyDescent="0.15">
      <c r="A926" s="10"/>
      <c r="B926" s="13"/>
      <c r="C926" s="13"/>
    </row>
    <row r="927" spans="1:3" ht="13" x14ac:dyDescent="0.15">
      <c r="A927" s="10"/>
      <c r="B927" s="13"/>
      <c r="C927" s="13"/>
    </row>
    <row r="928" spans="1:3" ht="13" x14ac:dyDescent="0.15">
      <c r="A928" s="10"/>
      <c r="B928" s="13"/>
      <c r="C928" s="13"/>
    </row>
    <row r="929" spans="1:3" ht="13" x14ac:dyDescent="0.15">
      <c r="A929" s="10"/>
      <c r="B929" s="13"/>
      <c r="C929" s="13"/>
    </row>
    <row r="930" spans="1:3" ht="13" x14ac:dyDescent="0.15">
      <c r="A930" s="10"/>
      <c r="B930" s="13"/>
      <c r="C930" s="13"/>
    </row>
    <row r="931" spans="1:3" ht="13" x14ac:dyDescent="0.15">
      <c r="A931" s="10"/>
      <c r="B931" s="13"/>
      <c r="C931" s="13"/>
    </row>
    <row r="932" spans="1:3" ht="13" x14ac:dyDescent="0.15">
      <c r="A932" s="10"/>
      <c r="B932" s="13"/>
      <c r="C932" s="13"/>
    </row>
    <row r="933" spans="1:3" ht="13" x14ac:dyDescent="0.15">
      <c r="A933" s="10"/>
      <c r="B933" s="13"/>
      <c r="C933" s="13"/>
    </row>
    <row r="934" spans="1:3" ht="13" x14ac:dyDescent="0.15">
      <c r="A934" s="10"/>
      <c r="B934" s="13"/>
      <c r="C934" s="13"/>
    </row>
    <row r="935" spans="1:3" ht="13" x14ac:dyDescent="0.15">
      <c r="A935" s="10"/>
      <c r="B935" s="13"/>
      <c r="C935" s="13"/>
    </row>
    <row r="936" spans="1:3" ht="13" x14ac:dyDescent="0.15">
      <c r="A936" s="10"/>
      <c r="B936" s="13"/>
      <c r="C936" s="13"/>
    </row>
    <row r="937" spans="1:3" ht="13" x14ac:dyDescent="0.15">
      <c r="A937" s="10"/>
      <c r="B937" s="13"/>
      <c r="C937" s="13"/>
    </row>
    <row r="938" spans="1:3" ht="13" x14ac:dyDescent="0.15">
      <c r="A938" s="10"/>
      <c r="B938" s="13"/>
      <c r="C938" s="13"/>
    </row>
    <row r="939" spans="1:3" ht="13" x14ac:dyDescent="0.15">
      <c r="A939" s="10"/>
      <c r="B939" s="13"/>
      <c r="C939" s="13"/>
    </row>
    <row r="940" spans="1:3" ht="13" x14ac:dyDescent="0.15">
      <c r="A940" s="10"/>
      <c r="B940" s="13"/>
      <c r="C940" s="13"/>
    </row>
    <row r="941" spans="1:3" ht="13" x14ac:dyDescent="0.15">
      <c r="A941" s="10"/>
      <c r="B941" s="13"/>
      <c r="C941" s="13"/>
    </row>
    <row r="942" spans="1:3" ht="13" x14ac:dyDescent="0.15">
      <c r="A942" s="10"/>
      <c r="B942" s="13"/>
      <c r="C942" s="13"/>
    </row>
    <row r="943" spans="1:3" ht="13" x14ac:dyDescent="0.15">
      <c r="A943" s="10"/>
      <c r="B943" s="13"/>
      <c r="C943" s="13"/>
    </row>
    <row r="944" spans="1:3" ht="13" x14ac:dyDescent="0.15">
      <c r="A944" s="10"/>
      <c r="B944" s="13"/>
      <c r="C944" s="13"/>
    </row>
    <row r="945" spans="1:3" ht="13" x14ac:dyDescent="0.15">
      <c r="A945" s="10"/>
      <c r="B945" s="13"/>
      <c r="C945" s="13"/>
    </row>
    <row r="946" spans="1:3" ht="13" x14ac:dyDescent="0.15">
      <c r="A946" s="10"/>
      <c r="B946" s="13"/>
      <c r="C946" s="13"/>
    </row>
    <row r="947" spans="1:3" ht="13" x14ac:dyDescent="0.15">
      <c r="A947" s="10"/>
      <c r="B947" s="13"/>
      <c r="C947" s="13"/>
    </row>
    <row r="948" spans="1:3" ht="13" x14ac:dyDescent="0.15">
      <c r="A948" s="10"/>
      <c r="B948" s="13"/>
      <c r="C948" s="13"/>
    </row>
    <row r="949" spans="1:3" ht="13" x14ac:dyDescent="0.15">
      <c r="A949" s="10"/>
      <c r="B949" s="13"/>
      <c r="C949" s="13"/>
    </row>
    <row r="950" spans="1:3" ht="13" x14ac:dyDescent="0.15">
      <c r="A950" s="10"/>
      <c r="B950" s="13"/>
      <c r="C950" s="13"/>
    </row>
    <row r="951" spans="1:3" ht="13" x14ac:dyDescent="0.15">
      <c r="A951" s="10"/>
      <c r="B951" s="13"/>
      <c r="C951" s="13"/>
    </row>
    <row r="952" spans="1:3" ht="13" x14ac:dyDescent="0.15">
      <c r="A952" s="10"/>
      <c r="B952" s="13"/>
      <c r="C952" s="13"/>
    </row>
    <row r="953" spans="1:3" ht="13" x14ac:dyDescent="0.15">
      <c r="A953" s="10"/>
      <c r="B953" s="13"/>
      <c r="C953" s="13"/>
    </row>
    <row r="954" spans="1:3" ht="13" x14ac:dyDescent="0.15">
      <c r="A954" s="10"/>
      <c r="B954" s="13"/>
      <c r="C954" s="13"/>
    </row>
    <row r="955" spans="1:3" ht="13" x14ac:dyDescent="0.15">
      <c r="A955" s="10"/>
      <c r="B955" s="13"/>
      <c r="C955" s="13"/>
    </row>
    <row r="956" spans="1:3" ht="13" x14ac:dyDescent="0.15">
      <c r="A956" s="10"/>
      <c r="B956" s="13"/>
      <c r="C956" s="13"/>
    </row>
    <row r="957" spans="1:3" ht="13" x14ac:dyDescent="0.15">
      <c r="A957" s="10"/>
      <c r="B957" s="13"/>
      <c r="C957" s="13"/>
    </row>
    <row r="958" spans="1:3" ht="13" x14ac:dyDescent="0.15">
      <c r="A958" s="10"/>
      <c r="B958" s="13"/>
      <c r="C958" s="13"/>
    </row>
    <row r="959" spans="1:3" ht="13" x14ac:dyDescent="0.15">
      <c r="A959" s="10"/>
      <c r="B959" s="13"/>
      <c r="C959" s="13"/>
    </row>
    <row r="960" spans="1:3" ht="13" x14ac:dyDescent="0.15">
      <c r="A960" s="10"/>
      <c r="B960" s="13"/>
      <c r="C960" s="13"/>
    </row>
    <row r="961" spans="1:3" ht="13" x14ac:dyDescent="0.15">
      <c r="A961" s="10"/>
      <c r="B961" s="13"/>
      <c r="C961" s="13"/>
    </row>
    <row r="962" spans="1:3" ht="13" x14ac:dyDescent="0.15">
      <c r="A962" s="10"/>
      <c r="B962" s="13"/>
      <c r="C962" s="13"/>
    </row>
    <row r="963" spans="1:3" ht="13" x14ac:dyDescent="0.15">
      <c r="A963" s="10"/>
      <c r="B963" s="13"/>
      <c r="C963" s="13"/>
    </row>
    <row r="964" spans="1:3" ht="13" x14ac:dyDescent="0.15">
      <c r="A964" s="10"/>
      <c r="B964" s="13"/>
      <c r="C964" s="13"/>
    </row>
    <row r="965" spans="1:3" ht="13" x14ac:dyDescent="0.15">
      <c r="A965" s="10"/>
      <c r="B965" s="13"/>
      <c r="C965" s="13"/>
    </row>
    <row r="966" spans="1:3" ht="13" x14ac:dyDescent="0.15">
      <c r="A966" s="10"/>
      <c r="B966" s="13"/>
      <c r="C966" s="13"/>
    </row>
    <row r="967" spans="1:3" ht="13" x14ac:dyDescent="0.15">
      <c r="A967" s="10"/>
      <c r="B967" s="13"/>
      <c r="C967" s="13"/>
    </row>
    <row r="968" spans="1:3" ht="13" x14ac:dyDescent="0.15">
      <c r="A968" s="10"/>
      <c r="B968" s="13"/>
      <c r="C968" s="13"/>
    </row>
    <row r="969" spans="1:3" ht="13" x14ac:dyDescent="0.15">
      <c r="A969" s="10"/>
      <c r="B969" s="13"/>
      <c r="C969" s="13"/>
    </row>
    <row r="970" spans="1:3" ht="13" x14ac:dyDescent="0.15">
      <c r="A970" s="10"/>
      <c r="B970" s="13"/>
      <c r="C970" s="13"/>
    </row>
    <row r="971" spans="1:3" ht="13" x14ac:dyDescent="0.15">
      <c r="A971" s="10"/>
      <c r="B971" s="13"/>
      <c r="C971" s="13"/>
    </row>
    <row r="972" spans="1:3" ht="13" x14ac:dyDescent="0.15">
      <c r="A972" s="10"/>
      <c r="B972" s="13"/>
      <c r="C972" s="13"/>
    </row>
    <row r="973" spans="1:3" ht="13" x14ac:dyDescent="0.15">
      <c r="A973" s="10"/>
      <c r="B973" s="13"/>
      <c r="C973" s="13"/>
    </row>
    <row r="974" spans="1:3" ht="13" x14ac:dyDescent="0.15">
      <c r="A974" s="10"/>
      <c r="B974" s="13"/>
      <c r="C974" s="13"/>
    </row>
    <row r="975" spans="1:3" ht="13" x14ac:dyDescent="0.15">
      <c r="A975" s="10"/>
      <c r="B975" s="13"/>
      <c r="C975" s="13"/>
    </row>
    <row r="976" spans="1:3" ht="13" x14ac:dyDescent="0.15">
      <c r="A976" s="10"/>
      <c r="B976" s="13"/>
      <c r="C976" s="13"/>
    </row>
    <row r="977" spans="1:3" ht="13" x14ac:dyDescent="0.15">
      <c r="A977" s="10"/>
      <c r="B977" s="13"/>
      <c r="C977" s="13"/>
    </row>
    <row r="978" spans="1:3" ht="13" x14ac:dyDescent="0.15">
      <c r="A978" s="10"/>
      <c r="B978" s="13"/>
      <c r="C978" s="13"/>
    </row>
    <row r="979" spans="1:3" ht="13" x14ac:dyDescent="0.15">
      <c r="A979" s="10"/>
      <c r="B979" s="13"/>
      <c r="C979" s="13"/>
    </row>
    <row r="980" spans="1:3" ht="13" x14ac:dyDescent="0.15">
      <c r="A980" s="10"/>
      <c r="B980" s="13"/>
      <c r="C980" s="13"/>
    </row>
    <row r="981" spans="1:3" ht="13" x14ac:dyDescent="0.15">
      <c r="A981" s="10"/>
      <c r="B981" s="13"/>
      <c r="C981" s="13"/>
    </row>
    <row r="982" spans="1:3" ht="13" x14ac:dyDescent="0.15">
      <c r="A982" s="10"/>
      <c r="B982" s="13"/>
      <c r="C982" s="13"/>
    </row>
    <row r="983" spans="1:3" ht="13" x14ac:dyDescent="0.15">
      <c r="A983" s="10"/>
      <c r="B983" s="13"/>
      <c r="C983" s="13"/>
    </row>
    <row r="984" spans="1:3" ht="13" x14ac:dyDescent="0.15">
      <c r="A984" s="10"/>
      <c r="B984" s="13"/>
      <c r="C984" s="13"/>
    </row>
    <row r="985" spans="1:3" ht="13" x14ac:dyDescent="0.15">
      <c r="A985" s="10"/>
      <c r="B985" s="13"/>
      <c r="C985" s="13"/>
    </row>
    <row r="986" spans="1:3" ht="13" x14ac:dyDescent="0.15">
      <c r="A986" s="10"/>
      <c r="B986" s="13"/>
      <c r="C986" s="13"/>
    </row>
    <row r="987" spans="1:3" ht="13" x14ac:dyDescent="0.15">
      <c r="A987" s="10"/>
      <c r="B987" s="13"/>
      <c r="C987" s="13"/>
    </row>
    <row r="988" spans="1:3" ht="13" x14ac:dyDescent="0.15">
      <c r="A988" s="10"/>
      <c r="B988" s="13"/>
      <c r="C988" s="13"/>
    </row>
    <row r="989" spans="1:3" ht="13" x14ac:dyDescent="0.15">
      <c r="A989" s="10"/>
      <c r="B989" s="13"/>
      <c r="C989" s="13"/>
    </row>
    <row r="990" spans="1:3" ht="13" x14ac:dyDescent="0.15">
      <c r="A990" s="10"/>
      <c r="B990" s="13"/>
      <c r="C990" s="13"/>
    </row>
    <row r="991" spans="1:3" ht="13" x14ac:dyDescent="0.15">
      <c r="A991" s="10"/>
      <c r="B991" s="13"/>
      <c r="C991" s="13"/>
    </row>
    <row r="992" spans="1:3" ht="13" x14ac:dyDescent="0.15">
      <c r="A992" s="10"/>
      <c r="B992" s="13"/>
      <c r="C992" s="13"/>
    </row>
    <row r="993" spans="1:3" ht="13" x14ac:dyDescent="0.15">
      <c r="A993" s="10"/>
      <c r="B993" s="13"/>
      <c r="C993" s="13"/>
    </row>
    <row r="994" spans="1:3" ht="13" x14ac:dyDescent="0.15">
      <c r="A994" s="10"/>
      <c r="B994" s="13"/>
      <c r="C994" s="13"/>
    </row>
    <row r="995" spans="1:3" ht="13" x14ac:dyDescent="0.15">
      <c r="A995" s="10"/>
      <c r="B995" s="13"/>
      <c r="C995" s="13"/>
    </row>
    <row r="996" spans="1:3" ht="13" x14ac:dyDescent="0.15">
      <c r="A996" s="10"/>
      <c r="B996" s="13"/>
      <c r="C996" s="13"/>
    </row>
    <row r="997" spans="1:3" ht="13" x14ac:dyDescent="0.15">
      <c r="A997" s="10"/>
      <c r="B997" s="13"/>
      <c r="C997" s="13"/>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outlinePr summaryBelow="0" summaryRight="0"/>
  </sheetPr>
  <dimension ref="A1:D997"/>
  <sheetViews>
    <sheetView workbookViewId="0"/>
  </sheetViews>
  <sheetFormatPr baseColWidth="10" defaultColWidth="12.6640625" defaultRowHeight="15.75" customHeight="1" x14ac:dyDescent="0.15"/>
  <cols>
    <col min="1" max="1" width="71.5" customWidth="1"/>
    <col min="2" max="4" width="37.6640625" customWidth="1"/>
  </cols>
  <sheetData>
    <row r="1" spans="1:4" ht="15.75" customHeight="1" x14ac:dyDescent="0.15">
      <c r="A1" s="1"/>
      <c r="B1" s="10" t="str">
        <f ca="1">IFERROR(__xludf.DUMMYFUNCTION("IMPORTRANGE(""https://docs.google.com/spreadsheets/u/0/d/1etLQb97lMSNWG4ebq9e4mMf5V6Y_IPpBxMswZpIG47E"", ""A61!B1:B22"")"),"Erin Loudermilk")</f>
        <v>Erin Loudermilk</v>
      </c>
      <c r="C1" s="10" t="str">
        <f ca="1">IFERROR(__xludf.DUMMYFUNCTION("IMPORTRANGE(""https://docs.google.com/spreadsheets/u/0/d/1DTeUShR903oScgwuFGuA8V8JqIoXmME8W-T3lNP0oHM"", ""A61!B1:B22"")"),"McKinzie Novak")</f>
        <v>McKinzie Novak</v>
      </c>
      <c r="D1" s="2" t="s">
        <v>1</v>
      </c>
    </row>
    <row r="2" spans="1:4" ht="15.75" customHeight="1" x14ac:dyDescent="0.15">
      <c r="A2" s="3" t="s">
        <v>2</v>
      </c>
      <c r="B2" s="15" t="str">
        <f ca="1">IFERROR(__xludf.DUMMYFUNCTION("""COMPUTED_VALUE"""),"33630 - 33848 FOR")</f>
        <v>33630 - 33848 FOR</v>
      </c>
      <c r="C2" s="15" t="str">
        <f ca="1">IFERROR(__xludf.DUMMYFUNCTION("""COMPUTED_VALUE"""),"START: 33630
STOP: 33848
FORWARD")</f>
        <v>START: 33630
STOP: 33848
FORWARD</v>
      </c>
      <c r="D2" s="4"/>
    </row>
    <row r="3" spans="1:4" ht="15.75" customHeight="1" x14ac:dyDescent="0.15">
      <c r="A3" s="5" t="s">
        <v>3</v>
      </c>
      <c r="B3" s="17" t="str">
        <f ca="1">IFERROR(__xludf.DUMMYFUNCTION("""COMPUTED_VALUE"""),"DNA: 60, Pham:61")</f>
        <v>DNA: 60, Pham:61</v>
      </c>
      <c r="C3" s="17" t="str">
        <f ca="1">IFERROR(__xludf.DUMMYFUNCTION("""COMPUTED_VALUE"""),"DNAM: 60
PHAM: 61
Phagesdb: 61")</f>
        <v>DNAM: 60
PHAM: 61
Phagesdb: 61</v>
      </c>
      <c r="D3" s="6"/>
    </row>
    <row r="4" spans="1:4" ht="15.75" customHeight="1" x14ac:dyDescent="0.15">
      <c r="A4" s="5" t="s">
        <v>4</v>
      </c>
      <c r="B4" s="17" t="str">
        <f ca="1">IFERROR(__xludf.DUMMYFUNCTION("""COMPUTED_VALUE"""),"Pham 221357 (3/17/25)")</f>
        <v>Pham 221357 (3/17/25)</v>
      </c>
      <c r="C4" s="17" t="str">
        <f ca="1">IFERROR(__xludf.DUMMYFUNCTION("""COMPUTED_VALUE"""),"#219631 3/10/25")</f>
        <v>#219631 3/10/25</v>
      </c>
      <c r="D4" s="6"/>
    </row>
    <row r="5" spans="1:4" ht="15.75" customHeight="1" x14ac:dyDescent="0.15">
      <c r="A5" s="5" t="s">
        <v>5</v>
      </c>
      <c r="B5" s="17" t="str">
        <f ca="1">IFERROR(__xludf.DUMMYFUNCTION("""COMPUTED_VALUE"""),"Rap15_35")</f>
        <v>Rap15_35</v>
      </c>
      <c r="C5" s="17" t="str">
        <f ca="1">IFERROR(__xludf.DUMMYFUNCTION("""COMPUTED_VALUE"""),"Kovu #59, Edmundo #60, RAP15 #35")</f>
        <v>Kovu #59, Edmundo #60, RAP15 #35</v>
      </c>
      <c r="D5" s="6"/>
    </row>
    <row r="6" spans="1:4" ht="15.75" customHeight="1" x14ac:dyDescent="0.15">
      <c r="A6" s="5" t="s">
        <v>6</v>
      </c>
      <c r="B6" s="17" t="str">
        <f ca="1">IFERROR(__xludf.DUMMYFUNCTION("""COMPUTED_VALUE"""),"Both call start")</f>
        <v>Both call start</v>
      </c>
      <c r="C6" s="17" t="str">
        <f ca="1">IFERROR(__xludf.DUMMYFUNCTION("""COMPUTED_VALUE"""),"Glimmer and GeneMark both agree on the start at 33630")</f>
        <v>Glimmer and GeneMark both agree on the start at 33630</v>
      </c>
      <c r="D6" s="6"/>
    </row>
    <row r="7" spans="1:4" ht="15.75" customHeight="1" x14ac:dyDescent="0.15">
      <c r="A7" s="5" t="s">
        <v>7</v>
      </c>
      <c r="B7" s="17" t="str">
        <f ca="1">IFERROR(__xludf.DUMMYFUNCTION("""COMPUTED_VALUE"""),"Gene has good coding potential, including start")</f>
        <v>Gene has good coding potential, including start</v>
      </c>
      <c r="C7" s="17" t="str">
        <f ca="1">IFERROR(__xludf.DUMMYFUNCTION("""COMPUTED_VALUE"""),"Yes, it has good coding potential, and the start catches all coding potential.")</f>
        <v>Yes, it has good coding potential, and the start catches all coding potential.</v>
      </c>
      <c r="D7" s="6"/>
    </row>
    <row r="8" spans="1:4" ht="15.75" customHeight="1" x14ac:dyDescent="0.15">
      <c r="A8" s="5" t="s">
        <v>8</v>
      </c>
      <c r="B8" s="17" t="str">
        <f ca="1">IFERROR(__xludf.DUMMYFUNCTION("""COMPUTED_VALUE"""),"No, longest ORF is @ start 33531")</f>
        <v>No, longest ORF is @ start 33531</v>
      </c>
      <c r="C8" s="17" t="str">
        <f ca="1">IFERROR(__xludf.DUMMYFUNCTION("""COMPUTED_VALUE"""),"No, there are much earlier starts at 33531 &amp; 33549")</f>
        <v>No, there are much earlier starts at 33531 &amp; 33549</v>
      </c>
      <c r="D8" s="6"/>
    </row>
    <row r="9" spans="1:4" ht="15.75" customHeight="1" x14ac:dyDescent="0.15">
      <c r="A9" s="5" t="s">
        <v>9</v>
      </c>
      <c r="B9" s="17" t="str">
        <f ca="1">IFERROR(__xludf.DUMMYFUNCTION("""COMPUTED_VALUE"""),"125 nucleotide gap, gap has best z-score and coding potential")</f>
        <v>125 nucleotide gap, gap has best z-score and coding potential</v>
      </c>
      <c r="C9" s="17" t="str">
        <f ca="1">IFERROR(__xludf.DUMMYFUNCTION("""COMPUTED_VALUE"""),"The start has a gap of 127 base pairs, earlier starts would cut back, but there is no coding potential to support moving.")</f>
        <v>The start has a gap of 127 base pairs, earlier starts would cut back, but there is no coding potential to support moving.</v>
      </c>
      <c r="D9" s="6"/>
    </row>
    <row r="10" spans="1:4" ht="15.75" customHeight="1" x14ac:dyDescent="0.15">
      <c r="A10" s="5" t="s">
        <v>10</v>
      </c>
      <c r="B10" s="17" t="str">
        <f ca="1">IFERROR(__xludf.DUMMYFUNCTION("""COMPUTED_VALUE"""),"2.807 best z-score")</f>
        <v>2.807 best z-score</v>
      </c>
      <c r="C10" s="17" t="str">
        <f ca="1">IFERROR(__xludf.DUMMYFUNCTION("""COMPUTED_VALUE"""),"Start: 33630
z-val: 2.807 RBS: -2.9")</f>
        <v>Start: 33630
z-val: 2.807 RBS: -2.9</v>
      </c>
      <c r="D10" s="6"/>
    </row>
    <row r="11" spans="1:4" ht="15.75" customHeight="1" x14ac:dyDescent="0.15">
      <c r="A11" s="5" t="s">
        <v>11</v>
      </c>
      <c r="B11" s="17" t="str">
        <f ca="1">IFERROR(__xludf.DUMMYFUNCTION("""COMPUTED_VALUE"""),"Kovu_59, 81.94% identity, 1.9E-30 e-value, Q:69, S: 100")</f>
        <v>Kovu_59, 81.94% identity, 1.9E-30 e-value, Q:69, S: 100</v>
      </c>
      <c r="C11" s="17" t="str">
        <f ca="1">IFERROR(__xludf.DUMMYFUNCTION("""COMPUTED_VALUE"""),"Kovu #59 
%ID: 81.94 e-val: 1.9e-30
Q:1 S:29
RAP15 #35 
%ID: 44.93 e-val: 9.9e-12
Q:3 S:4")</f>
        <v>Kovu #59 
%ID: 81.94 e-val: 1.9e-30
Q:1 S:29
RAP15 #35 
%ID: 44.93 e-val: 9.9e-12
Q:3 S:4</v>
      </c>
      <c r="D11" s="6"/>
    </row>
    <row r="12" spans="1:4" ht="15.75" customHeight="1" x14ac:dyDescent="0.15">
      <c r="A12" s="5" t="s">
        <v>12</v>
      </c>
      <c r="B12" s="17" t="str">
        <f ca="1">IFERROR(__xludf.DUMMYFUNCTION("""COMPUTED_VALUE"""),"Not conserved in all members, called 100% time when present")</f>
        <v>Not conserved in all members, called 100% time when present</v>
      </c>
      <c r="C12" s="17" t="str">
        <f ca="1">IFERROR(__xludf.DUMMYFUNCTION("""COMPUTED_VALUE"""),"Only Apokipo &amp; Kovu have this start (15), but Kovu calls another start that Apokipo doesn't have (8) It would be called 100% of the time")</f>
        <v>Only Apokipo &amp; Kovu have this start (15), but Kovu calls another start that Apokipo doesn't have (8) It would be called 100% of the time</v>
      </c>
      <c r="D12" s="6"/>
    </row>
    <row r="13" spans="1:4" ht="15.75" customHeight="1" x14ac:dyDescent="0.15">
      <c r="A13" s="5" t="s">
        <v>13</v>
      </c>
      <c r="B13" s="17" t="str">
        <f ca="1">IFERROR(__xludf.DUMMYFUNCTION("""COMPUTED_VALUE"""),"No")</f>
        <v>No</v>
      </c>
      <c r="C13" s="17" t="str">
        <f ca="1">IFERROR(__xludf.DUMMYFUNCTION("""COMPUTED_VALUE"""),"No, there is no reason to move to an earlier start without support by something concrete, All coding potential is already caught")</f>
        <v>No, there is no reason to move to an earlier start without support by something concrete, All coding potential is already caught</v>
      </c>
      <c r="D13" s="6"/>
    </row>
    <row r="14" spans="1:4" ht="15.75" customHeight="1" x14ac:dyDescent="0.15">
      <c r="A14" s="5" t="s">
        <v>14</v>
      </c>
      <c r="B14" s="17" t="str">
        <f ca="1">IFERROR(__xludf.DUMMYFUNCTION("""COMPUTED_VALUE"""),"Kovu_59, 1e-26")</f>
        <v>Kovu_59, 1e-26</v>
      </c>
      <c r="C14" s="17" t="str">
        <f ca="1">IFERROR(__xludf.DUMMYFUNCTION("""COMPUTED_VALUE"""),"Kovu #59 e-val: 1.9e-30, 
RAP15 #35 e-val: 9.9e-12")</f>
        <v>Kovu #59 e-val: 1.9e-30, 
RAP15 #35 e-val: 9.9e-12</v>
      </c>
      <c r="D14" s="6"/>
    </row>
    <row r="15" spans="1:4" ht="15.75" customHeight="1" x14ac:dyDescent="0.15">
      <c r="A15" s="5" t="s">
        <v>15</v>
      </c>
      <c r="B15" s="17" t="str">
        <f ca="1">IFERROR(__xludf.DUMMYFUNCTION("""COMPUTED_VALUE"""),"Function unknown")</f>
        <v>Function unknown</v>
      </c>
      <c r="C15" s="17" t="str">
        <f ca="1">IFERROR(__xludf.DUMMYFUNCTION("""COMPUTED_VALUE"""),"Kovu #59 and RAP15 are hypothetical proteins")</f>
        <v>Kovu #59 and RAP15 are hypothetical proteins</v>
      </c>
      <c r="D15" s="6"/>
    </row>
    <row r="16" spans="1:4" ht="15.75" customHeight="1" x14ac:dyDescent="0.15">
      <c r="A16" s="5" t="s">
        <v>16</v>
      </c>
      <c r="B16" s="17" t="str">
        <f ca="1">IFERROR(__xludf.DUMMYFUNCTION("""COMPUTED_VALUE"""),"Found in similar environment in Kovu")</f>
        <v>Found in similar environment in Kovu</v>
      </c>
      <c r="C16" s="17" t="str">
        <f ca="1">IFERROR(__xludf.DUMMYFUNCTION("""COMPUTED_VALUE"""),"The genetic environment is well aligned, both adjacent sides are hypothetical proteins but it has good synteny")</f>
        <v>The genetic environment is well aligned, both adjacent sides are hypothetical proteins but it has good synteny</v>
      </c>
      <c r="D16" s="6"/>
    </row>
    <row r="17" spans="1:4" ht="15.75" customHeight="1" x14ac:dyDescent="0.15">
      <c r="A17" s="5" t="s">
        <v>17</v>
      </c>
      <c r="B17" s="17" t="str">
        <f ca="1">IFERROR(__xludf.DUMMYFUNCTION("""COMPUTED_VALUE"""),"PF08207.17, EFP_N ; Elongation factor P (EF-P) KOW-like domain, 86.11% probability, 76.39% Q, 89.66% T, Function domain in target part")</f>
        <v>PF08207.17, EFP_N ; Elongation factor P (EF-P) KOW-like domain, 86.11% probability, 76.39% Q, 89.66% T, Function domain in target part</v>
      </c>
      <c r="C17" s="17" t="str">
        <f ca="1">IFERROR(__xludf.DUMMYFUNCTION("""COMPUTED_VALUE"""),"DESC: Elongation factor P; glycosyltransferase, GT-B, EF-P, rhamnosylation, translation elongation, dTDP-rhamnose, TRANSFERASE
Prob:84.25 %ALQ:73.6 %ALT:75.7
No, entire sequence is the domain but alignment does not span the entirety, just the beginning")</f>
        <v>DESC: Elongation factor P; glycosyltransferase, GT-B, EF-P, rhamnosylation, translation elongation, dTDP-rhamnose, TRANSFERASE
Prob:84.25 %ALQ:73.6 %ALT:75.7
No, entire sequence is the domain but alignment does not span the entirety, just the beginning</v>
      </c>
      <c r="D17" s="6"/>
    </row>
    <row r="18" spans="1:4" ht="15.75" customHeight="1" x14ac:dyDescent="0.15">
      <c r="A18" s="5" t="s">
        <v>18</v>
      </c>
      <c r="B18" s="17" t="str">
        <f ca="1">IFERROR(__xludf.DUMMYFUNCTION("""COMPUTED_VALUE"""),"None")</f>
        <v>None</v>
      </c>
      <c r="C18" s="17" t="str">
        <f ca="1">IFERROR(__xludf.DUMMYFUNCTION("""COMPUTED_VALUE"""),"No, (possibly an elongation factor) but without better evidence DUF")</f>
        <v>No, (possibly an elongation factor) but without better evidence DUF</v>
      </c>
      <c r="D18" s="6"/>
    </row>
    <row r="19" spans="1:4" ht="15.75" customHeight="1" x14ac:dyDescent="0.15">
      <c r="A19" s="5" t="s">
        <v>19</v>
      </c>
      <c r="B19" s="17" t="str">
        <f ca="1">IFERROR(__xludf.DUMMYFUNCTION("""COMPUTED_VALUE"""),"None")</f>
        <v>None</v>
      </c>
      <c r="C19" s="17" t="str">
        <f ca="1">IFERROR(__xludf.DUMMYFUNCTION("""COMPUTED_VALUE"""),"None")</f>
        <v>None</v>
      </c>
      <c r="D19" s="6"/>
    </row>
    <row r="20" spans="1:4" ht="15.75" customHeight="1" x14ac:dyDescent="0.15">
      <c r="A20" s="5" t="s">
        <v>20</v>
      </c>
      <c r="B20" s="17" t="str">
        <f ca="1">IFERROR(__xludf.DUMMYFUNCTION("""COMPUTED_VALUE"""),"Hypothetical protein")</f>
        <v>Hypothetical protein</v>
      </c>
      <c r="C20" s="17" t="str">
        <f ca="1">IFERROR(__xludf.DUMMYFUNCTION("""COMPUTED_VALUE"""),"Hypothetical Protein")</f>
        <v>Hypothetical Protein</v>
      </c>
      <c r="D20" s="6"/>
    </row>
    <row r="21" spans="1:4" x14ac:dyDescent="0.2">
      <c r="A21" s="7"/>
      <c r="B21" s="19"/>
      <c r="C21" s="19"/>
      <c r="D21" s="8"/>
    </row>
    <row r="22" spans="1:4" ht="15.75" customHeight="1" x14ac:dyDescent="0.15">
      <c r="A22" s="9" t="s">
        <v>21</v>
      </c>
      <c r="B22" s="19"/>
      <c r="C22" s="19"/>
      <c r="D22" s="8"/>
    </row>
    <row r="23" spans="1:4" ht="15.75" customHeight="1" x14ac:dyDescent="0.15">
      <c r="A23" s="10"/>
      <c r="B23" s="13"/>
      <c r="C23" s="13"/>
    </row>
    <row r="24" spans="1:4" ht="15.75" customHeight="1" x14ac:dyDescent="0.15">
      <c r="A24" s="10"/>
      <c r="B24" s="13"/>
      <c r="C24" s="13"/>
    </row>
    <row r="25" spans="1:4" ht="15.75" customHeight="1" x14ac:dyDescent="0.15">
      <c r="A25" s="10"/>
      <c r="B25" s="13"/>
      <c r="C25" s="13"/>
    </row>
    <row r="26" spans="1:4" ht="15.75" customHeight="1" x14ac:dyDescent="0.15">
      <c r="A26" s="10"/>
      <c r="B26" s="13"/>
      <c r="C26" s="13"/>
    </row>
    <row r="27" spans="1:4" ht="15.75" customHeight="1" x14ac:dyDescent="0.15">
      <c r="A27" s="10"/>
      <c r="B27" s="13"/>
      <c r="C27" s="13"/>
    </row>
    <row r="28" spans="1:4" ht="15.75" customHeight="1" x14ac:dyDescent="0.15">
      <c r="A28" s="10"/>
      <c r="B28" s="13"/>
      <c r="C28" s="13"/>
    </row>
    <row r="29" spans="1:4" ht="15.75" customHeight="1" x14ac:dyDescent="0.15">
      <c r="A29" s="10"/>
      <c r="B29" s="13"/>
      <c r="C29" s="13"/>
    </row>
    <row r="30" spans="1:4" ht="15.75" customHeight="1" x14ac:dyDescent="0.15">
      <c r="A30" s="10"/>
      <c r="B30" s="13"/>
      <c r="C30" s="13"/>
    </row>
    <row r="31" spans="1:4" ht="15.75" customHeight="1" x14ac:dyDescent="0.15">
      <c r="A31" s="10"/>
      <c r="B31" s="13"/>
      <c r="C31" s="13"/>
    </row>
    <row r="32" spans="1:4" ht="15.75" customHeight="1" x14ac:dyDescent="0.15">
      <c r="A32" s="10"/>
      <c r="B32" s="13"/>
      <c r="C32" s="13"/>
    </row>
    <row r="33" spans="1:3" ht="15.75" customHeight="1" x14ac:dyDescent="0.15">
      <c r="A33" s="10"/>
      <c r="B33" s="13"/>
      <c r="C33" s="13"/>
    </row>
    <row r="34" spans="1:3" ht="15.75" customHeight="1" x14ac:dyDescent="0.15">
      <c r="A34" s="10"/>
      <c r="B34" s="13"/>
      <c r="C34" s="13"/>
    </row>
    <row r="35" spans="1:3" ht="15.75" customHeight="1" x14ac:dyDescent="0.15">
      <c r="A35" s="10"/>
      <c r="B35" s="13"/>
      <c r="C35" s="13"/>
    </row>
    <row r="36" spans="1:3" ht="15.75" customHeight="1" x14ac:dyDescent="0.15">
      <c r="A36" s="10"/>
      <c r="B36" s="13"/>
      <c r="C36" s="13"/>
    </row>
    <row r="37" spans="1:3" ht="15.75" customHeight="1" x14ac:dyDescent="0.15">
      <c r="A37" s="10"/>
      <c r="B37" s="13"/>
      <c r="C37" s="13"/>
    </row>
    <row r="38" spans="1:3" ht="15.75" customHeight="1" x14ac:dyDescent="0.15">
      <c r="A38" s="10"/>
      <c r="B38" s="13"/>
      <c r="C38" s="13"/>
    </row>
    <row r="39" spans="1:3" ht="13" x14ac:dyDescent="0.15">
      <c r="A39" s="10"/>
      <c r="B39" s="13"/>
      <c r="C39" s="13"/>
    </row>
    <row r="40" spans="1:3" ht="13" x14ac:dyDescent="0.15">
      <c r="A40" s="10"/>
      <c r="B40" s="13"/>
      <c r="C40" s="13"/>
    </row>
    <row r="41" spans="1:3" ht="13" x14ac:dyDescent="0.15">
      <c r="A41" s="10"/>
      <c r="B41" s="13"/>
      <c r="C41" s="13"/>
    </row>
    <row r="42" spans="1:3" ht="13" x14ac:dyDescent="0.15">
      <c r="A42" s="10"/>
      <c r="B42" s="13"/>
      <c r="C42" s="13"/>
    </row>
    <row r="43" spans="1:3" ht="13" x14ac:dyDescent="0.15">
      <c r="A43" s="10"/>
      <c r="B43" s="13"/>
      <c r="C43" s="13"/>
    </row>
    <row r="44" spans="1:3" ht="13" x14ac:dyDescent="0.15">
      <c r="A44" s="10"/>
      <c r="B44" s="13"/>
      <c r="C44" s="13"/>
    </row>
    <row r="45" spans="1:3" ht="13" x14ac:dyDescent="0.15">
      <c r="A45" s="10"/>
      <c r="B45" s="13"/>
      <c r="C45" s="13"/>
    </row>
    <row r="46" spans="1:3" ht="13" x14ac:dyDescent="0.15">
      <c r="A46" s="10"/>
      <c r="B46" s="13"/>
      <c r="C46" s="13"/>
    </row>
    <row r="47" spans="1:3" ht="13" x14ac:dyDescent="0.15">
      <c r="A47" s="10"/>
      <c r="B47" s="13"/>
      <c r="C47" s="13"/>
    </row>
    <row r="48" spans="1:3" ht="13" x14ac:dyDescent="0.15">
      <c r="A48" s="10"/>
      <c r="B48" s="13"/>
      <c r="C48" s="13"/>
    </row>
    <row r="49" spans="1:3" ht="13" x14ac:dyDescent="0.15">
      <c r="A49" s="10"/>
      <c r="B49" s="13"/>
      <c r="C49" s="13"/>
    </row>
    <row r="50" spans="1:3" ht="13" x14ac:dyDescent="0.15">
      <c r="A50" s="10"/>
      <c r="B50" s="13"/>
      <c r="C50" s="13"/>
    </row>
    <row r="51" spans="1:3" ht="13" x14ac:dyDescent="0.15">
      <c r="A51" s="10"/>
      <c r="B51" s="13"/>
      <c r="C51" s="13"/>
    </row>
    <row r="52" spans="1:3" ht="13" x14ac:dyDescent="0.15">
      <c r="A52" s="10"/>
      <c r="B52" s="13"/>
      <c r="C52" s="13"/>
    </row>
    <row r="53" spans="1:3" ht="13" x14ac:dyDescent="0.15">
      <c r="A53" s="10"/>
      <c r="B53" s="13"/>
      <c r="C53" s="13"/>
    </row>
    <row r="54" spans="1:3" ht="13" x14ac:dyDescent="0.15">
      <c r="A54" s="10"/>
      <c r="B54" s="13"/>
      <c r="C54" s="13"/>
    </row>
    <row r="55" spans="1:3" ht="13" x14ac:dyDescent="0.15">
      <c r="A55" s="10"/>
      <c r="B55" s="13"/>
      <c r="C55" s="13"/>
    </row>
    <row r="56" spans="1:3" ht="13" x14ac:dyDescent="0.15">
      <c r="A56" s="10"/>
      <c r="B56" s="13"/>
      <c r="C56" s="13"/>
    </row>
    <row r="57" spans="1:3" ht="13" x14ac:dyDescent="0.15">
      <c r="A57" s="10"/>
      <c r="B57" s="13"/>
      <c r="C57" s="13"/>
    </row>
    <row r="58" spans="1:3" ht="13" x14ac:dyDescent="0.15">
      <c r="A58" s="10"/>
      <c r="B58" s="13"/>
      <c r="C58" s="13"/>
    </row>
    <row r="59" spans="1:3" ht="13" x14ac:dyDescent="0.15">
      <c r="A59" s="10"/>
      <c r="B59" s="13"/>
      <c r="C59" s="13"/>
    </row>
    <row r="60" spans="1:3" ht="13" x14ac:dyDescent="0.15">
      <c r="A60" s="10"/>
      <c r="B60" s="13"/>
      <c r="C60" s="13"/>
    </row>
    <row r="61" spans="1:3" ht="13" x14ac:dyDescent="0.15">
      <c r="A61" s="10"/>
      <c r="B61" s="13"/>
      <c r="C61" s="13"/>
    </row>
    <row r="62" spans="1:3" ht="13" x14ac:dyDescent="0.15">
      <c r="A62" s="10"/>
      <c r="B62" s="13"/>
      <c r="C62" s="13"/>
    </row>
    <row r="63" spans="1:3" ht="13" x14ac:dyDescent="0.15">
      <c r="A63" s="10"/>
      <c r="B63" s="13"/>
      <c r="C63" s="13"/>
    </row>
    <row r="64" spans="1:3" ht="13" x14ac:dyDescent="0.15">
      <c r="A64" s="10"/>
      <c r="B64" s="13"/>
      <c r="C64" s="13"/>
    </row>
    <row r="65" spans="1:3" ht="13" x14ac:dyDescent="0.15">
      <c r="A65" s="10"/>
      <c r="B65" s="13"/>
      <c r="C65" s="13"/>
    </row>
    <row r="66" spans="1:3" ht="13" x14ac:dyDescent="0.15">
      <c r="A66" s="10"/>
      <c r="B66" s="13"/>
      <c r="C66" s="13"/>
    </row>
    <row r="67" spans="1:3" ht="13" x14ac:dyDescent="0.15">
      <c r="A67" s="10"/>
      <c r="B67" s="13"/>
      <c r="C67" s="13"/>
    </row>
    <row r="68" spans="1:3" ht="13" x14ac:dyDescent="0.15">
      <c r="A68" s="10"/>
      <c r="B68" s="13"/>
      <c r="C68" s="13"/>
    </row>
    <row r="69" spans="1:3" ht="13" x14ac:dyDescent="0.15">
      <c r="A69" s="10"/>
      <c r="B69" s="13"/>
      <c r="C69" s="13"/>
    </row>
    <row r="70" spans="1:3" ht="13" x14ac:dyDescent="0.15">
      <c r="A70" s="10"/>
      <c r="B70" s="13"/>
      <c r="C70" s="13"/>
    </row>
    <row r="71" spans="1:3" ht="13" x14ac:dyDescent="0.15">
      <c r="A71" s="10"/>
      <c r="B71" s="13"/>
      <c r="C71" s="13"/>
    </row>
    <row r="72" spans="1:3" ht="13" x14ac:dyDescent="0.15">
      <c r="A72" s="10"/>
      <c r="B72" s="13"/>
      <c r="C72" s="13"/>
    </row>
    <row r="73" spans="1:3" ht="13" x14ac:dyDescent="0.15">
      <c r="A73" s="10"/>
      <c r="B73" s="13"/>
      <c r="C73" s="13"/>
    </row>
    <row r="74" spans="1:3" ht="13" x14ac:dyDescent="0.15">
      <c r="A74" s="10"/>
      <c r="B74" s="13"/>
      <c r="C74" s="13"/>
    </row>
    <row r="75" spans="1:3" ht="13" x14ac:dyDescent="0.15">
      <c r="A75" s="10"/>
      <c r="B75" s="13"/>
      <c r="C75" s="13"/>
    </row>
    <row r="76" spans="1:3" ht="13" x14ac:dyDescent="0.15">
      <c r="A76" s="10"/>
      <c r="B76" s="13"/>
      <c r="C76" s="13"/>
    </row>
    <row r="77" spans="1:3" ht="13" x14ac:dyDescent="0.15">
      <c r="A77" s="10"/>
      <c r="B77" s="13"/>
      <c r="C77" s="13"/>
    </row>
    <row r="78" spans="1:3" ht="13" x14ac:dyDescent="0.15">
      <c r="A78" s="10"/>
      <c r="B78" s="13"/>
      <c r="C78" s="13"/>
    </row>
    <row r="79" spans="1:3" ht="13" x14ac:dyDescent="0.15">
      <c r="A79" s="10"/>
      <c r="B79" s="13"/>
      <c r="C79" s="13"/>
    </row>
    <row r="80" spans="1:3" ht="13" x14ac:dyDescent="0.15">
      <c r="A80" s="10"/>
      <c r="B80" s="13"/>
      <c r="C80" s="13"/>
    </row>
    <row r="81" spans="1:3" ht="13" x14ac:dyDescent="0.15">
      <c r="A81" s="10"/>
      <c r="B81" s="13"/>
      <c r="C81" s="13"/>
    </row>
    <row r="82" spans="1:3" ht="13" x14ac:dyDescent="0.15">
      <c r="A82" s="10"/>
      <c r="B82" s="13"/>
      <c r="C82" s="13"/>
    </row>
    <row r="83" spans="1:3" ht="13" x14ac:dyDescent="0.15">
      <c r="A83" s="10"/>
      <c r="B83" s="13"/>
      <c r="C83" s="13"/>
    </row>
    <row r="84" spans="1:3" ht="13" x14ac:dyDescent="0.15">
      <c r="A84" s="10"/>
      <c r="B84" s="13"/>
      <c r="C84" s="13"/>
    </row>
    <row r="85" spans="1:3" ht="13" x14ac:dyDescent="0.15">
      <c r="A85" s="10"/>
      <c r="B85" s="13"/>
      <c r="C85" s="13"/>
    </row>
    <row r="86" spans="1:3" ht="13" x14ac:dyDescent="0.15">
      <c r="A86" s="10"/>
      <c r="B86" s="13"/>
      <c r="C86" s="13"/>
    </row>
    <row r="87" spans="1:3" ht="13" x14ac:dyDescent="0.15">
      <c r="A87" s="10"/>
      <c r="B87" s="13"/>
      <c r="C87" s="13"/>
    </row>
    <row r="88" spans="1:3" ht="13" x14ac:dyDescent="0.15">
      <c r="A88" s="10"/>
      <c r="B88" s="13"/>
      <c r="C88" s="13"/>
    </row>
    <row r="89" spans="1:3" ht="13" x14ac:dyDescent="0.15">
      <c r="A89" s="10"/>
      <c r="B89" s="13"/>
      <c r="C89" s="13"/>
    </row>
    <row r="90" spans="1:3" ht="13" x14ac:dyDescent="0.15">
      <c r="A90" s="10"/>
      <c r="B90" s="13"/>
      <c r="C90" s="13"/>
    </row>
    <row r="91" spans="1:3" ht="13" x14ac:dyDescent="0.15">
      <c r="A91" s="10"/>
      <c r="B91" s="13"/>
      <c r="C91" s="13"/>
    </row>
    <row r="92" spans="1:3" ht="13" x14ac:dyDescent="0.15">
      <c r="A92" s="10"/>
      <c r="B92" s="13"/>
      <c r="C92" s="13"/>
    </row>
    <row r="93" spans="1:3" ht="13" x14ac:dyDescent="0.15">
      <c r="A93" s="10"/>
      <c r="B93" s="13"/>
      <c r="C93" s="13"/>
    </row>
    <row r="94" spans="1:3" ht="13" x14ac:dyDescent="0.15">
      <c r="A94" s="10"/>
      <c r="B94" s="13"/>
      <c r="C94" s="13"/>
    </row>
    <row r="95" spans="1:3" ht="13" x14ac:dyDescent="0.15">
      <c r="A95" s="10"/>
      <c r="B95" s="13"/>
      <c r="C95" s="13"/>
    </row>
    <row r="96" spans="1:3" ht="13" x14ac:dyDescent="0.15">
      <c r="A96" s="10"/>
      <c r="B96" s="13"/>
      <c r="C96" s="13"/>
    </row>
    <row r="97" spans="1:3" ht="13" x14ac:dyDescent="0.15">
      <c r="A97" s="10"/>
      <c r="B97" s="13"/>
      <c r="C97" s="13"/>
    </row>
    <row r="98" spans="1:3" ht="13" x14ac:dyDescent="0.15">
      <c r="A98" s="10"/>
      <c r="B98" s="13"/>
      <c r="C98" s="13"/>
    </row>
    <row r="99" spans="1:3" ht="13" x14ac:dyDescent="0.15">
      <c r="A99" s="10"/>
      <c r="B99" s="13"/>
      <c r="C99" s="13"/>
    </row>
    <row r="100" spans="1:3" ht="13" x14ac:dyDescent="0.15">
      <c r="A100" s="10"/>
      <c r="B100" s="13"/>
      <c r="C100" s="13"/>
    </row>
    <row r="101" spans="1:3" ht="13" x14ac:dyDescent="0.15">
      <c r="A101" s="10"/>
      <c r="B101" s="13"/>
      <c r="C101" s="13"/>
    </row>
    <row r="102" spans="1:3" ht="13" x14ac:dyDescent="0.15">
      <c r="A102" s="10"/>
      <c r="B102" s="13"/>
      <c r="C102" s="13"/>
    </row>
    <row r="103" spans="1:3" ht="13" x14ac:dyDescent="0.15">
      <c r="A103" s="10"/>
      <c r="B103" s="13"/>
      <c r="C103" s="13"/>
    </row>
    <row r="104" spans="1:3" ht="13" x14ac:dyDescent="0.15">
      <c r="A104" s="10"/>
      <c r="B104" s="13"/>
      <c r="C104" s="13"/>
    </row>
    <row r="105" spans="1:3" ht="13" x14ac:dyDescent="0.15">
      <c r="A105" s="10"/>
      <c r="B105" s="13"/>
      <c r="C105" s="13"/>
    </row>
    <row r="106" spans="1:3" ht="13" x14ac:dyDescent="0.15">
      <c r="A106" s="10"/>
      <c r="B106" s="13"/>
      <c r="C106" s="13"/>
    </row>
    <row r="107" spans="1:3" ht="13" x14ac:dyDescent="0.15">
      <c r="A107" s="10"/>
      <c r="B107" s="13"/>
      <c r="C107" s="13"/>
    </row>
    <row r="108" spans="1:3" ht="13" x14ac:dyDescent="0.15">
      <c r="A108" s="10"/>
      <c r="B108" s="13"/>
      <c r="C108" s="13"/>
    </row>
    <row r="109" spans="1:3" ht="13" x14ac:dyDescent="0.15">
      <c r="A109" s="10"/>
      <c r="B109" s="13"/>
      <c r="C109" s="13"/>
    </row>
    <row r="110" spans="1:3" ht="13" x14ac:dyDescent="0.15">
      <c r="A110" s="10"/>
      <c r="B110" s="13"/>
      <c r="C110" s="13"/>
    </row>
    <row r="111" spans="1:3" ht="13" x14ac:dyDescent="0.15">
      <c r="A111" s="10"/>
      <c r="B111" s="13"/>
      <c r="C111" s="13"/>
    </row>
    <row r="112" spans="1:3" ht="13" x14ac:dyDescent="0.15">
      <c r="A112" s="10"/>
      <c r="B112" s="13"/>
      <c r="C112" s="13"/>
    </row>
    <row r="113" spans="1:3" ht="13" x14ac:dyDescent="0.15">
      <c r="A113" s="10"/>
      <c r="B113" s="13"/>
      <c r="C113" s="13"/>
    </row>
    <row r="114" spans="1:3" ht="13" x14ac:dyDescent="0.15">
      <c r="A114" s="10"/>
      <c r="B114" s="13"/>
      <c r="C114" s="13"/>
    </row>
    <row r="115" spans="1:3" ht="13" x14ac:dyDescent="0.15">
      <c r="A115" s="10"/>
      <c r="B115" s="13"/>
      <c r="C115" s="13"/>
    </row>
    <row r="116" spans="1:3" ht="13" x14ac:dyDescent="0.15">
      <c r="A116" s="10"/>
      <c r="B116" s="13"/>
      <c r="C116" s="13"/>
    </row>
    <row r="117" spans="1:3" ht="13" x14ac:dyDescent="0.15">
      <c r="A117" s="10"/>
      <c r="B117" s="13"/>
      <c r="C117" s="13"/>
    </row>
    <row r="118" spans="1:3" ht="13" x14ac:dyDescent="0.15">
      <c r="A118" s="10"/>
      <c r="B118" s="13"/>
      <c r="C118" s="13"/>
    </row>
    <row r="119" spans="1:3" ht="13" x14ac:dyDescent="0.15">
      <c r="A119" s="10"/>
      <c r="B119" s="13"/>
      <c r="C119" s="13"/>
    </row>
    <row r="120" spans="1:3" ht="13" x14ac:dyDescent="0.15">
      <c r="A120" s="10"/>
      <c r="B120" s="13"/>
      <c r="C120" s="13"/>
    </row>
    <row r="121" spans="1:3" ht="13" x14ac:dyDescent="0.15">
      <c r="A121" s="10"/>
      <c r="B121" s="13"/>
      <c r="C121" s="13"/>
    </row>
    <row r="122" spans="1:3" ht="13" x14ac:dyDescent="0.15">
      <c r="A122" s="10"/>
      <c r="B122" s="13"/>
      <c r="C122" s="13"/>
    </row>
    <row r="123" spans="1:3" ht="13" x14ac:dyDescent="0.15">
      <c r="A123" s="10"/>
      <c r="B123" s="13"/>
      <c r="C123" s="13"/>
    </row>
    <row r="124" spans="1:3" ht="13" x14ac:dyDescent="0.15">
      <c r="A124" s="10"/>
      <c r="B124" s="13"/>
      <c r="C124" s="13"/>
    </row>
    <row r="125" spans="1:3" ht="13" x14ac:dyDescent="0.15">
      <c r="A125" s="10"/>
      <c r="B125" s="13"/>
      <c r="C125" s="13"/>
    </row>
    <row r="126" spans="1:3" ht="13" x14ac:dyDescent="0.15">
      <c r="A126" s="10"/>
      <c r="B126" s="13"/>
      <c r="C126" s="13"/>
    </row>
    <row r="127" spans="1:3" ht="13" x14ac:dyDescent="0.15">
      <c r="A127" s="10"/>
      <c r="B127" s="13"/>
      <c r="C127" s="13"/>
    </row>
    <row r="128" spans="1:3" ht="13" x14ac:dyDescent="0.15">
      <c r="A128" s="10"/>
      <c r="B128" s="13"/>
      <c r="C128" s="13"/>
    </row>
    <row r="129" spans="1:3" ht="13" x14ac:dyDescent="0.15">
      <c r="A129" s="10"/>
      <c r="B129" s="13"/>
      <c r="C129" s="13"/>
    </row>
    <row r="130" spans="1:3" ht="13" x14ac:dyDescent="0.15">
      <c r="A130" s="10"/>
      <c r="B130" s="13"/>
      <c r="C130" s="13"/>
    </row>
    <row r="131" spans="1:3" ht="13" x14ac:dyDescent="0.15">
      <c r="A131" s="10"/>
      <c r="B131" s="13"/>
      <c r="C131" s="13"/>
    </row>
    <row r="132" spans="1:3" ht="13" x14ac:dyDescent="0.15">
      <c r="A132" s="10"/>
      <c r="B132" s="13"/>
      <c r="C132" s="13"/>
    </row>
    <row r="133" spans="1:3" ht="13" x14ac:dyDescent="0.15">
      <c r="A133" s="10"/>
      <c r="B133" s="13"/>
      <c r="C133" s="13"/>
    </row>
    <row r="134" spans="1:3" ht="13" x14ac:dyDescent="0.15">
      <c r="A134" s="10"/>
      <c r="B134" s="13"/>
      <c r="C134" s="13"/>
    </row>
    <row r="135" spans="1:3" ht="13" x14ac:dyDescent="0.15">
      <c r="A135" s="10"/>
      <c r="B135" s="13"/>
      <c r="C135" s="13"/>
    </row>
    <row r="136" spans="1:3" ht="13" x14ac:dyDescent="0.15">
      <c r="A136" s="10"/>
      <c r="B136" s="13"/>
      <c r="C136" s="13"/>
    </row>
    <row r="137" spans="1:3" ht="13" x14ac:dyDescent="0.15">
      <c r="A137" s="10"/>
      <c r="B137" s="13"/>
      <c r="C137" s="13"/>
    </row>
    <row r="138" spans="1:3" ht="13" x14ac:dyDescent="0.15">
      <c r="A138" s="10"/>
      <c r="B138" s="13"/>
      <c r="C138" s="13"/>
    </row>
    <row r="139" spans="1:3" ht="13" x14ac:dyDescent="0.15">
      <c r="A139" s="10"/>
      <c r="B139" s="13"/>
      <c r="C139" s="13"/>
    </row>
    <row r="140" spans="1:3" ht="13" x14ac:dyDescent="0.15">
      <c r="A140" s="10"/>
      <c r="B140" s="13"/>
      <c r="C140" s="13"/>
    </row>
    <row r="141" spans="1:3" ht="13" x14ac:dyDescent="0.15">
      <c r="A141" s="10"/>
      <c r="B141" s="13"/>
      <c r="C141" s="13"/>
    </row>
    <row r="142" spans="1:3" ht="13" x14ac:dyDescent="0.15">
      <c r="A142" s="10"/>
      <c r="B142" s="13"/>
      <c r="C142" s="13"/>
    </row>
    <row r="143" spans="1:3" ht="13" x14ac:dyDescent="0.15">
      <c r="A143" s="10"/>
      <c r="B143" s="13"/>
      <c r="C143" s="13"/>
    </row>
    <row r="144" spans="1:3" ht="13" x14ac:dyDescent="0.15">
      <c r="A144" s="10"/>
      <c r="B144" s="13"/>
      <c r="C144" s="13"/>
    </row>
    <row r="145" spans="1:3" ht="13" x14ac:dyDescent="0.15">
      <c r="A145" s="10"/>
      <c r="B145" s="13"/>
      <c r="C145" s="13"/>
    </row>
    <row r="146" spans="1:3" ht="13" x14ac:dyDescent="0.15">
      <c r="A146" s="10"/>
      <c r="B146" s="13"/>
      <c r="C146" s="13"/>
    </row>
    <row r="147" spans="1:3" ht="13" x14ac:dyDescent="0.15">
      <c r="A147" s="10"/>
      <c r="B147" s="13"/>
      <c r="C147" s="13"/>
    </row>
    <row r="148" spans="1:3" ht="13" x14ac:dyDescent="0.15">
      <c r="A148" s="10"/>
      <c r="B148" s="13"/>
      <c r="C148" s="13"/>
    </row>
    <row r="149" spans="1:3" ht="13" x14ac:dyDescent="0.15">
      <c r="A149" s="10"/>
      <c r="B149" s="13"/>
      <c r="C149" s="13"/>
    </row>
    <row r="150" spans="1:3" ht="13" x14ac:dyDescent="0.15">
      <c r="A150" s="10"/>
      <c r="B150" s="13"/>
      <c r="C150" s="13"/>
    </row>
    <row r="151" spans="1:3" ht="13" x14ac:dyDescent="0.15">
      <c r="A151" s="10"/>
      <c r="B151" s="13"/>
      <c r="C151" s="13"/>
    </row>
    <row r="152" spans="1:3" ht="13" x14ac:dyDescent="0.15">
      <c r="A152" s="10"/>
      <c r="B152" s="13"/>
      <c r="C152" s="13"/>
    </row>
    <row r="153" spans="1:3" ht="13" x14ac:dyDescent="0.15">
      <c r="A153" s="10"/>
      <c r="B153" s="13"/>
      <c r="C153" s="13"/>
    </row>
    <row r="154" spans="1:3" ht="13" x14ac:dyDescent="0.15">
      <c r="A154" s="10"/>
      <c r="B154" s="13"/>
      <c r="C154" s="13"/>
    </row>
    <row r="155" spans="1:3" ht="13" x14ac:dyDescent="0.15">
      <c r="A155" s="10"/>
      <c r="B155" s="13"/>
      <c r="C155" s="13"/>
    </row>
    <row r="156" spans="1:3" ht="13" x14ac:dyDescent="0.15">
      <c r="A156" s="10"/>
      <c r="B156" s="13"/>
      <c r="C156" s="13"/>
    </row>
    <row r="157" spans="1:3" ht="13" x14ac:dyDescent="0.15">
      <c r="A157" s="10"/>
      <c r="B157" s="13"/>
      <c r="C157" s="13"/>
    </row>
    <row r="158" spans="1:3" ht="13" x14ac:dyDescent="0.15">
      <c r="A158" s="10"/>
      <c r="B158" s="13"/>
      <c r="C158" s="13"/>
    </row>
    <row r="159" spans="1:3" ht="13" x14ac:dyDescent="0.15">
      <c r="A159" s="10"/>
      <c r="B159" s="13"/>
      <c r="C159" s="13"/>
    </row>
    <row r="160" spans="1:3" ht="13" x14ac:dyDescent="0.15">
      <c r="A160" s="10"/>
      <c r="B160" s="13"/>
      <c r="C160" s="13"/>
    </row>
    <row r="161" spans="1:3" ht="13" x14ac:dyDescent="0.15">
      <c r="A161" s="10"/>
      <c r="B161" s="13"/>
      <c r="C161" s="13"/>
    </row>
    <row r="162" spans="1:3" ht="13" x14ac:dyDescent="0.15">
      <c r="A162" s="10"/>
      <c r="B162" s="13"/>
      <c r="C162" s="13"/>
    </row>
    <row r="163" spans="1:3" ht="13" x14ac:dyDescent="0.15">
      <c r="A163" s="10"/>
      <c r="B163" s="13"/>
      <c r="C163" s="13"/>
    </row>
    <row r="164" spans="1:3" ht="13" x14ac:dyDescent="0.15">
      <c r="A164" s="10"/>
      <c r="B164" s="13"/>
      <c r="C164" s="13"/>
    </row>
    <row r="165" spans="1:3" ht="13" x14ac:dyDescent="0.15">
      <c r="A165" s="10"/>
      <c r="B165" s="13"/>
      <c r="C165" s="13"/>
    </row>
    <row r="166" spans="1:3" ht="13" x14ac:dyDescent="0.15">
      <c r="A166" s="10"/>
      <c r="B166" s="13"/>
      <c r="C166" s="13"/>
    </row>
    <row r="167" spans="1:3" ht="13" x14ac:dyDescent="0.15">
      <c r="A167" s="10"/>
      <c r="B167" s="13"/>
      <c r="C167" s="13"/>
    </row>
    <row r="168" spans="1:3" ht="13" x14ac:dyDescent="0.15">
      <c r="A168" s="10"/>
      <c r="B168" s="13"/>
      <c r="C168" s="13"/>
    </row>
    <row r="169" spans="1:3" ht="13" x14ac:dyDescent="0.15">
      <c r="A169" s="10"/>
      <c r="B169" s="13"/>
      <c r="C169" s="13"/>
    </row>
    <row r="170" spans="1:3" ht="13" x14ac:dyDescent="0.15">
      <c r="A170" s="10"/>
      <c r="B170" s="13"/>
      <c r="C170" s="13"/>
    </row>
    <row r="171" spans="1:3" ht="13" x14ac:dyDescent="0.15">
      <c r="A171" s="10"/>
      <c r="B171" s="13"/>
      <c r="C171" s="13"/>
    </row>
    <row r="172" spans="1:3" ht="13" x14ac:dyDescent="0.15">
      <c r="A172" s="10"/>
      <c r="B172" s="13"/>
      <c r="C172" s="13"/>
    </row>
    <row r="173" spans="1:3" ht="13" x14ac:dyDescent="0.15">
      <c r="A173" s="10"/>
      <c r="B173" s="13"/>
      <c r="C173" s="13"/>
    </row>
    <row r="174" spans="1:3" ht="13" x14ac:dyDescent="0.15">
      <c r="A174" s="10"/>
      <c r="B174" s="13"/>
      <c r="C174" s="13"/>
    </row>
    <row r="175" spans="1:3" ht="13" x14ac:dyDescent="0.15">
      <c r="A175" s="10"/>
      <c r="B175" s="13"/>
      <c r="C175" s="13"/>
    </row>
    <row r="176" spans="1:3" ht="13" x14ac:dyDescent="0.15">
      <c r="A176" s="10"/>
      <c r="B176" s="13"/>
      <c r="C176" s="13"/>
    </row>
    <row r="177" spans="1:3" ht="13" x14ac:dyDescent="0.15">
      <c r="A177" s="10"/>
      <c r="B177" s="13"/>
      <c r="C177" s="13"/>
    </row>
    <row r="178" spans="1:3" ht="13" x14ac:dyDescent="0.15">
      <c r="A178" s="10"/>
      <c r="B178" s="13"/>
      <c r="C178" s="13"/>
    </row>
    <row r="179" spans="1:3" ht="13" x14ac:dyDescent="0.15">
      <c r="A179" s="10"/>
      <c r="B179" s="13"/>
      <c r="C179" s="13"/>
    </row>
    <row r="180" spans="1:3" ht="13" x14ac:dyDescent="0.15">
      <c r="A180" s="10"/>
      <c r="B180" s="13"/>
      <c r="C180" s="13"/>
    </row>
    <row r="181" spans="1:3" ht="13" x14ac:dyDescent="0.15">
      <c r="A181" s="10"/>
      <c r="B181" s="13"/>
      <c r="C181" s="13"/>
    </row>
    <row r="182" spans="1:3" ht="13" x14ac:dyDescent="0.15">
      <c r="A182" s="10"/>
      <c r="B182" s="13"/>
      <c r="C182" s="13"/>
    </row>
    <row r="183" spans="1:3" ht="13" x14ac:dyDescent="0.15">
      <c r="A183" s="10"/>
      <c r="B183" s="13"/>
      <c r="C183" s="13"/>
    </row>
    <row r="184" spans="1:3" ht="13" x14ac:dyDescent="0.15">
      <c r="A184" s="10"/>
      <c r="B184" s="13"/>
      <c r="C184" s="13"/>
    </row>
    <row r="185" spans="1:3" ht="13" x14ac:dyDescent="0.15">
      <c r="A185" s="10"/>
      <c r="B185" s="13"/>
      <c r="C185" s="13"/>
    </row>
    <row r="186" spans="1:3" ht="13" x14ac:dyDescent="0.15">
      <c r="A186" s="10"/>
      <c r="B186" s="13"/>
      <c r="C186" s="13"/>
    </row>
    <row r="187" spans="1:3" ht="13" x14ac:dyDescent="0.15">
      <c r="A187" s="10"/>
      <c r="B187" s="13"/>
      <c r="C187" s="13"/>
    </row>
    <row r="188" spans="1:3" ht="13" x14ac:dyDescent="0.15">
      <c r="A188" s="10"/>
      <c r="B188" s="13"/>
      <c r="C188" s="13"/>
    </row>
    <row r="189" spans="1:3" ht="13" x14ac:dyDescent="0.15">
      <c r="A189" s="10"/>
      <c r="B189" s="13"/>
      <c r="C189" s="13"/>
    </row>
    <row r="190" spans="1:3" ht="13" x14ac:dyDescent="0.15">
      <c r="A190" s="10"/>
      <c r="B190" s="13"/>
      <c r="C190" s="13"/>
    </row>
    <row r="191" spans="1:3" ht="13" x14ac:dyDescent="0.15">
      <c r="A191" s="10"/>
      <c r="B191" s="13"/>
      <c r="C191" s="13"/>
    </row>
    <row r="192" spans="1:3" ht="13" x14ac:dyDescent="0.15">
      <c r="A192" s="10"/>
      <c r="B192" s="13"/>
      <c r="C192" s="13"/>
    </row>
    <row r="193" spans="1:3" ht="13" x14ac:dyDescent="0.15">
      <c r="A193" s="10"/>
      <c r="B193" s="13"/>
      <c r="C193" s="13"/>
    </row>
    <row r="194" spans="1:3" ht="13" x14ac:dyDescent="0.15">
      <c r="A194" s="10"/>
      <c r="B194" s="13"/>
      <c r="C194" s="13"/>
    </row>
    <row r="195" spans="1:3" ht="13" x14ac:dyDescent="0.15">
      <c r="A195" s="10"/>
      <c r="B195" s="13"/>
      <c r="C195" s="13"/>
    </row>
    <row r="196" spans="1:3" ht="13" x14ac:dyDescent="0.15">
      <c r="A196" s="10"/>
      <c r="B196" s="13"/>
      <c r="C196" s="13"/>
    </row>
    <row r="197" spans="1:3" ht="13" x14ac:dyDescent="0.15">
      <c r="A197" s="10"/>
      <c r="B197" s="13"/>
      <c r="C197" s="13"/>
    </row>
    <row r="198" spans="1:3" ht="13" x14ac:dyDescent="0.15">
      <c r="A198" s="10"/>
      <c r="B198" s="13"/>
      <c r="C198" s="13"/>
    </row>
    <row r="199" spans="1:3" ht="13" x14ac:dyDescent="0.15">
      <c r="A199" s="10"/>
      <c r="B199" s="13"/>
      <c r="C199" s="13"/>
    </row>
    <row r="200" spans="1:3" ht="13" x14ac:dyDescent="0.15">
      <c r="A200" s="10"/>
      <c r="B200" s="13"/>
      <c r="C200" s="13"/>
    </row>
    <row r="201" spans="1:3" ht="13" x14ac:dyDescent="0.15">
      <c r="A201" s="10"/>
      <c r="B201" s="13"/>
      <c r="C201" s="13"/>
    </row>
    <row r="202" spans="1:3" ht="13" x14ac:dyDescent="0.15">
      <c r="A202" s="10"/>
      <c r="B202" s="13"/>
      <c r="C202" s="13"/>
    </row>
    <row r="203" spans="1:3" ht="13" x14ac:dyDescent="0.15">
      <c r="A203" s="10"/>
      <c r="B203" s="13"/>
      <c r="C203" s="13"/>
    </row>
    <row r="204" spans="1:3" ht="13" x14ac:dyDescent="0.15">
      <c r="A204" s="10"/>
      <c r="B204" s="13"/>
      <c r="C204" s="13"/>
    </row>
    <row r="205" spans="1:3" ht="13" x14ac:dyDescent="0.15">
      <c r="A205" s="10"/>
      <c r="B205" s="13"/>
      <c r="C205" s="13"/>
    </row>
    <row r="206" spans="1:3" ht="13" x14ac:dyDescent="0.15">
      <c r="A206" s="10"/>
      <c r="B206" s="13"/>
      <c r="C206" s="13"/>
    </row>
    <row r="207" spans="1:3" ht="13" x14ac:dyDescent="0.15">
      <c r="A207" s="10"/>
      <c r="B207" s="13"/>
      <c r="C207" s="13"/>
    </row>
    <row r="208" spans="1:3" ht="13" x14ac:dyDescent="0.15">
      <c r="A208" s="10"/>
      <c r="B208" s="13"/>
      <c r="C208" s="13"/>
    </row>
    <row r="209" spans="1:3" ht="13" x14ac:dyDescent="0.15">
      <c r="A209" s="10"/>
      <c r="B209" s="13"/>
      <c r="C209" s="13"/>
    </row>
    <row r="210" spans="1:3" ht="13" x14ac:dyDescent="0.15">
      <c r="A210" s="10"/>
      <c r="B210" s="13"/>
      <c r="C210" s="13"/>
    </row>
    <row r="211" spans="1:3" ht="13" x14ac:dyDescent="0.15">
      <c r="A211" s="10"/>
      <c r="B211" s="13"/>
      <c r="C211" s="13"/>
    </row>
    <row r="212" spans="1:3" ht="13" x14ac:dyDescent="0.15">
      <c r="A212" s="10"/>
      <c r="B212" s="13"/>
      <c r="C212" s="13"/>
    </row>
    <row r="213" spans="1:3" ht="13" x14ac:dyDescent="0.15">
      <c r="A213" s="10"/>
      <c r="B213" s="13"/>
      <c r="C213" s="13"/>
    </row>
    <row r="214" spans="1:3" ht="13" x14ac:dyDescent="0.15">
      <c r="A214" s="10"/>
      <c r="B214" s="13"/>
      <c r="C214" s="13"/>
    </row>
    <row r="215" spans="1:3" ht="13" x14ac:dyDescent="0.15">
      <c r="A215" s="10"/>
      <c r="B215" s="13"/>
      <c r="C215" s="13"/>
    </row>
    <row r="216" spans="1:3" ht="13" x14ac:dyDescent="0.15">
      <c r="A216" s="10"/>
      <c r="B216" s="13"/>
      <c r="C216" s="13"/>
    </row>
    <row r="217" spans="1:3" ht="13" x14ac:dyDescent="0.15">
      <c r="A217" s="10"/>
      <c r="B217" s="13"/>
      <c r="C217" s="13"/>
    </row>
    <row r="218" spans="1:3" ht="13" x14ac:dyDescent="0.15">
      <c r="A218" s="10"/>
      <c r="B218" s="13"/>
      <c r="C218" s="13"/>
    </row>
    <row r="219" spans="1:3" ht="13" x14ac:dyDescent="0.15">
      <c r="A219" s="10"/>
      <c r="B219" s="13"/>
      <c r="C219" s="13"/>
    </row>
    <row r="220" spans="1:3" ht="13" x14ac:dyDescent="0.15">
      <c r="A220" s="10"/>
      <c r="B220" s="13"/>
      <c r="C220" s="13"/>
    </row>
    <row r="221" spans="1:3" ht="13" x14ac:dyDescent="0.15">
      <c r="A221" s="10"/>
      <c r="B221" s="13"/>
      <c r="C221" s="13"/>
    </row>
    <row r="222" spans="1:3" ht="13" x14ac:dyDescent="0.15">
      <c r="A222" s="10"/>
      <c r="B222" s="13"/>
      <c r="C222" s="13"/>
    </row>
    <row r="223" spans="1:3" ht="13" x14ac:dyDescent="0.15">
      <c r="A223" s="10"/>
      <c r="B223" s="13"/>
      <c r="C223" s="13"/>
    </row>
    <row r="224" spans="1:3" ht="13" x14ac:dyDescent="0.15">
      <c r="A224" s="10"/>
      <c r="B224" s="13"/>
      <c r="C224" s="13"/>
    </row>
    <row r="225" spans="1:3" ht="13" x14ac:dyDescent="0.15">
      <c r="A225" s="10"/>
      <c r="B225" s="13"/>
      <c r="C225" s="13"/>
    </row>
    <row r="226" spans="1:3" ht="13" x14ac:dyDescent="0.15">
      <c r="A226" s="10"/>
      <c r="B226" s="13"/>
      <c r="C226" s="13"/>
    </row>
    <row r="227" spans="1:3" ht="13" x14ac:dyDescent="0.15">
      <c r="A227" s="10"/>
      <c r="B227" s="13"/>
      <c r="C227" s="13"/>
    </row>
    <row r="228" spans="1:3" ht="13" x14ac:dyDescent="0.15">
      <c r="A228" s="10"/>
      <c r="B228" s="13"/>
      <c r="C228" s="13"/>
    </row>
    <row r="229" spans="1:3" ht="13" x14ac:dyDescent="0.15">
      <c r="A229" s="10"/>
      <c r="B229" s="13"/>
      <c r="C229" s="13"/>
    </row>
    <row r="230" spans="1:3" ht="13" x14ac:dyDescent="0.15">
      <c r="A230" s="10"/>
      <c r="B230" s="13"/>
      <c r="C230" s="13"/>
    </row>
    <row r="231" spans="1:3" ht="13" x14ac:dyDescent="0.15">
      <c r="A231" s="10"/>
      <c r="B231" s="13"/>
      <c r="C231" s="13"/>
    </row>
    <row r="232" spans="1:3" ht="13" x14ac:dyDescent="0.15">
      <c r="A232" s="10"/>
      <c r="B232" s="13"/>
      <c r="C232" s="13"/>
    </row>
    <row r="233" spans="1:3" ht="13" x14ac:dyDescent="0.15">
      <c r="A233" s="10"/>
      <c r="B233" s="13"/>
      <c r="C233" s="13"/>
    </row>
    <row r="234" spans="1:3" ht="13" x14ac:dyDescent="0.15">
      <c r="A234" s="10"/>
      <c r="B234" s="13"/>
      <c r="C234" s="13"/>
    </row>
    <row r="235" spans="1:3" ht="13" x14ac:dyDescent="0.15">
      <c r="A235" s="10"/>
      <c r="B235" s="13"/>
      <c r="C235" s="13"/>
    </row>
    <row r="236" spans="1:3" ht="13" x14ac:dyDescent="0.15">
      <c r="A236" s="10"/>
      <c r="B236" s="13"/>
      <c r="C236" s="13"/>
    </row>
    <row r="237" spans="1:3" ht="13" x14ac:dyDescent="0.15">
      <c r="A237" s="10"/>
      <c r="B237" s="13"/>
      <c r="C237" s="13"/>
    </row>
    <row r="238" spans="1:3" ht="13" x14ac:dyDescent="0.15">
      <c r="A238" s="10"/>
      <c r="B238" s="13"/>
      <c r="C238" s="13"/>
    </row>
    <row r="239" spans="1:3" ht="13" x14ac:dyDescent="0.15">
      <c r="A239" s="10"/>
      <c r="B239" s="13"/>
      <c r="C239" s="13"/>
    </row>
    <row r="240" spans="1:3" ht="13" x14ac:dyDescent="0.15">
      <c r="A240" s="10"/>
      <c r="B240" s="13"/>
      <c r="C240" s="13"/>
    </row>
    <row r="241" spans="1:3" ht="13" x14ac:dyDescent="0.15">
      <c r="A241" s="10"/>
      <c r="B241" s="13"/>
      <c r="C241" s="13"/>
    </row>
    <row r="242" spans="1:3" ht="13" x14ac:dyDescent="0.15">
      <c r="A242" s="10"/>
      <c r="B242" s="13"/>
      <c r="C242" s="13"/>
    </row>
    <row r="243" spans="1:3" ht="13" x14ac:dyDescent="0.15">
      <c r="A243" s="10"/>
      <c r="B243" s="13"/>
      <c r="C243" s="13"/>
    </row>
    <row r="244" spans="1:3" ht="13" x14ac:dyDescent="0.15">
      <c r="A244" s="10"/>
      <c r="B244" s="13"/>
      <c r="C244" s="13"/>
    </row>
    <row r="245" spans="1:3" ht="13" x14ac:dyDescent="0.15">
      <c r="A245" s="10"/>
      <c r="B245" s="13"/>
      <c r="C245" s="13"/>
    </row>
    <row r="246" spans="1:3" ht="13" x14ac:dyDescent="0.15">
      <c r="A246" s="10"/>
      <c r="B246" s="13"/>
      <c r="C246" s="13"/>
    </row>
    <row r="247" spans="1:3" ht="13" x14ac:dyDescent="0.15">
      <c r="A247" s="10"/>
      <c r="B247" s="13"/>
      <c r="C247" s="13"/>
    </row>
    <row r="248" spans="1:3" ht="13" x14ac:dyDescent="0.15">
      <c r="A248" s="10"/>
      <c r="B248" s="13"/>
      <c r="C248" s="13"/>
    </row>
    <row r="249" spans="1:3" ht="13" x14ac:dyDescent="0.15">
      <c r="A249" s="10"/>
      <c r="B249" s="13"/>
      <c r="C249" s="13"/>
    </row>
    <row r="250" spans="1:3" ht="13" x14ac:dyDescent="0.15">
      <c r="A250" s="10"/>
      <c r="B250" s="13"/>
      <c r="C250" s="13"/>
    </row>
    <row r="251" spans="1:3" ht="13" x14ac:dyDescent="0.15">
      <c r="A251" s="10"/>
      <c r="B251" s="13"/>
      <c r="C251" s="13"/>
    </row>
    <row r="252" spans="1:3" ht="13" x14ac:dyDescent="0.15">
      <c r="A252" s="10"/>
      <c r="B252" s="13"/>
      <c r="C252" s="13"/>
    </row>
    <row r="253" spans="1:3" ht="13" x14ac:dyDescent="0.15">
      <c r="A253" s="10"/>
      <c r="B253" s="13"/>
      <c r="C253" s="13"/>
    </row>
    <row r="254" spans="1:3" ht="13" x14ac:dyDescent="0.15">
      <c r="A254" s="10"/>
      <c r="B254" s="13"/>
      <c r="C254" s="13"/>
    </row>
    <row r="255" spans="1:3" ht="13" x14ac:dyDescent="0.15">
      <c r="A255" s="10"/>
      <c r="B255" s="13"/>
      <c r="C255" s="13"/>
    </row>
    <row r="256" spans="1:3" ht="13" x14ac:dyDescent="0.15">
      <c r="A256" s="10"/>
      <c r="B256" s="13"/>
      <c r="C256" s="13"/>
    </row>
    <row r="257" spans="1:3" ht="13" x14ac:dyDescent="0.15">
      <c r="A257" s="10"/>
      <c r="B257" s="13"/>
      <c r="C257" s="13"/>
    </row>
    <row r="258" spans="1:3" ht="13" x14ac:dyDescent="0.15">
      <c r="A258" s="10"/>
      <c r="B258" s="13"/>
      <c r="C258" s="13"/>
    </row>
    <row r="259" spans="1:3" ht="13" x14ac:dyDescent="0.15">
      <c r="A259" s="10"/>
      <c r="B259" s="13"/>
      <c r="C259" s="13"/>
    </row>
    <row r="260" spans="1:3" ht="13" x14ac:dyDescent="0.15">
      <c r="A260" s="10"/>
      <c r="B260" s="13"/>
      <c r="C260" s="13"/>
    </row>
    <row r="261" spans="1:3" ht="13" x14ac:dyDescent="0.15">
      <c r="A261" s="10"/>
      <c r="B261" s="13"/>
      <c r="C261" s="13"/>
    </row>
    <row r="262" spans="1:3" ht="13" x14ac:dyDescent="0.15">
      <c r="A262" s="10"/>
      <c r="B262" s="13"/>
      <c r="C262" s="13"/>
    </row>
    <row r="263" spans="1:3" ht="13" x14ac:dyDescent="0.15">
      <c r="A263" s="10"/>
      <c r="B263" s="13"/>
      <c r="C263" s="13"/>
    </row>
    <row r="264" spans="1:3" ht="13" x14ac:dyDescent="0.15">
      <c r="A264" s="10"/>
      <c r="B264" s="13"/>
      <c r="C264" s="13"/>
    </row>
    <row r="265" spans="1:3" ht="13" x14ac:dyDescent="0.15">
      <c r="A265" s="10"/>
      <c r="B265" s="13"/>
      <c r="C265" s="13"/>
    </row>
    <row r="266" spans="1:3" ht="13" x14ac:dyDescent="0.15">
      <c r="A266" s="10"/>
      <c r="B266" s="13"/>
      <c r="C266" s="13"/>
    </row>
    <row r="267" spans="1:3" ht="13" x14ac:dyDescent="0.15">
      <c r="A267" s="10"/>
      <c r="B267" s="13"/>
      <c r="C267" s="13"/>
    </row>
    <row r="268" spans="1:3" ht="13" x14ac:dyDescent="0.15">
      <c r="A268" s="10"/>
      <c r="B268" s="13"/>
      <c r="C268" s="13"/>
    </row>
    <row r="269" spans="1:3" ht="13" x14ac:dyDescent="0.15">
      <c r="A269" s="10"/>
      <c r="B269" s="13"/>
      <c r="C269" s="13"/>
    </row>
    <row r="270" spans="1:3" ht="13" x14ac:dyDescent="0.15">
      <c r="A270" s="10"/>
      <c r="B270" s="13"/>
      <c r="C270" s="13"/>
    </row>
    <row r="271" spans="1:3" ht="13" x14ac:dyDescent="0.15">
      <c r="A271" s="10"/>
      <c r="B271" s="13"/>
      <c r="C271" s="13"/>
    </row>
    <row r="272" spans="1:3" ht="13" x14ac:dyDescent="0.15">
      <c r="A272" s="10"/>
      <c r="B272" s="13"/>
      <c r="C272" s="13"/>
    </row>
    <row r="273" spans="1:3" ht="13" x14ac:dyDescent="0.15">
      <c r="A273" s="10"/>
      <c r="B273" s="13"/>
      <c r="C273" s="13"/>
    </row>
    <row r="274" spans="1:3" ht="13" x14ac:dyDescent="0.15">
      <c r="A274" s="10"/>
      <c r="B274" s="13"/>
      <c r="C274" s="13"/>
    </row>
    <row r="275" spans="1:3" ht="13" x14ac:dyDescent="0.15">
      <c r="A275" s="10"/>
      <c r="B275" s="13"/>
      <c r="C275" s="13"/>
    </row>
    <row r="276" spans="1:3" ht="13" x14ac:dyDescent="0.15">
      <c r="A276" s="10"/>
      <c r="B276" s="13"/>
      <c r="C276" s="13"/>
    </row>
    <row r="277" spans="1:3" ht="13" x14ac:dyDescent="0.15">
      <c r="A277" s="10"/>
      <c r="B277" s="13"/>
      <c r="C277" s="13"/>
    </row>
    <row r="278" spans="1:3" ht="13" x14ac:dyDescent="0.15">
      <c r="A278" s="10"/>
      <c r="B278" s="13"/>
      <c r="C278" s="13"/>
    </row>
    <row r="279" spans="1:3" ht="13" x14ac:dyDescent="0.15">
      <c r="A279" s="10"/>
      <c r="B279" s="13"/>
      <c r="C279" s="13"/>
    </row>
    <row r="280" spans="1:3" ht="13" x14ac:dyDescent="0.15">
      <c r="A280" s="10"/>
      <c r="B280" s="13"/>
      <c r="C280" s="13"/>
    </row>
    <row r="281" spans="1:3" ht="13" x14ac:dyDescent="0.15">
      <c r="A281" s="10"/>
      <c r="B281" s="13"/>
      <c r="C281" s="13"/>
    </row>
    <row r="282" spans="1:3" ht="13" x14ac:dyDescent="0.15">
      <c r="A282" s="10"/>
      <c r="B282" s="13"/>
      <c r="C282" s="13"/>
    </row>
    <row r="283" spans="1:3" ht="13" x14ac:dyDescent="0.15">
      <c r="A283" s="10"/>
      <c r="B283" s="13"/>
      <c r="C283" s="13"/>
    </row>
    <row r="284" spans="1:3" ht="13" x14ac:dyDescent="0.15">
      <c r="A284" s="10"/>
      <c r="B284" s="13"/>
      <c r="C284" s="13"/>
    </row>
    <row r="285" spans="1:3" ht="13" x14ac:dyDescent="0.15">
      <c r="A285" s="10"/>
      <c r="B285" s="13"/>
      <c r="C285" s="13"/>
    </row>
    <row r="286" spans="1:3" ht="13" x14ac:dyDescent="0.15">
      <c r="A286" s="10"/>
      <c r="B286" s="13"/>
      <c r="C286" s="13"/>
    </row>
    <row r="287" spans="1:3" ht="13" x14ac:dyDescent="0.15">
      <c r="A287" s="10"/>
      <c r="B287" s="13"/>
      <c r="C287" s="13"/>
    </row>
    <row r="288" spans="1:3" ht="13" x14ac:dyDescent="0.15">
      <c r="A288" s="10"/>
      <c r="B288" s="13"/>
      <c r="C288" s="13"/>
    </row>
    <row r="289" spans="1:3" ht="13" x14ac:dyDescent="0.15">
      <c r="A289" s="10"/>
      <c r="B289" s="13"/>
      <c r="C289" s="13"/>
    </row>
    <row r="290" spans="1:3" ht="13" x14ac:dyDescent="0.15">
      <c r="A290" s="10"/>
      <c r="B290" s="13"/>
      <c r="C290" s="13"/>
    </row>
    <row r="291" spans="1:3" ht="13" x14ac:dyDescent="0.15">
      <c r="A291" s="10"/>
      <c r="B291" s="13"/>
      <c r="C291" s="13"/>
    </row>
    <row r="292" spans="1:3" ht="13" x14ac:dyDescent="0.15">
      <c r="A292" s="10"/>
      <c r="B292" s="13"/>
      <c r="C292" s="13"/>
    </row>
    <row r="293" spans="1:3" ht="13" x14ac:dyDescent="0.15">
      <c r="A293" s="10"/>
      <c r="B293" s="13"/>
      <c r="C293" s="13"/>
    </row>
    <row r="294" spans="1:3" ht="13" x14ac:dyDescent="0.15">
      <c r="A294" s="10"/>
      <c r="B294" s="13"/>
      <c r="C294" s="13"/>
    </row>
    <row r="295" spans="1:3" ht="13" x14ac:dyDescent="0.15">
      <c r="A295" s="10"/>
      <c r="B295" s="13"/>
      <c r="C295" s="13"/>
    </row>
    <row r="296" spans="1:3" ht="13" x14ac:dyDescent="0.15">
      <c r="A296" s="10"/>
      <c r="B296" s="13"/>
      <c r="C296" s="13"/>
    </row>
    <row r="297" spans="1:3" ht="13" x14ac:dyDescent="0.15">
      <c r="A297" s="10"/>
      <c r="B297" s="13"/>
      <c r="C297" s="13"/>
    </row>
    <row r="298" spans="1:3" ht="13" x14ac:dyDescent="0.15">
      <c r="A298" s="10"/>
      <c r="B298" s="13"/>
      <c r="C298" s="13"/>
    </row>
    <row r="299" spans="1:3" ht="13" x14ac:dyDescent="0.15">
      <c r="A299" s="10"/>
      <c r="B299" s="13"/>
      <c r="C299" s="13"/>
    </row>
    <row r="300" spans="1:3" ht="13" x14ac:dyDescent="0.15">
      <c r="A300" s="10"/>
      <c r="B300" s="13"/>
      <c r="C300" s="13"/>
    </row>
    <row r="301" spans="1:3" ht="13" x14ac:dyDescent="0.15">
      <c r="A301" s="10"/>
      <c r="B301" s="13"/>
      <c r="C301" s="13"/>
    </row>
    <row r="302" spans="1:3" ht="13" x14ac:dyDescent="0.15">
      <c r="A302" s="10"/>
      <c r="B302" s="13"/>
      <c r="C302" s="13"/>
    </row>
    <row r="303" spans="1:3" ht="13" x14ac:dyDescent="0.15">
      <c r="A303" s="10"/>
      <c r="B303" s="13"/>
      <c r="C303" s="13"/>
    </row>
    <row r="304" spans="1:3" ht="13" x14ac:dyDescent="0.15">
      <c r="A304" s="10"/>
      <c r="B304" s="13"/>
      <c r="C304" s="13"/>
    </row>
    <row r="305" spans="1:3" ht="13" x14ac:dyDescent="0.15">
      <c r="A305" s="10"/>
      <c r="B305" s="13"/>
      <c r="C305" s="13"/>
    </row>
    <row r="306" spans="1:3" ht="13" x14ac:dyDescent="0.15">
      <c r="A306" s="10"/>
      <c r="B306" s="13"/>
      <c r="C306" s="13"/>
    </row>
    <row r="307" spans="1:3" ht="13" x14ac:dyDescent="0.15">
      <c r="A307" s="10"/>
      <c r="B307" s="13"/>
      <c r="C307" s="13"/>
    </row>
    <row r="308" spans="1:3" ht="13" x14ac:dyDescent="0.15">
      <c r="A308" s="10"/>
      <c r="B308" s="13"/>
      <c r="C308" s="13"/>
    </row>
    <row r="309" spans="1:3" ht="13" x14ac:dyDescent="0.15">
      <c r="A309" s="10"/>
      <c r="B309" s="13"/>
      <c r="C309" s="13"/>
    </row>
    <row r="310" spans="1:3" ht="13" x14ac:dyDescent="0.15">
      <c r="A310" s="10"/>
      <c r="B310" s="13"/>
      <c r="C310" s="13"/>
    </row>
    <row r="311" spans="1:3" ht="13" x14ac:dyDescent="0.15">
      <c r="A311" s="10"/>
      <c r="B311" s="13"/>
      <c r="C311" s="13"/>
    </row>
    <row r="312" spans="1:3" ht="13" x14ac:dyDescent="0.15">
      <c r="A312" s="10"/>
      <c r="B312" s="13"/>
      <c r="C312" s="13"/>
    </row>
    <row r="313" spans="1:3" ht="13" x14ac:dyDescent="0.15">
      <c r="A313" s="10"/>
      <c r="B313" s="13"/>
      <c r="C313" s="13"/>
    </row>
    <row r="314" spans="1:3" ht="13" x14ac:dyDescent="0.15">
      <c r="A314" s="10"/>
      <c r="B314" s="13"/>
      <c r="C314" s="13"/>
    </row>
    <row r="315" spans="1:3" ht="13" x14ac:dyDescent="0.15">
      <c r="A315" s="10"/>
      <c r="B315" s="13"/>
      <c r="C315" s="13"/>
    </row>
    <row r="316" spans="1:3" ht="13" x14ac:dyDescent="0.15">
      <c r="A316" s="10"/>
      <c r="B316" s="13"/>
      <c r="C316" s="13"/>
    </row>
    <row r="317" spans="1:3" ht="13" x14ac:dyDescent="0.15">
      <c r="A317" s="10"/>
      <c r="B317" s="13"/>
      <c r="C317" s="13"/>
    </row>
    <row r="318" spans="1:3" ht="13" x14ac:dyDescent="0.15">
      <c r="A318" s="10"/>
      <c r="B318" s="13"/>
      <c r="C318" s="13"/>
    </row>
    <row r="319" spans="1:3" ht="13" x14ac:dyDescent="0.15">
      <c r="A319" s="10"/>
      <c r="B319" s="13"/>
      <c r="C319" s="13"/>
    </row>
    <row r="320" spans="1:3" ht="13" x14ac:dyDescent="0.15">
      <c r="A320" s="10"/>
      <c r="B320" s="13"/>
      <c r="C320" s="13"/>
    </row>
    <row r="321" spans="1:3" ht="13" x14ac:dyDescent="0.15">
      <c r="A321" s="10"/>
      <c r="B321" s="13"/>
      <c r="C321" s="13"/>
    </row>
    <row r="322" spans="1:3" ht="13" x14ac:dyDescent="0.15">
      <c r="A322" s="10"/>
      <c r="B322" s="13"/>
      <c r="C322" s="13"/>
    </row>
    <row r="323" spans="1:3" ht="13" x14ac:dyDescent="0.15">
      <c r="A323" s="10"/>
      <c r="B323" s="13"/>
      <c r="C323" s="13"/>
    </row>
    <row r="324" spans="1:3" ht="13" x14ac:dyDescent="0.15">
      <c r="A324" s="10"/>
      <c r="B324" s="13"/>
      <c r="C324" s="13"/>
    </row>
    <row r="325" spans="1:3" ht="13" x14ac:dyDescent="0.15">
      <c r="A325" s="10"/>
      <c r="B325" s="13"/>
      <c r="C325" s="13"/>
    </row>
    <row r="326" spans="1:3" ht="13" x14ac:dyDescent="0.15">
      <c r="A326" s="10"/>
      <c r="B326" s="13"/>
      <c r="C326" s="13"/>
    </row>
    <row r="327" spans="1:3" ht="13" x14ac:dyDescent="0.15">
      <c r="A327" s="10"/>
      <c r="B327" s="13"/>
      <c r="C327" s="13"/>
    </row>
    <row r="328" spans="1:3" ht="13" x14ac:dyDescent="0.15">
      <c r="A328" s="10"/>
      <c r="B328" s="13"/>
      <c r="C328" s="13"/>
    </row>
    <row r="329" spans="1:3" ht="13" x14ac:dyDescent="0.15">
      <c r="A329" s="10"/>
      <c r="B329" s="13"/>
      <c r="C329" s="13"/>
    </row>
    <row r="330" spans="1:3" ht="13" x14ac:dyDescent="0.15">
      <c r="A330" s="10"/>
      <c r="B330" s="13"/>
      <c r="C330" s="13"/>
    </row>
    <row r="331" spans="1:3" ht="13" x14ac:dyDescent="0.15">
      <c r="A331" s="10"/>
      <c r="B331" s="13"/>
      <c r="C331" s="13"/>
    </row>
    <row r="332" spans="1:3" ht="13" x14ac:dyDescent="0.15">
      <c r="A332" s="10"/>
      <c r="B332" s="13"/>
      <c r="C332" s="13"/>
    </row>
    <row r="333" spans="1:3" ht="13" x14ac:dyDescent="0.15">
      <c r="A333" s="10"/>
      <c r="B333" s="13"/>
      <c r="C333" s="13"/>
    </row>
    <row r="334" spans="1:3" ht="13" x14ac:dyDescent="0.15">
      <c r="A334" s="10"/>
      <c r="B334" s="13"/>
      <c r="C334" s="13"/>
    </row>
    <row r="335" spans="1:3" ht="13" x14ac:dyDescent="0.15">
      <c r="A335" s="10"/>
      <c r="B335" s="13"/>
      <c r="C335" s="13"/>
    </row>
    <row r="336" spans="1:3" ht="13" x14ac:dyDescent="0.15">
      <c r="A336" s="10"/>
      <c r="B336" s="13"/>
      <c r="C336" s="13"/>
    </row>
    <row r="337" spans="1:3" ht="13" x14ac:dyDescent="0.15">
      <c r="A337" s="10"/>
      <c r="B337" s="13"/>
      <c r="C337" s="13"/>
    </row>
    <row r="338" spans="1:3" ht="13" x14ac:dyDescent="0.15">
      <c r="A338" s="10"/>
      <c r="B338" s="13"/>
      <c r="C338" s="13"/>
    </row>
    <row r="339" spans="1:3" ht="13" x14ac:dyDescent="0.15">
      <c r="A339" s="10"/>
      <c r="B339" s="13"/>
      <c r="C339" s="13"/>
    </row>
    <row r="340" spans="1:3" ht="13" x14ac:dyDescent="0.15">
      <c r="A340" s="10"/>
      <c r="B340" s="13"/>
      <c r="C340" s="13"/>
    </row>
    <row r="341" spans="1:3" ht="13" x14ac:dyDescent="0.15">
      <c r="A341" s="10"/>
      <c r="B341" s="13"/>
      <c r="C341" s="13"/>
    </row>
    <row r="342" spans="1:3" ht="13" x14ac:dyDescent="0.15">
      <c r="A342" s="10"/>
      <c r="B342" s="13"/>
      <c r="C342" s="13"/>
    </row>
    <row r="343" spans="1:3" ht="13" x14ac:dyDescent="0.15">
      <c r="A343" s="10"/>
      <c r="B343" s="13"/>
      <c r="C343" s="13"/>
    </row>
    <row r="344" spans="1:3" ht="13" x14ac:dyDescent="0.15">
      <c r="A344" s="10"/>
      <c r="B344" s="13"/>
      <c r="C344" s="13"/>
    </row>
    <row r="345" spans="1:3" ht="13" x14ac:dyDescent="0.15">
      <c r="A345" s="10"/>
      <c r="B345" s="13"/>
      <c r="C345" s="13"/>
    </row>
    <row r="346" spans="1:3" ht="13" x14ac:dyDescent="0.15">
      <c r="A346" s="10"/>
      <c r="B346" s="13"/>
      <c r="C346" s="13"/>
    </row>
    <row r="347" spans="1:3" ht="13" x14ac:dyDescent="0.15">
      <c r="A347" s="10"/>
      <c r="B347" s="13"/>
      <c r="C347" s="13"/>
    </row>
    <row r="348" spans="1:3" ht="13" x14ac:dyDescent="0.15">
      <c r="A348" s="10"/>
      <c r="B348" s="13"/>
      <c r="C348" s="13"/>
    </row>
    <row r="349" spans="1:3" ht="13" x14ac:dyDescent="0.15">
      <c r="A349" s="10"/>
      <c r="B349" s="13"/>
      <c r="C349" s="13"/>
    </row>
    <row r="350" spans="1:3" ht="13" x14ac:dyDescent="0.15">
      <c r="A350" s="10"/>
      <c r="B350" s="13"/>
      <c r="C350" s="13"/>
    </row>
    <row r="351" spans="1:3" ht="13" x14ac:dyDescent="0.15">
      <c r="A351" s="10"/>
      <c r="B351" s="13"/>
      <c r="C351" s="13"/>
    </row>
    <row r="352" spans="1:3" ht="13" x14ac:dyDescent="0.15">
      <c r="A352" s="10"/>
      <c r="B352" s="13"/>
      <c r="C352" s="13"/>
    </row>
    <row r="353" spans="1:3" ht="13" x14ac:dyDescent="0.15">
      <c r="A353" s="10"/>
      <c r="B353" s="13"/>
      <c r="C353" s="13"/>
    </row>
    <row r="354" spans="1:3" ht="13" x14ac:dyDescent="0.15">
      <c r="A354" s="10"/>
      <c r="B354" s="13"/>
      <c r="C354" s="13"/>
    </row>
    <row r="355" spans="1:3" ht="13" x14ac:dyDescent="0.15">
      <c r="A355" s="10"/>
      <c r="B355" s="13"/>
      <c r="C355" s="13"/>
    </row>
    <row r="356" spans="1:3" ht="13" x14ac:dyDescent="0.15">
      <c r="A356" s="10"/>
      <c r="B356" s="13"/>
      <c r="C356" s="13"/>
    </row>
    <row r="357" spans="1:3" ht="13" x14ac:dyDescent="0.15">
      <c r="A357" s="10"/>
      <c r="B357" s="13"/>
      <c r="C357" s="13"/>
    </row>
    <row r="358" spans="1:3" ht="13" x14ac:dyDescent="0.15">
      <c r="A358" s="10"/>
      <c r="B358" s="13"/>
      <c r="C358" s="13"/>
    </row>
    <row r="359" spans="1:3" ht="13" x14ac:dyDescent="0.15">
      <c r="A359" s="10"/>
      <c r="B359" s="13"/>
      <c r="C359" s="13"/>
    </row>
    <row r="360" spans="1:3" ht="13" x14ac:dyDescent="0.15">
      <c r="A360" s="10"/>
      <c r="B360" s="13"/>
      <c r="C360" s="13"/>
    </row>
    <row r="361" spans="1:3" ht="13" x14ac:dyDescent="0.15">
      <c r="A361" s="10"/>
      <c r="B361" s="13"/>
      <c r="C361" s="13"/>
    </row>
    <row r="362" spans="1:3" ht="13" x14ac:dyDescent="0.15">
      <c r="A362" s="10"/>
      <c r="B362" s="13"/>
      <c r="C362" s="13"/>
    </row>
    <row r="363" spans="1:3" ht="13" x14ac:dyDescent="0.15">
      <c r="A363" s="10"/>
      <c r="B363" s="13"/>
      <c r="C363" s="13"/>
    </row>
    <row r="364" spans="1:3" ht="13" x14ac:dyDescent="0.15">
      <c r="A364" s="10"/>
      <c r="B364" s="13"/>
      <c r="C364" s="13"/>
    </row>
    <row r="365" spans="1:3" ht="13" x14ac:dyDescent="0.15">
      <c r="A365" s="10"/>
      <c r="B365" s="13"/>
      <c r="C365" s="13"/>
    </row>
    <row r="366" spans="1:3" ht="13" x14ac:dyDescent="0.15">
      <c r="A366" s="10"/>
      <c r="B366" s="13"/>
      <c r="C366" s="13"/>
    </row>
    <row r="367" spans="1:3" ht="13" x14ac:dyDescent="0.15">
      <c r="A367" s="10"/>
      <c r="B367" s="13"/>
      <c r="C367" s="13"/>
    </row>
    <row r="368" spans="1:3" ht="13" x14ac:dyDescent="0.15">
      <c r="A368" s="10"/>
      <c r="B368" s="13"/>
      <c r="C368" s="13"/>
    </row>
    <row r="369" spans="1:3" ht="13" x14ac:dyDescent="0.15">
      <c r="A369" s="10"/>
      <c r="B369" s="13"/>
      <c r="C369" s="13"/>
    </row>
    <row r="370" spans="1:3" ht="13" x14ac:dyDescent="0.15">
      <c r="A370" s="10"/>
      <c r="B370" s="13"/>
      <c r="C370" s="13"/>
    </row>
    <row r="371" spans="1:3" ht="13" x14ac:dyDescent="0.15">
      <c r="A371" s="10"/>
      <c r="B371" s="13"/>
      <c r="C371" s="13"/>
    </row>
    <row r="372" spans="1:3" ht="13" x14ac:dyDescent="0.15">
      <c r="A372" s="10"/>
      <c r="B372" s="13"/>
      <c r="C372" s="13"/>
    </row>
    <row r="373" spans="1:3" ht="13" x14ac:dyDescent="0.15">
      <c r="A373" s="10"/>
      <c r="B373" s="13"/>
      <c r="C373" s="13"/>
    </row>
    <row r="374" spans="1:3" ht="13" x14ac:dyDescent="0.15">
      <c r="A374" s="10"/>
      <c r="B374" s="13"/>
      <c r="C374" s="13"/>
    </row>
    <row r="375" spans="1:3" ht="13" x14ac:dyDescent="0.15">
      <c r="A375" s="10"/>
      <c r="B375" s="13"/>
      <c r="C375" s="13"/>
    </row>
    <row r="376" spans="1:3" ht="13" x14ac:dyDescent="0.15">
      <c r="A376" s="10"/>
      <c r="B376" s="13"/>
      <c r="C376" s="13"/>
    </row>
    <row r="377" spans="1:3" ht="13" x14ac:dyDescent="0.15">
      <c r="A377" s="10"/>
      <c r="B377" s="13"/>
      <c r="C377" s="13"/>
    </row>
    <row r="378" spans="1:3" ht="13" x14ac:dyDescent="0.15">
      <c r="A378" s="10"/>
      <c r="B378" s="13"/>
      <c r="C378" s="13"/>
    </row>
    <row r="379" spans="1:3" ht="13" x14ac:dyDescent="0.15">
      <c r="A379" s="10"/>
      <c r="B379" s="13"/>
      <c r="C379" s="13"/>
    </row>
    <row r="380" spans="1:3" ht="13" x14ac:dyDescent="0.15">
      <c r="A380" s="10"/>
      <c r="B380" s="13"/>
      <c r="C380" s="13"/>
    </row>
    <row r="381" spans="1:3" ht="13" x14ac:dyDescent="0.15">
      <c r="A381" s="10"/>
      <c r="B381" s="13"/>
      <c r="C381" s="13"/>
    </row>
    <row r="382" spans="1:3" ht="13" x14ac:dyDescent="0.15">
      <c r="A382" s="10"/>
      <c r="B382" s="13"/>
      <c r="C382" s="13"/>
    </row>
    <row r="383" spans="1:3" ht="13" x14ac:dyDescent="0.15">
      <c r="A383" s="10"/>
      <c r="B383" s="13"/>
      <c r="C383" s="13"/>
    </row>
    <row r="384" spans="1:3" ht="13" x14ac:dyDescent="0.15">
      <c r="A384" s="10"/>
      <c r="B384" s="13"/>
      <c r="C384" s="13"/>
    </row>
    <row r="385" spans="1:3" ht="13" x14ac:dyDescent="0.15">
      <c r="A385" s="10"/>
      <c r="B385" s="13"/>
      <c r="C385" s="13"/>
    </row>
    <row r="386" spans="1:3" ht="13" x14ac:dyDescent="0.15">
      <c r="A386" s="10"/>
      <c r="B386" s="13"/>
      <c r="C386" s="13"/>
    </row>
    <row r="387" spans="1:3" ht="13" x14ac:dyDescent="0.15">
      <c r="A387" s="10"/>
      <c r="B387" s="13"/>
      <c r="C387" s="13"/>
    </row>
    <row r="388" spans="1:3" ht="13" x14ac:dyDescent="0.15">
      <c r="A388" s="10"/>
      <c r="B388" s="13"/>
      <c r="C388" s="13"/>
    </row>
    <row r="389" spans="1:3" ht="13" x14ac:dyDescent="0.15">
      <c r="A389" s="10"/>
      <c r="B389" s="13"/>
      <c r="C389" s="13"/>
    </row>
    <row r="390" spans="1:3" ht="13" x14ac:dyDescent="0.15">
      <c r="A390" s="10"/>
      <c r="B390" s="13"/>
      <c r="C390" s="13"/>
    </row>
    <row r="391" spans="1:3" ht="13" x14ac:dyDescent="0.15">
      <c r="A391" s="10"/>
      <c r="B391" s="13"/>
      <c r="C391" s="13"/>
    </row>
    <row r="392" spans="1:3" ht="13" x14ac:dyDescent="0.15">
      <c r="A392" s="10"/>
      <c r="B392" s="13"/>
      <c r="C392" s="13"/>
    </row>
    <row r="393" spans="1:3" ht="13" x14ac:dyDescent="0.15">
      <c r="A393" s="10"/>
      <c r="B393" s="13"/>
      <c r="C393" s="13"/>
    </row>
    <row r="394" spans="1:3" ht="13" x14ac:dyDescent="0.15">
      <c r="A394" s="10"/>
      <c r="B394" s="13"/>
      <c r="C394" s="13"/>
    </row>
    <row r="395" spans="1:3" ht="13" x14ac:dyDescent="0.15">
      <c r="A395" s="10"/>
      <c r="B395" s="13"/>
      <c r="C395" s="13"/>
    </row>
    <row r="396" spans="1:3" ht="13" x14ac:dyDescent="0.15">
      <c r="A396" s="10"/>
      <c r="B396" s="13"/>
      <c r="C396" s="13"/>
    </row>
    <row r="397" spans="1:3" ht="13" x14ac:dyDescent="0.15">
      <c r="A397" s="10"/>
      <c r="B397" s="13"/>
      <c r="C397" s="13"/>
    </row>
    <row r="398" spans="1:3" ht="13" x14ac:dyDescent="0.15">
      <c r="A398" s="10"/>
      <c r="B398" s="13"/>
      <c r="C398" s="13"/>
    </row>
    <row r="399" spans="1:3" ht="13" x14ac:dyDescent="0.15">
      <c r="A399" s="10"/>
      <c r="B399" s="13"/>
      <c r="C399" s="13"/>
    </row>
    <row r="400" spans="1:3" ht="13" x14ac:dyDescent="0.15">
      <c r="A400" s="10"/>
      <c r="B400" s="13"/>
      <c r="C400" s="13"/>
    </row>
    <row r="401" spans="1:3" ht="13" x14ac:dyDescent="0.15">
      <c r="A401" s="10"/>
      <c r="B401" s="13"/>
      <c r="C401" s="13"/>
    </row>
    <row r="402" spans="1:3" ht="13" x14ac:dyDescent="0.15">
      <c r="A402" s="10"/>
      <c r="B402" s="13"/>
      <c r="C402" s="13"/>
    </row>
    <row r="403" spans="1:3" ht="13" x14ac:dyDescent="0.15">
      <c r="A403" s="10"/>
      <c r="B403" s="13"/>
      <c r="C403" s="13"/>
    </row>
    <row r="404" spans="1:3" ht="13" x14ac:dyDescent="0.15">
      <c r="A404" s="10"/>
      <c r="B404" s="13"/>
      <c r="C404" s="13"/>
    </row>
    <row r="405" spans="1:3" ht="13" x14ac:dyDescent="0.15">
      <c r="A405" s="10"/>
      <c r="B405" s="13"/>
      <c r="C405" s="13"/>
    </row>
    <row r="406" spans="1:3" ht="13" x14ac:dyDescent="0.15">
      <c r="A406" s="10"/>
      <c r="B406" s="13"/>
      <c r="C406" s="13"/>
    </row>
    <row r="407" spans="1:3" ht="13" x14ac:dyDescent="0.15">
      <c r="A407" s="10"/>
      <c r="B407" s="13"/>
      <c r="C407" s="13"/>
    </row>
    <row r="408" spans="1:3" ht="13" x14ac:dyDescent="0.15">
      <c r="A408" s="10"/>
      <c r="B408" s="13"/>
      <c r="C408" s="13"/>
    </row>
    <row r="409" spans="1:3" ht="13" x14ac:dyDescent="0.15">
      <c r="A409" s="10"/>
      <c r="B409" s="13"/>
      <c r="C409" s="13"/>
    </row>
    <row r="410" spans="1:3" ht="13" x14ac:dyDescent="0.15">
      <c r="A410" s="10"/>
      <c r="B410" s="13"/>
      <c r="C410" s="13"/>
    </row>
    <row r="411" spans="1:3" ht="13" x14ac:dyDescent="0.15">
      <c r="A411" s="10"/>
      <c r="B411" s="13"/>
      <c r="C411" s="13"/>
    </row>
    <row r="412" spans="1:3" ht="13" x14ac:dyDescent="0.15">
      <c r="A412" s="10"/>
      <c r="B412" s="13"/>
      <c r="C412" s="13"/>
    </row>
    <row r="413" spans="1:3" ht="13" x14ac:dyDescent="0.15">
      <c r="A413" s="10"/>
      <c r="B413" s="13"/>
      <c r="C413" s="13"/>
    </row>
    <row r="414" spans="1:3" ht="13" x14ac:dyDescent="0.15">
      <c r="A414" s="10"/>
      <c r="B414" s="13"/>
      <c r="C414" s="13"/>
    </row>
    <row r="415" spans="1:3" ht="13" x14ac:dyDescent="0.15">
      <c r="A415" s="10"/>
      <c r="B415" s="13"/>
      <c r="C415" s="13"/>
    </row>
    <row r="416" spans="1:3" ht="13" x14ac:dyDescent="0.15">
      <c r="A416" s="10"/>
      <c r="B416" s="13"/>
      <c r="C416" s="13"/>
    </row>
    <row r="417" spans="1:3" ht="13" x14ac:dyDescent="0.15">
      <c r="A417" s="10"/>
      <c r="B417" s="13"/>
      <c r="C417" s="13"/>
    </row>
    <row r="418" spans="1:3" ht="13" x14ac:dyDescent="0.15">
      <c r="A418" s="10"/>
      <c r="B418" s="13"/>
      <c r="C418" s="13"/>
    </row>
    <row r="419" spans="1:3" ht="13" x14ac:dyDescent="0.15">
      <c r="A419" s="10"/>
      <c r="B419" s="13"/>
      <c r="C419" s="13"/>
    </row>
    <row r="420" spans="1:3" ht="13" x14ac:dyDescent="0.15">
      <c r="A420" s="10"/>
      <c r="B420" s="13"/>
      <c r="C420" s="13"/>
    </row>
    <row r="421" spans="1:3" ht="13" x14ac:dyDescent="0.15">
      <c r="A421" s="10"/>
      <c r="B421" s="13"/>
      <c r="C421" s="13"/>
    </row>
    <row r="422" spans="1:3" ht="13" x14ac:dyDescent="0.15">
      <c r="A422" s="10"/>
      <c r="B422" s="13"/>
      <c r="C422" s="13"/>
    </row>
    <row r="423" spans="1:3" ht="13" x14ac:dyDescent="0.15">
      <c r="A423" s="10"/>
      <c r="B423" s="13"/>
      <c r="C423" s="13"/>
    </row>
    <row r="424" spans="1:3" ht="13" x14ac:dyDescent="0.15">
      <c r="A424" s="10"/>
      <c r="B424" s="13"/>
      <c r="C424" s="13"/>
    </row>
    <row r="425" spans="1:3" ht="13" x14ac:dyDescent="0.15">
      <c r="A425" s="10"/>
      <c r="B425" s="13"/>
      <c r="C425" s="13"/>
    </row>
    <row r="426" spans="1:3" ht="13" x14ac:dyDescent="0.15">
      <c r="A426" s="10"/>
      <c r="B426" s="13"/>
      <c r="C426" s="13"/>
    </row>
    <row r="427" spans="1:3" ht="13" x14ac:dyDescent="0.15">
      <c r="A427" s="10"/>
      <c r="B427" s="13"/>
      <c r="C427" s="13"/>
    </row>
    <row r="428" spans="1:3" ht="13" x14ac:dyDescent="0.15">
      <c r="A428" s="10"/>
      <c r="B428" s="13"/>
      <c r="C428" s="13"/>
    </row>
    <row r="429" spans="1:3" ht="13" x14ac:dyDescent="0.15">
      <c r="A429" s="10"/>
      <c r="B429" s="13"/>
      <c r="C429" s="13"/>
    </row>
    <row r="430" spans="1:3" ht="13" x14ac:dyDescent="0.15">
      <c r="A430" s="10"/>
      <c r="B430" s="13"/>
      <c r="C430" s="13"/>
    </row>
    <row r="431" spans="1:3" ht="13" x14ac:dyDescent="0.15">
      <c r="A431" s="10"/>
      <c r="B431" s="13"/>
      <c r="C431" s="13"/>
    </row>
    <row r="432" spans="1:3" ht="13" x14ac:dyDescent="0.15">
      <c r="A432" s="10"/>
      <c r="B432" s="13"/>
      <c r="C432" s="13"/>
    </row>
    <row r="433" spans="1:3" ht="13" x14ac:dyDescent="0.15">
      <c r="A433" s="10"/>
      <c r="B433" s="13"/>
      <c r="C433" s="13"/>
    </row>
    <row r="434" spans="1:3" ht="13" x14ac:dyDescent="0.15">
      <c r="A434" s="10"/>
      <c r="B434" s="13"/>
      <c r="C434" s="13"/>
    </row>
    <row r="435" spans="1:3" ht="13" x14ac:dyDescent="0.15">
      <c r="A435" s="10"/>
      <c r="B435" s="13"/>
      <c r="C435" s="13"/>
    </row>
    <row r="436" spans="1:3" ht="13" x14ac:dyDescent="0.15">
      <c r="A436" s="10"/>
      <c r="B436" s="13"/>
      <c r="C436" s="13"/>
    </row>
    <row r="437" spans="1:3" ht="13" x14ac:dyDescent="0.15">
      <c r="A437" s="10"/>
      <c r="B437" s="13"/>
      <c r="C437" s="13"/>
    </row>
    <row r="438" spans="1:3" ht="13" x14ac:dyDescent="0.15">
      <c r="A438" s="10"/>
      <c r="B438" s="13"/>
      <c r="C438" s="13"/>
    </row>
    <row r="439" spans="1:3" ht="13" x14ac:dyDescent="0.15">
      <c r="A439" s="10"/>
      <c r="B439" s="13"/>
      <c r="C439" s="13"/>
    </row>
    <row r="440" spans="1:3" ht="13" x14ac:dyDescent="0.15">
      <c r="A440" s="10"/>
      <c r="B440" s="13"/>
      <c r="C440" s="13"/>
    </row>
    <row r="441" spans="1:3" ht="13" x14ac:dyDescent="0.15">
      <c r="A441" s="10"/>
      <c r="B441" s="13"/>
      <c r="C441" s="13"/>
    </row>
    <row r="442" spans="1:3" ht="13" x14ac:dyDescent="0.15">
      <c r="A442" s="10"/>
      <c r="B442" s="13"/>
      <c r="C442" s="13"/>
    </row>
    <row r="443" spans="1:3" ht="13" x14ac:dyDescent="0.15">
      <c r="A443" s="10"/>
      <c r="B443" s="13"/>
      <c r="C443" s="13"/>
    </row>
    <row r="444" spans="1:3" ht="13" x14ac:dyDescent="0.15">
      <c r="A444" s="10"/>
      <c r="B444" s="13"/>
      <c r="C444" s="13"/>
    </row>
    <row r="445" spans="1:3" ht="13" x14ac:dyDescent="0.15">
      <c r="A445" s="10"/>
      <c r="B445" s="13"/>
      <c r="C445" s="13"/>
    </row>
    <row r="446" spans="1:3" ht="13" x14ac:dyDescent="0.15">
      <c r="A446" s="10"/>
      <c r="B446" s="13"/>
      <c r="C446" s="13"/>
    </row>
    <row r="447" spans="1:3" ht="13" x14ac:dyDescent="0.15">
      <c r="A447" s="10"/>
      <c r="B447" s="13"/>
      <c r="C447" s="13"/>
    </row>
    <row r="448" spans="1:3" ht="13" x14ac:dyDescent="0.15">
      <c r="A448" s="10"/>
      <c r="B448" s="13"/>
      <c r="C448" s="13"/>
    </row>
    <row r="449" spans="1:3" ht="13" x14ac:dyDescent="0.15">
      <c r="A449" s="10"/>
      <c r="B449" s="13"/>
      <c r="C449" s="13"/>
    </row>
    <row r="450" spans="1:3" ht="13" x14ac:dyDescent="0.15">
      <c r="A450" s="10"/>
      <c r="B450" s="13"/>
      <c r="C450" s="13"/>
    </row>
    <row r="451" spans="1:3" ht="13" x14ac:dyDescent="0.15">
      <c r="A451" s="10"/>
      <c r="B451" s="13"/>
      <c r="C451" s="13"/>
    </row>
    <row r="452" spans="1:3" ht="13" x14ac:dyDescent="0.15">
      <c r="A452" s="10"/>
      <c r="B452" s="13"/>
      <c r="C452" s="13"/>
    </row>
    <row r="453" spans="1:3" ht="13" x14ac:dyDescent="0.15">
      <c r="A453" s="10"/>
      <c r="B453" s="13"/>
      <c r="C453" s="13"/>
    </row>
    <row r="454" spans="1:3" ht="13" x14ac:dyDescent="0.15">
      <c r="A454" s="10"/>
      <c r="B454" s="13"/>
      <c r="C454" s="13"/>
    </row>
    <row r="455" spans="1:3" ht="13" x14ac:dyDescent="0.15">
      <c r="A455" s="10"/>
      <c r="B455" s="13"/>
      <c r="C455" s="13"/>
    </row>
    <row r="456" spans="1:3" ht="13" x14ac:dyDescent="0.15">
      <c r="A456" s="10"/>
      <c r="B456" s="13"/>
      <c r="C456" s="13"/>
    </row>
    <row r="457" spans="1:3" ht="13" x14ac:dyDescent="0.15">
      <c r="A457" s="10"/>
      <c r="B457" s="13"/>
      <c r="C457" s="13"/>
    </row>
    <row r="458" spans="1:3" ht="13" x14ac:dyDescent="0.15">
      <c r="A458" s="10"/>
      <c r="B458" s="13"/>
      <c r="C458" s="13"/>
    </row>
    <row r="459" spans="1:3" ht="13" x14ac:dyDescent="0.15">
      <c r="A459" s="10"/>
      <c r="B459" s="13"/>
      <c r="C459" s="13"/>
    </row>
    <row r="460" spans="1:3" ht="13" x14ac:dyDescent="0.15">
      <c r="A460" s="10"/>
      <c r="B460" s="13"/>
      <c r="C460" s="13"/>
    </row>
    <row r="461" spans="1:3" ht="13" x14ac:dyDescent="0.15">
      <c r="A461" s="10"/>
      <c r="B461" s="13"/>
      <c r="C461" s="13"/>
    </row>
    <row r="462" spans="1:3" ht="13" x14ac:dyDescent="0.15">
      <c r="A462" s="10"/>
      <c r="B462" s="13"/>
      <c r="C462" s="13"/>
    </row>
    <row r="463" spans="1:3" ht="13" x14ac:dyDescent="0.15">
      <c r="A463" s="10"/>
      <c r="B463" s="13"/>
      <c r="C463" s="13"/>
    </row>
    <row r="464" spans="1:3" ht="13" x14ac:dyDescent="0.15">
      <c r="A464" s="10"/>
      <c r="B464" s="13"/>
      <c r="C464" s="13"/>
    </row>
    <row r="465" spans="1:3" ht="13" x14ac:dyDescent="0.15">
      <c r="A465" s="10"/>
      <c r="B465" s="13"/>
      <c r="C465" s="13"/>
    </row>
    <row r="466" spans="1:3" ht="13" x14ac:dyDescent="0.15">
      <c r="A466" s="10"/>
      <c r="B466" s="13"/>
      <c r="C466" s="13"/>
    </row>
    <row r="467" spans="1:3" ht="13" x14ac:dyDescent="0.15">
      <c r="A467" s="10"/>
      <c r="B467" s="13"/>
      <c r="C467" s="13"/>
    </row>
    <row r="468" spans="1:3" ht="13" x14ac:dyDescent="0.15">
      <c r="A468" s="10"/>
      <c r="B468" s="13"/>
      <c r="C468" s="13"/>
    </row>
    <row r="469" spans="1:3" ht="13" x14ac:dyDescent="0.15">
      <c r="A469" s="10"/>
      <c r="B469" s="13"/>
      <c r="C469" s="13"/>
    </row>
    <row r="470" spans="1:3" ht="13" x14ac:dyDescent="0.15">
      <c r="A470" s="10"/>
      <c r="B470" s="13"/>
      <c r="C470" s="13"/>
    </row>
    <row r="471" spans="1:3" ht="13" x14ac:dyDescent="0.15">
      <c r="A471" s="10"/>
      <c r="B471" s="13"/>
      <c r="C471" s="13"/>
    </row>
    <row r="472" spans="1:3" ht="13" x14ac:dyDescent="0.15">
      <c r="A472" s="10"/>
      <c r="B472" s="13"/>
      <c r="C472" s="13"/>
    </row>
    <row r="473" spans="1:3" ht="13" x14ac:dyDescent="0.15">
      <c r="A473" s="10"/>
      <c r="B473" s="13"/>
      <c r="C473" s="13"/>
    </row>
    <row r="474" spans="1:3" ht="13" x14ac:dyDescent="0.15">
      <c r="A474" s="10"/>
      <c r="B474" s="13"/>
      <c r="C474" s="13"/>
    </row>
    <row r="475" spans="1:3" ht="13" x14ac:dyDescent="0.15">
      <c r="A475" s="10"/>
      <c r="B475" s="13"/>
      <c r="C475" s="13"/>
    </row>
    <row r="476" spans="1:3" ht="13" x14ac:dyDescent="0.15">
      <c r="A476" s="10"/>
      <c r="B476" s="13"/>
      <c r="C476" s="13"/>
    </row>
    <row r="477" spans="1:3" ht="13" x14ac:dyDescent="0.15">
      <c r="A477" s="10"/>
      <c r="B477" s="13"/>
      <c r="C477" s="13"/>
    </row>
    <row r="478" spans="1:3" ht="13" x14ac:dyDescent="0.15">
      <c r="A478" s="10"/>
      <c r="B478" s="13"/>
      <c r="C478" s="13"/>
    </row>
    <row r="479" spans="1:3" ht="13" x14ac:dyDescent="0.15">
      <c r="A479" s="10"/>
      <c r="B479" s="13"/>
      <c r="C479" s="13"/>
    </row>
    <row r="480" spans="1:3" ht="13" x14ac:dyDescent="0.15">
      <c r="A480" s="10"/>
      <c r="B480" s="13"/>
      <c r="C480" s="13"/>
    </row>
    <row r="481" spans="1:3" ht="13" x14ac:dyDescent="0.15">
      <c r="A481" s="10"/>
      <c r="B481" s="13"/>
      <c r="C481" s="13"/>
    </row>
    <row r="482" spans="1:3" ht="13" x14ac:dyDescent="0.15">
      <c r="A482" s="10"/>
      <c r="B482" s="13"/>
      <c r="C482" s="13"/>
    </row>
    <row r="483" spans="1:3" ht="13" x14ac:dyDescent="0.15">
      <c r="A483" s="10"/>
      <c r="B483" s="13"/>
      <c r="C483" s="13"/>
    </row>
    <row r="484" spans="1:3" ht="13" x14ac:dyDescent="0.15">
      <c r="A484" s="10"/>
      <c r="B484" s="13"/>
      <c r="C484" s="13"/>
    </row>
    <row r="485" spans="1:3" ht="13" x14ac:dyDescent="0.15">
      <c r="A485" s="10"/>
      <c r="B485" s="13"/>
      <c r="C485" s="13"/>
    </row>
    <row r="486" spans="1:3" ht="13" x14ac:dyDescent="0.15">
      <c r="A486" s="10"/>
      <c r="B486" s="13"/>
      <c r="C486" s="13"/>
    </row>
    <row r="487" spans="1:3" ht="13" x14ac:dyDescent="0.15">
      <c r="A487" s="10"/>
      <c r="B487" s="13"/>
      <c r="C487" s="13"/>
    </row>
    <row r="488" spans="1:3" ht="13" x14ac:dyDescent="0.15">
      <c r="A488" s="10"/>
      <c r="B488" s="13"/>
      <c r="C488" s="13"/>
    </row>
    <row r="489" spans="1:3" ht="13" x14ac:dyDescent="0.15">
      <c r="A489" s="10"/>
      <c r="B489" s="13"/>
      <c r="C489" s="13"/>
    </row>
    <row r="490" spans="1:3" ht="13" x14ac:dyDescent="0.15">
      <c r="A490" s="10"/>
      <c r="B490" s="13"/>
      <c r="C490" s="13"/>
    </row>
    <row r="491" spans="1:3" ht="13" x14ac:dyDescent="0.15">
      <c r="A491" s="10"/>
      <c r="B491" s="13"/>
      <c r="C491" s="13"/>
    </row>
    <row r="492" spans="1:3" ht="13" x14ac:dyDescent="0.15">
      <c r="A492" s="10"/>
      <c r="B492" s="13"/>
      <c r="C492" s="13"/>
    </row>
    <row r="493" spans="1:3" ht="13" x14ac:dyDescent="0.15">
      <c r="A493" s="10"/>
      <c r="B493" s="13"/>
      <c r="C493" s="13"/>
    </row>
    <row r="494" spans="1:3" ht="13" x14ac:dyDescent="0.15">
      <c r="A494" s="10"/>
      <c r="B494" s="13"/>
      <c r="C494" s="13"/>
    </row>
    <row r="495" spans="1:3" ht="13" x14ac:dyDescent="0.15">
      <c r="A495" s="10"/>
      <c r="B495" s="13"/>
      <c r="C495" s="13"/>
    </row>
    <row r="496" spans="1:3" ht="13" x14ac:dyDescent="0.15">
      <c r="A496" s="10"/>
      <c r="B496" s="13"/>
      <c r="C496" s="13"/>
    </row>
    <row r="497" spans="1:3" ht="13" x14ac:dyDescent="0.15">
      <c r="A497" s="10"/>
      <c r="B497" s="13"/>
      <c r="C497" s="13"/>
    </row>
    <row r="498" spans="1:3" ht="13" x14ac:dyDescent="0.15">
      <c r="A498" s="10"/>
      <c r="B498" s="13"/>
      <c r="C498" s="13"/>
    </row>
    <row r="499" spans="1:3" ht="13" x14ac:dyDescent="0.15">
      <c r="A499" s="10"/>
      <c r="B499" s="13"/>
      <c r="C499" s="13"/>
    </row>
    <row r="500" spans="1:3" ht="13" x14ac:dyDescent="0.15">
      <c r="A500" s="10"/>
      <c r="B500" s="13"/>
      <c r="C500" s="13"/>
    </row>
    <row r="501" spans="1:3" ht="13" x14ac:dyDescent="0.15">
      <c r="A501" s="10"/>
      <c r="B501" s="13"/>
      <c r="C501" s="13"/>
    </row>
    <row r="502" spans="1:3" ht="13" x14ac:dyDescent="0.15">
      <c r="A502" s="10"/>
      <c r="B502" s="13"/>
      <c r="C502" s="13"/>
    </row>
    <row r="503" spans="1:3" ht="13" x14ac:dyDescent="0.15">
      <c r="A503" s="10"/>
      <c r="B503" s="13"/>
      <c r="C503" s="13"/>
    </row>
    <row r="504" spans="1:3" ht="13" x14ac:dyDescent="0.15">
      <c r="A504" s="10"/>
      <c r="B504" s="13"/>
      <c r="C504" s="13"/>
    </row>
    <row r="505" spans="1:3" ht="13" x14ac:dyDescent="0.15">
      <c r="A505" s="10"/>
      <c r="B505" s="13"/>
      <c r="C505" s="13"/>
    </row>
    <row r="506" spans="1:3" ht="13" x14ac:dyDescent="0.15">
      <c r="A506" s="10"/>
      <c r="B506" s="13"/>
      <c r="C506" s="13"/>
    </row>
    <row r="507" spans="1:3" ht="13" x14ac:dyDescent="0.15">
      <c r="A507" s="10"/>
      <c r="B507" s="13"/>
      <c r="C507" s="13"/>
    </row>
    <row r="508" spans="1:3" ht="13" x14ac:dyDescent="0.15">
      <c r="A508" s="10"/>
      <c r="B508" s="13"/>
      <c r="C508" s="13"/>
    </row>
    <row r="509" spans="1:3" ht="13" x14ac:dyDescent="0.15">
      <c r="A509" s="10"/>
      <c r="B509" s="13"/>
      <c r="C509" s="13"/>
    </row>
    <row r="510" spans="1:3" ht="13" x14ac:dyDescent="0.15">
      <c r="A510" s="10"/>
      <c r="B510" s="13"/>
      <c r="C510" s="13"/>
    </row>
    <row r="511" spans="1:3" ht="13" x14ac:dyDescent="0.15">
      <c r="A511" s="10"/>
      <c r="B511" s="13"/>
      <c r="C511" s="13"/>
    </row>
    <row r="512" spans="1:3" ht="13" x14ac:dyDescent="0.15">
      <c r="A512" s="10"/>
      <c r="B512" s="13"/>
      <c r="C512" s="13"/>
    </row>
    <row r="513" spans="1:3" ht="13" x14ac:dyDescent="0.15">
      <c r="A513" s="10"/>
      <c r="B513" s="13"/>
      <c r="C513" s="13"/>
    </row>
    <row r="514" spans="1:3" ht="13" x14ac:dyDescent="0.15">
      <c r="A514" s="10"/>
      <c r="B514" s="13"/>
      <c r="C514" s="13"/>
    </row>
    <row r="515" spans="1:3" ht="13" x14ac:dyDescent="0.15">
      <c r="A515" s="10"/>
      <c r="B515" s="13"/>
      <c r="C515" s="13"/>
    </row>
    <row r="516" spans="1:3" ht="13" x14ac:dyDescent="0.15">
      <c r="A516" s="10"/>
      <c r="B516" s="13"/>
      <c r="C516" s="13"/>
    </row>
    <row r="517" spans="1:3" ht="13" x14ac:dyDescent="0.15">
      <c r="A517" s="10"/>
      <c r="B517" s="13"/>
      <c r="C517" s="13"/>
    </row>
    <row r="518" spans="1:3" ht="13" x14ac:dyDescent="0.15">
      <c r="A518" s="10"/>
      <c r="B518" s="13"/>
      <c r="C518" s="13"/>
    </row>
    <row r="519" spans="1:3" ht="13" x14ac:dyDescent="0.15">
      <c r="A519" s="10"/>
      <c r="B519" s="13"/>
      <c r="C519" s="13"/>
    </row>
    <row r="520" spans="1:3" ht="13" x14ac:dyDescent="0.15">
      <c r="A520" s="10"/>
      <c r="B520" s="13"/>
      <c r="C520" s="13"/>
    </row>
    <row r="521" spans="1:3" ht="13" x14ac:dyDescent="0.15">
      <c r="A521" s="10"/>
      <c r="B521" s="13"/>
      <c r="C521" s="13"/>
    </row>
    <row r="522" spans="1:3" ht="13" x14ac:dyDescent="0.15">
      <c r="A522" s="10"/>
      <c r="B522" s="13"/>
      <c r="C522" s="13"/>
    </row>
    <row r="523" spans="1:3" ht="13" x14ac:dyDescent="0.15">
      <c r="A523" s="10"/>
      <c r="B523" s="13"/>
      <c r="C523" s="13"/>
    </row>
    <row r="524" spans="1:3" ht="13" x14ac:dyDescent="0.15">
      <c r="A524" s="10"/>
      <c r="B524" s="13"/>
      <c r="C524" s="13"/>
    </row>
    <row r="525" spans="1:3" ht="13" x14ac:dyDescent="0.15">
      <c r="A525" s="10"/>
      <c r="B525" s="13"/>
      <c r="C525" s="13"/>
    </row>
    <row r="526" spans="1:3" ht="13" x14ac:dyDescent="0.15">
      <c r="A526" s="10"/>
      <c r="B526" s="13"/>
      <c r="C526" s="13"/>
    </row>
    <row r="527" spans="1:3" ht="13" x14ac:dyDescent="0.15">
      <c r="A527" s="10"/>
      <c r="B527" s="13"/>
      <c r="C527" s="13"/>
    </row>
    <row r="528" spans="1:3" ht="13" x14ac:dyDescent="0.15">
      <c r="A528" s="10"/>
      <c r="B528" s="13"/>
      <c r="C528" s="13"/>
    </row>
    <row r="529" spans="1:3" ht="13" x14ac:dyDescent="0.15">
      <c r="A529" s="10"/>
      <c r="B529" s="13"/>
      <c r="C529" s="13"/>
    </row>
    <row r="530" spans="1:3" ht="13" x14ac:dyDescent="0.15">
      <c r="A530" s="10"/>
      <c r="B530" s="13"/>
      <c r="C530" s="13"/>
    </row>
    <row r="531" spans="1:3" ht="13" x14ac:dyDescent="0.15">
      <c r="A531" s="10"/>
      <c r="B531" s="13"/>
      <c r="C531" s="13"/>
    </row>
    <row r="532" spans="1:3" ht="13" x14ac:dyDescent="0.15">
      <c r="A532" s="10"/>
      <c r="B532" s="13"/>
      <c r="C532" s="13"/>
    </row>
    <row r="533" spans="1:3" ht="13" x14ac:dyDescent="0.15">
      <c r="A533" s="10"/>
      <c r="B533" s="13"/>
      <c r="C533" s="13"/>
    </row>
    <row r="534" spans="1:3" ht="13" x14ac:dyDescent="0.15">
      <c r="A534" s="10"/>
      <c r="B534" s="13"/>
      <c r="C534" s="13"/>
    </row>
    <row r="535" spans="1:3" ht="13" x14ac:dyDescent="0.15">
      <c r="A535" s="10"/>
      <c r="B535" s="13"/>
      <c r="C535" s="13"/>
    </row>
    <row r="536" spans="1:3" ht="13" x14ac:dyDescent="0.15">
      <c r="A536" s="10"/>
      <c r="B536" s="13"/>
      <c r="C536" s="13"/>
    </row>
    <row r="537" spans="1:3" ht="13" x14ac:dyDescent="0.15">
      <c r="A537" s="10"/>
      <c r="B537" s="13"/>
      <c r="C537" s="13"/>
    </row>
    <row r="538" spans="1:3" ht="13" x14ac:dyDescent="0.15">
      <c r="A538" s="10"/>
      <c r="B538" s="13"/>
      <c r="C538" s="13"/>
    </row>
    <row r="539" spans="1:3" ht="13" x14ac:dyDescent="0.15">
      <c r="A539" s="10"/>
      <c r="B539" s="13"/>
      <c r="C539" s="13"/>
    </row>
    <row r="540" spans="1:3" ht="13" x14ac:dyDescent="0.15">
      <c r="A540" s="10"/>
      <c r="B540" s="13"/>
      <c r="C540" s="13"/>
    </row>
    <row r="541" spans="1:3" ht="13" x14ac:dyDescent="0.15">
      <c r="A541" s="10"/>
      <c r="B541" s="13"/>
      <c r="C541" s="13"/>
    </row>
    <row r="542" spans="1:3" ht="13" x14ac:dyDescent="0.15">
      <c r="A542" s="10"/>
      <c r="B542" s="13"/>
      <c r="C542" s="13"/>
    </row>
    <row r="543" spans="1:3" ht="13" x14ac:dyDescent="0.15">
      <c r="A543" s="10"/>
      <c r="B543" s="13"/>
      <c r="C543" s="13"/>
    </row>
    <row r="544" spans="1:3" ht="13" x14ac:dyDescent="0.15">
      <c r="A544" s="10"/>
      <c r="B544" s="13"/>
      <c r="C544" s="13"/>
    </row>
    <row r="545" spans="1:3" ht="13" x14ac:dyDescent="0.15">
      <c r="A545" s="10"/>
      <c r="B545" s="13"/>
      <c r="C545" s="13"/>
    </row>
    <row r="546" spans="1:3" ht="13" x14ac:dyDescent="0.15">
      <c r="A546" s="10"/>
      <c r="B546" s="13"/>
      <c r="C546" s="13"/>
    </row>
    <row r="547" spans="1:3" ht="13" x14ac:dyDescent="0.15">
      <c r="A547" s="10"/>
      <c r="B547" s="13"/>
      <c r="C547" s="13"/>
    </row>
    <row r="548" spans="1:3" ht="13" x14ac:dyDescent="0.15">
      <c r="A548" s="10"/>
      <c r="B548" s="13"/>
      <c r="C548" s="13"/>
    </row>
    <row r="549" spans="1:3" ht="13" x14ac:dyDescent="0.15">
      <c r="A549" s="10"/>
      <c r="B549" s="13"/>
      <c r="C549" s="13"/>
    </row>
    <row r="550" spans="1:3" ht="13" x14ac:dyDescent="0.15">
      <c r="A550" s="10"/>
      <c r="B550" s="13"/>
      <c r="C550" s="13"/>
    </row>
    <row r="551" spans="1:3" ht="13" x14ac:dyDescent="0.15">
      <c r="A551" s="10"/>
      <c r="B551" s="13"/>
      <c r="C551" s="13"/>
    </row>
    <row r="552" spans="1:3" ht="13" x14ac:dyDescent="0.15">
      <c r="A552" s="10"/>
      <c r="B552" s="13"/>
      <c r="C552" s="13"/>
    </row>
    <row r="553" spans="1:3" ht="13" x14ac:dyDescent="0.15">
      <c r="A553" s="10"/>
      <c r="B553" s="13"/>
      <c r="C553" s="13"/>
    </row>
    <row r="554" spans="1:3" ht="13" x14ac:dyDescent="0.15">
      <c r="A554" s="10"/>
      <c r="B554" s="13"/>
      <c r="C554" s="13"/>
    </row>
    <row r="555" spans="1:3" ht="13" x14ac:dyDescent="0.15">
      <c r="A555" s="10"/>
      <c r="B555" s="13"/>
      <c r="C555" s="13"/>
    </row>
    <row r="556" spans="1:3" ht="13" x14ac:dyDescent="0.15">
      <c r="A556" s="10"/>
      <c r="B556" s="13"/>
      <c r="C556" s="13"/>
    </row>
    <row r="557" spans="1:3" ht="13" x14ac:dyDescent="0.15">
      <c r="A557" s="10"/>
      <c r="B557" s="13"/>
      <c r="C557" s="13"/>
    </row>
    <row r="558" spans="1:3" ht="13" x14ac:dyDescent="0.15">
      <c r="A558" s="10"/>
      <c r="B558" s="13"/>
      <c r="C558" s="13"/>
    </row>
    <row r="559" spans="1:3" ht="13" x14ac:dyDescent="0.15">
      <c r="A559" s="10"/>
      <c r="B559" s="13"/>
      <c r="C559" s="13"/>
    </row>
    <row r="560" spans="1:3" ht="13" x14ac:dyDescent="0.15">
      <c r="A560" s="10"/>
      <c r="B560" s="13"/>
      <c r="C560" s="13"/>
    </row>
    <row r="561" spans="1:3" ht="13" x14ac:dyDescent="0.15">
      <c r="A561" s="10"/>
      <c r="B561" s="13"/>
      <c r="C561" s="13"/>
    </row>
    <row r="562" spans="1:3" ht="13" x14ac:dyDescent="0.15">
      <c r="A562" s="10"/>
      <c r="B562" s="13"/>
      <c r="C562" s="13"/>
    </row>
    <row r="563" spans="1:3" ht="13" x14ac:dyDescent="0.15">
      <c r="A563" s="10"/>
      <c r="B563" s="13"/>
      <c r="C563" s="13"/>
    </row>
    <row r="564" spans="1:3" ht="13" x14ac:dyDescent="0.15">
      <c r="A564" s="10"/>
      <c r="B564" s="13"/>
      <c r="C564" s="13"/>
    </row>
    <row r="565" spans="1:3" ht="13" x14ac:dyDescent="0.15">
      <c r="A565" s="10"/>
      <c r="B565" s="13"/>
      <c r="C565" s="13"/>
    </row>
    <row r="566" spans="1:3" ht="13" x14ac:dyDescent="0.15">
      <c r="A566" s="10"/>
      <c r="B566" s="13"/>
      <c r="C566" s="13"/>
    </row>
    <row r="567" spans="1:3" ht="13" x14ac:dyDescent="0.15">
      <c r="A567" s="10"/>
      <c r="B567" s="13"/>
      <c r="C567" s="13"/>
    </row>
    <row r="568" spans="1:3" ht="13" x14ac:dyDescent="0.15">
      <c r="A568" s="10"/>
      <c r="B568" s="13"/>
      <c r="C568" s="13"/>
    </row>
    <row r="569" spans="1:3" ht="13" x14ac:dyDescent="0.15">
      <c r="A569" s="10"/>
      <c r="B569" s="13"/>
      <c r="C569" s="13"/>
    </row>
    <row r="570" spans="1:3" ht="13" x14ac:dyDescent="0.15">
      <c r="A570" s="10"/>
      <c r="B570" s="13"/>
      <c r="C570" s="13"/>
    </row>
    <row r="571" spans="1:3" ht="13" x14ac:dyDescent="0.15">
      <c r="A571" s="10"/>
      <c r="B571" s="13"/>
      <c r="C571" s="13"/>
    </row>
    <row r="572" spans="1:3" ht="13" x14ac:dyDescent="0.15">
      <c r="A572" s="10"/>
      <c r="B572" s="13"/>
      <c r="C572" s="13"/>
    </row>
    <row r="573" spans="1:3" ht="13" x14ac:dyDescent="0.15">
      <c r="A573" s="10"/>
      <c r="B573" s="13"/>
      <c r="C573" s="13"/>
    </row>
    <row r="574" spans="1:3" ht="13" x14ac:dyDescent="0.15">
      <c r="A574" s="10"/>
      <c r="B574" s="13"/>
      <c r="C574" s="13"/>
    </row>
    <row r="575" spans="1:3" ht="13" x14ac:dyDescent="0.15">
      <c r="A575" s="10"/>
      <c r="B575" s="13"/>
      <c r="C575" s="13"/>
    </row>
    <row r="576" spans="1:3" ht="13" x14ac:dyDescent="0.15">
      <c r="A576" s="10"/>
      <c r="B576" s="13"/>
      <c r="C576" s="13"/>
    </row>
    <row r="577" spans="1:3" ht="13" x14ac:dyDescent="0.15">
      <c r="A577" s="10"/>
      <c r="B577" s="13"/>
      <c r="C577" s="13"/>
    </row>
    <row r="578" spans="1:3" ht="13" x14ac:dyDescent="0.15">
      <c r="A578" s="10"/>
      <c r="B578" s="13"/>
      <c r="C578" s="13"/>
    </row>
    <row r="579" spans="1:3" ht="13" x14ac:dyDescent="0.15">
      <c r="A579" s="10"/>
      <c r="B579" s="13"/>
      <c r="C579" s="13"/>
    </row>
    <row r="580" spans="1:3" ht="13" x14ac:dyDescent="0.15">
      <c r="A580" s="10"/>
      <c r="B580" s="13"/>
      <c r="C580" s="13"/>
    </row>
    <row r="581" spans="1:3" ht="13" x14ac:dyDescent="0.15">
      <c r="A581" s="10"/>
      <c r="B581" s="13"/>
      <c r="C581" s="13"/>
    </row>
    <row r="582" spans="1:3" ht="13" x14ac:dyDescent="0.15">
      <c r="A582" s="10"/>
      <c r="B582" s="13"/>
      <c r="C582" s="13"/>
    </row>
    <row r="583" spans="1:3" ht="13" x14ac:dyDescent="0.15">
      <c r="A583" s="10"/>
      <c r="B583" s="13"/>
      <c r="C583" s="13"/>
    </row>
    <row r="584" spans="1:3" ht="13" x14ac:dyDescent="0.15">
      <c r="A584" s="10"/>
      <c r="B584" s="13"/>
      <c r="C584" s="13"/>
    </row>
    <row r="585" spans="1:3" ht="13" x14ac:dyDescent="0.15">
      <c r="A585" s="10"/>
      <c r="B585" s="13"/>
      <c r="C585" s="13"/>
    </row>
    <row r="586" spans="1:3" ht="13" x14ac:dyDescent="0.15">
      <c r="A586" s="10"/>
      <c r="B586" s="13"/>
      <c r="C586" s="13"/>
    </row>
    <row r="587" spans="1:3" ht="13" x14ac:dyDescent="0.15">
      <c r="A587" s="10"/>
      <c r="B587" s="13"/>
      <c r="C587" s="13"/>
    </row>
    <row r="588" spans="1:3" ht="13" x14ac:dyDescent="0.15">
      <c r="A588" s="10"/>
      <c r="B588" s="13"/>
      <c r="C588" s="13"/>
    </row>
    <row r="589" spans="1:3" ht="13" x14ac:dyDescent="0.15">
      <c r="A589" s="10"/>
      <c r="B589" s="13"/>
      <c r="C589" s="13"/>
    </row>
    <row r="590" spans="1:3" ht="13" x14ac:dyDescent="0.15">
      <c r="A590" s="10"/>
      <c r="B590" s="13"/>
      <c r="C590" s="13"/>
    </row>
    <row r="591" spans="1:3" ht="13" x14ac:dyDescent="0.15">
      <c r="A591" s="10"/>
      <c r="B591" s="13"/>
      <c r="C591" s="13"/>
    </row>
    <row r="592" spans="1:3" ht="13" x14ac:dyDescent="0.15">
      <c r="A592" s="10"/>
      <c r="B592" s="13"/>
      <c r="C592" s="13"/>
    </row>
    <row r="593" spans="1:3" ht="13" x14ac:dyDescent="0.15">
      <c r="A593" s="10"/>
      <c r="B593" s="13"/>
      <c r="C593" s="13"/>
    </row>
    <row r="594" spans="1:3" ht="13" x14ac:dyDescent="0.15">
      <c r="A594" s="10"/>
      <c r="B594" s="13"/>
      <c r="C594" s="13"/>
    </row>
    <row r="595" spans="1:3" ht="13" x14ac:dyDescent="0.15">
      <c r="A595" s="10"/>
      <c r="B595" s="13"/>
      <c r="C595" s="13"/>
    </row>
    <row r="596" spans="1:3" ht="13" x14ac:dyDescent="0.15">
      <c r="A596" s="10"/>
      <c r="B596" s="13"/>
      <c r="C596" s="13"/>
    </row>
    <row r="597" spans="1:3" ht="13" x14ac:dyDescent="0.15">
      <c r="A597" s="10"/>
      <c r="B597" s="13"/>
      <c r="C597" s="13"/>
    </row>
    <row r="598" spans="1:3" ht="13" x14ac:dyDescent="0.15">
      <c r="A598" s="10"/>
      <c r="B598" s="13"/>
      <c r="C598" s="13"/>
    </row>
    <row r="599" spans="1:3" ht="13" x14ac:dyDescent="0.15">
      <c r="A599" s="10"/>
      <c r="B599" s="13"/>
      <c r="C599" s="13"/>
    </row>
    <row r="600" spans="1:3" ht="13" x14ac:dyDescent="0.15">
      <c r="A600" s="10"/>
      <c r="B600" s="13"/>
      <c r="C600" s="13"/>
    </row>
    <row r="601" spans="1:3" ht="13" x14ac:dyDescent="0.15">
      <c r="A601" s="10"/>
      <c r="B601" s="13"/>
      <c r="C601" s="13"/>
    </row>
    <row r="602" spans="1:3" ht="13" x14ac:dyDescent="0.15">
      <c r="A602" s="10"/>
      <c r="B602" s="13"/>
      <c r="C602" s="13"/>
    </row>
    <row r="603" spans="1:3" ht="13" x14ac:dyDescent="0.15">
      <c r="A603" s="10"/>
      <c r="B603" s="13"/>
      <c r="C603" s="13"/>
    </row>
    <row r="604" spans="1:3" ht="13" x14ac:dyDescent="0.15">
      <c r="A604" s="10"/>
      <c r="B604" s="13"/>
      <c r="C604" s="13"/>
    </row>
    <row r="605" spans="1:3" ht="13" x14ac:dyDescent="0.15">
      <c r="A605" s="10"/>
      <c r="B605" s="13"/>
      <c r="C605" s="13"/>
    </row>
    <row r="606" spans="1:3" ht="13" x14ac:dyDescent="0.15">
      <c r="A606" s="10"/>
      <c r="B606" s="13"/>
      <c r="C606" s="13"/>
    </row>
    <row r="607" spans="1:3" ht="13" x14ac:dyDescent="0.15">
      <c r="A607" s="10"/>
      <c r="B607" s="13"/>
      <c r="C607" s="13"/>
    </row>
    <row r="608" spans="1:3" ht="13" x14ac:dyDescent="0.15">
      <c r="A608" s="10"/>
      <c r="B608" s="13"/>
      <c r="C608" s="13"/>
    </row>
    <row r="609" spans="1:3" ht="13" x14ac:dyDescent="0.15">
      <c r="A609" s="10"/>
      <c r="B609" s="13"/>
      <c r="C609" s="13"/>
    </row>
    <row r="610" spans="1:3" ht="13" x14ac:dyDescent="0.15">
      <c r="A610" s="10"/>
      <c r="B610" s="13"/>
      <c r="C610" s="13"/>
    </row>
    <row r="611" spans="1:3" ht="13" x14ac:dyDescent="0.15">
      <c r="A611" s="10"/>
      <c r="B611" s="13"/>
      <c r="C611" s="13"/>
    </row>
    <row r="612" spans="1:3" ht="13" x14ac:dyDescent="0.15">
      <c r="A612" s="10"/>
      <c r="B612" s="13"/>
      <c r="C612" s="13"/>
    </row>
    <row r="613" spans="1:3" ht="13" x14ac:dyDescent="0.15">
      <c r="A613" s="10"/>
      <c r="B613" s="13"/>
      <c r="C613" s="13"/>
    </row>
    <row r="614" spans="1:3" ht="13" x14ac:dyDescent="0.15">
      <c r="A614" s="10"/>
      <c r="B614" s="13"/>
      <c r="C614" s="13"/>
    </row>
    <row r="615" spans="1:3" ht="13" x14ac:dyDescent="0.15">
      <c r="A615" s="10"/>
      <c r="B615" s="13"/>
      <c r="C615" s="13"/>
    </row>
    <row r="616" spans="1:3" ht="13" x14ac:dyDescent="0.15">
      <c r="A616" s="10"/>
      <c r="B616" s="13"/>
      <c r="C616" s="13"/>
    </row>
    <row r="617" spans="1:3" ht="13" x14ac:dyDescent="0.15">
      <c r="A617" s="10"/>
      <c r="B617" s="13"/>
      <c r="C617" s="13"/>
    </row>
    <row r="618" spans="1:3" ht="13" x14ac:dyDescent="0.15">
      <c r="A618" s="10"/>
      <c r="B618" s="13"/>
      <c r="C618" s="13"/>
    </row>
    <row r="619" spans="1:3" ht="13" x14ac:dyDescent="0.15">
      <c r="A619" s="10"/>
      <c r="B619" s="13"/>
      <c r="C619" s="13"/>
    </row>
    <row r="620" spans="1:3" ht="13" x14ac:dyDescent="0.15">
      <c r="A620" s="10"/>
      <c r="B620" s="13"/>
      <c r="C620" s="13"/>
    </row>
    <row r="621" spans="1:3" ht="13" x14ac:dyDescent="0.15">
      <c r="A621" s="10"/>
      <c r="B621" s="13"/>
      <c r="C621" s="13"/>
    </row>
    <row r="622" spans="1:3" ht="13" x14ac:dyDescent="0.15">
      <c r="A622" s="10"/>
      <c r="B622" s="13"/>
      <c r="C622" s="13"/>
    </row>
    <row r="623" spans="1:3" ht="13" x14ac:dyDescent="0.15">
      <c r="A623" s="10"/>
      <c r="B623" s="13"/>
      <c r="C623" s="13"/>
    </row>
    <row r="624" spans="1:3" ht="13" x14ac:dyDescent="0.15">
      <c r="A624" s="10"/>
      <c r="B624" s="13"/>
      <c r="C624" s="13"/>
    </row>
    <row r="625" spans="1:3" ht="13" x14ac:dyDescent="0.15">
      <c r="A625" s="10"/>
      <c r="B625" s="13"/>
      <c r="C625" s="13"/>
    </row>
    <row r="626" spans="1:3" ht="13" x14ac:dyDescent="0.15">
      <c r="A626" s="10"/>
      <c r="B626" s="13"/>
      <c r="C626" s="13"/>
    </row>
    <row r="627" spans="1:3" ht="13" x14ac:dyDescent="0.15">
      <c r="A627" s="10"/>
      <c r="B627" s="13"/>
      <c r="C627" s="13"/>
    </row>
    <row r="628" spans="1:3" ht="13" x14ac:dyDescent="0.15">
      <c r="A628" s="10"/>
      <c r="B628" s="13"/>
      <c r="C628" s="13"/>
    </row>
    <row r="629" spans="1:3" ht="13" x14ac:dyDescent="0.15">
      <c r="A629" s="10"/>
      <c r="B629" s="13"/>
      <c r="C629" s="13"/>
    </row>
    <row r="630" spans="1:3" ht="13" x14ac:dyDescent="0.15">
      <c r="A630" s="10"/>
      <c r="B630" s="13"/>
      <c r="C630" s="13"/>
    </row>
    <row r="631" spans="1:3" ht="13" x14ac:dyDescent="0.15">
      <c r="A631" s="10"/>
      <c r="B631" s="13"/>
      <c r="C631" s="13"/>
    </row>
    <row r="632" spans="1:3" ht="13" x14ac:dyDescent="0.15">
      <c r="A632" s="10"/>
      <c r="B632" s="13"/>
      <c r="C632" s="13"/>
    </row>
    <row r="633" spans="1:3" ht="13" x14ac:dyDescent="0.15">
      <c r="A633" s="10"/>
      <c r="B633" s="13"/>
      <c r="C633" s="13"/>
    </row>
    <row r="634" spans="1:3" ht="13" x14ac:dyDescent="0.15">
      <c r="A634" s="10"/>
      <c r="B634" s="13"/>
      <c r="C634" s="13"/>
    </row>
    <row r="635" spans="1:3" ht="13" x14ac:dyDescent="0.15">
      <c r="A635" s="10"/>
      <c r="B635" s="13"/>
      <c r="C635" s="13"/>
    </row>
    <row r="636" spans="1:3" ht="13" x14ac:dyDescent="0.15">
      <c r="A636" s="10"/>
      <c r="B636" s="13"/>
      <c r="C636" s="13"/>
    </row>
    <row r="637" spans="1:3" ht="13" x14ac:dyDescent="0.15">
      <c r="A637" s="10"/>
      <c r="B637" s="13"/>
      <c r="C637" s="13"/>
    </row>
    <row r="638" spans="1:3" ht="13" x14ac:dyDescent="0.15">
      <c r="A638" s="10"/>
      <c r="B638" s="13"/>
      <c r="C638" s="13"/>
    </row>
    <row r="639" spans="1:3" ht="13" x14ac:dyDescent="0.15">
      <c r="A639" s="10"/>
      <c r="B639" s="13"/>
      <c r="C639" s="13"/>
    </row>
    <row r="640" spans="1:3" ht="13" x14ac:dyDescent="0.15">
      <c r="A640" s="10"/>
      <c r="B640" s="13"/>
      <c r="C640" s="13"/>
    </row>
    <row r="641" spans="1:3" ht="13" x14ac:dyDescent="0.15">
      <c r="A641" s="10"/>
      <c r="B641" s="13"/>
      <c r="C641" s="13"/>
    </row>
    <row r="642" spans="1:3" ht="13" x14ac:dyDescent="0.15">
      <c r="A642" s="10"/>
      <c r="B642" s="13"/>
      <c r="C642" s="13"/>
    </row>
    <row r="643" spans="1:3" ht="13" x14ac:dyDescent="0.15">
      <c r="A643" s="10"/>
      <c r="B643" s="13"/>
      <c r="C643" s="13"/>
    </row>
    <row r="644" spans="1:3" ht="13" x14ac:dyDescent="0.15">
      <c r="A644" s="10"/>
      <c r="B644" s="13"/>
      <c r="C644" s="13"/>
    </row>
    <row r="645" spans="1:3" ht="13" x14ac:dyDescent="0.15">
      <c r="A645" s="10"/>
      <c r="B645" s="13"/>
      <c r="C645" s="13"/>
    </row>
    <row r="646" spans="1:3" ht="13" x14ac:dyDescent="0.15">
      <c r="A646" s="10"/>
      <c r="B646" s="13"/>
      <c r="C646" s="13"/>
    </row>
    <row r="647" spans="1:3" ht="13" x14ac:dyDescent="0.15">
      <c r="A647" s="10"/>
      <c r="B647" s="13"/>
      <c r="C647" s="13"/>
    </row>
    <row r="648" spans="1:3" ht="13" x14ac:dyDescent="0.15">
      <c r="A648" s="10"/>
      <c r="B648" s="13"/>
      <c r="C648" s="13"/>
    </row>
    <row r="649" spans="1:3" ht="13" x14ac:dyDescent="0.15">
      <c r="A649" s="10"/>
      <c r="B649" s="13"/>
      <c r="C649" s="13"/>
    </row>
    <row r="650" spans="1:3" ht="13" x14ac:dyDescent="0.15">
      <c r="A650" s="10"/>
      <c r="B650" s="13"/>
      <c r="C650" s="13"/>
    </row>
    <row r="651" spans="1:3" ht="13" x14ac:dyDescent="0.15">
      <c r="A651" s="10"/>
      <c r="B651" s="13"/>
      <c r="C651" s="13"/>
    </row>
    <row r="652" spans="1:3" ht="13" x14ac:dyDescent="0.15">
      <c r="A652" s="10"/>
      <c r="B652" s="13"/>
      <c r="C652" s="13"/>
    </row>
    <row r="653" spans="1:3" ht="13" x14ac:dyDescent="0.15">
      <c r="A653" s="10"/>
      <c r="B653" s="13"/>
      <c r="C653" s="13"/>
    </row>
    <row r="654" spans="1:3" ht="13" x14ac:dyDescent="0.15">
      <c r="A654" s="10"/>
      <c r="B654" s="13"/>
      <c r="C654" s="13"/>
    </row>
    <row r="655" spans="1:3" ht="13" x14ac:dyDescent="0.15">
      <c r="A655" s="10"/>
      <c r="B655" s="13"/>
      <c r="C655" s="13"/>
    </row>
    <row r="656" spans="1:3" ht="13" x14ac:dyDescent="0.15">
      <c r="A656" s="10"/>
      <c r="B656" s="13"/>
      <c r="C656" s="13"/>
    </row>
    <row r="657" spans="1:3" ht="13" x14ac:dyDescent="0.15">
      <c r="A657" s="10"/>
      <c r="B657" s="13"/>
      <c r="C657" s="13"/>
    </row>
    <row r="658" spans="1:3" ht="13" x14ac:dyDescent="0.15">
      <c r="A658" s="10"/>
      <c r="B658" s="13"/>
      <c r="C658" s="13"/>
    </row>
    <row r="659" spans="1:3" ht="13" x14ac:dyDescent="0.15">
      <c r="A659" s="10"/>
      <c r="B659" s="13"/>
      <c r="C659" s="13"/>
    </row>
    <row r="660" spans="1:3" ht="13" x14ac:dyDescent="0.15">
      <c r="A660" s="10"/>
      <c r="B660" s="13"/>
      <c r="C660" s="13"/>
    </row>
    <row r="661" spans="1:3" ht="13" x14ac:dyDescent="0.15">
      <c r="A661" s="10"/>
      <c r="B661" s="13"/>
      <c r="C661" s="13"/>
    </row>
    <row r="662" spans="1:3" ht="13" x14ac:dyDescent="0.15">
      <c r="A662" s="10"/>
      <c r="B662" s="13"/>
      <c r="C662" s="13"/>
    </row>
    <row r="663" spans="1:3" ht="13" x14ac:dyDescent="0.15">
      <c r="A663" s="10"/>
      <c r="B663" s="13"/>
      <c r="C663" s="13"/>
    </row>
    <row r="664" spans="1:3" ht="13" x14ac:dyDescent="0.15">
      <c r="A664" s="10"/>
      <c r="B664" s="13"/>
      <c r="C664" s="13"/>
    </row>
    <row r="665" spans="1:3" ht="13" x14ac:dyDescent="0.15">
      <c r="A665" s="10"/>
      <c r="B665" s="13"/>
      <c r="C665" s="13"/>
    </row>
    <row r="666" spans="1:3" ht="13" x14ac:dyDescent="0.15">
      <c r="A666" s="10"/>
      <c r="B666" s="13"/>
      <c r="C666" s="13"/>
    </row>
    <row r="667" spans="1:3" ht="13" x14ac:dyDescent="0.15">
      <c r="A667" s="10"/>
      <c r="B667" s="13"/>
      <c r="C667" s="13"/>
    </row>
    <row r="668" spans="1:3" ht="13" x14ac:dyDescent="0.15">
      <c r="A668" s="10"/>
      <c r="B668" s="13"/>
      <c r="C668" s="13"/>
    </row>
    <row r="669" spans="1:3" ht="13" x14ac:dyDescent="0.15">
      <c r="A669" s="10"/>
      <c r="B669" s="13"/>
      <c r="C669" s="13"/>
    </row>
    <row r="670" spans="1:3" ht="13" x14ac:dyDescent="0.15">
      <c r="A670" s="10"/>
      <c r="B670" s="13"/>
      <c r="C670" s="13"/>
    </row>
    <row r="671" spans="1:3" ht="13" x14ac:dyDescent="0.15">
      <c r="A671" s="10"/>
      <c r="B671" s="13"/>
      <c r="C671" s="13"/>
    </row>
    <row r="672" spans="1:3" ht="13" x14ac:dyDescent="0.15">
      <c r="A672" s="10"/>
      <c r="B672" s="13"/>
      <c r="C672" s="13"/>
    </row>
    <row r="673" spans="1:3" ht="13" x14ac:dyDescent="0.15">
      <c r="A673" s="10"/>
      <c r="B673" s="13"/>
      <c r="C673" s="13"/>
    </row>
    <row r="674" spans="1:3" ht="13" x14ac:dyDescent="0.15">
      <c r="A674" s="10"/>
      <c r="B674" s="13"/>
      <c r="C674" s="13"/>
    </row>
    <row r="675" spans="1:3" ht="13" x14ac:dyDescent="0.15">
      <c r="A675" s="10"/>
      <c r="B675" s="13"/>
      <c r="C675" s="13"/>
    </row>
    <row r="676" spans="1:3" ht="13" x14ac:dyDescent="0.15">
      <c r="A676" s="10"/>
      <c r="B676" s="13"/>
      <c r="C676" s="13"/>
    </row>
    <row r="677" spans="1:3" ht="13" x14ac:dyDescent="0.15">
      <c r="A677" s="10"/>
      <c r="B677" s="13"/>
      <c r="C677" s="13"/>
    </row>
    <row r="678" spans="1:3" ht="13" x14ac:dyDescent="0.15">
      <c r="A678" s="10"/>
      <c r="B678" s="13"/>
      <c r="C678" s="13"/>
    </row>
    <row r="679" spans="1:3" ht="13" x14ac:dyDescent="0.15">
      <c r="A679" s="10"/>
      <c r="B679" s="13"/>
      <c r="C679" s="13"/>
    </row>
    <row r="680" spans="1:3" ht="13" x14ac:dyDescent="0.15">
      <c r="A680" s="10"/>
      <c r="B680" s="13"/>
      <c r="C680" s="13"/>
    </row>
    <row r="681" spans="1:3" ht="13" x14ac:dyDescent="0.15">
      <c r="A681" s="10"/>
      <c r="B681" s="13"/>
      <c r="C681" s="13"/>
    </row>
    <row r="682" spans="1:3" ht="13" x14ac:dyDescent="0.15">
      <c r="A682" s="10"/>
      <c r="B682" s="13"/>
      <c r="C682" s="13"/>
    </row>
    <row r="683" spans="1:3" ht="13" x14ac:dyDescent="0.15">
      <c r="A683" s="10"/>
      <c r="B683" s="13"/>
      <c r="C683" s="13"/>
    </row>
    <row r="684" spans="1:3" ht="13" x14ac:dyDescent="0.15">
      <c r="A684" s="10"/>
      <c r="B684" s="13"/>
      <c r="C684" s="13"/>
    </row>
    <row r="685" spans="1:3" ht="13" x14ac:dyDescent="0.15">
      <c r="A685" s="10"/>
      <c r="B685" s="13"/>
      <c r="C685" s="13"/>
    </row>
    <row r="686" spans="1:3" ht="13" x14ac:dyDescent="0.15">
      <c r="A686" s="10"/>
      <c r="B686" s="13"/>
      <c r="C686" s="13"/>
    </row>
    <row r="687" spans="1:3" ht="13" x14ac:dyDescent="0.15">
      <c r="A687" s="10"/>
      <c r="B687" s="13"/>
      <c r="C687" s="13"/>
    </row>
    <row r="688" spans="1:3" ht="13" x14ac:dyDescent="0.15">
      <c r="A688" s="10"/>
      <c r="B688" s="13"/>
      <c r="C688" s="13"/>
    </row>
    <row r="689" spans="1:3" ht="13" x14ac:dyDescent="0.15">
      <c r="A689" s="10"/>
      <c r="B689" s="13"/>
      <c r="C689" s="13"/>
    </row>
    <row r="690" spans="1:3" ht="13" x14ac:dyDescent="0.15">
      <c r="A690" s="10"/>
      <c r="B690" s="13"/>
      <c r="C690" s="13"/>
    </row>
    <row r="691" spans="1:3" ht="13" x14ac:dyDescent="0.15">
      <c r="A691" s="10"/>
      <c r="B691" s="13"/>
      <c r="C691" s="13"/>
    </row>
    <row r="692" spans="1:3" ht="13" x14ac:dyDescent="0.15">
      <c r="A692" s="10"/>
      <c r="B692" s="13"/>
      <c r="C692" s="13"/>
    </row>
    <row r="693" spans="1:3" ht="13" x14ac:dyDescent="0.15">
      <c r="A693" s="10"/>
      <c r="B693" s="13"/>
      <c r="C693" s="13"/>
    </row>
    <row r="694" spans="1:3" ht="13" x14ac:dyDescent="0.15">
      <c r="A694" s="10"/>
      <c r="B694" s="13"/>
      <c r="C694" s="13"/>
    </row>
    <row r="695" spans="1:3" ht="13" x14ac:dyDescent="0.15">
      <c r="A695" s="10"/>
      <c r="B695" s="13"/>
      <c r="C695" s="13"/>
    </row>
    <row r="696" spans="1:3" ht="13" x14ac:dyDescent="0.15">
      <c r="A696" s="10"/>
      <c r="B696" s="13"/>
      <c r="C696" s="13"/>
    </row>
    <row r="697" spans="1:3" ht="13" x14ac:dyDescent="0.15">
      <c r="A697" s="10"/>
      <c r="B697" s="13"/>
      <c r="C697" s="13"/>
    </row>
    <row r="698" spans="1:3" ht="13" x14ac:dyDescent="0.15">
      <c r="A698" s="10"/>
      <c r="B698" s="13"/>
      <c r="C698" s="13"/>
    </row>
    <row r="699" spans="1:3" ht="13" x14ac:dyDescent="0.15">
      <c r="A699" s="10"/>
      <c r="B699" s="13"/>
      <c r="C699" s="13"/>
    </row>
    <row r="700" spans="1:3" ht="13" x14ac:dyDescent="0.15">
      <c r="A700" s="10"/>
      <c r="B700" s="13"/>
      <c r="C700" s="13"/>
    </row>
    <row r="701" spans="1:3" ht="13" x14ac:dyDescent="0.15">
      <c r="A701" s="10"/>
      <c r="B701" s="13"/>
      <c r="C701" s="13"/>
    </row>
    <row r="702" spans="1:3" ht="13" x14ac:dyDescent="0.15">
      <c r="A702" s="10"/>
      <c r="B702" s="13"/>
      <c r="C702" s="13"/>
    </row>
    <row r="703" spans="1:3" ht="13" x14ac:dyDescent="0.15">
      <c r="A703" s="10"/>
      <c r="B703" s="13"/>
      <c r="C703" s="13"/>
    </row>
    <row r="704" spans="1:3" ht="13" x14ac:dyDescent="0.15">
      <c r="A704" s="10"/>
      <c r="B704" s="13"/>
      <c r="C704" s="13"/>
    </row>
    <row r="705" spans="1:3" ht="13" x14ac:dyDescent="0.15">
      <c r="A705" s="10"/>
      <c r="B705" s="13"/>
      <c r="C705" s="13"/>
    </row>
    <row r="706" spans="1:3" ht="13" x14ac:dyDescent="0.15">
      <c r="A706" s="10"/>
      <c r="B706" s="13"/>
      <c r="C706" s="13"/>
    </row>
    <row r="707" spans="1:3" ht="13" x14ac:dyDescent="0.15">
      <c r="A707" s="10"/>
      <c r="B707" s="13"/>
      <c r="C707" s="13"/>
    </row>
    <row r="708" spans="1:3" ht="13" x14ac:dyDescent="0.15">
      <c r="A708" s="10"/>
      <c r="B708" s="13"/>
      <c r="C708" s="13"/>
    </row>
    <row r="709" spans="1:3" ht="13" x14ac:dyDescent="0.15">
      <c r="A709" s="10"/>
      <c r="B709" s="13"/>
      <c r="C709" s="13"/>
    </row>
    <row r="710" spans="1:3" ht="13" x14ac:dyDescent="0.15">
      <c r="A710" s="10"/>
      <c r="B710" s="13"/>
      <c r="C710" s="13"/>
    </row>
    <row r="711" spans="1:3" ht="13" x14ac:dyDescent="0.15">
      <c r="A711" s="10"/>
      <c r="B711" s="13"/>
      <c r="C711" s="13"/>
    </row>
    <row r="712" spans="1:3" ht="13" x14ac:dyDescent="0.15">
      <c r="A712" s="10"/>
      <c r="B712" s="13"/>
      <c r="C712" s="13"/>
    </row>
    <row r="713" spans="1:3" ht="13" x14ac:dyDescent="0.15">
      <c r="A713" s="10"/>
      <c r="B713" s="13"/>
      <c r="C713" s="13"/>
    </row>
    <row r="714" spans="1:3" ht="13" x14ac:dyDescent="0.15">
      <c r="A714" s="10"/>
      <c r="B714" s="13"/>
      <c r="C714" s="13"/>
    </row>
    <row r="715" spans="1:3" ht="13" x14ac:dyDescent="0.15">
      <c r="A715" s="10"/>
      <c r="B715" s="13"/>
      <c r="C715" s="13"/>
    </row>
    <row r="716" spans="1:3" ht="13" x14ac:dyDescent="0.15">
      <c r="A716" s="10"/>
      <c r="B716" s="13"/>
      <c r="C716" s="13"/>
    </row>
    <row r="717" spans="1:3" ht="13" x14ac:dyDescent="0.15">
      <c r="A717" s="10"/>
      <c r="B717" s="13"/>
      <c r="C717" s="13"/>
    </row>
    <row r="718" spans="1:3" ht="13" x14ac:dyDescent="0.15">
      <c r="A718" s="10"/>
      <c r="B718" s="13"/>
      <c r="C718" s="13"/>
    </row>
    <row r="719" spans="1:3" ht="13" x14ac:dyDescent="0.15">
      <c r="A719" s="10"/>
      <c r="B719" s="13"/>
      <c r="C719" s="13"/>
    </row>
    <row r="720" spans="1:3" ht="13" x14ac:dyDescent="0.15">
      <c r="A720" s="10"/>
      <c r="B720" s="13"/>
      <c r="C720" s="13"/>
    </row>
    <row r="721" spans="1:3" ht="13" x14ac:dyDescent="0.15">
      <c r="A721" s="10"/>
      <c r="B721" s="13"/>
      <c r="C721" s="13"/>
    </row>
    <row r="722" spans="1:3" ht="13" x14ac:dyDescent="0.15">
      <c r="A722" s="10"/>
      <c r="B722" s="13"/>
      <c r="C722" s="13"/>
    </row>
    <row r="723" spans="1:3" ht="13" x14ac:dyDescent="0.15">
      <c r="A723" s="10"/>
      <c r="B723" s="13"/>
      <c r="C723" s="13"/>
    </row>
    <row r="724" spans="1:3" ht="13" x14ac:dyDescent="0.15">
      <c r="A724" s="10"/>
      <c r="B724" s="13"/>
      <c r="C724" s="13"/>
    </row>
    <row r="725" spans="1:3" ht="13" x14ac:dyDescent="0.15">
      <c r="A725" s="10"/>
      <c r="B725" s="13"/>
      <c r="C725" s="13"/>
    </row>
    <row r="726" spans="1:3" ht="13" x14ac:dyDescent="0.15">
      <c r="A726" s="10"/>
      <c r="B726" s="13"/>
      <c r="C726" s="13"/>
    </row>
    <row r="727" spans="1:3" ht="13" x14ac:dyDescent="0.15">
      <c r="A727" s="10"/>
      <c r="B727" s="13"/>
      <c r="C727" s="13"/>
    </row>
    <row r="728" spans="1:3" ht="13" x14ac:dyDescent="0.15">
      <c r="A728" s="10"/>
      <c r="B728" s="13"/>
      <c r="C728" s="13"/>
    </row>
    <row r="729" spans="1:3" ht="13" x14ac:dyDescent="0.15">
      <c r="A729" s="10"/>
      <c r="B729" s="13"/>
      <c r="C729" s="13"/>
    </row>
    <row r="730" spans="1:3" ht="13" x14ac:dyDescent="0.15">
      <c r="A730" s="10"/>
      <c r="B730" s="13"/>
      <c r="C730" s="13"/>
    </row>
    <row r="731" spans="1:3" ht="13" x14ac:dyDescent="0.15">
      <c r="A731" s="10"/>
      <c r="B731" s="13"/>
      <c r="C731" s="13"/>
    </row>
    <row r="732" spans="1:3" ht="13" x14ac:dyDescent="0.15">
      <c r="A732" s="10"/>
      <c r="B732" s="13"/>
      <c r="C732" s="13"/>
    </row>
    <row r="733" spans="1:3" ht="13" x14ac:dyDescent="0.15">
      <c r="A733" s="10"/>
      <c r="B733" s="13"/>
      <c r="C733" s="13"/>
    </row>
    <row r="734" spans="1:3" ht="13" x14ac:dyDescent="0.15">
      <c r="A734" s="10"/>
      <c r="B734" s="13"/>
      <c r="C734" s="13"/>
    </row>
    <row r="735" spans="1:3" ht="13" x14ac:dyDescent="0.15">
      <c r="A735" s="10"/>
      <c r="B735" s="13"/>
      <c r="C735" s="13"/>
    </row>
    <row r="736" spans="1:3" ht="13" x14ac:dyDescent="0.15">
      <c r="A736" s="10"/>
      <c r="B736" s="13"/>
      <c r="C736" s="13"/>
    </row>
    <row r="737" spans="1:3" ht="13" x14ac:dyDescent="0.15">
      <c r="A737" s="10"/>
      <c r="B737" s="13"/>
      <c r="C737" s="13"/>
    </row>
    <row r="738" spans="1:3" ht="13" x14ac:dyDescent="0.15">
      <c r="A738" s="10"/>
      <c r="B738" s="13"/>
      <c r="C738" s="13"/>
    </row>
    <row r="739" spans="1:3" ht="13" x14ac:dyDescent="0.15">
      <c r="A739" s="10"/>
      <c r="B739" s="13"/>
      <c r="C739" s="13"/>
    </row>
    <row r="740" spans="1:3" ht="13" x14ac:dyDescent="0.15">
      <c r="A740" s="10"/>
      <c r="B740" s="13"/>
      <c r="C740" s="13"/>
    </row>
    <row r="741" spans="1:3" ht="13" x14ac:dyDescent="0.15">
      <c r="A741" s="10"/>
      <c r="B741" s="13"/>
      <c r="C741" s="13"/>
    </row>
    <row r="742" spans="1:3" ht="13" x14ac:dyDescent="0.15">
      <c r="A742" s="10"/>
      <c r="B742" s="13"/>
      <c r="C742" s="13"/>
    </row>
    <row r="743" spans="1:3" ht="13" x14ac:dyDescent="0.15">
      <c r="A743" s="10"/>
      <c r="B743" s="13"/>
      <c r="C743" s="13"/>
    </row>
    <row r="744" spans="1:3" ht="13" x14ac:dyDescent="0.15">
      <c r="A744" s="10"/>
      <c r="B744" s="13"/>
      <c r="C744" s="13"/>
    </row>
    <row r="745" spans="1:3" ht="13" x14ac:dyDescent="0.15">
      <c r="A745" s="10"/>
      <c r="B745" s="13"/>
      <c r="C745" s="13"/>
    </row>
    <row r="746" spans="1:3" ht="13" x14ac:dyDescent="0.15">
      <c r="A746" s="10"/>
      <c r="B746" s="13"/>
      <c r="C746" s="13"/>
    </row>
    <row r="747" spans="1:3" ht="13" x14ac:dyDescent="0.15">
      <c r="A747" s="10"/>
      <c r="B747" s="13"/>
      <c r="C747" s="13"/>
    </row>
    <row r="748" spans="1:3" ht="13" x14ac:dyDescent="0.15">
      <c r="A748" s="10"/>
      <c r="B748" s="13"/>
      <c r="C748" s="13"/>
    </row>
    <row r="749" spans="1:3" ht="13" x14ac:dyDescent="0.15">
      <c r="A749" s="10"/>
      <c r="B749" s="13"/>
      <c r="C749" s="13"/>
    </row>
    <row r="750" spans="1:3" ht="13" x14ac:dyDescent="0.15">
      <c r="A750" s="10"/>
      <c r="B750" s="13"/>
      <c r="C750" s="13"/>
    </row>
    <row r="751" spans="1:3" ht="13" x14ac:dyDescent="0.15">
      <c r="A751" s="10"/>
      <c r="B751" s="13"/>
      <c r="C751" s="13"/>
    </row>
    <row r="752" spans="1:3" ht="13" x14ac:dyDescent="0.15">
      <c r="A752" s="10"/>
      <c r="B752" s="13"/>
      <c r="C752" s="13"/>
    </row>
    <row r="753" spans="1:3" ht="13" x14ac:dyDescent="0.15">
      <c r="A753" s="10"/>
      <c r="B753" s="13"/>
      <c r="C753" s="13"/>
    </row>
    <row r="754" spans="1:3" ht="13" x14ac:dyDescent="0.15">
      <c r="A754" s="10"/>
      <c r="B754" s="13"/>
      <c r="C754" s="13"/>
    </row>
    <row r="755" spans="1:3" ht="13" x14ac:dyDescent="0.15">
      <c r="A755" s="10"/>
      <c r="B755" s="13"/>
      <c r="C755" s="13"/>
    </row>
    <row r="756" spans="1:3" ht="13" x14ac:dyDescent="0.15">
      <c r="A756" s="10"/>
      <c r="B756" s="13"/>
      <c r="C756" s="13"/>
    </row>
    <row r="757" spans="1:3" ht="13" x14ac:dyDescent="0.15">
      <c r="A757" s="10"/>
      <c r="B757" s="13"/>
      <c r="C757" s="13"/>
    </row>
    <row r="758" spans="1:3" ht="13" x14ac:dyDescent="0.15">
      <c r="A758" s="10"/>
      <c r="B758" s="13"/>
      <c r="C758" s="13"/>
    </row>
    <row r="759" spans="1:3" ht="13" x14ac:dyDescent="0.15">
      <c r="A759" s="10"/>
      <c r="B759" s="13"/>
      <c r="C759" s="13"/>
    </row>
    <row r="760" spans="1:3" ht="13" x14ac:dyDescent="0.15">
      <c r="A760" s="10"/>
      <c r="B760" s="13"/>
      <c r="C760" s="13"/>
    </row>
    <row r="761" spans="1:3" ht="13" x14ac:dyDescent="0.15">
      <c r="A761" s="10"/>
      <c r="B761" s="13"/>
      <c r="C761" s="13"/>
    </row>
    <row r="762" spans="1:3" ht="13" x14ac:dyDescent="0.15">
      <c r="A762" s="10"/>
      <c r="B762" s="13"/>
      <c r="C762" s="13"/>
    </row>
    <row r="763" spans="1:3" ht="13" x14ac:dyDescent="0.15">
      <c r="A763" s="10"/>
      <c r="B763" s="13"/>
      <c r="C763" s="13"/>
    </row>
    <row r="764" spans="1:3" ht="13" x14ac:dyDescent="0.15">
      <c r="A764" s="10"/>
      <c r="B764" s="13"/>
      <c r="C764" s="13"/>
    </row>
    <row r="765" spans="1:3" ht="13" x14ac:dyDescent="0.15">
      <c r="A765" s="10"/>
      <c r="B765" s="13"/>
      <c r="C765" s="13"/>
    </row>
    <row r="766" spans="1:3" ht="13" x14ac:dyDescent="0.15">
      <c r="A766" s="10"/>
      <c r="B766" s="13"/>
      <c r="C766" s="13"/>
    </row>
    <row r="767" spans="1:3" ht="13" x14ac:dyDescent="0.15">
      <c r="A767" s="10"/>
      <c r="B767" s="13"/>
      <c r="C767" s="13"/>
    </row>
    <row r="768" spans="1:3" ht="13" x14ac:dyDescent="0.15">
      <c r="A768" s="10"/>
      <c r="B768" s="13"/>
      <c r="C768" s="13"/>
    </row>
    <row r="769" spans="1:3" ht="13" x14ac:dyDescent="0.15">
      <c r="A769" s="10"/>
      <c r="B769" s="13"/>
      <c r="C769" s="13"/>
    </row>
    <row r="770" spans="1:3" ht="13" x14ac:dyDescent="0.15">
      <c r="A770" s="10"/>
      <c r="B770" s="13"/>
      <c r="C770" s="13"/>
    </row>
    <row r="771" spans="1:3" ht="13" x14ac:dyDescent="0.15">
      <c r="A771" s="10"/>
      <c r="B771" s="13"/>
      <c r="C771" s="13"/>
    </row>
    <row r="772" spans="1:3" ht="13" x14ac:dyDescent="0.15">
      <c r="A772" s="10"/>
      <c r="B772" s="13"/>
      <c r="C772" s="13"/>
    </row>
    <row r="773" spans="1:3" ht="13" x14ac:dyDescent="0.15">
      <c r="A773" s="10"/>
      <c r="B773" s="13"/>
      <c r="C773" s="13"/>
    </row>
    <row r="774" spans="1:3" ht="13" x14ac:dyDescent="0.15">
      <c r="A774" s="10"/>
      <c r="B774" s="13"/>
      <c r="C774" s="13"/>
    </row>
    <row r="775" spans="1:3" ht="13" x14ac:dyDescent="0.15">
      <c r="A775" s="10"/>
      <c r="B775" s="13"/>
      <c r="C775" s="13"/>
    </row>
    <row r="776" spans="1:3" ht="13" x14ac:dyDescent="0.15">
      <c r="A776" s="10"/>
      <c r="B776" s="13"/>
      <c r="C776" s="13"/>
    </row>
    <row r="777" spans="1:3" ht="13" x14ac:dyDescent="0.15">
      <c r="A777" s="10"/>
      <c r="B777" s="13"/>
      <c r="C777" s="13"/>
    </row>
    <row r="778" spans="1:3" ht="13" x14ac:dyDescent="0.15">
      <c r="A778" s="10"/>
      <c r="B778" s="13"/>
      <c r="C778" s="13"/>
    </row>
    <row r="779" spans="1:3" ht="13" x14ac:dyDescent="0.15">
      <c r="A779" s="10"/>
      <c r="B779" s="13"/>
      <c r="C779" s="13"/>
    </row>
    <row r="780" spans="1:3" ht="13" x14ac:dyDescent="0.15">
      <c r="A780" s="10"/>
      <c r="B780" s="13"/>
      <c r="C780" s="13"/>
    </row>
    <row r="781" spans="1:3" ht="13" x14ac:dyDescent="0.15">
      <c r="A781" s="10"/>
      <c r="B781" s="13"/>
      <c r="C781" s="13"/>
    </row>
    <row r="782" spans="1:3" ht="13" x14ac:dyDescent="0.15">
      <c r="A782" s="10"/>
      <c r="B782" s="13"/>
      <c r="C782" s="13"/>
    </row>
    <row r="783" spans="1:3" ht="13" x14ac:dyDescent="0.15">
      <c r="A783" s="10"/>
      <c r="B783" s="13"/>
      <c r="C783" s="13"/>
    </row>
    <row r="784" spans="1:3" ht="13" x14ac:dyDescent="0.15">
      <c r="A784" s="10"/>
      <c r="B784" s="13"/>
      <c r="C784" s="13"/>
    </row>
    <row r="785" spans="1:3" ht="13" x14ac:dyDescent="0.15">
      <c r="A785" s="10"/>
      <c r="B785" s="13"/>
      <c r="C785" s="13"/>
    </row>
    <row r="786" spans="1:3" ht="13" x14ac:dyDescent="0.15">
      <c r="A786" s="10"/>
      <c r="B786" s="13"/>
      <c r="C786" s="13"/>
    </row>
    <row r="787" spans="1:3" ht="13" x14ac:dyDescent="0.15">
      <c r="A787" s="10"/>
      <c r="B787" s="13"/>
      <c r="C787" s="13"/>
    </row>
    <row r="788" spans="1:3" ht="13" x14ac:dyDescent="0.15">
      <c r="A788" s="10"/>
      <c r="B788" s="13"/>
      <c r="C788" s="13"/>
    </row>
    <row r="789" spans="1:3" ht="13" x14ac:dyDescent="0.15">
      <c r="A789" s="10"/>
      <c r="B789" s="13"/>
      <c r="C789" s="13"/>
    </row>
    <row r="790" spans="1:3" ht="13" x14ac:dyDescent="0.15">
      <c r="A790" s="10"/>
      <c r="B790" s="13"/>
      <c r="C790" s="13"/>
    </row>
    <row r="791" spans="1:3" ht="13" x14ac:dyDescent="0.15">
      <c r="A791" s="10"/>
      <c r="B791" s="13"/>
      <c r="C791" s="13"/>
    </row>
    <row r="792" spans="1:3" ht="13" x14ac:dyDescent="0.15">
      <c r="A792" s="10"/>
      <c r="B792" s="13"/>
      <c r="C792" s="13"/>
    </row>
    <row r="793" spans="1:3" ht="13" x14ac:dyDescent="0.15">
      <c r="A793" s="10"/>
      <c r="B793" s="13"/>
      <c r="C793" s="13"/>
    </row>
    <row r="794" spans="1:3" ht="13" x14ac:dyDescent="0.15">
      <c r="A794" s="10"/>
      <c r="B794" s="13"/>
      <c r="C794" s="13"/>
    </row>
    <row r="795" spans="1:3" ht="13" x14ac:dyDescent="0.15">
      <c r="A795" s="10"/>
      <c r="B795" s="13"/>
      <c r="C795" s="13"/>
    </row>
    <row r="796" spans="1:3" ht="13" x14ac:dyDescent="0.15">
      <c r="A796" s="10"/>
      <c r="B796" s="13"/>
      <c r="C796" s="13"/>
    </row>
    <row r="797" spans="1:3" ht="13" x14ac:dyDescent="0.15">
      <c r="A797" s="10"/>
      <c r="B797" s="13"/>
      <c r="C797" s="13"/>
    </row>
    <row r="798" spans="1:3" ht="13" x14ac:dyDescent="0.15">
      <c r="A798" s="10"/>
      <c r="B798" s="13"/>
      <c r="C798" s="13"/>
    </row>
    <row r="799" spans="1:3" ht="13" x14ac:dyDescent="0.15">
      <c r="A799" s="10"/>
      <c r="B799" s="13"/>
      <c r="C799" s="13"/>
    </row>
    <row r="800" spans="1:3" ht="13" x14ac:dyDescent="0.15">
      <c r="A800" s="10"/>
      <c r="B800" s="13"/>
      <c r="C800" s="13"/>
    </row>
    <row r="801" spans="1:3" ht="13" x14ac:dyDescent="0.15">
      <c r="A801" s="10"/>
      <c r="B801" s="13"/>
      <c r="C801" s="13"/>
    </row>
    <row r="802" spans="1:3" ht="13" x14ac:dyDescent="0.15">
      <c r="A802" s="10"/>
      <c r="B802" s="13"/>
      <c r="C802" s="13"/>
    </row>
    <row r="803" spans="1:3" ht="13" x14ac:dyDescent="0.15">
      <c r="A803" s="10"/>
      <c r="B803" s="13"/>
      <c r="C803" s="13"/>
    </row>
    <row r="804" spans="1:3" ht="13" x14ac:dyDescent="0.15">
      <c r="A804" s="10"/>
      <c r="B804" s="13"/>
      <c r="C804" s="13"/>
    </row>
    <row r="805" spans="1:3" ht="13" x14ac:dyDescent="0.15">
      <c r="A805" s="10"/>
      <c r="B805" s="13"/>
      <c r="C805" s="13"/>
    </row>
    <row r="806" spans="1:3" ht="13" x14ac:dyDescent="0.15">
      <c r="A806" s="10"/>
      <c r="B806" s="13"/>
      <c r="C806" s="13"/>
    </row>
    <row r="807" spans="1:3" ht="13" x14ac:dyDescent="0.15">
      <c r="A807" s="10"/>
      <c r="B807" s="13"/>
      <c r="C807" s="13"/>
    </row>
    <row r="808" spans="1:3" ht="13" x14ac:dyDescent="0.15">
      <c r="A808" s="10"/>
      <c r="B808" s="13"/>
      <c r="C808" s="13"/>
    </row>
    <row r="809" spans="1:3" ht="13" x14ac:dyDescent="0.15">
      <c r="A809" s="10"/>
      <c r="B809" s="13"/>
      <c r="C809" s="13"/>
    </row>
    <row r="810" spans="1:3" ht="13" x14ac:dyDescent="0.15">
      <c r="A810" s="10"/>
      <c r="B810" s="13"/>
      <c r="C810" s="13"/>
    </row>
    <row r="811" spans="1:3" ht="13" x14ac:dyDescent="0.15">
      <c r="A811" s="10"/>
      <c r="B811" s="13"/>
      <c r="C811" s="13"/>
    </row>
    <row r="812" spans="1:3" ht="13" x14ac:dyDescent="0.15">
      <c r="A812" s="10"/>
      <c r="B812" s="13"/>
      <c r="C812" s="13"/>
    </row>
    <row r="813" spans="1:3" ht="13" x14ac:dyDescent="0.15">
      <c r="A813" s="10"/>
      <c r="B813" s="13"/>
      <c r="C813" s="13"/>
    </row>
    <row r="814" spans="1:3" ht="13" x14ac:dyDescent="0.15">
      <c r="A814" s="10"/>
      <c r="B814" s="13"/>
      <c r="C814" s="13"/>
    </row>
    <row r="815" spans="1:3" ht="13" x14ac:dyDescent="0.15">
      <c r="A815" s="10"/>
      <c r="B815" s="13"/>
      <c r="C815" s="13"/>
    </row>
    <row r="816" spans="1:3" ht="13" x14ac:dyDescent="0.15">
      <c r="A816" s="10"/>
      <c r="B816" s="13"/>
      <c r="C816" s="13"/>
    </row>
    <row r="817" spans="1:3" ht="13" x14ac:dyDescent="0.15">
      <c r="A817" s="10"/>
      <c r="B817" s="13"/>
      <c r="C817" s="13"/>
    </row>
    <row r="818" spans="1:3" ht="13" x14ac:dyDescent="0.15">
      <c r="A818" s="10"/>
      <c r="B818" s="13"/>
      <c r="C818" s="13"/>
    </row>
    <row r="819" spans="1:3" ht="13" x14ac:dyDescent="0.15">
      <c r="A819" s="10"/>
      <c r="B819" s="13"/>
      <c r="C819" s="13"/>
    </row>
    <row r="820" spans="1:3" ht="13" x14ac:dyDescent="0.15">
      <c r="A820" s="10"/>
      <c r="B820" s="13"/>
      <c r="C820" s="13"/>
    </row>
    <row r="821" spans="1:3" ht="13" x14ac:dyDescent="0.15">
      <c r="A821" s="10"/>
      <c r="B821" s="13"/>
      <c r="C821" s="13"/>
    </row>
    <row r="822" spans="1:3" ht="13" x14ac:dyDescent="0.15">
      <c r="A822" s="10"/>
      <c r="B822" s="13"/>
      <c r="C822" s="13"/>
    </row>
    <row r="823" spans="1:3" ht="13" x14ac:dyDescent="0.15">
      <c r="A823" s="10"/>
      <c r="B823" s="13"/>
      <c r="C823" s="13"/>
    </row>
    <row r="824" spans="1:3" ht="13" x14ac:dyDescent="0.15">
      <c r="A824" s="10"/>
      <c r="B824" s="13"/>
      <c r="C824" s="13"/>
    </row>
    <row r="825" spans="1:3" ht="13" x14ac:dyDescent="0.15">
      <c r="A825" s="10"/>
      <c r="B825" s="13"/>
      <c r="C825" s="13"/>
    </row>
    <row r="826" spans="1:3" ht="13" x14ac:dyDescent="0.15">
      <c r="A826" s="10"/>
      <c r="B826" s="13"/>
      <c r="C826" s="13"/>
    </row>
    <row r="827" spans="1:3" ht="13" x14ac:dyDescent="0.15">
      <c r="A827" s="10"/>
      <c r="B827" s="13"/>
      <c r="C827" s="13"/>
    </row>
    <row r="828" spans="1:3" ht="13" x14ac:dyDescent="0.15">
      <c r="A828" s="10"/>
      <c r="B828" s="13"/>
      <c r="C828" s="13"/>
    </row>
    <row r="829" spans="1:3" ht="13" x14ac:dyDescent="0.15">
      <c r="A829" s="10"/>
      <c r="B829" s="13"/>
      <c r="C829" s="13"/>
    </row>
    <row r="830" spans="1:3" ht="13" x14ac:dyDescent="0.15">
      <c r="A830" s="10"/>
      <c r="B830" s="13"/>
      <c r="C830" s="13"/>
    </row>
    <row r="831" spans="1:3" ht="13" x14ac:dyDescent="0.15">
      <c r="A831" s="10"/>
      <c r="B831" s="13"/>
      <c r="C831" s="13"/>
    </row>
    <row r="832" spans="1:3" ht="13" x14ac:dyDescent="0.15">
      <c r="A832" s="10"/>
      <c r="B832" s="13"/>
      <c r="C832" s="13"/>
    </row>
    <row r="833" spans="1:3" ht="13" x14ac:dyDescent="0.15">
      <c r="A833" s="10"/>
      <c r="B833" s="13"/>
      <c r="C833" s="13"/>
    </row>
    <row r="834" spans="1:3" ht="13" x14ac:dyDescent="0.15">
      <c r="A834" s="10"/>
      <c r="B834" s="13"/>
      <c r="C834" s="13"/>
    </row>
    <row r="835" spans="1:3" ht="13" x14ac:dyDescent="0.15">
      <c r="A835" s="10"/>
      <c r="B835" s="13"/>
      <c r="C835" s="13"/>
    </row>
    <row r="836" spans="1:3" ht="13" x14ac:dyDescent="0.15">
      <c r="A836" s="10"/>
      <c r="B836" s="13"/>
      <c r="C836" s="13"/>
    </row>
    <row r="837" spans="1:3" ht="13" x14ac:dyDescent="0.15">
      <c r="A837" s="10"/>
      <c r="B837" s="13"/>
      <c r="C837" s="13"/>
    </row>
    <row r="838" spans="1:3" ht="13" x14ac:dyDescent="0.15">
      <c r="A838" s="10"/>
      <c r="B838" s="13"/>
      <c r="C838" s="13"/>
    </row>
    <row r="839" spans="1:3" ht="13" x14ac:dyDescent="0.15">
      <c r="A839" s="10"/>
      <c r="B839" s="13"/>
      <c r="C839" s="13"/>
    </row>
    <row r="840" spans="1:3" ht="13" x14ac:dyDescent="0.15">
      <c r="A840" s="10"/>
      <c r="B840" s="13"/>
      <c r="C840" s="13"/>
    </row>
    <row r="841" spans="1:3" ht="13" x14ac:dyDescent="0.15">
      <c r="A841" s="10"/>
      <c r="B841" s="13"/>
      <c r="C841" s="13"/>
    </row>
    <row r="842" spans="1:3" ht="13" x14ac:dyDescent="0.15">
      <c r="A842" s="10"/>
      <c r="B842" s="13"/>
      <c r="C842" s="13"/>
    </row>
    <row r="843" spans="1:3" ht="13" x14ac:dyDescent="0.15">
      <c r="A843" s="10"/>
      <c r="B843" s="13"/>
      <c r="C843" s="13"/>
    </row>
    <row r="844" spans="1:3" ht="13" x14ac:dyDescent="0.15">
      <c r="A844" s="10"/>
      <c r="B844" s="13"/>
      <c r="C844" s="13"/>
    </row>
    <row r="845" spans="1:3" ht="13" x14ac:dyDescent="0.15">
      <c r="A845" s="10"/>
      <c r="B845" s="13"/>
      <c r="C845" s="13"/>
    </row>
    <row r="846" spans="1:3" ht="13" x14ac:dyDescent="0.15">
      <c r="A846" s="10"/>
      <c r="B846" s="13"/>
      <c r="C846" s="13"/>
    </row>
    <row r="847" spans="1:3" ht="13" x14ac:dyDescent="0.15">
      <c r="A847" s="10"/>
      <c r="B847" s="13"/>
      <c r="C847" s="13"/>
    </row>
    <row r="848" spans="1:3" ht="13" x14ac:dyDescent="0.15">
      <c r="A848" s="10"/>
      <c r="B848" s="13"/>
      <c r="C848" s="13"/>
    </row>
    <row r="849" spans="1:3" ht="13" x14ac:dyDescent="0.15">
      <c r="A849" s="10"/>
      <c r="B849" s="13"/>
      <c r="C849" s="13"/>
    </row>
    <row r="850" spans="1:3" ht="13" x14ac:dyDescent="0.15">
      <c r="A850" s="10"/>
      <c r="B850" s="13"/>
      <c r="C850" s="13"/>
    </row>
    <row r="851" spans="1:3" ht="13" x14ac:dyDescent="0.15">
      <c r="A851" s="10"/>
      <c r="B851" s="13"/>
      <c r="C851" s="13"/>
    </row>
    <row r="852" spans="1:3" ht="13" x14ac:dyDescent="0.15">
      <c r="A852" s="10"/>
      <c r="B852" s="13"/>
      <c r="C852" s="13"/>
    </row>
    <row r="853" spans="1:3" ht="13" x14ac:dyDescent="0.15">
      <c r="A853" s="10"/>
      <c r="B853" s="13"/>
      <c r="C853" s="13"/>
    </row>
    <row r="854" spans="1:3" ht="13" x14ac:dyDescent="0.15">
      <c r="A854" s="10"/>
      <c r="B854" s="13"/>
      <c r="C854" s="13"/>
    </row>
    <row r="855" spans="1:3" ht="13" x14ac:dyDescent="0.15">
      <c r="A855" s="10"/>
      <c r="B855" s="13"/>
      <c r="C855" s="13"/>
    </row>
    <row r="856" spans="1:3" ht="13" x14ac:dyDescent="0.15">
      <c r="A856" s="10"/>
      <c r="B856" s="13"/>
      <c r="C856" s="13"/>
    </row>
    <row r="857" spans="1:3" ht="13" x14ac:dyDescent="0.15">
      <c r="A857" s="10"/>
      <c r="B857" s="13"/>
      <c r="C857" s="13"/>
    </row>
    <row r="858" spans="1:3" ht="13" x14ac:dyDescent="0.15">
      <c r="A858" s="10"/>
      <c r="B858" s="13"/>
      <c r="C858" s="13"/>
    </row>
    <row r="859" spans="1:3" ht="13" x14ac:dyDescent="0.15">
      <c r="A859" s="10"/>
      <c r="B859" s="13"/>
      <c r="C859" s="13"/>
    </row>
    <row r="860" spans="1:3" ht="13" x14ac:dyDescent="0.15">
      <c r="A860" s="10"/>
      <c r="B860" s="13"/>
      <c r="C860" s="13"/>
    </row>
    <row r="861" spans="1:3" ht="13" x14ac:dyDescent="0.15">
      <c r="A861" s="10"/>
      <c r="B861" s="13"/>
      <c r="C861" s="13"/>
    </row>
    <row r="862" spans="1:3" ht="13" x14ac:dyDescent="0.15">
      <c r="A862" s="10"/>
      <c r="B862" s="13"/>
      <c r="C862" s="13"/>
    </row>
    <row r="863" spans="1:3" ht="13" x14ac:dyDescent="0.15">
      <c r="A863" s="10"/>
      <c r="B863" s="13"/>
      <c r="C863" s="13"/>
    </row>
    <row r="864" spans="1:3" ht="13" x14ac:dyDescent="0.15">
      <c r="A864" s="10"/>
      <c r="B864" s="13"/>
      <c r="C864" s="13"/>
    </row>
    <row r="865" spans="1:3" ht="13" x14ac:dyDescent="0.15">
      <c r="A865" s="10"/>
      <c r="B865" s="13"/>
      <c r="C865" s="13"/>
    </row>
    <row r="866" spans="1:3" ht="13" x14ac:dyDescent="0.15">
      <c r="A866" s="10"/>
      <c r="B866" s="13"/>
      <c r="C866" s="13"/>
    </row>
    <row r="867" spans="1:3" ht="13" x14ac:dyDescent="0.15">
      <c r="A867" s="10"/>
      <c r="B867" s="13"/>
      <c r="C867" s="13"/>
    </row>
    <row r="868" spans="1:3" ht="13" x14ac:dyDescent="0.15">
      <c r="A868" s="10"/>
      <c r="B868" s="13"/>
      <c r="C868" s="13"/>
    </row>
    <row r="869" spans="1:3" ht="13" x14ac:dyDescent="0.15">
      <c r="A869" s="10"/>
      <c r="B869" s="13"/>
      <c r="C869" s="13"/>
    </row>
    <row r="870" spans="1:3" ht="13" x14ac:dyDescent="0.15">
      <c r="A870" s="10"/>
      <c r="B870" s="13"/>
      <c r="C870" s="13"/>
    </row>
    <row r="871" spans="1:3" ht="13" x14ac:dyDescent="0.15">
      <c r="A871" s="10"/>
      <c r="B871" s="13"/>
      <c r="C871" s="13"/>
    </row>
    <row r="872" spans="1:3" ht="13" x14ac:dyDescent="0.15">
      <c r="A872" s="10"/>
      <c r="B872" s="13"/>
      <c r="C872" s="13"/>
    </row>
    <row r="873" spans="1:3" ht="13" x14ac:dyDescent="0.15">
      <c r="A873" s="10"/>
      <c r="B873" s="13"/>
      <c r="C873" s="13"/>
    </row>
    <row r="874" spans="1:3" ht="13" x14ac:dyDescent="0.15">
      <c r="A874" s="10"/>
      <c r="B874" s="13"/>
      <c r="C874" s="13"/>
    </row>
    <row r="875" spans="1:3" ht="13" x14ac:dyDescent="0.15">
      <c r="A875" s="10"/>
      <c r="B875" s="13"/>
      <c r="C875" s="13"/>
    </row>
    <row r="876" spans="1:3" ht="13" x14ac:dyDescent="0.15">
      <c r="A876" s="10"/>
      <c r="B876" s="13"/>
      <c r="C876" s="13"/>
    </row>
    <row r="877" spans="1:3" ht="13" x14ac:dyDescent="0.15">
      <c r="A877" s="10"/>
      <c r="B877" s="13"/>
      <c r="C877" s="13"/>
    </row>
    <row r="878" spans="1:3" ht="13" x14ac:dyDescent="0.15">
      <c r="A878" s="10"/>
      <c r="B878" s="13"/>
      <c r="C878" s="13"/>
    </row>
    <row r="879" spans="1:3" ht="13" x14ac:dyDescent="0.15">
      <c r="A879" s="10"/>
      <c r="B879" s="13"/>
      <c r="C879" s="13"/>
    </row>
    <row r="880" spans="1:3" ht="13" x14ac:dyDescent="0.15">
      <c r="A880" s="10"/>
      <c r="B880" s="13"/>
      <c r="C880" s="13"/>
    </row>
    <row r="881" spans="1:3" ht="13" x14ac:dyDescent="0.15">
      <c r="A881" s="10"/>
      <c r="B881" s="13"/>
      <c r="C881" s="13"/>
    </row>
    <row r="882" spans="1:3" ht="13" x14ac:dyDescent="0.15">
      <c r="A882" s="10"/>
      <c r="B882" s="13"/>
      <c r="C882" s="13"/>
    </row>
    <row r="883" spans="1:3" ht="13" x14ac:dyDescent="0.15">
      <c r="A883" s="10"/>
      <c r="B883" s="13"/>
      <c r="C883" s="13"/>
    </row>
    <row r="884" spans="1:3" ht="13" x14ac:dyDescent="0.15">
      <c r="A884" s="10"/>
      <c r="B884" s="13"/>
      <c r="C884" s="13"/>
    </row>
    <row r="885" spans="1:3" ht="13" x14ac:dyDescent="0.15">
      <c r="A885" s="10"/>
      <c r="B885" s="13"/>
      <c r="C885" s="13"/>
    </row>
    <row r="886" spans="1:3" ht="13" x14ac:dyDescent="0.15">
      <c r="A886" s="10"/>
      <c r="B886" s="13"/>
      <c r="C886" s="13"/>
    </row>
    <row r="887" spans="1:3" ht="13" x14ac:dyDescent="0.15">
      <c r="A887" s="10"/>
      <c r="B887" s="13"/>
      <c r="C887" s="13"/>
    </row>
    <row r="888" spans="1:3" ht="13" x14ac:dyDescent="0.15">
      <c r="A888" s="10"/>
      <c r="B888" s="13"/>
      <c r="C888" s="13"/>
    </row>
    <row r="889" spans="1:3" ht="13" x14ac:dyDescent="0.15">
      <c r="A889" s="10"/>
      <c r="B889" s="13"/>
      <c r="C889" s="13"/>
    </row>
    <row r="890" spans="1:3" ht="13" x14ac:dyDescent="0.15">
      <c r="A890" s="10"/>
      <c r="B890" s="13"/>
      <c r="C890" s="13"/>
    </row>
    <row r="891" spans="1:3" ht="13" x14ac:dyDescent="0.15">
      <c r="A891" s="10"/>
      <c r="B891" s="13"/>
      <c r="C891" s="13"/>
    </row>
    <row r="892" spans="1:3" ht="13" x14ac:dyDescent="0.15">
      <c r="A892" s="10"/>
      <c r="B892" s="13"/>
      <c r="C892" s="13"/>
    </row>
    <row r="893" spans="1:3" ht="13" x14ac:dyDescent="0.15">
      <c r="A893" s="10"/>
      <c r="B893" s="13"/>
      <c r="C893" s="13"/>
    </row>
    <row r="894" spans="1:3" ht="13" x14ac:dyDescent="0.15">
      <c r="A894" s="10"/>
      <c r="B894" s="13"/>
      <c r="C894" s="13"/>
    </row>
    <row r="895" spans="1:3" ht="13" x14ac:dyDescent="0.15">
      <c r="A895" s="10"/>
      <c r="B895" s="13"/>
      <c r="C895" s="13"/>
    </row>
    <row r="896" spans="1:3" ht="13" x14ac:dyDescent="0.15">
      <c r="A896" s="10"/>
      <c r="B896" s="13"/>
      <c r="C896" s="13"/>
    </row>
    <row r="897" spans="1:3" ht="13" x14ac:dyDescent="0.15">
      <c r="A897" s="10"/>
      <c r="B897" s="13"/>
      <c r="C897" s="13"/>
    </row>
    <row r="898" spans="1:3" ht="13" x14ac:dyDescent="0.15">
      <c r="A898" s="10"/>
      <c r="B898" s="13"/>
      <c r="C898" s="13"/>
    </row>
    <row r="899" spans="1:3" ht="13" x14ac:dyDescent="0.15">
      <c r="A899" s="10"/>
      <c r="B899" s="13"/>
      <c r="C899" s="13"/>
    </row>
    <row r="900" spans="1:3" ht="13" x14ac:dyDescent="0.15">
      <c r="A900" s="10"/>
      <c r="B900" s="13"/>
      <c r="C900" s="13"/>
    </row>
    <row r="901" spans="1:3" ht="13" x14ac:dyDescent="0.15">
      <c r="A901" s="10"/>
      <c r="B901" s="13"/>
      <c r="C901" s="13"/>
    </row>
    <row r="902" spans="1:3" ht="13" x14ac:dyDescent="0.15">
      <c r="A902" s="10"/>
      <c r="B902" s="13"/>
      <c r="C902" s="13"/>
    </row>
    <row r="903" spans="1:3" ht="13" x14ac:dyDescent="0.15">
      <c r="A903" s="10"/>
      <c r="B903" s="13"/>
      <c r="C903" s="13"/>
    </row>
    <row r="904" spans="1:3" ht="13" x14ac:dyDescent="0.15">
      <c r="A904" s="10"/>
      <c r="B904" s="13"/>
      <c r="C904" s="13"/>
    </row>
    <row r="905" spans="1:3" ht="13" x14ac:dyDescent="0.15">
      <c r="A905" s="10"/>
      <c r="B905" s="13"/>
      <c r="C905" s="13"/>
    </row>
    <row r="906" spans="1:3" ht="13" x14ac:dyDescent="0.15">
      <c r="A906" s="10"/>
      <c r="B906" s="13"/>
      <c r="C906" s="13"/>
    </row>
    <row r="907" spans="1:3" ht="13" x14ac:dyDescent="0.15">
      <c r="A907" s="10"/>
      <c r="B907" s="13"/>
      <c r="C907" s="13"/>
    </row>
    <row r="908" spans="1:3" ht="13" x14ac:dyDescent="0.15">
      <c r="A908" s="10"/>
      <c r="B908" s="13"/>
      <c r="C908" s="13"/>
    </row>
    <row r="909" spans="1:3" ht="13" x14ac:dyDescent="0.15">
      <c r="A909" s="10"/>
      <c r="B909" s="13"/>
      <c r="C909" s="13"/>
    </row>
    <row r="910" spans="1:3" ht="13" x14ac:dyDescent="0.15">
      <c r="A910" s="10"/>
      <c r="B910" s="13"/>
      <c r="C910" s="13"/>
    </row>
    <row r="911" spans="1:3" ht="13" x14ac:dyDescent="0.15">
      <c r="A911" s="10"/>
      <c r="B911" s="13"/>
      <c r="C911" s="13"/>
    </row>
    <row r="912" spans="1:3" ht="13" x14ac:dyDescent="0.15">
      <c r="A912" s="10"/>
      <c r="B912" s="13"/>
      <c r="C912" s="13"/>
    </row>
    <row r="913" spans="1:3" ht="13" x14ac:dyDescent="0.15">
      <c r="A913" s="10"/>
      <c r="B913" s="13"/>
      <c r="C913" s="13"/>
    </row>
    <row r="914" spans="1:3" ht="13" x14ac:dyDescent="0.15">
      <c r="A914" s="10"/>
      <c r="B914" s="13"/>
      <c r="C914" s="13"/>
    </row>
    <row r="915" spans="1:3" ht="13" x14ac:dyDescent="0.15">
      <c r="A915" s="10"/>
      <c r="B915" s="13"/>
      <c r="C915" s="13"/>
    </row>
    <row r="916" spans="1:3" ht="13" x14ac:dyDescent="0.15">
      <c r="A916" s="10"/>
      <c r="B916" s="13"/>
      <c r="C916" s="13"/>
    </row>
    <row r="917" spans="1:3" ht="13" x14ac:dyDescent="0.15">
      <c r="A917" s="10"/>
      <c r="B917" s="13"/>
      <c r="C917" s="13"/>
    </row>
    <row r="918" spans="1:3" ht="13" x14ac:dyDescent="0.15">
      <c r="A918" s="10"/>
      <c r="B918" s="13"/>
      <c r="C918" s="13"/>
    </row>
    <row r="919" spans="1:3" ht="13" x14ac:dyDescent="0.15">
      <c r="A919" s="10"/>
      <c r="B919" s="13"/>
      <c r="C919" s="13"/>
    </row>
    <row r="920" spans="1:3" ht="13" x14ac:dyDescent="0.15">
      <c r="A920" s="10"/>
      <c r="B920" s="13"/>
      <c r="C920" s="13"/>
    </row>
    <row r="921" spans="1:3" ht="13" x14ac:dyDescent="0.15">
      <c r="A921" s="10"/>
      <c r="B921" s="13"/>
      <c r="C921" s="13"/>
    </row>
    <row r="922" spans="1:3" ht="13" x14ac:dyDescent="0.15">
      <c r="A922" s="10"/>
      <c r="B922" s="13"/>
      <c r="C922" s="13"/>
    </row>
    <row r="923" spans="1:3" ht="13" x14ac:dyDescent="0.15">
      <c r="A923" s="10"/>
      <c r="B923" s="13"/>
      <c r="C923" s="13"/>
    </row>
    <row r="924" spans="1:3" ht="13" x14ac:dyDescent="0.15">
      <c r="A924" s="10"/>
      <c r="B924" s="13"/>
      <c r="C924" s="13"/>
    </row>
    <row r="925" spans="1:3" ht="13" x14ac:dyDescent="0.15">
      <c r="A925" s="10"/>
      <c r="B925" s="13"/>
      <c r="C925" s="13"/>
    </row>
    <row r="926" spans="1:3" ht="13" x14ac:dyDescent="0.15">
      <c r="A926" s="10"/>
      <c r="B926" s="13"/>
      <c r="C926" s="13"/>
    </row>
    <row r="927" spans="1:3" ht="13" x14ac:dyDescent="0.15">
      <c r="A927" s="10"/>
      <c r="B927" s="13"/>
      <c r="C927" s="13"/>
    </row>
    <row r="928" spans="1:3" ht="13" x14ac:dyDescent="0.15">
      <c r="A928" s="10"/>
      <c r="B928" s="13"/>
      <c r="C928" s="13"/>
    </row>
    <row r="929" spans="1:3" ht="13" x14ac:dyDescent="0.15">
      <c r="A929" s="10"/>
      <c r="B929" s="13"/>
      <c r="C929" s="13"/>
    </row>
    <row r="930" spans="1:3" ht="13" x14ac:dyDescent="0.15">
      <c r="A930" s="10"/>
      <c r="B930" s="13"/>
      <c r="C930" s="13"/>
    </row>
    <row r="931" spans="1:3" ht="13" x14ac:dyDescent="0.15">
      <c r="A931" s="10"/>
      <c r="B931" s="13"/>
      <c r="C931" s="13"/>
    </row>
    <row r="932" spans="1:3" ht="13" x14ac:dyDescent="0.15">
      <c r="A932" s="10"/>
      <c r="B932" s="13"/>
      <c r="C932" s="13"/>
    </row>
    <row r="933" spans="1:3" ht="13" x14ac:dyDescent="0.15">
      <c r="A933" s="10"/>
      <c r="B933" s="13"/>
      <c r="C933" s="13"/>
    </row>
    <row r="934" spans="1:3" ht="13" x14ac:dyDescent="0.15">
      <c r="A934" s="10"/>
      <c r="B934" s="13"/>
      <c r="C934" s="13"/>
    </row>
    <row r="935" spans="1:3" ht="13" x14ac:dyDescent="0.15">
      <c r="A935" s="10"/>
      <c r="B935" s="13"/>
      <c r="C935" s="13"/>
    </row>
    <row r="936" spans="1:3" ht="13" x14ac:dyDescent="0.15">
      <c r="A936" s="10"/>
      <c r="B936" s="13"/>
      <c r="C936" s="13"/>
    </row>
    <row r="937" spans="1:3" ht="13" x14ac:dyDescent="0.15">
      <c r="A937" s="10"/>
      <c r="B937" s="13"/>
      <c r="C937" s="13"/>
    </row>
    <row r="938" spans="1:3" ht="13" x14ac:dyDescent="0.15">
      <c r="A938" s="10"/>
      <c r="B938" s="13"/>
      <c r="C938" s="13"/>
    </row>
    <row r="939" spans="1:3" ht="13" x14ac:dyDescent="0.15">
      <c r="A939" s="10"/>
      <c r="B939" s="13"/>
      <c r="C939" s="13"/>
    </row>
    <row r="940" spans="1:3" ht="13" x14ac:dyDescent="0.15">
      <c r="A940" s="10"/>
      <c r="B940" s="13"/>
      <c r="C940" s="13"/>
    </row>
    <row r="941" spans="1:3" ht="13" x14ac:dyDescent="0.15">
      <c r="A941" s="10"/>
      <c r="B941" s="13"/>
      <c r="C941" s="13"/>
    </row>
    <row r="942" spans="1:3" ht="13" x14ac:dyDescent="0.15">
      <c r="A942" s="10"/>
      <c r="B942" s="13"/>
      <c r="C942" s="13"/>
    </row>
    <row r="943" spans="1:3" ht="13" x14ac:dyDescent="0.15">
      <c r="A943" s="10"/>
      <c r="B943" s="13"/>
      <c r="C943" s="13"/>
    </row>
    <row r="944" spans="1:3" ht="13" x14ac:dyDescent="0.15">
      <c r="A944" s="10"/>
      <c r="B944" s="13"/>
      <c r="C944" s="13"/>
    </row>
    <row r="945" spans="1:3" ht="13" x14ac:dyDescent="0.15">
      <c r="A945" s="10"/>
      <c r="B945" s="13"/>
      <c r="C945" s="13"/>
    </row>
    <row r="946" spans="1:3" ht="13" x14ac:dyDescent="0.15">
      <c r="A946" s="10"/>
      <c r="B946" s="13"/>
      <c r="C946" s="13"/>
    </row>
    <row r="947" spans="1:3" ht="13" x14ac:dyDescent="0.15">
      <c r="A947" s="10"/>
      <c r="B947" s="13"/>
      <c r="C947" s="13"/>
    </row>
    <row r="948" spans="1:3" ht="13" x14ac:dyDescent="0.15">
      <c r="A948" s="10"/>
      <c r="B948" s="13"/>
      <c r="C948" s="13"/>
    </row>
    <row r="949" spans="1:3" ht="13" x14ac:dyDescent="0.15">
      <c r="A949" s="10"/>
      <c r="B949" s="13"/>
      <c r="C949" s="13"/>
    </row>
    <row r="950" spans="1:3" ht="13" x14ac:dyDescent="0.15">
      <c r="A950" s="10"/>
      <c r="B950" s="13"/>
      <c r="C950" s="13"/>
    </row>
    <row r="951" spans="1:3" ht="13" x14ac:dyDescent="0.15">
      <c r="A951" s="10"/>
      <c r="B951" s="13"/>
      <c r="C951" s="13"/>
    </row>
    <row r="952" spans="1:3" ht="13" x14ac:dyDescent="0.15">
      <c r="A952" s="10"/>
      <c r="B952" s="13"/>
      <c r="C952" s="13"/>
    </row>
    <row r="953" spans="1:3" ht="13" x14ac:dyDescent="0.15">
      <c r="A953" s="10"/>
      <c r="B953" s="13"/>
      <c r="C953" s="13"/>
    </row>
    <row r="954" spans="1:3" ht="13" x14ac:dyDescent="0.15">
      <c r="A954" s="10"/>
      <c r="B954" s="13"/>
      <c r="C954" s="13"/>
    </row>
    <row r="955" spans="1:3" ht="13" x14ac:dyDescent="0.15">
      <c r="A955" s="10"/>
      <c r="B955" s="13"/>
      <c r="C955" s="13"/>
    </row>
    <row r="956" spans="1:3" ht="13" x14ac:dyDescent="0.15">
      <c r="A956" s="10"/>
      <c r="B956" s="13"/>
      <c r="C956" s="13"/>
    </row>
    <row r="957" spans="1:3" ht="13" x14ac:dyDescent="0.15">
      <c r="A957" s="10"/>
      <c r="B957" s="13"/>
      <c r="C957" s="13"/>
    </row>
    <row r="958" spans="1:3" ht="13" x14ac:dyDescent="0.15">
      <c r="A958" s="10"/>
      <c r="B958" s="13"/>
      <c r="C958" s="13"/>
    </row>
    <row r="959" spans="1:3" ht="13" x14ac:dyDescent="0.15">
      <c r="A959" s="10"/>
      <c r="B959" s="13"/>
      <c r="C959" s="13"/>
    </row>
    <row r="960" spans="1:3" ht="13" x14ac:dyDescent="0.15">
      <c r="A960" s="10"/>
      <c r="B960" s="13"/>
      <c r="C960" s="13"/>
    </row>
    <row r="961" spans="1:3" ht="13" x14ac:dyDescent="0.15">
      <c r="A961" s="10"/>
      <c r="B961" s="13"/>
      <c r="C961" s="13"/>
    </row>
    <row r="962" spans="1:3" ht="13" x14ac:dyDescent="0.15">
      <c r="A962" s="10"/>
      <c r="B962" s="13"/>
      <c r="C962" s="13"/>
    </row>
    <row r="963" spans="1:3" ht="13" x14ac:dyDescent="0.15">
      <c r="A963" s="10"/>
      <c r="B963" s="13"/>
      <c r="C963" s="13"/>
    </row>
    <row r="964" spans="1:3" ht="13" x14ac:dyDescent="0.15">
      <c r="A964" s="10"/>
      <c r="B964" s="13"/>
      <c r="C964" s="13"/>
    </row>
    <row r="965" spans="1:3" ht="13" x14ac:dyDescent="0.15">
      <c r="A965" s="10"/>
      <c r="B965" s="13"/>
      <c r="C965" s="13"/>
    </row>
    <row r="966" spans="1:3" ht="13" x14ac:dyDescent="0.15">
      <c r="A966" s="10"/>
      <c r="B966" s="13"/>
      <c r="C966" s="13"/>
    </row>
    <row r="967" spans="1:3" ht="13" x14ac:dyDescent="0.15">
      <c r="A967" s="10"/>
      <c r="B967" s="13"/>
      <c r="C967" s="13"/>
    </row>
    <row r="968" spans="1:3" ht="13" x14ac:dyDescent="0.15">
      <c r="A968" s="10"/>
      <c r="B968" s="13"/>
      <c r="C968" s="13"/>
    </row>
    <row r="969" spans="1:3" ht="13" x14ac:dyDescent="0.15">
      <c r="A969" s="10"/>
      <c r="B969" s="13"/>
      <c r="C969" s="13"/>
    </row>
    <row r="970" spans="1:3" ht="13" x14ac:dyDescent="0.15">
      <c r="A970" s="10"/>
      <c r="B970" s="13"/>
      <c r="C970" s="13"/>
    </row>
    <row r="971" spans="1:3" ht="13" x14ac:dyDescent="0.15">
      <c r="A971" s="10"/>
      <c r="B971" s="13"/>
      <c r="C971" s="13"/>
    </row>
    <row r="972" spans="1:3" ht="13" x14ac:dyDescent="0.15">
      <c r="A972" s="10"/>
      <c r="B972" s="13"/>
      <c r="C972" s="13"/>
    </row>
    <row r="973" spans="1:3" ht="13" x14ac:dyDescent="0.15">
      <c r="A973" s="10"/>
      <c r="B973" s="13"/>
      <c r="C973" s="13"/>
    </row>
    <row r="974" spans="1:3" ht="13" x14ac:dyDescent="0.15">
      <c r="A974" s="10"/>
      <c r="B974" s="13"/>
      <c r="C974" s="13"/>
    </row>
    <row r="975" spans="1:3" ht="13" x14ac:dyDescent="0.15">
      <c r="A975" s="10"/>
      <c r="B975" s="13"/>
      <c r="C975" s="13"/>
    </row>
    <row r="976" spans="1:3" ht="13" x14ac:dyDescent="0.15">
      <c r="A976" s="10"/>
      <c r="B976" s="13"/>
      <c r="C976" s="13"/>
    </row>
    <row r="977" spans="1:3" ht="13" x14ac:dyDescent="0.15">
      <c r="A977" s="10"/>
      <c r="B977" s="13"/>
      <c r="C977" s="13"/>
    </row>
    <row r="978" spans="1:3" ht="13" x14ac:dyDescent="0.15">
      <c r="A978" s="10"/>
      <c r="B978" s="13"/>
      <c r="C978" s="13"/>
    </row>
    <row r="979" spans="1:3" ht="13" x14ac:dyDescent="0.15">
      <c r="A979" s="10"/>
      <c r="B979" s="13"/>
      <c r="C979" s="13"/>
    </row>
    <row r="980" spans="1:3" ht="13" x14ac:dyDescent="0.15">
      <c r="A980" s="10"/>
      <c r="B980" s="13"/>
      <c r="C980" s="13"/>
    </row>
    <row r="981" spans="1:3" ht="13" x14ac:dyDescent="0.15">
      <c r="A981" s="10"/>
      <c r="B981" s="13"/>
      <c r="C981" s="13"/>
    </row>
    <row r="982" spans="1:3" ht="13" x14ac:dyDescent="0.15">
      <c r="A982" s="10"/>
      <c r="B982" s="13"/>
      <c r="C982" s="13"/>
    </row>
    <row r="983" spans="1:3" ht="13" x14ac:dyDescent="0.15">
      <c r="A983" s="10"/>
      <c r="B983" s="13"/>
      <c r="C983" s="13"/>
    </row>
    <row r="984" spans="1:3" ht="13" x14ac:dyDescent="0.15">
      <c r="A984" s="10"/>
      <c r="B984" s="13"/>
      <c r="C984" s="13"/>
    </row>
    <row r="985" spans="1:3" ht="13" x14ac:dyDescent="0.15">
      <c r="A985" s="10"/>
      <c r="B985" s="13"/>
      <c r="C985" s="13"/>
    </row>
    <row r="986" spans="1:3" ht="13" x14ac:dyDescent="0.15">
      <c r="A986" s="10"/>
      <c r="B986" s="13"/>
      <c r="C986" s="13"/>
    </row>
    <row r="987" spans="1:3" ht="13" x14ac:dyDescent="0.15">
      <c r="A987" s="10"/>
      <c r="B987" s="13"/>
      <c r="C987" s="13"/>
    </row>
    <row r="988" spans="1:3" ht="13" x14ac:dyDescent="0.15">
      <c r="A988" s="10"/>
      <c r="B988" s="13"/>
      <c r="C988" s="13"/>
    </row>
    <row r="989" spans="1:3" ht="13" x14ac:dyDescent="0.15">
      <c r="A989" s="10"/>
      <c r="B989" s="13"/>
      <c r="C989" s="13"/>
    </row>
    <row r="990" spans="1:3" ht="13" x14ac:dyDescent="0.15">
      <c r="A990" s="10"/>
      <c r="B990" s="13"/>
      <c r="C990" s="13"/>
    </row>
    <row r="991" spans="1:3" ht="13" x14ac:dyDescent="0.15">
      <c r="A991" s="10"/>
      <c r="B991" s="13"/>
      <c r="C991" s="13"/>
    </row>
    <row r="992" spans="1:3" ht="13" x14ac:dyDescent="0.15">
      <c r="A992" s="10"/>
      <c r="B992" s="13"/>
      <c r="C992" s="13"/>
    </row>
    <row r="993" spans="1:3" ht="13" x14ac:dyDescent="0.15">
      <c r="A993" s="10"/>
      <c r="B993" s="13"/>
      <c r="C993" s="13"/>
    </row>
    <row r="994" spans="1:3" ht="13" x14ac:dyDescent="0.15">
      <c r="A994" s="10"/>
      <c r="B994" s="13"/>
      <c r="C994" s="13"/>
    </row>
    <row r="995" spans="1:3" ht="13" x14ac:dyDescent="0.15">
      <c r="A995" s="10"/>
      <c r="B995" s="13"/>
      <c r="C995" s="13"/>
    </row>
    <row r="996" spans="1:3" ht="13" x14ac:dyDescent="0.15">
      <c r="A996" s="10"/>
      <c r="B996" s="13"/>
      <c r="C996" s="13"/>
    </row>
    <row r="997" spans="1:3" ht="13" x14ac:dyDescent="0.15">
      <c r="A997" s="10"/>
      <c r="B997" s="13"/>
      <c r="C997" s="13"/>
    </row>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outlinePr summaryBelow="0" summaryRight="0"/>
  </sheetPr>
  <dimension ref="A1:D997"/>
  <sheetViews>
    <sheetView workbookViewId="0"/>
  </sheetViews>
  <sheetFormatPr baseColWidth="10" defaultColWidth="12.6640625" defaultRowHeight="15.75" customHeight="1" x14ac:dyDescent="0.15"/>
  <cols>
    <col min="1" max="1" width="71.5" customWidth="1"/>
    <col min="2" max="4" width="37.6640625" customWidth="1"/>
  </cols>
  <sheetData>
    <row r="1" spans="1:4" ht="15.75" customHeight="1" x14ac:dyDescent="0.15">
      <c r="A1" s="1"/>
      <c r="B1" s="12" t="str">
        <f ca="1">IFERROR(__xludf.DUMMYFUNCTION("IMPORTRANGE(""https://docs.google.com/spreadsheets/d/19FYWDv6QyCNB_zbElAOE5cOI1IJ2jraXGOFWNs-qsQM"",""A62!B1:B22"")"),"Braden Brennan")</f>
        <v>Braden Brennan</v>
      </c>
      <c r="C1" s="10" t="str">
        <f ca="1">IFERROR(__xludf.DUMMYFUNCTION("IMPORTRANGE(""https://docs.google.com/spreadsheets/u/0/d/1DTeUShR903oScgwuFGuA8V8JqIoXmME8W-T3lNP0oHM"", ""A62!B1:B22"")"),"McKinzie Novak")</f>
        <v>McKinzie Novak</v>
      </c>
      <c r="D1" s="2" t="s">
        <v>1</v>
      </c>
    </row>
    <row r="2" spans="1:4" ht="15.75" customHeight="1" x14ac:dyDescent="0.15">
      <c r="A2" s="3" t="s">
        <v>2</v>
      </c>
      <c r="B2" s="15" t="str">
        <f ca="1">IFERROR(__xludf.DUMMYFUNCTION("""COMPUTED_VALUE"""),"33903 - 34469")</f>
        <v>33903 - 34469</v>
      </c>
      <c r="C2" s="15" t="str">
        <f ca="1">IFERROR(__xludf.DUMMYFUNCTION("""COMPUTED_VALUE"""),"START: 33903
STOP: 34496
FORWARD")</f>
        <v>START: 33903
STOP: 34496
FORWARD</v>
      </c>
      <c r="D2" s="4"/>
    </row>
    <row r="3" spans="1:4" ht="15.75" customHeight="1" x14ac:dyDescent="0.15">
      <c r="A3" s="5" t="s">
        <v>3</v>
      </c>
      <c r="B3" s="17" t="str">
        <f ca="1">IFERROR(__xludf.DUMMYFUNCTION("""COMPUTED_VALUE"""),"Pham 62 DNAM: 61")</f>
        <v>Pham 62 DNAM: 61</v>
      </c>
      <c r="C3" s="17" t="str">
        <f ca="1">IFERROR(__xludf.DUMMYFUNCTION("""COMPUTED_VALUE"""),"DNAM: 61
PHAM: 62
Phagesdb: 62")</f>
        <v>DNAM: 61
PHAM: 62
Phagesdb: 62</v>
      </c>
      <c r="D3" s="6"/>
    </row>
    <row r="4" spans="1:4" ht="15.75" customHeight="1" x14ac:dyDescent="0.15">
      <c r="A4" s="5" t="s">
        <v>4</v>
      </c>
      <c r="B4" s="17" t="str">
        <f ca="1">IFERROR(__xludf.DUMMYFUNCTION("""COMPUTED_VALUE"""),"pham 210000   3/13/2025")</f>
        <v>pham 210000   3/13/2025</v>
      </c>
      <c r="C4" s="17" t="str">
        <f ca="1">IFERROR(__xludf.DUMMYFUNCTION("""COMPUTED_VALUE"""),"#210000   3/11/25")</f>
        <v>#210000   3/11/25</v>
      </c>
      <c r="D4" s="6"/>
    </row>
    <row r="5" spans="1:4" ht="15.75" customHeight="1" x14ac:dyDescent="0.15">
      <c r="A5" s="5" t="s">
        <v>5</v>
      </c>
      <c r="B5" s="17"/>
      <c r="C5" s="17" t="str">
        <f ca="1">IFERROR(__xludf.DUMMYFUNCTION("""COMPUTED_VALUE"""),"Orphan")</f>
        <v>Orphan</v>
      </c>
      <c r="D5" s="6"/>
    </row>
    <row r="6" spans="1:4" ht="15.75" customHeight="1" x14ac:dyDescent="0.15">
      <c r="A6" s="5" t="s">
        <v>6</v>
      </c>
      <c r="B6" s="17" t="str">
        <f ca="1">IFERROR(__xludf.DUMMYFUNCTION("""COMPUTED_VALUE"""),"Glimmer calls 33903 strength 13.81")</f>
        <v>Glimmer calls 33903 strength 13.81</v>
      </c>
      <c r="C6" s="17" t="str">
        <f ca="1">IFERROR(__xludf.DUMMYFUNCTION("""COMPUTED_VALUE"""),"Both glimmer and genemark call the start at 33903")</f>
        <v>Both glimmer and genemark call the start at 33903</v>
      </c>
      <c r="D6" s="6"/>
    </row>
    <row r="7" spans="1:4" ht="15.75" customHeight="1" x14ac:dyDescent="0.15">
      <c r="A7" s="5" t="s">
        <v>7</v>
      </c>
      <c r="B7" s="17" t="str">
        <f ca="1">IFERROR(__xludf.DUMMYFUNCTION("""COMPUTED_VALUE"""),"Good coding potential ")</f>
        <v xml:space="preserve">Good coding potential </v>
      </c>
      <c r="C7" s="17" t="str">
        <f ca="1">IFERROR(__xludf.DUMMYFUNCTION("""COMPUTED_VALUE"""),"Yes, there is good coding potential, and the start does catch all of it.")</f>
        <v>Yes, there is good coding potential, and the start does catch all of it.</v>
      </c>
      <c r="D7" s="6"/>
    </row>
    <row r="8" spans="1:4" ht="15.75" customHeight="1" x14ac:dyDescent="0.15">
      <c r="A8" s="5" t="s">
        <v>8</v>
      </c>
      <c r="B8" s="17" t="str">
        <f ca="1">IFERROR(__xludf.DUMMYFUNCTION("""COMPUTED_VALUE"""),"yes longest possible ORF")</f>
        <v>yes longest possible ORF</v>
      </c>
      <c r="C8" s="17" t="str">
        <f ca="1">IFERROR(__xludf.DUMMYFUNCTION("""COMPUTED_VALUE"""),"Yes, this start is the longest possible open reading frame")</f>
        <v>Yes, this start is the longest possible open reading frame</v>
      </c>
      <c r="D8" s="6"/>
    </row>
    <row r="9" spans="1:4" ht="15.75" customHeight="1" x14ac:dyDescent="0.15">
      <c r="A9" s="5" t="s">
        <v>9</v>
      </c>
      <c r="B9" s="17" t="str">
        <f ca="1">IFERROR(__xludf.DUMMYFUNCTION("""COMPUTED_VALUE"""),"No overlap but has a gap of around fifty nucleotides ")</f>
        <v xml:space="preserve">No overlap but has a gap of around fifty nucleotides </v>
      </c>
      <c r="C9" s="17" t="str">
        <f ca="1">IFERROR(__xludf.DUMMYFUNCTION("""COMPUTED_VALUE"""),"There is a 55 base pair gap between this start and the previous gene")</f>
        <v>There is a 55 base pair gap between this start and the previous gene</v>
      </c>
      <c r="D9" s="6"/>
    </row>
    <row r="10" spans="1:4" ht="15.75" customHeight="1" x14ac:dyDescent="0.15">
      <c r="A10" s="5" t="s">
        <v>10</v>
      </c>
      <c r="B10" s="17" t="str">
        <f ca="1">IFERROR(__xludf.DUMMYFUNCTION("""COMPUTED_VALUE"""),"SD:-1.615, Z:3.020, Final:-2.574")</f>
        <v>SD:-1.615, Z:3.020, Final:-2.574</v>
      </c>
      <c r="C10" s="17" t="str">
        <f ca="1">IFERROR(__xludf.DUMMYFUNCTION("""COMPUTED_VALUE"""),"Start: 33903 
z-val: 2.957 RBS: -2.44")</f>
        <v>Start: 33903 
z-val: 2.957 RBS: -2.44</v>
      </c>
      <c r="D10" s="6"/>
    </row>
    <row r="11" spans="1:4" ht="15.75" customHeight="1" x14ac:dyDescent="0.15">
      <c r="A11" s="5" t="s">
        <v>11</v>
      </c>
      <c r="B11" s="17" t="str">
        <f ca="1">IFERROR(__xludf.DUMMYFUNCTION("""COMPUTED_VALUE"""),"Hypothetical protein, Micromonospora STR1s_5, 37.74 % identitiy, 3.2E-19")</f>
        <v>Hypothetical protein, Micromonospora STR1s_5, 37.74 % identitiy, 3.2E-19</v>
      </c>
      <c r="C11" s="17" t="str">
        <f ca="1">IFERROR(__xludf.DUMMYFUNCTION("""COMPUTED_VALUE"""),"Micromonospora #5 %ID: 37.7 E-val: 3.2e-19 
Q:9 S:28 , 
Schmidt #64 %ID: 42.14 E-val: 3.2e-19
Q:5 S:3 ")</f>
        <v xml:space="preserve">Micromonospora #5 %ID: 37.7 E-val: 3.2e-19 
Q:9 S:28 , 
Schmidt #64 %ID: 42.14 E-val: 3.2e-19
Q:5 S:3 </v>
      </c>
      <c r="D11" s="6"/>
    </row>
    <row r="12" spans="1:4" ht="15.75" customHeight="1" x14ac:dyDescent="0.15">
      <c r="A12" s="5" t="s">
        <v>12</v>
      </c>
      <c r="B12" s="17" t="str">
        <f ca="1">IFERROR(__xludf.DUMMYFUNCTION("""COMPUTED_VALUE"""),"Orphan no data")</f>
        <v>Orphan no data</v>
      </c>
      <c r="C12" s="17" t="str">
        <f ca="1">IFERROR(__xludf.DUMMYFUNCTION("""COMPUTED_VALUE"""),"Orphan - no data")</f>
        <v>Orphan - no data</v>
      </c>
      <c r="D12" s="6"/>
    </row>
    <row r="13" spans="1:4" ht="15.75" customHeight="1" x14ac:dyDescent="0.15">
      <c r="A13" s="5" t="s">
        <v>13</v>
      </c>
      <c r="B13" s="17" t="str">
        <f ca="1">IFERROR(__xludf.DUMMYFUNCTION("""COMPUTED_VALUE"""),"No other gene to compare it to")</f>
        <v>No other gene to compare it to</v>
      </c>
      <c r="C13" s="17" t="str">
        <f ca="1">IFERROR(__xludf.DUMMYFUNCTION("""COMPUTED_VALUE"""),"No, its the earliest start and it catches all coding potential in genemark")</f>
        <v>No, its the earliest start and it catches all coding potential in genemark</v>
      </c>
      <c r="D13" s="6"/>
    </row>
    <row r="14" spans="1:4" ht="15.75" customHeight="1" x14ac:dyDescent="0.15">
      <c r="A14" s="5" t="s">
        <v>14</v>
      </c>
      <c r="B14" s="17" t="str">
        <f ca="1">IFERROR(__xludf.DUMMYFUNCTION("""COMPUTED_VALUE"""),"No other gene to compare it to")</f>
        <v>No other gene to compare it to</v>
      </c>
      <c r="C14" s="17" t="str">
        <f ca="1">IFERROR(__xludf.DUMMYFUNCTION("""COMPUTED_VALUE"""),"Micromonospora #5 e-val: 3.2e-19
Schmidt #64 e-val: 3.2e-19")</f>
        <v>Micromonospora #5 e-val: 3.2e-19
Schmidt #64 e-val: 3.2e-19</v>
      </c>
      <c r="D14" s="6"/>
    </row>
    <row r="15" spans="1:4" ht="15.75" customHeight="1" x14ac:dyDescent="0.15">
      <c r="A15" s="5" t="s">
        <v>15</v>
      </c>
      <c r="B15" s="17" t="str">
        <f ca="1">IFERROR(__xludf.DUMMYFUNCTION("""COMPUTED_VALUE"""),"No other gene to compare it to")</f>
        <v>No other gene to compare it to</v>
      </c>
      <c r="C15" s="17" t="str">
        <f ca="1">IFERROR(__xludf.DUMMYFUNCTION("""COMPUTED_VALUE"""),"Both proteins are hypothetical proteins")</f>
        <v>Both proteins are hypothetical proteins</v>
      </c>
      <c r="D15" s="6"/>
    </row>
    <row r="16" spans="1:4" ht="15.75" customHeight="1" x14ac:dyDescent="0.15">
      <c r="A16" s="5" t="s">
        <v>16</v>
      </c>
      <c r="B16" s="17" t="str">
        <f ca="1">IFERROR(__xludf.DUMMYFUNCTION("""COMPUTED_VALUE"""),"The genes surronding 62 seem to mach up with their Kovu counterparts but 62 itself seems to just sit in the middle with no counter-part. the ""gene"" is probably useless")</f>
        <v>The genes surronding 62 seem to mach up with their Kovu counterparts but 62 itself seems to just sit in the middle with no counter-part. the "gene" is probably useless</v>
      </c>
      <c r="C16" s="17" t="str">
        <f ca="1">IFERROR(__xludf.DUMMYFUNCTION("""COMPUTED_VALUE"""),"The adjacent genes align pretty well, but they are both hypothetical. However, this gene seems like an interruption, but there is nothing to support so it seems like a fine match since the genetic environment aligns.")</f>
        <v>The adjacent genes align pretty well, but they are both hypothetical. However, this gene seems like an interruption, but there is nothing to support so it seems like a fine match since the genetic environment aligns.</v>
      </c>
      <c r="D16" s="6"/>
    </row>
    <row r="17" spans="1:4" ht="15.75" customHeight="1" x14ac:dyDescent="0.15">
      <c r="A17" s="5" t="s">
        <v>17</v>
      </c>
      <c r="B17" s="17" t="str">
        <f ca="1">IFERROR(__xludf.DUMMYFUNCTION("""COMPUTED_VALUE"""),"Hypothetical protein DNA replication, 2UVP_A, 34.24 Probability, % align Q:15.43,   % align T 15.59")</f>
        <v>Hypothetical protein DNA replication, 2UVP_A, 34.24 Probability, % align Q:15.43,   % align T 15.59</v>
      </c>
      <c r="C17" s="17" t="str">
        <f ca="1">IFERROR(__xludf.DUMMYFUNCTION("""COMPUTED_VALUE"""),"DESC: HOBA; HYPOTHETICAL PROTEIN, UNKNOWN FUNCTION, DNAA, SIS FOLD, DNA REPLICATION; HET: GOL, ACT; 1.7A {HELICOBACTER PYLORI}
Prob: 34.2 %ALQ: 56.9 %ALT: 45.3
Technically no, the functional domain is not included because it covers the enitre amino acid s"&amp;"equence of the protein which we don't align to.")</f>
        <v>DESC: HOBA; HYPOTHETICAL PROTEIN, UNKNOWN FUNCTION, DNAA, SIS FOLD, DNA REPLICATION; HET: GOL, ACT; 1.7A {HELICOBACTER PYLORI}
Prob: 34.2 %ALQ: 56.9 %ALT: 45.3
Technically no, the functional domain is not included because it covers the enitre amino acid sequence of the protein which we don't align to.</v>
      </c>
      <c r="D17" s="6"/>
    </row>
    <row r="18" spans="1:4" ht="15.75" customHeight="1" x14ac:dyDescent="0.15">
      <c r="A18" s="5" t="s">
        <v>18</v>
      </c>
      <c r="B18" s="17" t="str">
        <f ca="1">IFERROR(__xludf.DUMMYFUNCTION("""COMPUTED_VALUE"""),"Phamerator shows no conserved domains listed ")</f>
        <v xml:space="preserve">Phamerator shows no conserved domains listed </v>
      </c>
      <c r="C18" s="17" t="str">
        <f ca="1">IFERROR(__xludf.DUMMYFUNCTION("""COMPUTED_VALUE"""),"No - DUF")</f>
        <v>No - DUF</v>
      </c>
      <c r="D18" s="6"/>
    </row>
    <row r="19" spans="1:4" ht="15.75" customHeight="1" x14ac:dyDescent="0.15">
      <c r="A19" s="5" t="s">
        <v>19</v>
      </c>
      <c r="B19" s="17" t="str">
        <f ca="1">IFERROR(__xludf.DUMMYFUNCTION("""COMPUTED_VALUE"""),"Inside probability 1")</f>
        <v>Inside probability 1</v>
      </c>
      <c r="C19" s="17" t="str">
        <f ca="1">IFERROR(__xludf.DUMMYFUNCTION("""COMPUTED_VALUE"""),"None")</f>
        <v>None</v>
      </c>
      <c r="D19" s="6"/>
    </row>
    <row r="20" spans="1:4" ht="15.75" customHeight="1" x14ac:dyDescent="0.15">
      <c r="A20" s="5" t="s">
        <v>20</v>
      </c>
      <c r="B20" s="17" t="str">
        <f ca="1">IFERROR(__xludf.DUMMYFUNCTION("""COMPUTED_VALUE"""),"Hypothetical protein")</f>
        <v>Hypothetical protein</v>
      </c>
      <c r="C20" s="17" t="str">
        <f ca="1">IFERROR(__xludf.DUMMYFUNCTION("""COMPUTED_VALUE"""),"Hypothetical Protein")</f>
        <v>Hypothetical Protein</v>
      </c>
      <c r="D20" s="6"/>
    </row>
    <row r="21" spans="1:4" x14ac:dyDescent="0.2">
      <c r="A21" s="7"/>
      <c r="B21" s="19"/>
      <c r="C21" s="19"/>
      <c r="D21" s="8"/>
    </row>
    <row r="22" spans="1:4" ht="15.75" customHeight="1" x14ac:dyDescent="0.15">
      <c r="A22" s="9" t="s">
        <v>21</v>
      </c>
      <c r="B22" s="19"/>
      <c r="C22" s="19"/>
      <c r="D22" s="8"/>
    </row>
    <row r="23" spans="1:4" ht="15.75" customHeight="1" x14ac:dyDescent="0.15">
      <c r="A23" s="10"/>
      <c r="B23" s="13"/>
      <c r="C23" s="13"/>
    </row>
    <row r="24" spans="1:4" ht="15.75" customHeight="1" x14ac:dyDescent="0.15">
      <c r="A24" s="10"/>
      <c r="B24" s="13"/>
      <c r="C24" s="13"/>
    </row>
    <row r="25" spans="1:4" ht="15.75" customHeight="1" x14ac:dyDescent="0.15">
      <c r="A25" s="10"/>
      <c r="B25" s="13"/>
      <c r="C25" s="13"/>
    </row>
    <row r="26" spans="1:4" ht="15.75" customHeight="1" x14ac:dyDescent="0.15">
      <c r="A26" s="10"/>
      <c r="B26" s="13"/>
      <c r="C26" s="13"/>
    </row>
    <row r="27" spans="1:4" ht="15.75" customHeight="1" x14ac:dyDescent="0.15">
      <c r="A27" s="10"/>
      <c r="B27" s="13"/>
      <c r="C27" s="13"/>
    </row>
    <row r="28" spans="1:4" ht="15.75" customHeight="1" x14ac:dyDescent="0.15">
      <c r="A28" s="10"/>
      <c r="B28" s="13"/>
      <c r="C28" s="13"/>
    </row>
    <row r="29" spans="1:4" ht="15.75" customHeight="1" x14ac:dyDescent="0.15">
      <c r="A29" s="10"/>
      <c r="B29" s="13"/>
      <c r="C29" s="13"/>
    </row>
    <row r="30" spans="1:4" ht="15.75" customHeight="1" x14ac:dyDescent="0.15">
      <c r="A30" s="10"/>
      <c r="B30" s="13"/>
      <c r="C30" s="13"/>
    </row>
    <row r="31" spans="1:4" ht="15.75" customHeight="1" x14ac:dyDescent="0.15">
      <c r="A31" s="10"/>
      <c r="B31" s="13"/>
      <c r="C31" s="13"/>
    </row>
    <row r="32" spans="1:4" ht="15.75" customHeight="1" x14ac:dyDescent="0.15">
      <c r="A32" s="10"/>
      <c r="B32" s="13"/>
      <c r="C32" s="13"/>
    </row>
    <row r="33" spans="1:3" ht="15.75" customHeight="1" x14ac:dyDescent="0.15">
      <c r="A33" s="10"/>
      <c r="B33" s="13"/>
      <c r="C33" s="13"/>
    </row>
    <row r="34" spans="1:3" ht="15.75" customHeight="1" x14ac:dyDescent="0.15">
      <c r="A34" s="10"/>
      <c r="B34" s="13"/>
      <c r="C34" s="13"/>
    </row>
    <row r="35" spans="1:3" ht="15.75" customHeight="1" x14ac:dyDescent="0.15">
      <c r="A35" s="10"/>
      <c r="B35" s="13"/>
      <c r="C35" s="13"/>
    </row>
    <row r="36" spans="1:3" ht="15.75" customHeight="1" x14ac:dyDescent="0.15">
      <c r="A36" s="10"/>
      <c r="B36" s="13"/>
      <c r="C36" s="13"/>
    </row>
    <row r="37" spans="1:3" ht="15.75" customHeight="1" x14ac:dyDescent="0.15">
      <c r="A37" s="10"/>
      <c r="B37" s="13"/>
      <c r="C37" s="13"/>
    </row>
    <row r="38" spans="1:3" ht="15.75" customHeight="1" x14ac:dyDescent="0.15">
      <c r="A38" s="10"/>
      <c r="B38" s="13"/>
      <c r="C38" s="13"/>
    </row>
    <row r="39" spans="1:3" ht="13" x14ac:dyDescent="0.15">
      <c r="A39" s="10"/>
      <c r="B39" s="13"/>
      <c r="C39" s="13"/>
    </row>
    <row r="40" spans="1:3" ht="13" x14ac:dyDescent="0.15">
      <c r="A40" s="10"/>
      <c r="B40" s="13"/>
      <c r="C40" s="13"/>
    </row>
    <row r="41" spans="1:3" ht="13" x14ac:dyDescent="0.15">
      <c r="A41" s="10"/>
      <c r="B41" s="13"/>
      <c r="C41" s="13"/>
    </row>
    <row r="42" spans="1:3" ht="13" x14ac:dyDescent="0.15">
      <c r="A42" s="10"/>
      <c r="B42" s="13"/>
      <c r="C42" s="13"/>
    </row>
    <row r="43" spans="1:3" ht="13" x14ac:dyDescent="0.15">
      <c r="A43" s="10"/>
      <c r="B43" s="13"/>
      <c r="C43" s="13"/>
    </row>
    <row r="44" spans="1:3" ht="13" x14ac:dyDescent="0.15">
      <c r="A44" s="10"/>
      <c r="B44" s="13"/>
      <c r="C44" s="13"/>
    </row>
    <row r="45" spans="1:3" ht="13" x14ac:dyDescent="0.15">
      <c r="A45" s="10"/>
      <c r="B45" s="13"/>
      <c r="C45" s="13"/>
    </row>
    <row r="46" spans="1:3" ht="13" x14ac:dyDescent="0.15">
      <c r="A46" s="10"/>
      <c r="B46" s="13"/>
      <c r="C46" s="13"/>
    </row>
    <row r="47" spans="1:3" ht="13" x14ac:dyDescent="0.15">
      <c r="A47" s="10"/>
      <c r="B47" s="13"/>
      <c r="C47" s="13"/>
    </row>
    <row r="48" spans="1:3" ht="13" x14ac:dyDescent="0.15">
      <c r="A48" s="10"/>
      <c r="B48" s="13"/>
      <c r="C48" s="13"/>
    </row>
    <row r="49" spans="1:3" ht="13" x14ac:dyDescent="0.15">
      <c r="A49" s="10"/>
      <c r="B49" s="13"/>
      <c r="C49" s="13"/>
    </row>
    <row r="50" spans="1:3" ht="13" x14ac:dyDescent="0.15">
      <c r="A50" s="10"/>
      <c r="B50" s="13"/>
      <c r="C50" s="13"/>
    </row>
    <row r="51" spans="1:3" ht="13" x14ac:dyDescent="0.15">
      <c r="A51" s="10"/>
      <c r="B51" s="13"/>
      <c r="C51" s="13"/>
    </row>
    <row r="52" spans="1:3" ht="13" x14ac:dyDescent="0.15">
      <c r="A52" s="10"/>
      <c r="B52" s="13"/>
      <c r="C52" s="13"/>
    </row>
    <row r="53" spans="1:3" ht="13" x14ac:dyDescent="0.15">
      <c r="A53" s="10"/>
      <c r="B53" s="13"/>
      <c r="C53" s="13"/>
    </row>
    <row r="54" spans="1:3" ht="13" x14ac:dyDescent="0.15">
      <c r="A54" s="10"/>
      <c r="B54" s="13"/>
      <c r="C54" s="13"/>
    </row>
    <row r="55" spans="1:3" ht="13" x14ac:dyDescent="0.15">
      <c r="A55" s="10"/>
      <c r="B55" s="13"/>
      <c r="C55" s="13"/>
    </row>
    <row r="56" spans="1:3" ht="13" x14ac:dyDescent="0.15">
      <c r="A56" s="10"/>
      <c r="B56" s="13"/>
      <c r="C56" s="13"/>
    </row>
    <row r="57" spans="1:3" ht="13" x14ac:dyDescent="0.15">
      <c r="A57" s="10"/>
      <c r="B57" s="13"/>
      <c r="C57" s="13"/>
    </row>
    <row r="58" spans="1:3" ht="13" x14ac:dyDescent="0.15">
      <c r="A58" s="10"/>
      <c r="B58" s="13"/>
      <c r="C58" s="13"/>
    </row>
    <row r="59" spans="1:3" ht="13" x14ac:dyDescent="0.15">
      <c r="A59" s="10"/>
      <c r="B59" s="13"/>
      <c r="C59" s="13"/>
    </row>
    <row r="60" spans="1:3" ht="13" x14ac:dyDescent="0.15">
      <c r="A60" s="10"/>
      <c r="B60" s="13"/>
      <c r="C60" s="13"/>
    </row>
    <row r="61" spans="1:3" ht="13" x14ac:dyDescent="0.15">
      <c r="A61" s="10"/>
      <c r="B61" s="13"/>
      <c r="C61" s="13"/>
    </row>
    <row r="62" spans="1:3" ht="13" x14ac:dyDescent="0.15">
      <c r="A62" s="10"/>
      <c r="B62" s="13"/>
      <c r="C62" s="13"/>
    </row>
    <row r="63" spans="1:3" ht="13" x14ac:dyDescent="0.15">
      <c r="A63" s="10"/>
      <c r="B63" s="13"/>
      <c r="C63" s="13"/>
    </row>
    <row r="64" spans="1:3" ht="13" x14ac:dyDescent="0.15">
      <c r="A64" s="10"/>
      <c r="B64" s="13"/>
      <c r="C64" s="13"/>
    </row>
    <row r="65" spans="1:3" ht="13" x14ac:dyDescent="0.15">
      <c r="A65" s="10"/>
      <c r="B65" s="13"/>
      <c r="C65" s="13"/>
    </row>
    <row r="66" spans="1:3" ht="13" x14ac:dyDescent="0.15">
      <c r="A66" s="10"/>
      <c r="B66" s="13"/>
      <c r="C66" s="13"/>
    </row>
    <row r="67" spans="1:3" ht="13" x14ac:dyDescent="0.15">
      <c r="A67" s="10"/>
      <c r="B67" s="13"/>
      <c r="C67" s="13"/>
    </row>
    <row r="68" spans="1:3" ht="13" x14ac:dyDescent="0.15">
      <c r="A68" s="10"/>
      <c r="B68" s="13"/>
      <c r="C68" s="13"/>
    </row>
    <row r="69" spans="1:3" ht="13" x14ac:dyDescent="0.15">
      <c r="A69" s="10"/>
      <c r="B69" s="13"/>
      <c r="C69" s="13"/>
    </row>
    <row r="70" spans="1:3" ht="13" x14ac:dyDescent="0.15">
      <c r="A70" s="10"/>
      <c r="B70" s="13"/>
      <c r="C70" s="13"/>
    </row>
    <row r="71" spans="1:3" ht="13" x14ac:dyDescent="0.15">
      <c r="A71" s="10"/>
      <c r="B71" s="13"/>
      <c r="C71" s="13"/>
    </row>
    <row r="72" spans="1:3" ht="13" x14ac:dyDescent="0.15">
      <c r="A72" s="10"/>
      <c r="B72" s="13"/>
      <c r="C72" s="13"/>
    </row>
    <row r="73" spans="1:3" ht="13" x14ac:dyDescent="0.15">
      <c r="A73" s="10"/>
      <c r="B73" s="13"/>
      <c r="C73" s="13"/>
    </row>
    <row r="74" spans="1:3" ht="13" x14ac:dyDescent="0.15">
      <c r="A74" s="10"/>
      <c r="B74" s="13"/>
      <c r="C74" s="13"/>
    </row>
    <row r="75" spans="1:3" ht="13" x14ac:dyDescent="0.15">
      <c r="A75" s="10"/>
      <c r="B75" s="13"/>
      <c r="C75" s="13"/>
    </row>
    <row r="76" spans="1:3" ht="13" x14ac:dyDescent="0.15">
      <c r="A76" s="10"/>
      <c r="B76" s="13"/>
      <c r="C76" s="13"/>
    </row>
    <row r="77" spans="1:3" ht="13" x14ac:dyDescent="0.15">
      <c r="A77" s="10"/>
      <c r="B77" s="13"/>
      <c r="C77" s="13"/>
    </row>
    <row r="78" spans="1:3" ht="13" x14ac:dyDescent="0.15">
      <c r="A78" s="10"/>
      <c r="B78" s="13"/>
      <c r="C78" s="13"/>
    </row>
    <row r="79" spans="1:3" ht="13" x14ac:dyDescent="0.15">
      <c r="A79" s="10"/>
      <c r="B79" s="13"/>
      <c r="C79" s="13"/>
    </row>
    <row r="80" spans="1:3" ht="13" x14ac:dyDescent="0.15">
      <c r="A80" s="10"/>
      <c r="B80" s="13"/>
      <c r="C80" s="13"/>
    </row>
    <row r="81" spans="1:3" ht="13" x14ac:dyDescent="0.15">
      <c r="A81" s="10"/>
      <c r="B81" s="13"/>
      <c r="C81" s="13"/>
    </row>
    <row r="82" spans="1:3" ht="13" x14ac:dyDescent="0.15">
      <c r="A82" s="10"/>
      <c r="B82" s="13"/>
      <c r="C82" s="13"/>
    </row>
    <row r="83" spans="1:3" ht="13" x14ac:dyDescent="0.15">
      <c r="A83" s="10"/>
      <c r="B83" s="13"/>
      <c r="C83" s="13"/>
    </row>
    <row r="84" spans="1:3" ht="13" x14ac:dyDescent="0.15">
      <c r="A84" s="10"/>
      <c r="B84" s="13"/>
      <c r="C84" s="13"/>
    </row>
    <row r="85" spans="1:3" ht="13" x14ac:dyDescent="0.15">
      <c r="A85" s="10"/>
      <c r="B85" s="13"/>
      <c r="C85" s="13"/>
    </row>
    <row r="86" spans="1:3" ht="13" x14ac:dyDescent="0.15">
      <c r="A86" s="10"/>
      <c r="B86" s="13"/>
      <c r="C86" s="13"/>
    </row>
    <row r="87" spans="1:3" ht="13" x14ac:dyDescent="0.15">
      <c r="A87" s="10"/>
      <c r="B87" s="13"/>
      <c r="C87" s="13"/>
    </row>
    <row r="88" spans="1:3" ht="13" x14ac:dyDescent="0.15">
      <c r="A88" s="10"/>
      <c r="B88" s="13"/>
      <c r="C88" s="13"/>
    </row>
    <row r="89" spans="1:3" ht="13" x14ac:dyDescent="0.15">
      <c r="A89" s="10"/>
      <c r="B89" s="13"/>
      <c r="C89" s="13"/>
    </row>
    <row r="90" spans="1:3" ht="13" x14ac:dyDescent="0.15">
      <c r="A90" s="10"/>
      <c r="B90" s="13"/>
      <c r="C90" s="13"/>
    </row>
    <row r="91" spans="1:3" ht="13" x14ac:dyDescent="0.15">
      <c r="A91" s="10"/>
      <c r="B91" s="13"/>
      <c r="C91" s="13"/>
    </row>
    <row r="92" spans="1:3" ht="13" x14ac:dyDescent="0.15">
      <c r="A92" s="10"/>
      <c r="B92" s="13"/>
      <c r="C92" s="13"/>
    </row>
    <row r="93" spans="1:3" ht="13" x14ac:dyDescent="0.15">
      <c r="A93" s="10"/>
      <c r="B93" s="13"/>
      <c r="C93" s="13"/>
    </row>
    <row r="94" spans="1:3" ht="13" x14ac:dyDescent="0.15">
      <c r="A94" s="10"/>
      <c r="B94" s="13"/>
      <c r="C94" s="13"/>
    </row>
    <row r="95" spans="1:3" ht="13" x14ac:dyDescent="0.15">
      <c r="A95" s="10"/>
      <c r="B95" s="13"/>
      <c r="C95" s="13"/>
    </row>
    <row r="96" spans="1:3" ht="13" x14ac:dyDescent="0.15">
      <c r="A96" s="10"/>
      <c r="B96" s="13"/>
      <c r="C96" s="13"/>
    </row>
    <row r="97" spans="1:3" ht="13" x14ac:dyDescent="0.15">
      <c r="A97" s="10"/>
      <c r="B97" s="13"/>
      <c r="C97" s="13"/>
    </row>
    <row r="98" spans="1:3" ht="13" x14ac:dyDescent="0.15">
      <c r="A98" s="10"/>
      <c r="B98" s="13"/>
      <c r="C98" s="13"/>
    </row>
    <row r="99" spans="1:3" ht="13" x14ac:dyDescent="0.15">
      <c r="A99" s="10"/>
      <c r="B99" s="13"/>
      <c r="C99" s="13"/>
    </row>
    <row r="100" spans="1:3" ht="13" x14ac:dyDescent="0.15">
      <c r="A100" s="10"/>
      <c r="B100" s="13"/>
      <c r="C100" s="13"/>
    </row>
    <row r="101" spans="1:3" ht="13" x14ac:dyDescent="0.15">
      <c r="A101" s="10"/>
      <c r="B101" s="13"/>
      <c r="C101" s="13"/>
    </row>
    <row r="102" spans="1:3" ht="13" x14ac:dyDescent="0.15">
      <c r="A102" s="10"/>
      <c r="B102" s="13"/>
      <c r="C102" s="13"/>
    </row>
    <row r="103" spans="1:3" ht="13" x14ac:dyDescent="0.15">
      <c r="A103" s="10"/>
      <c r="B103" s="13"/>
      <c r="C103" s="13"/>
    </row>
    <row r="104" spans="1:3" ht="13" x14ac:dyDescent="0.15">
      <c r="A104" s="10"/>
      <c r="B104" s="13"/>
      <c r="C104" s="13"/>
    </row>
    <row r="105" spans="1:3" ht="13" x14ac:dyDescent="0.15">
      <c r="A105" s="10"/>
      <c r="B105" s="13"/>
      <c r="C105" s="13"/>
    </row>
    <row r="106" spans="1:3" ht="13" x14ac:dyDescent="0.15">
      <c r="A106" s="10"/>
      <c r="B106" s="13"/>
      <c r="C106" s="13"/>
    </row>
    <row r="107" spans="1:3" ht="13" x14ac:dyDescent="0.15">
      <c r="A107" s="10"/>
      <c r="B107" s="13"/>
      <c r="C107" s="13"/>
    </row>
    <row r="108" spans="1:3" ht="13" x14ac:dyDescent="0.15">
      <c r="A108" s="10"/>
      <c r="B108" s="13"/>
      <c r="C108" s="13"/>
    </row>
    <row r="109" spans="1:3" ht="13" x14ac:dyDescent="0.15">
      <c r="A109" s="10"/>
      <c r="B109" s="13"/>
      <c r="C109" s="13"/>
    </row>
    <row r="110" spans="1:3" ht="13" x14ac:dyDescent="0.15">
      <c r="A110" s="10"/>
      <c r="B110" s="13"/>
      <c r="C110" s="13"/>
    </row>
    <row r="111" spans="1:3" ht="13" x14ac:dyDescent="0.15">
      <c r="A111" s="10"/>
      <c r="B111" s="13"/>
      <c r="C111" s="13"/>
    </row>
    <row r="112" spans="1:3" ht="13" x14ac:dyDescent="0.15">
      <c r="A112" s="10"/>
      <c r="B112" s="13"/>
      <c r="C112" s="13"/>
    </row>
    <row r="113" spans="1:3" ht="13" x14ac:dyDescent="0.15">
      <c r="A113" s="10"/>
      <c r="B113" s="13"/>
      <c r="C113" s="13"/>
    </row>
    <row r="114" spans="1:3" ht="13" x14ac:dyDescent="0.15">
      <c r="A114" s="10"/>
      <c r="B114" s="13"/>
      <c r="C114" s="13"/>
    </row>
    <row r="115" spans="1:3" ht="13" x14ac:dyDescent="0.15">
      <c r="A115" s="10"/>
      <c r="B115" s="13"/>
      <c r="C115" s="13"/>
    </row>
    <row r="116" spans="1:3" ht="13" x14ac:dyDescent="0.15">
      <c r="A116" s="10"/>
      <c r="B116" s="13"/>
      <c r="C116" s="13"/>
    </row>
    <row r="117" spans="1:3" ht="13" x14ac:dyDescent="0.15">
      <c r="A117" s="10"/>
      <c r="B117" s="13"/>
      <c r="C117" s="13"/>
    </row>
    <row r="118" spans="1:3" ht="13" x14ac:dyDescent="0.15">
      <c r="A118" s="10"/>
      <c r="B118" s="13"/>
      <c r="C118" s="13"/>
    </row>
    <row r="119" spans="1:3" ht="13" x14ac:dyDescent="0.15">
      <c r="A119" s="10"/>
      <c r="B119" s="13"/>
      <c r="C119" s="13"/>
    </row>
    <row r="120" spans="1:3" ht="13" x14ac:dyDescent="0.15">
      <c r="A120" s="10"/>
      <c r="B120" s="13"/>
      <c r="C120" s="13"/>
    </row>
    <row r="121" spans="1:3" ht="13" x14ac:dyDescent="0.15">
      <c r="A121" s="10"/>
      <c r="B121" s="13"/>
      <c r="C121" s="13"/>
    </row>
    <row r="122" spans="1:3" ht="13" x14ac:dyDescent="0.15">
      <c r="A122" s="10"/>
      <c r="B122" s="13"/>
      <c r="C122" s="13"/>
    </row>
    <row r="123" spans="1:3" ht="13" x14ac:dyDescent="0.15">
      <c r="A123" s="10"/>
      <c r="B123" s="13"/>
      <c r="C123" s="13"/>
    </row>
    <row r="124" spans="1:3" ht="13" x14ac:dyDescent="0.15">
      <c r="A124" s="10"/>
      <c r="B124" s="13"/>
      <c r="C124" s="13"/>
    </row>
    <row r="125" spans="1:3" ht="13" x14ac:dyDescent="0.15">
      <c r="A125" s="10"/>
      <c r="B125" s="13"/>
      <c r="C125" s="13"/>
    </row>
    <row r="126" spans="1:3" ht="13" x14ac:dyDescent="0.15">
      <c r="A126" s="10"/>
      <c r="B126" s="13"/>
      <c r="C126" s="13"/>
    </row>
    <row r="127" spans="1:3" ht="13" x14ac:dyDescent="0.15">
      <c r="A127" s="10"/>
      <c r="B127" s="13"/>
      <c r="C127" s="13"/>
    </row>
    <row r="128" spans="1:3" ht="13" x14ac:dyDescent="0.15">
      <c r="A128" s="10"/>
      <c r="B128" s="13"/>
      <c r="C128" s="13"/>
    </row>
    <row r="129" spans="1:3" ht="13" x14ac:dyDescent="0.15">
      <c r="A129" s="10"/>
      <c r="B129" s="13"/>
      <c r="C129" s="13"/>
    </row>
    <row r="130" spans="1:3" ht="13" x14ac:dyDescent="0.15">
      <c r="A130" s="10"/>
      <c r="B130" s="13"/>
      <c r="C130" s="13"/>
    </row>
    <row r="131" spans="1:3" ht="13" x14ac:dyDescent="0.15">
      <c r="A131" s="10"/>
      <c r="B131" s="13"/>
      <c r="C131" s="13"/>
    </row>
    <row r="132" spans="1:3" ht="13" x14ac:dyDescent="0.15">
      <c r="A132" s="10"/>
      <c r="B132" s="13"/>
      <c r="C132" s="13"/>
    </row>
    <row r="133" spans="1:3" ht="13" x14ac:dyDescent="0.15">
      <c r="A133" s="10"/>
      <c r="B133" s="13"/>
      <c r="C133" s="13"/>
    </row>
    <row r="134" spans="1:3" ht="13" x14ac:dyDescent="0.15">
      <c r="A134" s="10"/>
      <c r="B134" s="13"/>
      <c r="C134" s="13"/>
    </row>
    <row r="135" spans="1:3" ht="13" x14ac:dyDescent="0.15">
      <c r="A135" s="10"/>
      <c r="B135" s="13"/>
      <c r="C135" s="13"/>
    </row>
    <row r="136" spans="1:3" ht="13" x14ac:dyDescent="0.15">
      <c r="A136" s="10"/>
      <c r="B136" s="13"/>
      <c r="C136" s="13"/>
    </row>
    <row r="137" spans="1:3" ht="13" x14ac:dyDescent="0.15">
      <c r="A137" s="10"/>
      <c r="B137" s="13"/>
      <c r="C137" s="13"/>
    </row>
    <row r="138" spans="1:3" ht="13" x14ac:dyDescent="0.15">
      <c r="A138" s="10"/>
      <c r="B138" s="13"/>
      <c r="C138" s="13"/>
    </row>
    <row r="139" spans="1:3" ht="13" x14ac:dyDescent="0.15">
      <c r="A139" s="10"/>
      <c r="B139" s="13"/>
      <c r="C139" s="13"/>
    </row>
    <row r="140" spans="1:3" ht="13" x14ac:dyDescent="0.15">
      <c r="A140" s="10"/>
      <c r="B140" s="13"/>
      <c r="C140" s="13"/>
    </row>
    <row r="141" spans="1:3" ht="13" x14ac:dyDescent="0.15">
      <c r="A141" s="10"/>
      <c r="B141" s="13"/>
      <c r="C141" s="13"/>
    </row>
    <row r="142" spans="1:3" ht="13" x14ac:dyDescent="0.15">
      <c r="A142" s="10"/>
      <c r="B142" s="13"/>
      <c r="C142" s="13"/>
    </row>
    <row r="143" spans="1:3" ht="13" x14ac:dyDescent="0.15">
      <c r="A143" s="10"/>
      <c r="B143" s="13"/>
      <c r="C143" s="13"/>
    </row>
    <row r="144" spans="1:3" ht="13" x14ac:dyDescent="0.15">
      <c r="A144" s="10"/>
      <c r="B144" s="13"/>
      <c r="C144" s="13"/>
    </row>
    <row r="145" spans="1:3" ht="13" x14ac:dyDescent="0.15">
      <c r="A145" s="10"/>
      <c r="B145" s="13"/>
      <c r="C145" s="13"/>
    </row>
    <row r="146" spans="1:3" ht="13" x14ac:dyDescent="0.15">
      <c r="A146" s="10"/>
      <c r="B146" s="13"/>
      <c r="C146" s="13"/>
    </row>
    <row r="147" spans="1:3" ht="13" x14ac:dyDescent="0.15">
      <c r="A147" s="10"/>
      <c r="B147" s="13"/>
      <c r="C147" s="13"/>
    </row>
    <row r="148" spans="1:3" ht="13" x14ac:dyDescent="0.15">
      <c r="A148" s="10"/>
      <c r="B148" s="13"/>
      <c r="C148" s="13"/>
    </row>
    <row r="149" spans="1:3" ht="13" x14ac:dyDescent="0.15">
      <c r="A149" s="10"/>
      <c r="B149" s="13"/>
      <c r="C149" s="13"/>
    </row>
    <row r="150" spans="1:3" ht="13" x14ac:dyDescent="0.15">
      <c r="A150" s="10"/>
      <c r="B150" s="13"/>
      <c r="C150" s="13"/>
    </row>
    <row r="151" spans="1:3" ht="13" x14ac:dyDescent="0.15">
      <c r="A151" s="10"/>
      <c r="B151" s="13"/>
      <c r="C151" s="13"/>
    </row>
    <row r="152" spans="1:3" ht="13" x14ac:dyDescent="0.15">
      <c r="A152" s="10"/>
      <c r="B152" s="13"/>
      <c r="C152" s="13"/>
    </row>
    <row r="153" spans="1:3" ht="13" x14ac:dyDescent="0.15">
      <c r="A153" s="10"/>
      <c r="B153" s="13"/>
      <c r="C153" s="13"/>
    </row>
    <row r="154" spans="1:3" ht="13" x14ac:dyDescent="0.15">
      <c r="A154" s="10"/>
      <c r="B154" s="13"/>
      <c r="C154" s="13"/>
    </row>
    <row r="155" spans="1:3" ht="13" x14ac:dyDescent="0.15">
      <c r="A155" s="10"/>
      <c r="B155" s="13"/>
      <c r="C155" s="13"/>
    </row>
    <row r="156" spans="1:3" ht="13" x14ac:dyDescent="0.15">
      <c r="A156" s="10"/>
      <c r="B156" s="13"/>
      <c r="C156" s="13"/>
    </row>
    <row r="157" spans="1:3" ht="13" x14ac:dyDescent="0.15">
      <c r="A157" s="10"/>
      <c r="B157" s="13"/>
      <c r="C157" s="13"/>
    </row>
    <row r="158" spans="1:3" ht="13" x14ac:dyDescent="0.15">
      <c r="A158" s="10"/>
      <c r="B158" s="13"/>
      <c r="C158" s="13"/>
    </row>
    <row r="159" spans="1:3" ht="13" x14ac:dyDescent="0.15">
      <c r="A159" s="10"/>
      <c r="B159" s="13"/>
      <c r="C159" s="13"/>
    </row>
    <row r="160" spans="1:3" ht="13" x14ac:dyDescent="0.15">
      <c r="A160" s="10"/>
      <c r="B160" s="13"/>
      <c r="C160" s="13"/>
    </row>
    <row r="161" spans="1:3" ht="13" x14ac:dyDescent="0.15">
      <c r="A161" s="10"/>
      <c r="B161" s="13"/>
      <c r="C161" s="13"/>
    </row>
    <row r="162" spans="1:3" ht="13" x14ac:dyDescent="0.15">
      <c r="A162" s="10"/>
      <c r="B162" s="13"/>
      <c r="C162" s="13"/>
    </row>
    <row r="163" spans="1:3" ht="13" x14ac:dyDescent="0.15">
      <c r="A163" s="10"/>
      <c r="B163" s="13"/>
      <c r="C163" s="13"/>
    </row>
    <row r="164" spans="1:3" ht="13" x14ac:dyDescent="0.15">
      <c r="A164" s="10"/>
      <c r="B164" s="13"/>
      <c r="C164" s="13"/>
    </row>
    <row r="165" spans="1:3" ht="13" x14ac:dyDescent="0.15">
      <c r="A165" s="10"/>
      <c r="B165" s="13"/>
      <c r="C165" s="13"/>
    </row>
    <row r="166" spans="1:3" ht="13" x14ac:dyDescent="0.15">
      <c r="A166" s="10"/>
      <c r="B166" s="13"/>
      <c r="C166" s="13"/>
    </row>
    <row r="167" spans="1:3" ht="13" x14ac:dyDescent="0.15">
      <c r="A167" s="10"/>
      <c r="B167" s="13"/>
      <c r="C167" s="13"/>
    </row>
    <row r="168" spans="1:3" ht="13" x14ac:dyDescent="0.15">
      <c r="A168" s="10"/>
      <c r="B168" s="13"/>
      <c r="C168" s="13"/>
    </row>
    <row r="169" spans="1:3" ht="13" x14ac:dyDescent="0.15">
      <c r="A169" s="10"/>
      <c r="B169" s="13"/>
      <c r="C169" s="13"/>
    </row>
    <row r="170" spans="1:3" ht="13" x14ac:dyDescent="0.15">
      <c r="A170" s="10"/>
      <c r="B170" s="13"/>
      <c r="C170" s="13"/>
    </row>
    <row r="171" spans="1:3" ht="13" x14ac:dyDescent="0.15">
      <c r="A171" s="10"/>
      <c r="B171" s="13"/>
      <c r="C171" s="13"/>
    </row>
    <row r="172" spans="1:3" ht="13" x14ac:dyDescent="0.15">
      <c r="A172" s="10"/>
      <c r="B172" s="13"/>
      <c r="C172" s="13"/>
    </row>
    <row r="173" spans="1:3" ht="13" x14ac:dyDescent="0.15">
      <c r="A173" s="10"/>
      <c r="B173" s="13"/>
      <c r="C173" s="13"/>
    </row>
    <row r="174" spans="1:3" ht="13" x14ac:dyDescent="0.15">
      <c r="A174" s="10"/>
      <c r="B174" s="13"/>
      <c r="C174" s="13"/>
    </row>
    <row r="175" spans="1:3" ht="13" x14ac:dyDescent="0.15">
      <c r="A175" s="10"/>
      <c r="B175" s="13"/>
      <c r="C175" s="13"/>
    </row>
    <row r="176" spans="1:3" ht="13" x14ac:dyDescent="0.15">
      <c r="A176" s="10"/>
      <c r="B176" s="13"/>
      <c r="C176" s="13"/>
    </row>
    <row r="177" spans="1:3" ht="13" x14ac:dyDescent="0.15">
      <c r="A177" s="10"/>
      <c r="B177" s="13"/>
      <c r="C177" s="13"/>
    </row>
    <row r="178" spans="1:3" ht="13" x14ac:dyDescent="0.15">
      <c r="A178" s="10"/>
      <c r="B178" s="13"/>
      <c r="C178" s="13"/>
    </row>
    <row r="179" spans="1:3" ht="13" x14ac:dyDescent="0.15">
      <c r="A179" s="10"/>
      <c r="B179" s="13"/>
      <c r="C179" s="13"/>
    </row>
    <row r="180" spans="1:3" ht="13" x14ac:dyDescent="0.15">
      <c r="A180" s="10"/>
      <c r="B180" s="13"/>
      <c r="C180" s="13"/>
    </row>
    <row r="181" spans="1:3" ht="13" x14ac:dyDescent="0.15">
      <c r="A181" s="10"/>
      <c r="B181" s="13"/>
      <c r="C181" s="13"/>
    </row>
    <row r="182" spans="1:3" ht="13" x14ac:dyDescent="0.15">
      <c r="A182" s="10"/>
      <c r="B182" s="13"/>
      <c r="C182" s="13"/>
    </row>
    <row r="183" spans="1:3" ht="13" x14ac:dyDescent="0.15">
      <c r="A183" s="10"/>
      <c r="B183" s="13"/>
      <c r="C183" s="13"/>
    </row>
    <row r="184" spans="1:3" ht="13" x14ac:dyDescent="0.15">
      <c r="A184" s="10"/>
      <c r="B184" s="13"/>
      <c r="C184" s="13"/>
    </row>
    <row r="185" spans="1:3" ht="13" x14ac:dyDescent="0.15">
      <c r="A185" s="10"/>
      <c r="B185" s="13"/>
      <c r="C185" s="13"/>
    </row>
    <row r="186" spans="1:3" ht="13" x14ac:dyDescent="0.15">
      <c r="A186" s="10"/>
      <c r="B186" s="13"/>
      <c r="C186" s="13"/>
    </row>
    <row r="187" spans="1:3" ht="13" x14ac:dyDescent="0.15">
      <c r="A187" s="10"/>
      <c r="B187" s="13"/>
      <c r="C187" s="13"/>
    </row>
    <row r="188" spans="1:3" ht="13" x14ac:dyDescent="0.15">
      <c r="A188" s="10"/>
      <c r="B188" s="13"/>
      <c r="C188" s="13"/>
    </row>
    <row r="189" spans="1:3" ht="13" x14ac:dyDescent="0.15">
      <c r="A189" s="10"/>
      <c r="B189" s="13"/>
      <c r="C189" s="13"/>
    </row>
    <row r="190" spans="1:3" ht="13" x14ac:dyDescent="0.15">
      <c r="A190" s="10"/>
      <c r="B190" s="13"/>
      <c r="C190" s="13"/>
    </row>
    <row r="191" spans="1:3" ht="13" x14ac:dyDescent="0.15">
      <c r="A191" s="10"/>
      <c r="B191" s="13"/>
      <c r="C191" s="13"/>
    </row>
    <row r="192" spans="1:3" ht="13" x14ac:dyDescent="0.15">
      <c r="A192" s="10"/>
      <c r="B192" s="13"/>
      <c r="C192" s="13"/>
    </row>
    <row r="193" spans="1:3" ht="13" x14ac:dyDescent="0.15">
      <c r="A193" s="10"/>
      <c r="B193" s="13"/>
      <c r="C193" s="13"/>
    </row>
    <row r="194" spans="1:3" ht="13" x14ac:dyDescent="0.15">
      <c r="A194" s="10"/>
      <c r="B194" s="13"/>
      <c r="C194" s="13"/>
    </row>
    <row r="195" spans="1:3" ht="13" x14ac:dyDescent="0.15">
      <c r="A195" s="10"/>
      <c r="B195" s="13"/>
      <c r="C195" s="13"/>
    </row>
    <row r="196" spans="1:3" ht="13" x14ac:dyDescent="0.15">
      <c r="A196" s="10"/>
      <c r="B196" s="13"/>
      <c r="C196" s="13"/>
    </row>
    <row r="197" spans="1:3" ht="13" x14ac:dyDescent="0.15">
      <c r="A197" s="10"/>
      <c r="B197" s="13"/>
      <c r="C197" s="13"/>
    </row>
    <row r="198" spans="1:3" ht="13" x14ac:dyDescent="0.15">
      <c r="A198" s="10"/>
      <c r="B198" s="13"/>
      <c r="C198" s="13"/>
    </row>
    <row r="199" spans="1:3" ht="13" x14ac:dyDescent="0.15">
      <c r="A199" s="10"/>
      <c r="B199" s="13"/>
      <c r="C199" s="13"/>
    </row>
    <row r="200" spans="1:3" ht="13" x14ac:dyDescent="0.15">
      <c r="A200" s="10"/>
      <c r="B200" s="13"/>
      <c r="C200" s="13"/>
    </row>
    <row r="201" spans="1:3" ht="13" x14ac:dyDescent="0.15">
      <c r="A201" s="10"/>
      <c r="B201" s="13"/>
      <c r="C201" s="13"/>
    </row>
    <row r="202" spans="1:3" ht="13" x14ac:dyDescent="0.15">
      <c r="A202" s="10"/>
      <c r="B202" s="13"/>
      <c r="C202" s="13"/>
    </row>
    <row r="203" spans="1:3" ht="13" x14ac:dyDescent="0.15">
      <c r="A203" s="10"/>
      <c r="B203" s="13"/>
      <c r="C203" s="13"/>
    </row>
    <row r="204" spans="1:3" ht="13" x14ac:dyDescent="0.15">
      <c r="A204" s="10"/>
      <c r="B204" s="13"/>
      <c r="C204" s="13"/>
    </row>
    <row r="205" spans="1:3" ht="13" x14ac:dyDescent="0.15">
      <c r="A205" s="10"/>
      <c r="B205" s="13"/>
      <c r="C205" s="13"/>
    </row>
    <row r="206" spans="1:3" ht="13" x14ac:dyDescent="0.15">
      <c r="A206" s="10"/>
      <c r="B206" s="13"/>
      <c r="C206" s="13"/>
    </row>
    <row r="207" spans="1:3" ht="13" x14ac:dyDescent="0.15">
      <c r="A207" s="10"/>
      <c r="B207" s="13"/>
      <c r="C207" s="13"/>
    </row>
    <row r="208" spans="1:3" ht="13" x14ac:dyDescent="0.15">
      <c r="A208" s="10"/>
      <c r="B208" s="13"/>
      <c r="C208" s="13"/>
    </row>
    <row r="209" spans="1:3" ht="13" x14ac:dyDescent="0.15">
      <c r="A209" s="10"/>
      <c r="B209" s="13"/>
      <c r="C209" s="13"/>
    </row>
    <row r="210" spans="1:3" ht="13" x14ac:dyDescent="0.15">
      <c r="A210" s="10"/>
      <c r="B210" s="13"/>
      <c r="C210" s="13"/>
    </row>
    <row r="211" spans="1:3" ht="13" x14ac:dyDescent="0.15">
      <c r="A211" s="10"/>
      <c r="B211" s="13"/>
      <c r="C211" s="13"/>
    </row>
    <row r="212" spans="1:3" ht="13" x14ac:dyDescent="0.15">
      <c r="A212" s="10"/>
      <c r="B212" s="13"/>
      <c r="C212" s="13"/>
    </row>
    <row r="213" spans="1:3" ht="13" x14ac:dyDescent="0.15">
      <c r="A213" s="10"/>
      <c r="B213" s="13"/>
      <c r="C213" s="13"/>
    </row>
    <row r="214" spans="1:3" ht="13" x14ac:dyDescent="0.15">
      <c r="A214" s="10"/>
      <c r="B214" s="13"/>
      <c r="C214" s="13"/>
    </row>
    <row r="215" spans="1:3" ht="13" x14ac:dyDescent="0.15">
      <c r="A215" s="10"/>
      <c r="B215" s="13"/>
      <c r="C215" s="13"/>
    </row>
    <row r="216" spans="1:3" ht="13" x14ac:dyDescent="0.15">
      <c r="A216" s="10"/>
      <c r="B216" s="13"/>
      <c r="C216" s="13"/>
    </row>
    <row r="217" spans="1:3" ht="13" x14ac:dyDescent="0.15">
      <c r="A217" s="10"/>
      <c r="B217" s="13"/>
      <c r="C217" s="13"/>
    </row>
    <row r="218" spans="1:3" ht="13" x14ac:dyDescent="0.15">
      <c r="A218" s="10"/>
      <c r="B218" s="13"/>
      <c r="C218" s="13"/>
    </row>
    <row r="219" spans="1:3" ht="13" x14ac:dyDescent="0.15">
      <c r="A219" s="10"/>
      <c r="B219" s="13"/>
      <c r="C219" s="13"/>
    </row>
    <row r="220" spans="1:3" ht="13" x14ac:dyDescent="0.15">
      <c r="A220" s="10"/>
      <c r="B220" s="13"/>
      <c r="C220" s="13"/>
    </row>
    <row r="221" spans="1:3" ht="13" x14ac:dyDescent="0.15">
      <c r="A221" s="10"/>
      <c r="B221" s="13"/>
      <c r="C221" s="13"/>
    </row>
    <row r="222" spans="1:3" ht="13" x14ac:dyDescent="0.15">
      <c r="A222" s="10"/>
      <c r="B222" s="13"/>
      <c r="C222" s="13"/>
    </row>
    <row r="223" spans="1:3" ht="13" x14ac:dyDescent="0.15">
      <c r="A223" s="10"/>
      <c r="B223" s="13"/>
      <c r="C223" s="13"/>
    </row>
    <row r="224" spans="1:3" ht="13" x14ac:dyDescent="0.15">
      <c r="A224" s="10"/>
      <c r="B224" s="13"/>
      <c r="C224" s="13"/>
    </row>
    <row r="225" spans="1:3" ht="13" x14ac:dyDescent="0.15">
      <c r="A225" s="10"/>
      <c r="B225" s="13"/>
      <c r="C225" s="13"/>
    </row>
    <row r="226" spans="1:3" ht="13" x14ac:dyDescent="0.15">
      <c r="A226" s="10"/>
      <c r="B226" s="13"/>
      <c r="C226" s="13"/>
    </row>
    <row r="227" spans="1:3" ht="13" x14ac:dyDescent="0.15">
      <c r="A227" s="10"/>
      <c r="B227" s="13"/>
      <c r="C227" s="13"/>
    </row>
    <row r="228" spans="1:3" ht="13" x14ac:dyDescent="0.15">
      <c r="A228" s="10"/>
      <c r="B228" s="13"/>
      <c r="C228" s="13"/>
    </row>
    <row r="229" spans="1:3" ht="13" x14ac:dyDescent="0.15">
      <c r="A229" s="10"/>
      <c r="B229" s="13"/>
      <c r="C229" s="13"/>
    </row>
    <row r="230" spans="1:3" ht="13" x14ac:dyDescent="0.15">
      <c r="A230" s="10"/>
      <c r="B230" s="13"/>
      <c r="C230" s="13"/>
    </row>
    <row r="231" spans="1:3" ht="13" x14ac:dyDescent="0.15">
      <c r="A231" s="10"/>
      <c r="B231" s="13"/>
      <c r="C231" s="13"/>
    </row>
    <row r="232" spans="1:3" ht="13" x14ac:dyDescent="0.15">
      <c r="A232" s="10"/>
      <c r="B232" s="13"/>
      <c r="C232" s="13"/>
    </row>
    <row r="233" spans="1:3" ht="13" x14ac:dyDescent="0.15">
      <c r="A233" s="10"/>
      <c r="B233" s="13"/>
      <c r="C233" s="13"/>
    </row>
    <row r="234" spans="1:3" ht="13" x14ac:dyDescent="0.15">
      <c r="A234" s="10"/>
      <c r="B234" s="13"/>
      <c r="C234" s="13"/>
    </row>
    <row r="235" spans="1:3" ht="13" x14ac:dyDescent="0.15">
      <c r="A235" s="10"/>
      <c r="B235" s="13"/>
      <c r="C235" s="13"/>
    </row>
    <row r="236" spans="1:3" ht="13" x14ac:dyDescent="0.15">
      <c r="A236" s="10"/>
      <c r="B236" s="13"/>
      <c r="C236" s="13"/>
    </row>
    <row r="237" spans="1:3" ht="13" x14ac:dyDescent="0.15">
      <c r="A237" s="10"/>
      <c r="B237" s="13"/>
      <c r="C237" s="13"/>
    </row>
    <row r="238" spans="1:3" ht="13" x14ac:dyDescent="0.15">
      <c r="A238" s="10"/>
      <c r="B238" s="13"/>
      <c r="C238" s="13"/>
    </row>
    <row r="239" spans="1:3" ht="13" x14ac:dyDescent="0.15">
      <c r="A239" s="10"/>
      <c r="B239" s="13"/>
      <c r="C239" s="13"/>
    </row>
    <row r="240" spans="1:3" ht="13" x14ac:dyDescent="0.15">
      <c r="A240" s="10"/>
      <c r="B240" s="13"/>
      <c r="C240" s="13"/>
    </row>
    <row r="241" spans="1:3" ht="13" x14ac:dyDescent="0.15">
      <c r="A241" s="10"/>
      <c r="B241" s="13"/>
      <c r="C241" s="13"/>
    </row>
    <row r="242" spans="1:3" ht="13" x14ac:dyDescent="0.15">
      <c r="A242" s="10"/>
      <c r="B242" s="13"/>
      <c r="C242" s="13"/>
    </row>
    <row r="243" spans="1:3" ht="13" x14ac:dyDescent="0.15">
      <c r="A243" s="10"/>
      <c r="B243" s="13"/>
      <c r="C243" s="13"/>
    </row>
    <row r="244" spans="1:3" ht="13" x14ac:dyDescent="0.15">
      <c r="A244" s="10"/>
      <c r="B244" s="13"/>
      <c r="C244" s="13"/>
    </row>
    <row r="245" spans="1:3" ht="13" x14ac:dyDescent="0.15">
      <c r="A245" s="10"/>
      <c r="B245" s="13"/>
      <c r="C245" s="13"/>
    </row>
    <row r="246" spans="1:3" ht="13" x14ac:dyDescent="0.15">
      <c r="A246" s="10"/>
      <c r="B246" s="13"/>
      <c r="C246" s="13"/>
    </row>
    <row r="247" spans="1:3" ht="13" x14ac:dyDescent="0.15">
      <c r="A247" s="10"/>
      <c r="B247" s="13"/>
      <c r="C247" s="13"/>
    </row>
    <row r="248" spans="1:3" ht="13" x14ac:dyDescent="0.15">
      <c r="A248" s="10"/>
      <c r="B248" s="13"/>
      <c r="C248" s="13"/>
    </row>
    <row r="249" spans="1:3" ht="13" x14ac:dyDescent="0.15">
      <c r="A249" s="10"/>
      <c r="B249" s="13"/>
      <c r="C249" s="13"/>
    </row>
    <row r="250" spans="1:3" ht="13" x14ac:dyDescent="0.15">
      <c r="A250" s="10"/>
      <c r="B250" s="13"/>
      <c r="C250" s="13"/>
    </row>
    <row r="251" spans="1:3" ht="13" x14ac:dyDescent="0.15">
      <c r="A251" s="10"/>
      <c r="B251" s="13"/>
      <c r="C251" s="13"/>
    </row>
    <row r="252" spans="1:3" ht="13" x14ac:dyDescent="0.15">
      <c r="A252" s="10"/>
      <c r="B252" s="13"/>
      <c r="C252" s="13"/>
    </row>
    <row r="253" spans="1:3" ht="13" x14ac:dyDescent="0.15">
      <c r="A253" s="10"/>
      <c r="B253" s="13"/>
      <c r="C253" s="13"/>
    </row>
    <row r="254" spans="1:3" ht="13" x14ac:dyDescent="0.15">
      <c r="A254" s="10"/>
      <c r="B254" s="13"/>
      <c r="C254" s="13"/>
    </row>
    <row r="255" spans="1:3" ht="13" x14ac:dyDescent="0.15">
      <c r="A255" s="10"/>
      <c r="B255" s="13"/>
      <c r="C255" s="13"/>
    </row>
    <row r="256" spans="1:3" ht="13" x14ac:dyDescent="0.15">
      <c r="A256" s="10"/>
      <c r="B256" s="13"/>
      <c r="C256" s="13"/>
    </row>
    <row r="257" spans="1:3" ht="13" x14ac:dyDescent="0.15">
      <c r="A257" s="10"/>
      <c r="B257" s="13"/>
      <c r="C257" s="13"/>
    </row>
    <row r="258" spans="1:3" ht="13" x14ac:dyDescent="0.15">
      <c r="A258" s="10"/>
      <c r="B258" s="13"/>
      <c r="C258" s="13"/>
    </row>
    <row r="259" spans="1:3" ht="13" x14ac:dyDescent="0.15">
      <c r="A259" s="10"/>
      <c r="B259" s="13"/>
      <c r="C259" s="13"/>
    </row>
    <row r="260" spans="1:3" ht="13" x14ac:dyDescent="0.15">
      <c r="A260" s="10"/>
      <c r="B260" s="13"/>
      <c r="C260" s="13"/>
    </row>
    <row r="261" spans="1:3" ht="13" x14ac:dyDescent="0.15">
      <c r="A261" s="10"/>
      <c r="B261" s="13"/>
      <c r="C261" s="13"/>
    </row>
    <row r="262" spans="1:3" ht="13" x14ac:dyDescent="0.15">
      <c r="A262" s="10"/>
      <c r="B262" s="13"/>
      <c r="C262" s="13"/>
    </row>
    <row r="263" spans="1:3" ht="13" x14ac:dyDescent="0.15">
      <c r="A263" s="10"/>
      <c r="B263" s="13"/>
      <c r="C263" s="13"/>
    </row>
    <row r="264" spans="1:3" ht="13" x14ac:dyDescent="0.15">
      <c r="A264" s="10"/>
      <c r="B264" s="13"/>
      <c r="C264" s="13"/>
    </row>
    <row r="265" spans="1:3" ht="13" x14ac:dyDescent="0.15">
      <c r="A265" s="10"/>
      <c r="B265" s="13"/>
      <c r="C265" s="13"/>
    </row>
    <row r="266" spans="1:3" ht="13" x14ac:dyDescent="0.15">
      <c r="A266" s="10"/>
      <c r="B266" s="13"/>
      <c r="C266" s="13"/>
    </row>
    <row r="267" spans="1:3" ht="13" x14ac:dyDescent="0.15">
      <c r="A267" s="10"/>
      <c r="B267" s="13"/>
      <c r="C267" s="13"/>
    </row>
    <row r="268" spans="1:3" ht="13" x14ac:dyDescent="0.15">
      <c r="A268" s="10"/>
      <c r="B268" s="13"/>
      <c r="C268" s="13"/>
    </row>
    <row r="269" spans="1:3" ht="13" x14ac:dyDescent="0.15">
      <c r="A269" s="10"/>
      <c r="B269" s="13"/>
      <c r="C269" s="13"/>
    </row>
    <row r="270" spans="1:3" ht="13" x14ac:dyDescent="0.15">
      <c r="A270" s="10"/>
      <c r="B270" s="13"/>
      <c r="C270" s="13"/>
    </row>
    <row r="271" spans="1:3" ht="13" x14ac:dyDescent="0.15">
      <c r="A271" s="10"/>
      <c r="B271" s="13"/>
      <c r="C271" s="13"/>
    </row>
    <row r="272" spans="1:3" ht="13" x14ac:dyDescent="0.15">
      <c r="A272" s="10"/>
      <c r="B272" s="13"/>
      <c r="C272" s="13"/>
    </row>
    <row r="273" spans="1:3" ht="13" x14ac:dyDescent="0.15">
      <c r="A273" s="10"/>
      <c r="B273" s="13"/>
      <c r="C273" s="13"/>
    </row>
    <row r="274" spans="1:3" ht="13" x14ac:dyDescent="0.15">
      <c r="A274" s="10"/>
      <c r="B274" s="13"/>
      <c r="C274" s="13"/>
    </row>
    <row r="275" spans="1:3" ht="13" x14ac:dyDescent="0.15">
      <c r="A275" s="10"/>
      <c r="B275" s="13"/>
      <c r="C275" s="13"/>
    </row>
    <row r="276" spans="1:3" ht="13" x14ac:dyDescent="0.15">
      <c r="A276" s="10"/>
      <c r="B276" s="13"/>
      <c r="C276" s="13"/>
    </row>
    <row r="277" spans="1:3" ht="13" x14ac:dyDescent="0.15">
      <c r="A277" s="10"/>
      <c r="B277" s="13"/>
      <c r="C277" s="13"/>
    </row>
    <row r="278" spans="1:3" ht="13" x14ac:dyDescent="0.15">
      <c r="A278" s="10"/>
      <c r="B278" s="13"/>
      <c r="C278" s="13"/>
    </row>
    <row r="279" spans="1:3" ht="13" x14ac:dyDescent="0.15">
      <c r="A279" s="10"/>
      <c r="B279" s="13"/>
      <c r="C279" s="13"/>
    </row>
    <row r="280" spans="1:3" ht="13" x14ac:dyDescent="0.15">
      <c r="A280" s="10"/>
      <c r="B280" s="13"/>
      <c r="C280" s="13"/>
    </row>
    <row r="281" spans="1:3" ht="13" x14ac:dyDescent="0.15">
      <c r="A281" s="10"/>
      <c r="B281" s="13"/>
      <c r="C281" s="13"/>
    </row>
    <row r="282" spans="1:3" ht="13" x14ac:dyDescent="0.15">
      <c r="A282" s="10"/>
      <c r="B282" s="13"/>
      <c r="C282" s="13"/>
    </row>
    <row r="283" spans="1:3" ht="13" x14ac:dyDescent="0.15">
      <c r="A283" s="10"/>
      <c r="B283" s="13"/>
      <c r="C283" s="13"/>
    </row>
    <row r="284" spans="1:3" ht="13" x14ac:dyDescent="0.15">
      <c r="A284" s="10"/>
      <c r="B284" s="13"/>
      <c r="C284" s="13"/>
    </row>
    <row r="285" spans="1:3" ht="13" x14ac:dyDescent="0.15">
      <c r="A285" s="10"/>
      <c r="B285" s="13"/>
      <c r="C285" s="13"/>
    </row>
    <row r="286" spans="1:3" ht="13" x14ac:dyDescent="0.15">
      <c r="A286" s="10"/>
      <c r="B286" s="13"/>
      <c r="C286" s="13"/>
    </row>
    <row r="287" spans="1:3" ht="13" x14ac:dyDescent="0.15">
      <c r="A287" s="10"/>
      <c r="B287" s="13"/>
      <c r="C287" s="13"/>
    </row>
    <row r="288" spans="1:3" ht="13" x14ac:dyDescent="0.15">
      <c r="A288" s="10"/>
      <c r="B288" s="13"/>
      <c r="C288" s="13"/>
    </row>
    <row r="289" spans="1:3" ht="13" x14ac:dyDescent="0.15">
      <c r="A289" s="10"/>
      <c r="B289" s="13"/>
      <c r="C289" s="13"/>
    </row>
    <row r="290" spans="1:3" ht="13" x14ac:dyDescent="0.15">
      <c r="A290" s="10"/>
      <c r="B290" s="13"/>
      <c r="C290" s="13"/>
    </row>
    <row r="291" spans="1:3" ht="13" x14ac:dyDescent="0.15">
      <c r="A291" s="10"/>
      <c r="B291" s="13"/>
      <c r="C291" s="13"/>
    </row>
    <row r="292" spans="1:3" ht="13" x14ac:dyDescent="0.15">
      <c r="A292" s="10"/>
      <c r="B292" s="13"/>
      <c r="C292" s="13"/>
    </row>
    <row r="293" spans="1:3" ht="13" x14ac:dyDescent="0.15">
      <c r="A293" s="10"/>
      <c r="B293" s="13"/>
      <c r="C293" s="13"/>
    </row>
    <row r="294" spans="1:3" ht="13" x14ac:dyDescent="0.15">
      <c r="A294" s="10"/>
      <c r="B294" s="13"/>
      <c r="C294" s="13"/>
    </row>
    <row r="295" spans="1:3" ht="13" x14ac:dyDescent="0.15">
      <c r="A295" s="10"/>
      <c r="B295" s="13"/>
      <c r="C295" s="13"/>
    </row>
    <row r="296" spans="1:3" ht="13" x14ac:dyDescent="0.15">
      <c r="A296" s="10"/>
      <c r="B296" s="13"/>
      <c r="C296" s="13"/>
    </row>
    <row r="297" spans="1:3" ht="13" x14ac:dyDescent="0.15">
      <c r="A297" s="10"/>
      <c r="B297" s="13"/>
      <c r="C297" s="13"/>
    </row>
    <row r="298" spans="1:3" ht="13" x14ac:dyDescent="0.15">
      <c r="A298" s="10"/>
      <c r="B298" s="13"/>
      <c r="C298" s="13"/>
    </row>
    <row r="299" spans="1:3" ht="13" x14ac:dyDescent="0.15">
      <c r="A299" s="10"/>
      <c r="B299" s="13"/>
      <c r="C299" s="13"/>
    </row>
    <row r="300" spans="1:3" ht="13" x14ac:dyDescent="0.15">
      <c r="A300" s="10"/>
      <c r="B300" s="13"/>
      <c r="C300" s="13"/>
    </row>
    <row r="301" spans="1:3" ht="13" x14ac:dyDescent="0.15">
      <c r="A301" s="10"/>
      <c r="B301" s="13"/>
      <c r="C301" s="13"/>
    </row>
    <row r="302" spans="1:3" ht="13" x14ac:dyDescent="0.15">
      <c r="A302" s="10"/>
      <c r="B302" s="13"/>
      <c r="C302" s="13"/>
    </row>
    <row r="303" spans="1:3" ht="13" x14ac:dyDescent="0.15">
      <c r="A303" s="10"/>
      <c r="B303" s="13"/>
      <c r="C303" s="13"/>
    </row>
    <row r="304" spans="1:3" ht="13" x14ac:dyDescent="0.15">
      <c r="A304" s="10"/>
      <c r="B304" s="13"/>
      <c r="C304" s="13"/>
    </row>
    <row r="305" spans="1:3" ht="13" x14ac:dyDescent="0.15">
      <c r="A305" s="10"/>
      <c r="B305" s="13"/>
      <c r="C305" s="13"/>
    </row>
    <row r="306" spans="1:3" ht="13" x14ac:dyDescent="0.15">
      <c r="A306" s="10"/>
      <c r="B306" s="13"/>
      <c r="C306" s="13"/>
    </row>
    <row r="307" spans="1:3" ht="13" x14ac:dyDescent="0.15">
      <c r="A307" s="10"/>
      <c r="B307" s="13"/>
      <c r="C307" s="13"/>
    </row>
    <row r="308" spans="1:3" ht="13" x14ac:dyDescent="0.15">
      <c r="A308" s="10"/>
      <c r="B308" s="13"/>
      <c r="C308" s="13"/>
    </row>
    <row r="309" spans="1:3" ht="13" x14ac:dyDescent="0.15">
      <c r="A309" s="10"/>
      <c r="B309" s="13"/>
      <c r="C309" s="13"/>
    </row>
    <row r="310" spans="1:3" ht="13" x14ac:dyDescent="0.15">
      <c r="A310" s="10"/>
      <c r="B310" s="13"/>
      <c r="C310" s="13"/>
    </row>
    <row r="311" spans="1:3" ht="13" x14ac:dyDescent="0.15">
      <c r="A311" s="10"/>
      <c r="B311" s="13"/>
      <c r="C311" s="13"/>
    </row>
    <row r="312" spans="1:3" ht="13" x14ac:dyDescent="0.15">
      <c r="A312" s="10"/>
      <c r="B312" s="13"/>
      <c r="C312" s="13"/>
    </row>
    <row r="313" spans="1:3" ht="13" x14ac:dyDescent="0.15">
      <c r="A313" s="10"/>
      <c r="B313" s="13"/>
      <c r="C313" s="13"/>
    </row>
    <row r="314" spans="1:3" ht="13" x14ac:dyDescent="0.15">
      <c r="A314" s="10"/>
      <c r="B314" s="13"/>
      <c r="C314" s="13"/>
    </row>
    <row r="315" spans="1:3" ht="13" x14ac:dyDescent="0.15">
      <c r="A315" s="10"/>
      <c r="B315" s="13"/>
      <c r="C315" s="13"/>
    </row>
    <row r="316" spans="1:3" ht="13" x14ac:dyDescent="0.15">
      <c r="A316" s="10"/>
      <c r="B316" s="13"/>
      <c r="C316" s="13"/>
    </row>
    <row r="317" spans="1:3" ht="13" x14ac:dyDescent="0.15">
      <c r="A317" s="10"/>
      <c r="B317" s="13"/>
      <c r="C317" s="13"/>
    </row>
    <row r="318" spans="1:3" ht="13" x14ac:dyDescent="0.15">
      <c r="A318" s="10"/>
      <c r="B318" s="13"/>
      <c r="C318" s="13"/>
    </row>
    <row r="319" spans="1:3" ht="13" x14ac:dyDescent="0.15">
      <c r="A319" s="10"/>
      <c r="B319" s="13"/>
      <c r="C319" s="13"/>
    </row>
    <row r="320" spans="1:3" ht="13" x14ac:dyDescent="0.15">
      <c r="A320" s="10"/>
      <c r="B320" s="13"/>
      <c r="C320" s="13"/>
    </row>
    <row r="321" spans="1:3" ht="13" x14ac:dyDescent="0.15">
      <c r="A321" s="10"/>
      <c r="B321" s="13"/>
      <c r="C321" s="13"/>
    </row>
    <row r="322" spans="1:3" ht="13" x14ac:dyDescent="0.15">
      <c r="A322" s="10"/>
      <c r="B322" s="13"/>
      <c r="C322" s="13"/>
    </row>
    <row r="323" spans="1:3" ht="13" x14ac:dyDescent="0.15">
      <c r="A323" s="10"/>
      <c r="B323" s="13"/>
      <c r="C323" s="13"/>
    </row>
    <row r="324" spans="1:3" ht="13" x14ac:dyDescent="0.15">
      <c r="A324" s="10"/>
      <c r="B324" s="13"/>
      <c r="C324" s="13"/>
    </row>
    <row r="325" spans="1:3" ht="13" x14ac:dyDescent="0.15">
      <c r="A325" s="10"/>
      <c r="B325" s="13"/>
      <c r="C325" s="13"/>
    </row>
    <row r="326" spans="1:3" ht="13" x14ac:dyDescent="0.15">
      <c r="A326" s="10"/>
      <c r="B326" s="13"/>
      <c r="C326" s="13"/>
    </row>
    <row r="327" spans="1:3" ht="13" x14ac:dyDescent="0.15">
      <c r="A327" s="10"/>
      <c r="B327" s="13"/>
      <c r="C327" s="13"/>
    </row>
    <row r="328" spans="1:3" ht="13" x14ac:dyDescent="0.15">
      <c r="A328" s="10"/>
      <c r="B328" s="13"/>
      <c r="C328" s="13"/>
    </row>
    <row r="329" spans="1:3" ht="13" x14ac:dyDescent="0.15">
      <c r="A329" s="10"/>
      <c r="B329" s="13"/>
      <c r="C329" s="13"/>
    </row>
    <row r="330" spans="1:3" ht="13" x14ac:dyDescent="0.15">
      <c r="A330" s="10"/>
      <c r="B330" s="13"/>
      <c r="C330" s="13"/>
    </row>
    <row r="331" spans="1:3" ht="13" x14ac:dyDescent="0.15">
      <c r="A331" s="10"/>
      <c r="B331" s="13"/>
      <c r="C331" s="13"/>
    </row>
    <row r="332" spans="1:3" ht="13" x14ac:dyDescent="0.15">
      <c r="A332" s="10"/>
      <c r="B332" s="13"/>
      <c r="C332" s="13"/>
    </row>
    <row r="333" spans="1:3" ht="13" x14ac:dyDescent="0.15">
      <c r="A333" s="10"/>
      <c r="B333" s="13"/>
      <c r="C333" s="13"/>
    </row>
    <row r="334" spans="1:3" ht="13" x14ac:dyDescent="0.15">
      <c r="A334" s="10"/>
      <c r="B334" s="13"/>
      <c r="C334" s="13"/>
    </row>
    <row r="335" spans="1:3" ht="13" x14ac:dyDescent="0.15">
      <c r="A335" s="10"/>
      <c r="B335" s="13"/>
      <c r="C335" s="13"/>
    </row>
    <row r="336" spans="1:3" ht="13" x14ac:dyDescent="0.15">
      <c r="A336" s="10"/>
      <c r="B336" s="13"/>
      <c r="C336" s="13"/>
    </row>
    <row r="337" spans="1:3" ht="13" x14ac:dyDescent="0.15">
      <c r="A337" s="10"/>
      <c r="B337" s="13"/>
      <c r="C337" s="13"/>
    </row>
    <row r="338" spans="1:3" ht="13" x14ac:dyDescent="0.15">
      <c r="A338" s="10"/>
      <c r="B338" s="13"/>
      <c r="C338" s="13"/>
    </row>
    <row r="339" spans="1:3" ht="13" x14ac:dyDescent="0.15">
      <c r="A339" s="10"/>
      <c r="B339" s="13"/>
      <c r="C339" s="13"/>
    </row>
    <row r="340" spans="1:3" ht="13" x14ac:dyDescent="0.15">
      <c r="A340" s="10"/>
      <c r="B340" s="13"/>
      <c r="C340" s="13"/>
    </row>
    <row r="341" spans="1:3" ht="13" x14ac:dyDescent="0.15">
      <c r="A341" s="10"/>
      <c r="B341" s="13"/>
      <c r="C341" s="13"/>
    </row>
    <row r="342" spans="1:3" ht="13" x14ac:dyDescent="0.15">
      <c r="A342" s="10"/>
      <c r="B342" s="13"/>
      <c r="C342" s="13"/>
    </row>
    <row r="343" spans="1:3" ht="13" x14ac:dyDescent="0.15">
      <c r="A343" s="10"/>
      <c r="B343" s="13"/>
      <c r="C343" s="13"/>
    </row>
    <row r="344" spans="1:3" ht="13" x14ac:dyDescent="0.15">
      <c r="A344" s="10"/>
      <c r="B344" s="13"/>
      <c r="C344" s="13"/>
    </row>
    <row r="345" spans="1:3" ht="13" x14ac:dyDescent="0.15">
      <c r="A345" s="10"/>
      <c r="B345" s="13"/>
      <c r="C345" s="13"/>
    </row>
    <row r="346" spans="1:3" ht="13" x14ac:dyDescent="0.15">
      <c r="A346" s="10"/>
      <c r="B346" s="13"/>
      <c r="C346" s="13"/>
    </row>
    <row r="347" spans="1:3" ht="13" x14ac:dyDescent="0.15">
      <c r="A347" s="10"/>
      <c r="B347" s="13"/>
      <c r="C347" s="13"/>
    </row>
    <row r="348" spans="1:3" ht="13" x14ac:dyDescent="0.15">
      <c r="A348" s="10"/>
      <c r="B348" s="13"/>
      <c r="C348" s="13"/>
    </row>
    <row r="349" spans="1:3" ht="13" x14ac:dyDescent="0.15">
      <c r="A349" s="10"/>
      <c r="B349" s="13"/>
      <c r="C349" s="13"/>
    </row>
    <row r="350" spans="1:3" ht="13" x14ac:dyDescent="0.15">
      <c r="A350" s="10"/>
      <c r="B350" s="13"/>
      <c r="C350" s="13"/>
    </row>
    <row r="351" spans="1:3" ht="13" x14ac:dyDescent="0.15">
      <c r="A351" s="10"/>
      <c r="B351" s="13"/>
      <c r="C351" s="13"/>
    </row>
    <row r="352" spans="1:3" ht="13" x14ac:dyDescent="0.15">
      <c r="A352" s="10"/>
      <c r="B352" s="13"/>
      <c r="C352" s="13"/>
    </row>
    <row r="353" spans="1:3" ht="13" x14ac:dyDescent="0.15">
      <c r="A353" s="10"/>
      <c r="B353" s="13"/>
      <c r="C353" s="13"/>
    </row>
    <row r="354" spans="1:3" ht="13" x14ac:dyDescent="0.15">
      <c r="A354" s="10"/>
      <c r="B354" s="13"/>
      <c r="C354" s="13"/>
    </row>
    <row r="355" spans="1:3" ht="13" x14ac:dyDescent="0.15">
      <c r="A355" s="10"/>
      <c r="B355" s="13"/>
      <c r="C355" s="13"/>
    </row>
    <row r="356" spans="1:3" ht="13" x14ac:dyDescent="0.15">
      <c r="A356" s="10"/>
      <c r="B356" s="13"/>
      <c r="C356" s="13"/>
    </row>
    <row r="357" spans="1:3" ht="13" x14ac:dyDescent="0.15">
      <c r="A357" s="10"/>
      <c r="B357" s="13"/>
      <c r="C357" s="13"/>
    </row>
    <row r="358" spans="1:3" ht="13" x14ac:dyDescent="0.15">
      <c r="A358" s="10"/>
      <c r="B358" s="13"/>
      <c r="C358" s="13"/>
    </row>
    <row r="359" spans="1:3" ht="13" x14ac:dyDescent="0.15">
      <c r="A359" s="10"/>
      <c r="B359" s="13"/>
      <c r="C359" s="13"/>
    </row>
    <row r="360" spans="1:3" ht="13" x14ac:dyDescent="0.15">
      <c r="A360" s="10"/>
      <c r="B360" s="13"/>
      <c r="C360" s="13"/>
    </row>
    <row r="361" spans="1:3" ht="13" x14ac:dyDescent="0.15">
      <c r="A361" s="10"/>
      <c r="B361" s="13"/>
      <c r="C361" s="13"/>
    </row>
    <row r="362" spans="1:3" ht="13" x14ac:dyDescent="0.15">
      <c r="A362" s="10"/>
      <c r="B362" s="13"/>
      <c r="C362" s="13"/>
    </row>
    <row r="363" spans="1:3" ht="13" x14ac:dyDescent="0.15">
      <c r="A363" s="10"/>
      <c r="B363" s="13"/>
      <c r="C363" s="13"/>
    </row>
    <row r="364" spans="1:3" ht="13" x14ac:dyDescent="0.15">
      <c r="A364" s="10"/>
      <c r="B364" s="13"/>
      <c r="C364" s="13"/>
    </row>
    <row r="365" spans="1:3" ht="13" x14ac:dyDescent="0.15">
      <c r="A365" s="10"/>
      <c r="B365" s="13"/>
      <c r="C365" s="13"/>
    </row>
    <row r="366" spans="1:3" ht="13" x14ac:dyDescent="0.15">
      <c r="A366" s="10"/>
      <c r="B366" s="13"/>
      <c r="C366" s="13"/>
    </row>
    <row r="367" spans="1:3" ht="13" x14ac:dyDescent="0.15">
      <c r="A367" s="10"/>
      <c r="B367" s="13"/>
      <c r="C367" s="13"/>
    </row>
    <row r="368" spans="1:3" ht="13" x14ac:dyDescent="0.15">
      <c r="A368" s="10"/>
      <c r="B368" s="13"/>
      <c r="C368" s="13"/>
    </row>
    <row r="369" spans="1:3" ht="13" x14ac:dyDescent="0.15">
      <c r="A369" s="10"/>
      <c r="B369" s="13"/>
      <c r="C369" s="13"/>
    </row>
    <row r="370" spans="1:3" ht="13" x14ac:dyDescent="0.15">
      <c r="A370" s="10"/>
      <c r="B370" s="13"/>
      <c r="C370" s="13"/>
    </row>
    <row r="371" spans="1:3" ht="13" x14ac:dyDescent="0.15">
      <c r="A371" s="10"/>
      <c r="B371" s="13"/>
      <c r="C371" s="13"/>
    </row>
    <row r="372" spans="1:3" ht="13" x14ac:dyDescent="0.15">
      <c r="A372" s="10"/>
      <c r="B372" s="13"/>
      <c r="C372" s="13"/>
    </row>
    <row r="373" spans="1:3" ht="13" x14ac:dyDescent="0.15">
      <c r="A373" s="10"/>
      <c r="B373" s="13"/>
      <c r="C373" s="13"/>
    </row>
    <row r="374" spans="1:3" ht="13" x14ac:dyDescent="0.15">
      <c r="A374" s="10"/>
      <c r="B374" s="13"/>
      <c r="C374" s="13"/>
    </row>
    <row r="375" spans="1:3" ht="13" x14ac:dyDescent="0.15">
      <c r="A375" s="10"/>
      <c r="B375" s="13"/>
      <c r="C375" s="13"/>
    </row>
    <row r="376" spans="1:3" ht="13" x14ac:dyDescent="0.15">
      <c r="A376" s="10"/>
      <c r="B376" s="13"/>
      <c r="C376" s="13"/>
    </row>
    <row r="377" spans="1:3" ht="13" x14ac:dyDescent="0.15">
      <c r="A377" s="10"/>
      <c r="B377" s="13"/>
      <c r="C377" s="13"/>
    </row>
    <row r="378" spans="1:3" ht="13" x14ac:dyDescent="0.15">
      <c r="A378" s="10"/>
      <c r="B378" s="13"/>
      <c r="C378" s="13"/>
    </row>
    <row r="379" spans="1:3" ht="13" x14ac:dyDescent="0.15">
      <c r="A379" s="10"/>
      <c r="B379" s="13"/>
      <c r="C379" s="13"/>
    </row>
    <row r="380" spans="1:3" ht="13" x14ac:dyDescent="0.15">
      <c r="A380" s="10"/>
      <c r="B380" s="13"/>
      <c r="C380" s="13"/>
    </row>
    <row r="381" spans="1:3" ht="13" x14ac:dyDescent="0.15">
      <c r="A381" s="10"/>
      <c r="B381" s="13"/>
      <c r="C381" s="13"/>
    </row>
    <row r="382" spans="1:3" ht="13" x14ac:dyDescent="0.15">
      <c r="A382" s="10"/>
      <c r="B382" s="13"/>
      <c r="C382" s="13"/>
    </row>
    <row r="383" spans="1:3" ht="13" x14ac:dyDescent="0.15">
      <c r="A383" s="10"/>
      <c r="B383" s="13"/>
      <c r="C383" s="13"/>
    </row>
    <row r="384" spans="1:3" ht="13" x14ac:dyDescent="0.15">
      <c r="A384" s="10"/>
      <c r="B384" s="13"/>
      <c r="C384" s="13"/>
    </row>
    <row r="385" spans="1:3" ht="13" x14ac:dyDescent="0.15">
      <c r="A385" s="10"/>
      <c r="B385" s="13"/>
      <c r="C385" s="13"/>
    </row>
    <row r="386" spans="1:3" ht="13" x14ac:dyDescent="0.15">
      <c r="A386" s="10"/>
      <c r="B386" s="13"/>
      <c r="C386" s="13"/>
    </row>
    <row r="387" spans="1:3" ht="13" x14ac:dyDescent="0.15">
      <c r="A387" s="10"/>
      <c r="B387" s="13"/>
      <c r="C387" s="13"/>
    </row>
    <row r="388" spans="1:3" ht="13" x14ac:dyDescent="0.15">
      <c r="A388" s="10"/>
      <c r="B388" s="13"/>
      <c r="C388" s="13"/>
    </row>
    <row r="389" spans="1:3" ht="13" x14ac:dyDescent="0.15">
      <c r="A389" s="10"/>
      <c r="B389" s="13"/>
      <c r="C389" s="13"/>
    </row>
    <row r="390" spans="1:3" ht="13" x14ac:dyDescent="0.15">
      <c r="A390" s="10"/>
      <c r="B390" s="13"/>
      <c r="C390" s="13"/>
    </row>
    <row r="391" spans="1:3" ht="13" x14ac:dyDescent="0.15">
      <c r="A391" s="10"/>
      <c r="B391" s="13"/>
      <c r="C391" s="13"/>
    </row>
    <row r="392" spans="1:3" ht="13" x14ac:dyDescent="0.15">
      <c r="A392" s="10"/>
      <c r="B392" s="13"/>
      <c r="C392" s="13"/>
    </row>
    <row r="393" spans="1:3" ht="13" x14ac:dyDescent="0.15">
      <c r="A393" s="10"/>
      <c r="B393" s="13"/>
      <c r="C393" s="13"/>
    </row>
    <row r="394" spans="1:3" ht="13" x14ac:dyDescent="0.15">
      <c r="A394" s="10"/>
      <c r="B394" s="13"/>
      <c r="C394" s="13"/>
    </row>
    <row r="395" spans="1:3" ht="13" x14ac:dyDescent="0.15">
      <c r="A395" s="10"/>
      <c r="B395" s="13"/>
      <c r="C395" s="13"/>
    </row>
    <row r="396" spans="1:3" ht="13" x14ac:dyDescent="0.15">
      <c r="A396" s="10"/>
      <c r="B396" s="13"/>
      <c r="C396" s="13"/>
    </row>
    <row r="397" spans="1:3" ht="13" x14ac:dyDescent="0.15">
      <c r="A397" s="10"/>
      <c r="B397" s="13"/>
      <c r="C397" s="13"/>
    </row>
    <row r="398" spans="1:3" ht="13" x14ac:dyDescent="0.15">
      <c r="A398" s="10"/>
      <c r="B398" s="13"/>
      <c r="C398" s="13"/>
    </row>
    <row r="399" spans="1:3" ht="13" x14ac:dyDescent="0.15">
      <c r="A399" s="10"/>
      <c r="B399" s="13"/>
      <c r="C399" s="13"/>
    </row>
    <row r="400" spans="1:3" ht="13" x14ac:dyDescent="0.15">
      <c r="A400" s="10"/>
      <c r="B400" s="13"/>
      <c r="C400" s="13"/>
    </row>
    <row r="401" spans="1:3" ht="13" x14ac:dyDescent="0.15">
      <c r="A401" s="10"/>
      <c r="B401" s="13"/>
      <c r="C401" s="13"/>
    </row>
    <row r="402" spans="1:3" ht="13" x14ac:dyDescent="0.15">
      <c r="A402" s="10"/>
      <c r="B402" s="13"/>
      <c r="C402" s="13"/>
    </row>
    <row r="403" spans="1:3" ht="13" x14ac:dyDescent="0.15">
      <c r="A403" s="10"/>
      <c r="B403" s="13"/>
      <c r="C403" s="13"/>
    </row>
    <row r="404" spans="1:3" ht="13" x14ac:dyDescent="0.15">
      <c r="A404" s="10"/>
      <c r="B404" s="13"/>
      <c r="C404" s="13"/>
    </row>
    <row r="405" spans="1:3" ht="13" x14ac:dyDescent="0.15">
      <c r="A405" s="10"/>
      <c r="B405" s="13"/>
      <c r="C405" s="13"/>
    </row>
    <row r="406" spans="1:3" ht="13" x14ac:dyDescent="0.15">
      <c r="A406" s="10"/>
      <c r="B406" s="13"/>
      <c r="C406" s="13"/>
    </row>
    <row r="407" spans="1:3" ht="13" x14ac:dyDescent="0.15">
      <c r="A407" s="10"/>
      <c r="B407" s="13"/>
      <c r="C407" s="13"/>
    </row>
    <row r="408" spans="1:3" ht="13" x14ac:dyDescent="0.15">
      <c r="A408" s="10"/>
      <c r="B408" s="13"/>
      <c r="C408" s="13"/>
    </row>
    <row r="409" spans="1:3" ht="13" x14ac:dyDescent="0.15">
      <c r="A409" s="10"/>
      <c r="B409" s="13"/>
      <c r="C409" s="13"/>
    </row>
    <row r="410" spans="1:3" ht="13" x14ac:dyDescent="0.15">
      <c r="A410" s="10"/>
      <c r="B410" s="13"/>
      <c r="C410" s="13"/>
    </row>
    <row r="411" spans="1:3" ht="13" x14ac:dyDescent="0.15">
      <c r="A411" s="10"/>
      <c r="B411" s="13"/>
      <c r="C411" s="13"/>
    </row>
    <row r="412" spans="1:3" ht="13" x14ac:dyDescent="0.15">
      <c r="A412" s="10"/>
      <c r="B412" s="13"/>
      <c r="C412" s="13"/>
    </row>
    <row r="413" spans="1:3" ht="13" x14ac:dyDescent="0.15">
      <c r="A413" s="10"/>
      <c r="B413" s="13"/>
      <c r="C413" s="13"/>
    </row>
    <row r="414" spans="1:3" ht="13" x14ac:dyDescent="0.15">
      <c r="A414" s="10"/>
      <c r="B414" s="13"/>
      <c r="C414" s="13"/>
    </row>
    <row r="415" spans="1:3" ht="13" x14ac:dyDescent="0.15">
      <c r="A415" s="10"/>
      <c r="B415" s="13"/>
      <c r="C415" s="13"/>
    </row>
    <row r="416" spans="1:3" ht="13" x14ac:dyDescent="0.15">
      <c r="A416" s="10"/>
      <c r="B416" s="13"/>
      <c r="C416" s="13"/>
    </row>
    <row r="417" spans="1:3" ht="13" x14ac:dyDescent="0.15">
      <c r="A417" s="10"/>
      <c r="B417" s="13"/>
      <c r="C417" s="13"/>
    </row>
    <row r="418" spans="1:3" ht="13" x14ac:dyDescent="0.15">
      <c r="A418" s="10"/>
      <c r="B418" s="13"/>
      <c r="C418" s="13"/>
    </row>
    <row r="419" spans="1:3" ht="13" x14ac:dyDescent="0.15">
      <c r="A419" s="10"/>
      <c r="B419" s="13"/>
      <c r="C419" s="13"/>
    </row>
    <row r="420" spans="1:3" ht="13" x14ac:dyDescent="0.15">
      <c r="A420" s="10"/>
      <c r="B420" s="13"/>
      <c r="C420" s="13"/>
    </row>
    <row r="421" spans="1:3" ht="13" x14ac:dyDescent="0.15">
      <c r="A421" s="10"/>
      <c r="B421" s="13"/>
      <c r="C421" s="13"/>
    </row>
    <row r="422" spans="1:3" ht="13" x14ac:dyDescent="0.15">
      <c r="A422" s="10"/>
      <c r="B422" s="13"/>
      <c r="C422" s="13"/>
    </row>
    <row r="423" spans="1:3" ht="13" x14ac:dyDescent="0.15">
      <c r="A423" s="10"/>
      <c r="B423" s="13"/>
      <c r="C423" s="13"/>
    </row>
    <row r="424" spans="1:3" ht="13" x14ac:dyDescent="0.15">
      <c r="A424" s="10"/>
      <c r="B424" s="13"/>
      <c r="C424" s="13"/>
    </row>
    <row r="425" spans="1:3" ht="13" x14ac:dyDescent="0.15">
      <c r="A425" s="10"/>
      <c r="B425" s="13"/>
      <c r="C425" s="13"/>
    </row>
    <row r="426" spans="1:3" ht="13" x14ac:dyDescent="0.15">
      <c r="A426" s="10"/>
      <c r="B426" s="13"/>
      <c r="C426" s="13"/>
    </row>
    <row r="427" spans="1:3" ht="13" x14ac:dyDescent="0.15">
      <c r="A427" s="10"/>
      <c r="B427" s="13"/>
      <c r="C427" s="13"/>
    </row>
    <row r="428" spans="1:3" ht="13" x14ac:dyDescent="0.15">
      <c r="A428" s="10"/>
      <c r="B428" s="13"/>
      <c r="C428" s="13"/>
    </row>
    <row r="429" spans="1:3" ht="13" x14ac:dyDescent="0.15">
      <c r="A429" s="10"/>
      <c r="B429" s="13"/>
      <c r="C429" s="13"/>
    </row>
    <row r="430" spans="1:3" ht="13" x14ac:dyDescent="0.15">
      <c r="A430" s="10"/>
      <c r="B430" s="13"/>
      <c r="C430" s="13"/>
    </row>
    <row r="431" spans="1:3" ht="13" x14ac:dyDescent="0.15">
      <c r="A431" s="10"/>
      <c r="B431" s="13"/>
      <c r="C431" s="13"/>
    </row>
    <row r="432" spans="1:3" ht="13" x14ac:dyDescent="0.15">
      <c r="A432" s="10"/>
      <c r="B432" s="13"/>
      <c r="C432" s="13"/>
    </row>
    <row r="433" spans="1:3" ht="13" x14ac:dyDescent="0.15">
      <c r="A433" s="10"/>
      <c r="B433" s="13"/>
      <c r="C433" s="13"/>
    </row>
    <row r="434" spans="1:3" ht="13" x14ac:dyDescent="0.15">
      <c r="A434" s="10"/>
      <c r="B434" s="13"/>
      <c r="C434" s="13"/>
    </row>
    <row r="435" spans="1:3" ht="13" x14ac:dyDescent="0.15">
      <c r="A435" s="10"/>
      <c r="B435" s="13"/>
      <c r="C435" s="13"/>
    </row>
    <row r="436" spans="1:3" ht="13" x14ac:dyDescent="0.15">
      <c r="A436" s="10"/>
      <c r="B436" s="13"/>
      <c r="C436" s="13"/>
    </row>
    <row r="437" spans="1:3" ht="13" x14ac:dyDescent="0.15">
      <c r="A437" s="10"/>
      <c r="B437" s="13"/>
      <c r="C437" s="13"/>
    </row>
    <row r="438" spans="1:3" ht="13" x14ac:dyDescent="0.15">
      <c r="A438" s="10"/>
      <c r="B438" s="13"/>
      <c r="C438" s="13"/>
    </row>
    <row r="439" spans="1:3" ht="13" x14ac:dyDescent="0.15">
      <c r="A439" s="10"/>
      <c r="B439" s="13"/>
      <c r="C439" s="13"/>
    </row>
    <row r="440" spans="1:3" ht="13" x14ac:dyDescent="0.15">
      <c r="A440" s="10"/>
      <c r="B440" s="13"/>
      <c r="C440" s="13"/>
    </row>
    <row r="441" spans="1:3" ht="13" x14ac:dyDescent="0.15">
      <c r="A441" s="10"/>
      <c r="B441" s="13"/>
      <c r="C441" s="13"/>
    </row>
    <row r="442" spans="1:3" ht="13" x14ac:dyDescent="0.15">
      <c r="A442" s="10"/>
      <c r="B442" s="13"/>
      <c r="C442" s="13"/>
    </row>
    <row r="443" spans="1:3" ht="13" x14ac:dyDescent="0.15">
      <c r="A443" s="10"/>
      <c r="B443" s="13"/>
      <c r="C443" s="13"/>
    </row>
    <row r="444" spans="1:3" ht="13" x14ac:dyDescent="0.15">
      <c r="A444" s="10"/>
      <c r="B444" s="13"/>
      <c r="C444" s="13"/>
    </row>
    <row r="445" spans="1:3" ht="13" x14ac:dyDescent="0.15">
      <c r="A445" s="10"/>
      <c r="B445" s="13"/>
      <c r="C445" s="13"/>
    </row>
    <row r="446" spans="1:3" ht="13" x14ac:dyDescent="0.15">
      <c r="A446" s="10"/>
      <c r="B446" s="13"/>
      <c r="C446" s="13"/>
    </row>
    <row r="447" spans="1:3" ht="13" x14ac:dyDescent="0.15">
      <c r="A447" s="10"/>
      <c r="B447" s="13"/>
      <c r="C447" s="13"/>
    </row>
    <row r="448" spans="1:3" ht="13" x14ac:dyDescent="0.15">
      <c r="A448" s="10"/>
      <c r="B448" s="13"/>
      <c r="C448" s="13"/>
    </row>
    <row r="449" spans="1:3" ht="13" x14ac:dyDescent="0.15">
      <c r="A449" s="10"/>
      <c r="B449" s="13"/>
      <c r="C449" s="13"/>
    </row>
    <row r="450" spans="1:3" ht="13" x14ac:dyDescent="0.15">
      <c r="A450" s="10"/>
      <c r="B450" s="13"/>
      <c r="C450" s="13"/>
    </row>
    <row r="451" spans="1:3" ht="13" x14ac:dyDescent="0.15">
      <c r="A451" s="10"/>
      <c r="B451" s="13"/>
      <c r="C451" s="13"/>
    </row>
    <row r="452" spans="1:3" ht="13" x14ac:dyDescent="0.15">
      <c r="A452" s="10"/>
      <c r="B452" s="13"/>
      <c r="C452" s="13"/>
    </row>
    <row r="453" spans="1:3" ht="13" x14ac:dyDescent="0.15">
      <c r="A453" s="10"/>
      <c r="B453" s="13"/>
      <c r="C453" s="13"/>
    </row>
    <row r="454" spans="1:3" ht="13" x14ac:dyDescent="0.15">
      <c r="A454" s="10"/>
      <c r="B454" s="13"/>
      <c r="C454" s="13"/>
    </row>
    <row r="455" spans="1:3" ht="13" x14ac:dyDescent="0.15">
      <c r="A455" s="10"/>
      <c r="B455" s="13"/>
      <c r="C455" s="13"/>
    </row>
    <row r="456" spans="1:3" ht="13" x14ac:dyDescent="0.15">
      <c r="A456" s="10"/>
      <c r="B456" s="13"/>
      <c r="C456" s="13"/>
    </row>
    <row r="457" spans="1:3" ht="13" x14ac:dyDescent="0.15">
      <c r="A457" s="10"/>
      <c r="B457" s="13"/>
      <c r="C457" s="13"/>
    </row>
    <row r="458" spans="1:3" ht="13" x14ac:dyDescent="0.15">
      <c r="A458" s="10"/>
      <c r="B458" s="13"/>
      <c r="C458" s="13"/>
    </row>
    <row r="459" spans="1:3" ht="13" x14ac:dyDescent="0.15">
      <c r="A459" s="10"/>
      <c r="B459" s="13"/>
      <c r="C459" s="13"/>
    </row>
    <row r="460" spans="1:3" ht="13" x14ac:dyDescent="0.15">
      <c r="A460" s="10"/>
      <c r="B460" s="13"/>
      <c r="C460" s="13"/>
    </row>
    <row r="461" spans="1:3" ht="13" x14ac:dyDescent="0.15">
      <c r="A461" s="10"/>
      <c r="B461" s="13"/>
      <c r="C461" s="13"/>
    </row>
    <row r="462" spans="1:3" ht="13" x14ac:dyDescent="0.15">
      <c r="A462" s="10"/>
      <c r="B462" s="13"/>
      <c r="C462" s="13"/>
    </row>
    <row r="463" spans="1:3" ht="13" x14ac:dyDescent="0.15">
      <c r="A463" s="10"/>
      <c r="B463" s="13"/>
      <c r="C463" s="13"/>
    </row>
    <row r="464" spans="1:3" ht="13" x14ac:dyDescent="0.15">
      <c r="A464" s="10"/>
      <c r="B464" s="13"/>
      <c r="C464" s="13"/>
    </row>
    <row r="465" spans="1:3" ht="13" x14ac:dyDescent="0.15">
      <c r="A465" s="10"/>
      <c r="B465" s="13"/>
      <c r="C465" s="13"/>
    </row>
    <row r="466" spans="1:3" ht="13" x14ac:dyDescent="0.15">
      <c r="A466" s="10"/>
      <c r="B466" s="13"/>
      <c r="C466" s="13"/>
    </row>
    <row r="467" spans="1:3" ht="13" x14ac:dyDescent="0.15">
      <c r="A467" s="10"/>
      <c r="B467" s="13"/>
      <c r="C467" s="13"/>
    </row>
    <row r="468" spans="1:3" ht="13" x14ac:dyDescent="0.15">
      <c r="A468" s="10"/>
      <c r="B468" s="13"/>
      <c r="C468" s="13"/>
    </row>
    <row r="469" spans="1:3" ht="13" x14ac:dyDescent="0.15">
      <c r="A469" s="10"/>
      <c r="B469" s="13"/>
      <c r="C469" s="13"/>
    </row>
    <row r="470" spans="1:3" ht="13" x14ac:dyDescent="0.15">
      <c r="A470" s="10"/>
      <c r="B470" s="13"/>
      <c r="C470" s="13"/>
    </row>
    <row r="471" spans="1:3" ht="13" x14ac:dyDescent="0.15">
      <c r="A471" s="10"/>
      <c r="B471" s="13"/>
      <c r="C471" s="13"/>
    </row>
    <row r="472" spans="1:3" ht="13" x14ac:dyDescent="0.15">
      <c r="A472" s="10"/>
      <c r="B472" s="13"/>
      <c r="C472" s="13"/>
    </row>
    <row r="473" spans="1:3" ht="13" x14ac:dyDescent="0.15">
      <c r="A473" s="10"/>
      <c r="B473" s="13"/>
      <c r="C473" s="13"/>
    </row>
    <row r="474" spans="1:3" ht="13" x14ac:dyDescent="0.15">
      <c r="A474" s="10"/>
      <c r="B474" s="13"/>
      <c r="C474" s="13"/>
    </row>
    <row r="475" spans="1:3" ht="13" x14ac:dyDescent="0.15">
      <c r="A475" s="10"/>
      <c r="B475" s="13"/>
      <c r="C475" s="13"/>
    </row>
    <row r="476" spans="1:3" ht="13" x14ac:dyDescent="0.15">
      <c r="A476" s="10"/>
      <c r="B476" s="13"/>
      <c r="C476" s="13"/>
    </row>
    <row r="477" spans="1:3" ht="13" x14ac:dyDescent="0.15">
      <c r="A477" s="10"/>
      <c r="B477" s="13"/>
      <c r="C477" s="13"/>
    </row>
    <row r="478" spans="1:3" ht="13" x14ac:dyDescent="0.15">
      <c r="A478" s="10"/>
      <c r="B478" s="13"/>
      <c r="C478" s="13"/>
    </row>
    <row r="479" spans="1:3" ht="13" x14ac:dyDescent="0.15">
      <c r="A479" s="10"/>
      <c r="B479" s="13"/>
      <c r="C479" s="13"/>
    </row>
    <row r="480" spans="1:3" ht="13" x14ac:dyDescent="0.15">
      <c r="A480" s="10"/>
      <c r="B480" s="13"/>
      <c r="C480" s="13"/>
    </row>
    <row r="481" spans="1:3" ht="13" x14ac:dyDescent="0.15">
      <c r="A481" s="10"/>
      <c r="B481" s="13"/>
      <c r="C481" s="13"/>
    </row>
    <row r="482" spans="1:3" ht="13" x14ac:dyDescent="0.15">
      <c r="A482" s="10"/>
      <c r="B482" s="13"/>
      <c r="C482" s="13"/>
    </row>
    <row r="483" spans="1:3" ht="13" x14ac:dyDescent="0.15">
      <c r="A483" s="10"/>
      <c r="B483" s="13"/>
      <c r="C483" s="13"/>
    </row>
    <row r="484" spans="1:3" ht="13" x14ac:dyDescent="0.15">
      <c r="A484" s="10"/>
      <c r="B484" s="13"/>
      <c r="C484" s="13"/>
    </row>
    <row r="485" spans="1:3" ht="13" x14ac:dyDescent="0.15">
      <c r="A485" s="10"/>
      <c r="B485" s="13"/>
      <c r="C485" s="13"/>
    </row>
    <row r="486" spans="1:3" ht="13" x14ac:dyDescent="0.15">
      <c r="A486" s="10"/>
      <c r="B486" s="13"/>
      <c r="C486" s="13"/>
    </row>
    <row r="487" spans="1:3" ht="13" x14ac:dyDescent="0.15">
      <c r="A487" s="10"/>
      <c r="B487" s="13"/>
      <c r="C487" s="13"/>
    </row>
    <row r="488" spans="1:3" ht="13" x14ac:dyDescent="0.15">
      <c r="A488" s="10"/>
      <c r="B488" s="13"/>
      <c r="C488" s="13"/>
    </row>
    <row r="489" spans="1:3" ht="13" x14ac:dyDescent="0.15">
      <c r="A489" s="10"/>
      <c r="B489" s="13"/>
      <c r="C489" s="13"/>
    </row>
    <row r="490" spans="1:3" ht="13" x14ac:dyDescent="0.15">
      <c r="A490" s="10"/>
      <c r="B490" s="13"/>
      <c r="C490" s="13"/>
    </row>
    <row r="491" spans="1:3" ht="13" x14ac:dyDescent="0.15">
      <c r="A491" s="10"/>
      <c r="B491" s="13"/>
      <c r="C491" s="13"/>
    </row>
    <row r="492" spans="1:3" ht="13" x14ac:dyDescent="0.15">
      <c r="A492" s="10"/>
      <c r="B492" s="13"/>
      <c r="C492" s="13"/>
    </row>
    <row r="493" spans="1:3" ht="13" x14ac:dyDescent="0.15">
      <c r="A493" s="10"/>
      <c r="B493" s="13"/>
      <c r="C493" s="13"/>
    </row>
    <row r="494" spans="1:3" ht="13" x14ac:dyDescent="0.15">
      <c r="A494" s="10"/>
      <c r="B494" s="13"/>
      <c r="C494" s="13"/>
    </row>
    <row r="495" spans="1:3" ht="13" x14ac:dyDescent="0.15">
      <c r="A495" s="10"/>
      <c r="B495" s="13"/>
      <c r="C495" s="13"/>
    </row>
    <row r="496" spans="1:3" ht="13" x14ac:dyDescent="0.15">
      <c r="A496" s="10"/>
      <c r="B496" s="13"/>
      <c r="C496" s="13"/>
    </row>
    <row r="497" spans="1:3" ht="13" x14ac:dyDescent="0.15">
      <c r="A497" s="10"/>
      <c r="B497" s="13"/>
      <c r="C497" s="13"/>
    </row>
    <row r="498" spans="1:3" ht="13" x14ac:dyDescent="0.15">
      <c r="A498" s="10"/>
      <c r="B498" s="13"/>
      <c r="C498" s="13"/>
    </row>
    <row r="499" spans="1:3" ht="13" x14ac:dyDescent="0.15">
      <c r="A499" s="10"/>
      <c r="B499" s="13"/>
      <c r="C499" s="13"/>
    </row>
    <row r="500" spans="1:3" ht="13" x14ac:dyDescent="0.15">
      <c r="A500" s="10"/>
      <c r="B500" s="13"/>
      <c r="C500" s="13"/>
    </row>
    <row r="501" spans="1:3" ht="13" x14ac:dyDescent="0.15">
      <c r="A501" s="10"/>
      <c r="B501" s="13"/>
      <c r="C501" s="13"/>
    </row>
    <row r="502" spans="1:3" ht="13" x14ac:dyDescent="0.15">
      <c r="A502" s="10"/>
      <c r="B502" s="13"/>
      <c r="C502" s="13"/>
    </row>
    <row r="503" spans="1:3" ht="13" x14ac:dyDescent="0.15">
      <c r="A503" s="10"/>
      <c r="B503" s="13"/>
      <c r="C503" s="13"/>
    </row>
    <row r="504" spans="1:3" ht="13" x14ac:dyDescent="0.15">
      <c r="A504" s="10"/>
      <c r="B504" s="13"/>
      <c r="C504" s="13"/>
    </row>
    <row r="505" spans="1:3" ht="13" x14ac:dyDescent="0.15">
      <c r="A505" s="10"/>
      <c r="B505" s="13"/>
      <c r="C505" s="13"/>
    </row>
    <row r="506" spans="1:3" ht="13" x14ac:dyDescent="0.15">
      <c r="A506" s="10"/>
      <c r="B506" s="13"/>
      <c r="C506" s="13"/>
    </row>
    <row r="507" spans="1:3" ht="13" x14ac:dyDescent="0.15">
      <c r="A507" s="10"/>
      <c r="B507" s="13"/>
      <c r="C507" s="13"/>
    </row>
    <row r="508" spans="1:3" ht="13" x14ac:dyDescent="0.15">
      <c r="A508" s="10"/>
      <c r="B508" s="13"/>
      <c r="C508" s="13"/>
    </row>
    <row r="509" spans="1:3" ht="13" x14ac:dyDescent="0.15">
      <c r="A509" s="10"/>
      <c r="B509" s="13"/>
      <c r="C509" s="13"/>
    </row>
    <row r="510" spans="1:3" ht="13" x14ac:dyDescent="0.15">
      <c r="A510" s="10"/>
      <c r="B510" s="13"/>
      <c r="C510" s="13"/>
    </row>
    <row r="511" spans="1:3" ht="13" x14ac:dyDescent="0.15">
      <c r="A511" s="10"/>
      <c r="B511" s="13"/>
      <c r="C511" s="13"/>
    </row>
    <row r="512" spans="1:3" ht="13" x14ac:dyDescent="0.15">
      <c r="A512" s="10"/>
      <c r="B512" s="13"/>
      <c r="C512" s="13"/>
    </row>
    <row r="513" spans="1:3" ht="13" x14ac:dyDescent="0.15">
      <c r="A513" s="10"/>
      <c r="B513" s="13"/>
      <c r="C513" s="13"/>
    </row>
    <row r="514" spans="1:3" ht="13" x14ac:dyDescent="0.15">
      <c r="A514" s="10"/>
      <c r="B514" s="13"/>
      <c r="C514" s="13"/>
    </row>
    <row r="515" spans="1:3" ht="13" x14ac:dyDescent="0.15">
      <c r="A515" s="10"/>
      <c r="B515" s="13"/>
      <c r="C515" s="13"/>
    </row>
    <row r="516" spans="1:3" ht="13" x14ac:dyDescent="0.15">
      <c r="A516" s="10"/>
      <c r="B516" s="13"/>
      <c r="C516" s="13"/>
    </row>
    <row r="517" spans="1:3" ht="13" x14ac:dyDescent="0.15">
      <c r="A517" s="10"/>
      <c r="B517" s="13"/>
      <c r="C517" s="13"/>
    </row>
    <row r="518" spans="1:3" ht="13" x14ac:dyDescent="0.15">
      <c r="A518" s="10"/>
      <c r="B518" s="13"/>
      <c r="C518" s="13"/>
    </row>
    <row r="519" spans="1:3" ht="13" x14ac:dyDescent="0.15">
      <c r="A519" s="10"/>
      <c r="B519" s="13"/>
      <c r="C519" s="13"/>
    </row>
    <row r="520" spans="1:3" ht="13" x14ac:dyDescent="0.15">
      <c r="A520" s="10"/>
      <c r="B520" s="13"/>
      <c r="C520" s="13"/>
    </row>
    <row r="521" spans="1:3" ht="13" x14ac:dyDescent="0.15">
      <c r="A521" s="10"/>
      <c r="B521" s="13"/>
      <c r="C521" s="13"/>
    </row>
    <row r="522" spans="1:3" ht="13" x14ac:dyDescent="0.15">
      <c r="A522" s="10"/>
      <c r="B522" s="13"/>
      <c r="C522" s="13"/>
    </row>
    <row r="523" spans="1:3" ht="13" x14ac:dyDescent="0.15">
      <c r="A523" s="10"/>
      <c r="B523" s="13"/>
      <c r="C523" s="13"/>
    </row>
    <row r="524" spans="1:3" ht="13" x14ac:dyDescent="0.15">
      <c r="A524" s="10"/>
      <c r="B524" s="13"/>
      <c r="C524" s="13"/>
    </row>
    <row r="525" spans="1:3" ht="13" x14ac:dyDescent="0.15">
      <c r="A525" s="10"/>
      <c r="B525" s="13"/>
      <c r="C525" s="13"/>
    </row>
    <row r="526" spans="1:3" ht="13" x14ac:dyDescent="0.15">
      <c r="A526" s="10"/>
      <c r="B526" s="13"/>
      <c r="C526" s="13"/>
    </row>
    <row r="527" spans="1:3" ht="13" x14ac:dyDescent="0.15">
      <c r="A527" s="10"/>
      <c r="B527" s="13"/>
      <c r="C527" s="13"/>
    </row>
    <row r="528" spans="1:3" ht="13" x14ac:dyDescent="0.15">
      <c r="A528" s="10"/>
      <c r="B528" s="13"/>
      <c r="C528" s="13"/>
    </row>
    <row r="529" spans="1:3" ht="13" x14ac:dyDescent="0.15">
      <c r="A529" s="10"/>
      <c r="B529" s="13"/>
      <c r="C529" s="13"/>
    </row>
    <row r="530" spans="1:3" ht="13" x14ac:dyDescent="0.15">
      <c r="A530" s="10"/>
      <c r="B530" s="13"/>
      <c r="C530" s="13"/>
    </row>
    <row r="531" spans="1:3" ht="13" x14ac:dyDescent="0.15">
      <c r="A531" s="10"/>
      <c r="B531" s="13"/>
      <c r="C531" s="13"/>
    </row>
    <row r="532" spans="1:3" ht="13" x14ac:dyDescent="0.15">
      <c r="A532" s="10"/>
      <c r="B532" s="13"/>
      <c r="C532" s="13"/>
    </row>
    <row r="533" spans="1:3" ht="13" x14ac:dyDescent="0.15">
      <c r="A533" s="10"/>
      <c r="B533" s="13"/>
      <c r="C533" s="13"/>
    </row>
    <row r="534" spans="1:3" ht="13" x14ac:dyDescent="0.15">
      <c r="A534" s="10"/>
      <c r="B534" s="13"/>
      <c r="C534" s="13"/>
    </row>
    <row r="535" spans="1:3" ht="13" x14ac:dyDescent="0.15">
      <c r="A535" s="10"/>
      <c r="B535" s="13"/>
      <c r="C535" s="13"/>
    </row>
    <row r="536" spans="1:3" ht="13" x14ac:dyDescent="0.15">
      <c r="A536" s="10"/>
      <c r="B536" s="13"/>
      <c r="C536" s="13"/>
    </row>
    <row r="537" spans="1:3" ht="13" x14ac:dyDescent="0.15">
      <c r="A537" s="10"/>
      <c r="B537" s="13"/>
      <c r="C537" s="13"/>
    </row>
    <row r="538" spans="1:3" ht="13" x14ac:dyDescent="0.15">
      <c r="A538" s="10"/>
      <c r="B538" s="13"/>
      <c r="C538" s="13"/>
    </row>
    <row r="539" spans="1:3" ht="13" x14ac:dyDescent="0.15">
      <c r="A539" s="10"/>
      <c r="B539" s="13"/>
      <c r="C539" s="13"/>
    </row>
    <row r="540" spans="1:3" ht="13" x14ac:dyDescent="0.15">
      <c r="A540" s="10"/>
      <c r="B540" s="13"/>
      <c r="C540" s="13"/>
    </row>
    <row r="541" spans="1:3" ht="13" x14ac:dyDescent="0.15">
      <c r="A541" s="10"/>
      <c r="B541" s="13"/>
      <c r="C541" s="13"/>
    </row>
    <row r="542" spans="1:3" ht="13" x14ac:dyDescent="0.15">
      <c r="A542" s="10"/>
      <c r="B542" s="13"/>
      <c r="C542" s="13"/>
    </row>
    <row r="543" spans="1:3" ht="13" x14ac:dyDescent="0.15">
      <c r="A543" s="10"/>
      <c r="B543" s="13"/>
      <c r="C543" s="13"/>
    </row>
    <row r="544" spans="1:3" ht="13" x14ac:dyDescent="0.15">
      <c r="A544" s="10"/>
      <c r="B544" s="13"/>
      <c r="C544" s="13"/>
    </row>
    <row r="545" spans="1:3" ht="13" x14ac:dyDescent="0.15">
      <c r="A545" s="10"/>
      <c r="B545" s="13"/>
      <c r="C545" s="13"/>
    </row>
    <row r="546" spans="1:3" ht="13" x14ac:dyDescent="0.15">
      <c r="A546" s="10"/>
      <c r="B546" s="13"/>
      <c r="C546" s="13"/>
    </row>
    <row r="547" spans="1:3" ht="13" x14ac:dyDescent="0.15">
      <c r="A547" s="10"/>
      <c r="B547" s="13"/>
      <c r="C547" s="13"/>
    </row>
    <row r="548" spans="1:3" ht="13" x14ac:dyDescent="0.15">
      <c r="A548" s="10"/>
      <c r="B548" s="13"/>
      <c r="C548" s="13"/>
    </row>
    <row r="549" spans="1:3" ht="13" x14ac:dyDescent="0.15">
      <c r="A549" s="10"/>
      <c r="B549" s="13"/>
      <c r="C549" s="13"/>
    </row>
    <row r="550" spans="1:3" ht="13" x14ac:dyDescent="0.15">
      <c r="A550" s="10"/>
      <c r="B550" s="13"/>
      <c r="C550" s="13"/>
    </row>
    <row r="551" spans="1:3" ht="13" x14ac:dyDescent="0.15">
      <c r="A551" s="10"/>
      <c r="B551" s="13"/>
      <c r="C551" s="13"/>
    </row>
    <row r="552" spans="1:3" ht="13" x14ac:dyDescent="0.15">
      <c r="A552" s="10"/>
      <c r="B552" s="13"/>
      <c r="C552" s="13"/>
    </row>
    <row r="553" spans="1:3" ht="13" x14ac:dyDescent="0.15">
      <c r="A553" s="10"/>
      <c r="B553" s="13"/>
      <c r="C553" s="13"/>
    </row>
    <row r="554" spans="1:3" ht="13" x14ac:dyDescent="0.15">
      <c r="A554" s="10"/>
      <c r="B554" s="13"/>
      <c r="C554" s="13"/>
    </row>
    <row r="555" spans="1:3" ht="13" x14ac:dyDescent="0.15">
      <c r="A555" s="10"/>
      <c r="B555" s="13"/>
      <c r="C555" s="13"/>
    </row>
    <row r="556" spans="1:3" ht="13" x14ac:dyDescent="0.15">
      <c r="A556" s="10"/>
      <c r="B556" s="13"/>
      <c r="C556" s="13"/>
    </row>
    <row r="557" spans="1:3" ht="13" x14ac:dyDescent="0.15">
      <c r="A557" s="10"/>
      <c r="B557" s="13"/>
      <c r="C557" s="13"/>
    </row>
    <row r="558" spans="1:3" ht="13" x14ac:dyDescent="0.15">
      <c r="A558" s="10"/>
      <c r="B558" s="13"/>
      <c r="C558" s="13"/>
    </row>
    <row r="559" spans="1:3" ht="13" x14ac:dyDescent="0.15">
      <c r="A559" s="10"/>
      <c r="B559" s="13"/>
      <c r="C559" s="13"/>
    </row>
    <row r="560" spans="1:3" ht="13" x14ac:dyDescent="0.15">
      <c r="A560" s="10"/>
      <c r="B560" s="13"/>
      <c r="C560" s="13"/>
    </row>
    <row r="561" spans="1:3" ht="13" x14ac:dyDescent="0.15">
      <c r="A561" s="10"/>
      <c r="B561" s="13"/>
      <c r="C561" s="13"/>
    </row>
    <row r="562" spans="1:3" ht="13" x14ac:dyDescent="0.15">
      <c r="A562" s="10"/>
      <c r="B562" s="13"/>
      <c r="C562" s="13"/>
    </row>
    <row r="563" spans="1:3" ht="13" x14ac:dyDescent="0.15">
      <c r="A563" s="10"/>
      <c r="B563" s="13"/>
      <c r="C563" s="13"/>
    </row>
    <row r="564" spans="1:3" ht="13" x14ac:dyDescent="0.15">
      <c r="A564" s="10"/>
      <c r="B564" s="13"/>
      <c r="C564" s="13"/>
    </row>
    <row r="565" spans="1:3" ht="13" x14ac:dyDescent="0.15">
      <c r="A565" s="10"/>
      <c r="B565" s="13"/>
      <c r="C565" s="13"/>
    </row>
    <row r="566" spans="1:3" ht="13" x14ac:dyDescent="0.15">
      <c r="A566" s="10"/>
      <c r="B566" s="13"/>
      <c r="C566" s="13"/>
    </row>
    <row r="567" spans="1:3" ht="13" x14ac:dyDescent="0.15">
      <c r="A567" s="10"/>
      <c r="B567" s="13"/>
      <c r="C567" s="13"/>
    </row>
    <row r="568" spans="1:3" ht="13" x14ac:dyDescent="0.15">
      <c r="A568" s="10"/>
      <c r="B568" s="13"/>
      <c r="C568" s="13"/>
    </row>
    <row r="569" spans="1:3" ht="13" x14ac:dyDescent="0.15">
      <c r="A569" s="10"/>
      <c r="B569" s="13"/>
      <c r="C569" s="13"/>
    </row>
    <row r="570" spans="1:3" ht="13" x14ac:dyDescent="0.15">
      <c r="A570" s="10"/>
      <c r="B570" s="13"/>
      <c r="C570" s="13"/>
    </row>
    <row r="571" spans="1:3" ht="13" x14ac:dyDescent="0.15">
      <c r="A571" s="10"/>
      <c r="B571" s="13"/>
      <c r="C571" s="13"/>
    </row>
    <row r="572" spans="1:3" ht="13" x14ac:dyDescent="0.15">
      <c r="A572" s="10"/>
      <c r="B572" s="13"/>
      <c r="C572" s="13"/>
    </row>
    <row r="573" spans="1:3" ht="13" x14ac:dyDescent="0.15">
      <c r="A573" s="10"/>
      <c r="B573" s="13"/>
      <c r="C573" s="13"/>
    </row>
    <row r="574" spans="1:3" ht="13" x14ac:dyDescent="0.15">
      <c r="A574" s="10"/>
      <c r="B574" s="13"/>
      <c r="C574" s="13"/>
    </row>
    <row r="575" spans="1:3" ht="13" x14ac:dyDescent="0.15">
      <c r="A575" s="10"/>
      <c r="B575" s="13"/>
      <c r="C575" s="13"/>
    </row>
    <row r="576" spans="1:3" ht="13" x14ac:dyDescent="0.15">
      <c r="A576" s="10"/>
      <c r="B576" s="13"/>
      <c r="C576" s="13"/>
    </row>
    <row r="577" spans="1:3" ht="13" x14ac:dyDescent="0.15">
      <c r="A577" s="10"/>
      <c r="B577" s="13"/>
      <c r="C577" s="13"/>
    </row>
    <row r="578" spans="1:3" ht="13" x14ac:dyDescent="0.15">
      <c r="A578" s="10"/>
      <c r="B578" s="13"/>
      <c r="C578" s="13"/>
    </row>
    <row r="579" spans="1:3" ht="13" x14ac:dyDescent="0.15">
      <c r="A579" s="10"/>
      <c r="B579" s="13"/>
      <c r="C579" s="13"/>
    </row>
    <row r="580" spans="1:3" ht="13" x14ac:dyDescent="0.15">
      <c r="A580" s="10"/>
      <c r="B580" s="13"/>
      <c r="C580" s="13"/>
    </row>
    <row r="581" spans="1:3" ht="13" x14ac:dyDescent="0.15">
      <c r="A581" s="10"/>
      <c r="B581" s="13"/>
      <c r="C581" s="13"/>
    </row>
    <row r="582" spans="1:3" ht="13" x14ac:dyDescent="0.15">
      <c r="A582" s="10"/>
      <c r="B582" s="13"/>
      <c r="C582" s="13"/>
    </row>
    <row r="583" spans="1:3" ht="13" x14ac:dyDescent="0.15">
      <c r="A583" s="10"/>
      <c r="B583" s="13"/>
      <c r="C583" s="13"/>
    </row>
    <row r="584" spans="1:3" ht="13" x14ac:dyDescent="0.15">
      <c r="A584" s="10"/>
      <c r="B584" s="13"/>
      <c r="C584" s="13"/>
    </row>
    <row r="585" spans="1:3" ht="13" x14ac:dyDescent="0.15">
      <c r="A585" s="10"/>
      <c r="B585" s="13"/>
      <c r="C585" s="13"/>
    </row>
    <row r="586" spans="1:3" ht="13" x14ac:dyDescent="0.15">
      <c r="A586" s="10"/>
      <c r="B586" s="13"/>
      <c r="C586" s="13"/>
    </row>
    <row r="587" spans="1:3" ht="13" x14ac:dyDescent="0.15">
      <c r="A587" s="10"/>
      <c r="B587" s="13"/>
      <c r="C587" s="13"/>
    </row>
    <row r="588" spans="1:3" ht="13" x14ac:dyDescent="0.15">
      <c r="A588" s="10"/>
      <c r="B588" s="13"/>
      <c r="C588" s="13"/>
    </row>
    <row r="589" spans="1:3" ht="13" x14ac:dyDescent="0.15">
      <c r="A589" s="10"/>
      <c r="B589" s="13"/>
      <c r="C589" s="13"/>
    </row>
    <row r="590" spans="1:3" ht="13" x14ac:dyDescent="0.15">
      <c r="A590" s="10"/>
      <c r="B590" s="13"/>
      <c r="C590" s="13"/>
    </row>
    <row r="591" spans="1:3" ht="13" x14ac:dyDescent="0.15">
      <c r="A591" s="10"/>
      <c r="B591" s="13"/>
      <c r="C591" s="13"/>
    </row>
    <row r="592" spans="1:3" ht="13" x14ac:dyDescent="0.15">
      <c r="A592" s="10"/>
      <c r="B592" s="13"/>
      <c r="C592" s="13"/>
    </row>
    <row r="593" spans="1:3" ht="13" x14ac:dyDescent="0.15">
      <c r="A593" s="10"/>
      <c r="B593" s="13"/>
      <c r="C593" s="13"/>
    </row>
    <row r="594" spans="1:3" ht="13" x14ac:dyDescent="0.15">
      <c r="A594" s="10"/>
      <c r="B594" s="13"/>
      <c r="C594" s="13"/>
    </row>
    <row r="595" spans="1:3" ht="13" x14ac:dyDescent="0.15">
      <c r="A595" s="10"/>
      <c r="B595" s="13"/>
      <c r="C595" s="13"/>
    </row>
    <row r="596" spans="1:3" ht="13" x14ac:dyDescent="0.15">
      <c r="A596" s="10"/>
      <c r="B596" s="13"/>
      <c r="C596" s="13"/>
    </row>
    <row r="597" spans="1:3" ht="13" x14ac:dyDescent="0.15">
      <c r="A597" s="10"/>
      <c r="B597" s="13"/>
      <c r="C597" s="13"/>
    </row>
    <row r="598" spans="1:3" ht="13" x14ac:dyDescent="0.15">
      <c r="A598" s="10"/>
      <c r="B598" s="13"/>
      <c r="C598" s="13"/>
    </row>
    <row r="599" spans="1:3" ht="13" x14ac:dyDescent="0.15">
      <c r="A599" s="10"/>
      <c r="B599" s="13"/>
      <c r="C599" s="13"/>
    </row>
    <row r="600" spans="1:3" ht="13" x14ac:dyDescent="0.15">
      <c r="A600" s="10"/>
      <c r="B600" s="13"/>
      <c r="C600" s="13"/>
    </row>
    <row r="601" spans="1:3" ht="13" x14ac:dyDescent="0.15">
      <c r="A601" s="10"/>
      <c r="B601" s="13"/>
      <c r="C601" s="13"/>
    </row>
    <row r="602" spans="1:3" ht="13" x14ac:dyDescent="0.15">
      <c r="A602" s="10"/>
      <c r="B602" s="13"/>
      <c r="C602" s="13"/>
    </row>
    <row r="603" spans="1:3" ht="13" x14ac:dyDescent="0.15">
      <c r="A603" s="10"/>
      <c r="B603" s="13"/>
      <c r="C603" s="13"/>
    </row>
    <row r="604" spans="1:3" ht="13" x14ac:dyDescent="0.15">
      <c r="A604" s="10"/>
      <c r="B604" s="13"/>
      <c r="C604" s="13"/>
    </row>
    <row r="605" spans="1:3" ht="13" x14ac:dyDescent="0.15">
      <c r="A605" s="10"/>
      <c r="B605" s="13"/>
      <c r="C605" s="13"/>
    </row>
    <row r="606" spans="1:3" ht="13" x14ac:dyDescent="0.15">
      <c r="A606" s="10"/>
      <c r="B606" s="13"/>
      <c r="C606" s="13"/>
    </row>
    <row r="607" spans="1:3" ht="13" x14ac:dyDescent="0.15">
      <c r="A607" s="10"/>
      <c r="B607" s="13"/>
      <c r="C607" s="13"/>
    </row>
    <row r="608" spans="1:3" ht="13" x14ac:dyDescent="0.15">
      <c r="A608" s="10"/>
      <c r="B608" s="13"/>
      <c r="C608" s="13"/>
    </row>
    <row r="609" spans="1:3" ht="13" x14ac:dyDescent="0.15">
      <c r="A609" s="10"/>
      <c r="B609" s="13"/>
      <c r="C609" s="13"/>
    </row>
    <row r="610" spans="1:3" ht="13" x14ac:dyDescent="0.15">
      <c r="A610" s="10"/>
      <c r="B610" s="13"/>
      <c r="C610" s="13"/>
    </row>
    <row r="611" spans="1:3" ht="13" x14ac:dyDescent="0.15">
      <c r="A611" s="10"/>
      <c r="B611" s="13"/>
      <c r="C611" s="13"/>
    </row>
    <row r="612" spans="1:3" ht="13" x14ac:dyDescent="0.15">
      <c r="A612" s="10"/>
      <c r="B612" s="13"/>
      <c r="C612" s="13"/>
    </row>
    <row r="613" spans="1:3" ht="13" x14ac:dyDescent="0.15">
      <c r="A613" s="10"/>
      <c r="B613" s="13"/>
      <c r="C613" s="13"/>
    </row>
    <row r="614" spans="1:3" ht="13" x14ac:dyDescent="0.15">
      <c r="A614" s="10"/>
      <c r="B614" s="13"/>
      <c r="C614" s="13"/>
    </row>
    <row r="615" spans="1:3" ht="13" x14ac:dyDescent="0.15">
      <c r="A615" s="10"/>
      <c r="B615" s="13"/>
      <c r="C615" s="13"/>
    </row>
    <row r="616" spans="1:3" ht="13" x14ac:dyDescent="0.15">
      <c r="A616" s="10"/>
      <c r="B616" s="13"/>
      <c r="C616" s="13"/>
    </row>
    <row r="617" spans="1:3" ht="13" x14ac:dyDescent="0.15">
      <c r="A617" s="10"/>
      <c r="B617" s="13"/>
      <c r="C617" s="13"/>
    </row>
    <row r="618" spans="1:3" ht="13" x14ac:dyDescent="0.15">
      <c r="A618" s="10"/>
      <c r="B618" s="13"/>
      <c r="C618" s="13"/>
    </row>
    <row r="619" spans="1:3" ht="13" x14ac:dyDescent="0.15">
      <c r="A619" s="10"/>
      <c r="B619" s="13"/>
      <c r="C619" s="13"/>
    </row>
    <row r="620" spans="1:3" ht="13" x14ac:dyDescent="0.15">
      <c r="A620" s="10"/>
      <c r="B620" s="13"/>
      <c r="C620" s="13"/>
    </row>
    <row r="621" spans="1:3" ht="13" x14ac:dyDescent="0.15">
      <c r="A621" s="10"/>
      <c r="B621" s="13"/>
      <c r="C621" s="13"/>
    </row>
    <row r="622" spans="1:3" ht="13" x14ac:dyDescent="0.15">
      <c r="A622" s="10"/>
      <c r="B622" s="13"/>
      <c r="C622" s="13"/>
    </row>
    <row r="623" spans="1:3" ht="13" x14ac:dyDescent="0.15">
      <c r="A623" s="10"/>
      <c r="B623" s="13"/>
      <c r="C623" s="13"/>
    </row>
    <row r="624" spans="1:3" ht="13" x14ac:dyDescent="0.15">
      <c r="A624" s="10"/>
      <c r="B624" s="13"/>
      <c r="C624" s="13"/>
    </row>
    <row r="625" spans="1:3" ht="13" x14ac:dyDescent="0.15">
      <c r="A625" s="10"/>
      <c r="B625" s="13"/>
      <c r="C625" s="13"/>
    </row>
    <row r="626" spans="1:3" ht="13" x14ac:dyDescent="0.15">
      <c r="A626" s="10"/>
      <c r="B626" s="13"/>
      <c r="C626" s="13"/>
    </row>
    <row r="627" spans="1:3" ht="13" x14ac:dyDescent="0.15">
      <c r="A627" s="10"/>
      <c r="B627" s="13"/>
      <c r="C627" s="13"/>
    </row>
    <row r="628" spans="1:3" ht="13" x14ac:dyDescent="0.15">
      <c r="A628" s="10"/>
      <c r="B628" s="13"/>
      <c r="C628" s="13"/>
    </row>
    <row r="629" spans="1:3" ht="13" x14ac:dyDescent="0.15">
      <c r="A629" s="10"/>
      <c r="B629" s="13"/>
      <c r="C629" s="13"/>
    </row>
    <row r="630" spans="1:3" ht="13" x14ac:dyDescent="0.15">
      <c r="A630" s="10"/>
      <c r="B630" s="13"/>
      <c r="C630" s="13"/>
    </row>
    <row r="631" spans="1:3" ht="13" x14ac:dyDescent="0.15">
      <c r="A631" s="10"/>
      <c r="B631" s="13"/>
      <c r="C631" s="13"/>
    </row>
    <row r="632" spans="1:3" ht="13" x14ac:dyDescent="0.15">
      <c r="A632" s="10"/>
      <c r="B632" s="13"/>
      <c r="C632" s="13"/>
    </row>
    <row r="633" spans="1:3" ht="13" x14ac:dyDescent="0.15">
      <c r="A633" s="10"/>
      <c r="B633" s="13"/>
      <c r="C633" s="13"/>
    </row>
    <row r="634" spans="1:3" ht="13" x14ac:dyDescent="0.15">
      <c r="A634" s="10"/>
      <c r="B634" s="13"/>
      <c r="C634" s="13"/>
    </row>
    <row r="635" spans="1:3" ht="13" x14ac:dyDescent="0.15">
      <c r="A635" s="10"/>
      <c r="B635" s="13"/>
      <c r="C635" s="13"/>
    </row>
    <row r="636" spans="1:3" ht="13" x14ac:dyDescent="0.15">
      <c r="A636" s="10"/>
      <c r="B636" s="13"/>
      <c r="C636" s="13"/>
    </row>
    <row r="637" spans="1:3" ht="13" x14ac:dyDescent="0.15">
      <c r="A637" s="10"/>
      <c r="B637" s="13"/>
      <c r="C637" s="13"/>
    </row>
    <row r="638" spans="1:3" ht="13" x14ac:dyDescent="0.15">
      <c r="A638" s="10"/>
      <c r="B638" s="13"/>
      <c r="C638" s="13"/>
    </row>
    <row r="639" spans="1:3" ht="13" x14ac:dyDescent="0.15">
      <c r="A639" s="10"/>
      <c r="B639" s="13"/>
      <c r="C639" s="13"/>
    </row>
    <row r="640" spans="1:3" ht="13" x14ac:dyDescent="0.15">
      <c r="A640" s="10"/>
      <c r="B640" s="13"/>
      <c r="C640" s="13"/>
    </row>
    <row r="641" spans="1:3" ht="13" x14ac:dyDescent="0.15">
      <c r="A641" s="10"/>
      <c r="B641" s="13"/>
      <c r="C641" s="13"/>
    </row>
    <row r="642" spans="1:3" ht="13" x14ac:dyDescent="0.15">
      <c r="A642" s="10"/>
      <c r="B642" s="13"/>
      <c r="C642" s="13"/>
    </row>
    <row r="643" spans="1:3" ht="13" x14ac:dyDescent="0.15">
      <c r="A643" s="10"/>
      <c r="B643" s="13"/>
      <c r="C643" s="13"/>
    </row>
    <row r="644" spans="1:3" ht="13" x14ac:dyDescent="0.15">
      <c r="A644" s="10"/>
      <c r="B644" s="13"/>
      <c r="C644" s="13"/>
    </row>
    <row r="645" spans="1:3" ht="13" x14ac:dyDescent="0.15">
      <c r="A645" s="10"/>
      <c r="B645" s="13"/>
      <c r="C645" s="13"/>
    </row>
    <row r="646" spans="1:3" ht="13" x14ac:dyDescent="0.15">
      <c r="A646" s="10"/>
      <c r="B646" s="13"/>
      <c r="C646" s="13"/>
    </row>
    <row r="647" spans="1:3" ht="13" x14ac:dyDescent="0.15">
      <c r="A647" s="10"/>
      <c r="B647" s="13"/>
      <c r="C647" s="13"/>
    </row>
    <row r="648" spans="1:3" ht="13" x14ac:dyDescent="0.15">
      <c r="A648" s="10"/>
      <c r="B648" s="13"/>
      <c r="C648" s="13"/>
    </row>
    <row r="649" spans="1:3" ht="13" x14ac:dyDescent="0.15">
      <c r="A649" s="10"/>
      <c r="B649" s="13"/>
      <c r="C649" s="13"/>
    </row>
    <row r="650" spans="1:3" ht="13" x14ac:dyDescent="0.15">
      <c r="A650" s="10"/>
      <c r="B650" s="13"/>
      <c r="C650" s="13"/>
    </row>
    <row r="651" spans="1:3" ht="13" x14ac:dyDescent="0.15">
      <c r="A651" s="10"/>
      <c r="B651" s="13"/>
      <c r="C651" s="13"/>
    </row>
    <row r="652" spans="1:3" ht="13" x14ac:dyDescent="0.15">
      <c r="A652" s="10"/>
      <c r="B652" s="13"/>
      <c r="C652" s="13"/>
    </row>
    <row r="653" spans="1:3" ht="13" x14ac:dyDescent="0.15">
      <c r="A653" s="10"/>
      <c r="B653" s="13"/>
      <c r="C653" s="13"/>
    </row>
    <row r="654" spans="1:3" ht="13" x14ac:dyDescent="0.15">
      <c r="A654" s="10"/>
      <c r="B654" s="13"/>
      <c r="C654" s="13"/>
    </row>
    <row r="655" spans="1:3" ht="13" x14ac:dyDescent="0.15">
      <c r="A655" s="10"/>
      <c r="B655" s="13"/>
      <c r="C655" s="13"/>
    </row>
    <row r="656" spans="1:3" ht="13" x14ac:dyDescent="0.15">
      <c r="A656" s="10"/>
      <c r="B656" s="13"/>
      <c r="C656" s="13"/>
    </row>
    <row r="657" spans="1:3" ht="13" x14ac:dyDescent="0.15">
      <c r="A657" s="10"/>
      <c r="B657" s="13"/>
      <c r="C657" s="13"/>
    </row>
    <row r="658" spans="1:3" ht="13" x14ac:dyDescent="0.15">
      <c r="A658" s="10"/>
      <c r="B658" s="13"/>
      <c r="C658" s="13"/>
    </row>
    <row r="659" spans="1:3" ht="13" x14ac:dyDescent="0.15">
      <c r="A659" s="10"/>
      <c r="B659" s="13"/>
      <c r="C659" s="13"/>
    </row>
    <row r="660" spans="1:3" ht="13" x14ac:dyDescent="0.15">
      <c r="A660" s="10"/>
      <c r="B660" s="13"/>
      <c r="C660" s="13"/>
    </row>
    <row r="661" spans="1:3" ht="13" x14ac:dyDescent="0.15">
      <c r="A661" s="10"/>
      <c r="B661" s="13"/>
      <c r="C661" s="13"/>
    </row>
    <row r="662" spans="1:3" ht="13" x14ac:dyDescent="0.15">
      <c r="A662" s="10"/>
      <c r="B662" s="13"/>
      <c r="C662" s="13"/>
    </row>
    <row r="663" spans="1:3" ht="13" x14ac:dyDescent="0.15">
      <c r="A663" s="10"/>
      <c r="B663" s="13"/>
      <c r="C663" s="13"/>
    </row>
    <row r="664" spans="1:3" ht="13" x14ac:dyDescent="0.15">
      <c r="A664" s="10"/>
      <c r="B664" s="13"/>
      <c r="C664" s="13"/>
    </row>
    <row r="665" spans="1:3" ht="13" x14ac:dyDescent="0.15">
      <c r="A665" s="10"/>
      <c r="B665" s="13"/>
      <c r="C665" s="13"/>
    </row>
    <row r="666" spans="1:3" ht="13" x14ac:dyDescent="0.15">
      <c r="A666" s="10"/>
      <c r="B666" s="13"/>
      <c r="C666" s="13"/>
    </row>
    <row r="667" spans="1:3" ht="13" x14ac:dyDescent="0.15">
      <c r="A667" s="10"/>
      <c r="B667" s="13"/>
      <c r="C667" s="13"/>
    </row>
    <row r="668" spans="1:3" ht="13" x14ac:dyDescent="0.15">
      <c r="A668" s="10"/>
      <c r="B668" s="13"/>
      <c r="C668" s="13"/>
    </row>
    <row r="669" spans="1:3" ht="13" x14ac:dyDescent="0.15">
      <c r="A669" s="10"/>
      <c r="B669" s="13"/>
      <c r="C669" s="13"/>
    </row>
    <row r="670" spans="1:3" ht="13" x14ac:dyDescent="0.15">
      <c r="A670" s="10"/>
      <c r="B670" s="13"/>
      <c r="C670" s="13"/>
    </row>
    <row r="671" spans="1:3" ht="13" x14ac:dyDescent="0.15">
      <c r="A671" s="10"/>
      <c r="B671" s="13"/>
      <c r="C671" s="13"/>
    </row>
    <row r="672" spans="1:3" ht="13" x14ac:dyDescent="0.15">
      <c r="A672" s="10"/>
      <c r="B672" s="13"/>
      <c r="C672" s="13"/>
    </row>
    <row r="673" spans="1:3" ht="13" x14ac:dyDescent="0.15">
      <c r="A673" s="10"/>
      <c r="B673" s="13"/>
      <c r="C673" s="13"/>
    </row>
    <row r="674" spans="1:3" ht="13" x14ac:dyDescent="0.15">
      <c r="A674" s="10"/>
      <c r="B674" s="13"/>
      <c r="C674" s="13"/>
    </row>
    <row r="675" spans="1:3" ht="13" x14ac:dyDescent="0.15">
      <c r="A675" s="10"/>
      <c r="B675" s="13"/>
      <c r="C675" s="13"/>
    </row>
    <row r="676" spans="1:3" ht="13" x14ac:dyDescent="0.15">
      <c r="A676" s="10"/>
      <c r="B676" s="13"/>
      <c r="C676" s="13"/>
    </row>
    <row r="677" spans="1:3" ht="13" x14ac:dyDescent="0.15">
      <c r="A677" s="10"/>
      <c r="B677" s="13"/>
      <c r="C677" s="13"/>
    </row>
    <row r="678" spans="1:3" ht="13" x14ac:dyDescent="0.15">
      <c r="A678" s="10"/>
      <c r="B678" s="13"/>
      <c r="C678" s="13"/>
    </row>
    <row r="679" spans="1:3" ht="13" x14ac:dyDescent="0.15">
      <c r="A679" s="10"/>
      <c r="B679" s="13"/>
      <c r="C679" s="13"/>
    </row>
    <row r="680" spans="1:3" ht="13" x14ac:dyDescent="0.15">
      <c r="A680" s="10"/>
      <c r="B680" s="13"/>
      <c r="C680" s="13"/>
    </row>
    <row r="681" spans="1:3" ht="13" x14ac:dyDescent="0.15">
      <c r="A681" s="10"/>
      <c r="B681" s="13"/>
      <c r="C681" s="13"/>
    </row>
    <row r="682" spans="1:3" ht="13" x14ac:dyDescent="0.15">
      <c r="A682" s="10"/>
      <c r="B682" s="13"/>
      <c r="C682" s="13"/>
    </row>
    <row r="683" spans="1:3" ht="13" x14ac:dyDescent="0.15">
      <c r="A683" s="10"/>
      <c r="B683" s="13"/>
      <c r="C683" s="13"/>
    </row>
    <row r="684" spans="1:3" ht="13" x14ac:dyDescent="0.15">
      <c r="A684" s="10"/>
      <c r="B684" s="13"/>
      <c r="C684" s="13"/>
    </row>
    <row r="685" spans="1:3" ht="13" x14ac:dyDescent="0.15">
      <c r="A685" s="10"/>
      <c r="B685" s="13"/>
      <c r="C685" s="13"/>
    </row>
    <row r="686" spans="1:3" ht="13" x14ac:dyDescent="0.15">
      <c r="A686" s="10"/>
      <c r="B686" s="13"/>
      <c r="C686" s="13"/>
    </row>
    <row r="687" spans="1:3" ht="13" x14ac:dyDescent="0.15">
      <c r="A687" s="10"/>
      <c r="B687" s="13"/>
      <c r="C687" s="13"/>
    </row>
    <row r="688" spans="1:3" ht="13" x14ac:dyDescent="0.15">
      <c r="A688" s="10"/>
      <c r="B688" s="13"/>
      <c r="C688" s="13"/>
    </row>
    <row r="689" spans="1:3" ht="13" x14ac:dyDescent="0.15">
      <c r="A689" s="10"/>
      <c r="B689" s="13"/>
      <c r="C689" s="13"/>
    </row>
    <row r="690" spans="1:3" ht="13" x14ac:dyDescent="0.15">
      <c r="A690" s="10"/>
      <c r="B690" s="13"/>
      <c r="C690" s="13"/>
    </row>
    <row r="691" spans="1:3" ht="13" x14ac:dyDescent="0.15">
      <c r="A691" s="10"/>
      <c r="B691" s="13"/>
      <c r="C691" s="13"/>
    </row>
    <row r="692" spans="1:3" ht="13" x14ac:dyDescent="0.15">
      <c r="A692" s="10"/>
      <c r="B692" s="13"/>
      <c r="C692" s="13"/>
    </row>
    <row r="693" spans="1:3" ht="13" x14ac:dyDescent="0.15">
      <c r="A693" s="10"/>
      <c r="B693" s="13"/>
      <c r="C693" s="13"/>
    </row>
    <row r="694" spans="1:3" ht="13" x14ac:dyDescent="0.15">
      <c r="A694" s="10"/>
      <c r="B694" s="13"/>
      <c r="C694" s="13"/>
    </row>
    <row r="695" spans="1:3" ht="13" x14ac:dyDescent="0.15">
      <c r="A695" s="10"/>
      <c r="B695" s="13"/>
      <c r="C695" s="13"/>
    </row>
    <row r="696" spans="1:3" ht="13" x14ac:dyDescent="0.15">
      <c r="A696" s="10"/>
      <c r="B696" s="13"/>
      <c r="C696" s="13"/>
    </row>
    <row r="697" spans="1:3" ht="13" x14ac:dyDescent="0.15">
      <c r="A697" s="10"/>
      <c r="B697" s="13"/>
      <c r="C697" s="13"/>
    </row>
    <row r="698" spans="1:3" ht="13" x14ac:dyDescent="0.15">
      <c r="A698" s="10"/>
      <c r="B698" s="13"/>
      <c r="C698" s="13"/>
    </row>
    <row r="699" spans="1:3" ht="13" x14ac:dyDescent="0.15">
      <c r="A699" s="10"/>
      <c r="B699" s="13"/>
      <c r="C699" s="13"/>
    </row>
    <row r="700" spans="1:3" ht="13" x14ac:dyDescent="0.15">
      <c r="A700" s="10"/>
      <c r="B700" s="13"/>
      <c r="C700" s="13"/>
    </row>
    <row r="701" spans="1:3" ht="13" x14ac:dyDescent="0.15">
      <c r="A701" s="10"/>
      <c r="B701" s="13"/>
      <c r="C701" s="13"/>
    </row>
    <row r="702" spans="1:3" ht="13" x14ac:dyDescent="0.15">
      <c r="A702" s="10"/>
      <c r="B702" s="13"/>
      <c r="C702" s="13"/>
    </row>
    <row r="703" spans="1:3" ht="13" x14ac:dyDescent="0.15">
      <c r="A703" s="10"/>
      <c r="B703" s="13"/>
      <c r="C703" s="13"/>
    </row>
    <row r="704" spans="1:3" ht="13" x14ac:dyDescent="0.15">
      <c r="A704" s="10"/>
      <c r="B704" s="13"/>
      <c r="C704" s="13"/>
    </row>
    <row r="705" spans="1:3" ht="13" x14ac:dyDescent="0.15">
      <c r="A705" s="10"/>
      <c r="B705" s="13"/>
      <c r="C705" s="13"/>
    </row>
    <row r="706" spans="1:3" ht="13" x14ac:dyDescent="0.15">
      <c r="A706" s="10"/>
      <c r="B706" s="13"/>
      <c r="C706" s="13"/>
    </row>
    <row r="707" spans="1:3" ht="13" x14ac:dyDescent="0.15">
      <c r="A707" s="10"/>
      <c r="B707" s="13"/>
      <c r="C707" s="13"/>
    </row>
    <row r="708" spans="1:3" ht="13" x14ac:dyDescent="0.15">
      <c r="A708" s="10"/>
      <c r="B708" s="13"/>
      <c r="C708" s="13"/>
    </row>
    <row r="709" spans="1:3" ht="13" x14ac:dyDescent="0.15">
      <c r="A709" s="10"/>
      <c r="B709" s="13"/>
      <c r="C709" s="13"/>
    </row>
    <row r="710" spans="1:3" ht="13" x14ac:dyDescent="0.15">
      <c r="A710" s="10"/>
      <c r="B710" s="13"/>
      <c r="C710" s="13"/>
    </row>
    <row r="711" spans="1:3" ht="13" x14ac:dyDescent="0.15">
      <c r="A711" s="10"/>
      <c r="B711" s="13"/>
      <c r="C711" s="13"/>
    </row>
    <row r="712" spans="1:3" ht="13" x14ac:dyDescent="0.15">
      <c r="A712" s="10"/>
      <c r="B712" s="13"/>
      <c r="C712" s="13"/>
    </row>
    <row r="713" spans="1:3" ht="13" x14ac:dyDescent="0.15">
      <c r="A713" s="10"/>
      <c r="B713" s="13"/>
      <c r="C713" s="13"/>
    </row>
    <row r="714" spans="1:3" ht="13" x14ac:dyDescent="0.15">
      <c r="A714" s="10"/>
      <c r="B714" s="13"/>
      <c r="C714" s="13"/>
    </row>
    <row r="715" spans="1:3" ht="13" x14ac:dyDescent="0.15">
      <c r="A715" s="10"/>
      <c r="B715" s="13"/>
      <c r="C715" s="13"/>
    </row>
    <row r="716" spans="1:3" ht="13" x14ac:dyDescent="0.15">
      <c r="A716" s="10"/>
      <c r="B716" s="13"/>
      <c r="C716" s="13"/>
    </row>
    <row r="717" spans="1:3" ht="13" x14ac:dyDescent="0.15">
      <c r="A717" s="10"/>
      <c r="B717" s="13"/>
      <c r="C717" s="13"/>
    </row>
    <row r="718" spans="1:3" ht="13" x14ac:dyDescent="0.15">
      <c r="A718" s="10"/>
      <c r="B718" s="13"/>
      <c r="C718" s="13"/>
    </row>
    <row r="719" spans="1:3" ht="13" x14ac:dyDescent="0.15">
      <c r="A719" s="10"/>
      <c r="B719" s="13"/>
      <c r="C719" s="13"/>
    </row>
    <row r="720" spans="1:3" ht="13" x14ac:dyDescent="0.15">
      <c r="A720" s="10"/>
      <c r="B720" s="13"/>
      <c r="C720" s="13"/>
    </row>
    <row r="721" spans="1:3" ht="13" x14ac:dyDescent="0.15">
      <c r="A721" s="10"/>
      <c r="B721" s="13"/>
      <c r="C721" s="13"/>
    </row>
    <row r="722" spans="1:3" ht="13" x14ac:dyDescent="0.15">
      <c r="A722" s="10"/>
      <c r="B722" s="13"/>
      <c r="C722" s="13"/>
    </row>
    <row r="723" spans="1:3" ht="13" x14ac:dyDescent="0.15">
      <c r="A723" s="10"/>
      <c r="B723" s="13"/>
      <c r="C723" s="13"/>
    </row>
    <row r="724" spans="1:3" ht="13" x14ac:dyDescent="0.15">
      <c r="A724" s="10"/>
      <c r="B724" s="13"/>
      <c r="C724" s="13"/>
    </row>
    <row r="725" spans="1:3" ht="13" x14ac:dyDescent="0.15">
      <c r="A725" s="10"/>
      <c r="B725" s="13"/>
      <c r="C725" s="13"/>
    </row>
    <row r="726" spans="1:3" ht="13" x14ac:dyDescent="0.15">
      <c r="A726" s="10"/>
      <c r="B726" s="13"/>
      <c r="C726" s="13"/>
    </row>
    <row r="727" spans="1:3" ht="13" x14ac:dyDescent="0.15">
      <c r="A727" s="10"/>
      <c r="B727" s="13"/>
      <c r="C727" s="13"/>
    </row>
    <row r="728" spans="1:3" ht="13" x14ac:dyDescent="0.15">
      <c r="A728" s="10"/>
      <c r="B728" s="13"/>
      <c r="C728" s="13"/>
    </row>
    <row r="729" spans="1:3" ht="13" x14ac:dyDescent="0.15">
      <c r="A729" s="10"/>
      <c r="B729" s="13"/>
      <c r="C729" s="13"/>
    </row>
    <row r="730" spans="1:3" ht="13" x14ac:dyDescent="0.15">
      <c r="A730" s="10"/>
      <c r="B730" s="13"/>
      <c r="C730" s="13"/>
    </row>
    <row r="731" spans="1:3" ht="13" x14ac:dyDescent="0.15">
      <c r="A731" s="10"/>
      <c r="B731" s="13"/>
      <c r="C731" s="13"/>
    </row>
    <row r="732" spans="1:3" ht="13" x14ac:dyDescent="0.15">
      <c r="A732" s="10"/>
      <c r="B732" s="13"/>
      <c r="C732" s="13"/>
    </row>
    <row r="733" spans="1:3" ht="13" x14ac:dyDescent="0.15">
      <c r="A733" s="10"/>
      <c r="B733" s="13"/>
      <c r="C733" s="13"/>
    </row>
    <row r="734" spans="1:3" ht="13" x14ac:dyDescent="0.15">
      <c r="A734" s="10"/>
      <c r="B734" s="13"/>
      <c r="C734" s="13"/>
    </row>
    <row r="735" spans="1:3" ht="13" x14ac:dyDescent="0.15">
      <c r="A735" s="10"/>
      <c r="B735" s="13"/>
      <c r="C735" s="13"/>
    </row>
    <row r="736" spans="1:3" ht="13" x14ac:dyDescent="0.15">
      <c r="A736" s="10"/>
      <c r="B736" s="13"/>
      <c r="C736" s="13"/>
    </row>
    <row r="737" spans="1:3" ht="13" x14ac:dyDescent="0.15">
      <c r="A737" s="10"/>
      <c r="B737" s="13"/>
      <c r="C737" s="13"/>
    </row>
    <row r="738" spans="1:3" ht="13" x14ac:dyDescent="0.15">
      <c r="A738" s="10"/>
      <c r="B738" s="13"/>
      <c r="C738" s="13"/>
    </row>
    <row r="739" spans="1:3" ht="13" x14ac:dyDescent="0.15">
      <c r="A739" s="10"/>
      <c r="B739" s="13"/>
      <c r="C739" s="13"/>
    </row>
    <row r="740" spans="1:3" ht="13" x14ac:dyDescent="0.15">
      <c r="A740" s="10"/>
      <c r="B740" s="13"/>
      <c r="C740" s="13"/>
    </row>
    <row r="741" spans="1:3" ht="13" x14ac:dyDescent="0.15">
      <c r="A741" s="10"/>
      <c r="B741" s="13"/>
      <c r="C741" s="13"/>
    </row>
    <row r="742" spans="1:3" ht="13" x14ac:dyDescent="0.15">
      <c r="A742" s="10"/>
      <c r="B742" s="13"/>
      <c r="C742" s="13"/>
    </row>
    <row r="743" spans="1:3" ht="13" x14ac:dyDescent="0.15">
      <c r="A743" s="10"/>
      <c r="B743" s="13"/>
      <c r="C743" s="13"/>
    </row>
    <row r="744" spans="1:3" ht="13" x14ac:dyDescent="0.15">
      <c r="A744" s="10"/>
      <c r="B744" s="13"/>
      <c r="C744" s="13"/>
    </row>
    <row r="745" spans="1:3" ht="13" x14ac:dyDescent="0.15">
      <c r="A745" s="10"/>
      <c r="B745" s="13"/>
      <c r="C745" s="13"/>
    </row>
    <row r="746" spans="1:3" ht="13" x14ac:dyDescent="0.15">
      <c r="A746" s="10"/>
      <c r="B746" s="13"/>
      <c r="C746" s="13"/>
    </row>
    <row r="747" spans="1:3" ht="13" x14ac:dyDescent="0.15">
      <c r="A747" s="10"/>
      <c r="B747" s="13"/>
      <c r="C747" s="13"/>
    </row>
    <row r="748" spans="1:3" ht="13" x14ac:dyDescent="0.15">
      <c r="A748" s="10"/>
      <c r="B748" s="13"/>
      <c r="C748" s="13"/>
    </row>
    <row r="749" spans="1:3" ht="13" x14ac:dyDescent="0.15">
      <c r="A749" s="10"/>
      <c r="B749" s="13"/>
      <c r="C749" s="13"/>
    </row>
    <row r="750" spans="1:3" ht="13" x14ac:dyDescent="0.15">
      <c r="A750" s="10"/>
      <c r="B750" s="13"/>
      <c r="C750" s="13"/>
    </row>
    <row r="751" spans="1:3" ht="13" x14ac:dyDescent="0.15">
      <c r="A751" s="10"/>
      <c r="B751" s="13"/>
      <c r="C751" s="13"/>
    </row>
    <row r="752" spans="1:3" ht="13" x14ac:dyDescent="0.15">
      <c r="A752" s="10"/>
      <c r="B752" s="13"/>
      <c r="C752" s="13"/>
    </row>
    <row r="753" spans="1:3" ht="13" x14ac:dyDescent="0.15">
      <c r="A753" s="10"/>
      <c r="B753" s="13"/>
      <c r="C753" s="13"/>
    </row>
    <row r="754" spans="1:3" ht="13" x14ac:dyDescent="0.15">
      <c r="A754" s="10"/>
      <c r="B754" s="13"/>
      <c r="C754" s="13"/>
    </row>
    <row r="755" spans="1:3" ht="13" x14ac:dyDescent="0.15">
      <c r="A755" s="10"/>
      <c r="B755" s="13"/>
      <c r="C755" s="13"/>
    </row>
    <row r="756" spans="1:3" ht="13" x14ac:dyDescent="0.15">
      <c r="A756" s="10"/>
      <c r="B756" s="13"/>
      <c r="C756" s="13"/>
    </row>
    <row r="757" spans="1:3" ht="13" x14ac:dyDescent="0.15">
      <c r="A757" s="10"/>
      <c r="B757" s="13"/>
      <c r="C757" s="13"/>
    </row>
    <row r="758" spans="1:3" ht="13" x14ac:dyDescent="0.15">
      <c r="A758" s="10"/>
      <c r="B758" s="13"/>
      <c r="C758" s="13"/>
    </row>
    <row r="759" spans="1:3" ht="13" x14ac:dyDescent="0.15">
      <c r="A759" s="10"/>
      <c r="B759" s="13"/>
      <c r="C759" s="13"/>
    </row>
    <row r="760" spans="1:3" ht="13" x14ac:dyDescent="0.15">
      <c r="A760" s="10"/>
      <c r="B760" s="13"/>
      <c r="C760" s="13"/>
    </row>
    <row r="761" spans="1:3" ht="13" x14ac:dyDescent="0.15">
      <c r="A761" s="10"/>
      <c r="B761" s="13"/>
      <c r="C761" s="13"/>
    </row>
    <row r="762" spans="1:3" ht="13" x14ac:dyDescent="0.15">
      <c r="A762" s="10"/>
      <c r="B762" s="13"/>
      <c r="C762" s="13"/>
    </row>
    <row r="763" spans="1:3" ht="13" x14ac:dyDescent="0.15">
      <c r="A763" s="10"/>
      <c r="B763" s="13"/>
      <c r="C763" s="13"/>
    </row>
    <row r="764" spans="1:3" ht="13" x14ac:dyDescent="0.15">
      <c r="A764" s="10"/>
      <c r="B764" s="13"/>
      <c r="C764" s="13"/>
    </row>
    <row r="765" spans="1:3" ht="13" x14ac:dyDescent="0.15">
      <c r="A765" s="10"/>
      <c r="B765" s="13"/>
      <c r="C765" s="13"/>
    </row>
    <row r="766" spans="1:3" ht="13" x14ac:dyDescent="0.15">
      <c r="A766" s="10"/>
      <c r="B766" s="13"/>
      <c r="C766" s="13"/>
    </row>
    <row r="767" spans="1:3" ht="13" x14ac:dyDescent="0.15">
      <c r="A767" s="10"/>
      <c r="B767" s="13"/>
      <c r="C767" s="13"/>
    </row>
    <row r="768" spans="1:3" ht="13" x14ac:dyDescent="0.15">
      <c r="A768" s="10"/>
      <c r="B768" s="13"/>
      <c r="C768" s="13"/>
    </row>
    <row r="769" spans="1:3" ht="13" x14ac:dyDescent="0.15">
      <c r="A769" s="10"/>
      <c r="B769" s="13"/>
      <c r="C769" s="13"/>
    </row>
    <row r="770" spans="1:3" ht="13" x14ac:dyDescent="0.15">
      <c r="A770" s="10"/>
      <c r="B770" s="13"/>
      <c r="C770" s="13"/>
    </row>
    <row r="771" spans="1:3" ht="13" x14ac:dyDescent="0.15">
      <c r="A771" s="10"/>
      <c r="B771" s="13"/>
      <c r="C771" s="13"/>
    </row>
    <row r="772" spans="1:3" ht="13" x14ac:dyDescent="0.15">
      <c r="A772" s="10"/>
      <c r="B772" s="13"/>
      <c r="C772" s="13"/>
    </row>
    <row r="773" spans="1:3" ht="13" x14ac:dyDescent="0.15">
      <c r="A773" s="10"/>
      <c r="B773" s="13"/>
      <c r="C773" s="13"/>
    </row>
    <row r="774" spans="1:3" ht="13" x14ac:dyDescent="0.15">
      <c r="A774" s="10"/>
      <c r="B774" s="13"/>
      <c r="C774" s="13"/>
    </row>
    <row r="775" spans="1:3" ht="13" x14ac:dyDescent="0.15">
      <c r="A775" s="10"/>
      <c r="B775" s="13"/>
      <c r="C775" s="13"/>
    </row>
    <row r="776" spans="1:3" ht="13" x14ac:dyDescent="0.15">
      <c r="A776" s="10"/>
      <c r="B776" s="13"/>
      <c r="C776" s="13"/>
    </row>
    <row r="777" spans="1:3" ht="13" x14ac:dyDescent="0.15">
      <c r="A777" s="10"/>
      <c r="B777" s="13"/>
      <c r="C777" s="13"/>
    </row>
    <row r="778" spans="1:3" ht="13" x14ac:dyDescent="0.15">
      <c r="A778" s="10"/>
      <c r="B778" s="13"/>
      <c r="C778" s="13"/>
    </row>
    <row r="779" spans="1:3" ht="13" x14ac:dyDescent="0.15">
      <c r="A779" s="10"/>
      <c r="B779" s="13"/>
      <c r="C779" s="13"/>
    </row>
    <row r="780" spans="1:3" ht="13" x14ac:dyDescent="0.15">
      <c r="A780" s="10"/>
      <c r="B780" s="13"/>
      <c r="C780" s="13"/>
    </row>
    <row r="781" spans="1:3" ht="13" x14ac:dyDescent="0.15">
      <c r="A781" s="10"/>
      <c r="B781" s="13"/>
      <c r="C781" s="13"/>
    </row>
    <row r="782" spans="1:3" ht="13" x14ac:dyDescent="0.15">
      <c r="A782" s="10"/>
      <c r="B782" s="13"/>
      <c r="C782" s="13"/>
    </row>
    <row r="783" spans="1:3" ht="13" x14ac:dyDescent="0.15">
      <c r="A783" s="10"/>
      <c r="B783" s="13"/>
      <c r="C783" s="13"/>
    </row>
    <row r="784" spans="1:3" ht="13" x14ac:dyDescent="0.15">
      <c r="A784" s="10"/>
      <c r="B784" s="13"/>
      <c r="C784" s="13"/>
    </row>
    <row r="785" spans="1:3" ht="13" x14ac:dyDescent="0.15">
      <c r="A785" s="10"/>
      <c r="B785" s="13"/>
      <c r="C785" s="13"/>
    </row>
    <row r="786" spans="1:3" ht="13" x14ac:dyDescent="0.15">
      <c r="A786" s="10"/>
      <c r="B786" s="13"/>
      <c r="C786" s="13"/>
    </row>
    <row r="787" spans="1:3" ht="13" x14ac:dyDescent="0.15">
      <c r="A787" s="10"/>
      <c r="B787" s="13"/>
      <c r="C787" s="13"/>
    </row>
    <row r="788" spans="1:3" ht="13" x14ac:dyDescent="0.15">
      <c r="A788" s="10"/>
      <c r="B788" s="13"/>
      <c r="C788" s="13"/>
    </row>
    <row r="789" spans="1:3" ht="13" x14ac:dyDescent="0.15">
      <c r="A789" s="10"/>
      <c r="B789" s="13"/>
      <c r="C789" s="13"/>
    </row>
    <row r="790" spans="1:3" ht="13" x14ac:dyDescent="0.15">
      <c r="A790" s="10"/>
      <c r="B790" s="13"/>
      <c r="C790" s="13"/>
    </row>
    <row r="791" spans="1:3" ht="13" x14ac:dyDescent="0.15">
      <c r="A791" s="10"/>
      <c r="B791" s="13"/>
      <c r="C791" s="13"/>
    </row>
    <row r="792" spans="1:3" ht="13" x14ac:dyDescent="0.15">
      <c r="A792" s="10"/>
      <c r="B792" s="13"/>
      <c r="C792" s="13"/>
    </row>
    <row r="793" spans="1:3" ht="13" x14ac:dyDescent="0.15">
      <c r="A793" s="10"/>
      <c r="B793" s="13"/>
      <c r="C793" s="13"/>
    </row>
    <row r="794" spans="1:3" ht="13" x14ac:dyDescent="0.15">
      <c r="A794" s="10"/>
      <c r="B794" s="13"/>
      <c r="C794" s="13"/>
    </row>
    <row r="795" spans="1:3" ht="13" x14ac:dyDescent="0.15">
      <c r="A795" s="10"/>
      <c r="B795" s="13"/>
      <c r="C795" s="13"/>
    </row>
    <row r="796" spans="1:3" ht="13" x14ac:dyDescent="0.15">
      <c r="A796" s="10"/>
      <c r="B796" s="13"/>
      <c r="C796" s="13"/>
    </row>
    <row r="797" spans="1:3" ht="13" x14ac:dyDescent="0.15">
      <c r="A797" s="10"/>
      <c r="B797" s="13"/>
      <c r="C797" s="13"/>
    </row>
    <row r="798" spans="1:3" ht="13" x14ac:dyDescent="0.15">
      <c r="A798" s="10"/>
      <c r="B798" s="13"/>
      <c r="C798" s="13"/>
    </row>
    <row r="799" spans="1:3" ht="13" x14ac:dyDescent="0.15">
      <c r="A799" s="10"/>
      <c r="B799" s="13"/>
      <c r="C799" s="13"/>
    </row>
    <row r="800" spans="1:3" ht="13" x14ac:dyDescent="0.15">
      <c r="A800" s="10"/>
      <c r="B800" s="13"/>
      <c r="C800" s="13"/>
    </row>
    <row r="801" spans="1:3" ht="13" x14ac:dyDescent="0.15">
      <c r="A801" s="10"/>
      <c r="B801" s="13"/>
      <c r="C801" s="13"/>
    </row>
    <row r="802" spans="1:3" ht="13" x14ac:dyDescent="0.15">
      <c r="A802" s="10"/>
      <c r="B802" s="13"/>
      <c r="C802" s="13"/>
    </row>
    <row r="803" spans="1:3" ht="13" x14ac:dyDescent="0.15">
      <c r="A803" s="10"/>
      <c r="B803" s="13"/>
      <c r="C803" s="13"/>
    </row>
    <row r="804" spans="1:3" ht="13" x14ac:dyDescent="0.15">
      <c r="A804" s="10"/>
      <c r="B804" s="13"/>
      <c r="C804" s="13"/>
    </row>
    <row r="805" spans="1:3" ht="13" x14ac:dyDescent="0.15">
      <c r="A805" s="10"/>
      <c r="B805" s="13"/>
      <c r="C805" s="13"/>
    </row>
    <row r="806" spans="1:3" ht="13" x14ac:dyDescent="0.15">
      <c r="A806" s="10"/>
      <c r="B806" s="13"/>
      <c r="C806" s="13"/>
    </row>
    <row r="807" spans="1:3" ht="13" x14ac:dyDescent="0.15">
      <c r="A807" s="10"/>
      <c r="B807" s="13"/>
      <c r="C807" s="13"/>
    </row>
    <row r="808" spans="1:3" ht="13" x14ac:dyDescent="0.15">
      <c r="A808" s="10"/>
      <c r="B808" s="13"/>
      <c r="C808" s="13"/>
    </row>
    <row r="809" spans="1:3" ht="13" x14ac:dyDescent="0.15">
      <c r="A809" s="10"/>
      <c r="B809" s="13"/>
      <c r="C809" s="13"/>
    </row>
    <row r="810" spans="1:3" ht="13" x14ac:dyDescent="0.15">
      <c r="A810" s="10"/>
      <c r="B810" s="13"/>
      <c r="C810" s="13"/>
    </row>
    <row r="811" spans="1:3" ht="13" x14ac:dyDescent="0.15">
      <c r="A811" s="10"/>
      <c r="B811" s="13"/>
      <c r="C811" s="13"/>
    </row>
    <row r="812" spans="1:3" ht="13" x14ac:dyDescent="0.15">
      <c r="A812" s="10"/>
      <c r="B812" s="13"/>
      <c r="C812" s="13"/>
    </row>
    <row r="813" spans="1:3" ht="13" x14ac:dyDescent="0.15">
      <c r="A813" s="10"/>
      <c r="B813" s="13"/>
      <c r="C813" s="13"/>
    </row>
    <row r="814" spans="1:3" ht="13" x14ac:dyDescent="0.15">
      <c r="A814" s="10"/>
      <c r="B814" s="13"/>
      <c r="C814" s="13"/>
    </row>
    <row r="815" spans="1:3" ht="13" x14ac:dyDescent="0.15">
      <c r="A815" s="10"/>
      <c r="B815" s="13"/>
      <c r="C815" s="13"/>
    </row>
    <row r="816" spans="1:3" ht="13" x14ac:dyDescent="0.15">
      <c r="A816" s="10"/>
      <c r="B816" s="13"/>
      <c r="C816" s="13"/>
    </row>
    <row r="817" spans="1:3" ht="13" x14ac:dyDescent="0.15">
      <c r="A817" s="10"/>
      <c r="B817" s="13"/>
      <c r="C817" s="13"/>
    </row>
    <row r="818" spans="1:3" ht="13" x14ac:dyDescent="0.15">
      <c r="A818" s="10"/>
      <c r="B818" s="13"/>
      <c r="C818" s="13"/>
    </row>
    <row r="819" spans="1:3" ht="13" x14ac:dyDescent="0.15">
      <c r="A819" s="10"/>
      <c r="B819" s="13"/>
      <c r="C819" s="13"/>
    </row>
    <row r="820" spans="1:3" ht="13" x14ac:dyDescent="0.15">
      <c r="A820" s="10"/>
      <c r="B820" s="13"/>
      <c r="C820" s="13"/>
    </row>
    <row r="821" spans="1:3" ht="13" x14ac:dyDescent="0.15">
      <c r="A821" s="10"/>
      <c r="B821" s="13"/>
      <c r="C821" s="13"/>
    </row>
    <row r="822" spans="1:3" ht="13" x14ac:dyDescent="0.15">
      <c r="A822" s="10"/>
      <c r="B822" s="13"/>
      <c r="C822" s="13"/>
    </row>
    <row r="823" spans="1:3" ht="13" x14ac:dyDescent="0.15">
      <c r="A823" s="10"/>
      <c r="B823" s="13"/>
      <c r="C823" s="13"/>
    </row>
    <row r="824" spans="1:3" ht="13" x14ac:dyDescent="0.15">
      <c r="A824" s="10"/>
      <c r="B824" s="13"/>
      <c r="C824" s="13"/>
    </row>
    <row r="825" spans="1:3" ht="13" x14ac:dyDescent="0.15">
      <c r="A825" s="10"/>
      <c r="B825" s="13"/>
      <c r="C825" s="13"/>
    </row>
    <row r="826" spans="1:3" ht="13" x14ac:dyDescent="0.15">
      <c r="A826" s="10"/>
      <c r="B826" s="13"/>
      <c r="C826" s="13"/>
    </row>
    <row r="827" spans="1:3" ht="13" x14ac:dyDescent="0.15">
      <c r="A827" s="10"/>
      <c r="B827" s="13"/>
      <c r="C827" s="13"/>
    </row>
    <row r="828" spans="1:3" ht="13" x14ac:dyDescent="0.15">
      <c r="A828" s="10"/>
      <c r="B828" s="13"/>
      <c r="C828" s="13"/>
    </row>
    <row r="829" spans="1:3" ht="13" x14ac:dyDescent="0.15">
      <c r="A829" s="10"/>
      <c r="B829" s="13"/>
      <c r="C829" s="13"/>
    </row>
    <row r="830" spans="1:3" ht="13" x14ac:dyDescent="0.15">
      <c r="A830" s="10"/>
      <c r="B830" s="13"/>
      <c r="C830" s="13"/>
    </row>
    <row r="831" spans="1:3" ht="13" x14ac:dyDescent="0.15">
      <c r="A831" s="10"/>
      <c r="B831" s="13"/>
      <c r="C831" s="13"/>
    </row>
    <row r="832" spans="1:3" ht="13" x14ac:dyDescent="0.15">
      <c r="A832" s="10"/>
      <c r="B832" s="13"/>
      <c r="C832" s="13"/>
    </row>
    <row r="833" spans="1:3" ht="13" x14ac:dyDescent="0.15">
      <c r="A833" s="10"/>
      <c r="B833" s="13"/>
      <c r="C833" s="13"/>
    </row>
    <row r="834" spans="1:3" ht="13" x14ac:dyDescent="0.15">
      <c r="A834" s="10"/>
      <c r="B834" s="13"/>
      <c r="C834" s="13"/>
    </row>
    <row r="835" spans="1:3" ht="13" x14ac:dyDescent="0.15">
      <c r="A835" s="10"/>
      <c r="B835" s="13"/>
      <c r="C835" s="13"/>
    </row>
    <row r="836" spans="1:3" ht="13" x14ac:dyDescent="0.15">
      <c r="A836" s="10"/>
      <c r="B836" s="13"/>
      <c r="C836" s="13"/>
    </row>
    <row r="837" spans="1:3" ht="13" x14ac:dyDescent="0.15">
      <c r="A837" s="10"/>
      <c r="B837" s="13"/>
      <c r="C837" s="13"/>
    </row>
    <row r="838" spans="1:3" ht="13" x14ac:dyDescent="0.15">
      <c r="A838" s="10"/>
      <c r="B838" s="13"/>
      <c r="C838" s="13"/>
    </row>
    <row r="839" spans="1:3" ht="13" x14ac:dyDescent="0.15">
      <c r="A839" s="10"/>
      <c r="B839" s="13"/>
      <c r="C839" s="13"/>
    </row>
    <row r="840" spans="1:3" ht="13" x14ac:dyDescent="0.15">
      <c r="A840" s="10"/>
      <c r="B840" s="13"/>
      <c r="C840" s="13"/>
    </row>
    <row r="841" spans="1:3" ht="13" x14ac:dyDescent="0.15">
      <c r="A841" s="10"/>
      <c r="B841" s="13"/>
      <c r="C841" s="13"/>
    </row>
    <row r="842" spans="1:3" ht="13" x14ac:dyDescent="0.15">
      <c r="A842" s="10"/>
      <c r="B842" s="13"/>
      <c r="C842" s="13"/>
    </row>
    <row r="843" spans="1:3" ht="13" x14ac:dyDescent="0.15">
      <c r="A843" s="10"/>
      <c r="B843" s="13"/>
      <c r="C843" s="13"/>
    </row>
    <row r="844" spans="1:3" ht="13" x14ac:dyDescent="0.15">
      <c r="A844" s="10"/>
      <c r="B844" s="13"/>
      <c r="C844" s="13"/>
    </row>
    <row r="845" spans="1:3" ht="13" x14ac:dyDescent="0.15">
      <c r="A845" s="10"/>
      <c r="B845" s="13"/>
      <c r="C845" s="13"/>
    </row>
    <row r="846" spans="1:3" ht="13" x14ac:dyDescent="0.15">
      <c r="A846" s="10"/>
      <c r="B846" s="13"/>
      <c r="C846" s="13"/>
    </row>
    <row r="847" spans="1:3" ht="13" x14ac:dyDescent="0.15">
      <c r="A847" s="10"/>
      <c r="B847" s="13"/>
      <c r="C847" s="13"/>
    </row>
    <row r="848" spans="1:3" ht="13" x14ac:dyDescent="0.15">
      <c r="A848" s="10"/>
      <c r="B848" s="13"/>
      <c r="C848" s="13"/>
    </row>
    <row r="849" spans="1:3" ht="13" x14ac:dyDescent="0.15">
      <c r="A849" s="10"/>
      <c r="B849" s="13"/>
      <c r="C849" s="13"/>
    </row>
    <row r="850" spans="1:3" ht="13" x14ac:dyDescent="0.15">
      <c r="A850" s="10"/>
      <c r="B850" s="13"/>
      <c r="C850" s="13"/>
    </row>
    <row r="851" spans="1:3" ht="13" x14ac:dyDescent="0.15">
      <c r="A851" s="10"/>
      <c r="B851" s="13"/>
      <c r="C851" s="13"/>
    </row>
    <row r="852" spans="1:3" ht="13" x14ac:dyDescent="0.15">
      <c r="A852" s="10"/>
      <c r="B852" s="13"/>
      <c r="C852" s="13"/>
    </row>
    <row r="853" spans="1:3" ht="13" x14ac:dyDescent="0.15">
      <c r="A853" s="10"/>
      <c r="B853" s="13"/>
      <c r="C853" s="13"/>
    </row>
    <row r="854" spans="1:3" ht="13" x14ac:dyDescent="0.15">
      <c r="A854" s="10"/>
      <c r="B854" s="13"/>
      <c r="C854" s="13"/>
    </row>
    <row r="855" spans="1:3" ht="13" x14ac:dyDescent="0.15">
      <c r="A855" s="10"/>
      <c r="B855" s="13"/>
      <c r="C855" s="13"/>
    </row>
    <row r="856" spans="1:3" ht="13" x14ac:dyDescent="0.15">
      <c r="A856" s="10"/>
      <c r="B856" s="13"/>
      <c r="C856" s="13"/>
    </row>
    <row r="857" spans="1:3" ht="13" x14ac:dyDescent="0.15">
      <c r="A857" s="10"/>
      <c r="B857" s="13"/>
      <c r="C857" s="13"/>
    </row>
    <row r="858" spans="1:3" ht="13" x14ac:dyDescent="0.15">
      <c r="A858" s="10"/>
      <c r="B858" s="13"/>
      <c r="C858" s="13"/>
    </row>
    <row r="859" spans="1:3" ht="13" x14ac:dyDescent="0.15">
      <c r="A859" s="10"/>
      <c r="B859" s="13"/>
      <c r="C859" s="13"/>
    </row>
    <row r="860" spans="1:3" ht="13" x14ac:dyDescent="0.15">
      <c r="A860" s="10"/>
      <c r="B860" s="13"/>
      <c r="C860" s="13"/>
    </row>
    <row r="861" spans="1:3" ht="13" x14ac:dyDescent="0.15">
      <c r="A861" s="10"/>
      <c r="B861" s="13"/>
      <c r="C861" s="13"/>
    </row>
    <row r="862" spans="1:3" ht="13" x14ac:dyDescent="0.15">
      <c r="A862" s="10"/>
      <c r="B862" s="13"/>
      <c r="C862" s="13"/>
    </row>
    <row r="863" spans="1:3" ht="13" x14ac:dyDescent="0.15">
      <c r="A863" s="10"/>
      <c r="B863" s="13"/>
      <c r="C863" s="13"/>
    </row>
    <row r="864" spans="1:3" ht="13" x14ac:dyDescent="0.15">
      <c r="A864" s="10"/>
      <c r="B864" s="13"/>
      <c r="C864" s="13"/>
    </row>
    <row r="865" spans="1:3" ht="13" x14ac:dyDescent="0.15">
      <c r="A865" s="10"/>
      <c r="B865" s="13"/>
      <c r="C865" s="13"/>
    </row>
    <row r="866" spans="1:3" ht="13" x14ac:dyDescent="0.15">
      <c r="A866" s="10"/>
      <c r="B866" s="13"/>
      <c r="C866" s="13"/>
    </row>
    <row r="867" spans="1:3" ht="13" x14ac:dyDescent="0.15">
      <c r="A867" s="10"/>
      <c r="B867" s="13"/>
      <c r="C867" s="13"/>
    </row>
    <row r="868" spans="1:3" ht="13" x14ac:dyDescent="0.15">
      <c r="A868" s="10"/>
      <c r="B868" s="13"/>
      <c r="C868" s="13"/>
    </row>
    <row r="869" spans="1:3" ht="13" x14ac:dyDescent="0.15">
      <c r="A869" s="10"/>
      <c r="B869" s="13"/>
      <c r="C869" s="13"/>
    </row>
    <row r="870" spans="1:3" ht="13" x14ac:dyDescent="0.15">
      <c r="A870" s="10"/>
      <c r="B870" s="13"/>
      <c r="C870" s="13"/>
    </row>
    <row r="871" spans="1:3" ht="13" x14ac:dyDescent="0.15">
      <c r="A871" s="10"/>
      <c r="B871" s="13"/>
      <c r="C871" s="13"/>
    </row>
    <row r="872" spans="1:3" ht="13" x14ac:dyDescent="0.15">
      <c r="A872" s="10"/>
      <c r="B872" s="13"/>
      <c r="C872" s="13"/>
    </row>
    <row r="873" spans="1:3" ht="13" x14ac:dyDescent="0.15">
      <c r="A873" s="10"/>
      <c r="B873" s="13"/>
      <c r="C873" s="13"/>
    </row>
    <row r="874" spans="1:3" ht="13" x14ac:dyDescent="0.15">
      <c r="A874" s="10"/>
      <c r="B874" s="13"/>
      <c r="C874" s="13"/>
    </row>
    <row r="875" spans="1:3" ht="13" x14ac:dyDescent="0.15">
      <c r="A875" s="10"/>
      <c r="B875" s="13"/>
      <c r="C875" s="13"/>
    </row>
    <row r="876" spans="1:3" ht="13" x14ac:dyDescent="0.15">
      <c r="A876" s="10"/>
      <c r="B876" s="13"/>
      <c r="C876" s="13"/>
    </row>
    <row r="877" spans="1:3" ht="13" x14ac:dyDescent="0.15">
      <c r="A877" s="10"/>
      <c r="B877" s="13"/>
      <c r="C877" s="13"/>
    </row>
    <row r="878" spans="1:3" ht="13" x14ac:dyDescent="0.15">
      <c r="A878" s="10"/>
      <c r="B878" s="13"/>
      <c r="C878" s="13"/>
    </row>
    <row r="879" spans="1:3" ht="13" x14ac:dyDescent="0.15">
      <c r="A879" s="10"/>
      <c r="B879" s="13"/>
      <c r="C879" s="13"/>
    </row>
    <row r="880" spans="1:3" ht="13" x14ac:dyDescent="0.15">
      <c r="A880" s="10"/>
      <c r="B880" s="13"/>
      <c r="C880" s="13"/>
    </row>
    <row r="881" spans="1:3" ht="13" x14ac:dyDescent="0.15">
      <c r="A881" s="10"/>
      <c r="B881" s="13"/>
      <c r="C881" s="13"/>
    </row>
    <row r="882" spans="1:3" ht="13" x14ac:dyDescent="0.15">
      <c r="A882" s="10"/>
      <c r="B882" s="13"/>
      <c r="C882" s="13"/>
    </row>
    <row r="883" spans="1:3" ht="13" x14ac:dyDescent="0.15">
      <c r="A883" s="10"/>
      <c r="B883" s="13"/>
      <c r="C883" s="13"/>
    </row>
    <row r="884" spans="1:3" ht="13" x14ac:dyDescent="0.15">
      <c r="A884" s="10"/>
      <c r="B884" s="13"/>
      <c r="C884" s="13"/>
    </row>
    <row r="885" spans="1:3" ht="13" x14ac:dyDescent="0.15">
      <c r="A885" s="10"/>
      <c r="B885" s="13"/>
      <c r="C885" s="13"/>
    </row>
    <row r="886" spans="1:3" ht="13" x14ac:dyDescent="0.15">
      <c r="A886" s="10"/>
      <c r="B886" s="13"/>
      <c r="C886" s="13"/>
    </row>
    <row r="887" spans="1:3" ht="13" x14ac:dyDescent="0.15">
      <c r="A887" s="10"/>
      <c r="B887" s="13"/>
      <c r="C887" s="13"/>
    </row>
    <row r="888" spans="1:3" ht="13" x14ac:dyDescent="0.15">
      <c r="A888" s="10"/>
      <c r="B888" s="13"/>
      <c r="C888" s="13"/>
    </row>
    <row r="889" spans="1:3" ht="13" x14ac:dyDescent="0.15">
      <c r="A889" s="10"/>
      <c r="B889" s="13"/>
      <c r="C889" s="13"/>
    </row>
    <row r="890" spans="1:3" ht="13" x14ac:dyDescent="0.15">
      <c r="A890" s="10"/>
      <c r="B890" s="13"/>
      <c r="C890" s="13"/>
    </row>
    <row r="891" spans="1:3" ht="13" x14ac:dyDescent="0.15">
      <c r="A891" s="10"/>
      <c r="B891" s="13"/>
      <c r="C891" s="13"/>
    </row>
    <row r="892" spans="1:3" ht="13" x14ac:dyDescent="0.15">
      <c r="A892" s="10"/>
      <c r="B892" s="13"/>
      <c r="C892" s="13"/>
    </row>
    <row r="893" spans="1:3" ht="13" x14ac:dyDescent="0.15">
      <c r="A893" s="10"/>
      <c r="B893" s="13"/>
      <c r="C893" s="13"/>
    </row>
    <row r="894" spans="1:3" ht="13" x14ac:dyDescent="0.15">
      <c r="A894" s="10"/>
      <c r="B894" s="13"/>
      <c r="C894" s="13"/>
    </row>
    <row r="895" spans="1:3" ht="13" x14ac:dyDescent="0.15">
      <c r="A895" s="10"/>
      <c r="B895" s="13"/>
      <c r="C895" s="13"/>
    </row>
    <row r="896" spans="1:3" ht="13" x14ac:dyDescent="0.15">
      <c r="A896" s="10"/>
      <c r="B896" s="13"/>
      <c r="C896" s="13"/>
    </row>
    <row r="897" spans="1:3" ht="13" x14ac:dyDescent="0.15">
      <c r="A897" s="10"/>
      <c r="B897" s="13"/>
      <c r="C897" s="13"/>
    </row>
    <row r="898" spans="1:3" ht="13" x14ac:dyDescent="0.15">
      <c r="A898" s="10"/>
      <c r="B898" s="13"/>
      <c r="C898" s="13"/>
    </row>
    <row r="899" spans="1:3" ht="13" x14ac:dyDescent="0.15">
      <c r="A899" s="10"/>
      <c r="B899" s="13"/>
      <c r="C899" s="13"/>
    </row>
    <row r="900" spans="1:3" ht="13" x14ac:dyDescent="0.15">
      <c r="A900" s="10"/>
      <c r="B900" s="13"/>
      <c r="C900" s="13"/>
    </row>
    <row r="901" spans="1:3" ht="13" x14ac:dyDescent="0.15">
      <c r="A901" s="10"/>
      <c r="B901" s="13"/>
      <c r="C901" s="13"/>
    </row>
    <row r="902" spans="1:3" ht="13" x14ac:dyDescent="0.15">
      <c r="A902" s="10"/>
      <c r="B902" s="13"/>
      <c r="C902" s="13"/>
    </row>
    <row r="903" spans="1:3" ht="13" x14ac:dyDescent="0.15">
      <c r="A903" s="10"/>
      <c r="B903" s="13"/>
      <c r="C903" s="13"/>
    </row>
    <row r="904" spans="1:3" ht="13" x14ac:dyDescent="0.15">
      <c r="A904" s="10"/>
      <c r="B904" s="13"/>
      <c r="C904" s="13"/>
    </row>
    <row r="905" spans="1:3" ht="13" x14ac:dyDescent="0.15">
      <c r="A905" s="10"/>
      <c r="B905" s="13"/>
      <c r="C905" s="13"/>
    </row>
    <row r="906" spans="1:3" ht="13" x14ac:dyDescent="0.15">
      <c r="A906" s="10"/>
      <c r="B906" s="13"/>
      <c r="C906" s="13"/>
    </row>
    <row r="907" spans="1:3" ht="13" x14ac:dyDescent="0.15">
      <c r="A907" s="10"/>
      <c r="B907" s="13"/>
      <c r="C907" s="13"/>
    </row>
    <row r="908" spans="1:3" ht="13" x14ac:dyDescent="0.15">
      <c r="A908" s="10"/>
      <c r="B908" s="13"/>
      <c r="C908" s="13"/>
    </row>
    <row r="909" spans="1:3" ht="13" x14ac:dyDescent="0.15">
      <c r="A909" s="10"/>
      <c r="B909" s="13"/>
      <c r="C909" s="13"/>
    </row>
    <row r="910" spans="1:3" ht="13" x14ac:dyDescent="0.15">
      <c r="A910" s="10"/>
      <c r="B910" s="13"/>
      <c r="C910" s="13"/>
    </row>
    <row r="911" spans="1:3" ht="13" x14ac:dyDescent="0.15">
      <c r="A911" s="10"/>
      <c r="B911" s="13"/>
      <c r="C911" s="13"/>
    </row>
    <row r="912" spans="1:3" ht="13" x14ac:dyDescent="0.15">
      <c r="A912" s="10"/>
      <c r="B912" s="13"/>
      <c r="C912" s="13"/>
    </row>
    <row r="913" spans="1:3" ht="13" x14ac:dyDescent="0.15">
      <c r="A913" s="10"/>
      <c r="B913" s="13"/>
      <c r="C913" s="13"/>
    </row>
    <row r="914" spans="1:3" ht="13" x14ac:dyDescent="0.15">
      <c r="A914" s="10"/>
      <c r="B914" s="13"/>
      <c r="C914" s="13"/>
    </row>
    <row r="915" spans="1:3" ht="13" x14ac:dyDescent="0.15">
      <c r="A915" s="10"/>
      <c r="B915" s="13"/>
      <c r="C915" s="13"/>
    </row>
    <row r="916" spans="1:3" ht="13" x14ac:dyDescent="0.15">
      <c r="A916" s="10"/>
      <c r="B916" s="13"/>
      <c r="C916" s="13"/>
    </row>
    <row r="917" spans="1:3" ht="13" x14ac:dyDescent="0.15">
      <c r="A917" s="10"/>
      <c r="B917" s="13"/>
      <c r="C917" s="13"/>
    </row>
    <row r="918" spans="1:3" ht="13" x14ac:dyDescent="0.15">
      <c r="A918" s="10"/>
      <c r="B918" s="13"/>
      <c r="C918" s="13"/>
    </row>
    <row r="919" spans="1:3" ht="13" x14ac:dyDescent="0.15">
      <c r="A919" s="10"/>
      <c r="B919" s="13"/>
      <c r="C919" s="13"/>
    </row>
    <row r="920" spans="1:3" ht="13" x14ac:dyDescent="0.15">
      <c r="A920" s="10"/>
      <c r="B920" s="13"/>
      <c r="C920" s="13"/>
    </row>
    <row r="921" spans="1:3" ht="13" x14ac:dyDescent="0.15">
      <c r="A921" s="10"/>
      <c r="B921" s="13"/>
      <c r="C921" s="13"/>
    </row>
    <row r="922" spans="1:3" ht="13" x14ac:dyDescent="0.15">
      <c r="A922" s="10"/>
      <c r="B922" s="13"/>
      <c r="C922" s="13"/>
    </row>
    <row r="923" spans="1:3" ht="13" x14ac:dyDescent="0.15">
      <c r="A923" s="10"/>
      <c r="B923" s="13"/>
      <c r="C923" s="13"/>
    </row>
    <row r="924" spans="1:3" ht="13" x14ac:dyDescent="0.15">
      <c r="A924" s="10"/>
      <c r="B924" s="13"/>
      <c r="C924" s="13"/>
    </row>
    <row r="925" spans="1:3" ht="13" x14ac:dyDescent="0.15">
      <c r="A925" s="10"/>
      <c r="B925" s="13"/>
      <c r="C925" s="13"/>
    </row>
    <row r="926" spans="1:3" ht="13" x14ac:dyDescent="0.15">
      <c r="A926" s="10"/>
      <c r="B926" s="13"/>
      <c r="C926" s="13"/>
    </row>
    <row r="927" spans="1:3" ht="13" x14ac:dyDescent="0.15">
      <c r="A927" s="10"/>
      <c r="B927" s="13"/>
      <c r="C927" s="13"/>
    </row>
    <row r="928" spans="1:3" ht="13" x14ac:dyDescent="0.15">
      <c r="A928" s="10"/>
      <c r="B928" s="13"/>
      <c r="C928" s="13"/>
    </row>
    <row r="929" spans="1:3" ht="13" x14ac:dyDescent="0.15">
      <c r="A929" s="10"/>
      <c r="B929" s="13"/>
      <c r="C929" s="13"/>
    </row>
    <row r="930" spans="1:3" ht="13" x14ac:dyDescent="0.15">
      <c r="A930" s="10"/>
      <c r="B930" s="13"/>
      <c r="C930" s="13"/>
    </row>
    <row r="931" spans="1:3" ht="13" x14ac:dyDescent="0.15">
      <c r="A931" s="10"/>
      <c r="B931" s="13"/>
      <c r="C931" s="13"/>
    </row>
    <row r="932" spans="1:3" ht="13" x14ac:dyDescent="0.15">
      <c r="A932" s="10"/>
      <c r="B932" s="13"/>
      <c r="C932" s="13"/>
    </row>
    <row r="933" spans="1:3" ht="13" x14ac:dyDescent="0.15">
      <c r="A933" s="10"/>
      <c r="B933" s="13"/>
      <c r="C933" s="13"/>
    </row>
    <row r="934" spans="1:3" ht="13" x14ac:dyDescent="0.15">
      <c r="A934" s="10"/>
      <c r="B934" s="13"/>
      <c r="C934" s="13"/>
    </row>
    <row r="935" spans="1:3" ht="13" x14ac:dyDescent="0.15">
      <c r="A935" s="10"/>
      <c r="B935" s="13"/>
      <c r="C935" s="13"/>
    </row>
    <row r="936" spans="1:3" ht="13" x14ac:dyDescent="0.15">
      <c r="A936" s="10"/>
      <c r="B936" s="13"/>
      <c r="C936" s="13"/>
    </row>
    <row r="937" spans="1:3" ht="13" x14ac:dyDescent="0.15">
      <c r="A937" s="10"/>
      <c r="B937" s="13"/>
      <c r="C937" s="13"/>
    </row>
    <row r="938" spans="1:3" ht="13" x14ac:dyDescent="0.15">
      <c r="A938" s="10"/>
      <c r="B938" s="13"/>
      <c r="C938" s="13"/>
    </row>
    <row r="939" spans="1:3" ht="13" x14ac:dyDescent="0.15">
      <c r="A939" s="10"/>
      <c r="B939" s="13"/>
      <c r="C939" s="13"/>
    </row>
    <row r="940" spans="1:3" ht="13" x14ac:dyDescent="0.15">
      <c r="A940" s="10"/>
      <c r="B940" s="13"/>
      <c r="C940" s="13"/>
    </row>
    <row r="941" spans="1:3" ht="13" x14ac:dyDescent="0.15">
      <c r="A941" s="10"/>
      <c r="B941" s="13"/>
      <c r="C941" s="13"/>
    </row>
    <row r="942" spans="1:3" ht="13" x14ac:dyDescent="0.15">
      <c r="A942" s="10"/>
      <c r="B942" s="13"/>
      <c r="C942" s="13"/>
    </row>
    <row r="943" spans="1:3" ht="13" x14ac:dyDescent="0.15">
      <c r="A943" s="10"/>
      <c r="B943" s="13"/>
      <c r="C943" s="13"/>
    </row>
    <row r="944" spans="1:3" ht="13" x14ac:dyDescent="0.15">
      <c r="A944" s="10"/>
      <c r="B944" s="13"/>
      <c r="C944" s="13"/>
    </row>
    <row r="945" spans="1:3" ht="13" x14ac:dyDescent="0.15">
      <c r="A945" s="10"/>
      <c r="B945" s="13"/>
      <c r="C945" s="13"/>
    </row>
    <row r="946" spans="1:3" ht="13" x14ac:dyDescent="0.15">
      <c r="A946" s="10"/>
      <c r="B946" s="13"/>
      <c r="C946" s="13"/>
    </row>
    <row r="947" spans="1:3" ht="13" x14ac:dyDescent="0.15">
      <c r="A947" s="10"/>
      <c r="B947" s="13"/>
      <c r="C947" s="13"/>
    </row>
    <row r="948" spans="1:3" ht="13" x14ac:dyDescent="0.15">
      <c r="A948" s="10"/>
      <c r="B948" s="13"/>
      <c r="C948" s="13"/>
    </row>
    <row r="949" spans="1:3" ht="13" x14ac:dyDescent="0.15">
      <c r="A949" s="10"/>
      <c r="B949" s="13"/>
      <c r="C949" s="13"/>
    </row>
    <row r="950" spans="1:3" ht="13" x14ac:dyDescent="0.15">
      <c r="A950" s="10"/>
      <c r="B950" s="13"/>
      <c r="C950" s="13"/>
    </row>
    <row r="951" spans="1:3" ht="13" x14ac:dyDescent="0.15">
      <c r="A951" s="10"/>
      <c r="B951" s="13"/>
      <c r="C951" s="13"/>
    </row>
    <row r="952" spans="1:3" ht="13" x14ac:dyDescent="0.15">
      <c r="A952" s="10"/>
      <c r="B952" s="13"/>
      <c r="C952" s="13"/>
    </row>
    <row r="953" spans="1:3" ht="13" x14ac:dyDescent="0.15">
      <c r="A953" s="10"/>
      <c r="B953" s="13"/>
      <c r="C953" s="13"/>
    </row>
    <row r="954" spans="1:3" ht="13" x14ac:dyDescent="0.15">
      <c r="A954" s="10"/>
      <c r="B954" s="13"/>
      <c r="C954" s="13"/>
    </row>
    <row r="955" spans="1:3" ht="13" x14ac:dyDescent="0.15">
      <c r="A955" s="10"/>
      <c r="B955" s="13"/>
      <c r="C955" s="13"/>
    </row>
    <row r="956" spans="1:3" ht="13" x14ac:dyDescent="0.15">
      <c r="A956" s="10"/>
      <c r="B956" s="13"/>
      <c r="C956" s="13"/>
    </row>
    <row r="957" spans="1:3" ht="13" x14ac:dyDescent="0.15">
      <c r="A957" s="10"/>
      <c r="B957" s="13"/>
      <c r="C957" s="13"/>
    </row>
    <row r="958" spans="1:3" ht="13" x14ac:dyDescent="0.15">
      <c r="A958" s="10"/>
      <c r="B958" s="13"/>
      <c r="C958" s="13"/>
    </row>
    <row r="959" spans="1:3" ht="13" x14ac:dyDescent="0.15">
      <c r="A959" s="10"/>
      <c r="B959" s="13"/>
      <c r="C959" s="13"/>
    </row>
    <row r="960" spans="1:3" ht="13" x14ac:dyDescent="0.15">
      <c r="A960" s="10"/>
      <c r="B960" s="13"/>
      <c r="C960" s="13"/>
    </row>
    <row r="961" spans="1:3" ht="13" x14ac:dyDescent="0.15">
      <c r="A961" s="10"/>
      <c r="B961" s="13"/>
      <c r="C961" s="13"/>
    </row>
    <row r="962" spans="1:3" ht="13" x14ac:dyDescent="0.15">
      <c r="A962" s="10"/>
      <c r="B962" s="13"/>
      <c r="C962" s="13"/>
    </row>
    <row r="963" spans="1:3" ht="13" x14ac:dyDescent="0.15">
      <c r="A963" s="10"/>
      <c r="B963" s="13"/>
      <c r="C963" s="13"/>
    </row>
    <row r="964" spans="1:3" ht="13" x14ac:dyDescent="0.15">
      <c r="A964" s="10"/>
      <c r="B964" s="13"/>
      <c r="C964" s="13"/>
    </row>
    <row r="965" spans="1:3" ht="13" x14ac:dyDescent="0.15">
      <c r="A965" s="10"/>
      <c r="B965" s="13"/>
      <c r="C965" s="13"/>
    </row>
    <row r="966" spans="1:3" ht="13" x14ac:dyDescent="0.15">
      <c r="A966" s="10"/>
      <c r="B966" s="13"/>
      <c r="C966" s="13"/>
    </row>
    <row r="967" spans="1:3" ht="13" x14ac:dyDescent="0.15">
      <c r="A967" s="10"/>
      <c r="B967" s="13"/>
      <c r="C967" s="13"/>
    </row>
    <row r="968" spans="1:3" ht="13" x14ac:dyDescent="0.15">
      <c r="A968" s="10"/>
      <c r="B968" s="13"/>
      <c r="C968" s="13"/>
    </row>
    <row r="969" spans="1:3" ht="13" x14ac:dyDescent="0.15">
      <c r="A969" s="10"/>
      <c r="B969" s="13"/>
      <c r="C969" s="13"/>
    </row>
    <row r="970" spans="1:3" ht="13" x14ac:dyDescent="0.15">
      <c r="A970" s="10"/>
      <c r="B970" s="13"/>
      <c r="C970" s="13"/>
    </row>
    <row r="971" spans="1:3" ht="13" x14ac:dyDescent="0.15">
      <c r="A971" s="10"/>
      <c r="B971" s="13"/>
      <c r="C971" s="13"/>
    </row>
    <row r="972" spans="1:3" ht="13" x14ac:dyDescent="0.15">
      <c r="A972" s="10"/>
      <c r="B972" s="13"/>
      <c r="C972" s="13"/>
    </row>
    <row r="973" spans="1:3" ht="13" x14ac:dyDescent="0.15">
      <c r="A973" s="10"/>
      <c r="B973" s="13"/>
      <c r="C973" s="13"/>
    </row>
    <row r="974" spans="1:3" ht="13" x14ac:dyDescent="0.15">
      <c r="A974" s="10"/>
      <c r="B974" s="13"/>
      <c r="C974" s="13"/>
    </row>
    <row r="975" spans="1:3" ht="13" x14ac:dyDescent="0.15">
      <c r="A975" s="10"/>
      <c r="B975" s="13"/>
      <c r="C975" s="13"/>
    </row>
    <row r="976" spans="1:3" ht="13" x14ac:dyDescent="0.15">
      <c r="A976" s="10"/>
      <c r="B976" s="13"/>
      <c r="C976" s="13"/>
    </row>
    <row r="977" spans="1:3" ht="13" x14ac:dyDescent="0.15">
      <c r="A977" s="10"/>
      <c r="B977" s="13"/>
      <c r="C977" s="13"/>
    </row>
    <row r="978" spans="1:3" ht="13" x14ac:dyDescent="0.15">
      <c r="A978" s="10"/>
      <c r="B978" s="13"/>
      <c r="C978" s="13"/>
    </row>
    <row r="979" spans="1:3" ht="13" x14ac:dyDescent="0.15">
      <c r="A979" s="10"/>
      <c r="B979" s="13"/>
      <c r="C979" s="13"/>
    </row>
    <row r="980" spans="1:3" ht="13" x14ac:dyDescent="0.15">
      <c r="A980" s="10"/>
      <c r="B980" s="13"/>
      <c r="C980" s="13"/>
    </row>
    <row r="981" spans="1:3" ht="13" x14ac:dyDescent="0.15">
      <c r="A981" s="10"/>
      <c r="B981" s="13"/>
      <c r="C981" s="13"/>
    </row>
    <row r="982" spans="1:3" ht="13" x14ac:dyDescent="0.15">
      <c r="A982" s="10"/>
      <c r="B982" s="13"/>
      <c r="C982" s="13"/>
    </row>
    <row r="983" spans="1:3" ht="13" x14ac:dyDescent="0.15">
      <c r="A983" s="10"/>
      <c r="B983" s="13"/>
      <c r="C983" s="13"/>
    </row>
    <row r="984" spans="1:3" ht="13" x14ac:dyDescent="0.15">
      <c r="A984" s="10"/>
      <c r="B984" s="13"/>
      <c r="C984" s="13"/>
    </row>
    <row r="985" spans="1:3" ht="13" x14ac:dyDescent="0.15">
      <c r="A985" s="10"/>
      <c r="B985" s="13"/>
      <c r="C985" s="13"/>
    </row>
    <row r="986" spans="1:3" ht="13" x14ac:dyDescent="0.15">
      <c r="A986" s="10"/>
      <c r="B986" s="13"/>
      <c r="C986" s="13"/>
    </row>
    <row r="987" spans="1:3" ht="13" x14ac:dyDescent="0.15">
      <c r="A987" s="10"/>
      <c r="B987" s="13"/>
      <c r="C987" s="13"/>
    </row>
    <row r="988" spans="1:3" ht="13" x14ac:dyDescent="0.15">
      <c r="A988" s="10"/>
      <c r="B988" s="13"/>
      <c r="C988" s="13"/>
    </row>
    <row r="989" spans="1:3" ht="13" x14ac:dyDescent="0.15">
      <c r="A989" s="10"/>
      <c r="B989" s="13"/>
      <c r="C989" s="13"/>
    </row>
    <row r="990" spans="1:3" ht="13" x14ac:dyDescent="0.15">
      <c r="A990" s="10"/>
      <c r="B990" s="13"/>
      <c r="C990" s="13"/>
    </row>
    <row r="991" spans="1:3" ht="13" x14ac:dyDescent="0.15">
      <c r="A991" s="10"/>
      <c r="B991" s="13"/>
      <c r="C991" s="13"/>
    </row>
    <row r="992" spans="1:3" ht="13" x14ac:dyDescent="0.15">
      <c r="A992" s="10"/>
      <c r="B992" s="13"/>
      <c r="C992" s="13"/>
    </row>
    <row r="993" spans="1:3" ht="13" x14ac:dyDescent="0.15">
      <c r="A993" s="10"/>
      <c r="B993" s="13"/>
      <c r="C993" s="13"/>
    </row>
    <row r="994" spans="1:3" ht="13" x14ac:dyDescent="0.15">
      <c r="A994" s="10"/>
      <c r="B994" s="13"/>
      <c r="C994" s="13"/>
    </row>
    <row r="995" spans="1:3" ht="13" x14ac:dyDescent="0.15">
      <c r="A995" s="10"/>
      <c r="B995" s="13"/>
      <c r="C995" s="13"/>
    </row>
    <row r="996" spans="1:3" ht="13" x14ac:dyDescent="0.15">
      <c r="A996" s="10"/>
      <c r="B996" s="13"/>
      <c r="C996" s="13"/>
    </row>
    <row r="997" spans="1:3" ht="13" x14ac:dyDescent="0.15">
      <c r="A997" s="10"/>
      <c r="B997" s="13"/>
      <c r="C997" s="13"/>
    </row>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outlinePr summaryBelow="0" summaryRight="0"/>
  </sheetPr>
  <dimension ref="A1:D997"/>
  <sheetViews>
    <sheetView workbookViewId="0"/>
  </sheetViews>
  <sheetFormatPr baseColWidth="10" defaultColWidth="12.6640625" defaultRowHeight="15.75" customHeight="1" x14ac:dyDescent="0.15"/>
  <cols>
    <col min="1" max="1" width="71.5" customWidth="1"/>
    <col min="2" max="4" width="37.6640625" customWidth="1"/>
  </cols>
  <sheetData>
    <row r="1" spans="1:4" x14ac:dyDescent="0.2">
      <c r="A1" s="1"/>
      <c r="B1" s="12" t="str">
        <f ca="1">IFERROR(__xludf.DUMMYFUNCTION("IMPORTRANGE(""https://docs.google.com/spreadsheets/d/19FYWDv6QyCNB_zbElAOE5cOI1IJ2jraXGOFWNs-qsQM"",""A63!B1:B22"")"),"Braden Brennan")</f>
        <v>Braden Brennan</v>
      </c>
      <c r="C1" s="21" t="str">
        <f ca="1">IFERROR(__xludf.DUMMYFUNCTION("IMPORTRANGE(""https://docs.google.com/spreadsheets/d/1Eq2M_a4_TeZImjU1FJcBSaIp6Xib8-RIHm3cQ24mbRI"", ""A63!B1:B22"")"),"Zachary Edwards")</f>
        <v>Zachary Edwards</v>
      </c>
      <c r="D1" s="2" t="s">
        <v>1</v>
      </c>
    </row>
    <row r="2" spans="1:4" ht="15.75" customHeight="1" x14ac:dyDescent="0.15">
      <c r="A2" s="3" t="s">
        <v>2</v>
      </c>
      <c r="B2" s="15" t="str">
        <f ca="1">IFERROR(__xludf.DUMMYFUNCTION("""COMPUTED_VALUE"""),"34619 - 34771")</f>
        <v>34619 - 34771</v>
      </c>
      <c r="C2" s="15" t="str">
        <f ca="1">IFERROR(__xludf.DUMMYFUNCTION("""COMPUTED_VALUE"""),"PHAM Start:34619 Stop:34771
DNAM Start:34619 Stop:34771")</f>
        <v>PHAM Start:34619 Stop:34771
DNAM Start:34619 Stop:34771</v>
      </c>
      <c r="D2" s="4"/>
    </row>
    <row r="3" spans="1:4" ht="15.75" customHeight="1" x14ac:dyDescent="0.15">
      <c r="A3" s="5" t="s">
        <v>3</v>
      </c>
      <c r="B3" s="17" t="str">
        <f ca="1">IFERROR(__xludf.DUMMYFUNCTION("""COMPUTED_VALUE"""),"Pham 63 DNAM:62")</f>
        <v>Pham 63 DNAM:62</v>
      </c>
      <c r="C3" s="17" t="str">
        <f ca="1">IFERROR(__xludf.DUMMYFUNCTION("""COMPUTED_VALUE"""),"PHAM: Gene 63
DNAM: Gene 62")</f>
        <v>PHAM: Gene 63
DNAM: Gene 62</v>
      </c>
      <c r="D3" s="6"/>
    </row>
    <row r="4" spans="1:4" ht="15.75" customHeight="1" x14ac:dyDescent="0.15">
      <c r="A4" s="5" t="s">
        <v>4</v>
      </c>
      <c r="B4" s="17" t="str">
        <f ca="1">IFERROR(__xludf.DUMMYFUNCTION("""COMPUTED_VALUE"""),"pham 6077    3/13/2025")</f>
        <v>pham 6077    3/13/2025</v>
      </c>
      <c r="C4" s="17" t="str">
        <f ca="1">IFERROR(__xludf.DUMMYFUNCTION("""COMPUTED_VALUE"""),"6077 3/17/25")</f>
        <v>6077 3/17/25</v>
      </c>
      <c r="D4" s="6"/>
    </row>
    <row r="5" spans="1:4" ht="15.75" customHeight="1" x14ac:dyDescent="0.15">
      <c r="A5" s="5" t="s">
        <v>5</v>
      </c>
      <c r="B5" s="17"/>
      <c r="C5" s="17" t="str">
        <f ca="1">IFERROR(__xludf.DUMMYFUNCTION("""COMPUTED_VALUE"""),"Kovu_60")</f>
        <v>Kovu_60</v>
      </c>
      <c r="D5" s="6"/>
    </row>
    <row r="6" spans="1:4" ht="15.75" customHeight="1" x14ac:dyDescent="0.15">
      <c r="A6" s="5" t="s">
        <v>6</v>
      </c>
      <c r="B6" s="17" t="str">
        <f ca="1">IFERROR(__xludf.DUMMYFUNCTION("""COMPUTED_VALUE"""),"Glimmer calls 34619 strenght 14.47")</f>
        <v>Glimmer calls 34619 strenght 14.47</v>
      </c>
      <c r="C6" s="17" t="str">
        <f ca="1">IFERROR(__xludf.DUMMYFUNCTION("""COMPUTED_VALUE"""),"Both call it a gene")</f>
        <v>Both call it a gene</v>
      </c>
      <c r="D6" s="6"/>
    </row>
    <row r="7" spans="1:4" ht="15.75" customHeight="1" x14ac:dyDescent="0.15">
      <c r="A7" s="5" t="s">
        <v>7</v>
      </c>
      <c r="B7" s="17" t="str">
        <f ca="1">IFERROR(__xludf.DUMMYFUNCTION("""COMPUTED_VALUE"""),"good coding potential but a little odd")</f>
        <v>good coding potential but a little odd</v>
      </c>
      <c r="C7" s="17" t="str">
        <f ca="1">IFERROR(__xludf.DUMMYFUNCTION("""COMPUTED_VALUE"""),"All included not the best at the beginning still good")</f>
        <v>All included not the best at the beginning still good</v>
      </c>
      <c r="D7" s="6"/>
    </row>
    <row r="8" spans="1:4" ht="15.75" customHeight="1" x14ac:dyDescent="0.15">
      <c r="A8" s="5" t="s">
        <v>8</v>
      </c>
      <c r="B8" s="17" t="str">
        <f ca="1">IFERROR(__xludf.DUMMYFUNCTION("""COMPUTED_VALUE"""),"yes longest possible ")</f>
        <v xml:space="preserve">yes longest possible </v>
      </c>
      <c r="C8" s="17" t="str">
        <f ca="1">IFERROR(__xludf.DUMMYFUNCTION("""COMPUTED_VALUE"""),"Yes")</f>
        <v>Yes</v>
      </c>
      <c r="D8" s="6"/>
    </row>
    <row r="9" spans="1:4" ht="15.75" customHeight="1" x14ac:dyDescent="0.15">
      <c r="A9" s="5" t="s">
        <v>9</v>
      </c>
      <c r="B9" s="17" t="str">
        <f ca="1">IFERROR(__xludf.DUMMYFUNCTION("""COMPUTED_VALUE"""),"150 nucleotide gap")</f>
        <v>150 nucleotide gap</v>
      </c>
      <c r="C9" s="17" t="str">
        <f ca="1">IFERROR(__xludf.DUMMYFUNCTION("""COMPUTED_VALUE"""),"150 Gap at beginning
1 NT Overlap")</f>
        <v>150 Gap at beginning
1 NT Overlap</v>
      </c>
      <c r="D9" s="6"/>
    </row>
    <row r="10" spans="1:4" ht="15.75" customHeight="1" x14ac:dyDescent="0.15">
      <c r="A10" s="5" t="s">
        <v>10</v>
      </c>
      <c r="B10" s="17" t="str">
        <f ca="1">IFERROR(__xludf.DUMMYFUNCTION("""COMPUTED_VALUE"""),"SD:-1.593, Z: 3.030, Final: -2.638")</f>
        <v>SD:-1.593, Z: 3.030, Final: -2.638</v>
      </c>
      <c r="C10" s="17" t="str">
        <f ca="1">IFERROR(__xludf.DUMMYFUNCTION("""COMPUTED_VALUE"""),"3.045 (34619) and 1.925 (34600)")</f>
        <v>3.045 (34619) and 1.925 (34600)</v>
      </c>
      <c r="D10" s="6"/>
    </row>
    <row r="11" spans="1:4" ht="15.75" customHeight="1" x14ac:dyDescent="0.15">
      <c r="A11" s="5" t="s">
        <v>11</v>
      </c>
      <c r="B11" s="17" t="str">
        <f ca="1">IFERROR(__xludf.DUMMYFUNCTION("""COMPUTED_VALUE"""),"hypothetical protein Kovu 60, 86% identity, 1.5E-21")</f>
        <v>hypothetical protein Kovu 60, 86% identity, 1.5E-21</v>
      </c>
      <c r="C11" s="17" t="str">
        <f ca="1">IFERROR(__xludf.DUMMYFUNCTION("""COMPUTED_VALUE"""),"Kovu_60
E: 0
%ID: 92.40
1:1")</f>
        <v>Kovu_60
E: 0
%ID: 92.40
1:1</v>
      </c>
      <c r="D11" s="6"/>
    </row>
    <row r="12" spans="1:4" ht="15.75" customHeight="1" x14ac:dyDescent="0.15">
      <c r="A12" s="5" t="s">
        <v>12</v>
      </c>
      <c r="B12" s="17" t="str">
        <f ca="1">IFERROR(__xludf.DUMMYFUNCTION("""COMPUTED_VALUE"""),"Start at 3 Found in 4 of 11 called 100% of the time")</f>
        <v>Start at 3 Found in 4 of 11 called 100% of the time</v>
      </c>
      <c r="C12" s="17" t="str">
        <f ca="1">IFERROR(__xludf.DUMMYFUNCTION("""COMPUTED_VALUE"""),"5 of 7 call 3 a start")</f>
        <v>5 of 7 call 3 a start</v>
      </c>
      <c r="D12" s="6"/>
    </row>
    <row r="13" spans="1:4" ht="15.75" customHeight="1" x14ac:dyDescent="0.15">
      <c r="A13" s="5" t="s">
        <v>13</v>
      </c>
      <c r="B13" s="17" t="str">
        <f ca="1">IFERROR(__xludf.DUMMYFUNCTION("""COMPUTED_VALUE"""),"No earlier start ")</f>
        <v xml:space="preserve">No earlier start </v>
      </c>
      <c r="C13" s="17" t="str">
        <f ca="1">IFERROR(__xludf.DUMMYFUNCTION("""COMPUTED_VALUE"""),"No reason to.")</f>
        <v>No reason to.</v>
      </c>
      <c r="D13" s="6"/>
    </row>
    <row r="14" spans="1:4" ht="15.75" customHeight="1" x14ac:dyDescent="0.15">
      <c r="A14" s="5" t="s">
        <v>14</v>
      </c>
      <c r="B14" s="17" t="str">
        <f ca="1">IFERROR(__xludf.DUMMYFUNCTION("""COMPUTED_VALUE"""),"Kovu 60   Shrooms 61   Edmundo 62")</f>
        <v>Kovu 60   Shrooms 61   Edmundo 62</v>
      </c>
      <c r="C14" s="17" t="str">
        <f ca="1">IFERROR(__xludf.DUMMYFUNCTION("""COMPUTED_VALUE"""),"Kovu_60
E: 1e-19")</f>
        <v>Kovu_60
E: 1e-19</v>
      </c>
      <c r="D14" s="6"/>
    </row>
    <row r="15" spans="1:4" ht="15.75" customHeight="1" x14ac:dyDescent="0.15">
      <c r="A15" s="5" t="s">
        <v>15</v>
      </c>
      <c r="B15" s="17" t="str">
        <f ca="1">IFERROR(__xludf.DUMMYFUNCTION("""COMPUTED_VALUE"""),"No function listed on phages db")</f>
        <v>No function listed on phages db</v>
      </c>
      <c r="C15" s="17" t="str">
        <f ca="1">IFERROR(__xludf.DUMMYFUNCTION("""COMPUTED_VALUE"""),"Unknown function")</f>
        <v>Unknown function</v>
      </c>
      <c r="D15" s="6"/>
    </row>
    <row r="16" spans="1:4" ht="15.75" customHeight="1" x14ac:dyDescent="0.15">
      <c r="A16" s="5" t="s">
        <v>16</v>
      </c>
      <c r="B16" s="17" t="str">
        <f ca="1">IFERROR(__xludf.DUMMYFUNCTION("""COMPUTED_VALUE"""),"gene fits well among its counterparts ")</f>
        <v xml:space="preserve">gene fits well among its counterparts </v>
      </c>
      <c r="C16" s="17" t="str">
        <f ca="1">IFERROR(__xludf.DUMMYFUNCTION("""COMPUTED_VALUE"""),"In same genetic environment as KOVU")</f>
        <v>In same genetic environment as KOVU</v>
      </c>
      <c r="D16" s="6"/>
    </row>
    <row r="17" spans="1:4" ht="15.75" customHeight="1" x14ac:dyDescent="0.15">
      <c r="A17" s="5" t="s">
        <v>17</v>
      </c>
      <c r="B17" s="17" t="str">
        <f ca="1">IFERROR(__xludf.DUMMYFUNCTION("""COMPUTED_VALUE"""),"Hypothetical protein, Probability 97.0, % alignment of Q: 91.67,   % alignment of T: 39.64")</f>
        <v>Hypothetical protein, Probability 97.0, % alignment of Q: 91.67,   % alignment of T: 39.64</v>
      </c>
      <c r="C17" s="17" t="str">
        <f ca="1">IFERROR(__xludf.DUMMYFUNCTION("""COMPUTED_VALUE"""),"Nothing of reasonable comparability")</f>
        <v>Nothing of reasonable comparability</v>
      </c>
      <c r="D17" s="6"/>
    </row>
    <row r="18" spans="1:4" ht="15.75" customHeight="1" x14ac:dyDescent="0.15">
      <c r="A18" s="5" t="s">
        <v>18</v>
      </c>
      <c r="B18" s="17" t="str">
        <f ca="1">IFERROR(__xludf.DUMMYFUNCTION("""COMPUTED_VALUE"""),"Phamerator shows no conserved domain")</f>
        <v>Phamerator shows no conserved domain</v>
      </c>
      <c r="C18" s="17" t="str">
        <f ca="1">IFERROR(__xludf.DUMMYFUNCTION("""COMPUTED_VALUE"""),"DUF")</f>
        <v>DUF</v>
      </c>
      <c r="D18" s="6"/>
    </row>
    <row r="19" spans="1:4" ht="15.75" customHeight="1" x14ac:dyDescent="0.15">
      <c r="A19" s="5" t="s">
        <v>19</v>
      </c>
      <c r="B19" s="17" t="str">
        <f ca="1">IFERROR(__xludf.DUMMYFUNCTION("""COMPUTED_VALUE"""),"inside probability 1")</f>
        <v>inside probability 1</v>
      </c>
      <c r="C19" s="17" t="str">
        <f ca="1">IFERROR(__xludf.DUMMYFUNCTION("""COMPUTED_VALUE"""),"No")</f>
        <v>No</v>
      </c>
      <c r="D19" s="6"/>
    </row>
    <row r="20" spans="1:4" ht="15.75" customHeight="1" x14ac:dyDescent="0.15">
      <c r="A20" s="5" t="s">
        <v>20</v>
      </c>
      <c r="B20" s="17" t="str">
        <f ca="1">IFERROR(__xludf.DUMMYFUNCTION("""COMPUTED_VALUE"""),"Hypothetical protein")</f>
        <v>Hypothetical protein</v>
      </c>
      <c r="C20" s="17" t="str">
        <f ca="1">IFERROR(__xludf.DUMMYFUNCTION("""COMPUTED_VALUE"""),"Hypotethical Protein")</f>
        <v>Hypotethical Protein</v>
      </c>
      <c r="D20" s="6"/>
    </row>
    <row r="21" spans="1:4" x14ac:dyDescent="0.2">
      <c r="A21" s="7"/>
      <c r="B21" s="19"/>
      <c r="C21" s="19"/>
      <c r="D21" s="8"/>
    </row>
    <row r="22" spans="1:4" ht="15.75" customHeight="1" x14ac:dyDescent="0.15">
      <c r="A22" s="9" t="s">
        <v>21</v>
      </c>
      <c r="B22" s="19"/>
      <c r="C22" s="19"/>
      <c r="D22" s="8"/>
    </row>
    <row r="23" spans="1:4" ht="15.75" customHeight="1" x14ac:dyDescent="0.15">
      <c r="A23" s="10"/>
      <c r="B23" s="13"/>
      <c r="C23" s="13"/>
    </row>
    <row r="24" spans="1:4" ht="15.75" customHeight="1" x14ac:dyDescent="0.15">
      <c r="A24" s="10"/>
      <c r="B24" s="13"/>
      <c r="C24" s="13"/>
    </row>
    <row r="25" spans="1:4" ht="15.75" customHeight="1" x14ac:dyDescent="0.15">
      <c r="A25" s="10"/>
      <c r="B25" s="13"/>
      <c r="C25" s="13"/>
    </row>
    <row r="26" spans="1:4" ht="15.75" customHeight="1" x14ac:dyDescent="0.15">
      <c r="A26" s="10"/>
      <c r="B26" s="13"/>
      <c r="C26" s="13"/>
    </row>
    <row r="27" spans="1:4" ht="15.75" customHeight="1" x14ac:dyDescent="0.15">
      <c r="A27" s="10"/>
      <c r="B27" s="13"/>
      <c r="C27" s="13"/>
    </row>
    <row r="28" spans="1:4" ht="15.75" customHeight="1" x14ac:dyDescent="0.15">
      <c r="A28" s="10"/>
      <c r="B28" s="13"/>
      <c r="C28" s="13"/>
    </row>
    <row r="29" spans="1:4" ht="15.75" customHeight="1" x14ac:dyDescent="0.15">
      <c r="A29" s="10"/>
      <c r="B29" s="13"/>
      <c r="C29" s="13"/>
    </row>
    <row r="30" spans="1:4" ht="15.75" customHeight="1" x14ac:dyDescent="0.15">
      <c r="A30" s="10"/>
      <c r="B30" s="13"/>
      <c r="C30" s="13"/>
    </row>
    <row r="31" spans="1:4" ht="15.75" customHeight="1" x14ac:dyDescent="0.15">
      <c r="A31" s="10"/>
      <c r="B31" s="13"/>
      <c r="C31" s="13"/>
    </row>
    <row r="32" spans="1:4" ht="15.75" customHeight="1" x14ac:dyDescent="0.15">
      <c r="A32" s="10"/>
      <c r="B32" s="13"/>
      <c r="C32" s="13"/>
    </row>
    <row r="33" spans="1:3" ht="15.75" customHeight="1" x14ac:dyDescent="0.15">
      <c r="A33" s="10"/>
      <c r="B33" s="13"/>
      <c r="C33" s="13"/>
    </row>
    <row r="34" spans="1:3" ht="15.75" customHeight="1" x14ac:dyDescent="0.15">
      <c r="A34" s="10"/>
      <c r="B34" s="13"/>
      <c r="C34" s="13"/>
    </row>
    <row r="35" spans="1:3" ht="15.75" customHeight="1" x14ac:dyDescent="0.15">
      <c r="A35" s="10"/>
      <c r="B35" s="13"/>
      <c r="C35" s="13"/>
    </row>
    <row r="36" spans="1:3" ht="15.75" customHeight="1" x14ac:dyDescent="0.15">
      <c r="A36" s="10"/>
      <c r="B36" s="13"/>
      <c r="C36" s="13"/>
    </row>
    <row r="37" spans="1:3" ht="15.75" customHeight="1" x14ac:dyDescent="0.15">
      <c r="A37" s="10"/>
      <c r="B37" s="13"/>
      <c r="C37" s="13"/>
    </row>
    <row r="38" spans="1:3" ht="15.75" customHeight="1" x14ac:dyDescent="0.15">
      <c r="A38" s="10"/>
      <c r="B38" s="13"/>
      <c r="C38" s="13"/>
    </row>
    <row r="39" spans="1:3" ht="13" x14ac:dyDescent="0.15">
      <c r="A39" s="10"/>
      <c r="B39" s="13"/>
      <c r="C39" s="13"/>
    </row>
    <row r="40" spans="1:3" ht="13" x14ac:dyDescent="0.15">
      <c r="A40" s="10"/>
      <c r="B40" s="13"/>
      <c r="C40" s="13"/>
    </row>
    <row r="41" spans="1:3" ht="13" x14ac:dyDescent="0.15">
      <c r="A41" s="10"/>
      <c r="B41" s="13"/>
      <c r="C41" s="13"/>
    </row>
    <row r="42" spans="1:3" ht="13" x14ac:dyDescent="0.15">
      <c r="A42" s="10"/>
      <c r="B42" s="13"/>
      <c r="C42" s="13"/>
    </row>
    <row r="43" spans="1:3" ht="13" x14ac:dyDescent="0.15">
      <c r="A43" s="10"/>
      <c r="B43" s="13"/>
      <c r="C43" s="13"/>
    </row>
    <row r="44" spans="1:3" ht="13" x14ac:dyDescent="0.15">
      <c r="A44" s="10"/>
      <c r="B44" s="13"/>
      <c r="C44" s="13"/>
    </row>
    <row r="45" spans="1:3" ht="13" x14ac:dyDescent="0.15">
      <c r="A45" s="10"/>
      <c r="B45" s="13"/>
      <c r="C45" s="13"/>
    </row>
    <row r="46" spans="1:3" ht="13" x14ac:dyDescent="0.15">
      <c r="A46" s="10"/>
      <c r="B46" s="13"/>
      <c r="C46" s="13"/>
    </row>
    <row r="47" spans="1:3" ht="13" x14ac:dyDescent="0.15">
      <c r="A47" s="10"/>
      <c r="B47" s="13"/>
      <c r="C47" s="13"/>
    </row>
    <row r="48" spans="1:3" ht="13" x14ac:dyDescent="0.15">
      <c r="A48" s="10"/>
      <c r="B48" s="13"/>
      <c r="C48" s="13"/>
    </row>
    <row r="49" spans="1:3" ht="13" x14ac:dyDescent="0.15">
      <c r="A49" s="10"/>
      <c r="B49" s="13"/>
      <c r="C49" s="13"/>
    </row>
    <row r="50" spans="1:3" ht="13" x14ac:dyDescent="0.15">
      <c r="A50" s="10"/>
      <c r="B50" s="13"/>
      <c r="C50" s="13"/>
    </row>
    <row r="51" spans="1:3" ht="13" x14ac:dyDescent="0.15">
      <c r="A51" s="10"/>
      <c r="B51" s="13"/>
      <c r="C51" s="13"/>
    </row>
    <row r="52" spans="1:3" ht="13" x14ac:dyDescent="0.15">
      <c r="A52" s="10"/>
      <c r="B52" s="13"/>
      <c r="C52" s="13"/>
    </row>
    <row r="53" spans="1:3" ht="13" x14ac:dyDescent="0.15">
      <c r="A53" s="10"/>
      <c r="B53" s="13"/>
      <c r="C53" s="13"/>
    </row>
    <row r="54" spans="1:3" ht="13" x14ac:dyDescent="0.15">
      <c r="A54" s="10"/>
      <c r="B54" s="13"/>
      <c r="C54" s="13"/>
    </row>
    <row r="55" spans="1:3" ht="13" x14ac:dyDescent="0.15">
      <c r="A55" s="10"/>
      <c r="B55" s="13"/>
      <c r="C55" s="13"/>
    </row>
    <row r="56" spans="1:3" ht="13" x14ac:dyDescent="0.15">
      <c r="A56" s="10"/>
      <c r="B56" s="13"/>
      <c r="C56" s="13"/>
    </row>
    <row r="57" spans="1:3" ht="13" x14ac:dyDescent="0.15">
      <c r="A57" s="10"/>
      <c r="B57" s="13"/>
      <c r="C57" s="13"/>
    </row>
    <row r="58" spans="1:3" ht="13" x14ac:dyDescent="0.15">
      <c r="A58" s="10"/>
      <c r="B58" s="13"/>
      <c r="C58" s="13"/>
    </row>
    <row r="59" spans="1:3" ht="13" x14ac:dyDescent="0.15">
      <c r="A59" s="10"/>
      <c r="B59" s="13"/>
      <c r="C59" s="13"/>
    </row>
    <row r="60" spans="1:3" ht="13" x14ac:dyDescent="0.15">
      <c r="A60" s="10"/>
      <c r="B60" s="13"/>
      <c r="C60" s="13"/>
    </row>
    <row r="61" spans="1:3" ht="13" x14ac:dyDescent="0.15">
      <c r="A61" s="10"/>
      <c r="B61" s="13"/>
      <c r="C61" s="13"/>
    </row>
    <row r="62" spans="1:3" ht="13" x14ac:dyDescent="0.15">
      <c r="A62" s="10"/>
      <c r="B62" s="13"/>
      <c r="C62" s="13"/>
    </row>
    <row r="63" spans="1:3" ht="13" x14ac:dyDescent="0.15">
      <c r="A63" s="10"/>
      <c r="B63" s="13"/>
      <c r="C63" s="13"/>
    </row>
    <row r="64" spans="1:3" ht="13" x14ac:dyDescent="0.15">
      <c r="A64" s="10"/>
      <c r="B64" s="13"/>
      <c r="C64" s="13"/>
    </row>
    <row r="65" spans="1:3" ht="13" x14ac:dyDescent="0.15">
      <c r="A65" s="10"/>
      <c r="B65" s="13"/>
      <c r="C65" s="13"/>
    </row>
    <row r="66" spans="1:3" ht="13" x14ac:dyDescent="0.15">
      <c r="A66" s="10"/>
      <c r="B66" s="13"/>
      <c r="C66" s="13"/>
    </row>
    <row r="67" spans="1:3" ht="13" x14ac:dyDescent="0.15">
      <c r="A67" s="10"/>
      <c r="B67" s="13"/>
      <c r="C67" s="13"/>
    </row>
    <row r="68" spans="1:3" ht="13" x14ac:dyDescent="0.15">
      <c r="A68" s="10"/>
      <c r="B68" s="13"/>
      <c r="C68" s="13"/>
    </row>
    <row r="69" spans="1:3" ht="13" x14ac:dyDescent="0.15">
      <c r="A69" s="10"/>
      <c r="B69" s="13"/>
      <c r="C69" s="13"/>
    </row>
    <row r="70" spans="1:3" ht="13" x14ac:dyDescent="0.15">
      <c r="A70" s="10"/>
      <c r="B70" s="13"/>
      <c r="C70" s="13"/>
    </row>
    <row r="71" spans="1:3" ht="13" x14ac:dyDescent="0.15">
      <c r="A71" s="10"/>
      <c r="B71" s="13"/>
      <c r="C71" s="13"/>
    </row>
    <row r="72" spans="1:3" ht="13" x14ac:dyDescent="0.15">
      <c r="A72" s="10"/>
      <c r="B72" s="13"/>
      <c r="C72" s="13"/>
    </row>
    <row r="73" spans="1:3" ht="13" x14ac:dyDescent="0.15">
      <c r="A73" s="10"/>
      <c r="B73" s="13"/>
      <c r="C73" s="13"/>
    </row>
    <row r="74" spans="1:3" ht="13" x14ac:dyDescent="0.15">
      <c r="A74" s="10"/>
      <c r="B74" s="13"/>
      <c r="C74" s="13"/>
    </row>
    <row r="75" spans="1:3" ht="13" x14ac:dyDescent="0.15">
      <c r="A75" s="10"/>
      <c r="B75" s="13"/>
      <c r="C75" s="13"/>
    </row>
    <row r="76" spans="1:3" ht="13" x14ac:dyDescent="0.15">
      <c r="A76" s="10"/>
      <c r="B76" s="13"/>
      <c r="C76" s="13"/>
    </row>
    <row r="77" spans="1:3" ht="13" x14ac:dyDescent="0.15">
      <c r="A77" s="10"/>
      <c r="B77" s="13"/>
      <c r="C77" s="13"/>
    </row>
    <row r="78" spans="1:3" ht="13" x14ac:dyDescent="0.15">
      <c r="A78" s="10"/>
      <c r="B78" s="13"/>
      <c r="C78" s="13"/>
    </row>
    <row r="79" spans="1:3" ht="13" x14ac:dyDescent="0.15">
      <c r="A79" s="10"/>
      <c r="B79" s="13"/>
      <c r="C79" s="13"/>
    </row>
    <row r="80" spans="1:3" ht="13" x14ac:dyDescent="0.15">
      <c r="A80" s="10"/>
      <c r="B80" s="13"/>
      <c r="C80" s="13"/>
    </row>
    <row r="81" spans="1:3" ht="13" x14ac:dyDescent="0.15">
      <c r="A81" s="10"/>
      <c r="B81" s="13"/>
      <c r="C81" s="13"/>
    </row>
    <row r="82" spans="1:3" ht="13" x14ac:dyDescent="0.15">
      <c r="A82" s="10"/>
      <c r="B82" s="13"/>
      <c r="C82" s="13"/>
    </row>
    <row r="83" spans="1:3" ht="13" x14ac:dyDescent="0.15">
      <c r="A83" s="10"/>
      <c r="B83" s="13"/>
      <c r="C83" s="13"/>
    </row>
    <row r="84" spans="1:3" ht="13" x14ac:dyDescent="0.15">
      <c r="A84" s="10"/>
      <c r="B84" s="13"/>
      <c r="C84" s="13"/>
    </row>
    <row r="85" spans="1:3" ht="13" x14ac:dyDescent="0.15">
      <c r="A85" s="10"/>
      <c r="B85" s="13"/>
      <c r="C85" s="13"/>
    </row>
    <row r="86" spans="1:3" ht="13" x14ac:dyDescent="0.15">
      <c r="A86" s="10"/>
      <c r="B86" s="13"/>
      <c r="C86" s="13"/>
    </row>
    <row r="87" spans="1:3" ht="13" x14ac:dyDescent="0.15">
      <c r="A87" s="10"/>
      <c r="B87" s="13"/>
      <c r="C87" s="13"/>
    </row>
    <row r="88" spans="1:3" ht="13" x14ac:dyDescent="0.15">
      <c r="A88" s="10"/>
      <c r="B88" s="13"/>
      <c r="C88" s="13"/>
    </row>
    <row r="89" spans="1:3" ht="13" x14ac:dyDescent="0.15">
      <c r="A89" s="10"/>
      <c r="B89" s="13"/>
      <c r="C89" s="13"/>
    </row>
    <row r="90" spans="1:3" ht="13" x14ac:dyDescent="0.15">
      <c r="A90" s="10"/>
      <c r="B90" s="13"/>
      <c r="C90" s="13"/>
    </row>
    <row r="91" spans="1:3" ht="13" x14ac:dyDescent="0.15">
      <c r="A91" s="10"/>
      <c r="B91" s="13"/>
      <c r="C91" s="13"/>
    </row>
    <row r="92" spans="1:3" ht="13" x14ac:dyDescent="0.15">
      <c r="A92" s="10"/>
      <c r="B92" s="13"/>
      <c r="C92" s="13"/>
    </row>
    <row r="93" spans="1:3" ht="13" x14ac:dyDescent="0.15">
      <c r="A93" s="10"/>
      <c r="B93" s="13"/>
      <c r="C93" s="13"/>
    </row>
    <row r="94" spans="1:3" ht="13" x14ac:dyDescent="0.15">
      <c r="A94" s="10"/>
      <c r="B94" s="13"/>
      <c r="C94" s="13"/>
    </row>
    <row r="95" spans="1:3" ht="13" x14ac:dyDescent="0.15">
      <c r="A95" s="10"/>
      <c r="B95" s="13"/>
      <c r="C95" s="13"/>
    </row>
    <row r="96" spans="1:3" ht="13" x14ac:dyDescent="0.15">
      <c r="A96" s="10"/>
      <c r="B96" s="13"/>
      <c r="C96" s="13"/>
    </row>
    <row r="97" spans="1:3" ht="13" x14ac:dyDescent="0.15">
      <c r="A97" s="10"/>
      <c r="B97" s="13"/>
      <c r="C97" s="13"/>
    </row>
    <row r="98" spans="1:3" ht="13" x14ac:dyDescent="0.15">
      <c r="A98" s="10"/>
      <c r="B98" s="13"/>
      <c r="C98" s="13"/>
    </row>
    <row r="99" spans="1:3" ht="13" x14ac:dyDescent="0.15">
      <c r="A99" s="10"/>
      <c r="B99" s="13"/>
      <c r="C99" s="13"/>
    </row>
    <row r="100" spans="1:3" ht="13" x14ac:dyDescent="0.15">
      <c r="A100" s="10"/>
      <c r="B100" s="13"/>
      <c r="C100" s="13"/>
    </row>
    <row r="101" spans="1:3" ht="13" x14ac:dyDescent="0.15">
      <c r="A101" s="10"/>
      <c r="B101" s="13"/>
      <c r="C101" s="13"/>
    </row>
    <row r="102" spans="1:3" ht="13" x14ac:dyDescent="0.15">
      <c r="A102" s="10"/>
      <c r="B102" s="13"/>
      <c r="C102" s="13"/>
    </row>
    <row r="103" spans="1:3" ht="13" x14ac:dyDescent="0.15">
      <c r="A103" s="10"/>
      <c r="B103" s="13"/>
      <c r="C103" s="13"/>
    </row>
    <row r="104" spans="1:3" ht="13" x14ac:dyDescent="0.15">
      <c r="A104" s="10"/>
      <c r="B104" s="13"/>
      <c r="C104" s="13"/>
    </row>
    <row r="105" spans="1:3" ht="13" x14ac:dyDescent="0.15">
      <c r="A105" s="10"/>
      <c r="B105" s="13"/>
      <c r="C105" s="13"/>
    </row>
    <row r="106" spans="1:3" ht="13" x14ac:dyDescent="0.15">
      <c r="A106" s="10"/>
      <c r="B106" s="13"/>
      <c r="C106" s="13"/>
    </row>
    <row r="107" spans="1:3" ht="13" x14ac:dyDescent="0.15">
      <c r="A107" s="10"/>
      <c r="B107" s="13"/>
      <c r="C107" s="13"/>
    </row>
    <row r="108" spans="1:3" ht="13" x14ac:dyDescent="0.15">
      <c r="A108" s="10"/>
      <c r="B108" s="13"/>
      <c r="C108" s="13"/>
    </row>
    <row r="109" spans="1:3" ht="13" x14ac:dyDescent="0.15">
      <c r="A109" s="10"/>
      <c r="B109" s="13"/>
      <c r="C109" s="13"/>
    </row>
    <row r="110" spans="1:3" ht="13" x14ac:dyDescent="0.15">
      <c r="A110" s="10"/>
      <c r="B110" s="13"/>
      <c r="C110" s="13"/>
    </row>
    <row r="111" spans="1:3" ht="13" x14ac:dyDescent="0.15">
      <c r="A111" s="10"/>
      <c r="B111" s="13"/>
      <c r="C111" s="13"/>
    </row>
    <row r="112" spans="1:3" ht="13" x14ac:dyDescent="0.15">
      <c r="A112" s="10"/>
      <c r="B112" s="13"/>
      <c r="C112" s="13"/>
    </row>
    <row r="113" spans="1:3" ht="13" x14ac:dyDescent="0.15">
      <c r="A113" s="10"/>
      <c r="B113" s="13"/>
      <c r="C113" s="13"/>
    </row>
    <row r="114" spans="1:3" ht="13" x14ac:dyDescent="0.15">
      <c r="A114" s="10"/>
      <c r="B114" s="13"/>
      <c r="C114" s="13"/>
    </row>
    <row r="115" spans="1:3" ht="13" x14ac:dyDescent="0.15">
      <c r="A115" s="10"/>
      <c r="B115" s="13"/>
      <c r="C115" s="13"/>
    </row>
    <row r="116" spans="1:3" ht="13" x14ac:dyDescent="0.15">
      <c r="A116" s="10"/>
      <c r="B116" s="13"/>
      <c r="C116" s="13"/>
    </row>
    <row r="117" spans="1:3" ht="13" x14ac:dyDescent="0.15">
      <c r="A117" s="10"/>
      <c r="B117" s="13"/>
      <c r="C117" s="13"/>
    </row>
    <row r="118" spans="1:3" ht="13" x14ac:dyDescent="0.15">
      <c r="A118" s="10"/>
      <c r="B118" s="13"/>
      <c r="C118" s="13"/>
    </row>
    <row r="119" spans="1:3" ht="13" x14ac:dyDescent="0.15">
      <c r="A119" s="10"/>
      <c r="B119" s="13"/>
      <c r="C119" s="13"/>
    </row>
    <row r="120" spans="1:3" ht="13" x14ac:dyDescent="0.15">
      <c r="A120" s="10"/>
      <c r="B120" s="13"/>
      <c r="C120" s="13"/>
    </row>
    <row r="121" spans="1:3" ht="13" x14ac:dyDescent="0.15">
      <c r="A121" s="10"/>
      <c r="B121" s="13"/>
      <c r="C121" s="13"/>
    </row>
    <row r="122" spans="1:3" ht="13" x14ac:dyDescent="0.15">
      <c r="A122" s="10"/>
      <c r="B122" s="13"/>
      <c r="C122" s="13"/>
    </row>
    <row r="123" spans="1:3" ht="13" x14ac:dyDescent="0.15">
      <c r="A123" s="10"/>
      <c r="B123" s="13"/>
      <c r="C123" s="13"/>
    </row>
    <row r="124" spans="1:3" ht="13" x14ac:dyDescent="0.15">
      <c r="A124" s="10"/>
      <c r="B124" s="13"/>
      <c r="C124" s="13"/>
    </row>
    <row r="125" spans="1:3" ht="13" x14ac:dyDescent="0.15">
      <c r="A125" s="10"/>
      <c r="B125" s="13"/>
      <c r="C125" s="13"/>
    </row>
    <row r="126" spans="1:3" ht="13" x14ac:dyDescent="0.15">
      <c r="A126" s="10"/>
      <c r="B126" s="13"/>
      <c r="C126" s="13"/>
    </row>
    <row r="127" spans="1:3" ht="13" x14ac:dyDescent="0.15">
      <c r="A127" s="10"/>
      <c r="B127" s="13"/>
      <c r="C127" s="13"/>
    </row>
    <row r="128" spans="1:3" ht="13" x14ac:dyDescent="0.15">
      <c r="A128" s="10"/>
      <c r="B128" s="13"/>
      <c r="C128" s="13"/>
    </row>
    <row r="129" spans="1:3" ht="13" x14ac:dyDescent="0.15">
      <c r="A129" s="10"/>
      <c r="B129" s="13"/>
      <c r="C129" s="13"/>
    </row>
    <row r="130" spans="1:3" ht="13" x14ac:dyDescent="0.15">
      <c r="A130" s="10"/>
      <c r="B130" s="13"/>
      <c r="C130" s="13"/>
    </row>
    <row r="131" spans="1:3" ht="13" x14ac:dyDescent="0.15">
      <c r="A131" s="10"/>
      <c r="B131" s="13"/>
      <c r="C131" s="13"/>
    </row>
    <row r="132" spans="1:3" ht="13" x14ac:dyDescent="0.15">
      <c r="A132" s="10"/>
      <c r="B132" s="13"/>
      <c r="C132" s="13"/>
    </row>
    <row r="133" spans="1:3" ht="13" x14ac:dyDescent="0.15">
      <c r="A133" s="10"/>
      <c r="B133" s="13"/>
      <c r="C133" s="13"/>
    </row>
    <row r="134" spans="1:3" ht="13" x14ac:dyDescent="0.15">
      <c r="A134" s="10"/>
      <c r="B134" s="13"/>
      <c r="C134" s="13"/>
    </row>
    <row r="135" spans="1:3" ht="13" x14ac:dyDescent="0.15">
      <c r="A135" s="10"/>
      <c r="B135" s="13"/>
      <c r="C135" s="13"/>
    </row>
    <row r="136" spans="1:3" ht="13" x14ac:dyDescent="0.15">
      <c r="A136" s="10"/>
      <c r="B136" s="13"/>
      <c r="C136" s="13"/>
    </row>
    <row r="137" spans="1:3" ht="13" x14ac:dyDescent="0.15">
      <c r="A137" s="10"/>
      <c r="B137" s="13"/>
      <c r="C137" s="13"/>
    </row>
    <row r="138" spans="1:3" ht="13" x14ac:dyDescent="0.15">
      <c r="A138" s="10"/>
      <c r="B138" s="13"/>
      <c r="C138" s="13"/>
    </row>
    <row r="139" spans="1:3" ht="13" x14ac:dyDescent="0.15">
      <c r="A139" s="10"/>
      <c r="B139" s="13"/>
      <c r="C139" s="13"/>
    </row>
    <row r="140" spans="1:3" ht="13" x14ac:dyDescent="0.15">
      <c r="A140" s="10"/>
      <c r="B140" s="13"/>
      <c r="C140" s="13"/>
    </row>
    <row r="141" spans="1:3" ht="13" x14ac:dyDescent="0.15">
      <c r="A141" s="10"/>
      <c r="B141" s="13"/>
      <c r="C141" s="13"/>
    </row>
    <row r="142" spans="1:3" ht="13" x14ac:dyDescent="0.15">
      <c r="A142" s="10"/>
      <c r="B142" s="13"/>
      <c r="C142" s="13"/>
    </row>
    <row r="143" spans="1:3" ht="13" x14ac:dyDescent="0.15">
      <c r="A143" s="10"/>
      <c r="B143" s="13"/>
      <c r="C143" s="13"/>
    </row>
    <row r="144" spans="1:3" ht="13" x14ac:dyDescent="0.15">
      <c r="A144" s="10"/>
      <c r="B144" s="13"/>
      <c r="C144" s="13"/>
    </row>
    <row r="145" spans="1:3" ht="13" x14ac:dyDescent="0.15">
      <c r="A145" s="10"/>
      <c r="B145" s="13"/>
      <c r="C145" s="13"/>
    </row>
    <row r="146" spans="1:3" ht="13" x14ac:dyDescent="0.15">
      <c r="A146" s="10"/>
      <c r="B146" s="13"/>
      <c r="C146" s="13"/>
    </row>
    <row r="147" spans="1:3" ht="13" x14ac:dyDescent="0.15">
      <c r="A147" s="10"/>
      <c r="B147" s="13"/>
      <c r="C147" s="13"/>
    </row>
    <row r="148" spans="1:3" ht="13" x14ac:dyDescent="0.15">
      <c r="A148" s="10"/>
      <c r="B148" s="13"/>
      <c r="C148" s="13"/>
    </row>
    <row r="149" spans="1:3" ht="13" x14ac:dyDescent="0.15">
      <c r="A149" s="10"/>
      <c r="B149" s="13"/>
      <c r="C149" s="13"/>
    </row>
    <row r="150" spans="1:3" ht="13" x14ac:dyDescent="0.15">
      <c r="A150" s="10"/>
      <c r="B150" s="13"/>
      <c r="C150" s="13"/>
    </row>
    <row r="151" spans="1:3" ht="13" x14ac:dyDescent="0.15">
      <c r="A151" s="10"/>
      <c r="B151" s="13"/>
      <c r="C151" s="13"/>
    </row>
    <row r="152" spans="1:3" ht="13" x14ac:dyDescent="0.15">
      <c r="A152" s="10"/>
      <c r="B152" s="13"/>
      <c r="C152" s="13"/>
    </row>
    <row r="153" spans="1:3" ht="13" x14ac:dyDescent="0.15">
      <c r="A153" s="10"/>
      <c r="B153" s="13"/>
      <c r="C153" s="13"/>
    </row>
    <row r="154" spans="1:3" ht="13" x14ac:dyDescent="0.15">
      <c r="A154" s="10"/>
      <c r="B154" s="13"/>
      <c r="C154" s="13"/>
    </row>
    <row r="155" spans="1:3" ht="13" x14ac:dyDescent="0.15">
      <c r="A155" s="10"/>
      <c r="B155" s="13"/>
      <c r="C155" s="13"/>
    </row>
    <row r="156" spans="1:3" ht="13" x14ac:dyDescent="0.15">
      <c r="A156" s="10"/>
      <c r="B156" s="13"/>
      <c r="C156" s="13"/>
    </row>
    <row r="157" spans="1:3" ht="13" x14ac:dyDescent="0.15">
      <c r="A157" s="10"/>
      <c r="B157" s="13"/>
      <c r="C157" s="13"/>
    </row>
    <row r="158" spans="1:3" ht="13" x14ac:dyDescent="0.15">
      <c r="A158" s="10"/>
      <c r="B158" s="13"/>
      <c r="C158" s="13"/>
    </row>
    <row r="159" spans="1:3" ht="13" x14ac:dyDescent="0.15">
      <c r="A159" s="10"/>
      <c r="B159" s="13"/>
      <c r="C159" s="13"/>
    </row>
    <row r="160" spans="1:3" ht="13" x14ac:dyDescent="0.15">
      <c r="A160" s="10"/>
      <c r="B160" s="13"/>
      <c r="C160" s="13"/>
    </row>
    <row r="161" spans="1:3" ht="13" x14ac:dyDescent="0.15">
      <c r="A161" s="10"/>
      <c r="B161" s="13"/>
      <c r="C161" s="13"/>
    </row>
    <row r="162" spans="1:3" ht="13" x14ac:dyDescent="0.15">
      <c r="A162" s="10"/>
      <c r="B162" s="13"/>
      <c r="C162" s="13"/>
    </row>
    <row r="163" spans="1:3" ht="13" x14ac:dyDescent="0.15">
      <c r="A163" s="10"/>
      <c r="B163" s="13"/>
      <c r="C163" s="13"/>
    </row>
    <row r="164" spans="1:3" ht="13" x14ac:dyDescent="0.15">
      <c r="A164" s="10"/>
      <c r="B164" s="13"/>
      <c r="C164" s="13"/>
    </row>
    <row r="165" spans="1:3" ht="13" x14ac:dyDescent="0.15">
      <c r="A165" s="10"/>
      <c r="B165" s="13"/>
      <c r="C165" s="13"/>
    </row>
    <row r="166" spans="1:3" ht="13" x14ac:dyDescent="0.15">
      <c r="A166" s="10"/>
      <c r="B166" s="13"/>
      <c r="C166" s="13"/>
    </row>
    <row r="167" spans="1:3" ht="13" x14ac:dyDescent="0.15">
      <c r="A167" s="10"/>
      <c r="B167" s="13"/>
      <c r="C167" s="13"/>
    </row>
    <row r="168" spans="1:3" ht="13" x14ac:dyDescent="0.15">
      <c r="A168" s="10"/>
      <c r="B168" s="13"/>
      <c r="C168" s="13"/>
    </row>
    <row r="169" spans="1:3" ht="13" x14ac:dyDescent="0.15">
      <c r="A169" s="10"/>
      <c r="B169" s="13"/>
      <c r="C169" s="13"/>
    </row>
    <row r="170" spans="1:3" ht="13" x14ac:dyDescent="0.15">
      <c r="A170" s="10"/>
      <c r="B170" s="13"/>
      <c r="C170" s="13"/>
    </row>
    <row r="171" spans="1:3" ht="13" x14ac:dyDescent="0.15">
      <c r="A171" s="10"/>
      <c r="B171" s="13"/>
      <c r="C171" s="13"/>
    </row>
    <row r="172" spans="1:3" ht="13" x14ac:dyDescent="0.15">
      <c r="A172" s="10"/>
      <c r="B172" s="13"/>
      <c r="C172" s="13"/>
    </row>
    <row r="173" spans="1:3" ht="13" x14ac:dyDescent="0.15">
      <c r="A173" s="10"/>
      <c r="B173" s="13"/>
      <c r="C173" s="13"/>
    </row>
    <row r="174" spans="1:3" ht="13" x14ac:dyDescent="0.15">
      <c r="A174" s="10"/>
      <c r="B174" s="13"/>
      <c r="C174" s="13"/>
    </row>
    <row r="175" spans="1:3" ht="13" x14ac:dyDescent="0.15">
      <c r="A175" s="10"/>
      <c r="B175" s="13"/>
      <c r="C175" s="13"/>
    </row>
    <row r="176" spans="1:3" ht="13" x14ac:dyDescent="0.15">
      <c r="A176" s="10"/>
      <c r="B176" s="13"/>
      <c r="C176" s="13"/>
    </row>
    <row r="177" spans="1:3" ht="13" x14ac:dyDescent="0.15">
      <c r="A177" s="10"/>
      <c r="B177" s="13"/>
      <c r="C177" s="13"/>
    </row>
    <row r="178" spans="1:3" ht="13" x14ac:dyDescent="0.15">
      <c r="A178" s="10"/>
      <c r="B178" s="13"/>
      <c r="C178" s="13"/>
    </row>
    <row r="179" spans="1:3" ht="13" x14ac:dyDescent="0.15">
      <c r="A179" s="10"/>
      <c r="B179" s="13"/>
      <c r="C179" s="13"/>
    </row>
    <row r="180" spans="1:3" ht="13" x14ac:dyDescent="0.15">
      <c r="A180" s="10"/>
      <c r="B180" s="13"/>
      <c r="C180" s="13"/>
    </row>
    <row r="181" spans="1:3" ht="13" x14ac:dyDescent="0.15">
      <c r="A181" s="10"/>
      <c r="B181" s="13"/>
      <c r="C181" s="13"/>
    </row>
    <row r="182" spans="1:3" ht="13" x14ac:dyDescent="0.15">
      <c r="A182" s="10"/>
      <c r="B182" s="13"/>
      <c r="C182" s="13"/>
    </row>
    <row r="183" spans="1:3" ht="13" x14ac:dyDescent="0.15">
      <c r="A183" s="10"/>
      <c r="B183" s="13"/>
      <c r="C183" s="13"/>
    </row>
    <row r="184" spans="1:3" ht="13" x14ac:dyDescent="0.15">
      <c r="A184" s="10"/>
      <c r="B184" s="13"/>
      <c r="C184" s="13"/>
    </row>
    <row r="185" spans="1:3" ht="13" x14ac:dyDescent="0.15">
      <c r="A185" s="10"/>
      <c r="B185" s="13"/>
      <c r="C185" s="13"/>
    </row>
    <row r="186" spans="1:3" ht="13" x14ac:dyDescent="0.15">
      <c r="A186" s="10"/>
      <c r="B186" s="13"/>
      <c r="C186" s="13"/>
    </row>
    <row r="187" spans="1:3" ht="13" x14ac:dyDescent="0.15">
      <c r="A187" s="10"/>
      <c r="B187" s="13"/>
      <c r="C187" s="13"/>
    </row>
    <row r="188" spans="1:3" ht="13" x14ac:dyDescent="0.15">
      <c r="A188" s="10"/>
      <c r="B188" s="13"/>
      <c r="C188" s="13"/>
    </row>
    <row r="189" spans="1:3" ht="13" x14ac:dyDescent="0.15">
      <c r="A189" s="10"/>
      <c r="B189" s="13"/>
      <c r="C189" s="13"/>
    </row>
    <row r="190" spans="1:3" ht="13" x14ac:dyDescent="0.15">
      <c r="A190" s="10"/>
      <c r="B190" s="13"/>
      <c r="C190" s="13"/>
    </row>
    <row r="191" spans="1:3" ht="13" x14ac:dyDescent="0.15">
      <c r="A191" s="10"/>
      <c r="B191" s="13"/>
      <c r="C191" s="13"/>
    </row>
    <row r="192" spans="1:3" ht="13" x14ac:dyDescent="0.15">
      <c r="A192" s="10"/>
      <c r="B192" s="13"/>
      <c r="C192" s="13"/>
    </row>
    <row r="193" spans="1:3" ht="13" x14ac:dyDescent="0.15">
      <c r="A193" s="10"/>
      <c r="B193" s="13"/>
      <c r="C193" s="13"/>
    </row>
    <row r="194" spans="1:3" ht="13" x14ac:dyDescent="0.15">
      <c r="A194" s="10"/>
      <c r="B194" s="13"/>
      <c r="C194" s="13"/>
    </row>
    <row r="195" spans="1:3" ht="13" x14ac:dyDescent="0.15">
      <c r="A195" s="10"/>
      <c r="B195" s="13"/>
      <c r="C195" s="13"/>
    </row>
    <row r="196" spans="1:3" ht="13" x14ac:dyDescent="0.15">
      <c r="A196" s="10"/>
      <c r="B196" s="13"/>
      <c r="C196" s="13"/>
    </row>
    <row r="197" spans="1:3" ht="13" x14ac:dyDescent="0.15">
      <c r="A197" s="10"/>
      <c r="B197" s="13"/>
      <c r="C197" s="13"/>
    </row>
    <row r="198" spans="1:3" ht="13" x14ac:dyDescent="0.15">
      <c r="A198" s="10"/>
      <c r="B198" s="13"/>
      <c r="C198" s="13"/>
    </row>
    <row r="199" spans="1:3" ht="13" x14ac:dyDescent="0.15">
      <c r="A199" s="10"/>
      <c r="B199" s="13"/>
      <c r="C199" s="13"/>
    </row>
    <row r="200" spans="1:3" ht="13" x14ac:dyDescent="0.15">
      <c r="A200" s="10"/>
      <c r="B200" s="13"/>
      <c r="C200" s="13"/>
    </row>
    <row r="201" spans="1:3" ht="13" x14ac:dyDescent="0.15">
      <c r="A201" s="10"/>
      <c r="B201" s="13"/>
      <c r="C201" s="13"/>
    </row>
    <row r="202" spans="1:3" ht="13" x14ac:dyDescent="0.15">
      <c r="A202" s="10"/>
      <c r="B202" s="13"/>
      <c r="C202" s="13"/>
    </row>
    <row r="203" spans="1:3" ht="13" x14ac:dyDescent="0.15">
      <c r="A203" s="10"/>
      <c r="B203" s="13"/>
      <c r="C203" s="13"/>
    </row>
    <row r="204" spans="1:3" ht="13" x14ac:dyDescent="0.15">
      <c r="A204" s="10"/>
      <c r="B204" s="13"/>
      <c r="C204" s="13"/>
    </row>
    <row r="205" spans="1:3" ht="13" x14ac:dyDescent="0.15">
      <c r="A205" s="10"/>
      <c r="B205" s="13"/>
      <c r="C205" s="13"/>
    </row>
    <row r="206" spans="1:3" ht="13" x14ac:dyDescent="0.15">
      <c r="A206" s="10"/>
      <c r="B206" s="13"/>
      <c r="C206" s="13"/>
    </row>
    <row r="207" spans="1:3" ht="13" x14ac:dyDescent="0.15">
      <c r="A207" s="10"/>
      <c r="B207" s="13"/>
      <c r="C207" s="13"/>
    </row>
    <row r="208" spans="1:3" ht="13" x14ac:dyDescent="0.15">
      <c r="A208" s="10"/>
      <c r="B208" s="13"/>
      <c r="C208" s="13"/>
    </row>
    <row r="209" spans="1:3" ht="13" x14ac:dyDescent="0.15">
      <c r="A209" s="10"/>
      <c r="B209" s="13"/>
      <c r="C209" s="13"/>
    </row>
    <row r="210" spans="1:3" ht="13" x14ac:dyDescent="0.15">
      <c r="A210" s="10"/>
      <c r="B210" s="13"/>
      <c r="C210" s="13"/>
    </row>
    <row r="211" spans="1:3" ht="13" x14ac:dyDescent="0.15">
      <c r="A211" s="10"/>
      <c r="B211" s="13"/>
      <c r="C211" s="13"/>
    </row>
    <row r="212" spans="1:3" ht="13" x14ac:dyDescent="0.15">
      <c r="A212" s="10"/>
      <c r="B212" s="13"/>
      <c r="C212" s="13"/>
    </row>
    <row r="213" spans="1:3" ht="13" x14ac:dyDescent="0.15">
      <c r="A213" s="10"/>
      <c r="B213" s="13"/>
      <c r="C213" s="13"/>
    </row>
    <row r="214" spans="1:3" ht="13" x14ac:dyDescent="0.15">
      <c r="A214" s="10"/>
      <c r="B214" s="13"/>
      <c r="C214" s="13"/>
    </row>
    <row r="215" spans="1:3" ht="13" x14ac:dyDescent="0.15">
      <c r="A215" s="10"/>
      <c r="B215" s="13"/>
      <c r="C215" s="13"/>
    </row>
    <row r="216" spans="1:3" ht="13" x14ac:dyDescent="0.15">
      <c r="A216" s="10"/>
      <c r="B216" s="13"/>
      <c r="C216" s="13"/>
    </row>
    <row r="217" spans="1:3" ht="13" x14ac:dyDescent="0.15">
      <c r="A217" s="10"/>
      <c r="B217" s="13"/>
      <c r="C217" s="13"/>
    </row>
    <row r="218" spans="1:3" ht="13" x14ac:dyDescent="0.15">
      <c r="A218" s="10"/>
      <c r="B218" s="13"/>
      <c r="C218" s="13"/>
    </row>
    <row r="219" spans="1:3" ht="13" x14ac:dyDescent="0.15">
      <c r="A219" s="10"/>
      <c r="B219" s="13"/>
      <c r="C219" s="13"/>
    </row>
    <row r="220" spans="1:3" ht="13" x14ac:dyDescent="0.15">
      <c r="A220" s="10"/>
      <c r="B220" s="13"/>
      <c r="C220" s="13"/>
    </row>
    <row r="221" spans="1:3" ht="13" x14ac:dyDescent="0.15">
      <c r="A221" s="10"/>
      <c r="B221" s="13"/>
      <c r="C221" s="13"/>
    </row>
    <row r="222" spans="1:3" ht="13" x14ac:dyDescent="0.15">
      <c r="A222" s="10"/>
      <c r="B222" s="13"/>
      <c r="C222" s="13"/>
    </row>
    <row r="223" spans="1:3" ht="13" x14ac:dyDescent="0.15">
      <c r="A223" s="10"/>
      <c r="B223" s="13"/>
      <c r="C223" s="13"/>
    </row>
    <row r="224" spans="1:3" ht="13" x14ac:dyDescent="0.15">
      <c r="A224" s="10"/>
      <c r="B224" s="13"/>
      <c r="C224" s="13"/>
    </row>
    <row r="225" spans="1:3" ht="13" x14ac:dyDescent="0.15">
      <c r="A225" s="10"/>
      <c r="B225" s="13"/>
      <c r="C225" s="13"/>
    </row>
    <row r="226" spans="1:3" ht="13" x14ac:dyDescent="0.15">
      <c r="A226" s="10"/>
      <c r="B226" s="13"/>
      <c r="C226" s="13"/>
    </row>
    <row r="227" spans="1:3" ht="13" x14ac:dyDescent="0.15">
      <c r="A227" s="10"/>
      <c r="B227" s="13"/>
      <c r="C227" s="13"/>
    </row>
    <row r="228" spans="1:3" ht="13" x14ac:dyDescent="0.15">
      <c r="A228" s="10"/>
      <c r="B228" s="13"/>
      <c r="C228" s="13"/>
    </row>
    <row r="229" spans="1:3" ht="13" x14ac:dyDescent="0.15">
      <c r="A229" s="10"/>
      <c r="B229" s="13"/>
      <c r="C229" s="13"/>
    </row>
    <row r="230" spans="1:3" ht="13" x14ac:dyDescent="0.15">
      <c r="A230" s="10"/>
      <c r="B230" s="13"/>
      <c r="C230" s="13"/>
    </row>
    <row r="231" spans="1:3" ht="13" x14ac:dyDescent="0.15">
      <c r="A231" s="10"/>
      <c r="B231" s="13"/>
      <c r="C231" s="13"/>
    </row>
    <row r="232" spans="1:3" ht="13" x14ac:dyDescent="0.15">
      <c r="A232" s="10"/>
      <c r="B232" s="13"/>
      <c r="C232" s="13"/>
    </row>
    <row r="233" spans="1:3" ht="13" x14ac:dyDescent="0.15">
      <c r="A233" s="10"/>
      <c r="B233" s="13"/>
      <c r="C233" s="13"/>
    </row>
    <row r="234" spans="1:3" ht="13" x14ac:dyDescent="0.15">
      <c r="A234" s="10"/>
      <c r="B234" s="13"/>
      <c r="C234" s="13"/>
    </row>
    <row r="235" spans="1:3" ht="13" x14ac:dyDescent="0.15">
      <c r="A235" s="10"/>
      <c r="B235" s="13"/>
      <c r="C235" s="13"/>
    </row>
    <row r="236" spans="1:3" ht="13" x14ac:dyDescent="0.15">
      <c r="A236" s="10"/>
      <c r="B236" s="13"/>
      <c r="C236" s="13"/>
    </row>
    <row r="237" spans="1:3" ht="13" x14ac:dyDescent="0.15">
      <c r="A237" s="10"/>
      <c r="B237" s="13"/>
      <c r="C237" s="13"/>
    </row>
    <row r="238" spans="1:3" ht="13" x14ac:dyDescent="0.15">
      <c r="A238" s="10"/>
      <c r="B238" s="13"/>
      <c r="C238" s="13"/>
    </row>
    <row r="239" spans="1:3" ht="13" x14ac:dyDescent="0.15">
      <c r="A239" s="10"/>
      <c r="B239" s="13"/>
      <c r="C239" s="13"/>
    </row>
    <row r="240" spans="1:3" ht="13" x14ac:dyDescent="0.15">
      <c r="A240" s="10"/>
      <c r="B240" s="13"/>
      <c r="C240" s="13"/>
    </row>
    <row r="241" spans="1:3" ht="13" x14ac:dyDescent="0.15">
      <c r="A241" s="10"/>
      <c r="B241" s="13"/>
      <c r="C241" s="13"/>
    </row>
    <row r="242" spans="1:3" ht="13" x14ac:dyDescent="0.15">
      <c r="A242" s="10"/>
      <c r="B242" s="13"/>
      <c r="C242" s="13"/>
    </row>
    <row r="243" spans="1:3" ht="13" x14ac:dyDescent="0.15">
      <c r="A243" s="10"/>
      <c r="B243" s="13"/>
      <c r="C243" s="13"/>
    </row>
    <row r="244" spans="1:3" ht="13" x14ac:dyDescent="0.15">
      <c r="A244" s="10"/>
      <c r="B244" s="13"/>
      <c r="C244" s="13"/>
    </row>
    <row r="245" spans="1:3" ht="13" x14ac:dyDescent="0.15">
      <c r="A245" s="10"/>
      <c r="B245" s="13"/>
      <c r="C245" s="13"/>
    </row>
    <row r="246" spans="1:3" ht="13" x14ac:dyDescent="0.15">
      <c r="A246" s="10"/>
      <c r="B246" s="13"/>
      <c r="C246" s="13"/>
    </row>
    <row r="247" spans="1:3" ht="13" x14ac:dyDescent="0.15">
      <c r="A247" s="10"/>
      <c r="B247" s="13"/>
      <c r="C247" s="13"/>
    </row>
    <row r="248" spans="1:3" ht="13" x14ac:dyDescent="0.15">
      <c r="A248" s="10"/>
      <c r="B248" s="13"/>
      <c r="C248" s="13"/>
    </row>
    <row r="249" spans="1:3" ht="13" x14ac:dyDescent="0.15">
      <c r="A249" s="10"/>
      <c r="B249" s="13"/>
      <c r="C249" s="13"/>
    </row>
    <row r="250" spans="1:3" ht="13" x14ac:dyDescent="0.15">
      <c r="A250" s="10"/>
      <c r="B250" s="13"/>
      <c r="C250" s="13"/>
    </row>
    <row r="251" spans="1:3" ht="13" x14ac:dyDescent="0.15">
      <c r="A251" s="10"/>
      <c r="B251" s="13"/>
      <c r="C251" s="13"/>
    </row>
    <row r="252" spans="1:3" ht="13" x14ac:dyDescent="0.15">
      <c r="A252" s="10"/>
      <c r="B252" s="13"/>
      <c r="C252" s="13"/>
    </row>
    <row r="253" spans="1:3" ht="13" x14ac:dyDescent="0.15">
      <c r="A253" s="10"/>
      <c r="B253" s="13"/>
      <c r="C253" s="13"/>
    </row>
    <row r="254" spans="1:3" ht="13" x14ac:dyDescent="0.15">
      <c r="A254" s="10"/>
      <c r="B254" s="13"/>
      <c r="C254" s="13"/>
    </row>
    <row r="255" spans="1:3" ht="13" x14ac:dyDescent="0.15">
      <c r="A255" s="10"/>
      <c r="B255" s="13"/>
      <c r="C255" s="13"/>
    </row>
    <row r="256" spans="1:3" ht="13" x14ac:dyDescent="0.15">
      <c r="A256" s="10"/>
      <c r="B256" s="13"/>
      <c r="C256" s="13"/>
    </row>
    <row r="257" spans="1:3" ht="13" x14ac:dyDescent="0.15">
      <c r="A257" s="10"/>
      <c r="B257" s="13"/>
      <c r="C257" s="13"/>
    </row>
    <row r="258" spans="1:3" ht="13" x14ac:dyDescent="0.15">
      <c r="A258" s="10"/>
      <c r="B258" s="13"/>
      <c r="C258" s="13"/>
    </row>
    <row r="259" spans="1:3" ht="13" x14ac:dyDescent="0.15">
      <c r="A259" s="10"/>
      <c r="B259" s="13"/>
      <c r="C259" s="13"/>
    </row>
    <row r="260" spans="1:3" ht="13" x14ac:dyDescent="0.15">
      <c r="A260" s="10"/>
      <c r="B260" s="13"/>
      <c r="C260" s="13"/>
    </row>
    <row r="261" spans="1:3" ht="13" x14ac:dyDescent="0.15">
      <c r="A261" s="10"/>
      <c r="B261" s="13"/>
      <c r="C261" s="13"/>
    </row>
    <row r="262" spans="1:3" ht="13" x14ac:dyDescent="0.15">
      <c r="A262" s="10"/>
      <c r="B262" s="13"/>
      <c r="C262" s="13"/>
    </row>
    <row r="263" spans="1:3" ht="13" x14ac:dyDescent="0.15">
      <c r="A263" s="10"/>
      <c r="B263" s="13"/>
      <c r="C263" s="13"/>
    </row>
    <row r="264" spans="1:3" ht="13" x14ac:dyDescent="0.15">
      <c r="A264" s="10"/>
      <c r="B264" s="13"/>
      <c r="C264" s="13"/>
    </row>
    <row r="265" spans="1:3" ht="13" x14ac:dyDescent="0.15">
      <c r="A265" s="10"/>
      <c r="B265" s="13"/>
      <c r="C265" s="13"/>
    </row>
    <row r="266" spans="1:3" ht="13" x14ac:dyDescent="0.15">
      <c r="A266" s="10"/>
      <c r="B266" s="13"/>
      <c r="C266" s="13"/>
    </row>
    <row r="267" spans="1:3" ht="13" x14ac:dyDescent="0.15">
      <c r="A267" s="10"/>
      <c r="B267" s="13"/>
      <c r="C267" s="13"/>
    </row>
    <row r="268" spans="1:3" ht="13" x14ac:dyDescent="0.15">
      <c r="A268" s="10"/>
      <c r="B268" s="13"/>
      <c r="C268" s="13"/>
    </row>
    <row r="269" spans="1:3" ht="13" x14ac:dyDescent="0.15">
      <c r="A269" s="10"/>
      <c r="B269" s="13"/>
      <c r="C269" s="13"/>
    </row>
    <row r="270" spans="1:3" ht="13" x14ac:dyDescent="0.15">
      <c r="A270" s="10"/>
      <c r="B270" s="13"/>
      <c r="C270" s="13"/>
    </row>
    <row r="271" spans="1:3" ht="13" x14ac:dyDescent="0.15">
      <c r="A271" s="10"/>
      <c r="B271" s="13"/>
      <c r="C271" s="13"/>
    </row>
    <row r="272" spans="1:3" ht="13" x14ac:dyDescent="0.15">
      <c r="A272" s="10"/>
      <c r="B272" s="13"/>
      <c r="C272" s="13"/>
    </row>
    <row r="273" spans="1:3" ht="13" x14ac:dyDescent="0.15">
      <c r="A273" s="10"/>
      <c r="B273" s="13"/>
      <c r="C273" s="13"/>
    </row>
    <row r="274" spans="1:3" ht="13" x14ac:dyDescent="0.15">
      <c r="A274" s="10"/>
      <c r="B274" s="13"/>
      <c r="C274" s="13"/>
    </row>
    <row r="275" spans="1:3" ht="13" x14ac:dyDescent="0.15">
      <c r="A275" s="10"/>
      <c r="B275" s="13"/>
      <c r="C275" s="13"/>
    </row>
    <row r="276" spans="1:3" ht="13" x14ac:dyDescent="0.15">
      <c r="A276" s="10"/>
      <c r="B276" s="13"/>
      <c r="C276" s="13"/>
    </row>
    <row r="277" spans="1:3" ht="13" x14ac:dyDescent="0.15">
      <c r="A277" s="10"/>
      <c r="B277" s="13"/>
      <c r="C277" s="13"/>
    </row>
    <row r="278" spans="1:3" ht="13" x14ac:dyDescent="0.15">
      <c r="A278" s="10"/>
      <c r="B278" s="13"/>
      <c r="C278" s="13"/>
    </row>
    <row r="279" spans="1:3" ht="13" x14ac:dyDescent="0.15">
      <c r="A279" s="10"/>
      <c r="B279" s="13"/>
      <c r="C279" s="13"/>
    </row>
    <row r="280" spans="1:3" ht="13" x14ac:dyDescent="0.15">
      <c r="A280" s="10"/>
      <c r="B280" s="13"/>
      <c r="C280" s="13"/>
    </row>
    <row r="281" spans="1:3" ht="13" x14ac:dyDescent="0.15">
      <c r="A281" s="10"/>
      <c r="B281" s="13"/>
      <c r="C281" s="13"/>
    </row>
    <row r="282" spans="1:3" ht="13" x14ac:dyDescent="0.15">
      <c r="A282" s="10"/>
      <c r="B282" s="13"/>
      <c r="C282" s="13"/>
    </row>
    <row r="283" spans="1:3" ht="13" x14ac:dyDescent="0.15">
      <c r="A283" s="10"/>
      <c r="B283" s="13"/>
      <c r="C283" s="13"/>
    </row>
    <row r="284" spans="1:3" ht="13" x14ac:dyDescent="0.15">
      <c r="A284" s="10"/>
      <c r="B284" s="13"/>
      <c r="C284" s="13"/>
    </row>
    <row r="285" spans="1:3" ht="13" x14ac:dyDescent="0.15">
      <c r="A285" s="10"/>
      <c r="B285" s="13"/>
      <c r="C285" s="13"/>
    </row>
    <row r="286" spans="1:3" ht="13" x14ac:dyDescent="0.15">
      <c r="A286" s="10"/>
      <c r="B286" s="13"/>
      <c r="C286" s="13"/>
    </row>
    <row r="287" spans="1:3" ht="13" x14ac:dyDescent="0.15">
      <c r="A287" s="10"/>
      <c r="B287" s="13"/>
      <c r="C287" s="13"/>
    </row>
    <row r="288" spans="1:3" ht="13" x14ac:dyDescent="0.15">
      <c r="A288" s="10"/>
      <c r="B288" s="13"/>
      <c r="C288" s="13"/>
    </row>
    <row r="289" spans="1:3" ht="13" x14ac:dyDescent="0.15">
      <c r="A289" s="10"/>
      <c r="B289" s="13"/>
      <c r="C289" s="13"/>
    </row>
    <row r="290" spans="1:3" ht="13" x14ac:dyDescent="0.15">
      <c r="A290" s="10"/>
      <c r="B290" s="13"/>
      <c r="C290" s="13"/>
    </row>
    <row r="291" spans="1:3" ht="13" x14ac:dyDescent="0.15">
      <c r="A291" s="10"/>
      <c r="B291" s="13"/>
      <c r="C291" s="13"/>
    </row>
    <row r="292" spans="1:3" ht="13" x14ac:dyDescent="0.15">
      <c r="A292" s="10"/>
      <c r="B292" s="13"/>
      <c r="C292" s="13"/>
    </row>
    <row r="293" spans="1:3" ht="13" x14ac:dyDescent="0.15">
      <c r="A293" s="10"/>
      <c r="B293" s="13"/>
      <c r="C293" s="13"/>
    </row>
    <row r="294" spans="1:3" ht="13" x14ac:dyDescent="0.15">
      <c r="A294" s="10"/>
      <c r="B294" s="13"/>
      <c r="C294" s="13"/>
    </row>
    <row r="295" spans="1:3" ht="13" x14ac:dyDescent="0.15">
      <c r="A295" s="10"/>
      <c r="B295" s="13"/>
      <c r="C295" s="13"/>
    </row>
    <row r="296" spans="1:3" ht="13" x14ac:dyDescent="0.15">
      <c r="A296" s="10"/>
      <c r="B296" s="13"/>
      <c r="C296" s="13"/>
    </row>
    <row r="297" spans="1:3" ht="13" x14ac:dyDescent="0.15">
      <c r="A297" s="10"/>
      <c r="B297" s="13"/>
      <c r="C297" s="13"/>
    </row>
    <row r="298" spans="1:3" ht="13" x14ac:dyDescent="0.15">
      <c r="A298" s="10"/>
      <c r="B298" s="13"/>
      <c r="C298" s="13"/>
    </row>
    <row r="299" spans="1:3" ht="13" x14ac:dyDescent="0.15">
      <c r="A299" s="10"/>
      <c r="B299" s="13"/>
      <c r="C299" s="13"/>
    </row>
    <row r="300" spans="1:3" ht="13" x14ac:dyDescent="0.15">
      <c r="A300" s="10"/>
      <c r="B300" s="13"/>
      <c r="C300" s="13"/>
    </row>
    <row r="301" spans="1:3" ht="13" x14ac:dyDescent="0.15">
      <c r="A301" s="10"/>
      <c r="B301" s="13"/>
      <c r="C301" s="13"/>
    </row>
    <row r="302" spans="1:3" ht="13" x14ac:dyDescent="0.15">
      <c r="A302" s="10"/>
      <c r="B302" s="13"/>
      <c r="C302" s="13"/>
    </row>
    <row r="303" spans="1:3" ht="13" x14ac:dyDescent="0.15">
      <c r="A303" s="10"/>
      <c r="B303" s="13"/>
      <c r="C303" s="13"/>
    </row>
    <row r="304" spans="1:3" ht="13" x14ac:dyDescent="0.15">
      <c r="A304" s="10"/>
      <c r="B304" s="13"/>
      <c r="C304" s="13"/>
    </row>
    <row r="305" spans="1:3" ht="13" x14ac:dyDescent="0.15">
      <c r="A305" s="10"/>
      <c r="B305" s="13"/>
      <c r="C305" s="13"/>
    </row>
    <row r="306" spans="1:3" ht="13" x14ac:dyDescent="0.15">
      <c r="A306" s="10"/>
      <c r="B306" s="13"/>
      <c r="C306" s="13"/>
    </row>
    <row r="307" spans="1:3" ht="13" x14ac:dyDescent="0.15">
      <c r="A307" s="10"/>
      <c r="B307" s="13"/>
      <c r="C307" s="13"/>
    </row>
    <row r="308" spans="1:3" ht="13" x14ac:dyDescent="0.15">
      <c r="A308" s="10"/>
      <c r="B308" s="13"/>
      <c r="C308" s="13"/>
    </row>
    <row r="309" spans="1:3" ht="13" x14ac:dyDescent="0.15">
      <c r="A309" s="10"/>
      <c r="B309" s="13"/>
      <c r="C309" s="13"/>
    </row>
    <row r="310" spans="1:3" ht="13" x14ac:dyDescent="0.15">
      <c r="A310" s="10"/>
      <c r="B310" s="13"/>
      <c r="C310" s="13"/>
    </row>
    <row r="311" spans="1:3" ht="13" x14ac:dyDescent="0.15">
      <c r="A311" s="10"/>
      <c r="B311" s="13"/>
      <c r="C311" s="13"/>
    </row>
    <row r="312" spans="1:3" ht="13" x14ac:dyDescent="0.15">
      <c r="A312" s="10"/>
      <c r="B312" s="13"/>
      <c r="C312" s="13"/>
    </row>
    <row r="313" spans="1:3" ht="13" x14ac:dyDescent="0.15">
      <c r="A313" s="10"/>
      <c r="B313" s="13"/>
      <c r="C313" s="13"/>
    </row>
    <row r="314" spans="1:3" ht="13" x14ac:dyDescent="0.15">
      <c r="A314" s="10"/>
      <c r="B314" s="13"/>
      <c r="C314" s="13"/>
    </row>
    <row r="315" spans="1:3" ht="13" x14ac:dyDescent="0.15">
      <c r="A315" s="10"/>
      <c r="B315" s="13"/>
      <c r="C315" s="13"/>
    </row>
    <row r="316" spans="1:3" ht="13" x14ac:dyDescent="0.15">
      <c r="A316" s="10"/>
      <c r="B316" s="13"/>
      <c r="C316" s="13"/>
    </row>
    <row r="317" spans="1:3" ht="13" x14ac:dyDescent="0.15">
      <c r="A317" s="10"/>
      <c r="B317" s="13"/>
      <c r="C317" s="13"/>
    </row>
    <row r="318" spans="1:3" ht="13" x14ac:dyDescent="0.15">
      <c r="A318" s="10"/>
      <c r="B318" s="13"/>
      <c r="C318" s="13"/>
    </row>
    <row r="319" spans="1:3" ht="13" x14ac:dyDescent="0.15">
      <c r="A319" s="10"/>
      <c r="B319" s="13"/>
      <c r="C319" s="13"/>
    </row>
    <row r="320" spans="1:3" ht="13" x14ac:dyDescent="0.15">
      <c r="A320" s="10"/>
      <c r="B320" s="13"/>
      <c r="C320" s="13"/>
    </row>
    <row r="321" spans="1:3" ht="13" x14ac:dyDescent="0.15">
      <c r="A321" s="10"/>
      <c r="B321" s="13"/>
      <c r="C321" s="13"/>
    </row>
    <row r="322" spans="1:3" ht="13" x14ac:dyDescent="0.15">
      <c r="A322" s="10"/>
      <c r="B322" s="13"/>
      <c r="C322" s="13"/>
    </row>
    <row r="323" spans="1:3" ht="13" x14ac:dyDescent="0.15">
      <c r="A323" s="10"/>
      <c r="B323" s="13"/>
      <c r="C323" s="13"/>
    </row>
    <row r="324" spans="1:3" ht="13" x14ac:dyDescent="0.15">
      <c r="A324" s="10"/>
      <c r="B324" s="13"/>
      <c r="C324" s="13"/>
    </row>
    <row r="325" spans="1:3" ht="13" x14ac:dyDescent="0.15">
      <c r="A325" s="10"/>
      <c r="B325" s="13"/>
      <c r="C325" s="13"/>
    </row>
    <row r="326" spans="1:3" ht="13" x14ac:dyDescent="0.15">
      <c r="A326" s="10"/>
      <c r="B326" s="13"/>
      <c r="C326" s="13"/>
    </row>
    <row r="327" spans="1:3" ht="13" x14ac:dyDescent="0.15">
      <c r="A327" s="10"/>
      <c r="B327" s="13"/>
      <c r="C327" s="13"/>
    </row>
    <row r="328" spans="1:3" ht="13" x14ac:dyDescent="0.15">
      <c r="A328" s="10"/>
      <c r="B328" s="13"/>
      <c r="C328" s="13"/>
    </row>
    <row r="329" spans="1:3" ht="13" x14ac:dyDescent="0.15">
      <c r="A329" s="10"/>
      <c r="B329" s="13"/>
      <c r="C329" s="13"/>
    </row>
    <row r="330" spans="1:3" ht="13" x14ac:dyDescent="0.15">
      <c r="A330" s="10"/>
      <c r="B330" s="13"/>
      <c r="C330" s="13"/>
    </row>
    <row r="331" spans="1:3" ht="13" x14ac:dyDescent="0.15">
      <c r="A331" s="10"/>
      <c r="B331" s="13"/>
      <c r="C331" s="13"/>
    </row>
    <row r="332" spans="1:3" ht="13" x14ac:dyDescent="0.15">
      <c r="A332" s="10"/>
      <c r="B332" s="13"/>
      <c r="C332" s="13"/>
    </row>
    <row r="333" spans="1:3" ht="13" x14ac:dyDescent="0.15">
      <c r="A333" s="10"/>
      <c r="B333" s="13"/>
      <c r="C333" s="13"/>
    </row>
    <row r="334" spans="1:3" ht="13" x14ac:dyDescent="0.15">
      <c r="A334" s="10"/>
      <c r="B334" s="13"/>
      <c r="C334" s="13"/>
    </row>
    <row r="335" spans="1:3" ht="13" x14ac:dyDescent="0.15">
      <c r="A335" s="10"/>
      <c r="B335" s="13"/>
      <c r="C335" s="13"/>
    </row>
    <row r="336" spans="1:3" ht="13" x14ac:dyDescent="0.15">
      <c r="A336" s="10"/>
      <c r="B336" s="13"/>
      <c r="C336" s="13"/>
    </row>
    <row r="337" spans="1:3" ht="13" x14ac:dyDescent="0.15">
      <c r="A337" s="10"/>
      <c r="B337" s="13"/>
      <c r="C337" s="13"/>
    </row>
    <row r="338" spans="1:3" ht="13" x14ac:dyDescent="0.15">
      <c r="A338" s="10"/>
      <c r="B338" s="13"/>
      <c r="C338" s="13"/>
    </row>
    <row r="339" spans="1:3" ht="13" x14ac:dyDescent="0.15">
      <c r="A339" s="10"/>
      <c r="B339" s="13"/>
      <c r="C339" s="13"/>
    </row>
    <row r="340" spans="1:3" ht="13" x14ac:dyDescent="0.15">
      <c r="A340" s="10"/>
      <c r="B340" s="13"/>
      <c r="C340" s="13"/>
    </row>
    <row r="341" spans="1:3" ht="13" x14ac:dyDescent="0.15">
      <c r="A341" s="10"/>
      <c r="B341" s="13"/>
      <c r="C341" s="13"/>
    </row>
    <row r="342" spans="1:3" ht="13" x14ac:dyDescent="0.15">
      <c r="A342" s="10"/>
      <c r="B342" s="13"/>
      <c r="C342" s="13"/>
    </row>
    <row r="343" spans="1:3" ht="13" x14ac:dyDescent="0.15">
      <c r="A343" s="10"/>
      <c r="B343" s="13"/>
      <c r="C343" s="13"/>
    </row>
    <row r="344" spans="1:3" ht="13" x14ac:dyDescent="0.15">
      <c r="A344" s="10"/>
      <c r="B344" s="13"/>
      <c r="C344" s="13"/>
    </row>
    <row r="345" spans="1:3" ht="13" x14ac:dyDescent="0.15">
      <c r="A345" s="10"/>
      <c r="B345" s="13"/>
      <c r="C345" s="13"/>
    </row>
    <row r="346" spans="1:3" ht="13" x14ac:dyDescent="0.15">
      <c r="A346" s="10"/>
      <c r="B346" s="13"/>
      <c r="C346" s="13"/>
    </row>
    <row r="347" spans="1:3" ht="13" x14ac:dyDescent="0.15">
      <c r="A347" s="10"/>
      <c r="B347" s="13"/>
      <c r="C347" s="13"/>
    </row>
    <row r="348" spans="1:3" ht="13" x14ac:dyDescent="0.15">
      <c r="A348" s="10"/>
      <c r="B348" s="13"/>
      <c r="C348" s="13"/>
    </row>
    <row r="349" spans="1:3" ht="13" x14ac:dyDescent="0.15">
      <c r="A349" s="10"/>
      <c r="B349" s="13"/>
      <c r="C349" s="13"/>
    </row>
    <row r="350" spans="1:3" ht="13" x14ac:dyDescent="0.15">
      <c r="A350" s="10"/>
      <c r="B350" s="13"/>
      <c r="C350" s="13"/>
    </row>
    <row r="351" spans="1:3" ht="13" x14ac:dyDescent="0.15">
      <c r="A351" s="10"/>
      <c r="B351" s="13"/>
      <c r="C351" s="13"/>
    </row>
    <row r="352" spans="1:3" ht="13" x14ac:dyDescent="0.15">
      <c r="A352" s="10"/>
      <c r="B352" s="13"/>
      <c r="C352" s="13"/>
    </row>
    <row r="353" spans="1:3" ht="13" x14ac:dyDescent="0.15">
      <c r="A353" s="10"/>
      <c r="B353" s="13"/>
      <c r="C353" s="13"/>
    </row>
    <row r="354" spans="1:3" ht="13" x14ac:dyDescent="0.15">
      <c r="A354" s="10"/>
      <c r="B354" s="13"/>
      <c r="C354" s="13"/>
    </row>
    <row r="355" spans="1:3" ht="13" x14ac:dyDescent="0.15">
      <c r="A355" s="10"/>
      <c r="B355" s="13"/>
      <c r="C355" s="13"/>
    </row>
    <row r="356" spans="1:3" ht="13" x14ac:dyDescent="0.15">
      <c r="A356" s="10"/>
      <c r="B356" s="13"/>
      <c r="C356" s="13"/>
    </row>
    <row r="357" spans="1:3" ht="13" x14ac:dyDescent="0.15">
      <c r="A357" s="10"/>
      <c r="B357" s="13"/>
      <c r="C357" s="13"/>
    </row>
    <row r="358" spans="1:3" ht="13" x14ac:dyDescent="0.15">
      <c r="A358" s="10"/>
      <c r="B358" s="13"/>
      <c r="C358" s="13"/>
    </row>
    <row r="359" spans="1:3" ht="13" x14ac:dyDescent="0.15">
      <c r="A359" s="10"/>
      <c r="B359" s="13"/>
      <c r="C359" s="13"/>
    </row>
    <row r="360" spans="1:3" ht="13" x14ac:dyDescent="0.15">
      <c r="A360" s="10"/>
      <c r="B360" s="13"/>
      <c r="C360" s="13"/>
    </row>
    <row r="361" spans="1:3" ht="13" x14ac:dyDescent="0.15">
      <c r="A361" s="10"/>
      <c r="B361" s="13"/>
      <c r="C361" s="13"/>
    </row>
    <row r="362" spans="1:3" ht="13" x14ac:dyDescent="0.15">
      <c r="A362" s="10"/>
      <c r="B362" s="13"/>
      <c r="C362" s="13"/>
    </row>
    <row r="363" spans="1:3" ht="13" x14ac:dyDescent="0.15">
      <c r="A363" s="10"/>
      <c r="B363" s="13"/>
      <c r="C363" s="13"/>
    </row>
    <row r="364" spans="1:3" ht="13" x14ac:dyDescent="0.15">
      <c r="A364" s="10"/>
      <c r="B364" s="13"/>
      <c r="C364" s="13"/>
    </row>
    <row r="365" spans="1:3" ht="13" x14ac:dyDescent="0.15">
      <c r="A365" s="10"/>
      <c r="B365" s="13"/>
      <c r="C365" s="13"/>
    </row>
    <row r="366" spans="1:3" ht="13" x14ac:dyDescent="0.15">
      <c r="A366" s="10"/>
      <c r="B366" s="13"/>
      <c r="C366" s="13"/>
    </row>
    <row r="367" spans="1:3" ht="13" x14ac:dyDescent="0.15">
      <c r="A367" s="10"/>
      <c r="B367" s="13"/>
      <c r="C367" s="13"/>
    </row>
    <row r="368" spans="1:3" ht="13" x14ac:dyDescent="0.15">
      <c r="A368" s="10"/>
      <c r="B368" s="13"/>
      <c r="C368" s="13"/>
    </row>
    <row r="369" spans="1:3" ht="13" x14ac:dyDescent="0.15">
      <c r="A369" s="10"/>
      <c r="B369" s="13"/>
      <c r="C369" s="13"/>
    </row>
    <row r="370" spans="1:3" ht="13" x14ac:dyDescent="0.15">
      <c r="A370" s="10"/>
      <c r="B370" s="13"/>
      <c r="C370" s="13"/>
    </row>
    <row r="371" spans="1:3" ht="13" x14ac:dyDescent="0.15">
      <c r="A371" s="10"/>
      <c r="B371" s="13"/>
      <c r="C371" s="13"/>
    </row>
    <row r="372" spans="1:3" ht="13" x14ac:dyDescent="0.15">
      <c r="A372" s="10"/>
      <c r="B372" s="13"/>
      <c r="C372" s="13"/>
    </row>
    <row r="373" spans="1:3" ht="13" x14ac:dyDescent="0.15">
      <c r="A373" s="10"/>
      <c r="B373" s="13"/>
      <c r="C373" s="13"/>
    </row>
    <row r="374" spans="1:3" ht="13" x14ac:dyDescent="0.15">
      <c r="A374" s="10"/>
      <c r="B374" s="13"/>
      <c r="C374" s="13"/>
    </row>
    <row r="375" spans="1:3" ht="13" x14ac:dyDescent="0.15">
      <c r="A375" s="10"/>
      <c r="B375" s="13"/>
      <c r="C375" s="13"/>
    </row>
    <row r="376" spans="1:3" ht="13" x14ac:dyDescent="0.15">
      <c r="A376" s="10"/>
      <c r="B376" s="13"/>
      <c r="C376" s="13"/>
    </row>
    <row r="377" spans="1:3" ht="13" x14ac:dyDescent="0.15">
      <c r="A377" s="10"/>
      <c r="B377" s="13"/>
      <c r="C377" s="13"/>
    </row>
    <row r="378" spans="1:3" ht="13" x14ac:dyDescent="0.15">
      <c r="A378" s="10"/>
      <c r="B378" s="13"/>
      <c r="C378" s="13"/>
    </row>
    <row r="379" spans="1:3" ht="13" x14ac:dyDescent="0.15">
      <c r="A379" s="10"/>
      <c r="B379" s="13"/>
      <c r="C379" s="13"/>
    </row>
    <row r="380" spans="1:3" ht="13" x14ac:dyDescent="0.15">
      <c r="A380" s="10"/>
      <c r="B380" s="13"/>
      <c r="C380" s="13"/>
    </row>
    <row r="381" spans="1:3" ht="13" x14ac:dyDescent="0.15">
      <c r="A381" s="10"/>
      <c r="B381" s="13"/>
      <c r="C381" s="13"/>
    </row>
    <row r="382" spans="1:3" ht="13" x14ac:dyDescent="0.15">
      <c r="A382" s="10"/>
      <c r="B382" s="13"/>
      <c r="C382" s="13"/>
    </row>
    <row r="383" spans="1:3" ht="13" x14ac:dyDescent="0.15">
      <c r="A383" s="10"/>
      <c r="B383" s="13"/>
      <c r="C383" s="13"/>
    </row>
    <row r="384" spans="1:3" ht="13" x14ac:dyDescent="0.15">
      <c r="A384" s="10"/>
      <c r="B384" s="13"/>
      <c r="C384" s="13"/>
    </row>
    <row r="385" spans="1:3" ht="13" x14ac:dyDescent="0.15">
      <c r="A385" s="10"/>
      <c r="B385" s="13"/>
      <c r="C385" s="13"/>
    </row>
    <row r="386" spans="1:3" ht="13" x14ac:dyDescent="0.15">
      <c r="A386" s="10"/>
      <c r="B386" s="13"/>
      <c r="C386" s="13"/>
    </row>
    <row r="387" spans="1:3" ht="13" x14ac:dyDescent="0.15">
      <c r="A387" s="10"/>
      <c r="B387" s="13"/>
      <c r="C387" s="13"/>
    </row>
    <row r="388" spans="1:3" ht="13" x14ac:dyDescent="0.15">
      <c r="A388" s="10"/>
      <c r="B388" s="13"/>
      <c r="C388" s="13"/>
    </row>
    <row r="389" spans="1:3" ht="13" x14ac:dyDescent="0.15">
      <c r="A389" s="10"/>
      <c r="B389" s="13"/>
      <c r="C389" s="13"/>
    </row>
    <row r="390" spans="1:3" ht="13" x14ac:dyDescent="0.15">
      <c r="A390" s="10"/>
      <c r="B390" s="13"/>
      <c r="C390" s="13"/>
    </row>
    <row r="391" spans="1:3" ht="13" x14ac:dyDescent="0.15">
      <c r="A391" s="10"/>
      <c r="B391" s="13"/>
      <c r="C391" s="13"/>
    </row>
    <row r="392" spans="1:3" ht="13" x14ac:dyDescent="0.15">
      <c r="A392" s="10"/>
      <c r="B392" s="13"/>
      <c r="C392" s="13"/>
    </row>
    <row r="393" spans="1:3" ht="13" x14ac:dyDescent="0.15">
      <c r="A393" s="10"/>
      <c r="B393" s="13"/>
      <c r="C393" s="13"/>
    </row>
    <row r="394" spans="1:3" ht="13" x14ac:dyDescent="0.15">
      <c r="A394" s="10"/>
      <c r="B394" s="13"/>
      <c r="C394" s="13"/>
    </row>
    <row r="395" spans="1:3" ht="13" x14ac:dyDescent="0.15">
      <c r="A395" s="10"/>
      <c r="B395" s="13"/>
      <c r="C395" s="13"/>
    </row>
    <row r="396" spans="1:3" ht="13" x14ac:dyDescent="0.15">
      <c r="A396" s="10"/>
      <c r="B396" s="13"/>
      <c r="C396" s="13"/>
    </row>
    <row r="397" spans="1:3" ht="13" x14ac:dyDescent="0.15">
      <c r="A397" s="10"/>
      <c r="B397" s="13"/>
      <c r="C397" s="13"/>
    </row>
    <row r="398" spans="1:3" ht="13" x14ac:dyDescent="0.15">
      <c r="A398" s="10"/>
      <c r="B398" s="13"/>
      <c r="C398" s="13"/>
    </row>
    <row r="399" spans="1:3" ht="13" x14ac:dyDescent="0.15">
      <c r="A399" s="10"/>
      <c r="B399" s="13"/>
      <c r="C399" s="13"/>
    </row>
    <row r="400" spans="1:3" ht="13" x14ac:dyDescent="0.15">
      <c r="A400" s="10"/>
      <c r="B400" s="13"/>
      <c r="C400" s="13"/>
    </row>
    <row r="401" spans="1:3" ht="13" x14ac:dyDescent="0.15">
      <c r="A401" s="10"/>
      <c r="B401" s="13"/>
      <c r="C401" s="13"/>
    </row>
    <row r="402" spans="1:3" ht="13" x14ac:dyDescent="0.15">
      <c r="A402" s="10"/>
      <c r="B402" s="13"/>
      <c r="C402" s="13"/>
    </row>
    <row r="403" spans="1:3" ht="13" x14ac:dyDescent="0.15">
      <c r="A403" s="10"/>
      <c r="B403" s="13"/>
      <c r="C403" s="13"/>
    </row>
    <row r="404" spans="1:3" ht="13" x14ac:dyDescent="0.15">
      <c r="A404" s="10"/>
      <c r="B404" s="13"/>
      <c r="C404" s="13"/>
    </row>
    <row r="405" spans="1:3" ht="13" x14ac:dyDescent="0.15">
      <c r="A405" s="10"/>
      <c r="B405" s="13"/>
      <c r="C405" s="13"/>
    </row>
    <row r="406" spans="1:3" ht="13" x14ac:dyDescent="0.15">
      <c r="A406" s="10"/>
      <c r="B406" s="13"/>
      <c r="C406" s="13"/>
    </row>
    <row r="407" spans="1:3" ht="13" x14ac:dyDescent="0.15">
      <c r="A407" s="10"/>
      <c r="B407" s="13"/>
      <c r="C407" s="13"/>
    </row>
    <row r="408" spans="1:3" ht="13" x14ac:dyDescent="0.15">
      <c r="A408" s="10"/>
      <c r="B408" s="13"/>
      <c r="C408" s="13"/>
    </row>
    <row r="409" spans="1:3" ht="13" x14ac:dyDescent="0.15">
      <c r="A409" s="10"/>
      <c r="B409" s="13"/>
      <c r="C409" s="13"/>
    </row>
    <row r="410" spans="1:3" ht="13" x14ac:dyDescent="0.15">
      <c r="A410" s="10"/>
      <c r="B410" s="13"/>
      <c r="C410" s="13"/>
    </row>
    <row r="411" spans="1:3" ht="13" x14ac:dyDescent="0.15">
      <c r="A411" s="10"/>
      <c r="B411" s="13"/>
      <c r="C411" s="13"/>
    </row>
    <row r="412" spans="1:3" ht="13" x14ac:dyDescent="0.15">
      <c r="A412" s="10"/>
      <c r="B412" s="13"/>
      <c r="C412" s="13"/>
    </row>
    <row r="413" spans="1:3" ht="13" x14ac:dyDescent="0.15">
      <c r="A413" s="10"/>
      <c r="B413" s="13"/>
      <c r="C413" s="13"/>
    </row>
    <row r="414" spans="1:3" ht="13" x14ac:dyDescent="0.15">
      <c r="A414" s="10"/>
      <c r="B414" s="13"/>
      <c r="C414" s="13"/>
    </row>
    <row r="415" spans="1:3" ht="13" x14ac:dyDescent="0.15">
      <c r="A415" s="10"/>
      <c r="B415" s="13"/>
      <c r="C415" s="13"/>
    </row>
    <row r="416" spans="1:3" ht="13" x14ac:dyDescent="0.15">
      <c r="A416" s="10"/>
      <c r="B416" s="13"/>
      <c r="C416" s="13"/>
    </row>
    <row r="417" spans="1:3" ht="13" x14ac:dyDescent="0.15">
      <c r="A417" s="10"/>
      <c r="B417" s="13"/>
      <c r="C417" s="13"/>
    </row>
    <row r="418" spans="1:3" ht="13" x14ac:dyDescent="0.15">
      <c r="A418" s="10"/>
      <c r="B418" s="13"/>
      <c r="C418" s="13"/>
    </row>
    <row r="419" spans="1:3" ht="13" x14ac:dyDescent="0.15">
      <c r="A419" s="10"/>
      <c r="B419" s="13"/>
      <c r="C419" s="13"/>
    </row>
    <row r="420" spans="1:3" ht="13" x14ac:dyDescent="0.15">
      <c r="A420" s="10"/>
      <c r="B420" s="13"/>
      <c r="C420" s="13"/>
    </row>
    <row r="421" spans="1:3" ht="13" x14ac:dyDescent="0.15">
      <c r="A421" s="10"/>
      <c r="B421" s="13"/>
      <c r="C421" s="13"/>
    </row>
    <row r="422" spans="1:3" ht="13" x14ac:dyDescent="0.15">
      <c r="A422" s="10"/>
      <c r="B422" s="13"/>
      <c r="C422" s="13"/>
    </row>
    <row r="423" spans="1:3" ht="13" x14ac:dyDescent="0.15">
      <c r="A423" s="10"/>
      <c r="B423" s="13"/>
      <c r="C423" s="13"/>
    </row>
    <row r="424" spans="1:3" ht="13" x14ac:dyDescent="0.15">
      <c r="A424" s="10"/>
      <c r="B424" s="13"/>
      <c r="C424" s="13"/>
    </row>
    <row r="425" spans="1:3" ht="13" x14ac:dyDescent="0.15">
      <c r="A425" s="10"/>
      <c r="B425" s="13"/>
      <c r="C425" s="13"/>
    </row>
    <row r="426" spans="1:3" ht="13" x14ac:dyDescent="0.15">
      <c r="A426" s="10"/>
      <c r="B426" s="13"/>
      <c r="C426" s="13"/>
    </row>
    <row r="427" spans="1:3" ht="13" x14ac:dyDescent="0.15">
      <c r="A427" s="10"/>
      <c r="B427" s="13"/>
      <c r="C427" s="13"/>
    </row>
    <row r="428" spans="1:3" ht="13" x14ac:dyDescent="0.15">
      <c r="A428" s="10"/>
      <c r="B428" s="13"/>
      <c r="C428" s="13"/>
    </row>
    <row r="429" spans="1:3" ht="13" x14ac:dyDescent="0.15">
      <c r="A429" s="10"/>
      <c r="B429" s="13"/>
      <c r="C429" s="13"/>
    </row>
    <row r="430" spans="1:3" ht="13" x14ac:dyDescent="0.15">
      <c r="A430" s="10"/>
      <c r="B430" s="13"/>
      <c r="C430" s="13"/>
    </row>
    <row r="431" spans="1:3" ht="13" x14ac:dyDescent="0.15">
      <c r="A431" s="10"/>
      <c r="B431" s="13"/>
      <c r="C431" s="13"/>
    </row>
    <row r="432" spans="1:3" ht="13" x14ac:dyDescent="0.15">
      <c r="A432" s="10"/>
      <c r="B432" s="13"/>
      <c r="C432" s="13"/>
    </row>
    <row r="433" spans="1:3" ht="13" x14ac:dyDescent="0.15">
      <c r="A433" s="10"/>
      <c r="B433" s="13"/>
      <c r="C433" s="13"/>
    </row>
    <row r="434" spans="1:3" ht="13" x14ac:dyDescent="0.15">
      <c r="A434" s="10"/>
      <c r="B434" s="13"/>
      <c r="C434" s="13"/>
    </row>
    <row r="435" spans="1:3" ht="13" x14ac:dyDescent="0.15">
      <c r="A435" s="10"/>
      <c r="B435" s="13"/>
      <c r="C435" s="13"/>
    </row>
    <row r="436" spans="1:3" ht="13" x14ac:dyDescent="0.15">
      <c r="A436" s="10"/>
      <c r="B436" s="13"/>
      <c r="C436" s="13"/>
    </row>
    <row r="437" spans="1:3" ht="13" x14ac:dyDescent="0.15">
      <c r="A437" s="10"/>
      <c r="B437" s="13"/>
      <c r="C437" s="13"/>
    </row>
    <row r="438" spans="1:3" ht="13" x14ac:dyDescent="0.15">
      <c r="A438" s="10"/>
      <c r="B438" s="13"/>
      <c r="C438" s="13"/>
    </row>
    <row r="439" spans="1:3" ht="13" x14ac:dyDescent="0.15">
      <c r="A439" s="10"/>
      <c r="B439" s="13"/>
      <c r="C439" s="13"/>
    </row>
    <row r="440" spans="1:3" ht="13" x14ac:dyDescent="0.15">
      <c r="A440" s="10"/>
      <c r="B440" s="13"/>
      <c r="C440" s="13"/>
    </row>
    <row r="441" spans="1:3" ht="13" x14ac:dyDescent="0.15">
      <c r="A441" s="10"/>
      <c r="B441" s="13"/>
      <c r="C441" s="13"/>
    </row>
    <row r="442" spans="1:3" ht="13" x14ac:dyDescent="0.15">
      <c r="A442" s="10"/>
      <c r="B442" s="13"/>
      <c r="C442" s="13"/>
    </row>
    <row r="443" spans="1:3" ht="13" x14ac:dyDescent="0.15">
      <c r="A443" s="10"/>
      <c r="B443" s="13"/>
      <c r="C443" s="13"/>
    </row>
    <row r="444" spans="1:3" ht="13" x14ac:dyDescent="0.15">
      <c r="A444" s="10"/>
      <c r="B444" s="13"/>
      <c r="C444" s="13"/>
    </row>
    <row r="445" spans="1:3" ht="13" x14ac:dyDescent="0.15">
      <c r="A445" s="10"/>
      <c r="B445" s="13"/>
      <c r="C445" s="13"/>
    </row>
    <row r="446" spans="1:3" ht="13" x14ac:dyDescent="0.15">
      <c r="A446" s="10"/>
      <c r="B446" s="13"/>
      <c r="C446" s="13"/>
    </row>
    <row r="447" spans="1:3" ht="13" x14ac:dyDescent="0.15">
      <c r="A447" s="10"/>
      <c r="B447" s="13"/>
      <c r="C447" s="13"/>
    </row>
    <row r="448" spans="1:3" ht="13" x14ac:dyDescent="0.15">
      <c r="A448" s="10"/>
      <c r="B448" s="13"/>
      <c r="C448" s="13"/>
    </row>
    <row r="449" spans="1:3" ht="13" x14ac:dyDescent="0.15">
      <c r="A449" s="10"/>
      <c r="B449" s="13"/>
      <c r="C449" s="13"/>
    </row>
    <row r="450" spans="1:3" ht="13" x14ac:dyDescent="0.15">
      <c r="A450" s="10"/>
      <c r="B450" s="13"/>
      <c r="C450" s="13"/>
    </row>
    <row r="451" spans="1:3" ht="13" x14ac:dyDescent="0.15">
      <c r="A451" s="10"/>
      <c r="B451" s="13"/>
      <c r="C451" s="13"/>
    </row>
    <row r="452" spans="1:3" ht="13" x14ac:dyDescent="0.15">
      <c r="A452" s="10"/>
      <c r="B452" s="13"/>
      <c r="C452" s="13"/>
    </row>
    <row r="453" spans="1:3" ht="13" x14ac:dyDescent="0.15">
      <c r="A453" s="10"/>
      <c r="B453" s="13"/>
      <c r="C453" s="13"/>
    </row>
    <row r="454" spans="1:3" ht="13" x14ac:dyDescent="0.15">
      <c r="A454" s="10"/>
      <c r="B454" s="13"/>
      <c r="C454" s="13"/>
    </row>
    <row r="455" spans="1:3" ht="13" x14ac:dyDescent="0.15">
      <c r="A455" s="10"/>
      <c r="B455" s="13"/>
      <c r="C455" s="13"/>
    </row>
    <row r="456" spans="1:3" ht="13" x14ac:dyDescent="0.15">
      <c r="A456" s="10"/>
      <c r="B456" s="13"/>
      <c r="C456" s="13"/>
    </row>
    <row r="457" spans="1:3" ht="13" x14ac:dyDescent="0.15">
      <c r="A457" s="10"/>
      <c r="B457" s="13"/>
      <c r="C457" s="13"/>
    </row>
    <row r="458" spans="1:3" ht="13" x14ac:dyDescent="0.15">
      <c r="A458" s="10"/>
      <c r="B458" s="13"/>
      <c r="C458" s="13"/>
    </row>
    <row r="459" spans="1:3" ht="13" x14ac:dyDescent="0.15">
      <c r="A459" s="10"/>
      <c r="B459" s="13"/>
      <c r="C459" s="13"/>
    </row>
    <row r="460" spans="1:3" ht="13" x14ac:dyDescent="0.15">
      <c r="A460" s="10"/>
      <c r="B460" s="13"/>
      <c r="C460" s="13"/>
    </row>
    <row r="461" spans="1:3" ht="13" x14ac:dyDescent="0.15">
      <c r="A461" s="10"/>
      <c r="B461" s="13"/>
      <c r="C461" s="13"/>
    </row>
    <row r="462" spans="1:3" ht="13" x14ac:dyDescent="0.15">
      <c r="A462" s="10"/>
      <c r="B462" s="13"/>
      <c r="C462" s="13"/>
    </row>
    <row r="463" spans="1:3" ht="13" x14ac:dyDescent="0.15">
      <c r="A463" s="10"/>
      <c r="B463" s="13"/>
      <c r="C463" s="13"/>
    </row>
    <row r="464" spans="1:3" ht="13" x14ac:dyDescent="0.15">
      <c r="A464" s="10"/>
      <c r="B464" s="13"/>
      <c r="C464" s="13"/>
    </row>
    <row r="465" spans="1:3" ht="13" x14ac:dyDescent="0.15">
      <c r="A465" s="10"/>
      <c r="B465" s="13"/>
      <c r="C465" s="13"/>
    </row>
    <row r="466" spans="1:3" ht="13" x14ac:dyDescent="0.15">
      <c r="A466" s="10"/>
      <c r="B466" s="13"/>
      <c r="C466" s="13"/>
    </row>
    <row r="467" spans="1:3" ht="13" x14ac:dyDescent="0.15">
      <c r="A467" s="10"/>
      <c r="B467" s="13"/>
      <c r="C467" s="13"/>
    </row>
    <row r="468" spans="1:3" ht="13" x14ac:dyDescent="0.15">
      <c r="A468" s="10"/>
      <c r="B468" s="13"/>
      <c r="C468" s="13"/>
    </row>
    <row r="469" spans="1:3" ht="13" x14ac:dyDescent="0.15">
      <c r="A469" s="10"/>
      <c r="B469" s="13"/>
      <c r="C469" s="13"/>
    </row>
    <row r="470" spans="1:3" ht="13" x14ac:dyDescent="0.15">
      <c r="A470" s="10"/>
      <c r="B470" s="13"/>
      <c r="C470" s="13"/>
    </row>
    <row r="471" spans="1:3" ht="13" x14ac:dyDescent="0.15">
      <c r="A471" s="10"/>
      <c r="B471" s="13"/>
      <c r="C471" s="13"/>
    </row>
    <row r="472" spans="1:3" ht="13" x14ac:dyDescent="0.15">
      <c r="A472" s="10"/>
      <c r="B472" s="13"/>
      <c r="C472" s="13"/>
    </row>
    <row r="473" spans="1:3" ht="13" x14ac:dyDescent="0.15">
      <c r="A473" s="10"/>
      <c r="B473" s="13"/>
      <c r="C473" s="13"/>
    </row>
    <row r="474" spans="1:3" ht="13" x14ac:dyDescent="0.15">
      <c r="A474" s="10"/>
      <c r="B474" s="13"/>
      <c r="C474" s="13"/>
    </row>
    <row r="475" spans="1:3" ht="13" x14ac:dyDescent="0.15">
      <c r="A475" s="10"/>
      <c r="B475" s="13"/>
      <c r="C475" s="13"/>
    </row>
    <row r="476" spans="1:3" ht="13" x14ac:dyDescent="0.15">
      <c r="A476" s="10"/>
      <c r="B476" s="13"/>
      <c r="C476" s="13"/>
    </row>
    <row r="477" spans="1:3" ht="13" x14ac:dyDescent="0.15">
      <c r="A477" s="10"/>
      <c r="B477" s="13"/>
      <c r="C477" s="13"/>
    </row>
    <row r="478" spans="1:3" ht="13" x14ac:dyDescent="0.15">
      <c r="A478" s="10"/>
      <c r="B478" s="13"/>
      <c r="C478" s="13"/>
    </row>
    <row r="479" spans="1:3" ht="13" x14ac:dyDescent="0.15">
      <c r="A479" s="10"/>
      <c r="B479" s="13"/>
      <c r="C479" s="13"/>
    </row>
    <row r="480" spans="1:3" ht="13" x14ac:dyDescent="0.15">
      <c r="A480" s="10"/>
      <c r="B480" s="13"/>
      <c r="C480" s="13"/>
    </row>
    <row r="481" spans="1:3" ht="13" x14ac:dyDescent="0.15">
      <c r="A481" s="10"/>
      <c r="B481" s="13"/>
      <c r="C481" s="13"/>
    </row>
    <row r="482" spans="1:3" ht="13" x14ac:dyDescent="0.15">
      <c r="A482" s="10"/>
      <c r="B482" s="13"/>
      <c r="C482" s="13"/>
    </row>
    <row r="483" spans="1:3" ht="13" x14ac:dyDescent="0.15">
      <c r="A483" s="10"/>
      <c r="B483" s="13"/>
      <c r="C483" s="13"/>
    </row>
    <row r="484" spans="1:3" ht="13" x14ac:dyDescent="0.15">
      <c r="A484" s="10"/>
      <c r="B484" s="13"/>
      <c r="C484" s="13"/>
    </row>
    <row r="485" spans="1:3" ht="13" x14ac:dyDescent="0.15">
      <c r="A485" s="10"/>
      <c r="B485" s="13"/>
      <c r="C485" s="13"/>
    </row>
    <row r="486" spans="1:3" ht="13" x14ac:dyDescent="0.15">
      <c r="A486" s="10"/>
      <c r="B486" s="13"/>
      <c r="C486" s="13"/>
    </row>
    <row r="487" spans="1:3" ht="13" x14ac:dyDescent="0.15">
      <c r="A487" s="10"/>
      <c r="B487" s="13"/>
      <c r="C487" s="13"/>
    </row>
    <row r="488" spans="1:3" ht="13" x14ac:dyDescent="0.15">
      <c r="A488" s="10"/>
      <c r="B488" s="13"/>
      <c r="C488" s="13"/>
    </row>
    <row r="489" spans="1:3" ht="13" x14ac:dyDescent="0.15">
      <c r="A489" s="10"/>
      <c r="B489" s="13"/>
      <c r="C489" s="13"/>
    </row>
    <row r="490" spans="1:3" ht="13" x14ac:dyDescent="0.15">
      <c r="A490" s="10"/>
      <c r="B490" s="13"/>
      <c r="C490" s="13"/>
    </row>
    <row r="491" spans="1:3" ht="13" x14ac:dyDescent="0.15">
      <c r="A491" s="10"/>
      <c r="B491" s="13"/>
      <c r="C491" s="13"/>
    </row>
    <row r="492" spans="1:3" ht="13" x14ac:dyDescent="0.15">
      <c r="A492" s="10"/>
      <c r="B492" s="13"/>
      <c r="C492" s="13"/>
    </row>
    <row r="493" spans="1:3" ht="13" x14ac:dyDescent="0.15">
      <c r="A493" s="10"/>
      <c r="B493" s="13"/>
      <c r="C493" s="13"/>
    </row>
    <row r="494" spans="1:3" ht="13" x14ac:dyDescent="0.15">
      <c r="A494" s="10"/>
      <c r="B494" s="13"/>
      <c r="C494" s="13"/>
    </row>
    <row r="495" spans="1:3" ht="13" x14ac:dyDescent="0.15">
      <c r="A495" s="10"/>
      <c r="B495" s="13"/>
      <c r="C495" s="13"/>
    </row>
    <row r="496" spans="1:3" ht="13" x14ac:dyDescent="0.15">
      <c r="A496" s="10"/>
      <c r="B496" s="13"/>
      <c r="C496" s="13"/>
    </row>
    <row r="497" spans="1:3" ht="13" x14ac:dyDescent="0.15">
      <c r="A497" s="10"/>
      <c r="B497" s="13"/>
      <c r="C497" s="13"/>
    </row>
    <row r="498" spans="1:3" ht="13" x14ac:dyDescent="0.15">
      <c r="A498" s="10"/>
      <c r="B498" s="13"/>
      <c r="C498" s="13"/>
    </row>
    <row r="499" spans="1:3" ht="13" x14ac:dyDescent="0.15">
      <c r="A499" s="10"/>
      <c r="B499" s="13"/>
      <c r="C499" s="13"/>
    </row>
    <row r="500" spans="1:3" ht="13" x14ac:dyDescent="0.15">
      <c r="A500" s="10"/>
      <c r="B500" s="13"/>
      <c r="C500" s="13"/>
    </row>
    <row r="501" spans="1:3" ht="13" x14ac:dyDescent="0.15">
      <c r="A501" s="10"/>
      <c r="B501" s="13"/>
      <c r="C501" s="13"/>
    </row>
    <row r="502" spans="1:3" ht="13" x14ac:dyDescent="0.15">
      <c r="A502" s="10"/>
      <c r="B502" s="13"/>
      <c r="C502" s="13"/>
    </row>
    <row r="503" spans="1:3" ht="13" x14ac:dyDescent="0.15">
      <c r="A503" s="10"/>
      <c r="B503" s="13"/>
      <c r="C503" s="13"/>
    </row>
    <row r="504" spans="1:3" ht="13" x14ac:dyDescent="0.15">
      <c r="A504" s="10"/>
      <c r="B504" s="13"/>
      <c r="C504" s="13"/>
    </row>
    <row r="505" spans="1:3" ht="13" x14ac:dyDescent="0.15">
      <c r="A505" s="10"/>
      <c r="B505" s="13"/>
      <c r="C505" s="13"/>
    </row>
    <row r="506" spans="1:3" ht="13" x14ac:dyDescent="0.15">
      <c r="A506" s="10"/>
      <c r="B506" s="13"/>
      <c r="C506" s="13"/>
    </row>
    <row r="507" spans="1:3" ht="13" x14ac:dyDescent="0.15">
      <c r="A507" s="10"/>
      <c r="B507" s="13"/>
      <c r="C507" s="13"/>
    </row>
    <row r="508" spans="1:3" ht="13" x14ac:dyDescent="0.15">
      <c r="A508" s="10"/>
      <c r="B508" s="13"/>
      <c r="C508" s="13"/>
    </row>
    <row r="509" spans="1:3" ht="13" x14ac:dyDescent="0.15">
      <c r="A509" s="10"/>
      <c r="B509" s="13"/>
      <c r="C509" s="13"/>
    </row>
    <row r="510" spans="1:3" ht="13" x14ac:dyDescent="0.15">
      <c r="A510" s="10"/>
      <c r="B510" s="13"/>
      <c r="C510" s="13"/>
    </row>
    <row r="511" spans="1:3" ht="13" x14ac:dyDescent="0.15">
      <c r="A511" s="10"/>
      <c r="B511" s="13"/>
      <c r="C511" s="13"/>
    </row>
    <row r="512" spans="1:3" ht="13" x14ac:dyDescent="0.15">
      <c r="A512" s="10"/>
      <c r="B512" s="13"/>
      <c r="C512" s="13"/>
    </row>
    <row r="513" spans="1:3" ht="13" x14ac:dyDescent="0.15">
      <c r="A513" s="10"/>
      <c r="B513" s="13"/>
      <c r="C513" s="13"/>
    </row>
    <row r="514" spans="1:3" ht="13" x14ac:dyDescent="0.15">
      <c r="A514" s="10"/>
      <c r="B514" s="13"/>
      <c r="C514" s="13"/>
    </row>
    <row r="515" spans="1:3" ht="13" x14ac:dyDescent="0.15">
      <c r="A515" s="10"/>
      <c r="B515" s="13"/>
      <c r="C515" s="13"/>
    </row>
    <row r="516" spans="1:3" ht="13" x14ac:dyDescent="0.15">
      <c r="A516" s="10"/>
      <c r="B516" s="13"/>
      <c r="C516" s="13"/>
    </row>
    <row r="517" spans="1:3" ht="13" x14ac:dyDescent="0.15">
      <c r="A517" s="10"/>
      <c r="B517" s="13"/>
      <c r="C517" s="13"/>
    </row>
    <row r="518" spans="1:3" ht="13" x14ac:dyDescent="0.15">
      <c r="A518" s="10"/>
      <c r="B518" s="13"/>
      <c r="C518" s="13"/>
    </row>
    <row r="519" spans="1:3" ht="13" x14ac:dyDescent="0.15">
      <c r="A519" s="10"/>
      <c r="B519" s="13"/>
      <c r="C519" s="13"/>
    </row>
    <row r="520" spans="1:3" ht="13" x14ac:dyDescent="0.15">
      <c r="A520" s="10"/>
      <c r="B520" s="13"/>
      <c r="C520" s="13"/>
    </row>
    <row r="521" spans="1:3" ht="13" x14ac:dyDescent="0.15">
      <c r="A521" s="10"/>
      <c r="B521" s="13"/>
      <c r="C521" s="13"/>
    </row>
    <row r="522" spans="1:3" ht="13" x14ac:dyDescent="0.15">
      <c r="A522" s="10"/>
      <c r="B522" s="13"/>
      <c r="C522" s="13"/>
    </row>
    <row r="523" spans="1:3" ht="13" x14ac:dyDescent="0.15">
      <c r="A523" s="10"/>
      <c r="B523" s="13"/>
      <c r="C523" s="13"/>
    </row>
    <row r="524" spans="1:3" ht="13" x14ac:dyDescent="0.15">
      <c r="A524" s="10"/>
      <c r="B524" s="13"/>
      <c r="C524" s="13"/>
    </row>
    <row r="525" spans="1:3" ht="13" x14ac:dyDescent="0.15">
      <c r="A525" s="10"/>
      <c r="B525" s="13"/>
      <c r="C525" s="13"/>
    </row>
    <row r="526" spans="1:3" ht="13" x14ac:dyDescent="0.15">
      <c r="A526" s="10"/>
      <c r="B526" s="13"/>
      <c r="C526" s="13"/>
    </row>
    <row r="527" spans="1:3" ht="13" x14ac:dyDescent="0.15">
      <c r="A527" s="10"/>
      <c r="B527" s="13"/>
      <c r="C527" s="13"/>
    </row>
    <row r="528" spans="1:3" ht="13" x14ac:dyDescent="0.15">
      <c r="A528" s="10"/>
      <c r="B528" s="13"/>
      <c r="C528" s="13"/>
    </row>
    <row r="529" spans="1:3" ht="13" x14ac:dyDescent="0.15">
      <c r="A529" s="10"/>
      <c r="B529" s="13"/>
      <c r="C529" s="13"/>
    </row>
    <row r="530" spans="1:3" ht="13" x14ac:dyDescent="0.15">
      <c r="A530" s="10"/>
      <c r="B530" s="13"/>
      <c r="C530" s="13"/>
    </row>
    <row r="531" spans="1:3" ht="13" x14ac:dyDescent="0.15">
      <c r="A531" s="10"/>
      <c r="B531" s="13"/>
      <c r="C531" s="13"/>
    </row>
    <row r="532" spans="1:3" ht="13" x14ac:dyDescent="0.15">
      <c r="A532" s="10"/>
      <c r="B532" s="13"/>
      <c r="C532" s="13"/>
    </row>
    <row r="533" spans="1:3" ht="13" x14ac:dyDescent="0.15">
      <c r="A533" s="10"/>
      <c r="B533" s="13"/>
      <c r="C533" s="13"/>
    </row>
    <row r="534" spans="1:3" ht="13" x14ac:dyDescent="0.15">
      <c r="A534" s="10"/>
      <c r="B534" s="13"/>
      <c r="C534" s="13"/>
    </row>
    <row r="535" spans="1:3" ht="13" x14ac:dyDescent="0.15">
      <c r="A535" s="10"/>
      <c r="B535" s="13"/>
      <c r="C535" s="13"/>
    </row>
    <row r="536" spans="1:3" ht="13" x14ac:dyDescent="0.15">
      <c r="A536" s="10"/>
      <c r="B536" s="13"/>
      <c r="C536" s="13"/>
    </row>
    <row r="537" spans="1:3" ht="13" x14ac:dyDescent="0.15">
      <c r="A537" s="10"/>
      <c r="B537" s="13"/>
      <c r="C537" s="13"/>
    </row>
    <row r="538" spans="1:3" ht="13" x14ac:dyDescent="0.15">
      <c r="A538" s="10"/>
      <c r="B538" s="13"/>
      <c r="C538" s="13"/>
    </row>
    <row r="539" spans="1:3" ht="13" x14ac:dyDescent="0.15">
      <c r="A539" s="10"/>
      <c r="B539" s="13"/>
      <c r="C539" s="13"/>
    </row>
    <row r="540" spans="1:3" ht="13" x14ac:dyDescent="0.15">
      <c r="A540" s="10"/>
      <c r="B540" s="13"/>
      <c r="C540" s="13"/>
    </row>
    <row r="541" spans="1:3" ht="13" x14ac:dyDescent="0.15">
      <c r="A541" s="10"/>
      <c r="B541" s="13"/>
      <c r="C541" s="13"/>
    </row>
    <row r="542" spans="1:3" ht="13" x14ac:dyDescent="0.15">
      <c r="A542" s="10"/>
      <c r="B542" s="13"/>
      <c r="C542" s="13"/>
    </row>
    <row r="543" spans="1:3" ht="13" x14ac:dyDescent="0.15">
      <c r="A543" s="10"/>
      <c r="B543" s="13"/>
      <c r="C543" s="13"/>
    </row>
    <row r="544" spans="1:3" ht="13" x14ac:dyDescent="0.15">
      <c r="A544" s="10"/>
      <c r="B544" s="13"/>
      <c r="C544" s="13"/>
    </row>
    <row r="545" spans="1:3" ht="13" x14ac:dyDescent="0.15">
      <c r="A545" s="10"/>
      <c r="B545" s="13"/>
      <c r="C545" s="13"/>
    </row>
    <row r="546" spans="1:3" ht="13" x14ac:dyDescent="0.15">
      <c r="A546" s="10"/>
      <c r="B546" s="13"/>
      <c r="C546" s="13"/>
    </row>
    <row r="547" spans="1:3" ht="13" x14ac:dyDescent="0.15">
      <c r="A547" s="10"/>
      <c r="B547" s="13"/>
      <c r="C547" s="13"/>
    </row>
    <row r="548" spans="1:3" ht="13" x14ac:dyDescent="0.15">
      <c r="A548" s="10"/>
      <c r="B548" s="13"/>
      <c r="C548" s="13"/>
    </row>
    <row r="549" spans="1:3" ht="13" x14ac:dyDescent="0.15">
      <c r="A549" s="10"/>
      <c r="B549" s="13"/>
      <c r="C549" s="13"/>
    </row>
    <row r="550" spans="1:3" ht="13" x14ac:dyDescent="0.15">
      <c r="A550" s="10"/>
      <c r="B550" s="13"/>
      <c r="C550" s="13"/>
    </row>
    <row r="551" spans="1:3" ht="13" x14ac:dyDescent="0.15">
      <c r="A551" s="10"/>
      <c r="B551" s="13"/>
      <c r="C551" s="13"/>
    </row>
    <row r="552" spans="1:3" ht="13" x14ac:dyDescent="0.15">
      <c r="A552" s="10"/>
      <c r="B552" s="13"/>
      <c r="C552" s="13"/>
    </row>
    <row r="553" spans="1:3" ht="13" x14ac:dyDescent="0.15">
      <c r="A553" s="10"/>
      <c r="B553" s="13"/>
      <c r="C553" s="13"/>
    </row>
    <row r="554" spans="1:3" ht="13" x14ac:dyDescent="0.15">
      <c r="A554" s="10"/>
      <c r="B554" s="13"/>
      <c r="C554" s="13"/>
    </row>
    <row r="555" spans="1:3" ht="13" x14ac:dyDescent="0.15">
      <c r="A555" s="10"/>
      <c r="B555" s="13"/>
      <c r="C555" s="13"/>
    </row>
    <row r="556" spans="1:3" ht="13" x14ac:dyDescent="0.15">
      <c r="A556" s="10"/>
      <c r="B556" s="13"/>
      <c r="C556" s="13"/>
    </row>
    <row r="557" spans="1:3" ht="13" x14ac:dyDescent="0.15">
      <c r="A557" s="10"/>
      <c r="B557" s="13"/>
      <c r="C557" s="13"/>
    </row>
    <row r="558" spans="1:3" ht="13" x14ac:dyDescent="0.15">
      <c r="A558" s="10"/>
      <c r="B558" s="13"/>
      <c r="C558" s="13"/>
    </row>
    <row r="559" spans="1:3" ht="13" x14ac:dyDescent="0.15">
      <c r="A559" s="10"/>
      <c r="B559" s="13"/>
      <c r="C559" s="13"/>
    </row>
    <row r="560" spans="1:3" ht="13" x14ac:dyDescent="0.15">
      <c r="A560" s="10"/>
      <c r="B560" s="13"/>
      <c r="C560" s="13"/>
    </row>
    <row r="561" spans="1:3" ht="13" x14ac:dyDescent="0.15">
      <c r="A561" s="10"/>
      <c r="B561" s="13"/>
      <c r="C561" s="13"/>
    </row>
    <row r="562" spans="1:3" ht="13" x14ac:dyDescent="0.15">
      <c r="A562" s="10"/>
      <c r="B562" s="13"/>
      <c r="C562" s="13"/>
    </row>
    <row r="563" spans="1:3" ht="13" x14ac:dyDescent="0.15">
      <c r="A563" s="10"/>
      <c r="B563" s="13"/>
      <c r="C563" s="13"/>
    </row>
    <row r="564" spans="1:3" ht="13" x14ac:dyDescent="0.15">
      <c r="A564" s="10"/>
      <c r="B564" s="13"/>
      <c r="C564" s="13"/>
    </row>
    <row r="565" spans="1:3" ht="13" x14ac:dyDescent="0.15">
      <c r="A565" s="10"/>
      <c r="B565" s="13"/>
      <c r="C565" s="13"/>
    </row>
    <row r="566" spans="1:3" ht="13" x14ac:dyDescent="0.15">
      <c r="A566" s="10"/>
      <c r="B566" s="13"/>
      <c r="C566" s="13"/>
    </row>
    <row r="567" spans="1:3" ht="13" x14ac:dyDescent="0.15">
      <c r="A567" s="10"/>
      <c r="B567" s="13"/>
      <c r="C567" s="13"/>
    </row>
    <row r="568" spans="1:3" ht="13" x14ac:dyDescent="0.15">
      <c r="A568" s="10"/>
      <c r="B568" s="13"/>
      <c r="C568" s="13"/>
    </row>
    <row r="569" spans="1:3" ht="13" x14ac:dyDescent="0.15">
      <c r="A569" s="10"/>
      <c r="B569" s="13"/>
      <c r="C569" s="13"/>
    </row>
    <row r="570" spans="1:3" ht="13" x14ac:dyDescent="0.15">
      <c r="A570" s="10"/>
      <c r="B570" s="13"/>
      <c r="C570" s="13"/>
    </row>
    <row r="571" spans="1:3" ht="13" x14ac:dyDescent="0.15">
      <c r="A571" s="10"/>
      <c r="B571" s="13"/>
      <c r="C571" s="13"/>
    </row>
    <row r="572" spans="1:3" ht="13" x14ac:dyDescent="0.15">
      <c r="A572" s="10"/>
      <c r="B572" s="13"/>
      <c r="C572" s="13"/>
    </row>
    <row r="573" spans="1:3" ht="13" x14ac:dyDescent="0.15">
      <c r="A573" s="10"/>
      <c r="B573" s="13"/>
      <c r="C573" s="13"/>
    </row>
    <row r="574" spans="1:3" ht="13" x14ac:dyDescent="0.15">
      <c r="A574" s="10"/>
      <c r="B574" s="13"/>
      <c r="C574" s="13"/>
    </row>
    <row r="575" spans="1:3" ht="13" x14ac:dyDescent="0.15">
      <c r="A575" s="10"/>
      <c r="B575" s="13"/>
      <c r="C575" s="13"/>
    </row>
    <row r="576" spans="1:3" ht="13" x14ac:dyDescent="0.15">
      <c r="A576" s="10"/>
      <c r="B576" s="13"/>
      <c r="C576" s="13"/>
    </row>
    <row r="577" spans="1:3" ht="13" x14ac:dyDescent="0.15">
      <c r="A577" s="10"/>
      <c r="B577" s="13"/>
      <c r="C577" s="13"/>
    </row>
    <row r="578" spans="1:3" ht="13" x14ac:dyDescent="0.15">
      <c r="A578" s="10"/>
      <c r="B578" s="13"/>
      <c r="C578" s="13"/>
    </row>
    <row r="579" spans="1:3" ht="13" x14ac:dyDescent="0.15">
      <c r="A579" s="10"/>
      <c r="B579" s="13"/>
      <c r="C579" s="13"/>
    </row>
    <row r="580" spans="1:3" ht="13" x14ac:dyDescent="0.15">
      <c r="A580" s="10"/>
      <c r="B580" s="13"/>
      <c r="C580" s="13"/>
    </row>
    <row r="581" spans="1:3" ht="13" x14ac:dyDescent="0.15">
      <c r="A581" s="10"/>
      <c r="B581" s="13"/>
      <c r="C581" s="13"/>
    </row>
    <row r="582" spans="1:3" ht="13" x14ac:dyDescent="0.15">
      <c r="A582" s="10"/>
      <c r="B582" s="13"/>
      <c r="C582" s="13"/>
    </row>
    <row r="583" spans="1:3" ht="13" x14ac:dyDescent="0.15">
      <c r="A583" s="10"/>
      <c r="B583" s="13"/>
      <c r="C583" s="13"/>
    </row>
    <row r="584" spans="1:3" ht="13" x14ac:dyDescent="0.15">
      <c r="A584" s="10"/>
      <c r="B584" s="13"/>
      <c r="C584" s="13"/>
    </row>
    <row r="585" spans="1:3" ht="13" x14ac:dyDescent="0.15">
      <c r="A585" s="10"/>
      <c r="B585" s="13"/>
      <c r="C585" s="13"/>
    </row>
    <row r="586" spans="1:3" ht="13" x14ac:dyDescent="0.15">
      <c r="A586" s="10"/>
      <c r="B586" s="13"/>
      <c r="C586" s="13"/>
    </row>
    <row r="587" spans="1:3" ht="13" x14ac:dyDescent="0.15">
      <c r="A587" s="10"/>
      <c r="B587" s="13"/>
      <c r="C587" s="13"/>
    </row>
    <row r="588" spans="1:3" ht="13" x14ac:dyDescent="0.15">
      <c r="A588" s="10"/>
      <c r="B588" s="13"/>
      <c r="C588" s="13"/>
    </row>
    <row r="589" spans="1:3" ht="13" x14ac:dyDescent="0.15">
      <c r="A589" s="10"/>
      <c r="B589" s="13"/>
      <c r="C589" s="13"/>
    </row>
    <row r="590" spans="1:3" ht="13" x14ac:dyDescent="0.15">
      <c r="A590" s="10"/>
      <c r="B590" s="13"/>
      <c r="C590" s="13"/>
    </row>
    <row r="591" spans="1:3" ht="13" x14ac:dyDescent="0.15">
      <c r="A591" s="10"/>
      <c r="B591" s="13"/>
      <c r="C591" s="13"/>
    </row>
    <row r="592" spans="1:3" ht="13" x14ac:dyDescent="0.15">
      <c r="A592" s="10"/>
      <c r="B592" s="13"/>
      <c r="C592" s="13"/>
    </row>
    <row r="593" spans="1:3" ht="13" x14ac:dyDescent="0.15">
      <c r="A593" s="10"/>
      <c r="B593" s="13"/>
      <c r="C593" s="13"/>
    </row>
    <row r="594" spans="1:3" ht="13" x14ac:dyDescent="0.15">
      <c r="A594" s="10"/>
      <c r="B594" s="13"/>
      <c r="C594" s="13"/>
    </row>
    <row r="595" spans="1:3" ht="13" x14ac:dyDescent="0.15">
      <c r="A595" s="10"/>
      <c r="B595" s="13"/>
      <c r="C595" s="13"/>
    </row>
    <row r="596" spans="1:3" ht="13" x14ac:dyDescent="0.15">
      <c r="A596" s="10"/>
      <c r="B596" s="13"/>
      <c r="C596" s="13"/>
    </row>
    <row r="597" spans="1:3" ht="13" x14ac:dyDescent="0.15">
      <c r="A597" s="10"/>
      <c r="B597" s="13"/>
      <c r="C597" s="13"/>
    </row>
    <row r="598" spans="1:3" ht="13" x14ac:dyDescent="0.15">
      <c r="A598" s="10"/>
      <c r="B598" s="13"/>
      <c r="C598" s="13"/>
    </row>
    <row r="599" spans="1:3" ht="13" x14ac:dyDescent="0.15">
      <c r="A599" s="10"/>
      <c r="B599" s="13"/>
      <c r="C599" s="13"/>
    </row>
    <row r="600" spans="1:3" ht="13" x14ac:dyDescent="0.15">
      <c r="A600" s="10"/>
      <c r="B600" s="13"/>
      <c r="C600" s="13"/>
    </row>
    <row r="601" spans="1:3" ht="13" x14ac:dyDescent="0.15">
      <c r="A601" s="10"/>
      <c r="B601" s="13"/>
      <c r="C601" s="13"/>
    </row>
    <row r="602" spans="1:3" ht="13" x14ac:dyDescent="0.15">
      <c r="A602" s="10"/>
      <c r="B602" s="13"/>
      <c r="C602" s="13"/>
    </row>
    <row r="603" spans="1:3" ht="13" x14ac:dyDescent="0.15">
      <c r="A603" s="10"/>
      <c r="B603" s="13"/>
      <c r="C603" s="13"/>
    </row>
    <row r="604" spans="1:3" ht="13" x14ac:dyDescent="0.15">
      <c r="A604" s="10"/>
      <c r="B604" s="13"/>
      <c r="C604" s="13"/>
    </row>
    <row r="605" spans="1:3" ht="13" x14ac:dyDescent="0.15">
      <c r="A605" s="10"/>
      <c r="B605" s="13"/>
      <c r="C605" s="13"/>
    </row>
    <row r="606" spans="1:3" ht="13" x14ac:dyDescent="0.15">
      <c r="A606" s="10"/>
      <c r="B606" s="13"/>
      <c r="C606" s="13"/>
    </row>
    <row r="607" spans="1:3" ht="13" x14ac:dyDescent="0.15">
      <c r="A607" s="10"/>
      <c r="B607" s="13"/>
      <c r="C607" s="13"/>
    </row>
    <row r="608" spans="1:3" ht="13" x14ac:dyDescent="0.15">
      <c r="A608" s="10"/>
      <c r="B608" s="13"/>
      <c r="C608" s="13"/>
    </row>
    <row r="609" spans="1:3" ht="13" x14ac:dyDescent="0.15">
      <c r="A609" s="10"/>
      <c r="B609" s="13"/>
      <c r="C609" s="13"/>
    </row>
    <row r="610" spans="1:3" ht="13" x14ac:dyDescent="0.15">
      <c r="A610" s="10"/>
      <c r="B610" s="13"/>
      <c r="C610" s="13"/>
    </row>
    <row r="611" spans="1:3" ht="13" x14ac:dyDescent="0.15">
      <c r="A611" s="10"/>
      <c r="B611" s="13"/>
      <c r="C611" s="13"/>
    </row>
    <row r="612" spans="1:3" ht="13" x14ac:dyDescent="0.15">
      <c r="A612" s="10"/>
      <c r="B612" s="13"/>
      <c r="C612" s="13"/>
    </row>
    <row r="613" spans="1:3" ht="13" x14ac:dyDescent="0.15">
      <c r="A613" s="10"/>
      <c r="B613" s="13"/>
      <c r="C613" s="13"/>
    </row>
    <row r="614" spans="1:3" ht="13" x14ac:dyDescent="0.15">
      <c r="A614" s="10"/>
      <c r="B614" s="13"/>
      <c r="C614" s="13"/>
    </row>
    <row r="615" spans="1:3" ht="13" x14ac:dyDescent="0.15">
      <c r="A615" s="10"/>
      <c r="B615" s="13"/>
      <c r="C615" s="13"/>
    </row>
    <row r="616" spans="1:3" ht="13" x14ac:dyDescent="0.15">
      <c r="A616" s="10"/>
      <c r="B616" s="13"/>
      <c r="C616" s="13"/>
    </row>
    <row r="617" spans="1:3" ht="13" x14ac:dyDescent="0.15">
      <c r="A617" s="10"/>
      <c r="B617" s="13"/>
      <c r="C617" s="13"/>
    </row>
    <row r="618" spans="1:3" ht="13" x14ac:dyDescent="0.15">
      <c r="A618" s="10"/>
      <c r="B618" s="13"/>
      <c r="C618" s="13"/>
    </row>
    <row r="619" spans="1:3" ht="13" x14ac:dyDescent="0.15">
      <c r="A619" s="10"/>
      <c r="B619" s="13"/>
      <c r="C619" s="13"/>
    </row>
    <row r="620" spans="1:3" ht="13" x14ac:dyDescent="0.15">
      <c r="A620" s="10"/>
      <c r="B620" s="13"/>
      <c r="C620" s="13"/>
    </row>
    <row r="621" spans="1:3" ht="13" x14ac:dyDescent="0.15">
      <c r="A621" s="10"/>
      <c r="B621" s="13"/>
      <c r="C621" s="13"/>
    </row>
    <row r="622" spans="1:3" ht="13" x14ac:dyDescent="0.15">
      <c r="A622" s="10"/>
      <c r="B622" s="13"/>
      <c r="C622" s="13"/>
    </row>
    <row r="623" spans="1:3" ht="13" x14ac:dyDescent="0.15">
      <c r="A623" s="10"/>
      <c r="B623" s="13"/>
      <c r="C623" s="13"/>
    </row>
    <row r="624" spans="1:3" ht="13" x14ac:dyDescent="0.15">
      <c r="A624" s="10"/>
      <c r="B624" s="13"/>
      <c r="C624" s="13"/>
    </row>
    <row r="625" spans="1:3" ht="13" x14ac:dyDescent="0.15">
      <c r="A625" s="10"/>
      <c r="B625" s="13"/>
      <c r="C625" s="13"/>
    </row>
    <row r="626" spans="1:3" ht="13" x14ac:dyDescent="0.15">
      <c r="A626" s="10"/>
      <c r="B626" s="13"/>
      <c r="C626" s="13"/>
    </row>
    <row r="627" spans="1:3" ht="13" x14ac:dyDescent="0.15">
      <c r="A627" s="10"/>
      <c r="B627" s="13"/>
      <c r="C627" s="13"/>
    </row>
    <row r="628" spans="1:3" ht="13" x14ac:dyDescent="0.15">
      <c r="A628" s="10"/>
      <c r="B628" s="13"/>
      <c r="C628" s="13"/>
    </row>
    <row r="629" spans="1:3" ht="13" x14ac:dyDescent="0.15">
      <c r="A629" s="10"/>
      <c r="B629" s="13"/>
      <c r="C629" s="13"/>
    </row>
    <row r="630" spans="1:3" ht="13" x14ac:dyDescent="0.15">
      <c r="A630" s="10"/>
      <c r="B630" s="13"/>
      <c r="C630" s="13"/>
    </row>
    <row r="631" spans="1:3" ht="13" x14ac:dyDescent="0.15">
      <c r="A631" s="10"/>
      <c r="B631" s="13"/>
      <c r="C631" s="13"/>
    </row>
    <row r="632" spans="1:3" ht="13" x14ac:dyDescent="0.15">
      <c r="A632" s="10"/>
      <c r="B632" s="13"/>
      <c r="C632" s="13"/>
    </row>
    <row r="633" spans="1:3" ht="13" x14ac:dyDescent="0.15">
      <c r="A633" s="10"/>
      <c r="B633" s="13"/>
      <c r="C633" s="13"/>
    </row>
    <row r="634" spans="1:3" ht="13" x14ac:dyDescent="0.15">
      <c r="A634" s="10"/>
      <c r="B634" s="13"/>
      <c r="C634" s="13"/>
    </row>
    <row r="635" spans="1:3" ht="13" x14ac:dyDescent="0.15">
      <c r="A635" s="10"/>
      <c r="B635" s="13"/>
      <c r="C635" s="13"/>
    </row>
    <row r="636" spans="1:3" ht="13" x14ac:dyDescent="0.15">
      <c r="A636" s="10"/>
      <c r="B636" s="13"/>
      <c r="C636" s="13"/>
    </row>
    <row r="637" spans="1:3" ht="13" x14ac:dyDescent="0.15">
      <c r="A637" s="10"/>
      <c r="B637" s="13"/>
      <c r="C637" s="13"/>
    </row>
    <row r="638" spans="1:3" ht="13" x14ac:dyDescent="0.15">
      <c r="A638" s="10"/>
      <c r="B638" s="13"/>
      <c r="C638" s="13"/>
    </row>
    <row r="639" spans="1:3" ht="13" x14ac:dyDescent="0.15">
      <c r="A639" s="10"/>
      <c r="B639" s="13"/>
      <c r="C639" s="13"/>
    </row>
    <row r="640" spans="1:3" ht="13" x14ac:dyDescent="0.15">
      <c r="A640" s="10"/>
      <c r="B640" s="13"/>
      <c r="C640" s="13"/>
    </row>
    <row r="641" spans="1:3" ht="13" x14ac:dyDescent="0.15">
      <c r="A641" s="10"/>
      <c r="B641" s="13"/>
      <c r="C641" s="13"/>
    </row>
    <row r="642" spans="1:3" ht="13" x14ac:dyDescent="0.15">
      <c r="A642" s="10"/>
      <c r="B642" s="13"/>
      <c r="C642" s="13"/>
    </row>
    <row r="643" spans="1:3" ht="13" x14ac:dyDescent="0.15">
      <c r="A643" s="10"/>
      <c r="B643" s="13"/>
      <c r="C643" s="13"/>
    </row>
    <row r="644" spans="1:3" ht="13" x14ac:dyDescent="0.15">
      <c r="A644" s="10"/>
      <c r="B644" s="13"/>
      <c r="C644" s="13"/>
    </row>
    <row r="645" spans="1:3" ht="13" x14ac:dyDescent="0.15">
      <c r="A645" s="10"/>
      <c r="B645" s="13"/>
      <c r="C645" s="13"/>
    </row>
    <row r="646" spans="1:3" ht="13" x14ac:dyDescent="0.15">
      <c r="A646" s="10"/>
      <c r="B646" s="13"/>
      <c r="C646" s="13"/>
    </row>
    <row r="647" spans="1:3" ht="13" x14ac:dyDescent="0.15">
      <c r="A647" s="10"/>
      <c r="B647" s="13"/>
      <c r="C647" s="13"/>
    </row>
    <row r="648" spans="1:3" ht="13" x14ac:dyDescent="0.15">
      <c r="A648" s="10"/>
      <c r="B648" s="13"/>
      <c r="C648" s="13"/>
    </row>
    <row r="649" spans="1:3" ht="13" x14ac:dyDescent="0.15">
      <c r="A649" s="10"/>
      <c r="B649" s="13"/>
      <c r="C649" s="13"/>
    </row>
    <row r="650" spans="1:3" ht="13" x14ac:dyDescent="0.15">
      <c r="A650" s="10"/>
      <c r="B650" s="13"/>
      <c r="C650" s="13"/>
    </row>
    <row r="651" spans="1:3" ht="13" x14ac:dyDescent="0.15">
      <c r="A651" s="10"/>
      <c r="B651" s="13"/>
      <c r="C651" s="13"/>
    </row>
    <row r="652" spans="1:3" ht="13" x14ac:dyDescent="0.15">
      <c r="A652" s="10"/>
      <c r="B652" s="13"/>
      <c r="C652" s="13"/>
    </row>
    <row r="653" spans="1:3" ht="13" x14ac:dyDescent="0.15">
      <c r="A653" s="10"/>
      <c r="B653" s="13"/>
      <c r="C653" s="13"/>
    </row>
    <row r="654" spans="1:3" ht="13" x14ac:dyDescent="0.15">
      <c r="A654" s="10"/>
      <c r="B654" s="13"/>
      <c r="C654" s="13"/>
    </row>
    <row r="655" spans="1:3" ht="13" x14ac:dyDescent="0.15">
      <c r="A655" s="10"/>
      <c r="B655" s="13"/>
      <c r="C655" s="13"/>
    </row>
    <row r="656" spans="1:3" ht="13" x14ac:dyDescent="0.15">
      <c r="A656" s="10"/>
      <c r="B656" s="13"/>
      <c r="C656" s="13"/>
    </row>
    <row r="657" spans="1:3" ht="13" x14ac:dyDescent="0.15">
      <c r="A657" s="10"/>
      <c r="B657" s="13"/>
      <c r="C657" s="13"/>
    </row>
    <row r="658" spans="1:3" ht="13" x14ac:dyDescent="0.15">
      <c r="A658" s="10"/>
      <c r="B658" s="13"/>
      <c r="C658" s="13"/>
    </row>
    <row r="659" spans="1:3" ht="13" x14ac:dyDescent="0.15">
      <c r="A659" s="10"/>
      <c r="B659" s="13"/>
      <c r="C659" s="13"/>
    </row>
    <row r="660" spans="1:3" ht="13" x14ac:dyDescent="0.15">
      <c r="A660" s="10"/>
      <c r="B660" s="13"/>
      <c r="C660" s="13"/>
    </row>
    <row r="661" spans="1:3" ht="13" x14ac:dyDescent="0.15">
      <c r="A661" s="10"/>
      <c r="B661" s="13"/>
      <c r="C661" s="13"/>
    </row>
    <row r="662" spans="1:3" ht="13" x14ac:dyDescent="0.15">
      <c r="A662" s="10"/>
      <c r="B662" s="13"/>
      <c r="C662" s="13"/>
    </row>
    <row r="663" spans="1:3" ht="13" x14ac:dyDescent="0.15">
      <c r="A663" s="10"/>
      <c r="B663" s="13"/>
      <c r="C663" s="13"/>
    </row>
    <row r="664" spans="1:3" ht="13" x14ac:dyDescent="0.15">
      <c r="A664" s="10"/>
      <c r="B664" s="13"/>
      <c r="C664" s="13"/>
    </row>
    <row r="665" spans="1:3" ht="13" x14ac:dyDescent="0.15">
      <c r="A665" s="10"/>
      <c r="B665" s="13"/>
      <c r="C665" s="13"/>
    </row>
    <row r="666" spans="1:3" ht="13" x14ac:dyDescent="0.15">
      <c r="A666" s="10"/>
      <c r="B666" s="13"/>
      <c r="C666" s="13"/>
    </row>
    <row r="667" spans="1:3" ht="13" x14ac:dyDescent="0.15">
      <c r="A667" s="10"/>
      <c r="B667" s="13"/>
      <c r="C667" s="13"/>
    </row>
    <row r="668" spans="1:3" ht="13" x14ac:dyDescent="0.15">
      <c r="A668" s="10"/>
      <c r="B668" s="13"/>
      <c r="C668" s="13"/>
    </row>
    <row r="669" spans="1:3" ht="13" x14ac:dyDescent="0.15">
      <c r="A669" s="10"/>
      <c r="B669" s="13"/>
      <c r="C669" s="13"/>
    </row>
    <row r="670" spans="1:3" ht="13" x14ac:dyDescent="0.15">
      <c r="A670" s="10"/>
      <c r="B670" s="13"/>
      <c r="C670" s="13"/>
    </row>
    <row r="671" spans="1:3" ht="13" x14ac:dyDescent="0.15">
      <c r="A671" s="10"/>
      <c r="B671" s="13"/>
      <c r="C671" s="13"/>
    </row>
    <row r="672" spans="1:3" ht="13" x14ac:dyDescent="0.15">
      <c r="A672" s="10"/>
      <c r="B672" s="13"/>
      <c r="C672" s="13"/>
    </row>
    <row r="673" spans="1:3" ht="13" x14ac:dyDescent="0.15">
      <c r="A673" s="10"/>
      <c r="B673" s="13"/>
      <c r="C673" s="13"/>
    </row>
    <row r="674" spans="1:3" ht="13" x14ac:dyDescent="0.15">
      <c r="A674" s="10"/>
      <c r="B674" s="13"/>
      <c r="C674" s="13"/>
    </row>
    <row r="675" spans="1:3" ht="13" x14ac:dyDescent="0.15">
      <c r="A675" s="10"/>
      <c r="B675" s="13"/>
      <c r="C675" s="13"/>
    </row>
    <row r="676" spans="1:3" ht="13" x14ac:dyDescent="0.15">
      <c r="A676" s="10"/>
      <c r="B676" s="13"/>
      <c r="C676" s="13"/>
    </row>
    <row r="677" spans="1:3" ht="13" x14ac:dyDescent="0.15">
      <c r="A677" s="10"/>
      <c r="B677" s="13"/>
      <c r="C677" s="13"/>
    </row>
    <row r="678" spans="1:3" ht="13" x14ac:dyDescent="0.15">
      <c r="A678" s="10"/>
      <c r="B678" s="13"/>
      <c r="C678" s="13"/>
    </row>
    <row r="679" spans="1:3" ht="13" x14ac:dyDescent="0.15">
      <c r="A679" s="10"/>
      <c r="B679" s="13"/>
      <c r="C679" s="13"/>
    </row>
    <row r="680" spans="1:3" ht="13" x14ac:dyDescent="0.15">
      <c r="A680" s="10"/>
      <c r="B680" s="13"/>
      <c r="C680" s="13"/>
    </row>
    <row r="681" spans="1:3" ht="13" x14ac:dyDescent="0.15">
      <c r="A681" s="10"/>
      <c r="B681" s="13"/>
      <c r="C681" s="13"/>
    </row>
    <row r="682" spans="1:3" ht="13" x14ac:dyDescent="0.15">
      <c r="A682" s="10"/>
      <c r="B682" s="13"/>
      <c r="C682" s="13"/>
    </row>
    <row r="683" spans="1:3" ht="13" x14ac:dyDescent="0.15">
      <c r="A683" s="10"/>
      <c r="B683" s="13"/>
      <c r="C683" s="13"/>
    </row>
    <row r="684" spans="1:3" ht="13" x14ac:dyDescent="0.15">
      <c r="A684" s="10"/>
      <c r="B684" s="13"/>
      <c r="C684" s="13"/>
    </row>
    <row r="685" spans="1:3" ht="13" x14ac:dyDescent="0.15">
      <c r="A685" s="10"/>
      <c r="B685" s="13"/>
      <c r="C685" s="13"/>
    </row>
    <row r="686" spans="1:3" ht="13" x14ac:dyDescent="0.15">
      <c r="A686" s="10"/>
      <c r="B686" s="13"/>
      <c r="C686" s="13"/>
    </row>
    <row r="687" spans="1:3" ht="13" x14ac:dyDescent="0.15">
      <c r="A687" s="10"/>
      <c r="B687" s="13"/>
      <c r="C687" s="13"/>
    </row>
    <row r="688" spans="1:3" ht="13" x14ac:dyDescent="0.15">
      <c r="A688" s="10"/>
      <c r="B688" s="13"/>
      <c r="C688" s="13"/>
    </row>
    <row r="689" spans="1:3" ht="13" x14ac:dyDescent="0.15">
      <c r="A689" s="10"/>
      <c r="B689" s="13"/>
      <c r="C689" s="13"/>
    </row>
    <row r="690" spans="1:3" ht="13" x14ac:dyDescent="0.15">
      <c r="A690" s="10"/>
      <c r="B690" s="13"/>
      <c r="C690" s="13"/>
    </row>
    <row r="691" spans="1:3" ht="13" x14ac:dyDescent="0.15">
      <c r="A691" s="10"/>
      <c r="B691" s="13"/>
      <c r="C691" s="13"/>
    </row>
    <row r="692" spans="1:3" ht="13" x14ac:dyDescent="0.15">
      <c r="A692" s="10"/>
      <c r="B692" s="13"/>
      <c r="C692" s="13"/>
    </row>
    <row r="693" spans="1:3" ht="13" x14ac:dyDescent="0.15">
      <c r="A693" s="10"/>
      <c r="B693" s="13"/>
      <c r="C693" s="13"/>
    </row>
    <row r="694" spans="1:3" ht="13" x14ac:dyDescent="0.15">
      <c r="A694" s="10"/>
      <c r="B694" s="13"/>
      <c r="C694" s="13"/>
    </row>
    <row r="695" spans="1:3" ht="13" x14ac:dyDescent="0.15">
      <c r="A695" s="10"/>
      <c r="B695" s="13"/>
      <c r="C695" s="13"/>
    </row>
    <row r="696" spans="1:3" ht="13" x14ac:dyDescent="0.15">
      <c r="A696" s="10"/>
      <c r="B696" s="13"/>
      <c r="C696" s="13"/>
    </row>
    <row r="697" spans="1:3" ht="13" x14ac:dyDescent="0.15">
      <c r="A697" s="10"/>
      <c r="B697" s="13"/>
      <c r="C697" s="13"/>
    </row>
    <row r="698" spans="1:3" ht="13" x14ac:dyDescent="0.15">
      <c r="A698" s="10"/>
      <c r="B698" s="13"/>
      <c r="C698" s="13"/>
    </row>
    <row r="699" spans="1:3" ht="13" x14ac:dyDescent="0.15">
      <c r="A699" s="10"/>
      <c r="B699" s="13"/>
      <c r="C699" s="13"/>
    </row>
    <row r="700" spans="1:3" ht="13" x14ac:dyDescent="0.15">
      <c r="A700" s="10"/>
      <c r="B700" s="13"/>
      <c r="C700" s="13"/>
    </row>
    <row r="701" spans="1:3" ht="13" x14ac:dyDescent="0.15">
      <c r="A701" s="10"/>
      <c r="B701" s="13"/>
      <c r="C701" s="13"/>
    </row>
    <row r="702" spans="1:3" ht="13" x14ac:dyDescent="0.15">
      <c r="A702" s="10"/>
      <c r="B702" s="13"/>
      <c r="C702" s="13"/>
    </row>
    <row r="703" spans="1:3" ht="13" x14ac:dyDescent="0.15">
      <c r="A703" s="10"/>
      <c r="B703" s="13"/>
      <c r="C703" s="13"/>
    </row>
    <row r="704" spans="1:3" ht="13" x14ac:dyDescent="0.15">
      <c r="A704" s="10"/>
      <c r="B704" s="13"/>
      <c r="C704" s="13"/>
    </row>
    <row r="705" spans="1:3" ht="13" x14ac:dyDescent="0.15">
      <c r="A705" s="10"/>
      <c r="B705" s="13"/>
      <c r="C705" s="13"/>
    </row>
    <row r="706" spans="1:3" ht="13" x14ac:dyDescent="0.15">
      <c r="A706" s="10"/>
      <c r="B706" s="13"/>
      <c r="C706" s="13"/>
    </row>
    <row r="707" spans="1:3" ht="13" x14ac:dyDescent="0.15">
      <c r="A707" s="10"/>
      <c r="B707" s="13"/>
      <c r="C707" s="13"/>
    </row>
    <row r="708" spans="1:3" ht="13" x14ac:dyDescent="0.15">
      <c r="A708" s="10"/>
      <c r="B708" s="13"/>
      <c r="C708" s="13"/>
    </row>
    <row r="709" spans="1:3" ht="13" x14ac:dyDescent="0.15">
      <c r="A709" s="10"/>
      <c r="B709" s="13"/>
      <c r="C709" s="13"/>
    </row>
    <row r="710" spans="1:3" ht="13" x14ac:dyDescent="0.15">
      <c r="A710" s="10"/>
      <c r="B710" s="13"/>
      <c r="C710" s="13"/>
    </row>
    <row r="711" spans="1:3" ht="13" x14ac:dyDescent="0.15">
      <c r="A711" s="10"/>
      <c r="B711" s="13"/>
      <c r="C711" s="13"/>
    </row>
    <row r="712" spans="1:3" ht="13" x14ac:dyDescent="0.15">
      <c r="A712" s="10"/>
      <c r="B712" s="13"/>
      <c r="C712" s="13"/>
    </row>
    <row r="713" spans="1:3" ht="13" x14ac:dyDescent="0.15">
      <c r="A713" s="10"/>
      <c r="B713" s="13"/>
      <c r="C713" s="13"/>
    </row>
    <row r="714" spans="1:3" ht="13" x14ac:dyDescent="0.15">
      <c r="A714" s="10"/>
      <c r="B714" s="13"/>
      <c r="C714" s="13"/>
    </row>
    <row r="715" spans="1:3" ht="13" x14ac:dyDescent="0.15">
      <c r="A715" s="10"/>
      <c r="B715" s="13"/>
      <c r="C715" s="13"/>
    </row>
    <row r="716" spans="1:3" ht="13" x14ac:dyDescent="0.15">
      <c r="A716" s="10"/>
      <c r="B716" s="13"/>
      <c r="C716" s="13"/>
    </row>
    <row r="717" spans="1:3" ht="13" x14ac:dyDescent="0.15">
      <c r="A717" s="10"/>
      <c r="B717" s="13"/>
      <c r="C717" s="13"/>
    </row>
    <row r="718" spans="1:3" ht="13" x14ac:dyDescent="0.15">
      <c r="A718" s="10"/>
      <c r="B718" s="13"/>
      <c r="C718" s="13"/>
    </row>
    <row r="719" spans="1:3" ht="13" x14ac:dyDescent="0.15">
      <c r="A719" s="10"/>
      <c r="B719" s="13"/>
      <c r="C719" s="13"/>
    </row>
    <row r="720" spans="1:3" ht="13" x14ac:dyDescent="0.15">
      <c r="A720" s="10"/>
      <c r="B720" s="13"/>
      <c r="C720" s="13"/>
    </row>
    <row r="721" spans="1:3" ht="13" x14ac:dyDescent="0.15">
      <c r="A721" s="10"/>
      <c r="B721" s="13"/>
      <c r="C721" s="13"/>
    </row>
    <row r="722" spans="1:3" ht="13" x14ac:dyDescent="0.15">
      <c r="A722" s="10"/>
      <c r="B722" s="13"/>
      <c r="C722" s="13"/>
    </row>
    <row r="723" spans="1:3" ht="13" x14ac:dyDescent="0.15">
      <c r="A723" s="10"/>
      <c r="B723" s="13"/>
      <c r="C723" s="13"/>
    </row>
    <row r="724" spans="1:3" ht="13" x14ac:dyDescent="0.15">
      <c r="A724" s="10"/>
      <c r="B724" s="13"/>
      <c r="C724" s="13"/>
    </row>
    <row r="725" spans="1:3" ht="13" x14ac:dyDescent="0.15">
      <c r="A725" s="10"/>
      <c r="B725" s="13"/>
      <c r="C725" s="13"/>
    </row>
    <row r="726" spans="1:3" ht="13" x14ac:dyDescent="0.15">
      <c r="A726" s="10"/>
      <c r="B726" s="13"/>
      <c r="C726" s="13"/>
    </row>
    <row r="727" spans="1:3" ht="13" x14ac:dyDescent="0.15">
      <c r="A727" s="10"/>
      <c r="B727" s="13"/>
      <c r="C727" s="13"/>
    </row>
    <row r="728" spans="1:3" ht="13" x14ac:dyDescent="0.15">
      <c r="A728" s="10"/>
      <c r="B728" s="13"/>
      <c r="C728" s="13"/>
    </row>
    <row r="729" spans="1:3" ht="13" x14ac:dyDescent="0.15">
      <c r="A729" s="10"/>
      <c r="B729" s="13"/>
      <c r="C729" s="13"/>
    </row>
    <row r="730" spans="1:3" ht="13" x14ac:dyDescent="0.15">
      <c r="A730" s="10"/>
      <c r="B730" s="13"/>
      <c r="C730" s="13"/>
    </row>
    <row r="731" spans="1:3" ht="13" x14ac:dyDescent="0.15">
      <c r="A731" s="10"/>
      <c r="B731" s="13"/>
      <c r="C731" s="13"/>
    </row>
    <row r="732" spans="1:3" ht="13" x14ac:dyDescent="0.15">
      <c r="A732" s="10"/>
      <c r="B732" s="13"/>
      <c r="C732" s="13"/>
    </row>
    <row r="733" spans="1:3" ht="13" x14ac:dyDescent="0.15">
      <c r="A733" s="10"/>
      <c r="B733" s="13"/>
      <c r="C733" s="13"/>
    </row>
    <row r="734" spans="1:3" ht="13" x14ac:dyDescent="0.15">
      <c r="A734" s="10"/>
      <c r="B734" s="13"/>
      <c r="C734" s="13"/>
    </row>
    <row r="735" spans="1:3" ht="13" x14ac:dyDescent="0.15">
      <c r="A735" s="10"/>
      <c r="B735" s="13"/>
      <c r="C735" s="13"/>
    </row>
    <row r="736" spans="1:3" ht="13" x14ac:dyDescent="0.15">
      <c r="A736" s="10"/>
      <c r="B736" s="13"/>
      <c r="C736" s="13"/>
    </row>
    <row r="737" spans="1:3" ht="13" x14ac:dyDescent="0.15">
      <c r="A737" s="10"/>
      <c r="B737" s="13"/>
      <c r="C737" s="13"/>
    </row>
    <row r="738" spans="1:3" ht="13" x14ac:dyDescent="0.15">
      <c r="A738" s="10"/>
      <c r="B738" s="13"/>
      <c r="C738" s="13"/>
    </row>
    <row r="739" spans="1:3" ht="13" x14ac:dyDescent="0.15">
      <c r="A739" s="10"/>
      <c r="B739" s="13"/>
      <c r="C739" s="13"/>
    </row>
    <row r="740" spans="1:3" ht="13" x14ac:dyDescent="0.15">
      <c r="A740" s="10"/>
      <c r="B740" s="13"/>
      <c r="C740" s="13"/>
    </row>
    <row r="741" spans="1:3" ht="13" x14ac:dyDescent="0.15">
      <c r="A741" s="10"/>
      <c r="B741" s="13"/>
      <c r="C741" s="13"/>
    </row>
    <row r="742" spans="1:3" ht="13" x14ac:dyDescent="0.15">
      <c r="A742" s="10"/>
      <c r="B742" s="13"/>
      <c r="C742" s="13"/>
    </row>
    <row r="743" spans="1:3" ht="13" x14ac:dyDescent="0.15">
      <c r="A743" s="10"/>
      <c r="B743" s="13"/>
      <c r="C743" s="13"/>
    </row>
    <row r="744" spans="1:3" ht="13" x14ac:dyDescent="0.15">
      <c r="A744" s="10"/>
      <c r="B744" s="13"/>
      <c r="C744" s="13"/>
    </row>
    <row r="745" spans="1:3" ht="13" x14ac:dyDescent="0.15">
      <c r="A745" s="10"/>
      <c r="B745" s="13"/>
      <c r="C745" s="13"/>
    </row>
    <row r="746" spans="1:3" ht="13" x14ac:dyDescent="0.15">
      <c r="A746" s="10"/>
      <c r="B746" s="13"/>
      <c r="C746" s="13"/>
    </row>
    <row r="747" spans="1:3" ht="13" x14ac:dyDescent="0.15">
      <c r="A747" s="10"/>
      <c r="B747" s="13"/>
      <c r="C747" s="13"/>
    </row>
    <row r="748" spans="1:3" ht="13" x14ac:dyDescent="0.15">
      <c r="A748" s="10"/>
      <c r="B748" s="13"/>
      <c r="C748" s="13"/>
    </row>
    <row r="749" spans="1:3" ht="13" x14ac:dyDescent="0.15">
      <c r="A749" s="10"/>
      <c r="B749" s="13"/>
      <c r="C749" s="13"/>
    </row>
    <row r="750" spans="1:3" ht="13" x14ac:dyDescent="0.15">
      <c r="A750" s="10"/>
      <c r="B750" s="13"/>
      <c r="C750" s="13"/>
    </row>
    <row r="751" spans="1:3" ht="13" x14ac:dyDescent="0.15">
      <c r="A751" s="10"/>
      <c r="B751" s="13"/>
      <c r="C751" s="13"/>
    </row>
    <row r="752" spans="1:3" ht="13" x14ac:dyDescent="0.15">
      <c r="A752" s="10"/>
      <c r="B752" s="13"/>
      <c r="C752" s="13"/>
    </row>
    <row r="753" spans="1:3" ht="13" x14ac:dyDescent="0.15">
      <c r="A753" s="10"/>
      <c r="B753" s="13"/>
      <c r="C753" s="13"/>
    </row>
    <row r="754" spans="1:3" ht="13" x14ac:dyDescent="0.15">
      <c r="A754" s="10"/>
      <c r="B754" s="13"/>
      <c r="C754" s="13"/>
    </row>
    <row r="755" spans="1:3" ht="13" x14ac:dyDescent="0.15">
      <c r="A755" s="10"/>
      <c r="B755" s="13"/>
      <c r="C755" s="13"/>
    </row>
    <row r="756" spans="1:3" ht="13" x14ac:dyDescent="0.15">
      <c r="A756" s="10"/>
      <c r="B756" s="13"/>
      <c r="C756" s="13"/>
    </row>
    <row r="757" spans="1:3" ht="13" x14ac:dyDescent="0.15">
      <c r="A757" s="10"/>
      <c r="B757" s="13"/>
      <c r="C757" s="13"/>
    </row>
    <row r="758" spans="1:3" ht="13" x14ac:dyDescent="0.15">
      <c r="A758" s="10"/>
      <c r="B758" s="13"/>
      <c r="C758" s="13"/>
    </row>
    <row r="759" spans="1:3" ht="13" x14ac:dyDescent="0.15">
      <c r="A759" s="10"/>
      <c r="B759" s="13"/>
      <c r="C759" s="13"/>
    </row>
    <row r="760" spans="1:3" ht="13" x14ac:dyDescent="0.15">
      <c r="A760" s="10"/>
      <c r="B760" s="13"/>
      <c r="C760" s="13"/>
    </row>
    <row r="761" spans="1:3" ht="13" x14ac:dyDescent="0.15">
      <c r="A761" s="10"/>
      <c r="B761" s="13"/>
      <c r="C761" s="13"/>
    </row>
    <row r="762" spans="1:3" ht="13" x14ac:dyDescent="0.15">
      <c r="A762" s="10"/>
      <c r="B762" s="13"/>
      <c r="C762" s="13"/>
    </row>
    <row r="763" spans="1:3" ht="13" x14ac:dyDescent="0.15">
      <c r="A763" s="10"/>
      <c r="B763" s="13"/>
      <c r="C763" s="13"/>
    </row>
    <row r="764" spans="1:3" ht="13" x14ac:dyDescent="0.15">
      <c r="A764" s="10"/>
      <c r="B764" s="13"/>
      <c r="C764" s="13"/>
    </row>
    <row r="765" spans="1:3" ht="13" x14ac:dyDescent="0.15">
      <c r="A765" s="10"/>
      <c r="B765" s="13"/>
      <c r="C765" s="13"/>
    </row>
    <row r="766" spans="1:3" ht="13" x14ac:dyDescent="0.15">
      <c r="A766" s="10"/>
      <c r="B766" s="13"/>
      <c r="C766" s="13"/>
    </row>
    <row r="767" spans="1:3" ht="13" x14ac:dyDescent="0.15">
      <c r="A767" s="10"/>
      <c r="B767" s="13"/>
      <c r="C767" s="13"/>
    </row>
    <row r="768" spans="1:3" ht="13" x14ac:dyDescent="0.15">
      <c r="A768" s="10"/>
      <c r="B768" s="13"/>
      <c r="C768" s="13"/>
    </row>
    <row r="769" spans="1:3" ht="13" x14ac:dyDescent="0.15">
      <c r="A769" s="10"/>
      <c r="B769" s="13"/>
      <c r="C769" s="13"/>
    </row>
    <row r="770" spans="1:3" ht="13" x14ac:dyDescent="0.15">
      <c r="A770" s="10"/>
      <c r="B770" s="13"/>
      <c r="C770" s="13"/>
    </row>
    <row r="771" spans="1:3" ht="13" x14ac:dyDescent="0.15">
      <c r="A771" s="10"/>
      <c r="B771" s="13"/>
      <c r="C771" s="13"/>
    </row>
    <row r="772" spans="1:3" ht="13" x14ac:dyDescent="0.15">
      <c r="A772" s="10"/>
      <c r="B772" s="13"/>
      <c r="C772" s="13"/>
    </row>
    <row r="773" spans="1:3" ht="13" x14ac:dyDescent="0.15">
      <c r="A773" s="10"/>
      <c r="B773" s="13"/>
      <c r="C773" s="13"/>
    </row>
    <row r="774" spans="1:3" ht="13" x14ac:dyDescent="0.15">
      <c r="A774" s="10"/>
      <c r="B774" s="13"/>
      <c r="C774" s="13"/>
    </row>
    <row r="775" spans="1:3" ht="13" x14ac:dyDescent="0.15">
      <c r="A775" s="10"/>
      <c r="B775" s="13"/>
      <c r="C775" s="13"/>
    </row>
    <row r="776" spans="1:3" ht="13" x14ac:dyDescent="0.15">
      <c r="A776" s="10"/>
      <c r="B776" s="13"/>
      <c r="C776" s="13"/>
    </row>
    <row r="777" spans="1:3" ht="13" x14ac:dyDescent="0.15">
      <c r="A777" s="10"/>
      <c r="B777" s="13"/>
      <c r="C777" s="13"/>
    </row>
    <row r="778" spans="1:3" ht="13" x14ac:dyDescent="0.15">
      <c r="A778" s="10"/>
      <c r="B778" s="13"/>
      <c r="C778" s="13"/>
    </row>
    <row r="779" spans="1:3" ht="13" x14ac:dyDescent="0.15">
      <c r="A779" s="10"/>
      <c r="B779" s="13"/>
      <c r="C779" s="13"/>
    </row>
    <row r="780" spans="1:3" ht="13" x14ac:dyDescent="0.15">
      <c r="A780" s="10"/>
      <c r="B780" s="13"/>
      <c r="C780" s="13"/>
    </row>
    <row r="781" spans="1:3" ht="13" x14ac:dyDescent="0.15">
      <c r="A781" s="10"/>
      <c r="B781" s="13"/>
      <c r="C781" s="13"/>
    </row>
    <row r="782" spans="1:3" ht="13" x14ac:dyDescent="0.15">
      <c r="A782" s="10"/>
      <c r="B782" s="13"/>
      <c r="C782" s="13"/>
    </row>
    <row r="783" spans="1:3" ht="13" x14ac:dyDescent="0.15">
      <c r="A783" s="10"/>
      <c r="B783" s="13"/>
      <c r="C783" s="13"/>
    </row>
    <row r="784" spans="1:3" ht="13" x14ac:dyDescent="0.15">
      <c r="A784" s="10"/>
      <c r="B784" s="13"/>
      <c r="C784" s="13"/>
    </row>
    <row r="785" spans="1:3" ht="13" x14ac:dyDescent="0.15">
      <c r="A785" s="10"/>
      <c r="B785" s="13"/>
      <c r="C785" s="13"/>
    </row>
    <row r="786" spans="1:3" ht="13" x14ac:dyDescent="0.15">
      <c r="A786" s="10"/>
      <c r="B786" s="13"/>
      <c r="C786" s="13"/>
    </row>
    <row r="787" spans="1:3" ht="13" x14ac:dyDescent="0.15">
      <c r="A787" s="10"/>
      <c r="B787" s="13"/>
      <c r="C787" s="13"/>
    </row>
    <row r="788" spans="1:3" ht="13" x14ac:dyDescent="0.15">
      <c r="A788" s="10"/>
      <c r="B788" s="13"/>
      <c r="C788" s="13"/>
    </row>
    <row r="789" spans="1:3" ht="13" x14ac:dyDescent="0.15">
      <c r="A789" s="10"/>
      <c r="B789" s="13"/>
      <c r="C789" s="13"/>
    </row>
    <row r="790" spans="1:3" ht="13" x14ac:dyDescent="0.15">
      <c r="A790" s="10"/>
      <c r="B790" s="13"/>
      <c r="C790" s="13"/>
    </row>
    <row r="791" spans="1:3" ht="13" x14ac:dyDescent="0.15">
      <c r="A791" s="10"/>
      <c r="B791" s="13"/>
      <c r="C791" s="13"/>
    </row>
    <row r="792" spans="1:3" ht="13" x14ac:dyDescent="0.15">
      <c r="A792" s="10"/>
      <c r="B792" s="13"/>
      <c r="C792" s="13"/>
    </row>
    <row r="793" spans="1:3" ht="13" x14ac:dyDescent="0.15">
      <c r="A793" s="10"/>
      <c r="B793" s="13"/>
      <c r="C793" s="13"/>
    </row>
    <row r="794" spans="1:3" ht="13" x14ac:dyDescent="0.15">
      <c r="A794" s="10"/>
      <c r="B794" s="13"/>
      <c r="C794" s="13"/>
    </row>
    <row r="795" spans="1:3" ht="13" x14ac:dyDescent="0.15">
      <c r="A795" s="10"/>
      <c r="B795" s="13"/>
      <c r="C795" s="13"/>
    </row>
    <row r="796" spans="1:3" ht="13" x14ac:dyDescent="0.15">
      <c r="A796" s="10"/>
      <c r="B796" s="13"/>
      <c r="C796" s="13"/>
    </row>
    <row r="797" spans="1:3" ht="13" x14ac:dyDescent="0.15">
      <c r="A797" s="10"/>
      <c r="B797" s="13"/>
      <c r="C797" s="13"/>
    </row>
    <row r="798" spans="1:3" ht="13" x14ac:dyDescent="0.15">
      <c r="A798" s="10"/>
      <c r="B798" s="13"/>
      <c r="C798" s="13"/>
    </row>
    <row r="799" spans="1:3" ht="13" x14ac:dyDescent="0.15">
      <c r="A799" s="10"/>
      <c r="B799" s="13"/>
      <c r="C799" s="13"/>
    </row>
    <row r="800" spans="1:3" ht="13" x14ac:dyDescent="0.15">
      <c r="A800" s="10"/>
      <c r="B800" s="13"/>
      <c r="C800" s="13"/>
    </row>
    <row r="801" spans="1:3" ht="13" x14ac:dyDescent="0.15">
      <c r="A801" s="10"/>
      <c r="B801" s="13"/>
      <c r="C801" s="13"/>
    </row>
    <row r="802" spans="1:3" ht="13" x14ac:dyDescent="0.15">
      <c r="A802" s="10"/>
      <c r="B802" s="13"/>
      <c r="C802" s="13"/>
    </row>
    <row r="803" spans="1:3" ht="13" x14ac:dyDescent="0.15">
      <c r="A803" s="10"/>
      <c r="B803" s="13"/>
      <c r="C803" s="13"/>
    </row>
    <row r="804" spans="1:3" ht="13" x14ac:dyDescent="0.15">
      <c r="A804" s="10"/>
      <c r="B804" s="13"/>
      <c r="C804" s="13"/>
    </row>
    <row r="805" spans="1:3" ht="13" x14ac:dyDescent="0.15">
      <c r="A805" s="10"/>
      <c r="B805" s="13"/>
      <c r="C805" s="13"/>
    </row>
    <row r="806" spans="1:3" ht="13" x14ac:dyDescent="0.15">
      <c r="A806" s="10"/>
      <c r="B806" s="13"/>
      <c r="C806" s="13"/>
    </row>
    <row r="807" spans="1:3" ht="13" x14ac:dyDescent="0.15">
      <c r="A807" s="10"/>
      <c r="B807" s="13"/>
      <c r="C807" s="13"/>
    </row>
    <row r="808" spans="1:3" ht="13" x14ac:dyDescent="0.15">
      <c r="A808" s="10"/>
      <c r="B808" s="13"/>
      <c r="C808" s="13"/>
    </row>
    <row r="809" spans="1:3" ht="13" x14ac:dyDescent="0.15">
      <c r="A809" s="10"/>
      <c r="B809" s="13"/>
      <c r="C809" s="13"/>
    </row>
    <row r="810" spans="1:3" ht="13" x14ac:dyDescent="0.15">
      <c r="A810" s="10"/>
      <c r="B810" s="13"/>
      <c r="C810" s="13"/>
    </row>
    <row r="811" spans="1:3" ht="13" x14ac:dyDescent="0.15">
      <c r="A811" s="10"/>
      <c r="B811" s="13"/>
      <c r="C811" s="13"/>
    </row>
    <row r="812" spans="1:3" ht="13" x14ac:dyDescent="0.15">
      <c r="A812" s="10"/>
      <c r="B812" s="13"/>
      <c r="C812" s="13"/>
    </row>
    <row r="813" spans="1:3" ht="13" x14ac:dyDescent="0.15">
      <c r="A813" s="10"/>
      <c r="B813" s="13"/>
      <c r="C813" s="13"/>
    </row>
    <row r="814" spans="1:3" ht="13" x14ac:dyDescent="0.15">
      <c r="A814" s="10"/>
      <c r="B814" s="13"/>
      <c r="C814" s="13"/>
    </row>
    <row r="815" spans="1:3" ht="13" x14ac:dyDescent="0.15">
      <c r="A815" s="10"/>
      <c r="B815" s="13"/>
      <c r="C815" s="13"/>
    </row>
    <row r="816" spans="1:3" ht="13" x14ac:dyDescent="0.15">
      <c r="A816" s="10"/>
      <c r="B816" s="13"/>
      <c r="C816" s="13"/>
    </row>
    <row r="817" spans="1:3" ht="13" x14ac:dyDescent="0.15">
      <c r="A817" s="10"/>
      <c r="B817" s="13"/>
      <c r="C817" s="13"/>
    </row>
    <row r="818" spans="1:3" ht="13" x14ac:dyDescent="0.15">
      <c r="A818" s="10"/>
      <c r="B818" s="13"/>
      <c r="C818" s="13"/>
    </row>
    <row r="819" spans="1:3" ht="13" x14ac:dyDescent="0.15">
      <c r="A819" s="10"/>
      <c r="B819" s="13"/>
      <c r="C819" s="13"/>
    </row>
    <row r="820" spans="1:3" ht="13" x14ac:dyDescent="0.15">
      <c r="A820" s="10"/>
      <c r="B820" s="13"/>
      <c r="C820" s="13"/>
    </row>
    <row r="821" spans="1:3" ht="13" x14ac:dyDescent="0.15">
      <c r="A821" s="10"/>
      <c r="B821" s="13"/>
      <c r="C821" s="13"/>
    </row>
    <row r="822" spans="1:3" ht="13" x14ac:dyDescent="0.15">
      <c r="A822" s="10"/>
      <c r="B822" s="13"/>
      <c r="C822" s="13"/>
    </row>
    <row r="823" spans="1:3" ht="13" x14ac:dyDescent="0.15">
      <c r="A823" s="10"/>
      <c r="B823" s="13"/>
      <c r="C823" s="13"/>
    </row>
    <row r="824" spans="1:3" ht="13" x14ac:dyDescent="0.15">
      <c r="A824" s="10"/>
      <c r="B824" s="13"/>
      <c r="C824" s="13"/>
    </row>
    <row r="825" spans="1:3" ht="13" x14ac:dyDescent="0.15">
      <c r="A825" s="10"/>
      <c r="B825" s="13"/>
      <c r="C825" s="13"/>
    </row>
    <row r="826" spans="1:3" ht="13" x14ac:dyDescent="0.15">
      <c r="A826" s="10"/>
      <c r="B826" s="13"/>
      <c r="C826" s="13"/>
    </row>
    <row r="827" spans="1:3" ht="13" x14ac:dyDescent="0.15">
      <c r="A827" s="10"/>
      <c r="B827" s="13"/>
      <c r="C827" s="13"/>
    </row>
    <row r="828" spans="1:3" ht="13" x14ac:dyDescent="0.15">
      <c r="A828" s="10"/>
      <c r="B828" s="13"/>
      <c r="C828" s="13"/>
    </row>
    <row r="829" spans="1:3" ht="13" x14ac:dyDescent="0.15">
      <c r="A829" s="10"/>
      <c r="B829" s="13"/>
      <c r="C829" s="13"/>
    </row>
    <row r="830" spans="1:3" ht="13" x14ac:dyDescent="0.15">
      <c r="A830" s="10"/>
      <c r="B830" s="13"/>
      <c r="C830" s="13"/>
    </row>
    <row r="831" spans="1:3" ht="13" x14ac:dyDescent="0.15">
      <c r="A831" s="10"/>
      <c r="B831" s="13"/>
      <c r="C831" s="13"/>
    </row>
    <row r="832" spans="1:3" ht="13" x14ac:dyDescent="0.15">
      <c r="A832" s="10"/>
      <c r="B832" s="13"/>
      <c r="C832" s="13"/>
    </row>
    <row r="833" spans="1:3" ht="13" x14ac:dyDescent="0.15">
      <c r="A833" s="10"/>
      <c r="B833" s="13"/>
      <c r="C833" s="13"/>
    </row>
    <row r="834" spans="1:3" ht="13" x14ac:dyDescent="0.15">
      <c r="A834" s="10"/>
      <c r="B834" s="13"/>
      <c r="C834" s="13"/>
    </row>
    <row r="835" spans="1:3" ht="13" x14ac:dyDescent="0.15">
      <c r="A835" s="10"/>
      <c r="B835" s="13"/>
      <c r="C835" s="13"/>
    </row>
    <row r="836" spans="1:3" ht="13" x14ac:dyDescent="0.15">
      <c r="A836" s="10"/>
      <c r="B836" s="13"/>
      <c r="C836" s="13"/>
    </row>
    <row r="837" spans="1:3" ht="13" x14ac:dyDescent="0.15">
      <c r="A837" s="10"/>
      <c r="B837" s="13"/>
      <c r="C837" s="13"/>
    </row>
    <row r="838" spans="1:3" ht="13" x14ac:dyDescent="0.15">
      <c r="A838" s="10"/>
      <c r="B838" s="13"/>
      <c r="C838" s="13"/>
    </row>
    <row r="839" spans="1:3" ht="13" x14ac:dyDescent="0.15">
      <c r="A839" s="10"/>
      <c r="B839" s="13"/>
      <c r="C839" s="13"/>
    </row>
    <row r="840" spans="1:3" ht="13" x14ac:dyDescent="0.15">
      <c r="A840" s="10"/>
      <c r="B840" s="13"/>
      <c r="C840" s="13"/>
    </row>
    <row r="841" spans="1:3" ht="13" x14ac:dyDescent="0.15">
      <c r="A841" s="10"/>
      <c r="B841" s="13"/>
      <c r="C841" s="13"/>
    </row>
    <row r="842" spans="1:3" ht="13" x14ac:dyDescent="0.15">
      <c r="A842" s="10"/>
      <c r="B842" s="13"/>
      <c r="C842" s="13"/>
    </row>
    <row r="843" spans="1:3" ht="13" x14ac:dyDescent="0.15">
      <c r="A843" s="10"/>
      <c r="B843" s="13"/>
      <c r="C843" s="13"/>
    </row>
    <row r="844" spans="1:3" ht="13" x14ac:dyDescent="0.15">
      <c r="A844" s="10"/>
      <c r="B844" s="13"/>
      <c r="C844" s="13"/>
    </row>
    <row r="845" spans="1:3" ht="13" x14ac:dyDescent="0.15">
      <c r="A845" s="10"/>
      <c r="B845" s="13"/>
      <c r="C845" s="13"/>
    </row>
    <row r="846" spans="1:3" ht="13" x14ac:dyDescent="0.15">
      <c r="A846" s="10"/>
      <c r="B846" s="13"/>
      <c r="C846" s="13"/>
    </row>
    <row r="847" spans="1:3" ht="13" x14ac:dyDescent="0.15">
      <c r="A847" s="10"/>
      <c r="B847" s="13"/>
      <c r="C847" s="13"/>
    </row>
    <row r="848" spans="1:3" ht="13" x14ac:dyDescent="0.15">
      <c r="A848" s="10"/>
      <c r="B848" s="13"/>
      <c r="C848" s="13"/>
    </row>
    <row r="849" spans="1:3" ht="13" x14ac:dyDescent="0.15">
      <c r="A849" s="10"/>
      <c r="B849" s="13"/>
      <c r="C849" s="13"/>
    </row>
    <row r="850" spans="1:3" ht="13" x14ac:dyDescent="0.15">
      <c r="A850" s="10"/>
      <c r="B850" s="13"/>
      <c r="C850" s="13"/>
    </row>
    <row r="851" spans="1:3" ht="13" x14ac:dyDescent="0.15">
      <c r="A851" s="10"/>
      <c r="B851" s="13"/>
      <c r="C851" s="13"/>
    </row>
    <row r="852" spans="1:3" ht="13" x14ac:dyDescent="0.15">
      <c r="A852" s="10"/>
      <c r="B852" s="13"/>
      <c r="C852" s="13"/>
    </row>
    <row r="853" spans="1:3" ht="13" x14ac:dyDescent="0.15">
      <c r="A853" s="10"/>
      <c r="B853" s="13"/>
      <c r="C853" s="13"/>
    </row>
    <row r="854" spans="1:3" ht="13" x14ac:dyDescent="0.15">
      <c r="A854" s="10"/>
      <c r="B854" s="13"/>
      <c r="C854" s="13"/>
    </row>
    <row r="855" spans="1:3" ht="13" x14ac:dyDescent="0.15">
      <c r="A855" s="10"/>
      <c r="B855" s="13"/>
      <c r="C855" s="13"/>
    </row>
    <row r="856" spans="1:3" ht="13" x14ac:dyDescent="0.15">
      <c r="A856" s="10"/>
      <c r="B856" s="13"/>
      <c r="C856" s="13"/>
    </row>
    <row r="857" spans="1:3" ht="13" x14ac:dyDescent="0.15">
      <c r="A857" s="10"/>
      <c r="B857" s="13"/>
      <c r="C857" s="13"/>
    </row>
    <row r="858" spans="1:3" ht="13" x14ac:dyDescent="0.15">
      <c r="A858" s="10"/>
      <c r="B858" s="13"/>
      <c r="C858" s="13"/>
    </row>
    <row r="859" spans="1:3" ht="13" x14ac:dyDescent="0.15">
      <c r="A859" s="10"/>
      <c r="B859" s="13"/>
      <c r="C859" s="13"/>
    </row>
    <row r="860" spans="1:3" ht="13" x14ac:dyDescent="0.15">
      <c r="A860" s="10"/>
      <c r="B860" s="13"/>
      <c r="C860" s="13"/>
    </row>
    <row r="861" spans="1:3" ht="13" x14ac:dyDescent="0.15">
      <c r="A861" s="10"/>
      <c r="B861" s="13"/>
      <c r="C861" s="13"/>
    </row>
    <row r="862" spans="1:3" ht="13" x14ac:dyDescent="0.15">
      <c r="A862" s="10"/>
      <c r="B862" s="13"/>
      <c r="C862" s="13"/>
    </row>
    <row r="863" spans="1:3" ht="13" x14ac:dyDescent="0.15">
      <c r="A863" s="10"/>
      <c r="B863" s="13"/>
      <c r="C863" s="13"/>
    </row>
    <row r="864" spans="1:3" ht="13" x14ac:dyDescent="0.15">
      <c r="A864" s="10"/>
      <c r="B864" s="13"/>
      <c r="C864" s="13"/>
    </row>
    <row r="865" spans="1:3" ht="13" x14ac:dyDescent="0.15">
      <c r="A865" s="10"/>
      <c r="B865" s="13"/>
      <c r="C865" s="13"/>
    </row>
    <row r="866" spans="1:3" ht="13" x14ac:dyDescent="0.15">
      <c r="A866" s="10"/>
      <c r="B866" s="13"/>
      <c r="C866" s="13"/>
    </row>
    <row r="867" spans="1:3" ht="13" x14ac:dyDescent="0.15">
      <c r="A867" s="10"/>
      <c r="B867" s="13"/>
      <c r="C867" s="13"/>
    </row>
    <row r="868" spans="1:3" ht="13" x14ac:dyDescent="0.15">
      <c r="A868" s="10"/>
      <c r="B868" s="13"/>
      <c r="C868" s="13"/>
    </row>
    <row r="869" spans="1:3" ht="13" x14ac:dyDescent="0.15">
      <c r="A869" s="10"/>
      <c r="B869" s="13"/>
      <c r="C869" s="13"/>
    </row>
    <row r="870" spans="1:3" ht="13" x14ac:dyDescent="0.15">
      <c r="A870" s="10"/>
      <c r="B870" s="13"/>
      <c r="C870" s="13"/>
    </row>
    <row r="871" spans="1:3" ht="13" x14ac:dyDescent="0.15">
      <c r="A871" s="10"/>
      <c r="B871" s="13"/>
      <c r="C871" s="13"/>
    </row>
    <row r="872" spans="1:3" ht="13" x14ac:dyDescent="0.15">
      <c r="A872" s="10"/>
      <c r="B872" s="13"/>
      <c r="C872" s="13"/>
    </row>
    <row r="873" spans="1:3" ht="13" x14ac:dyDescent="0.15">
      <c r="A873" s="10"/>
      <c r="B873" s="13"/>
      <c r="C873" s="13"/>
    </row>
    <row r="874" spans="1:3" ht="13" x14ac:dyDescent="0.15">
      <c r="A874" s="10"/>
      <c r="B874" s="13"/>
      <c r="C874" s="13"/>
    </row>
    <row r="875" spans="1:3" ht="13" x14ac:dyDescent="0.15">
      <c r="A875" s="10"/>
      <c r="B875" s="13"/>
      <c r="C875" s="13"/>
    </row>
    <row r="876" spans="1:3" ht="13" x14ac:dyDescent="0.15">
      <c r="A876" s="10"/>
      <c r="B876" s="13"/>
      <c r="C876" s="13"/>
    </row>
    <row r="877" spans="1:3" ht="13" x14ac:dyDescent="0.15">
      <c r="A877" s="10"/>
      <c r="B877" s="13"/>
      <c r="C877" s="13"/>
    </row>
    <row r="878" spans="1:3" ht="13" x14ac:dyDescent="0.15">
      <c r="A878" s="10"/>
      <c r="B878" s="13"/>
      <c r="C878" s="13"/>
    </row>
    <row r="879" spans="1:3" ht="13" x14ac:dyDescent="0.15">
      <c r="A879" s="10"/>
      <c r="B879" s="13"/>
      <c r="C879" s="13"/>
    </row>
    <row r="880" spans="1:3" ht="13" x14ac:dyDescent="0.15">
      <c r="A880" s="10"/>
      <c r="B880" s="13"/>
      <c r="C880" s="13"/>
    </row>
    <row r="881" spans="1:3" ht="13" x14ac:dyDescent="0.15">
      <c r="A881" s="10"/>
      <c r="B881" s="13"/>
      <c r="C881" s="13"/>
    </row>
    <row r="882" spans="1:3" ht="13" x14ac:dyDescent="0.15">
      <c r="A882" s="10"/>
      <c r="B882" s="13"/>
      <c r="C882" s="13"/>
    </row>
    <row r="883" spans="1:3" ht="13" x14ac:dyDescent="0.15">
      <c r="A883" s="10"/>
      <c r="B883" s="13"/>
      <c r="C883" s="13"/>
    </row>
    <row r="884" spans="1:3" ht="13" x14ac:dyDescent="0.15">
      <c r="A884" s="10"/>
      <c r="B884" s="13"/>
      <c r="C884" s="13"/>
    </row>
    <row r="885" spans="1:3" ht="13" x14ac:dyDescent="0.15">
      <c r="A885" s="10"/>
      <c r="B885" s="13"/>
      <c r="C885" s="13"/>
    </row>
    <row r="886" spans="1:3" ht="13" x14ac:dyDescent="0.15">
      <c r="A886" s="10"/>
      <c r="B886" s="13"/>
      <c r="C886" s="13"/>
    </row>
    <row r="887" spans="1:3" ht="13" x14ac:dyDescent="0.15">
      <c r="A887" s="10"/>
      <c r="B887" s="13"/>
      <c r="C887" s="13"/>
    </row>
    <row r="888" spans="1:3" ht="13" x14ac:dyDescent="0.15">
      <c r="A888" s="10"/>
      <c r="B888" s="13"/>
      <c r="C888" s="13"/>
    </row>
    <row r="889" spans="1:3" ht="13" x14ac:dyDescent="0.15">
      <c r="A889" s="10"/>
      <c r="B889" s="13"/>
      <c r="C889" s="13"/>
    </row>
    <row r="890" spans="1:3" ht="13" x14ac:dyDescent="0.15">
      <c r="A890" s="10"/>
      <c r="B890" s="13"/>
      <c r="C890" s="13"/>
    </row>
    <row r="891" spans="1:3" ht="13" x14ac:dyDescent="0.15">
      <c r="A891" s="10"/>
      <c r="B891" s="13"/>
      <c r="C891" s="13"/>
    </row>
    <row r="892" spans="1:3" ht="13" x14ac:dyDescent="0.15">
      <c r="A892" s="10"/>
      <c r="B892" s="13"/>
      <c r="C892" s="13"/>
    </row>
    <row r="893" spans="1:3" ht="13" x14ac:dyDescent="0.15">
      <c r="A893" s="10"/>
      <c r="B893" s="13"/>
      <c r="C893" s="13"/>
    </row>
    <row r="894" spans="1:3" ht="13" x14ac:dyDescent="0.15">
      <c r="A894" s="10"/>
      <c r="B894" s="13"/>
      <c r="C894" s="13"/>
    </row>
    <row r="895" spans="1:3" ht="13" x14ac:dyDescent="0.15">
      <c r="A895" s="10"/>
      <c r="B895" s="13"/>
      <c r="C895" s="13"/>
    </row>
    <row r="896" spans="1:3" ht="13" x14ac:dyDescent="0.15">
      <c r="A896" s="10"/>
      <c r="B896" s="13"/>
      <c r="C896" s="13"/>
    </row>
    <row r="897" spans="1:3" ht="13" x14ac:dyDescent="0.15">
      <c r="A897" s="10"/>
      <c r="B897" s="13"/>
      <c r="C897" s="13"/>
    </row>
    <row r="898" spans="1:3" ht="13" x14ac:dyDescent="0.15">
      <c r="A898" s="10"/>
      <c r="B898" s="13"/>
      <c r="C898" s="13"/>
    </row>
    <row r="899" spans="1:3" ht="13" x14ac:dyDescent="0.15">
      <c r="A899" s="10"/>
      <c r="B899" s="13"/>
      <c r="C899" s="13"/>
    </row>
    <row r="900" spans="1:3" ht="13" x14ac:dyDescent="0.15">
      <c r="A900" s="10"/>
      <c r="B900" s="13"/>
      <c r="C900" s="13"/>
    </row>
    <row r="901" spans="1:3" ht="13" x14ac:dyDescent="0.15">
      <c r="A901" s="10"/>
      <c r="B901" s="13"/>
      <c r="C901" s="13"/>
    </row>
    <row r="902" spans="1:3" ht="13" x14ac:dyDescent="0.15">
      <c r="A902" s="10"/>
      <c r="B902" s="13"/>
      <c r="C902" s="13"/>
    </row>
    <row r="903" spans="1:3" ht="13" x14ac:dyDescent="0.15">
      <c r="A903" s="10"/>
      <c r="B903" s="13"/>
      <c r="C903" s="13"/>
    </row>
    <row r="904" spans="1:3" ht="13" x14ac:dyDescent="0.15">
      <c r="A904" s="10"/>
      <c r="B904" s="13"/>
      <c r="C904" s="13"/>
    </row>
    <row r="905" spans="1:3" ht="13" x14ac:dyDescent="0.15">
      <c r="A905" s="10"/>
      <c r="B905" s="13"/>
      <c r="C905" s="13"/>
    </row>
    <row r="906" spans="1:3" ht="13" x14ac:dyDescent="0.15">
      <c r="A906" s="10"/>
      <c r="B906" s="13"/>
      <c r="C906" s="13"/>
    </row>
    <row r="907" spans="1:3" ht="13" x14ac:dyDescent="0.15">
      <c r="A907" s="10"/>
      <c r="B907" s="13"/>
      <c r="C907" s="13"/>
    </row>
    <row r="908" spans="1:3" ht="13" x14ac:dyDescent="0.15">
      <c r="A908" s="10"/>
      <c r="B908" s="13"/>
      <c r="C908" s="13"/>
    </row>
    <row r="909" spans="1:3" ht="13" x14ac:dyDescent="0.15">
      <c r="A909" s="10"/>
      <c r="B909" s="13"/>
      <c r="C909" s="13"/>
    </row>
    <row r="910" spans="1:3" ht="13" x14ac:dyDescent="0.15">
      <c r="A910" s="10"/>
      <c r="B910" s="13"/>
      <c r="C910" s="13"/>
    </row>
    <row r="911" spans="1:3" ht="13" x14ac:dyDescent="0.15">
      <c r="A911" s="10"/>
      <c r="B911" s="13"/>
      <c r="C911" s="13"/>
    </row>
    <row r="912" spans="1:3" ht="13" x14ac:dyDescent="0.15">
      <c r="A912" s="10"/>
      <c r="B912" s="13"/>
      <c r="C912" s="13"/>
    </row>
    <row r="913" spans="1:3" ht="13" x14ac:dyDescent="0.15">
      <c r="A913" s="10"/>
      <c r="B913" s="13"/>
      <c r="C913" s="13"/>
    </row>
    <row r="914" spans="1:3" ht="13" x14ac:dyDescent="0.15">
      <c r="A914" s="10"/>
      <c r="B914" s="13"/>
      <c r="C914" s="13"/>
    </row>
    <row r="915" spans="1:3" ht="13" x14ac:dyDescent="0.15">
      <c r="A915" s="10"/>
      <c r="B915" s="13"/>
      <c r="C915" s="13"/>
    </row>
    <row r="916" spans="1:3" ht="13" x14ac:dyDescent="0.15">
      <c r="A916" s="10"/>
      <c r="B916" s="13"/>
      <c r="C916" s="13"/>
    </row>
    <row r="917" spans="1:3" ht="13" x14ac:dyDescent="0.15">
      <c r="A917" s="10"/>
      <c r="B917" s="13"/>
      <c r="C917" s="13"/>
    </row>
    <row r="918" spans="1:3" ht="13" x14ac:dyDescent="0.15">
      <c r="A918" s="10"/>
      <c r="B918" s="13"/>
      <c r="C918" s="13"/>
    </row>
    <row r="919" spans="1:3" ht="13" x14ac:dyDescent="0.15">
      <c r="A919" s="10"/>
      <c r="B919" s="13"/>
      <c r="C919" s="13"/>
    </row>
    <row r="920" spans="1:3" ht="13" x14ac:dyDescent="0.15">
      <c r="A920" s="10"/>
      <c r="B920" s="13"/>
      <c r="C920" s="13"/>
    </row>
    <row r="921" spans="1:3" ht="13" x14ac:dyDescent="0.15">
      <c r="A921" s="10"/>
      <c r="B921" s="13"/>
      <c r="C921" s="13"/>
    </row>
    <row r="922" spans="1:3" ht="13" x14ac:dyDescent="0.15">
      <c r="A922" s="10"/>
      <c r="B922" s="13"/>
      <c r="C922" s="13"/>
    </row>
    <row r="923" spans="1:3" ht="13" x14ac:dyDescent="0.15">
      <c r="A923" s="10"/>
      <c r="B923" s="13"/>
      <c r="C923" s="13"/>
    </row>
    <row r="924" spans="1:3" ht="13" x14ac:dyDescent="0.15">
      <c r="A924" s="10"/>
      <c r="B924" s="13"/>
      <c r="C924" s="13"/>
    </row>
    <row r="925" spans="1:3" ht="13" x14ac:dyDescent="0.15">
      <c r="A925" s="10"/>
      <c r="B925" s="13"/>
      <c r="C925" s="13"/>
    </row>
    <row r="926" spans="1:3" ht="13" x14ac:dyDescent="0.15">
      <c r="A926" s="10"/>
      <c r="B926" s="13"/>
      <c r="C926" s="13"/>
    </row>
    <row r="927" spans="1:3" ht="13" x14ac:dyDescent="0.15">
      <c r="A927" s="10"/>
      <c r="B927" s="13"/>
      <c r="C927" s="13"/>
    </row>
    <row r="928" spans="1:3" ht="13" x14ac:dyDescent="0.15">
      <c r="A928" s="10"/>
      <c r="B928" s="13"/>
      <c r="C928" s="13"/>
    </row>
    <row r="929" spans="1:3" ht="13" x14ac:dyDescent="0.15">
      <c r="A929" s="10"/>
      <c r="B929" s="13"/>
      <c r="C929" s="13"/>
    </row>
    <row r="930" spans="1:3" ht="13" x14ac:dyDescent="0.15">
      <c r="A930" s="10"/>
      <c r="B930" s="13"/>
      <c r="C930" s="13"/>
    </row>
    <row r="931" spans="1:3" ht="13" x14ac:dyDescent="0.15">
      <c r="A931" s="10"/>
      <c r="B931" s="13"/>
      <c r="C931" s="13"/>
    </row>
    <row r="932" spans="1:3" ht="13" x14ac:dyDescent="0.15">
      <c r="A932" s="10"/>
      <c r="B932" s="13"/>
      <c r="C932" s="13"/>
    </row>
    <row r="933" spans="1:3" ht="13" x14ac:dyDescent="0.15">
      <c r="A933" s="10"/>
      <c r="B933" s="13"/>
      <c r="C933" s="13"/>
    </row>
    <row r="934" spans="1:3" ht="13" x14ac:dyDescent="0.15">
      <c r="A934" s="10"/>
      <c r="B934" s="13"/>
      <c r="C934" s="13"/>
    </row>
    <row r="935" spans="1:3" ht="13" x14ac:dyDescent="0.15">
      <c r="A935" s="10"/>
      <c r="B935" s="13"/>
      <c r="C935" s="13"/>
    </row>
    <row r="936" spans="1:3" ht="13" x14ac:dyDescent="0.15">
      <c r="A936" s="10"/>
      <c r="B936" s="13"/>
      <c r="C936" s="13"/>
    </row>
    <row r="937" spans="1:3" ht="13" x14ac:dyDescent="0.15">
      <c r="A937" s="10"/>
      <c r="B937" s="13"/>
      <c r="C937" s="13"/>
    </row>
    <row r="938" spans="1:3" ht="13" x14ac:dyDescent="0.15">
      <c r="A938" s="10"/>
      <c r="B938" s="13"/>
      <c r="C938" s="13"/>
    </row>
    <row r="939" spans="1:3" ht="13" x14ac:dyDescent="0.15">
      <c r="A939" s="10"/>
      <c r="B939" s="13"/>
      <c r="C939" s="13"/>
    </row>
    <row r="940" spans="1:3" ht="13" x14ac:dyDescent="0.15">
      <c r="A940" s="10"/>
      <c r="B940" s="13"/>
      <c r="C940" s="13"/>
    </row>
    <row r="941" spans="1:3" ht="13" x14ac:dyDescent="0.15">
      <c r="A941" s="10"/>
      <c r="B941" s="13"/>
      <c r="C941" s="13"/>
    </row>
    <row r="942" spans="1:3" ht="13" x14ac:dyDescent="0.15">
      <c r="A942" s="10"/>
      <c r="B942" s="13"/>
      <c r="C942" s="13"/>
    </row>
    <row r="943" spans="1:3" ht="13" x14ac:dyDescent="0.15">
      <c r="A943" s="10"/>
      <c r="B943" s="13"/>
      <c r="C943" s="13"/>
    </row>
    <row r="944" spans="1:3" ht="13" x14ac:dyDescent="0.15">
      <c r="A944" s="10"/>
      <c r="B944" s="13"/>
      <c r="C944" s="13"/>
    </row>
    <row r="945" spans="1:3" ht="13" x14ac:dyDescent="0.15">
      <c r="A945" s="10"/>
      <c r="B945" s="13"/>
      <c r="C945" s="13"/>
    </row>
    <row r="946" spans="1:3" ht="13" x14ac:dyDescent="0.15">
      <c r="A946" s="10"/>
      <c r="B946" s="13"/>
      <c r="C946" s="13"/>
    </row>
    <row r="947" spans="1:3" ht="13" x14ac:dyDescent="0.15">
      <c r="A947" s="10"/>
      <c r="B947" s="13"/>
      <c r="C947" s="13"/>
    </row>
    <row r="948" spans="1:3" ht="13" x14ac:dyDescent="0.15">
      <c r="A948" s="10"/>
      <c r="B948" s="13"/>
      <c r="C948" s="13"/>
    </row>
    <row r="949" spans="1:3" ht="13" x14ac:dyDescent="0.15">
      <c r="A949" s="10"/>
      <c r="B949" s="13"/>
      <c r="C949" s="13"/>
    </row>
    <row r="950" spans="1:3" ht="13" x14ac:dyDescent="0.15">
      <c r="A950" s="10"/>
      <c r="B950" s="13"/>
      <c r="C950" s="13"/>
    </row>
    <row r="951" spans="1:3" ht="13" x14ac:dyDescent="0.15">
      <c r="A951" s="10"/>
      <c r="B951" s="13"/>
      <c r="C951" s="13"/>
    </row>
    <row r="952" spans="1:3" ht="13" x14ac:dyDescent="0.15">
      <c r="A952" s="10"/>
      <c r="B952" s="13"/>
      <c r="C952" s="13"/>
    </row>
    <row r="953" spans="1:3" ht="13" x14ac:dyDescent="0.15">
      <c r="A953" s="10"/>
      <c r="B953" s="13"/>
      <c r="C953" s="13"/>
    </row>
    <row r="954" spans="1:3" ht="13" x14ac:dyDescent="0.15">
      <c r="A954" s="10"/>
      <c r="B954" s="13"/>
      <c r="C954" s="13"/>
    </row>
    <row r="955" spans="1:3" ht="13" x14ac:dyDescent="0.15">
      <c r="A955" s="10"/>
      <c r="B955" s="13"/>
      <c r="C955" s="13"/>
    </row>
    <row r="956" spans="1:3" ht="13" x14ac:dyDescent="0.15">
      <c r="A956" s="10"/>
      <c r="B956" s="13"/>
      <c r="C956" s="13"/>
    </row>
    <row r="957" spans="1:3" ht="13" x14ac:dyDescent="0.15">
      <c r="A957" s="10"/>
      <c r="B957" s="13"/>
      <c r="C957" s="13"/>
    </row>
    <row r="958" spans="1:3" ht="13" x14ac:dyDescent="0.15">
      <c r="A958" s="10"/>
      <c r="B958" s="13"/>
      <c r="C958" s="13"/>
    </row>
    <row r="959" spans="1:3" ht="13" x14ac:dyDescent="0.15">
      <c r="A959" s="10"/>
      <c r="B959" s="13"/>
      <c r="C959" s="13"/>
    </row>
    <row r="960" spans="1:3" ht="13" x14ac:dyDescent="0.15">
      <c r="A960" s="10"/>
      <c r="B960" s="13"/>
      <c r="C960" s="13"/>
    </row>
    <row r="961" spans="1:3" ht="13" x14ac:dyDescent="0.15">
      <c r="A961" s="10"/>
      <c r="B961" s="13"/>
      <c r="C961" s="13"/>
    </row>
    <row r="962" spans="1:3" ht="13" x14ac:dyDescent="0.15">
      <c r="A962" s="10"/>
      <c r="B962" s="13"/>
      <c r="C962" s="13"/>
    </row>
    <row r="963" spans="1:3" ht="13" x14ac:dyDescent="0.15">
      <c r="A963" s="10"/>
      <c r="B963" s="13"/>
      <c r="C963" s="13"/>
    </row>
    <row r="964" spans="1:3" ht="13" x14ac:dyDescent="0.15">
      <c r="A964" s="10"/>
      <c r="B964" s="13"/>
      <c r="C964" s="13"/>
    </row>
    <row r="965" spans="1:3" ht="13" x14ac:dyDescent="0.15">
      <c r="A965" s="10"/>
      <c r="B965" s="13"/>
      <c r="C965" s="13"/>
    </row>
    <row r="966" spans="1:3" ht="13" x14ac:dyDescent="0.15">
      <c r="A966" s="10"/>
      <c r="B966" s="13"/>
      <c r="C966" s="13"/>
    </row>
    <row r="967" spans="1:3" ht="13" x14ac:dyDescent="0.15">
      <c r="A967" s="10"/>
      <c r="B967" s="13"/>
      <c r="C967" s="13"/>
    </row>
    <row r="968" spans="1:3" ht="13" x14ac:dyDescent="0.15">
      <c r="A968" s="10"/>
      <c r="B968" s="13"/>
      <c r="C968" s="13"/>
    </row>
    <row r="969" spans="1:3" ht="13" x14ac:dyDescent="0.15">
      <c r="A969" s="10"/>
      <c r="B969" s="13"/>
      <c r="C969" s="13"/>
    </row>
    <row r="970" spans="1:3" ht="13" x14ac:dyDescent="0.15">
      <c r="A970" s="10"/>
      <c r="B970" s="13"/>
      <c r="C970" s="13"/>
    </row>
    <row r="971" spans="1:3" ht="13" x14ac:dyDescent="0.15">
      <c r="A971" s="10"/>
      <c r="B971" s="13"/>
      <c r="C971" s="13"/>
    </row>
    <row r="972" spans="1:3" ht="13" x14ac:dyDescent="0.15">
      <c r="A972" s="10"/>
      <c r="B972" s="13"/>
      <c r="C972" s="13"/>
    </row>
    <row r="973" spans="1:3" ht="13" x14ac:dyDescent="0.15">
      <c r="A973" s="10"/>
      <c r="B973" s="13"/>
      <c r="C973" s="13"/>
    </row>
    <row r="974" spans="1:3" ht="13" x14ac:dyDescent="0.15">
      <c r="A974" s="10"/>
      <c r="B974" s="13"/>
      <c r="C974" s="13"/>
    </row>
    <row r="975" spans="1:3" ht="13" x14ac:dyDescent="0.15">
      <c r="A975" s="10"/>
      <c r="B975" s="13"/>
      <c r="C975" s="13"/>
    </row>
    <row r="976" spans="1:3" ht="13" x14ac:dyDescent="0.15">
      <c r="A976" s="10"/>
      <c r="B976" s="13"/>
      <c r="C976" s="13"/>
    </row>
    <row r="977" spans="1:3" ht="13" x14ac:dyDescent="0.15">
      <c r="A977" s="10"/>
      <c r="B977" s="13"/>
      <c r="C977" s="13"/>
    </row>
    <row r="978" spans="1:3" ht="13" x14ac:dyDescent="0.15">
      <c r="A978" s="10"/>
      <c r="B978" s="13"/>
      <c r="C978" s="13"/>
    </row>
    <row r="979" spans="1:3" ht="13" x14ac:dyDescent="0.15">
      <c r="A979" s="10"/>
      <c r="B979" s="13"/>
      <c r="C979" s="13"/>
    </row>
    <row r="980" spans="1:3" ht="13" x14ac:dyDescent="0.15">
      <c r="A980" s="10"/>
      <c r="B980" s="13"/>
      <c r="C980" s="13"/>
    </row>
    <row r="981" spans="1:3" ht="13" x14ac:dyDescent="0.15">
      <c r="A981" s="10"/>
      <c r="B981" s="13"/>
      <c r="C981" s="13"/>
    </row>
    <row r="982" spans="1:3" ht="13" x14ac:dyDescent="0.15">
      <c r="A982" s="10"/>
      <c r="B982" s="13"/>
      <c r="C982" s="13"/>
    </row>
    <row r="983" spans="1:3" ht="13" x14ac:dyDescent="0.15">
      <c r="A983" s="10"/>
      <c r="B983" s="13"/>
      <c r="C983" s="13"/>
    </row>
    <row r="984" spans="1:3" ht="13" x14ac:dyDescent="0.15">
      <c r="A984" s="10"/>
      <c r="B984" s="13"/>
      <c r="C984" s="13"/>
    </row>
    <row r="985" spans="1:3" ht="13" x14ac:dyDescent="0.15">
      <c r="A985" s="10"/>
      <c r="B985" s="13"/>
      <c r="C985" s="13"/>
    </row>
    <row r="986" spans="1:3" ht="13" x14ac:dyDescent="0.15">
      <c r="A986" s="10"/>
      <c r="B986" s="13"/>
      <c r="C986" s="13"/>
    </row>
    <row r="987" spans="1:3" ht="13" x14ac:dyDescent="0.15">
      <c r="A987" s="10"/>
      <c r="B987" s="13"/>
      <c r="C987" s="13"/>
    </row>
    <row r="988" spans="1:3" ht="13" x14ac:dyDescent="0.15">
      <c r="A988" s="10"/>
      <c r="B988" s="13"/>
      <c r="C988" s="13"/>
    </row>
    <row r="989" spans="1:3" ht="13" x14ac:dyDescent="0.15">
      <c r="A989" s="10"/>
      <c r="B989" s="13"/>
      <c r="C989" s="13"/>
    </row>
    <row r="990" spans="1:3" ht="13" x14ac:dyDescent="0.15">
      <c r="A990" s="10"/>
      <c r="B990" s="13"/>
      <c r="C990" s="13"/>
    </row>
    <row r="991" spans="1:3" ht="13" x14ac:dyDescent="0.15">
      <c r="A991" s="10"/>
      <c r="B991" s="13"/>
      <c r="C991" s="13"/>
    </row>
    <row r="992" spans="1:3" ht="13" x14ac:dyDescent="0.15">
      <c r="A992" s="10"/>
      <c r="B992" s="13"/>
      <c r="C992" s="13"/>
    </row>
    <row r="993" spans="1:3" ht="13" x14ac:dyDescent="0.15">
      <c r="A993" s="10"/>
      <c r="B993" s="13"/>
      <c r="C993" s="13"/>
    </row>
    <row r="994" spans="1:3" ht="13" x14ac:dyDescent="0.15">
      <c r="A994" s="10"/>
      <c r="B994" s="13"/>
      <c r="C994" s="13"/>
    </row>
    <row r="995" spans="1:3" ht="13" x14ac:dyDescent="0.15">
      <c r="A995" s="10"/>
      <c r="B995" s="13"/>
      <c r="C995" s="13"/>
    </row>
    <row r="996" spans="1:3" ht="13" x14ac:dyDescent="0.15">
      <c r="A996" s="10"/>
      <c r="B996" s="13"/>
      <c r="C996" s="13"/>
    </row>
    <row r="997" spans="1:3" ht="13" x14ac:dyDescent="0.15">
      <c r="A997" s="10"/>
      <c r="B997" s="13"/>
      <c r="C997" s="13"/>
    </row>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outlinePr summaryBelow="0" summaryRight="0"/>
  </sheetPr>
  <dimension ref="A1:D997"/>
  <sheetViews>
    <sheetView workbookViewId="0"/>
  </sheetViews>
  <sheetFormatPr baseColWidth="10" defaultColWidth="12.6640625" defaultRowHeight="15.75" customHeight="1" x14ac:dyDescent="0.15"/>
  <cols>
    <col min="1" max="1" width="71.5" customWidth="1"/>
    <col min="2" max="4" width="37.6640625" customWidth="1"/>
  </cols>
  <sheetData>
    <row r="1" spans="1:4" ht="15.75" customHeight="1" x14ac:dyDescent="0.15">
      <c r="A1" s="1"/>
      <c r="B1" s="12" t="str">
        <f ca="1">IFERROR(__xludf.DUMMYFUNCTION("IMPORTRANGE(""https://docs.google.com/spreadsheets/d/19FYWDv6QyCNB_zbElAOE5cOI1IJ2jraXGOFWNs-qsQM"",""A64!B1:B22"")"),"Braden")</f>
        <v>Braden</v>
      </c>
      <c r="C1" s="12" t="str">
        <f ca="1">IFERROR(__xludf.DUMMYFUNCTION("IMPORTRANGE(""https://docs.google.com/spreadsheets/d/1Eq2M_a4_TeZImjU1FJcBSaIp6Xib8-RIHm3cQ24mbRI"", ""A64!B1:B22"")
"),"Zachary Edwards")</f>
        <v>Zachary Edwards</v>
      </c>
      <c r="D1" s="2" t="s">
        <v>1</v>
      </c>
    </row>
    <row r="2" spans="1:4" ht="15.75" customHeight="1" x14ac:dyDescent="0.15">
      <c r="A2" s="3" t="s">
        <v>2</v>
      </c>
      <c r="B2" s="15" t="str">
        <f ca="1">IFERROR(__xludf.DUMMYFUNCTION("""COMPUTED_VALUE"""),"34771 - 35523")</f>
        <v>34771 - 35523</v>
      </c>
      <c r="C2" s="15" t="str">
        <f ca="1">IFERROR(__xludf.DUMMYFUNCTION("""COMPUTED_VALUE"""),"PHAM Start:34771 Stop:35523
DNAM Start:34771 Stop:35523
FOR")</f>
        <v>PHAM Start:34771 Stop:35523
DNAM Start:34771 Stop:35523
FOR</v>
      </c>
      <c r="D2" s="4"/>
    </row>
    <row r="3" spans="1:4" ht="15.75" customHeight="1" x14ac:dyDescent="0.15">
      <c r="A3" s="5" t="s">
        <v>3</v>
      </c>
      <c r="B3" s="17" t="str">
        <f ca="1">IFERROR(__xludf.DUMMYFUNCTION("""COMPUTED_VALUE"""),"Pham 64   DNAM 63")</f>
        <v>Pham 64   DNAM 63</v>
      </c>
      <c r="C3" s="17" t="str">
        <f ca="1">IFERROR(__xludf.DUMMYFUNCTION("""COMPUTED_VALUE"""),"PHAM: Gene_64
DNAM: Gene_63")</f>
        <v>PHAM: Gene_64
DNAM: Gene_63</v>
      </c>
      <c r="D3" s="6"/>
    </row>
    <row r="4" spans="1:4" ht="15.75" customHeight="1" x14ac:dyDescent="0.15">
      <c r="A4" s="5" t="s">
        <v>4</v>
      </c>
      <c r="B4" s="17" t="str">
        <f ca="1">IFERROR(__xludf.DUMMYFUNCTION("""COMPUTED_VALUE"""),"pham 87443  3/17/2025")</f>
        <v>pham 87443  3/17/2025</v>
      </c>
      <c r="C4" s="17" t="str">
        <f ca="1">IFERROR(__xludf.DUMMYFUNCTION("""COMPUTED_VALUE"""),"87443 3/17/25")</f>
        <v>87443 3/17/25</v>
      </c>
      <c r="D4" s="6"/>
    </row>
    <row r="5" spans="1:4" ht="15.75" customHeight="1" x14ac:dyDescent="0.15">
      <c r="A5" s="5" t="s">
        <v>5</v>
      </c>
      <c r="B5" s="17"/>
      <c r="C5" s="17" t="str">
        <f ca="1">IFERROR(__xludf.DUMMYFUNCTION("""COMPUTED_VALUE"""),"Kovu_61")</f>
        <v>Kovu_61</v>
      </c>
      <c r="D5" s="6"/>
    </row>
    <row r="6" spans="1:4" ht="15.75" customHeight="1" x14ac:dyDescent="0.15">
      <c r="A6" s="5" t="s">
        <v>6</v>
      </c>
      <c r="B6" s="17" t="str">
        <f ca="1">IFERROR(__xludf.DUMMYFUNCTION("""COMPUTED_VALUE"""),"Glimmer call bp 34771 has strength 19.77")</f>
        <v>Glimmer call bp 34771 has strength 19.77</v>
      </c>
      <c r="C6" s="17" t="str">
        <f ca="1">IFERROR(__xludf.DUMMYFUNCTION("""COMPUTED_VALUE"""),"Both call it a gene")</f>
        <v>Both call it a gene</v>
      </c>
      <c r="D6" s="6"/>
    </row>
    <row r="7" spans="1:4" ht="15.75" customHeight="1" x14ac:dyDescent="0.15">
      <c r="A7" s="5" t="s">
        <v>7</v>
      </c>
      <c r="B7" s="17" t="str">
        <f ca="1">IFERROR(__xludf.DUMMYFUNCTION("""COMPUTED_VALUE"""),"Good coding potential ")</f>
        <v xml:space="preserve">Good coding potential </v>
      </c>
      <c r="C7" s="17" t="str">
        <f ca="1">IFERROR(__xludf.DUMMYFUNCTION("""COMPUTED_VALUE"""),"Great potential with all included")</f>
        <v>Great potential with all included</v>
      </c>
      <c r="D7" s="6"/>
    </row>
    <row r="8" spans="1:4" ht="15.75" customHeight="1" x14ac:dyDescent="0.15">
      <c r="A8" s="5" t="s">
        <v>8</v>
      </c>
      <c r="B8" s="17" t="str">
        <f ca="1">IFERROR(__xludf.DUMMYFUNCTION("""COMPUTED_VALUE"""),"Yes")</f>
        <v>Yes</v>
      </c>
      <c r="C8" s="17" t="str">
        <f ca="1">IFERROR(__xludf.DUMMYFUNCTION("""COMPUTED_VALUE"""),"Yes")</f>
        <v>Yes</v>
      </c>
      <c r="D8" s="6"/>
    </row>
    <row r="9" spans="1:4" ht="15.75" customHeight="1" x14ac:dyDescent="0.15">
      <c r="A9" s="5" t="s">
        <v>9</v>
      </c>
      <c r="B9" s="17" t="str">
        <f ca="1">IFERROR(__xludf.DUMMYFUNCTION("""COMPUTED_VALUE"""),"1 nucleotide overlap ")</f>
        <v xml:space="preserve">1 nucleotide overlap </v>
      </c>
      <c r="C9" s="17" t="str">
        <f ca="1">IFERROR(__xludf.DUMMYFUNCTION("""COMPUTED_VALUE"""),"Start of 64 (DNAM 63) is the stop of 63 (DNAM 62)
10 NT Gap at the end")</f>
        <v>Start of 64 (DNAM 63) is the stop of 63 (DNAM 62)
10 NT Gap at the end</v>
      </c>
      <c r="D9" s="6"/>
    </row>
    <row r="10" spans="1:4" ht="15.75" customHeight="1" x14ac:dyDescent="0.15">
      <c r="A10" s="5" t="s">
        <v>10</v>
      </c>
      <c r="B10" s="17" t="str">
        <f ca="1">IFERROR(__xludf.DUMMYFUNCTION("""COMPUTED_VALUE"""),"SD: -2.071  Z:2.807  Final: -3.673")</f>
        <v>SD: -2.071  Z:2.807  Final: -3.673</v>
      </c>
      <c r="C10" s="17" t="str">
        <f ca="1">IFERROR(__xludf.DUMMYFUNCTION("""COMPUTED_VALUE"""),"2.807 (current &amp; 34771_
Others leave large gaps only 2 others with above 2 Z")</f>
        <v>2.807 (current &amp; 34771_
Others leave large gaps only 2 others with above 2 Z</v>
      </c>
      <c r="D10" s="6"/>
    </row>
    <row r="11" spans="1:4" ht="15.75" customHeight="1" x14ac:dyDescent="0.15">
      <c r="A11" s="5" t="s">
        <v>11</v>
      </c>
      <c r="B11" s="17" t="str">
        <f ca="1">IFERROR(__xludf.DUMMYFUNCTION("""COMPUTED_VALUE"""),"(Kovu: Major tail protein, 92.4% identitiy, 0.0E0)(Edmundo 63: Hypothetical protein PBI, 54% identity, 0.0E0)(Wheelbite: Major tail protein, 55.4% identity, 0.0E0)")</f>
        <v>(Kovu: Major tail protein, 92.4% identitiy, 0.0E0)(Edmundo 63: Hypothetical protein PBI, 54% identity, 0.0E0)(Wheelbite: Major tail protein, 55.4% identity, 0.0E0)</v>
      </c>
      <c r="C11" s="17" t="str">
        <f ca="1">IFERROR(__xludf.DUMMYFUNCTION("""COMPUTED_VALUE"""),"Kovu_61
E: 0
%ID: 93.62
1:1")</f>
        <v>Kovu_61
E: 0
%ID: 93.62
1:1</v>
      </c>
      <c r="D11" s="6"/>
    </row>
    <row r="12" spans="1:4" ht="15.75" customHeight="1" x14ac:dyDescent="0.15">
      <c r="A12" s="5" t="s">
        <v>12</v>
      </c>
      <c r="B12" s="17" t="str">
        <f ca="1">IFERROR(__xludf.DUMMYFUNCTION("""COMPUTED_VALUE"""),"Found in 9 of 12 ( 75.0% ) of genes in pham, Called 100% of the time")</f>
        <v>Found in 9 of 12 ( 75.0% ) of genes in pham, Called 100% of the time</v>
      </c>
      <c r="C12" s="17" t="str">
        <f ca="1">IFERROR(__xludf.DUMMYFUNCTION("""COMPUTED_VALUE"""),"6 of 8 call it a start")</f>
        <v>6 of 8 call it a start</v>
      </c>
      <c r="D12" s="6"/>
    </row>
    <row r="13" spans="1:4" ht="15.75" customHeight="1" x14ac:dyDescent="0.15">
      <c r="A13" s="5" t="s">
        <v>13</v>
      </c>
      <c r="B13" s="17" t="str">
        <f ca="1">IFERROR(__xludf.DUMMYFUNCTION("""COMPUTED_VALUE"""),"No, the other options left us with worse results")</f>
        <v>No, the other options left us with worse results</v>
      </c>
      <c r="C13" s="17" t="str">
        <f ca="1">IFERROR(__xludf.DUMMYFUNCTION("""COMPUTED_VALUE"""),"Nope")</f>
        <v>Nope</v>
      </c>
      <c r="D13" s="6"/>
    </row>
    <row r="14" spans="1:4" ht="15.75" customHeight="1" x14ac:dyDescent="0.15">
      <c r="A14" s="5" t="s">
        <v>14</v>
      </c>
      <c r="B14" s="17" t="str">
        <f ca="1">IFERROR(__xludf.DUMMYFUNCTION("""COMPUTED_VALUE"""),"Kharcho_39 (major tail protein)	Kovu_61 (major tail protein)
Laroye_64 (major tail protein)")</f>
        <v>Kharcho_39 (major tail protein)	Kovu_61 (major tail protein)
Laroye_64 (major tail protein)</v>
      </c>
      <c r="C14" s="17" t="str">
        <f ca="1">IFERROR(__xludf.DUMMYFUNCTION("""COMPUTED_VALUE"""),"Kovu_61 
E: 4e-167")</f>
        <v>Kovu_61 
E: 4e-167</v>
      </c>
      <c r="D14" s="6"/>
    </row>
    <row r="15" spans="1:4" ht="15.75" customHeight="1" x14ac:dyDescent="0.15">
      <c r="A15" s="5" t="s">
        <v>15</v>
      </c>
      <c r="B15" s="17" t="str">
        <f ca="1">IFERROR(__xludf.DUMMYFUNCTION("""COMPUTED_VALUE"""),"Major Tail Proteins")</f>
        <v>Major Tail Proteins</v>
      </c>
      <c r="C15" s="17" t="str">
        <f ca="1">IFERROR(__xludf.DUMMYFUNCTION("""COMPUTED_VALUE"""),"Major Tail protein")</f>
        <v>Major Tail protein</v>
      </c>
      <c r="D15" s="6"/>
    </row>
    <row r="16" spans="1:4" ht="15.75" customHeight="1" x14ac:dyDescent="0.15">
      <c r="A16" s="5" t="s">
        <v>16</v>
      </c>
      <c r="B16" s="17" t="str">
        <f ca="1">IFERROR(__xludf.DUMMYFUNCTION("""COMPUTED_VALUE"""),"most of ApoKipo's genes line up well and seem to match most of their Kovu counterparts (Except kovu 64)")</f>
        <v>most of ApoKipo's genes line up well and seem to match most of their Kovu counterparts (Except kovu 64)</v>
      </c>
      <c r="C16" s="17" t="str">
        <f ca="1">IFERROR(__xludf.DUMMYFUNCTION("""COMPUTED_VALUE"""),"Same Genetic enviornment as Kovu")</f>
        <v>Same Genetic enviornment as Kovu</v>
      </c>
      <c r="D16" s="6"/>
    </row>
    <row r="17" spans="1:4" ht="15.75" customHeight="1" x14ac:dyDescent="0.15">
      <c r="A17" s="5" t="s">
        <v>17</v>
      </c>
      <c r="B17" s="17" t="str">
        <f ca="1">IFERROR(__xludf.DUMMYFUNCTION("""COMPUTED_VALUE"""),"8GTC_C Major tail protein, Probability: 99.5%, align Q: 50%, align T: 96.15%  functional domain is in alignment but it is of an unknown function")</f>
        <v>8GTC_C Major tail protein, Probability: 99.5%, align Q: 50%, align T: 96.15%  functional domain is in alignment but it is of an unknown function</v>
      </c>
      <c r="C17" s="17" t="str">
        <f ca="1">IFERROR(__xludf.DUMMYFUNCTION("""COMPUTED_VALUE"""),"8GTC_C Major tail protein; Marine bacteriophage, Cryo-EM, Siphophage, Baseplate, Megatron protein, Tail fibre protein, Distal tail protein, Hub protein, VIRAL; 4.5A {Dinoroseobacter phage vB_DshS-R4C}
Probability: 99.5%
Align Q: 50.4%
Align T: 91.97%")</f>
        <v>8GTC_C Major tail protein; Marine bacteriophage, Cryo-EM, Siphophage, Baseplate, Megatron protein, Tail fibre protein, Distal tail protein, Hub protein, VIRAL; 4.5A {Dinoroseobacter phage vB_DshS-R4C}
Probability: 99.5%
Align Q: 50.4%
Align T: 91.97%</v>
      </c>
      <c r="D17" s="6"/>
    </row>
    <row r="18" spans="1:4" ht="15.75" customHeight="1" x14ac:dyDescent="0.15">
      <c r="A18" s="5" t="s">
        <v>18</v>
      </c>
      <c r="B18" s="17" t="str">
        <f ca="1">IFERROR(__xludf.DUMMYFUNCTION("""COMPUTED_VALUE"""),"DUF")</f>
        <v>DUF</v>
      </c>
      <c r="C18" s="17" t="str">
        <f ca="1">IFERROR(__xludf.DUMMYFUNCTION("""COMPUTED_VALUE"""),"DUF")</f>
        <v>DUF</v>
      </c>
      <c r="D18" s="6"/>
    </row>
    <row r="19" spans="1:4" ht="15.75" customHeight="1" x14ac:dyDescent="0.15">
      <c r="A19" s="5" t="s">
        <v>19</v>
      </c>
      <c r="B19" s="17" t="str">
        <f ca="1">IFERROR(__xludf.DUMMYFUNCTION("""COMPUTED_VALUE"""),"outside 1.0")</f>
        <v>outside 1.0</v>
      </c>
      <c r="C19" s="17" t="str">
        <f ca="1">IFERROR(__xludf.DUMMYFUNCTION("""COMPUTED_VALUE"""),"No")</f>
        <v>No</v>
      </c>
      <c r="D19" s="6"/>
    </row>
    <row r="20" spans="1:4" ht="15.75" customHeight="1" x14ac:dyDescent="0.15">
      <c r="A20" s="5" t="s">
        <v>20</v>
      </c>
      <c r="B20" s="17" t="str">
        <f ca="1">IFERROR(__xludf.DUMMYFUNCTION("""COMPUTED_VALUE"""),"Major tail protein. All hits lead to this or simular results.")</f>
        <v>Major tail protein. All hits lead to this or simular results.</v>
      </c>
      <c r="C20" s="17" t="str">
        <f ca="1">IFERROR(__xludf.DUMMYFUNCTION("""COMPUTED_VALUE"""),"Major Tail protein
Many similar gene have this function")</f>
        <v>Major Tail protein
Many similar gene have this function</v>
      </c>
      <c r="D20" s="6"/>
    </row>
    <row r="21" spans="1:4" x14ac:dyDescent="0.2">
      <c r="A21" s="7"/>
      <c r="B21" s="19"/>
      <c r="C21" s="19"/>
      <c r="D21" s="8"/>
    </row>
    <row r="22" spans="1:4" ht="15.75" customHeight="1" x14ac:dyDescent="0.15">
      <c r="A22" s="9" t="s">
        <v>21</v>
      </c>
      <c r="B22" s="19"/>
      <c r="C22" s="19"/>
      <c r="D22" s="8"/>
    </row>
    <row r="23" spans="1:4" ht="15.75" customHeight="1" x14ac:dyDescent="0.15">
      <c r="A23" s="10"/>
      <c r="B23" s="13"/>
      <c r="C23" s="13"/>
    </row>
    <row r="24" spans="1:4" ht="15.75" customHeight="1" x14ac:dyDescent="0.15">
      <c r="A24" s="10"/>
      <c r="B24" s="13"/>
      <c r="C24" s="13"/>
    </row>
    <row r="25" spans="1:4" ht="15.75" customHeight="1" x14ac:dyDescent="0.15">
      <c r="A25" s="10"/>
      <c r="B25" s="13"/>
      <c r="C25" s="13"/>
    </row>
    <row r="26" spans="1:4" ht="15.75" customHeight="1" x14ac:dyDescent="0.15">
      <c r="A26" s="10"/>
      <c r="B26" s="13"/>
      <c r="C26" s="13"/>
    </row>
    <row r="27" spans="1:4" ht="15.75" customHeight="1" x14ac:dyDescent="0.15">
      <c r="A27" s="10"/>
      <c r="B27" s="13"/>
      <c r="C27" s="13"/>
    </row>
    <row r="28" spans="1:4" ht="15.75" customHeight="1" x14ac:dyDescent="0.15">
      <c r="A28" s="10"/>
      <c r="B28" s="13"/>
      <c r="C28" s="13"/>
    </row>
    <row r="29" spans="1:4" ht="15.75" customHeight="1" x14ac:dyDescent="0.15">
      <c r="A29" s="10"/>
      <c r="B29" s="13"/>
      <c r="C29" s="13"/>
    </row>
    <row r="30" spans="1:4" ht="15.75" customHeight="1" x14ac:dyDescent="0.15">
      <c r="A30" s="10"/>
      <c r="B30" s="13"/>
      <c r="C30" s="13"/>
    </row>
    <row r="31" spans="1:4" ht="15.75" customHeight="1" x14ac:dyDescent="0.15">
      <c r="A31" s="10"/>
      <c r="B31" s="13"/>
      <c r="C31" s="13"/>
    </row>
    <row r="32" spans="1:4" ht="15.75" customHeight="1" x14ac:dyDescent="0.15">
      <c r="A32" s="10"/>
      <c r="B32" s="13"/>
      <c r="C32" s="13"/>
    </row>
    <row r="33" spans="1:3" ht="15.75" customHeight="1" x14ac:dyDescent="0.15">
      <c r="A33" s="10"/>
      <c r="B33" s="13"/>
      <c r="C33" s="13"/>
    </row>
    <row r="34" spans="1:3" ht="15.75" customHeight="1" x14ac:dyDescent="0.15">
      <c r="A34" s="10"/>
      <c r="B34" s="13"/>
      <c r="C34" s="13"/>
    </row>
    <row r="35" spans="1:3" ht="15.75" customHeight="1" x14ac:dyDescent="0.15">
      <c r="A35" s="10"/>
      <c r="B35" s="13"/>
      <c r="C35" s="13"/>
    </row>
    <row r="36" spans="1:3" ht="15.75" customHeight="1" x14ac:dyDescent="0.15">
      <c r="A36" s="10"/>
      <c r="B36" s="13"/>
      <c r="C36" s="13"/>
    </row>
    <row r="37" spans="1:3" ht="15.75" customHeight="1" x14ac:dyDescent="0.15">
      <c r="A37" s="10"/>
      <c r="B37" s="13"/>
      <c r="C37" s="13"/>
    </row>
    <row r="38" spans="1:3" ht="15.75" customHeight="1" x14ac:dyDescent="0.15">
      <c r="A38" s="10"/>
      <c r="B38" s="13"/>
      <c r="C38" s="13"/>
    </row>
    <row r="39" spans="1:3" ht="13" x14ac:dyDescent="0.15">
      <c r="A39" s="10"/>
      <c r="B39" s="13"/>
      <c r="C39" s="13"/>
    </row>
    <row r="40" spans="1:3" ht="13" x14ac:dyDescent="0.15">
      <c r="A40" s="10"/>
      <c r="B40" s="13"/>
      <c r="C40" s="13"/>
    </row>
    <row r="41" spans="1:3" ht="13" x14ac:dyDescent="0.15">
      <c r="A41" s="10"/>
      <c r="B41" s="13"/>
      <c r="C41" s="13"/>
    </row>
    <row r="42" spans="1:3" ht="13" x14ac:dyDescent="0.15">
      <c r="A42" s="10"/>
      <c r="B42" s="13"/>
      <c r="C42" s="13"/>
    </row>
    <row r="43" spans="1:3" ht="13" x14ac:dyDescent="0.15">
      <c r="A43" s="10"/>
      <c r="B43" s="13"/>
      <c r="C43" s="13"/>
    </row>
    <row r="44" spans="1:3" ht="13" x14ac:dyDescent="0.15">
      <c r="A44" s="10"/>
      <c r="B44" s="13"/>
      <c r="C44" s="13"/>
    </row>
    <row r="45" spans="1:3" ht="13" x14ac:dyDescent="0.15">
      <c r="A45" s="10"/>
      <c r="B45" s="13"/>
      <c r="C45" s="13"/>
    </row>
    <row r="46" spans="1:3" ht="13" x14ac:dyDescent="0.15">
      <c r="A46" s="10"/>
      <c r="B46" s="13"/>
      <c r="C46" s="13"/>
    </row>
    <row r="47" spans="1:3" ht="13" x14ac:dyDescent="0.15">
      <c r="A47" s="10"/>
      <c r="B47" s="13"/>
      <c r="C47" s="13"/>
    </row>
    <row r="48" spans="1:3" ht="13" x14ac:dyDescent="0.15">
      <c r="A48" s="10"/>
      <c r="B48" s="13"/>
      <c r="C48" s="13"/>
    </row>
    <row r="49" spans="1:3" ht="13" x14ac:dyDescent="0.15">
      <c r="A49" s="10"/>
      <c r="B49" s="13"/>
      <c r="C49" s="13"/>
    </row>
    <row r="50" spans="1:3" ht="13" x14ac:dyDescent="0.15">
      <c r="A50" s="10"/>
      <c r="B50" s="13"/>
      <c r="C50" s="13"/>
    </row>
    <row r="51" spans="1:3" ht="13" x14ac:dyDescent="0.15">
      <c r="A51" s="10"/>
      <c r="B51" s="13"/>
      <c r="C51" s="13"/>
    </row>
    <row r="52" spans="1:3" ht="13" x14ac:dyDescent="0.15">
      <c r="A52" s="10"/>
      <c r="B52" s="13"/>
      <c r="C52" s="13"/>
    </row>
    <row r="53" spans="1:3" ht="13" x14ac:dyDescent="0.15">
      <c r="A53" s="10"/>
      <c r="B53" s="13"/>
      <c r="C53" s="13"/>
    </row>
    <row r="54" spans="1:3" ht="13" x14ac:dyDescent="0.15">
      <c r="A54" s="10"/>
      <c r="B54" s="13"/>
      <c r="C54" s="13"/>
    </row>
    <row r="55" spans="1:3" ht="13" x14ac:dyDescent="0.15">
      <c r="A55" s="10"/>
      <c r="B55" s="13"/>
      <c r="C55" s="13"/>
    </row>
    <row r="56" spans="1:3" ht="13" x14ac:dyDescent="0.15">
      <c r="A56" s="10"/>
      <c r="B56" s="13"/>
      <c r="C56" s="13"/>
    </row>
    <row r="57" spans="1:3" ht="13" x14ac:dyDescent="0.15">
      <c r="A57" s="10"/>
      <c r="B57" s="13"/>
      <c r="C57" s="13"/>
    </row>
    <row r="58" spans="1:3" ht="13" x14ac:dyDescent="0.15">
      <c r="A58" s="10"/>
      <c r="B58" s="13"/>
      <c r="C58" s="13"/>
    </row>
    <row r="59" spans="1:3" ht="13" x14ac:dyDescent="0.15">
      <c r="A59" s="10"/>
      <c r="B59" s="13"/>
      <c r="C59" s="13"/>
    </row>
    <row r="60" spans="1:3" ht="13" x14ac:dyDescent="0.15">
      <c r="A60" s="10"/>
      <c r="B60" s="13"/>
      <c r="C60" s="13"/>
    </row>
    <row r="61" spans="1:3" ht="13" x14ac:dyDescent="0.15">
      <c r="A61" s="10"/>
      <c r="B61" s="13"/>
      <c r="C61" s="13"/>
    </row>
    <row r="62" spans="1:3" ht="13" x14ac:dyDescent="0.15">
      <c r="A62" s="10"/>
      <c r="B62" s="13"/>
      <c r="C62" s="13"/>
    </row>
    <row r="63" spans="1:3" ht="13" x14ac:dyDescent="0.15">
      <c r="A63" s="10"/>
      <c r="B63" s="13"/>
      <c r="C63" s="13"/>
    </row>
    <row r="64" spans="1:3" ht="13" x14ac:dyDescent="0.15">
      <c r="A64" s="10"/>
      <c r="B64" s="13"/>
      <c r="C64" s="13"/>
    </row>
    <row r="65" spans="1:3" ht="13" x14ac:dyDescent="0.15">
      <c r="A65" s="10"/>
      <c r="B65" s="13"/>
      <c r="C65" s="13"/>
    </row>
    <row r="66" spans="1:3" ht="13" x14ac:dyDescent="0.15">
      <c r="A66" s="10"/>
      <c r="B66" s="13"/>
      <c r="C66" s="13"/>
    </row>
    <row r="67" spans="1:3" ht="13" x14ac:dyDescent="0.15">
      <c r="A67" s="10"/>
      <c r="B67" s="13"/>
      <c r="C67" s="13"/>
    </row>
    <row r="68" spans="1:3" ht="13" x14ac:dyDescent="0.15">
      <c r="A68" s="10"/>
      <c r="B68" s="13"/>
      <c r="C68" s="13"/>
    </row>
    <row r="69" spans="1:3" ht="13" x14ac:dyDescent="0.15">
      <c r="A69" s="10"/>
      <c r="B69" s="13"/>
      <c r="C69" s="13"/>
    </row>
    <row r="70" spans="1:3" ht="13" x14ac:dyDescent="0.15">
      <c r="A70" s="10"/>
      <c r="B70" s="13"/>
      <c r="C70" s="13"/>
    </row>
    <row r="71" spans="1:3" ht="13" x14ac:dyDescent="0.15">
      <c r="A71" s="10"/>
      <c r="B71" s="13"/>
      <c r="C71" s="13"/>
    </row>
    <row r="72" spans="1:3" ht="13" x14ac:dyDescent="0.15">
      <c r="A72" s="10"/>
      <c r="B72" s="13"/>
      <c r="C72" s="13"/>
    </row>
    <row r="73" spans="1:3" ht="13" x14ac:dyDescent="0.15">
      <c r="A73" s="10"/>
      <c r="B73" s="13"/>
      <c r="C73" s="13"/>
    </row>
    <row r="74" spans="1:3" ht="13" x14ac:dyDescent="0.15">
      <c r="A74" s="10"/>
      <c r="B74" s="13"/>
      <c r="C74" s="13"/>
    </row>
    <row r="75" spans="1:3" ht="13" x14ac:dyDescent="0.15">
      <c r="A75" s="10"/>
      <c r="B75" s="13"/>
      <c r="C75" s="13"/>
    </row>
    <row r="76" spans="1:3" ht="13" x14ac:dyDescent="0.15">
      <c r="A76" s="10"/>
      <c r="B76" s="13"/>
      <c r="C76" s="13"/>
    </row>
    <row r="77" spans="1:3" ht="13" x14ac:dyDescent="0.15">
      <c r="A77" s="10"/>
      <c r="B77" s="13"/>
      <c r="C77" s="13"/>
    </row>
    <row r="78" spans="1:3" ht="13" x14ac:dyDescent="0.15">
      <c r="A78" s="10"/>
      <c r="B78" s="13"/>
      <c r="C78" s="13"/>
    </row>
    <row r="79" spans="1:3" ht="13" x14ac:dyDescent="0.15">
      <c r="A79" s="10"/>
      <c r="B79" s="13"/>
      <c r="C79" s="13"/>
    </row>
    <row r="80" spans="1:3" ht="13" x14ac:dyDescent="0.15">
      <c r="A80" s="10"/>
      <c r="B80" s="13"/>
      <c r="C80" s="13"/>
    </row>
    <row r="81" spans="1:3" ht="13" x14ac:dyDescent="0.15">
      <c r="A81" s="10"/>
      <c r="B81" s="13"/>
      <c r="C81" s="13"/>
    </row>
    <row r="82" spans="1:3" ht="13" x14ac:dyDescent="0.15">
      <c r="A82" s="10"/>
      <c r="B82" s="13"/>
      <c r="C82" s="13"/>
    </row>
    <row r="83" spans="1:3" ht="13" x14ac:dyDescent="0.15">
      <c r="A83" s="10"/>
      <c r="B83" s="13"/>
      <c r="C83" s="13"/>
    </row>
    <row r="84" spans="1:3" ht="13" x14ac:dyDescent="0.15">
      <c r="A84" s="10"/>
      <c r="B84" s="13"/>
      <c r="C84" s="13"/>
    </row>
    <row r="85" spans="1:3" ht="13" x14ac:dyDescent="0.15">
      <c r="A85" s="10"/>
      <c r="B85" s="13"/>
      <c r="C85" s="13"/>
    </row>
    <row r="86" spans="1:3" ht="13" x14ac:dyDescent="0.15">
      <c r="A86" s="10"/>
      <c r="B86" s="13"/>
      <c r="C86" s="13"/>
    </row>
    <row r="87" spans="1:3" ht="13" x14ac:dyDescent="0.15">
      <c r="A87" s="10"/>
      <c r="B87" s="13"/>
      <c r="C87" s="13"/>
    </row>
    <row r="88" spans="1:3" ht="13" x14ac:dyDescent="0.15">
      <c r="A88" s="10"/>
      <c r="B88" s="13"/>
      <c r="C88" s="13"/>
    </row>
    <row r="89" spans="1:3" ht="13" x14ac:dyDescent="0.15">
      <c r="A89" s="10"/>
      <c r="B89" s="13"/>
      <c r="C89" s="13"/>
    </row>
    <row r="90" spans="1:3" ht="13" x14ac:dyDescent="0.15">
      <c r="A90" s="10"/>
      <c r="B90" s="13"/>
      <c r="C90" s="13"/>
    </row>
    <row r="91" spans="1:3" ht="13" x14ac:dyDescent="0.15">
      <c r="A91" s="10"/>
      <c r="B91" s="13"/>
      <c r="C91" s="13"/>
    </row>
    <row r="92" spans="1:3" ht="13" x14ac:dyDescent="0.15">
      <c r="A92" s="10"/>
      <c r="B92" s="13"/>
      <c r="C92" s="13"/>
    </row>
    <row r="93" spans="1:3" ht="13" x14ac:dyDescent="0.15">
      <c r="A93" s="10"/>
      <c r="B93" s="13"/>
      <c r="C93" s="13"/>
    </row>
    <row r="94" spans="1:3" ht="13" x14ac:dyDescent="0.15">
      <c r="A94" s="10"/>
      <c r="B94" s="13"/>
      <c r="C94" s="13"/>
    </row>
    <row r="95" spans="1:3" ht="13" x14ac:dyDescent="0.15">
      <c r="A95" s="10"/>
      <c r="B95" s="13"/>
      <c r="C95" s="13"/>
    </row>
    <row r="96" spans="1:3" ht="13" x14ac:dyDescent="0.15">
      <c r="A96" s="10"/>
      <c r="B96" s="13"/>
      <c r="C96" s="13"/>
    </row>
    <row r="97" spans="1:3" ht="13" x14ac:dyDescent="0.15">
      <c r="A97" s="10"/>
      <c r="B97" s="13"/>
      <c r="C97" s="13"/>
    </row>
    <row r="98" spans="1:3" ht="13" x14ac:dyDescent="0.15">
      <c r="A98" s="10"/>
      <c r="B98" s="13"/>
      <c r="C98" s="13"/>
    </row>
    <row r="99" spans="1:3" ht="13" x14ac:dyDescent="0.15">
      <c r="A99" s="10"/>
      <c r="B99" s="13"/>
      <c r="C99" s="13"/>
    </row>
    <row r="100" spans="1:3" ht="13" x14ac:dyDescent="0.15">
      <c r="A100" s="10"/>
      <c r="B100" s="13"/>
      <c r="C100" s="13"/>
    </row>
    <row r="101" spans="1:3" ht="13" x14ac:dyDescent="0.15">
      <c r="A101" s="10"/>
      <c r="B101" s="13"/>
      <c r="C101" s="13"/>
    </row>
    <row r="102" spans="1:3" ht="13" x14ac:dyDescent="0.15">
      <c r="A102" s="10"/>
      <c r="B102" s="13"/>
      <c r="C102" s="13"/>
    </row>
    <row r="103" spans="1:3" ht="13" x14ac:dyDescent="0.15">
      <c r="A103" s="10"/>
      <c r="B103" s="13"/>
      <c r="C103" s="13"/>
    </row>
    <row r="104" spans="1:3" ht="13" x14ac:dyDescent="0.15">
      <c r="A104" s="10"/>
      <c r="B104" s="13"/>
      <c r="C104" s="13"/>
    </row>
    <row r="105" spans="1:3" ht="13" x14ac:dyDescent="0.15">
      <c r="A105" s="10"/>
      <c r="B105" s="13"/>
      <c r="C105" s="13"/>
    </row>
    <row r="106" spans="1:3" ht="13" x14ac:dyDescent="0.15">
      <c r="A106" s="10"/>
      <c r="B106" s="13"/>
      <c r="C106" s="13"/>
    </row>
    <row r="107" spans="1:3" ht="13" x14ac:dyDescent="0.15">
      <c r="A107" s="10"/>
      <c r="B107" s="13"/>
      <c r="C107" s="13"/>
    </row>
    <row r="108" spans="1:3" ht="13" x14ac:dyDescent="0.15">
      <c r="A108" s="10"/>
      <c r="B108" s="13"/>
      <c r="C108" s="13"/>
    </row>
    <row r="109" spans="1:3" ht="13" x14ac:dyDescent="0.15">
      <c r="A109" s="10"/>
      <c r="B109" s="13"/>
      <c r="C109" s="13"/>
    </row>
    <row r="110" spans="1:3" ht="13" x14ac:dyDescent="0.15">
      <c r="A110" s="10"/>
      <c r="B110" s="13"/>
      <c r="C110" s="13"/>
    </row>
    <row r="111" spans="1:3" ht="13" x14ac:dyDescent="0.15">
      <c r="A111" s="10"/>
      <c r="B111" s="13"/>
      <c r="C111" s="13"/>
    </row>
    <row r="112" spans="1:3" ht="13" x14ac:dyDescent="0.15">
      <c r="A112" s="10"/>
      <c r="B112" s="13"/>
      <c r="C112" s="13"/>
    </row>
    <row r="113" spans="1:3" ht="13" x14ac:dyDescent="0.15">
      <c r="A113" s="10"/>
      <c r="B113" s="13"/>
      <c r="C113" s="13"/>
    </row>
    <row r="114" spans="1:3" ht="13" x14ac:dyDescent="0.15">
      <c r="A114" s="10"/>
      <c r="B114" s="13"/>
      <c r="C114" s="13"/>
    </row>
    <row r="115" spans="1:3" ht="13" x14ac:dyDescent="0.15">
      <c r="A115" s="10"/>
      <c r="B115" s="13"/>
      <c r="C115" s="13"/>
    </row>
    <row r="116" spans="1:3" ht="13" x14ac:dyDescent="0.15">
      <c r="A116" s="10"/>
      <c r="B116" s="13"/>
      <c r="C116" s="13"/>
    </row>
    <row r="117" spans="1:3" ht="13" x14ac:dyDescent="0.15">
      <c r="A117" s="10"/>
      <c r="B117" s="13"/>
      <c r="C117" s="13"/>
    </row>
    <row r="118" spans="1:3" ht="13" x14ac:dyDescent="0.15">
      <c r="A118" s="10"/>
      <c r="B118" s="13"/>
      <c r="C118" s="13"/>
    </row>
    <row r="119" spans="1:3" ht="13" x14ac:dyDescent="0.15">
      <c r="A119" s="10"/>
      <c r="B119" s="13"/>
      <c r="C119" s="13"/>
    </row>
    <row r="120" spans="1:3" ht="13" x14ac:dyDescent="0.15">
      <c r="A120" s="10"/>
      <c r="B120" s="13"/>
      <c r="C120" s="13"/>
    </row>
    <row r="121" spans="1:3" ht="13" x14ac:dyDescent="0.15">
      <c r="A121" s="10"/>
      <c r="B121" s="13"/>
      <c r="C121" s="13"/>
    </row>
    <row r="122" spans="1:3" ht="13" x14ac:dyDescent="0.15">
      <c r="A122" s="10"/>
      <c r="B122" s="13"/>
      <c r="C122" s="13"/>
    </row>
    <row r="123" spans="1:3" ht="13" x14ac:dyDescent="0.15">
      <c r="A123" s="10"/>
      <c r="B123" s="13"/>
      <c r="C123" s="13"/>
    </row>
    <row r="124" spans="1:3" ht="13" x14ac:dyDescent="0.15">
      <c r="A124" s="10"/>
      <c r="B124" s="13"/>
      <c r="C124" s="13"/>
    </row>
    <row r="125" spans="1:3" ht="13" x14ac:dyDescent="0.15">
      <c r="A125" s="10"/>
      <c r="B125" s="13"/>
      <c r="C125" s="13"/>
    </row>
    <row r="126" spans="1:3" ht="13" x14ac:dyDescent="0.15">
      <c r="A126" s="10"/>
      <c r="B126" s="13"/>
      <c r="C126" s="13"/>
    </row>
    <row r="127" spans="1:3" ht="13" x14ac:dyDescent="0.15">
      <c r="A127" s="10"/>
      <c r="B127" s="13"/>
      <c r="C127" s="13"/>
    </row>
    <row r="128" spans="1:3" ht="13" x14ac:dyDescent="0.15">
      <c r="A128" s="10"/>
      <c r="B128" s="13"/>
      <c r="C128" s="13"/>
    </row>
    <row r="129" spans="1:3" ht="13" x14ac:dyDescent="0.15">
      <c r="A129" s="10"/>
      <c r="B129" s="13"/>
      <c r="C129" s="13"/>
    </row>
    <row r="130" spans="1:3" ht="13" x14ac:dyDescent="0.15">
      <c r="A130" s="10"/>
      <c r="B130" s="13"/>
      <c r="C130" s="13"/>
    </row>
    <row r="131" spans="1:3" ht="13" x14ac:dyDescent="0.15">
      <c r="A131" s="10"/>
      <c r="B131" s="13"/>
      <c r="C131" s="13"/>
    </row>
    <row r="132" spans="1:3" ht="13" x14ac:dyDescent="0.15">
      <c r="A132" s="10"/>
      <c r="B132" s="13"/>
      <c r="C132" s="13"/>
    </row>
    <row r="133" spans="1:3" ht="13" x14ac:dyDescent="0.15">
      <c r="A133" s="10"/>
      <c r="B133" s="13"/>
      <c r="C133" s="13"/>
    </row>
    <row r="134" spans="1:3" ht="13" x14ac:dyDescent="0.15">
      <c r="A134" s="10"/>
      <c r="B134" s="13"/>
      <c r="C134" s="13"/>
    </row>
    <row r="135" spans="1:3" ht="13" x14ac:dyDescent="0.15">
      <c r="A135" s="10"/>
      <c r="B135" s="13"/>
      <c r="C135" s="13"/>
    </row>
    <row r="136" spans="1:3" ht="13" x14ac:dyDescent="0.15">
      <c r="A136" s="10"/>
      <c r="B136" s="13"/>
      <c r="C136" s="13"/>
    </row>
    <row r="137" spans="1:3" ht="13" x14ac:dyDescent="0.15">
      <c r="A137" s="10"/>
      <c r="B137" s="13"/>
      <c r="C137" s="13"/>
    </row>
    <row r="138" spans="1:3" ht="13" x14ac:dyDescent="0.15">
      <c r="A138" s="10"/>
      <c r="B138" s="13"/>
      <c r="C138" s="13"/>
    </row>
    <row r="139" spans="1:3" ht="13" x14ac:dyDescent="0.15">
      <c r="A139" s="10"/>
      <c r="B139" s="13"/>
      <c r="C139" s="13"/>
    </row>
    <row r="140" spans="1:3" ht="13" x14ac:dyDescent="0.15">
      <c r="A140" s="10"/>
      <c r="B140" s="13"/>
      <c r="C140" s="13"/>
    </row>
    <row r="141" spans="1:3" ht="13" x14ac:dyDescent="0.15">
      <c r="A141" s="10"/>
      <c r="B141" s="13"/>
      <c r="C141" s="13"/>
    </row>
    <row r="142" spans="1:3" ht="13" x14ac:dyDescent="0.15">
      <c r="A142" s="10"/>
      <c r="B142" s="13"/>
      <c r="C142" s="13"/>
    </row>
    <row r="143" spans="1:3" ht="13" x14ac:dyDescent="0.15">
      <c r="A143" s="10"/>
      <c r="B143" s="13"/>
      <c r="C143" s="13"/>
    </row>
    <row r="144" spans="1:3" ht="13" x14ac:dyDescent="0.15">
      <c r="A144" s="10"/>
      <c r="B144" s="13"/>
      <c r="C144" s="13"/>
    </row>
    <row r="145" spans="1:3" ht="13" x14ac:dyDescent="0.15">
      <c r="A145" s="10"/>
      <c r="B145" s="13"/>
      <c r="C145" s="13"/>
    </row>
    <row r="146" spans="1:3" ht="13" x14ac:dyDescent="0.15">
      <c r="A146" s="10"/>
      <c r="B146" s="13"/>
      <c r="C146" s="13"/>
    </row>
    <row r="147" spans="1:3" ht="13" x14ac:dyDescent="0.15">
      <c r="A147" s="10"/>
      <c r="B147" s="13"/>
      <c r="C147" s="13"/>
    </row>
    <row r="148" spans="1:3" ht="13" x14ac:dyDescent="0.15">
      <c r="A148" s="10"/>
      <c r="B148" s="13"/>
      <c r="C148" s="13"/>
    </row>
    <row r="149" spans="1:3" ht="13" x14ac:dyDescent="0.15">
      <c r="A149" s="10"/>
      <c r="B149" s="13"/>
      <c r="C149" s="13"/>
    </row>
    <row r="150" spans="1:3" ht="13" x14ac:dyDescent="0.15">
      <c r="A150" s="10"/>
      <c r="B150" s="13"/>
      <c r="C150" s="13"/>
    </row>
    <row r="151" spans="1:3" ht="13" x14ac:dyDescent="0.15">
      <c r="A151" s="10"/>
      <c r="B151" s="13"/>
      <c r="C151" s="13"/>
    </row>
    <row r="152" spans="1:3" ht="13" x14ac:dyDescent="0.15">
      <c r="A152" s="10"/>
      <c r="B152" s="13"/>
      <c r="C152" s="13"/>
    </row>
    <row r="153" spans="1:3" ht="13" x14ac:dyDescent="0.15">
      <c r="A153" s="10"/>
      <c r="B153" s="13"/>
      <c r="C153" s="13"/>
    </row>
    <row r="154" spans="1:3" ht="13" x14ac:dyDescent="0.15">
      <c r="A154" s="10"/>
      <c r="B154" s="13"/>
      <c r="C154" s="13"/>
    </row>
    <row r="155" spans="1:3" ht="13" x14ac:dyDescent="0.15">
      <c r="A155" s="10"/>
      <c r="B155" s="13"/>
      <c r="C155" s="13"/>
    </row>
    <row r="156" spans="1:3" ht="13" x14ac:dyDescent="0.15">
      <c r="A156" s="10"/>
      <c r="B156" s="13"/>
      <c r="C156" s="13"/>
    </row>
    <row r="157" spans="1:3" ht="13" x14ac:dyDescent="0.15">
      <c r="A157" s="10"/>
      <c r="B157" s="13"/>
      <c r="C157" s="13"/>
    </row>
    <row r="158" spans="1:3" ht="13" x14ac:dyDescent="0.15">
      <c r="A158" s="10"/>
      <c r="B158" s="13"/>
      <c r="C158" s="13"/>
    </row>
    <row r="159" spans="1:3" ht="13" x14ac:dyDescent="0.15">
      <c r="A159" s="10"/>
      <c r="B159" s="13"/>
      <c r="C159" s="13"/>
    </row>
    <row r="160" spans="1:3" ht="13" x14ac:dyDescent="0.15">
      <c r="A160" s="10"/>
      <c r="B160" s="13"/>
      <c r="C160" s="13"/>
    </row>
    <row r="161" spans="1:3" ht="13" x14ac:dyDescent="0.15">
      <c r="A161" s="10"/>
      <c r="B161" s="13"/>
      <c r="C161" s="13"/>
    </row>
    <row r="162" spans="1:3" ht="13" x14ac:dyDescent="0.15">
      <c r="A162" s="10"/>
      <c r="B162" s="13"/>
      <c r="C162" s="13"/>
    </row>
    <row r="163" spans="1:3" ht="13" x14ac:dyDescent="0.15">
      <c r="A163" s="10"/>
      <c r="B163" s="13"/>
      <c r="C163" s="13"/>
    </row>
    <row r="164" spans="1:3" ht="13" x14ac:dyDescent="0.15">
      <c r="A164" s="10"/>
      <c r="B164" s="13"/>
      <c r="C164" s="13"/>
    </row>
    <row r="165" spans="1:3" ht="13" x14ac:dyDescent="0.15">
      <c r="A165" s="10"/>
      <c r="B165" s="13"/>
      <c r="C165" s="13"/>
    </row>
    <row r="166" spans="1:3" ht="13" x14ac:dyDescent="0.15">
      <c r="A166" s="10"/>
      <c r="B166" s="13"/>
      <c r="C166" s="13"/>
    </row>
    <row r="167" spans="1:3" ht="13" x14ac:dyDescent="0.15">
      <c r="A167" s="10"/>
      <c r="B167" s="13"/>
      <c r="C167" s="13"/>
    </row>
    <row r="168" spans="1:3" ht="13" x14ac:dyDescent="0.15">
      <c r="A168" s="10"/>
      <c r="B168" s="13"/>
      <c r="C168" s="13"/>
    </row>
    <row r="169" spans="1:3" ht="13" x14ac:dyDescent="0.15">
      <c r="A169" s="10"/>
      <c r="B169" s="13"/>
      <c r="C169" s="13"/>
    </row>
    <row r="170" spans="1:3" ht="13" x14ac:dyDescent="0.15">
      <c r="A170" s="10"/>
      <c r="B170" s="13"/>
      <c r="C170" s="13"/>
    </row>
    <row r="171" spans="1:3" ht="13" x14ac:dyDescent="0.15">
      <c r="A171" s="10"/>
      <c r="B171" s="13"/>
      <c r="C171" s="13"/>
    </row>
    <row r="172" spans="1:3" ht="13" x14ac:dyDescent="0.15">
      <c r="A172" s="10"/>
      <c r="B172" s="13"/>
      <c r="C172" s="13"/>
    </row>
    <row r="173" spans="1:3" ht="13" x14ac:dyDescent="0.15">
      <c r="A173" s="10"/>
      <c r="B173" s="13"/>
      <c r="C173" s="13"/>
    </row>
    <row r="174" spans="1:3" ht="13" x14ac:dyDescent="0.15">
      <c r="A174" s="10"/>
      <c r="B174" s="13"/>
      <c r="C174" s="13"/>
    </row>
    <row r="175" spans="1:3" ht="13" x14ac:dyDescent="0.15">
      <c r="A175" s="10"/>
      <c r="B175" s="13"/>
      <c r="C175" s="13"/>
    </row>
    <row r="176" spans="1:3" ht="13" x14ac:dyDescent="0.15">
      <c r="A176" s="10"/>
      <c r="B176" s="13"/>
      <c r="C176" s="13"/>
    </row>
    <row r="177" spans="1:3" ht="13" x14ac:dyDescent="0.15">
      <c r="A177" s="10"/>
      <c r="B177" s="13"/>
      <c r="C177" s="13"/>
    </row>
    <row r="178" spans="1:3" ht="13" x14ac:dyDescent="0.15">
      <c r="A178" s="10"/>
      <c r="B178" s="13"/>
      <c r="C178" s="13"/>
    </row>
    <row r="179" spans="1:3" ht="13" x14ac:dyDescent="0.15">
      <c r="A179" s="10"/>
      <c r="B179" s="13"/>
      <c r="C179" s="13"/>
    </row>
    <row r="180" spans="1:3" ht="13" x14ac:dyDescent="0.15">
      <c r="A180" s="10"/>
      <c r="B180" s="13"/>
      <c r="C180" s="13"/>
    </row>
    <row r="181" spans="1:3" ht="13" x14ac:dyDescent="0.15">
      <c r="A181" s="10"/>
      <c r="B181" s="13"/>
      <c r="C181" s="13"/>
    </row>
    <row r="182" spans="1:3" ht="13" x14ac:dyDescent="0.15">
      <c r="A182" s="10"/>
      <c r="B182" s="13"/>
      <c r="C182" s="13"/>
    </row>
    <row r="183" spans="1:3" ht="13" x14ac:dyDescent="0.15">
      <c r="A183" s="10"/>
      <c r="B183" s="13"/>
      <c r="C183" s="13"/>
    </row>
    <row r="184" spans="1:3" ht="13" x14ac:dyDescent="0.15">
      <c r="A184" s="10"/>
      <c r="B184" s="13"/>
      <c r="C184" s="13"/>
    </row>
    <row r="185" spans="1:3" ht="13" x14ac:dyDescent="0.15">
      <c r="A185" s="10"/>
      <c r="B185" s="13"/>
      <c r="C185" s="13"/>
    </row>
    <row r="186" spans="1:3" ht="13" x14ac:dyDescent="0.15">
      <c r="A186" s="10"/>
      <c r="B186" s="13"/>
      <c r="C186" s="13"/>
    </row>
    <row r="187" spans="1:3" ht="13" x14ac:dyDescent="0.15">
      <c r="A187" s="10"/>
      <c r="B187" s="13"/>
      <c r="C187" s="13"/>
    </row>
    <row r="188" spans="1:3" ht="13" x14ac:dyDescent="0.15">
      <c r="A188" s="10"/>
      <c r="B188" s="13"/>
      <c r="C188" s="13"/>
    </row>
    <row r="189" spans="1:3" ht="13" x14ac:dyDescent="0.15">
      <c r="A189" s="10"/>
      <c r="B189" s="13"/>
      <c r="C189" s="13"/>
    </row>
    <row r="190" spans="1:3" ht="13" x14ac:dyDescent="0.15">
      <c r="A190" s="10"/>
      <c r="B190" s="13"/>
      <c r="C190" s="13"/>
    </row>
    <row r="191" spans="1:3" ht="13" x14ac:dyDescent="0.15">
      <c r="A191" s="10"/>
      <c r="B191" s="13"/>
      <c r="C191" s="13"/>
    </row>
    <row r="192" spans="1:3" ht="13" x14ac:dyDescent="0.15">
      <c r="A192" s="10"/>
      <c r="B192" s="13"/>
      <c r="C192" s="13"/>
    </row>
    <row r="193" spans="1:3" ht="13" x14ac:dyDescent="0.15">
      <c r="A193" s="10"/>
      <c r="B193" s="13"/>
      <c r="C193" s="13"/>
    </row>
    <row r="194" spans="1:3" ht="13" x14ac:dyDescent="0.15">
      <c r="A194" s="10"/>
      <c r="B194" s="13"/>
      <c r="C194" s="13"/>
    </row>
    <row r="195" spans="1:3" ht="13" x14ac:dyDescent="0.15">
      <c r="A195" s="10"/>
      <c r="B195" s="13"/>
      <c r="C195" s="13"/>
    </row>
    <row r="196" spans="1:3" ht="13" x14ac:dyDescent="0.15">
      <c r="A196" s="10"/>
      <c r="B196" s="13"/>
      <c r="C196" s="13"/>
    </row>
    <row r="197" spans="1:3" ht="13" x14ac:dyDescent="0.15">
      <c r="A197" s="10"/>
      <c r="B197" s="13"/>
      <c r="C197" s="13"/>
    </row>
    <row r="198" spans="1:3" ht="13" x14ac:dyDescent="0.15">
      <c r="A198" s="10"/>
      <c r="B198" s="13"/>
      <c r="C198" s="13"/>
    </row>
    <row r="199" spans="1:3" ht="13" x14ac:dyDescent="0.15">
      <c r="A199" s="10"/>
      <c r="B199" s="13"/>
      <c r="C199" s="13"/>
    </row>
    <row r="200" spans="1:3" ht="13" x14ac:dyDescent="0.15">
      <c r="A200" s="10"/>
      <c r="B200" s="13"/>
      <c r="C200" s="13"/>
    </row>
    <row r="201" spans="1:3" ht="13" x14ac:dyDescent="0.15">
      <c r="A201" s="10"/>
      <c r="B201" s="13"/>
      <c r="C201" s="13"/>
    </row>
    <row r="202" spans="1:3" ht="13" x14ac:dyDescent="0.15">
      <c r="A202" s="10"/>
      <c r="B202" s="13"/>
      <c r="C202" s="13"/>
    </row>
    <row r="203" spans="1:3" ht="13" x14ac:dyDescent="0.15">
      <c r="A203" s="10"/>
      <c r="B203" s="13"/>
      <c r="C203" s="13"/>
    </row>
    <row r="204" spans="1:3" ht="13" x14ac:dyDescent="0.15">
      <c r="A204" s="10"/>
      <c r="B204" s="13"/>
      <c r="C204" s="13"/>
    </row>
    <row r="205" spans="1:3" ht="13" x14ac:dyDescent="0.15">
      <c r="A205" s="10"/>
      <c r="B205" s="13"/>
      <c r="C205" s="13"/>
    </row>
    <row r="206" spans="1:3" ht="13" x14ac:dyDescent="0.15">
      <c r="A206" s="10"/>
      <c r="B206" s="13"/>
      <c r="C206" s="13"/>
    </row>
    <row r="207" spans="1:3" ht="13" x14ac:dyDescent="0.15">
      <c r="A207" s="10"/>
      <c r="B207" s="13"/>
      <c r="C207" s="13"/>
    </row>
    <row r="208" spans="1:3" ht="13" x14ac:dyDescent="0.15">
      <c r="A208" s="10"/>
      <c r="B208" s="13"/>
      <c r="C208" s="13"/>
    </row>
    <row r="209" spans="1:3" ht="13" x14ac:dyDescent="0.15">
      <c r="A209" s="10"/>
      <c r="B209" s="13"/>
      <c r="C209" s="13"/>
    </row>
    <row r="210" spans="1:3" ht="13" x14ac:dyDescent="0.15">
      <c r="A210" s="10"/>
      <c r="B210" s="13"/>
      <c r="C210" s="13"/>
    </row>
    <row r="211" spans="1:3" ht="13" x14ac:dyDescent="0.15">
      <c r="A211" s="10"/>
      <c r="B211" s="13"/>
      <c r="C211" s="13"/>
    </row>
    <row r="212" spans="1:3" ht="13" x14ac:dyDescent="0.15">
      <c r="A212" s="10"/>
      <c r="B212" s="13"/>
      <c r="C212" s="13"/>
    </row>
    <row r="213" spans="1:3" ht="13" x14ac:dyDescent="0.15">
      <c r="A213" s="10"/>
      <c r="B213" s="13"/>
      <c r="C213" s="13"/>
    </row>
    <row r="214" spans="1:3" ht="13" x14ac:dyDescent="0.15">
      <c r="A214" s="10"/>
      <c r="B214" s="13"/>
      <c r="C214" s="13"/>
    </row>
    <row r="215" spans="1:3" ht="13" x14ac:dyDescent="0.15">
      <c r="A215" s="10"/>
      <c r="B215" s="13"/>
      <c r="C215" s="13"/>
    </row>
    <row r="216" spans="1:3" ht="13" x14ac:dyDescent="0.15">
      <c r="A216" s="10"/>
      <c r="B216" s="13"/>
      <c r="C216" s="13"/>
    </row>
    <row r="217" spans="1:3" ht="13" x14ac:dyDescent="0.15">
      <c r="A217" s="10"/>
      <c r="B217" s="13"/>
      <c r="C217" s="13"/>
    </row>
    <row r="218" spans="1:3" ht="13" x14ac:dyDescent="0.15">
      <c r="A218" s="10"/>
      <c r="B218" s="13"/>
      <c r="C218" s="13"/>
    </row>
    <row r="219" spans="1:3" ht="13" x14ac:dyDescent="0.15">
      <c r="A219" s="10"/>
      <c r="B219" s="13"/>
      <c r="C219" s="13"/>
    </row>
    <row r="220" spans="1:3" ht="13" x14ac:dyDescent="0.15">
      <c r="A220" s="10"/>
      <c r="B220" s="13"/>
      <c r="C220" s="13"/>
    </row>
    <row r="221" spans="1:3" ht="13" x14ac:dyDescent="0.15">
      <c r="A221" s="10"/>
      <c r="B221" s="13"/>
      <c r="C221" s="13"/>
    </row>
    <row r="222" spans="1:3" ht="13" x14ac:dyDescent="0.15">
      <c r="A222" s="10"/>
      <c r="B222" s="13"/>
      <c r="C222" s="13"/>
    </row>
    <row r="223" spans="1:3" ht="13" x14ac:dyDescent="0.15">
      <c r="A223" s="10"/>
      <c r="B223" s="13"/>
      <c r="C223" s="13"/>
    </row>
    <row r="224" spans="1:3" ht="13" x14ac:dyDescent="0.15">
      <c r="A224" s="10"/>
      <c r="B224" s="13"/>
      <c r="C224" s="13"/>
    </row>
    <row r="225" spans="1:3" ht="13" x14ac:dyDescent="0.15">
      <c r="A225" s="10"/>
      <c r="B225" s="13"/>
      <c r="C225" s="13"/>
    </row>
    <row r="226" spans="1:3" ht="13" x14ac:dyDescent="0.15">
      <c r="A226" s="10"/>
      <c r="B226" s="13"/>
      <c r="C226" s="13"/>
    </row>
    <row r="227" spans="1:3" ht="13" x14ac:dyDescent="0.15">
      <c r="A227" s="10"/>
      <c r="B227" s="13"/>
      <c r="C227" s="13"/>
    </row>
    <row r="228" spans="1:3" ht="13" x14ac:dyDescent="0.15">
      <c r="A228" s="10"/>
      <c r="B228" s="13"/>
      <c r="C228" s="13"/>
    </row>
    <row r="229" spans="1:3" ht="13" x14ac:dyDescent="0.15">
      <c r="A229" s="10"/>
      <c r="B229" s="13"/>
      <c r="C229" s="13"/>
    </row>
    <row r="230" spans="1:3" ht="13" x14ac:dyDescent="0.15">
      <c r="A230" s="10"/>
      <c r="B230" s="13"/>
      <c r="C230" s="13"/>
    </row>
    <row r="231" spans="1:3" ht="13" x14ac:dyDescent="0.15">
      <c r="A231" s="10"/>
      <c r="B231" s="13"/>
      <c r="C231" s="13"/>
    </row>
    <row r="232" spans="1:3" ht="13" x14ac:dyDescent="0.15">
      <c r="A232" s="10"/>
      <c r="B232" s="13"/>
      <c r="C232" s="13"/>
    </row>
    <row r="233" spans="1:3" ht="13" x14ac:dyDescent="0.15">
      <c r="A233" s="10"/>
      <c r="B233" s="13"/>
      <c r="C233" s="13"/>
    </row>
    <row r="234" spans="1:3" ht="13" x14ac:dyDescent="0.15">
      <c r="A234" s="10"/>
      <c r="B234" s="13"/>
      <c r="C234" s="13"/>
    </row>
    <row r="235" spans="1:3" ht="13" x14ac:dyDescent="0.15">
      <c r="A235" s="10"/>
      <c r="B235" s="13"/>
      <c r="C235" s="13"/>
    </row>
    <row r="236" spans="1:3" ht="13" x14ac:dyDescent="0.15">
      <c r="A236" s="10"/>
      <c r="B236" s="13"/>
      <c r="C236" s="13"/>
    </row>
    <row r="237" spans="1:3" ht="13" x14ac:dyDescent="0.15">
      <c r="A237" s="10"/>
      <c r="B237" s="13"/>
      <c r="C237" s="13"/>
    </row>
    <row r="238" spans="1:3" ht="13" x14ac:dyDescent="0.15">
      <c r="A238" s="10"/>
      <c r="B238" s="13"/>
      <c r="C238" s="13"/>
    </row>
    <row r="239" spans="1:3" ht="13" x14ac:dyDescent="0.15">
      <c r="A239" s="10"/>
      <c r="B239" s="13"/>
      <c r="C239" s="13"/>
    </row>
    <row r="240" spans="1:3" ht="13" x14ac:dyDescent="0.15">
      <c r="A240" s="10"/>
      <c r="B240" s="13"/>
      <c r="C240" s="13"/>
    </row>
    <row r="241" spans="1:3" ht="13" x14ac:dyDescent="0.15">
      <c r="A241" s="10"/>
      <c r="B241" s="13"/>
      <c r="C241" s="13"/>
    </row>
    <row r="242" spans="1:3" ht="13" x14ac:dyDescent="0.15">
      <c r="A242" s="10"/>
      <c r="B242" s="13"/>
      <c r="C242" s="13"/>
    </row>
    <row r="243" spans="1:3" ht="13" x14ac:dyDescent="0.15">
      <c r="A243" s="10"/>
      <c r="B243" s="13"/>
      <c r="C243" s="13"/>
    </row>
    <row r="244" spans="1:3" ht="13" x14ac:dyDescent="0.15">
      <c r="A244" s="10"/>
      <c r="B244" s="13"/>
      <c r="C244" s="13"/>
    </row>
    <row r="245" spans="1:3" ht="13" x14ac:dyDescent="0.15">
      <c r="A245" s="10"/>
      <c r="B245" s="13"/>
      <c r="C245" s="13"/>
    </row>
    <row r="246" spans="1:3" ht="13" x14ac:dyDescent="0.15">
      <c r="A246" s="10"/>
      <c r="B246" s="13"/>
      <c r="C246" s="13"/>
    </row>
    <row r="247" spans="1:3" ht="13" x14ac:dyDescent="0.15">
      <c r="A247" s="10"/>
      <c r="B247" s="13"/>
      <c r="C247" s="13"/>
    </row>
    <row r="248" spans="1:3" ht="13" x14ac:dyDescent="0.15">
      <c r="A248" s="10"/>
      <c r="B248" s="13"/>
      <c r="C248" s="13"/>
    </row>
    <row r="249" spans="1:3" ht="13" x14ac:dyDescent="0.15">
      <c r="A249" s="10"/>
      <c r="B249" s="13"/>
      <c r="C249" s="13"/>
    </row>
    <row r="250" spans="1:3" ht="13" x14ac:dyDescent="0.15">
      <c r="A250" s="10"/>
      <c r="B250" s="13"/>
      <c r="C250" s="13"/>
    </row>
    <row r="251" spans="1:3" ht="13" x14ac:dyDescent="0.15">
      <c r="A251" s="10"/>
      <c r="B251" s="13"/>
      <c r="C251" s="13"/>
    </row>
    <row r="252" spans="1:3" ht="13" x14ac:dyDescent="0.15">
      <c r="A252" s="10"/>
      <c r="B252" s="13"/>
      <c r="C252" s="13"/>
    </row>
    <row r="253" spans="1:3" ht="13" x14ac:dyDescent="0.15">
      <c r="A253" s="10"/>
      <c r="B253" s="13"/>
      <c r="C253" s="13"/>
    </row>
    <row r="254" spans="1:3" ht="13" x14ac:dyDescent="0.15">
      <c r="A254" s="10"/>
      <c r="B254" s="13"/>
      <c r="C254" s="13"/>
    </row>
    <row r="255" spans="1:3" ht="13" x14ac:dyDescent="0.15">
      <c r="A255" s="10"/>
      <c r="B255" s="13"/>
      <c r="C255" s="13"/>
    </row>
    <row r="256" spans="1:3" ht="13" x14ac:dyDescent="0.15">
      <c r="A256" s="10"/>
      <c r="B256" s="13"/>
      <c r="C256" s="13"/>
    </row>
    <row r="257" spans="1:3" ht="13" x14ac:dyDescent="0.15">
      <c r="A257" s="10"/>
      <c r="B257" s="13"/>
      <c r="C257" s="13"/>
    </row>
    <row r="258" spans="1:3" ht="13" x14ac:dyDescent="0.15">
      <c r="A258" s="10"/>
      <c r="B258" s="13"/>
      <c r="C258" s="13"/>
    </row>
    <row r="259" spans="1:3" ht="13" x14ac:dyDescent="0.15">
      <c r="A259" s="10"/>
      <c r="B259" s="13"/>
      <c r="C259" s="13"/>
    </row>
    <row r="260" spans="1:3" ht="13" x14ac:dyDescent="0.15">
      <c r="A260" s="10"/>
      <c r="B260" s="13"/>
      <c r="C260" s="13"/>
    </row>
    <row r="261" spans="1:3" ht="13" x14ac:dyDescent="0.15">
      <c r="A261" s="10"/>
      <c r="B261" s="13"/>
      <c r="C261" s="13"/>
    </row>
    <row r="262" spans="1:3" ht="13" x14ac:dyDescent="0.15">
      <c r="A262" s="10"/>
      <c r="B262" s="13"/>
      <c r="C262" s="13"/>
    </row>
    <row r="263" spans="1:3" ht="13" x14ac:dyDescent="0.15">
      <c r="A263" s="10"/>
      <c r="B263" s="13"/>
      <c r="C263" s="13"/>
    </row>
    <row r="264" spans="1:3" ht="13" x14ac:dyDescent="0.15">
      <c r="A264" s="10"/>
      <c r="B264" s="13"/>
      <c r="C264" s="13"/>
    </row>
    <row r="265" spans="1:3" ht="13" x14ac:dyDescent="0.15">
      <c r="A265" s="10"/>
      <c r="B265" s="13"/>
      <c r="C265" s="13"/>
    </row>
    <row r="266" spans="1:3" ht="13" x14ac:dyDescent="0.15">
      <c r="A266" s="10"/>
      <c r="B266" s="13"/>
      <c r="C266" s="13"/>
    </row>
    <row r="267" spans="1:3" ht="13" x14ac:dyDescent="0.15">
      <c r="A267" s="10"/>
      <c r="B267" s="13"/>
      <c r="C267" s="13"/>
    </row>
    <row r="268" spans="1:3" ht="13" x14ac:dyDescent="0.15">
      <c r="A268" s="10"/>
      <c r="B268" s="13"/>
      <c r="C268" s="13"/>
    </row>
    <row r="269" spans="1:3" ht="13" x14ac:dyDescent="0.15">
      <c r="A269" s="10"/>
      <c r="B269" s="13"/>
      <c r="C269" s="13"/>
    </row>
    <row r="270" spans="1:3" ht="13" x14ac:dyDescent="0.15">
      <c r="A270" s="10"/>
      <c r="B270" s="13"/>
      <c r="C270" s="13"/>
    </row>
    <row r="271" spans="1:3" ht="13" x14ac:dyDescent="0.15">
      <c r="A271" s="10"/>
      <c r="B271" s="13"/>
      <c r="C271" s="13"/>
    </row>
    <row r="272" spans="1:3" ht="13" x14ac:dyDescent="0.15">
      <c r="A272" s="10"/>
      <c r="B272" s="13"/>
      <c r="C272" s="13"/>
    </row>
    <row r="273" spans="1:3" ht="13" x14ac:dyDescent="0.15">
      <c r="A273" s="10"/>
      <c r="B273" s="13"/>
      <c r="C273" s="13"/>
    </row>
    <row r="274" spans="1:3" ht="13" x14ac:dyDescent="0.15">
      <c r="A274" s="10"/>
      <c r="B274" s="13"/>
      <c r="C274" s="13"/>
    </row>
    <row r="275" spans="1:3" ht="13" x14ac:dyDescent="0.15">
      <c r="A275" s="10"/>
      <c r="B275" s="13"/>
      <c r="C275" s="13"/>
    </row>
    <row r="276" spans="1:3" ht="13" x14ac:dyDescent="0.15">
      <c r="A276" s="10"/>
      <c r="B276" s="13"/>
      <c r="C276" s="13"/>
    </row>
    <row r="277" spans="1:3" ht="13" x14ac:dyDescent="0.15">
      <c r="A277" s="10"/>
      <c r="B277" s="13"/>
      <c r="C277" s="13"/>
    </row>
    <row r="278" spans="1:3" ht="13" x14ac:dyDescent="0.15">
      <c r="A278" s="10"/>
      <c r="B278" s="13"/>
      <c r="C278" s="13"/>
    </row>
    <row r="279" spans="1:3" ht="13" x14ac:dyDescent="0.15">
      <c r="A279" s="10"/>
      <c r="B279" s="13"/>
      <c r="C279" s="13"/>
    </row>
    <row r="280" spans="1:3" ht="13" x14ac:dyDescent="0.15">
      <c r="A280" s="10"/>
      <c r="B280" s="13"/>
      <c r="C280" s="13"/>
    </row>
    <row r="281" spans="1:3" ht="13" x14ac:dyDescent="0.15">
      <c r="A281" s="10"/>
      <c r="B281" s="13"/>
      <c r="C281" s="13"/>
    </row>
    <row r="282" spans="1:3" ht="13" x14ac:dyDescent="0.15">
      <c r="A282" s="10"/>
      <c r="B282" s="13"/>
      <c r="C282" s="13"/>
    </row>
    <row r="283" spans="1:3" ht="13" x14ac:dyDescent="0.15">
      <c r="A283" s="10"/>
      <c r="B283" s="13"/>
      <c r="C283" s="13"/>
    </row>
    <row r="284" spans="1:3" ht="13" x14ac:dyDescent="0.15">
      <c r="A284" s="10"/>
      <c r="B284" s="13"/>
      <c r="C284" s="13"/>
    </row>
    <row r="285" spans="1:3" ht="13" x14ac:dyDescent="0.15">
      <c r="A285" s="10"/>
      <c r="B285" s="13"/>
      <c r="C285" s="13"/>
    </row>
    <row r="286" spans="1:3" ht="13" x14ac:dyDescent="0.15">
      <c r="A286" s="10"/>
      <c r="B286" s="13"/>
      <c r="C286" s="13"/>
    </row>
    <row r="287" spans="1:3" ht="13" x14ac:dyDescent="0.15">
      <c r="A287" s="10"/>
      <c r="B287" s="13"/>
      <c r="C287" s="13"/>
    </row>
    <row r="288" spans="1:3" ht="13" x14ac:dyDescent="0.15">
      <c r="A288" s="10"/>
      <c r="B288" s="13"/>
      <c r="C288" s="13"/>
    </row>
    <row r="289" spans="1:3" ht="13" x14ac:dyDescent="0.15">
      <c r="A289" s="10"/>
      <c r="B289" s="13"/>
      <c r="C289" s="13"/>
    </row>
    <row r="290" spans="1:3" ht="13" x14ac:dyDescent="0.15">
      <c r="A290" s="10"/>
      <c r="B290" s="13"/>
      <c r="C290" s="13"/>
    </row>
    <row r="291" spans="1:3" ht="13" x14ac:dyDescent="0.15">
      <c r="A291" s="10"/>
      <c r="B291" s="13"/>
      <c r="C291" s="13"/>
    </row>
    <row r="292" spans="1:3" ht="13" x14ac:dyDescent="0.15">
      <c r="A292" s="10"/>
      <c r="B292" s="13"/>
      <c r="C292" s="13"/>
    </row>
    <row r="293" spans="1:3" ht="13" x14ac:dyDescent="0.15">
      <c r="A293" s="10"/>
      <c r="B293" s="13"/>
      <c r="C293" s="13"/>
    </row>
    <row r="294" spans="1:3" ht="13" x14ac:dyDescent="0.15">
      <c r="A294" s="10"/>
      <c r="B294" s="13"/>
      <c r="C294" s="13"/>
    </row>
    <row r="295" spans="1:3" ht="13" x14ac:dyDescent="0.15">
      <c r="A295" s="10"/>
      <c r="B295" s="13"/>
      <c r="C295" s="13"/>
    </row>
    <row r="296" spans="1:3" ht="13" x14ac:dyDescent="0.15">
      <c r="A296" s="10"/>
      <c r="B296" s="13"/>
      <c r="C296" s="13"/>
    </row>
    <row r="297" spans="1:3" ht="13" x14ac:dyDescent="0.15">
      <c r="A297" s="10"/>
      <c r="B297" s="13"/>
      <c r="C297" s="13"/>
    </row>
    <row r="298" spans="1:3" ht="13" x14ac:dyDescent="0.15">
      <c r="A298" s="10"/>
      <c r="B298" s="13"/>
      <c r="C298" s="13"/>
    </row>
    <row r="299" spans="1:3" ht="13" x14ac:dyDescent="0.15">
      <c r="A299" s="10"/>
      <c r="B299" s="13"/>
      <c r="C299" s="13"/>
    </row>
    <row r="300" spans="1:3" ht="13" x14ac:dyDescent="0.15">
      <c r="A300" s="10"/>
      <c r="B300" s="13"/>
      <c r="C300" s="13"/>
    </row>
    <row r="301" spans="1:3" ht="13" x14ac:dyDescent="0.15">
      <c r="A301" s="10"/>
      <c r="B301" s="13"/>
      <c r="C301" s="13"/>
    </row>
    <row r="302" spans="1:3" ht="13" x14ac:dyDescent="0.15">
      <c r="A302" s="10"/>
      <c r="B302" s="13"/>
      <c r="C302" s="13"/>
    </row>
    <row r="303" spans="1:3" ht="13" x14ac:dyDescent="0.15">
      <c r="A303" s="10"/>
      <c r="B303" s="13"/>
      <c r="C303" s="13"/>
    </row>
    <row r="304" spans="1:3" ht="13" x14ac:dyDescent="0.15">
      <c r="A304" s="10"/>
      <c r="B304" s="13"/>
      <c r="C304" s="13"/>
    </row>
    <row r="305" spans="1:3" ht="13" x14ac:dyDescent="0.15">
      <c r="A305" s="10"/>
      <c r="B305" s="13"/>
      <c r="C305" s="13"/>
    </row>
    <row r="306" spans="1:3" ht="13" x14ac:dyDescent="0.15">
      <c r="A306" s="10"/>
      <c r="B306" s="13"/>
      <c r="C306" s="13"/>
    </row>
    <row r="307" spans="1:3" ht="13" x14ac:dyDescent="0.15">
      <c r="A307" s="10"/>
      <c r="B307" s="13"/>
      <c r="C307" s="13"/>
    </row>
    <row r="308" spans="1:3" ht="13" x14ac:dyDescent="0.15">
      <c r="A308" s="10"/>
      <c r="B308" s="13"/>
      <c r="C308" s="13"/>
    </row>
    <row r="309" spans="1:3" ht="13" x14ac:dyDescent="0.15">
      <c r="A309" s="10"/>
      <c r="B309" s="13"/>
      <c r="C309" s="13"/>
    </row>
    <row r="310" spans="1:3" ht="13" x14ac:dyDescent="0.15">
      <c r="A310" s="10"/>
      <c r="B310" s="13"/>
      <c r="C310" s="13"/>
    </row>
    <row r="311" spans="1:3" ht="13" x14ac:dyDescent="0.15">
      <c r="A311" s="10"/>
      <c r="B311" s="13"/>
      <c r="C311" s="13"/>
    </row>
    <row r="312" spans="1:3" ht="13" x14ac:dyDescent="0.15">
      <c r="A312" s="10"/>
      <c r="B312" s="13"/>
      <c r="C312" s="13"/>
    </row>
    <row r="313" spans="1:3" ht="13" x14ac:dyDescent="0.15">
      <c r="A313" s="10"/>
      <c r="B313" s="13"/>
      <c r="C313" s="13"/>
    </row>
    <row r="314" spans="1:3" ht="13" x14ac:dyDescent="0.15">
      <c r="A314" s="10"/>
      <c r="B314" s="13"/>
      <c r="C314" s="13"/>
    </row>
    <row r="315" spans="1:3" ht="13" x14ac:dyDescent="0.15">
      <c r="A315" s="10"/>
      <c r="B315" s="13"/>
      <c r="C315" s="13"/>
    </row>
    <row r="316" spans="1:3" ht="13" x14ac:dyDescent="0.15">
      <c r="A316" s="10"/>
      <c r="B316" s="13"/>
      <c r="C316" s="13"/>
    </row>
    <row r="317" spans="1:3" ht="13" x14ac:dyDescent="0.15">
      <c r="A317" s="10"/>
      <c r="B317" s="13"/>
      <c r="C317" s="13"/>
    </row>
    <row r="318" spans="1:3" ht="13" x14ac:dyDescent="0.15">
      <c r="A318" s="10"/>
      <c r="B318" s="13"/>
      <c r="C318" s="13"/>
    </row>
    <row r="319" spans="1:3" ht="13" x14ac:dyDescent="0.15">
      <c r="A319" s="10"/>
      <c r="B319" s="13"/>
      <c r="C319" s="13"/>
    </row>
    <row r="320" spans="1:3" ht="13" x14ac:dyDescent="0.15">
      <c r="A320" s="10"/>
      <c r="B320" s="13"/>
      <c r="C320" s="13"/>
    </row>
    <row r="321" spans="1:3" ht="13" x14ac:dyDescent="0.15">
      <c r="A321" s="10"/>
      <c r="B321" s="13"/>
      <c r="C321" s="13"/>
    </row>
    <row r="322" spans="1:3" ht="13" x14ac:dyDescent="0.15">
      <c r="A322" s="10"/>
      <c r="B322" s="13"/>
      <c r="C322" s="13"/>
    </row>
    <row r="323" spans="1:3" ht="13" x14ac:dyDescent="0.15">
      <c r="A323" s="10"/>
      <c r="B323" s="13"/>
      <c r="C323" s="13"/>
    </row>
    <row r="324" spans="1:3" ht="13" x14ac:dyDescent="0.15">
      <c r="A324" s="10"/>
      <c r="B324" s="13"/>
      <c r="C324" s="13"/>
    </row>
    <row r="325" spans="1:3" ht="13" x14ac:dyDescent="0.15">
      <c r="A325" s="10"/>
      <c r="B325" s="13"/>
      <c r="C325" s="13"/>
    </row>
    <row r="326" spans="1:3" ht="13" x14ac:dyDescent="0.15">
      <c r="A326" s="10"/>
      <c r="B326" s="13"/>
      <c r="C326" s="13"/>
    </row>
    <row r="327" spans="1:3" ht="13" x14ac:dyDescent="0.15">
      <c r="A327" s="10"/>
      <c r="B327" s="13"/>
      <c r="C327" s="13"/>
    </row>
    <row r="328" spans="1:3" ht="13" x14ac:dyDescent="0.15">
      <c r="A328" s="10"/>
      <c r="B328" s="13"/>
      <c r="C328" s="13"/>
    </row>
    <row r="329" spans="1:3" ht="13" x14ac:dyDescent="0.15">
      <c r="A329" s="10"/>
      <c r="B329" s="13"/>
      <c r="C329" s="13"/>
    </row>
    <row r="330" spans="1:3" ht="13" x14ac:dyDescent="0.15">
      <c r="A330" s="10"/>
      <c r="B330" s="13"/>
      <c r="C330" s="13"/>
    </row>
    <row r="331" spans="1:3" ht="13" x14ac:dyDescent="0.15">
      <c r="A331" s="10"/>
      <c r="B331" s="13"/>
      <c r="C331" s="13"/>
    </row>
    <row r="332" spans="1:3" ht="13" x14ac:dyDescent="0.15">
      <c r="A332" s="10"/>
      <c r="B332" s="13"/>
      <c r="C332" s="13"/>
    </row>
    <row r="333" spans="1:3" ht="13" x14ac:dyDescent="0.15">
      <c r="A333" s="10"/>
      <c r="B333" s="13"/>
      <c r="C333" s="13"/>
    </row>
    <row r="334" spans="1:3" ht="13" x14ac:dyDescent="0.15">
      <c r="A334" s="10"/>
      <c r="B334" s="13"/>
      <c r="C334" s="13"/>
    </row>
    <row r="335" spans="1:3" ht="13" x14ac:dyDescent="0.15">
      <c r="A335" s="10"/>
      <c r="B335" s="13"/>
      <c r="C335" s="13"/>
    </row>
    <row r="336" spans="1:3" ht="13" x14ac:dyDescent="0.15">
      <c r="A336" s="10"/>
      <c r="B336" s="13"/>
      <c r="C336" s="13"/>
    </row>
    <row r="337" spans="1:3" ht="13" x14ac:dyDescent="0.15">
      <c r="A337" s="10"/>
      <c r="B337" s="13"/>
      <c r="C337" s="13"/>
    </row>
    <row r="338" spans="1:3" ht="13" x14ac:dyDescent="0.15">
      <c r="A338" s="10"/>
      <c r="B338" s="13"/>
      <c r="C338" s="13"/>
    </row>
    <row r="339" spans="1:3" ht="13" x14ac:dyDescent="0.15">
      <c r="A339" s="10"/>
      <c r="B339" s="13"/>
      <c r="C339" s="13"/>
    </row>
    <row r="340" spans="1:3" ht="13" x14ac:dyDescent="0.15">
      <c r="A340" s="10"/>
      <c r="B340" s="13"/>
      <c r="C340" s="13"/>
    </row>
    <row r="341" spans="1:3" ht="13" x14ac:dyDescent="0.15">
      <c r="A341" s="10"/>
      <c r="B341" s="13"/>
      <c r="C341" s="13"/>
    </row>
    <row r="342" spans="1:3" ht="13" x14ac:dyDescent="0.15">
      <c r="A342" s="10"/>
      <c r="B342" s="13"/>
      <c r="C342" s="13"/>
    </row>
    <row r="343" spans="1:3" ht="13" x14ac:dyDescent="0.15">
      <c r="A343" s="10"/>
      <c r="B343" s="13"/>
      <c r="C343" s="13"/>
    </row>
    <row r="344" spans="1:3" ht="13" x14ac:dyDescent="0.15">
      <c r="A344" s="10"/>
      <c r="B344" s="13"/>
      <c r="C344" s="13"/>
    </row>
    <row r="345" spans="1:3" ht="13" x14ac:dyDescent="0.15">
      <c r="A345" s="10"/>
      <c r="B345" s="13"/>
      <c r="C345" s="13"/>
    </row>
    <row r="346" spans="1:3" ht="13" x14ac:dyDescent="0.15">
      <c r="A346" s="10"/>
      <c r="B346" s="13"/>
      <c r="C346" s="13"/>
    </row>
    <row r="347" spans="1:3" ht="13" x14ac:dyDescent="0.15">
      <c r="A347" s="10"/>
      <c r="B347" s="13"/>
      <c r="C347" s="13"/>
    </row>
    <row r="348" spans="1:3" ht="13" x14ac:dyDescent="0.15">
      <c r="A348" s="10"/>
      <c r="B348" s="13"/>
      <c r="C348" s="13"/>
    </row>
    <row r="349" spans="1:3" ht="13" x14ac:dyDescent="0.15">
      <c r="A349" s="10"/>
      <c r="B349" s="13"/>
      <c r="C349" s="13"/>
    </row>
    <row r="350" spans="1:3" ht="13" x14ac:dyDescent="0.15">
      <c r="A350" s="10"/>
      <c r="B350" s="13"/>
      <c r="C350" s="13"/>
    </row>
    <row r="351" spans="1:3" ht="13" x14ac:dyDescent="0.15">
      <c r="A351" s="10"/>
      <c r="B351" s="13"/>
      <c r="C351" s="13"/>
    </row>
    <row r="352" spans="1:3" ht="13" x14ac:dyDescent="0.15">
      <c r="A352" s="10"/>
      <c r="B352" s="13"/>
      <c r="C352" s="13"/>
    </row>
    <row r="353" spans="1:3" ht="13" x14ac:dyDescent="0.15">
      <c r="A353" s="10"/>
      <c r="B353" s="13"/>
      <c r="C353" s="13"/>
    </row>
    <row r="354" spans="1:3" ht="13" x14ac:dyDescent="0.15">
      <c r="A354" s="10"/>
      <c r="B354" s="13"/>
      <c r="C354" s="13"/>
    </row>
    <row r="355" spans="1:3" ht="13" x14ac:dyDescent="0.15">
      <c r="A355" s="10"/>
      <c r="B355" s="13"/>
      <c r="C355" s="13"/>
    </row>
    <row r="356" spans="1:3" ht="13" x14ac:dyDescent="0.15">
      <c r="A356" s="10"/>
      <c r="B356" s="13"/>
      <c r="C356" s="13"/>
    </row>
    <row r="357" spans="1:3" ht="13" x14ac:dyDescent="0.15">
      <c r="A357" s="10"/>
      <c r="B357" s="13"/>
      <c r="C357" s="13"/>
    </row>
    <row r="358" spans="1:3" ht="13" x14ac:dyDescent="0.15">
      <c r="A358" s="10"/>
      <c r="B358" s="13"/>
      <c r="C358" s="13"/>
    </row>
    <row r="359" spans="1:3" ht="13" x14ac:dyDescent="0.15">
      <c r="A359" s="10"/>
      <c r="B359" s="13"/>
      <c r="C359" s="13"/>
    </row>
    <row r="360" spans="1:3" ht="13" x14ac:dyDescent="0.15">
      <c r="A360" s="10"/>
      <c r="B360" s="13"/>
      <c r="C360" s="13"/>
    </row>
    <row r="361" spans="1:3" ht="13" x14ac:dyDescent="0.15">
      <c r="A361" s="10"/>
      <c r="B361" s="13"/>
      <c r="C361" s="13"/>
    </row>
    <row r="362" spans="1:3" ht="13" x14ac:dyDescent="0.15">
      <c r="A362" s="10"/>
      <c r="B362" s="13"/>
      <c r="C362" s="13"/>
    </row>
    <row r="363" spans="1:3" ht="13" x14ac:dyDescent="0.15">
      <c r="A363" s="10"/>
      <c r="B363" s="13"/>
      <c r="C363" s="13"/>
    </row>
    <row r="364" spans="1:3" ht="13" x14ac:dyDescent="0.15">
      <c r="A364" s="10"/>
      <c r="B364" s="13"/>
      <c r="C364" s="13"/>
    </row>
    <row r="365" spans="1:3" ht="13" x14ac:dyDescent="0.15">
      <c r="A365" s="10"/>
      <c r="B365" s="13"/>
      <c r="C365" s="13"/>
    </row>
    <row r="366" spans="1:3" ht="13" x14ac:dyDescent="0.15">
      <c r="A366" s="10"/>
      <c r="B366" s="13"/>
      <c r="C366" s="13"/>
    </row>
    <row r="367" spans="1:3" ht="13" x14ac:dyDescent="0.15">
      <c r="A367" s="10"/>
      <c r="B367" s="13"/>
      <c r="C367" s="13"/>
    </row>
    <row r="368" spans="1:3" ht="13" x14ac:dyDescent="0.15">
      <c r="A368" s="10"/>
      <c r="B368" s="13"/>
      <c r="C368" s="13"/>
    </row>
    <row r="369" spans="1:3" ht="13" x14ac:dyDescent="0.15">
      <c r="A369" s="10"/>
      <c r="B369" s="13"/>
      <c r="C369" s="13"/>
    </row>
    <row r="370" spans="1:3" ht="13" x14ac:dyDescent="0.15">
      <c r="A370" s="10"/>
      <c r="B370" s="13"/>
      <c r="C370" s="13"/>
    </row>
    <row r="371" spans="1:3" ht="13" x14ac:dyDescent="0.15">
      <c r="A371" s="10"/>
      <c r="B371" s="13"/>
      <c r="C371" s="13"/>
    </row>
    <row r="372" spans="1:3" ht="13" x14ac:dyDescent="0.15">
      <c r="A372" s="10"/>
      <c r="B372" s="13"/>
      <c r="C372" s="13"/>
    </row>
    <row r="373" spans="1:3" ht="13" x14ac:dyDescent="0.15">
      <c r="A373" s="10"/>
      <c r="B373" s="13"/>
      <c r="C373" s="13"/>
    </row>
    <row r="374" spans="1:3" ht="13" x14ac:dyDescent="0.15">
      <c r="A374" s="10"/>
      <c r="B374" s="13"/>
      <c r="C374" s="13"/>
    </row>
    <row r="375" spans="1:3" ht="13" x14ac:dyDescent="0.15">
      <c r="A375" s="10"/>
      <c r="B375" s="13"/>
      <c r="C375" s="13"/>
    </row>
    <row r="376" spans="1:3" ht="13" x14ac:dyDescent="0.15">
      <c r="A376" s="10"/>
      <c r="B376" s="13"/>
      <c r="C376" s="13"/>
    </row>
    <row r="377" spans="1:3" ht="13" x14ac:dyDescent="0.15">
      <c r="A377" s="10"/>
      <c r="B377" s="13"/>
      <c r="C377" s="13"/>
    </row>
    <row r="378" spans="1:3" ht="13" x14ac:dyDescent="0.15">
      <c r="A378" s="10"/>
      <c r="B378" s="13"/>
      <c r="C378" s="13"/>
    </row>
    <row r="379" spans="1:3" ht="13" x14ac:dyDescent="0.15">
      <c r="A379" s="10"/>
      <c r="B379" s="13"/>
      <c r="C379" s="13"/>
    </row>
    <row r="380" spans="1:3" ht="13" x14ac:dyDescent="0.15">
      <c r="A380" s="10"/>
      <c r="B380" s="13"/>
      <c r="C380" s="13"/>
    </row>
    <row r="381" spans="1:3" ht="13" x14ac:dyDescent="0.15">
      <c r="A381" s="10"/>
      <c r="B381" s="13"/>
      <c r="C381" s="13"/>
    </row>
    <row r="382" spans="1:3" ht="13" x14ac:dyDescent="0.15">
      <c r="A382" s="10"/>
      <c r="B382" s="13"/>
      <c r="C382" s="13"/>
    </row>
    <row r="383" spans="1:3" ht="13" x14ac:dyDescent="0.15">
      <c r="A383" s="10"/>
      <c r="B383" s="13"/>
      <c r="C383" s="13"/>
    </row>
    <row r="384" spans="1:3" ht="13" x14ac:dyDescent="0.15">
      <c r="A384" s="10"/>
      <c r="B384" s="13"/>
      <c r="C384" s="13"/>
    </row>
    <row r="385" spans="1:3" ht="13" x14ac:dyDescent="0.15">
      <c r="A385" s="10"/>
      <c r="B385" s="13"/>
      <c r="C385" s="13"/>
    </row>
    <row r="386" spans="1:3" ht="13" x14ac:dyDescent="0.15">
      <c r="A386" s="10"/>
      <c r="B386" s="13"/>
      <c r="C386" s="13"/>
    </row>
    <row r="387" spans="1:3" ht="13" x14ac:dyDescent="0.15">
      <c r="A387" s="10"/>
      <c r="B387" s="13"/>
      <c r="C387" s="13"/>
    </row>
    <row r="388" spans="1:3" ht="13" x14ac:dyDescent="0.15">
      <c r="A388" s="10"/>
      <c r="B388" s="13"/>
      <c r="C388" s="13"/>
    </row>
    <row r="389" spans="1:3" ht="13" x14ac:dyDescent="0.15">
      <c r="A389" s="10"/>
      <c r="B389" s="13"/>
      <c r="C389" s="13"/>
    </row>
    <row r="390" spans="1:3" ht="13" x14ac:dyDescent="0.15">
      <c r="A390" s="10"/>
      <c r="B390" s="13"/>
      <c r="C390" s="13"/>
    </row>
    <row r="391" spans="1:3" ht="13" x14ac:dyDescent="0.15">
      <c r="A391" s="10"/>
      <c r="B391" s="13"/>
      <c r="C391" s="13"/>
    </row>
    <row r="392" spans="1:3" ht="13" x14ac:dyDescent="0.15">
      <c r="A392" s="10"/>
      <c r="B392" s="13"/>
      <c r="C392" s="13"/>
    </row>
    <row r="393" spans="1:3" ht="13" x14ac:dyDescent="0.15">
      <c r="A393" s="10"/>
      <c r="B393" s="13"/>
      <c r="C393" s="13"/>
    </row>
    <row r="394" spans="1:3" ht="13" x14ac:dyDescent="0.15">
      <c r="A394" s="10"/>
      <c r="B394" s="13"/>
      <c r="C394" s="13"/>
    </row>
    <row r="395" spans="1:3" ht="13" x14ac:dyDescent="0.15">
      <c r="A395" s="10"/>
      <c r="B395" s="13"/>
      <c r="C395" s="13"/>
    </row>
    <row r="396" spans="1:3" ht="13" x14ac:dyDescent="0.15">
      <c r="A396" s="10"/>
      <c r="B396" s="13"/>
      <c r="C396" s="13"/>
    </row>
    <row r="397" spans="1:3" ht="13" x14ac:dyDescent="0.15">
      <c r="A397" s="10"/>
      <c r="B397" s="13"/>
      <c r="C397" s="13"/>
    </row>
    <row r="398" spans="1:3" ht="13" x14ac:dyDescent="0.15">
      <c r="A398" s="10"/>
      <c r="B398" s="13"/>
      <c r="C398" s="13"/>
    </row>
    <row r="399" spans="1:3" ht="13" x14ac:dyDescent="0.15">
      <c r="A399" s="10"/>
      <c r="B399" s="13"/>
      <c r="C399" s="13"/>
    </row>
    <row r="400" spans="1:3" ht="13" x14ac:dyDescent="0.15">
      <c r="A400" s="10"/>
      <c r="B400" s="13"/>
      <c r="C400" s="13"/>
    </row>
    <row r="401" spans="1:3" ht="13" x14ac:dyDescent="0.15">
      <c r="A401" s="10"/>
      <c r="B401" s="13"/>
      <c r="C401" s="13"/>
    </row>
    <row r="402" spans="1:3" ht="13" x14ac:dyDescent="0.15">
      <c r="A402" s="10"/>
      <c r="B402" s="13"/>
      <c r="C402" s="13"/>
    </row>
    <row r="403" spans="1:3" ht="13" x14ac:dyDescent="0.15">
      <c r="A403" s="10"/>
      <c r="B403" s="13"/>
      <c r="C403" s="13"/>
    </row>
    <row r="404" spans="1:3" ht="13" x14ac:dyDescent="0.15">
      <c r="A404" s="10"/>
      <c r="B404" s="13"/>
      <c r="C404" s="13"/>
    </row>
    <row r="405" spans="1:3" ht="13" x14ac:dyDescent="0.15">
      <c r="A405" s="10"/>
      <c r="B405" s="13"/>
      <c r="C405" s="13"/>
    </row>
    <row r="406" spans="1:3" ht="13" x14ac:dyDescent="0.15">
      <c r="A406" s="10"/>
      <c r="B406" s="13"/>
      <c r="C406" s="13"/>
    </row>
    <row r="407" spans="1:3" ht="13" x14ac:dyDescent="0.15">
      <c r="A407" s="10"/>
      <c r="B407" s="13"/>
      <c r="C407" s="13"/>
    </row>
    <row r="408" spans="1:3" ht="13" x14ac:dyDescent="0.15">
      <c r="A408" s="10"/>
      <c r="B408" s="13"/>
      <c r="C408" s="13"/>
    </row>
    <row r="409" spans="1:3" ht="13" x14ac:dyDescent="0.15">
      <c r="A409" s="10"/>
      <c r="B409" s="13"/>
      <c r="C409" s="13"/>
    </row>
    <row r="410" spans="1:3" ht="13" x14ac:dyDescent="0.15">
      <c r="A410" s="10"/>
      <c r="B410" s="13"/>
      <c r="C410" s="13"/>
    </row>
    <row r="411" spans="1:3" ht="13" x14ac:dyDescent="0.15">
      <c r="A411" s="10"/>
      <c r="B411" s="13"/>
      <c r="C411" s="13"/>
    </row>
    <row r="412" spans="1:3" ht="13" x14ac:dyDescent="0.15">
      <c r="A412" s="10"/>
      <c r="B412" s="13"/>
      <c r="C412" s="13"/>
    </row>
    <row r="413" spans="1:3" ht="13" x14ac:dyDescent="0.15">
      <c r="A413" s="10"/>
      <c r="B413" s="13"/>
      <c r="C413" s="13"/>
    </row>
    <row r="414" spans="1:3" ht="13" x14ac:dyDescent="0.15">
      <c r="A414" s="10"/>
      <c r="B414" s="13"/>
      <c r="C414" s="13"/>
    </row>
    <row r="415" spans="1:3" ht="13" x14ac:dyDescent="0.15">
      <c r="A415" s="10"/>
      <c r="B415" s="13"/>
      <c r="C415" s="13"/>
    </row>
    <row r="416" spans="1:3" ht="13" x14ac:dyDescent="0.15">
      <c r="A416" s="10"/>
      <c r="B416" s="13"/>
      <c r="C416" s="13"/>
    </row>
    <row r="417" spans="1:3" ht="13" x14ac:dyDescent="0.15">
      <c r="A417" s="10"/>
      <c r="B417" s="13"/>
      <c r="C417" s="13"/>
    </row>
    <row r="418" spans="1:3" ht="13" x14ac:dyDescent="0.15">
      <c r="A418" s="10"/>
      <c r="B418" s="13"/>
      <c r="C418" s="13"/>
    </row>
    <row r="419" spans="1:3" ht="13" x14ac:dyDescent="0.15">
      <c r="A419" s="10"/>
      <c r="B419" s="13"/>
      <c r="C419" s="13"/>
    </row>
    <row r="420" spans="1:3" ht="13" x14ac:dyDescent="0.15">
      <c r="A420" s="10"/>
      <c r="B420" s="13"/>
      <c r="C420" s="13"/>
    </row>
    <row r="421" spans="1:3" ht="13" x14ac:dyDescent="0.15">
      <c r="A421" s="10"/>
      <c r="B421" s="13"/>
      <c r="C421" s="13"/>
    </row>
    <row r="422" spans="1:3" ht="13" x14ac:dyDescent="0.15">
      <c r="A422" s="10"/>
      <c r="B422" s="13"/>
      <c r="C422" s="13"/>
    </row>
    <row r="423" spans="1:3" ht="13" x14ac:dyDescent="0.15">
      <c r="A423" s="10"/>
      <c r="B423" s="13"/>
      <c r="C423" s="13"/>
    </row>
    <row r="424" spans="1:3" ht="13" x14ac:dyDescent="0.15">
      <c r="A424" s="10"/>
      <c r="B424" s="13"/>
      <c r="C424" s="13"/>
    </row>
    <row r="425" spans="1:3" ht="13" x14ac:dyDescent="0.15">
      <c r="A425" s="10"/>
      <c r="B425" s="13"/>
      <c r="C425" s="13"/>
    </row>
    <row r="426" spans="1:3" ht="13" x14ac:dyDescent="0.15">
      <c r="A426" s="10"/>
      <c r="B426" s="13"/>
      <c r="C426" s="13"/>
    </row>
    <row r="427" spans="1:3" ht="13" x14ac:dyDescent="0.15">
      <c r="A427" s="10"/>
      <c r="B427" s="13"/>
      <c r="C427" s="13"/>
    </row>
    <row r="428" spans="1:3" ht="13" x14ac:dyDescent="0.15">
      <c r="A428" s="10"/>
      <c r="B428" s="13"/>
      <c r="C428" s="13"/>
    </row>
    <row r="429" spans="1:3" ht="13" x14ac:dyDescent="0.15">
      <c r="A429" s="10"/>
      <c r="B429" s="13"/>
      <c r="C429" s="13"/>
    </row>
    <row r="430" spans="1:3" ht="13" x14ac:dyDescent="0.15">
      <c r="A430" s="10"/>
      <c r="B430" s="13"/>
      <c r="C430" s="13"/>
    </row>
    <row r="431" spans="1:3" ht="13" x14ac:dyDescent="0.15">
      <c r="A431" s="10"/>
      <c r="B431" s="13"/>
      <c r="C431" s="13"/>
    </row>
    <row r="432" spans="1:3" ht="13" x14ac:dyDescent="0.15">
      <c r="A432" s="10"/>
      <c r="B432" s="13"/>
      <c r="C432" s="13"/>
    </row>
    <row r="433" spans="1:3" ht="13" x14ac:dyDescent="0.15">
      <c r="A433" s="10"/>
      <c r="B433" s="13"/>
      <c r="C433" s="13"/>
    </row>
    <row r="434" spans="1:3" ht="13" x14ac:dyDescent="0.15">
      <c r="A434" s="10"/>
      <c r="B434" s="13"/>
      <c r="C434" s="13"/>
    </row>
    <row r="435" spans="1:3" ht="13" x14ac:dyDescent="0.15">
      <c r="A435" s="10"/>
      <c r="B435" s="13"/>
      <c r="C435" s="13"/>
    </row>
    <row r="436" spans="1:3" ht="13" x14ac:dyDescent="0.15">
      <c r="A436" s="10"/>
      <c r="B436" s="13"/>
      <c r="C436" s="13"/>
    </row>
    <row r="437" spans="1:3" ht="13" x14ac:dyDescent="0.15">
      <c r="A437" s="10"/>
      <c r="B437" s="13"/>
      <c r="C437" s="13"/>
    </row>
    <row r="438" spans="1:3" ht="13" x14ac:dyDescent="0.15">
      <c r="A438" s="10"/>
      <c r="B438" s="13"/>
      <c r="C438" s="13"/>
    </row>
    <row r="439" spans="1:3" ht="13" x14ac:dyDescent="0.15">
      <c r="A439" s="10"/>
      <c r="B439" s="13"/>
      <c r="C439" s="13"/>
    </row>
    <row r="440" spans="1:3" ht="13" x14ac:dyDescent="0.15">
      <c r="A440" s="10"/>
      <c r="B440" s="13"/>
      <c r="C440" s="13"/>
    </row>
    <row r="441" spans="1:3" ht="13" x14ac:dyDescent="0.15">
      <c r="A441" s="10"/>
      <c r="B441" s="13"/>
      <c r="C441" s="13"/>
    </row>
    <row r="442" spans="1:3" ht="13" x14ac:dyDescent="0.15">
      <c r="A442" s="10"/>
      <c r="B442" s="13"/>
      <c r="C442" s="13"/>
    </row>
    <row r="443" spans="1:3" ht="13" x14ac:dyDescent="0.15">
      <c r="A443" s="10"/>
      <c r="B443" s="13"/>
      <c r="C443" s="13"/>
    </row>
    <row r="444" spans="1:3" ht="13" x14ac:dyDescent="0.15">
      <c r="A444" s="10"/>
      <c r="B444" s="13"/>
      <c r="C444" s="13"/>
    </row>
    <row r="445" spans="1:3" ht="13" x14ac:dyDescent="0.15">
      <c r="A445" s="10"/>
      <c r="B445" s="13"/>
      <c r="C445" s="13"/>
    </row>
    <row r="446" spans="1:3" ht="13" x14ac:dyDescent="0.15">
      <c r="A446" s="10"/>
      <c r="B446" s="13"/>
      <c r="C446" s="13"/>
    </row>
    <row r="447" spans="1:3" ht="13" x14ac:dyDescent="0.15">
      <c r="A447" s="10"/>
      <c r="B447" s="13"/>
      <c r="C447" s="13"/>
    </row>
    <row r="448" spans="1:3" ht="13" x14ac:dyDescent="0.15">
      <c r="A448" s="10"/>
      <c r="B448" s="13"/>
      <c r="C448" s="13"/>
    </row>
    <row r="449" spans="1:3" ht="13" x14ac:dyDescent="0.15">
      <c r="A449" s="10"/>
      <c r="B449" s="13"/>
      <c r="C449" s="13"/>
    </row>
    <row r="450" spans="1:3" ht="13" x14ac:dyDescent="0.15">
      <c r="A450" s="10"/>
      <c r="B450" s="13"/>
      <c r="C450" s="13"/>
    </row>
    <row r="451" spans="1:3" ht="13" x14ac:dyDescent="0.15">
      <c r="A451" s="10"/>
      <c r="B451" s="13"/>
      <c r="C451" s="13"/>
    </row>
    <row r="452" spans="1:3" ht="13" x14ac:dyDescent="0.15">
      <c r="A452" s="10"/>
      <c r="B452" s="13"/>
      <c r="C452" s="13"/>
    </row>
    <row r="453" spans="1:3" ht="13" x14ac:dyDescent="0.15">
      <c r="A453" s="10"/>
      <c r="B453" s="13"/>
      <c r="C453" s="13"/>
    </row>
    <row r="454" spans="1:3" ht="13" x14ac:dyDescent="0.15">
      <c r="A454" s="10"/>
      <c r="B454" s="13"/>
      <c r="C454" s="13"/>
    </row>
    <row r="455" spans="1:3" ht="13" x14ac:dyDescent="0.15">
      <c r="A455" s="10"/>
      <c r="B455" s="13"/>
      <c r="C455" s="13"/>
    </row>
    <row r="456" spans="1:3" ht="13" x14ac:dyDescent="0.15">
      <c r="A456" s="10"/>
      <c r="B456" s="13"/>
      <c r="C456" s="13"/>
    </row>
    <row r="457" spans="1:3" ht="13" x14ac:dyDescent="0.15">
      <c r="A457" s="10"/>
      <c r="B457" s="13"/>
      <c r="C457" s="13"/>
    </row>
    <row r="458" spans="1:3" ht="13" x14ac:dyDescent="0.15">
      <c r="A458" s="10"/>
      <c r="B458" s="13"/>
      <c r="C458" s="13"/>
    </row>
    <row r="459" spans="1:3" ht="13" x14ac:dyDescent="0.15">
      <c r="A459" s="10"/>
      <c r="B459" s="13"/>
      <c r="C459" s="13"/>
    </row>
    <row r="460" spans="1:3" ht="13" x14ac:dyDescent="0.15">
      <c r="A460" s="10"/>
      <c r="B460" s="13"/>
      <c r="C460" s="13"/>
    </row>
    <row r="461" spans="1:3" ht="13" x14ac:dyDescent="0.15">
      <c r="A461" s="10"/>
      <c r="B461" s="13"/>
      <c r="C461" s="13"/>
    </row>
    <row r="462" spans="1:3" ht="13" x14ac:dyDescent="0.15">
      <c r="A462" s="10"/>
      <c r="B462" s="13"/>
      <c r="C462" s="13"/>
    </row>
    <row r="463" spans="1:3" ht="13" x14ac:dyDescent="0.15">
      <c r="A463" s="10"/>
      <c r="B463" s="13"/>
      <c r="C463" s="13"/>
    </row>
    <row r="464" spans="1:3" ht="13" x14ac:dyDescent="0.15">
      <c r="A464" s="10"/>
      <c r="B464" s="13"/>
      <c r="C464" s="13"/>
    </row>
    <row r="465" spans="1:3" ht="13" x14ac:dyDescent="0.15">
      <c r="A465" s="10"/>
      <c r="B465" s="13"/>
      <c r="C465" s="13"/>
    </row>
    <row r="466" spans="1:3" ht="13" x14ac:dyDescent="0.15">
      <c r="A466" s="10"/>
      <c r="B466" s="13"/>
      <c r="C466" s="13"/>
    </row>
    <row r="467" spans="1:3" ht="13" x14ac:dyDescent="0.15">
      <c r="A467" s="10"/>
      <c r="B467" s="13"/>
      <c r="C467" s="13"/>
    </row>
    <row r="468" spans="1:3" ht="13" x14ac:dyDescent="0.15">
      <c r="A468" s="10"/>
      <c r="B468" s="13"/>
      <c r="C468" s="13"/>
    </row>
    <row r="469" spans="1:3" ht="13" x14ac:dyDescent="0.15">
      <c r="A469" s="10"/>
      <c r="B469" s="13"/>
      <c r="C469" s="13"/>
    </row>
    <row r="470" spans="1:3" ht="13" x14ac:dyDescent="0.15">
      <c r="A470" s="10"/>
      <c r="B470" s="13"/>
      <c r="C470" s="13"/>
    </row>
    <row r="471" spans="1:3" ht="13" x14ac:dyDescent="0.15">
      <c r="A471" s="10"/>
      <c r="B471" s="13"/>
      <c r="C471" s="13"/>
    </row>
    <row r="472" spans="1:3" ht="13" x14ac:dyDescent="0.15">
      <c r="A472" s="10"/>
      <c r="B472" s="13"/>
      <c r="C472" s="13"/>
    </row>
    <row r="473" spans="1:3" ht="13" x14ac:dyDescent="0.15">
      <c r="A473" s="10"/>
      <c r="B473" s="13"/>
      <c r="C473" s="13"/>
    </row>
    <row r="474" spans="1:3" ht="13" x14ac:dyDescent="0.15">
      <c r="A474" s="10"/>
      <c r="B474" s="13"/>
      <c r="C474" s="13"/>
    </row>
    <row r="475" spans="1:3" ht="13" x14ac:dyDescent="0.15">
      <c r="A475" s="10"/>
      <c r="B475" s="13"/>
      <c r="C475" s="13"/>
    </row>
    <row r="476" spans="1:3" ht="13" x14ac:dyDescent="0.15">
      <c r="A476" s="10"/>
      <c r="B476" s="13"/>
      <c r="C476" s="13"/>
    </row>
    <row r="477" spans="1:3" ht="13" x14ac:dyDescent="0.15">
      <c r="A477" s="10"/>
      <c r="B477" s="13"/>
      <c r="C477" s="13"/>
    </row>
    <row r="478" spans="1:3" ht="13" x14ac:dyDescent="0.15">
      <c r="A478" s="10"/>
      <c r="B478" s="13"/>
      <c r="C478" s="13"/>
    </row>
    <row r="479" spans="1:3" ht="13" x14ac:dyDescent="0.15">
      <c r="A479" s="10"/>
      <c r="B479" s="13"/>
      <c r="C479" s="13"/>
    </row>
    <row r="480" spans="1:3" ht="13" x14ac:dyDescent="0.15">
      <c r="A480" s="10"/>
      <c r="B480" s="13"/>
      <c r="C480" s="13"/>
    </row>
    <row r="481" spans="1:3" ht="13" x14ac:dyDescent="0.15">
      <c r="A481" s="10"/>
      <c r="B481" s="13"/>
      <c r="C481" s="13"/>
    </row>
    <row r="482" spans="1:3" ht="13" x14ac:dyDescent="0.15">
      <c r="A482" s="10"/>
      <c r="B482" s="13"/>
      <c r="C482" s="13"/>
    </row>
    <row r="483" spans="1:3" ht="13" x14ac:dyDescent="0.15">
      <c r="A483" s="10"/>
      <c r="B483" s="13"/>
      <c r="C483" s="13"/>
    </row>
    <row r="484" spans="1:3" ht="13" x14ac:dyDescent="0.15">
      <c r="A484" s="10"/>
      <c r="B484" s="13"/>
      <c r="C484" s="13"/>
    </row>
    <row r="485" spans="1:3" ht="13" x14ac:dyDescent="0.15">
      <c r="A485" s="10"/>
      <c r="B485" s="13"/>
      <c r="C485" s="13"/>
    </row>
    <row r="486" spans="1:3" ht="13" x14ac:dyDescent="0.15">
      <c r="A486" s="10"/>
      <c r="B486" s="13"/>
      <c r="C486" s="13"/>
    </row>
    <row r="487" spans="1:3" ht="13" x14ac:dyDescent="0.15">
      <c r="A487" s="10"/>
      <c r="B487" s="13"/>
      <c r="C487" s="13"/>
    </row>
    <row r="488" spans="1:3" ht="13" x14ac:dyDescent="0.15">
      <c r="A488" s="10"/>
      <c r="B488" s="13"/>
      <c r="C488" s="13"/>
    </row>
    <row r="489" spans="1:3" ht="13" x14ac:dyDescent="0.15">
      <c r="A489" s="10"/>
      <c r="B489" s="13"/>
      <c r="C489" s="13"/>
    </row>
    <row r="490" spans="1:3" ht="13" x14ac:dyDescent="0.15">
      <c r="A490" s="10"/>
      <c r="B490" s="13"/>
      <c r="C490" s="13"/>
    </row>
    <row r="491" spans="1:3" ht="13" x14ac:dyDescent="0.15">
      <c r="A491" s="10"/>
      <c r="B491" s="13"/>
      <c r="C491" s="13"/>
    </row>
    <row r="492" spans="1:3" ht="13" x14ac:dyDescent="0.15">
      <c r="A492" s="10"/>
      <c r="B492" s="13"/>
      <c r="C492" s="13"/>
    </row>
    <row r="493" spans="1:3" ht="13" x14ac:dyDescent="0.15">
      <c r="A493" s="10"/>
      <c r="B493" s="13"/>
      <c r="C493" s="13"/>
    </row>
    <row r="494" spans="1:3" ht="13" x14ac:dyDescent="0.15">
      <c r="A494" s="10"/>
      <c r="B494" s="13"/>
      <c r="C494" s="13"/>
    </row>
    <row r="495" spans="1:3" ht="13" x14ac:dyDescent="0.15">
      <c r="A495" s="10"/>
      <c r="B495" s="13"/>
      <c r="C495" s="13"/>
    </row>
    <row r="496" spans="1:3" ht="13" x14ac:dyDescent="0.15">
      <c r="A496" s="10"/>
      <c r="B496" s="13"/>
      <c r="C496" s="13"/>
    </row>
    <row r="497" spans="1:3" ht="13" x14ac:dyDescent="0.15">
      <c r="A497" s="10"/>
      <c r="B497" s="13"/>
      <c r="C497" s="13"/>
    </row>
    <row r="498" spans="1:3" ht="13" x14ac:dyDescent="0.15">
      <c r="A498" s="10"/>
      <c r="B498" s="13"/>
      <c r="C498" s="13"/>
    </row>
    <row r="499" spans="1:3" ht="13" x14ac:dyDescent="0.15">
      <c r="A499" s="10"/>
      <c r="B499" s="13"/>
      <c r="C499" s="13"/>
    </row>
    <row r="500" spans="1:3" ht="13" x14ac:dyDescent="0.15">
      <c r="A500" s="10"/>
      <c r="B500" s="13"/>
      <c r="C500" s="13"/>
    </row>
    <row r="501" spans="1:3" ht="13" x14ac:dyDescent="0.15">
      <c r="A501" s="10"/>
      <c r="B501" s="13"/>
      <c r="C501" s="13"/>
    </row>
    <row r="502" spans="1:3" ht="13" x14ac:dyDescent="0.15">
      <c r="A502" s="10"/>
      <c r="B502" s="13"/>
      <c r="C502" s="13"/>
    </row>
    <row r="503" spans="1:3" ht="13" x14ac:dyDescent="0.15">
      <c r="A503" s="10"/>
      <c r="B503" s="13"/>
      <c r="C503" s="13"/>
    </row>
    <row r="504" spans="1:3" ht="13" x14ac:dyDescent="0.15">
      <c r="A504" s="10"/>
      <c r="B504" s="13"/>
      <c r="C504" s="13"/>
    </row>
    <row r="505" spans="1:3" ht="13" x14ac:dyDescent="0.15">
      <c r="A505" s="10"/>
      <c r="B505" s="13"/>
      <c r="C505" s="13"/>
    </row>
    <row r="506" spans="1:3" ht="13" x14ac:dyDescent="0.15">
      <c r="A506" s="10"/>
      <c r="B506" s="13"/>
      <c r="C506" s="13"/>
    </row>
    <row r="507" spans="1:3" ht="13" x14ac:dyDescent="0.15">
      <c r="A507" s="10"/>
      <c r="B507" s="13"/>
      <c r="C507" s="13"/>
    </row>
    <row r="508" spans="1:3" ht="13" x14ac:dyDescent="0.15">
      <c r="A508" s="10"/>
      <c r="B508" s="13"/>
      <c r="C508" s="13"/>
    </row>
    <row r="509" spans="1:3" ht="13" x14ac:dyDescent="0.15">
      <c r="A509" s="10"/>
      <c r="B509" s="13"/>
      <c r="C509" s="13"/>
    </row>
    <row r="510" spans="1:3" ht="13" x14ac:dyDescent="0.15">
      <c r="A510" s="10"/>
      <c r="B510" s="13"/>
      <c r="C510" s="13"/>
    </row>
    <row r="511" spans="1:3" ht="13" x14ac:dyDescent="0.15">
      <c r="A511" s="10"/>
      <c r="B511" s="13"/>
      <c r="C511" s="13"/>
    </row>
    <row r="512" spans="1:3" ht="13" x14ac:dyDescent="0.15">
      <c r="A512" s="10"/>
      <c r="B512" s="13"/>
      <c r="C512" s="13"/>
    </row>
    <row r="513" spans="1:3" ht="13" x14ac:dyDescent="0.15">
      <c r="A513" s="10"/>
      <c r="B513" s="13"/>
      <c r="C513" s="13"/>
    </row>
    <row r="514" spans="1:3" ht="13" x14ac:dyDescent="0.15">
      <c r="A514" s="10"/>
      <c r="B514" s="13"/>
      <c r="C514" s="13"/>
    </row>
    <row r="515" spans="1:3" ht="13" x14ac:dyDescent="0.15">
      <c r="A515" s="10"/>
      <c r="B515" s="13"/>
      <c r="C515" s="13"/>
    </row>
    <row r="516" spans="1:3" ht="13" x14ac:dyDescent="0.15">
      <c r="A516" s="10"/>
      <c r="B516" s="13"/>
      <c r="C516" s="13"/>
    </row>
    <row r="517" spans="1:3" ht="13" x14ac:dyDescent="0.15">
      <c r="A517" s="10"/>
      <c r="B517" s="13"/>
      <c r="C517" s="13"/>
    </row>
    <row r="518" spans="1:3" ht="13" x14ac:dyDescent="0.15">
      <c r="A518" s="10"/>
      <c r="B518" s="13"/>
      <c r="C518" s="13"/>
    </row>
    <row r="519" spans="1:3" ht="13" x14ac:dyDescent="0.15">
      <c r="A519" s="10"/>
      <c r="B519" s="13"/>
      <c r="C519" s="13"/>
    </row>
    <row r="520" spans="1:3" ht="13" x14ac:dyDescent="0.15">
      <c r="A520" s="10"/>
      <c r="B520" s="13"/>
      <c r="C520" s="13"/>
    </row>
    <row r="521" spans="1:3" ht="13" x14ac:dyDescent="0.15">
      <c r="A521" s="10"/>
      <c r="B521" s="13"/>
      <c r="C521" s="13"/>
    </row>
    <row r="522" spans="1:3" ht="13" x14ac:dyDescent="0.15">
      <c r="A522" s="10"/>
      <c r="B522" s="13"/>
      <c r="C522" s="13"/>
    </row>
    <row r="523" spans="1:3" ht="13" x14ac:dyDescent="0.15">
      <c r="A523" s="10"/>
      <c r="B523" s="13"/>
      <c r="C523" s="13"/>
    </row>
    <row r="524" spans="1:3" ht="13" x14ac:dyDescent="0.15">
      <c r="A524" s="10"/>
      <c r="B524" s="13"/>
      <c r="C524" s="13"/>
    </row>
    <row r="525" spans="1:3" ht="13" x14ac:dyDescent="0.15">
      <c r="A525" s="10"/>
      <c r="B525" s="13"/>
      <c r="C525" s="13"/>
    </row>
    <row r="526" spans="1:3" ht="13" x14ac:dyDescent="0.15">
      <c r="A526" s="10"/>
      <c r="B526" s="13"/>
      <c r="C526" s="13"/>
    </row>
    <row r="527" spans="1:3" ht="13" x14ac:dyDescent="0.15">
      <c r="A527" s="10"/>
      <c r="B527" s="13"/>
      <c r="C527" s="13"/>
    </row>
    <row r="528" spans="1:3" ht="13" x14ac:dyDescent="0.15">
      <c r="A528" s="10"/>
      <c r="B528" s="13"/>
      <c r="C528" s="13"/>
    </row>
    <row r="529" spans="1:3" ht="13" x14ac:dyDescent="0.15">
      <c r="A529" s="10"/>
      <c r="B529" s="13"/>
      <c r="C529" s="13"/>
    </row>
    <row r="530" spans="1:3" ht="13" x14ac:dyDescent="0.15">
      <c r="A530" s="10"/>
      <c r="B530" s="13"/>
      <c r="C530" s="13"/>
    </row>
    <row r="531" spans="1:3" ht="13" x14ac:dyDescent="0.15">
      <c r="A531" s="10"/>
      <c r="B531" s="13"/>
      <c r="C531" s="13"/>
    </row>
    <row r="532" spans="1:3" ht="13" x14ac:dyDescent="0.15">
      <c r="A532" s="10"/>
      <c r="B532" s="13"/>
      <c r="C532" s="13"/>
    </row>
    <row r="533" spans="1:3" ht="13" x14ac:dyDescent="0.15">
      <c r="A533" s="10"/>
      <c r="B533" s="13"/>
      <c r="C533" s="13"/>
    </row>
    <row r="534" spans="1:3" ht="13" x14ac:dyDescent="0.15">
      <c r="A534" s="10"/>
      <c r="B534" s="13"/>
      <c r="C534" s="13"/>
    </row>
    <row r="535" spans="1:3" ht="13" x14ac:dyDescent="0.15">
      <c r="A535" s="10"/>
      <c r="B535" s="13"/>
      <c r="C535" s="13"/>
    </row>
    <row r="536" spans="1:3" ht="13" x14ac:dyDescent="0.15">
      <c r="A536" s="10"/>
      <c r="B536" s="13"/>
      <c r="C536" s="13"/>
    </row>
    <row r="537" spans="1:3" ht="13" x14ac:dyDescent="0.15">
      <c r="A537" s="10"/>
      <c r="B537" s="13"/>
      <c r="C537" s="13"/>
    </row>
    <row r="538" spans="1:3" ht="13" x14ac:dyDescent="0.15">
      <c r="A538" s="10"/>
      <c r="B538" s="13"/>
      <c r="C538" s="13"/>
    </row>
    <row r="539" spans="1:3" ht="13" x14ac:dyDescent="0.15">
      <c r="A539" s="10"/>
      <c r="B539" s="13"/>
      <c r="C539" s="13"/>
    </row>
    <row r="540" spans="1:3" ht="13" x14ac:dyDescent="0.15">
      <c r="A540" s="10"/>
      <c r="B540" s="13"/>
      <c r="C540" s="13"/>
    </row>
    <row r="541" spans="1:3" ht="13" x14ac:dyDescent="0.15">
      <c r="A541" s="10"/>
      <c r="B541" s="13"/>
      <c r="C541" s="13"/>
    </row>
    <row r="542" spans="1:3" ht="13" x14ac:dyDescent="0.15">
      <c r="A542" s="10"/>
      <c r="B542" s="13"/>
      <c r="C542" s="13"/>
    </row>
    <row r="543" spans="1:3" ht="13" x14ac:dyDescent="0.15">
      <c r="A543" s="10"/>
      <c r="B543" s="13"/>
      <c r="C543" s="13"/>
    </row>
    <row r="544" spans="1:3" ht="13" x14ac:dyDescent="0.15">
      <c r="A544" s="10"/>
      <c r="B544" s="13"/>
      <c r="C544" s="13"/>
    </row>
    <row r="545" spans="1:3" ht="13" x14ac:dyDescent="0.15">
      <c r="A545" s="10"/>
      <c r="B545" s="13"/>
      <c r="C545" s="13"/>
    </row>
    <row r="546" spans="1:3" ht="13" x14ac:dyDescent="0.15">
      <c r="A546" s="10"/>
      <c r="B546" s="13"/>
      <c r="C546" s="13"/>
    </row>
    <row r="547" spans="1:3" ht="13" x14ac:dyDescent="0.15">
      <c r="A547" s="10"/>
      <c r="B547" s="13"/>
      <c r="C547" s="13"/>
    </row>
    <row r="548" spans="1:3" ht="13" x14ac:dyDescent="0.15">
      <c r="A548" s="10"/>
      <c r="B548" s="13"/>
      <c r="C548" s="13"/>
    </row>
    <row r="549" spans="1:3" ht="13" x14ac:dyDescent="0.15">
      <c r="A549" s="10"/>
      <c r="B549" s="13"/>
      <c r="C549" s="13"/>
    </row>
    <row r="550" spans="1:3" ht="13" x14ac:dyDescent="0.15">
      <c r="A550" s="10"/>
      <c r="B550" s="13"/>
      <c r="C550" s="13"/>
    </row>
    <row r="551" spans="1:3" ht="13" x14ac:dyDescent="0.15">
      <c r="A551" s="10"/>
      <c r="B551" s="13"/>
      <c r="C551" s="13"/>
    </row>
    <row r="552" spans="1:3" ht="13" x14ac:dyDescent="0.15">
      <c r="A552" s="10"/>
      <c r="B552" s="13"/>
      <c r="C552" s="13"/>
    </row>
    <row r="553" spans="1:3" ht="13" x14ac:dyDescent="0.15">
      <c r="A553" s="10"/>
      <c r="B553" s="13"/>
      <c r="C553" s="13"/>
    </row>
    <row r="554" spans="1:3" ht="13" x14ac:dyDescent="0.15">
      <c r="A554" s="10"/>
      <c r="B554" s="13"/>
      <c r="C554" s="13"/>
    </row>
    <row r="555" spans="1:3" ht="13" x14ac:dyDescent="0.15">
      <c r="A555" s="10"/>
      <c r="B555" s="13"/>
      <c r="C555" s="13"/>
    </row>
    <row r="556" spans="1:3" ht="13" x14ac:dyDescent="0.15">
      <c r="A556" s="10"/>
      <c r="B556" s="13"/>
      <c r="C556" s="13"/>
    </row>
    <row r="557" spans="1:3" ht="13" x14ac:dyDescent="0.15">
      <c r="A557" s="10"/>
      <c r="B557" s="13"/>
      <c r="C557" s="13"/>
    </row>
    <row r="558" spans="1:3" ht="13" x14ac:dyDescent="0.15">
      <c r="A558" s="10"/>
      <c r="B558" s="13"/>
      <c r="C558" s="13"/>
    </row>
    <row r="559" spans="1:3" ht="13" x14ac:dyDescent="0.15">
      <c r="A559" s="10"/>
      <c r="B559" s="13"/>
      <c r="C559" s="13"/>
    </row>
    <row r="560" spans="1:3" ht="13" x14ac:dyDescent="0.15">
      <c r="A560" s="10"/>
      <c r="B560" s="13"/>
      <c r="C560" s="13"/>
    </row>
    <row r="561" spans="1:3" ht="13" x14ac:dyDescent="0.15">
      <c r="A561" s="10"/>
      <c r="B561" s="13"/>
      <c r="C561" s="13"/>
    </row>
    <row r="562" spans="1:3" ht="13" x14ac:dyDescent="0.15">
      <c r="A562" s="10"/>
      <c r="B562" s="13"/>
      <c r="C562" s="13"/>
    </row>
    <row r="563" spans="1:3" ht="13" x14ac:dyDescent="0.15">
      <c r="A563" s="10"/>
      <c r="B563" s="13"/>
      <c r="C563" s="13"/>
    </row>
    <row r="564" spans="1:3" ht="13" x14ac:dyDescent="0.15">
      <c r="A564" s="10"/>
      <c r="B564" s="13"/>
      <c r="C564" s="13"/>
    </row>
    <row r="565" spans="1:3" ht="13" x14ac:dyDescent="0.15">
      <c r="A565" s="10"/>
      <c r="B565" s="13"/>
      <c r="C565" s="13"/>
    </row>
    <row r="566" spans="1:3" ht="13" x14ac:dyDescent="0.15">
      <c r="A566" s="10"/>
      <c r="B566" s="13"/>
      <c r="C566" s="13"/>
    </row>
    <row r="567" spans="1:3" ht="13" x14ac:dyDescent="0.15">
      <c r="A567" s="10"/>
      <c r="B567" s="13"/>
      <c r="C567" s="13"/>
    </row>
    <row r="568" spans="1:3" ht="13" x14ac:dyDescent="0.15">
      <c r="A568" s="10"/>
      <c r="B568" s="13"/>
      <c r="C568" s="13"/>
    </row>
    <row r="569" spans="1:3" ht="13" x14ac:dyDescent="0.15">
      <c r="A569" s="10"/>
      <c r="B569" s="13"/>
      <c r="C569" s="13"/>
    </row>
    <row r="570" spans="1:3" ht="13" x14ac:dyDescent="0.15">
      <c r="A570" s="10"/>
      <c r="B570" s="13"/>
      <c r="C570" s="13"/>
    </row>
    <row r="571" spans="1:3" ht="13" x14ac:dyDescent="0.15">
      <c r="A571" s="10"/>
      <c r="B571" s="13"/>
      <c r="C571" s="13"/>
    </row>
    <row r="572" spans="1:3" ht="13" x14ac:dyDescent="0.15">
      <c r="A572" s="10"/>
      <c r="B572" s="13"/>
      <c r="C572" s="13"/>
    </row>
    <row r="573" spans="1:3" ht="13" x14ac:dyDescent="0.15">
      <c r="A573" s="10"/>
      <c r="B573" s="13"/>
      <c r="C573" s="13"/>
    </row>
    <row r="574" spans="1:3" ht="13" x14ac:dyDescent="0.15">
      <c r="A574" s="10"/>
      <c r="B574" s="13"/>
      <c r="C574" s="13"/>
    </row>
    <row r="575" spans="1:3" ht="13" x14ac:dyDescent="0.15">
      <c r="A575" s="10"/>
      <c r="B575" s="13"/>
      <c r="C575" s="13"/>
    </row>
    <row r="576" spans="1:3" ht="13" x14ac:dyDescent="0.15">
      <c r="A576" s="10"/>
      <c r="B576" s="13"/>
      <c r="C576" s="13"/>
    </row>
    <row r="577" spans="1:3" ht="13" x14ac:dyDescent="0.15">
      <c r="A577" s="10"/>
      <c r="B577" s="13"/>
      <c r="C577" s="13"/>
    </row>
    <row r="578" spans="1:3" ht="13" x14ac:dyDescent="0.15">
      <c r="A578" s="10"/>
      <c r="B578" s="13"/>
      <c r="C578" s="13"/>
    </row>
    <row r="579" spans="1:3" ht="13" x14ac:dyDescent="0.15">
      <c r="A579" s="10"/>
      <c r="B579" s="13"/>
      <c r="C579" s="13"/>
    </row>
    <row r="580" spans="1:3" ht="13" x14ac:dyDescent="0.15">
      <c r="A580" s="10"/>
      <c r="B580" s="13"/>
      <c r="C580" s="13"/>
    </row>
    <row r="581" spans="1:3" ht="13" x14ac:dyDescent="0.15">
      <c r="A581" s="10"/>
      <c r="B581" s="13"/>
      <c r="C581" s="13"/>
    </row>
    <row r="582" spans="1:3" ht="13" x14ac:dyDescent="0.15">
      <c r="A582" s="10"/>
      <c r="B582" s="13"/>
      <c r="C582" s="13"/>
    </row>
    <row r="583" spans="1:3" ht="13" x14ac:dyDescent="0.15">
      <c r="A583" s="10"/>
      <c r="B583" s="13"/>
      <c r="C583" s="13"/>
    </row>
    <row r="584" spans="1:3" ht="13" x14ac:dyDescent="0.15">
      <c r="A584" s="10"/>
      <c r="B584" s="13"/>
      <c r="C584" s="13"/>
    </row>
    <row r="585" spans="1:3" ht="13" x14ac:dyDescent="0.15">
      <c r="A585" s="10"/>
      <c r="B585" s="13"/>
      <c r="C585" s="13"/>
    </row>
    <row r="586" spans="1:3" ht="13" x14ac:dyDescent="0.15">
      <c r="A586" s="10"/>
      <c r="B586" s="13"/>
      <c r="C586" s="13"/>
    </row>
    <row r="587" spans="1:3" ht="13" x14ac:dyDescent="0.15">
      <c r="A587" s="10"/>
      <c r="B587" s="13"/>
      <c r="C587" s="13"/>
    </row>
    <row r="588" spans="1:3" ht="13" x14ac:dyDescent="0.15">
      <c r="A588" s="10"/>
      <c r="B588" s="13"/>
      <c r="C588" s="13"/>
    </row>
    <row r="589" spans="1:3" ht="13" x14ac:dyDescent="0.15">
      <c r="A589" s="10"/>
      <c r="B589" s="13"/>
      <c r="C589" s="13"/>
    </row>
    <row r="590" spans="1:3" ht="13" x14ac:dyDescent="0.15">
      <c r="A590" s="10"/>
      <c r="B590" s="13"/>
      <c r="C590" s="13"/>
    </row>
    <row r="591" spans="1:3" ht="13" x14ac:dyDescent="0.15">
      <c r="A591" s="10"/>
      <c r="B591" s="13"/>
      <c r="C591" s="13"/>
    </row>
    <row r="592" spans="1:3" ht="13" x14ac:dyDescent="0.15">
      <c r="A592" s="10"/>
      <c r="B592" s="13"/>
      <c r="C592" s="13"/>
    </row>
    <row r="593" spans="1:3" ht="13" x14ac:dyDescent="0.15">
      <c r="A593" s="10"/>
      <c r="B593" s="13"/>
      <c r="C593" s="13"/>
    </row>
    <row r="594" spans="1:3" ht="13" x14ac:dyDescent="0.15">
      <c r="A594" s="10"/>
      <c r="B594" s="13"/>
      <c r="C594" s="13"/>
    </row>
    <row r="595" spans="1:3" ht="13" x14ac:dyDescent="0.15">
      <c r="A595" s="10"/>
      <c r="B595" s="13"/>
      <c r="C595" s="13"/>
    </row>
    <row r="596" spans="1:3" ht="13" x14ac:dyDescent="0.15">
      <c r="A596" s="10"/>
      <c r="B596" s="13"/>
      <c r="C596" s="13"/>
    </row>
    <row r="597" spans="1:3" ht="13" x14ac:dyDescent="0.15">
      <c r="A597" s="10"/>
      <c r="B597" s="13"/>
      <c r="C597" s="13"/>
    </row>
    <row r="598" spans="1:3" ht="13" x14ac:dyDescent="0.15">
      <c r="A598" s="10"/>
      <c r="B598" s="13"/>
      <c r="C598" s="13"/>
    </row>
    <row r="599" spans="1:3" ht="13" x14ac:dyDescent="0.15">
      <c r="A599" s="10"/>
      <c r="B599" s="13"/>
      <c r="C599" s="13"/>
    </row>
    <row r="600" spans="1:3" ht="13" x14ac:dyDescent="0.15">
      <c r="A600" s="10"/>
      <c r="B600" s="13"/>
      <c r="C600" s="13"/>
    </row>
    <row r="601" spans="1:3" ht="13" x14ac:dyDescent="0.15">
      <c r="A601" s="10"/>
      <c r="B601" s="13"/>
      <c r="C601" s="13"/>
    </row>
    <row r="602" spans="1:3" ht="13" x14ac:dyDescent="0.15">
      <c r="A602" s="10"/>
      <c r="B602" s="13"/>
      <c r="C602" s="13"/>
    </row>
    <row r="603" spans="1:3" ht="13" x14ac:dyDescent="0.15">
      <c r="A603" s="10"/>
      <c r="B603" s="13"/>
      <c r="C603" s="13"/>
    </row>
    <row r="604" spans="1:3" ht="13" x14ac:dyDescent="0.15">
      <c r="A604" s="10"/>
      <c r="B604" s="13"/>
      <c r="C604" s="13"/>
    </row>
    <row r="605" spans="1:3" ht="13" x14ac:dyDescent="0.15">
      <c r="A605" s="10"/>
      <c r="B605" s="13"/>
      <c r="C605" s="13"/>
    </row>
    <row r="606" spans="1:3" ht="13" x14ac:dyDescent="0.15">
      <c r="A606" s="10"/>
      <c r="B606" s="13"/>
      <c r="C606" s="13"/>
    </row>
    <row r="607" spans="1:3" ht="13" x14ac:dyDescent="0.15">
      <c r="A607" s="10"/>
      <c r="B607" s="13"/>
      <c r="C607" s="13"/>
    </row>
    <row r="608" spans="1:3" ht="13" x14ac:dyDescent="0.15">
      <c r="A608" s="10"/>
      <c r="B608" s="13"/>
      <c r="C608" s="13"/>
    </row>
    <row r="609" spans="1:3" ht="13" x14ac:dyDescent="0.15">
      <c r="A609" s="10"/>
      <c r="B609" s="13"/>
      <c r="C609" s="13"/>
    </row>
    <row r="610" spans="1:3" ht="13" x14ac:dyDescent="0.15">
      <c r="A610" s="10"/>
      <c r="B610" s="13"/>
      <c r="C610" s="13"/>
    </row>
    <row r="611" spans="1:3" ht="13" x14ac:dyDescent="0.15">
      <c r="A611" s="10"/>
      <c r="B611" s="13"/>
      <c r="C611" s="13"/>
    </row>
    <row r="612" spans="1:3" ht="13" x14ac:dyDescent="0.15">
      <c r="A612" s="10"/>
      <c r="B612" s="13"/>
      <c r="C612" s="13"/>
    </row>
    <row r="613" spans="1:3" ht="13" x14ac:dyDescent="0.15">
      <c r="A613" s="10"/>
      <c r="B613" s="13"/>
      <c r="C613" s="13"/>
    </row>
    <row r="614" spans="1:3" ht="13" x14ac:dyDescent="0.15">
      <c r="A614" s="10"/>
      <c r="B614" s="13"/>
      <c r="C614" s="13"/>
    </row>
    <row r="615" spans="1:3" ht="13" x14ac:dyDescent="0.15">
      <c r="A615" s="10"/>
      <c r="B615" s="13"/>
      <c r="C615" s="13"/>
    </row>
    <row r="616" spans="1:3" ht="13" x14ac:dyDescent="0.15">
      <c r="A616" s="10"/>
      <c r="B616" s="13"/>
      <c r="C616" s="13"/>
    </row>
    <row r="617" spans="1:3" ht="13" x14ac:dyDescent="0.15">
      <c r="A617" s="10"/>
      <c r="B617" s="13"/>
      <c r="C617" s="13"/>
    </row>
    <row r="618" spans="1:3" ht="13" x14ac:dyDescent="0.15">
      <c r="A618" s="10"/>
      <c r="B618" s="13"/>
      <c r="C618" s="13"/>
    </row>
    <row r="619" spans="1:3" ht="13" x14ac:dyDescent="0.15">
      <c r="A619" s="10"/>
      <c r="B619" s="13"/>
      <c r="C619" s="13"/>
    </row>
    <row r="620" spans="1:3" ht="13" x14ac:dyDescent="0.15">
      <c r="A620" s="10"/>
      <c r="B620" s="13"/>
      <c r="C620" s="13"/>
    </row>
    <row r="621" spans="1:3" ht="13" x14ac:dyDescent="0.15">
      <c r="A621" s="10"/>
      <c r="B621" s="13"/>
      <c r="C621" s="13"/>
    </row>
    <row r="622" spans="1:3" ht="13" x14ac:dyDescent="0.15">
      <c r="A622" s="10"/>
      <c r="B622" s="13"/>
      <c r="C622" s="13"/>
    </row>
    <row r="623" spans="1:3" ht="13" x14ac:dyDescent="0.15">
      <c r="A623" s="10"/>
      <c r="B623" s="13"/>
      <c r="C623" s="13"/>
    </row>
    <row r="624" spans="1:3" ht="13" x14ac:dyDescent="0.15">
      <c r="A624" s="10"/>
      <c r="B624" s="13"/>
      <c r="C624" s="13"/>
    </row>
    <row r="625" spans="1:3" ht="13" x14ac:dyDescent="0.15">
      <c r="A625" s="10"/>
      <c r="B625" s="13"/>
      <c r="C625" s="13"/>
    </row>
    <row r="626" spans="1:3" ht="13" x14ac:dyDescent="0.15">
      <c r="A626" s="10"/>
      <c r="B626" s="13"/>
      <c r="C626" s="13"/>
    </row>
    <row r="627" spans="1:3" ht="13" x14ac:dyDescent="0.15">
      <c r="A627" s="10"/>
      <c r="B627" s="13"/>
      <c r="C627" s="13"/>
    </row>
    <row r="628" spans="1:3" ht="13" x14ac:dyDescent="0.15">
      <c r="A628" s="10"/>
      <c r="B628" s="13"/>
      <c r="C628" s="13"/>
    </row>
    <row r="629" spans="1:3" ht="13" x14ac:dyDescent="0.15">
      <c r="A629" s="10"/>
      <c r="B629" s="13"/>
      <c r="C629" s="13"/>
    </row>
    <row r="630" spans="1:3" ht="13" x14ac:dyDescent="0.15">
      <c r="A630" s="10"/>
      <c r="B630" s="13"/>
      <c r="C630" s="13"/>
    </row>
    <row r="631" spans="1:3" ht="13" x14ac:dyDescent="0.15">
      <c r="A631" s="10"/>
      <c r="B631" s="13"/>
      <c r="C631" s="13"/>
    </row>
    <row r="632" spans="1:3" ht="13" x14ac:dyDescent="0.15">
      <c r="A632" s="10"/>
      <c r="B632" s="13"/>
      <c r="C632" s="13"/>
    </row>
    <row r="633" spans="1:3" ht="13" x14ac:dyDescent="0.15">
      <c r="A633" s="10"/>
      <c r="B633" s="13"/>
      <c r="C633" s="13"/>
    </row>
    <row r="634" spans="1:3" ht="13" x14ac:dyDescent="0.15">
      <c r="A634" s="10"/>
      <c r="B634" s="13"/>
      <c r="C634" s="13"/>
    </row>
    <row r="635" spans="1:3" ht="13" x14ac:dyDescent="0.15">
      <c r="A635" s="10"/>
      <c r="B635" s="13"/>
      <c r="C635" s="13"/>
    </row>
    <row r="636" spans="1:3" ht="13" x14ac:dyDescent="0.15">
      <c r="A636" s="10"/>
      <c r="B636" s="13"/>
      <c r="C636" s="13"/>
    </row>
    <row r="637" spans="1:3" ht="13" x14ac:dyDescent="0.15">
      <c r="A637" s="10"/>
      <c r="B637" s="13"/>
      <c r="C637" s="13"/>
    </row>
    <row r="638" spans="1:3" ht="13" x14ac:dyDescent="0.15">
      <c r="A638" s="10"/>
      <c r="B638" s="13"/>
      <c r="C638" s="13"/>
    </row>
    <row r="639" spans="1:3" ht="13" x14ac:dyDescent="0.15">
      <c r="A639" s="10"/>
      <c r="B639" s="13"/>
      <c r="C639" s="13"/>
    </row>
    <row r="640" spans="1:3" ht="13" x14ac:dyDescent="0.15">
      <c r="A640" s="10"/>
      <c r="B640" s="13"/>
      <c r="C640" s="13"/>
    </row>
    <row r="641" spans="1:3" ht="13" x14ac:dyDescent="0.15">
      <c r="A641" s="10"/>
      <c r="B641" s="13"/>
      <c r="C641" s="13"/>
    </row>
    <row r="642" spans="1:3" ht="13" x14ac:dyDescent="0.15">
      <c r="A642" s="10"/>
      <c r="B642" s="13"/>
      <c r="C642" s="13"/>
    </row>
    <row r="643" spans="1:3" ht="13" x14ac:dyDescent="0.15">
      <c r="A643" s="10"/>
      <c r="B643" s="13"/>
      <c r="C643" s="13"/>
    </row>
    <row r="644" spans="1:3" ht="13" x14ac:dyDescent="0.15">
      <c r="A644" s="10"/>
      <c r="B644" s="13"/>
      <c r="C644" s="13"/>
    </row>
    <row r="645" spans="1:3" ht="13" x14ac:dyDescent="0.15">
      <c r="A645" s="10"/>
      <c r="B645" s="13"/>
      <c r="C645" s="13"/>
    </row>
    <row r="646" spans="1:3" ht="13" x14ac:dyDescent="0.15">
      <c r="A646" s="10"/>
      <c r="B646" s="13"/>
      <c r="C646" s="13"/>
    </row>
    <row r="647" spans="1:3" ht="13" x14ac:dyDescent="0.15">
      <c r="A647" s="10"/>
      <c r="B647" s="13"/>
      <c r="C647" s="13"/>
    </row>
    <row r="648" spans="1:3" ht="13" x14ac:dyDescent="0.15">
      <c r="A648" s="10"/>
      <c r="B648" s="13"/>
      <c r="C648" s="13"/>
    </row>
    <row r="649" spans="1:3" ht="13" x14ac:dyDescent="0.15">
      <c r="A649" s="10"/>
      <c r="B649" s="13"/>
      <c r="C649" s="13"/>
    </row>
    <row r="650" spans="1:3" ht="13" x14ac:dyDescent="0.15">
      <c r="A650" s="10"/>
      <c r="B650" s="13"/>
      <c r="C650" s="13"/>
    </row>
    <row r="651" spans="1:3" ht="13" x14ac:dyDescent="0.15">
      <c r="A651" s="10"/>
      <c r="B651" s="13"/>
      <c r="C651" s="13"/>
    </row>
    <row r="652" spans="1:3" ht="13" x14ac:dyDescent="0.15">
      <c r="A652" s="10"/>
      <c r="B652" s="13"/>
      <c r="C652" s="13"/>
    </row>
    <row r="653" spans="1:3" ht="13" x14ac:dyDescent="0.15">
      <c r="A653" s="10"/>
      <c r="B653" s="13"/>
      <c r="C653" s="13"/>
    </row>
    <row r="654" spans="1:3" ht="13" x14ac:dyDescent="0.15">
      <c r="A654" s="10"/>
      <c r="B654" s="13"/>
      <c r="C654" s="13"/>
    </row>
    <row r="655" spans="1:3" ht="13" x14ac:dyDescent="0.15">
      <c r="A655" s="10"/>
      <c r="B655" s="13"/>
      <c r="C655" s="13"/>
    </row>
    <row r="656" spans="1:3" ht="13" x14ac:dyDescent="0.15">
      <c r="A656" s="10"/>
      <c r="B656" s="13"/>
      <c r="C656" s="13"/>
    </row>
    <row r="657" spans="1:3" ht="13" x14ac:dyDescent="0.15">
      <c r="A657" s="10"/>
      <c r="B657" s="13"/>
      <c r="C657" s="13"/>
    </row>
    <row r="658" spans="1:3" ht="13" x14ac:dyDescent="0.15">
      <c r="A658" s="10"/>
      <c r="B658" s="13"/>
      <c r="C658" s="13"/>
    </row>
    <row r="659" spans="1:3" ht="13" x14ac:dyDescent="0.15">
      <c r="A659" s="10"/>
      <c r="B659" s="13"/>
      <c r="C659" s="13"/>
    </row>
    <row r="660" spans="1:3" ht="13" x14ac:dyDescent="0.15">
      <c r="A660" s="10"/>
      <c r="B660" s="13"/>
      <c r="C660" s="13"/>
    </row>
    <row r="661" spans="1:3" ht="13" x14ac:dyDescent="0.15">
      <c r="A661" s="10"/>
      <c r="B661" s="13"/>
      <c r="C661" s="13"/>
    </row>
    <row r="662" spans="1:3" ht="13" x14ac:dyDescent="0.15">
      <c r="A662" s="10"/>
      <c r="B662" s="13"/>
      <c r="C662" s="13"/>
    </row>
    <row r="663" spans="1:3" ht="13" x14ac:dyDescent="0.15">
      <c r="A663" s="10"/>
      <c r="B663" s="13"/>
      <c r="C663" s="13"/>
    </row>
    <row r="664" spans="1:3" ht="13" x14ac:dyDescent="0.15">
      <c r="A664" s="10"/>
      <c r="B664" s="13"/>
      <c r="C664" s="13"/>
    </row>
    <row r="665" spans="1:3" ht="13" x14ac:dyDescent="0.15">
      <c r="A665" s="10"/>
      <c r="B665" s="13"/>
      <c r="C665" s="13"/>
    </row>
    <row r="666" spans="1:3" ht="13" x14ac:dyDescent="0.15">
      <c r="A666" s="10"/>
      <c r="B666" s="13"/>
      <c r="C666" s="13"/>
    </row>
    <row r="667" spans="1:3" ht="13" x14ac:dyDescent="0.15">
      <c r="A667" s="10"/>
      <c r="B667" s="13"/>
      <c r="C667" s="13"/>
    </row>
    <row r="668" spans="1:3" ht="13" x14ac:dyDescent="0.15">
      <c r="A668" s="10"/>
      <c r="B668" s="13"/>
      <c r="C668" s="13"/>
    </row>
    <row r="669" spans="1:3" ht="13" x14ac:dyDescent="0.15">
      <c r="A669" s="10"/>
      <c r="B669" s="13"/>
      <c r="C669" s="13"/>
    </row>
    <row r="670" spans="1:3" ht="13" x14ac:dyDescent="0.15">
      <c r="A670" s="10"/>
      <c r="B670" s="13"/>
      <c r="C670" s="13"/>
    </row>
    <row r="671" spans="1:3" ht="13" x14ac:dyDescent="0.15">
      <c r="A671" s="10"/>
      <c r="B671" s="13"/>
      <c r="C671" s="13"/>
    </row>
    <row r="672" spans="1:3" ht="13" x14ac:dyDescent="0.15">
      <c r="A672" s="10"/>
      <c r="B672" s="13"/>
      <c r="C672" s="13"/>
    </row>
    <row r="673" spans="1:3" ht="13" x14ac:dyDescent="0.15">
      <c r="A673" s="10"/>
      <c r="B673" s="13"/>
      <c r="C673" s="13"/>
    </row>
    <row r="674" spans="1:3" ht="13" x14ac:dyDescent="0.15">
      <c r="A674" s="10"/>
      <c r="B674" s="13"/>
      <c r="C674" s="13"/>
    </row>
    <row r="675" spans="1:3" ht="13" x14ac:dyDescent="0.15">
      <c r="A675" s="10"/>
      <c r="B675" s="13"/>
      <c r="C675" s="13"/>
    </row>
    <row r="676" spans="1:3" ht="13" x14ac:dyDescent="0.15">
      <c r="A676" s="10"/>
      <c r="B676" s="13"/>
      <c r="C676" s="13"/>
    </row>
    <row r="677" spans="1:3" ht="13" x14ac:dyDescent="0.15">
      <c r="A677" s="10"/>
      <c r="B677" s="13"/>
      <c r="C677" s="13"/>
    </row>
    <row r="678" spans="1:3" ht="13" x14ac:dyDescent="0.15">
      <c r="A678" s="10"/>
      <c r="B678" s="13"/>
      <c r="C678" s="13"/>
    </row>
    <row r="679" spans="1:3" ht="13" x14ac:dyDescent="0.15">
      <c r="A679" s="10"/>
      <c r="B679" s="13"/>
      <c r="C679" s="13"/>
    </row>
    <row r="680" spans="1:3" ht="13" x14ac:dyDescent="0.15">
      <c r="A680" s="10"/>
      <c r="B680" s="13"/>
      <c r="C680" s="13"/>
    </row>
    <row r="681" spans="1:3" ht="13" x14ac:dyDescent="0.15">
      <c r="A681" s="10"/>
      <c r="B681" s="13"/>
      <c r="C681" s="13"/>
    </row>
    <row r="682" spans="1:3" ht="13" x14ac:dyDescent="0.15">
      <c r="A682" s="10"/>
      <c r="B682" s="13"/>
      <c r="C682" s="13"/>
    </row>
    <row r="683" spans="1:3" ht="13" x14ac:dyDescent="0.15">
      <c r="A683" s="10"/>
      <c r="B683" s="13"/>
      <c r="C683" s="13"/>
    </row>
    <row r="684" spans="1:3" ht="13" x14ac:dyDescent="0.15">
      <c r="A684" s="10"/>
      <c r="B684" s="13"/>
      <c r="C684" s="13"/>
    </row>
    <row r="685" spans="1:3" ht="13" x14ac:dyDescent="0.15">
      <c r="A685" s="10"/>
      <c r="B685" s="13"/>
      <c r="C685" s="13"/>
    </row>
    <row r="686" spans="1:3" ht="13" x14ac:dyDescent="0.15">
      <c r="A686" s="10"/>
      <c r="B686" s="13"/>
      <c r="C686" s="13"/>
    </row>
    <row r="687" spans="1:3" ht="13" x14ac:dyDescent="0.15">
      <c r="A687" s="10"/>
      <c r="B687" s="13"/>
      <c r="C687" s="13"/>
    </row>
    <row r="688" spans="1:3" ht="13" x14ac:dyDescent="0.15">
      <c r="A688" s="10"/>
      <c r="B688" s="13"/>
      <c r="C688" s="13"/>
    </row>
    <row r="689" spans="1:3" ht="13" x14ac:dyDescent="0.15">
      <c r="A689" s="10"/>
      <c r="B689" s="13"/>
      <c r="C689" s="13"/>
    </row>
    <row r="690" spans="1:3" ht="13" x14ac:dyDescent="0.15">
      <c r="A690" s="10"/>
      <c r="B690" s="13"/>
      <c r="C690" s="13"/>
    </row>
    <row r="691" spans="1:3" ht="13" x14ac:dyDescent="0.15">
      <c r="A691" s="10"/>
      <c r="B691" s="13"/>
      <c r="C691" s="13"/>
    </row>
    <row r="692" spans="1:3" ht="13" x14ac:dyDescent="0.15">
      <c r="A692" s="10"/>
      <c r="B692" s="13"/>
      <c r="C692" s="13"/>
    </row>
    <row r="693" spans="1:3" ht="13" x14ac:dyDescent="0.15">
      <c r="A693" s="10"/>
      <c r="B693" s="13"/>
      <c r="C693" s="13"/>
    </row>
    <row r="694" spans="1:3" ht="13" x14ac:dyDescent="0.15">
      <c r="A694" s="10"/>
      <c r="B694" s="13"/>
      <c r="C694" s="13"/>
    </row>
    <row r="695" spans="1:3" ht="13" x14ac:dyDescent="0.15">
      <c r="A695" s="10"/>
      <c r="B695" s="13"/>
      <c r="C695" s="13"/>
    </row>
    <row r="696" spans="1:3" ht="13" x14ac:dyDescent="0.15">
      <c r="A696" s="10"/>
      <c r="B696" s="13"/>
      <c r="C696" s="13"/>
    </row>
    <row r="697" spans="1:3" ht="13" x14ac:dyDescent="0.15">
      <c r="A697" s="10"/>
      <c r="B697" s="13"/>
      <c r="C697" s="13"/>
    </row>
    <row r="698" spans="1:3" ht="13" x14ac:dyDescent="0.15">
      <c r="A698" s="10"/>
      <c r="B698" s="13"/>
      <c r="C698" s="13"/>
    </row>
    <row r="699" spans="1:3" ht="13" x14ac:dyDescent="0.15">
      <c r="A699" s="10"/>
      <c r="B699" s="13"/>
      <c r="C699" s="13"/>
    </row>
    <row r="700" spans="1:3" ht="13" x14ac:dyDescent="0.15">
      <c r="A700" s="10"/>
      <c r="B700" s="13"/>
      <c r="C700" s="13"/>
    </row>
    <row r="701" spans="1:3" ht="13" x14ac:dyDescent="0.15">
      <c r="A701" s="10"/>
      <c r="B701" s="13"/>
      <c r="C701" s="13"/>
    </row>
    <row r="702" spans="1:3" ht="13" x14ac:dyDescent="0.15">
      <c r="A702" s="10"/>
      <c r="B702" s="13"/>
      <c r="C702" s="13"/>
    </row>
    <row r="703" spans="1:3" ht="13" x14ac:dyDescent="0.15">
      <c r="A703" s="10"/>
      <c r="B703" s="13"/>
      <c r="C703" s="13"/>
    </row>
    <row r="704" spans="1:3" ht="13" x14ac:dyDescent="0.15">
      <c r="A704" s="10"/>
      <c r="B704" s="13"/>
      <c r="C704" s="13"/>
    </row>
    <row r="705" spans="1:3" ht="13" x14ac:dyDescent="0.15">
      <c r="A705" s="10"/>
      <c r="B705" s="13"/>
      <c r="C705" s="13"/>
    </row>
    <row r="706" spans="1:3" ht="13" x14ac:dyDescent="0.15">
      <c r="A706" s="10"/>
      <c r="B706" s="13"/>
      <c r="C706" s="13"/>
    </row>
    <row r="707" spans="1:3" ht="13" x14ac:dyDescent="0.15">
      <c r="A707" s="10"/>
      <c r="B707" s="13"/>
      <c r="C707" s="13"/>
    </row>
    <row r="708" spans="1:3" ht="13" x14ac:dyDescent="0.15">
      <c r="A708" s="10"/>
      <c r="B708" s="13"/>
      <c r="C708" s="13"/>
    </row>
    <row r="709" spans="1:3" ht="13" x14ac:dyDescent="0.15">
      <c r="A709" s="10"/>
      <c r="B709" s="13"/>
      <c r="C709" s="13"/>
    </row>
    <row r="710" spans="1:3" ht="13" x14ac:dyDescent="0.15">
      <c r="A710" s="10"/>
      <c r="B710" s="13"/>
      <c r="C710" s="13"/>
    </row>
    <row r="711" spans="1:3" ht="13" x14ac:dyDescent="0.15">
      <c r="A711" s="10"/>
      <c r="B711" s="13"/>
      <c r="C711" s="13"/>
    </row>
    <row r="712" spans="1:3" ht="13" x14ac:dyDescent="0.15">
      <c r="A712" s="10"/>
      <c r="B712" s="13"/>
      <c r="C712" s="13"/>
    </row>
    <row r="713" spans="1:3" ht="13" x14ac:dyDescent="0.15">
      <c r="A713" s="10"/>
      <c r="B713" s="13"/>
      <c r="C713" s="13"/>
    </row>
    <row r="714" spans="1:3" ht="13" x14ac:dyDescent="0.15">
      <c r="A714" s="10"/>
      <c r="B714" s="13"/>
      <c r="C714" s="13"/>
    </row>
    <row r="715" spans="1:3" ht="13" x14ac:dyDescent="0.15">
      <c r="A715" s="10"/>
      <c r="B715" s="13"/>
      <c r="C715" s="13"/>
    </row>
    <row r="716" spans="1:3" ht="13" x14ac:dyDescent="0.15">
      <c r="A716" s="10"/>
      <c r="B716" s="13"/>
      <c r="C716" s="13"/>
    </row>
    <row r="717" spans="1:3" ht="13" x14ac:dyDescent="0.15">
      <c r="A717" s="10"/>
      <c r="B717" s="13"/>
      <c r="C717" s="13"/>
    </row>
    <row r="718" spans="1:3" ht="13" x14ac:dyDescent="0.15">
      <c r="A718" s="10"/>
      <c r="B718" s="13"/>
      <c r="C718" s="13"/>
    </row>
    <row r="719" spans="1:3" ht="13" x14ac:dyDescent="0.15">
      <c r="A719" s="10"/>
      <c r="B719" s="13"/>
      <c r="C719" s="13"/>
    </row>
    <row r="720" spans="1:3" ht="13" x14ac:dyDescent="0.15">
      <c r="A720" s="10"/>
      <c r="B720" s="13"/>
      <c r="C720" s="13"/>
    </row>
    <row r="721" spans="1:3" ht="13" x14ac:dyDescent="0.15">
      <c r="A721" s="10"/>
      <c r="B721" s="13"/>
      <c r="C721" s="13"/>
    </row>
    <row r="722" spans="1:3" ht="13" x14ac:dyDescent="0.15">
      <c r="A722" s="10"/>
      <c r="B722" s="13"/>
      <c r="C722" s="13"/>
    </row>
    <row r="723" spans="1:3" ht="13" x14ac:dyDescent="0.15">
      <c r="A723" s="10"/>
      <c r="B723" s="13"/>
      <c r="C723" s="13"/>
    </row>
    <row r="724" spans="1:3" ht="13" x14ac:dyDescent="0.15">
      <c r="A724" s="10"/>
      <c r="B724" s="13"/>
      <c r="C724" s="13"/>
    </row>
    <row r="725" spans="1:3" ht="13" x14ac:dyDescent="0.15">
      <c r="A725" s="10"/>
      <c r="B725" s="13"/>
      <c r="C725" s="13"/>
    </row>
    <row r="726" spans="1:3" ht="13" x14ac:dyDescent="0.15">
      <c r="A726" s="10"/>
      <c r="B726" s="13"/>
      <c r="C726" s="13"/>
    </row>
    <row r="727" spans="1:3" ht="13" x14ac:dyDescent="0.15">
      <c r="A727" s="10"/>
      <c r="B727" s="13"/>
      <c r="C727" s="13"/>
    </row>
    <row r="728" spans="1:3" ht="13" x14ac:dyDescent="0.15">
      <c r="A728" s="10"/>
      <c r="B728" s="13"/>
      <c r="C728" s="13"/>
    </row>
    <row r="729" spans="1:3" ht="13" x14ac:dyDescent="0.15">
      <c r="A729" s="10"/>
      <c r="B729" s="13"/>
      <c r="C729" s="13"/>
    </row>
    <row r="730" spans="1:3" ht="13" x14ac:dyDescent="0.15">
      <c r="A730" s="10"/>
      <c r="B730" s="13"/>
      <c r="C730" s="13"/>
    </row>
    <row r="731" spans="1:3" ht="13" x14ac:dyDescent="0.15">
      <c r="A731" s="10"/>
      <c r="B731" s="13"/>
      <c r="C731" s="13"/>
    </row>
    <row r="732" spans="1:3" ht="13" x14ac:dyDescent="0.15">
      <c r="A732" s="10"/>
      <c r="B732" s="13"/>
      <c r="C732" s="13"/>
    </row>
    <row r="733" spans="1:3" ht="13" x14ac:dyDescent="0.15">
      <c r="A733" s="10"/>
      <c r="B733" s="13"/>
      <c r="C733" s="13"/>
    </row>
    <row r="734" spans="1:3" ht="13" x14ac:dyDescent="0.15">
      <c r="A734" s="10"/>
      <c r="B734" s="13"/>
      <c r="C734" s="13"/>
    </row>
    <row r="735" spans="1:3" ht="13" x14ac:dyDescent="0.15">
      <c r="A735" s="10"/>
      <c r="B735" s="13"/>
      <c r="C735" s="13"/>
    </row>
    <row r="736" spans="1:3" ht="13" x14ac:dyDescent="0.15">
      <c r="A736" s="10"/>
      <c r="B736" s="13"/>
      <c r="C736" s="13"/>
    </row>
    <row r="737" spans="1:3" ht="13" x14ac:dyDescent="0.15">
      <c r="A737" s="10"/>
      <c r="B737" s="13"/>
      <c r="C737" s="13"/>
    </row>
    <row r="738" spans="1:3" ht="13" x14ac:dyDescent="0.15">
      <c r="A738" s="10"/>
      <c r="B738" s="13"/>
      <c r="C738" s="13"/>
    </row>
    <row r="739" spans="1:3" ht="13" x14ac:dyDescent="0.15">
      <c r="A739" s="10"/>
      <c r="B739" s="13"/>
      <c r="C739" s="13"/>
    </row>
    <row r="740" spans="1:3" ht="13" x14ac:dyDescent="0.15">
      <c r="A740" s="10"/>
      <c r="B740" s="13"/>
      <c r="C740" s="13"/>
    </row>
    <row r="741" spans="1:3" ht="13" x14ac:dyDescent="0.15">
      <c r="A741" s="10"/>
      <c r="B741" s="13"/>
      <c r="C741" s="13"/>
    </row>
    <row r="742" spans="1:3" ht="13" x14ac:dyDescent="0.15">
      <c r="A742" s="10"/>
      <c r="B742" s="13"/>
      <c r="C742" s="13"/>
    </row>
    <row r="743" spans="1:3" ht="13" x14ac:dyDescent="0.15">
      <c r="A743" s="10"/>
      <c r="B743" s="13"/>
      <c r="C743" s="13"/>
    </row>
    <row r="744" spans="1:3" ht="13" x14ac:dyDescent="0.15">
      <c r="A744" s="10"/>
      <c r="B744" s="13"/>
      <c r="C744" s="13"/>
    </row>
    <row r="745" spans="1:3" ht="13" x14ac:dyDescent="0.15">
      <c r="A745" s="10"/>
      <c r="B745" s="13"/>
      <c r="C745" s="13"/>
    </row>
    <row r="746" spans="1:3" ht="13" x14ac:dyDescent="0.15">
      <c r="A746" s="10"/>
      <c r="B746" s="13"/>
      <c r="C746" s="13"/>
    </row>
    <row r="747" spans="1:3" ht="13" x14ac:dyDescent="0.15">
      <c r="A747" s="10"/>
      <c r="B747" s="13"/>
      <c r="C747" s="13"/>
    </row>
    <row r="748" spans="1:3" ht="13" x14ac:dyDescent="0.15">
      <c r="A748" s="10"/>
      <c r="B748" s="13"/>
      <c r="C748" s="13"/>
    </row>
    <row r="749" spans="1:3" ht="13" x14ac:dyDescent="0.15">
      <c r="A749" s="10"/>
      <c r="B749" s="13"/>
      <c r="C749" s="13"/>
    </row>
    <row r="750" spans="1:3" ht="13" x14ac:dyDescent="0.15">
      <c r="A750" s="10"/>
      <c r="B750" s="13"/>
      <c r="C750" s="13"/>
    </row>
    <row r="751" spans="1:3" ht="13" x14ac:dyDescent="0.15">
      <c r="A751" s="10"/>
      <c r="B751" s="13"/>
      <c r="C751" s="13"/>
    </row>
    <row r="752" spans="1:3" ht="13" x14ac:dyDescent="0.15">
      <c r="A752" s="10"/>
      <c r="B752" s="13"/>
      <c r="C752" s="13"/>
    </row>
    <row r="753" spans="1:3" ht="13" x14ac:dyDescent="0.15">
      <c r="A753" s="10"/>
      <c r="B753" s="13"/>
      <c r="C753" s="13"/>
    </row>
    <row r="754" spans="1:3" ht="13" x14ac:dyDescent="0.15">
      <c r="A754" s="10"/>
      <c r="B754" s="13"/>
      <c r="C754" s="13"/>
    </row>
    <row r="755" spans="1:3" ht="13" x14ac:dyDescent="0.15">
      <c r="A755" s="10"/>
      <c r="B755" s="13"/>
      <c r="C755" s="13"/>
    </row>
    <row r="756" spans="1:3" ht="13" x14ac:dyDescent="0.15">
      <c r="A756" s="10"/>
      <c r="B756" s="13"/>
      <c r="C756" s="13"/>
    </row>
    <row r="757" spans="1:3" ht="13" x14ac:dyDescent="0.15">
      <c r="A757" s="10"/>
      <c r="B757" s="13"/>
      <c r="C757" s="13"/>
    </row>
    <row r="758" spans="1:3" ht="13" x14ac:dyDescent="0.15">
      <c r="A758" s="10"/>
      <c r="B758" s="13"/>
      <c r="C758" s="13"/>
    </row>
    <row r="759" spans="1:3" ht="13" x14ac:dyDescent="0.15">
      <c r="A759" s="10"/>
      <c r="B759" s="13"/>
      <c r="C759" s="13"/>
    </row>
    <row r="760" spans="1:3" ht="13" x14ac:dyDescent="0.15">
      <c r="A760" s="10"/>
      <c r="B760" s="13"/>
      <c r="C760" s="13"/>
    </row>
    <row r="761" spans="1:3" ht="13" x14ac:dyDescent="0.15">
      <c r="A761" s="10"/>
      <c r="B761" s="13"/>
      <c r="C761" s="13"/>
    </row>
    <row r="762" spans="1:3" ht="13" x14ac:dyDescent="0.15">
      <c r="A762" s="10"/>
      <c r="B762" s="13"/>
      <c r="C762" s="13"/>
    </row>
    <row r="763" spans="1:3" ht="13" x14ac:dyDescent="0.15">
      <c r="A763" s="10"/>
      <c r="B763" s="13"/>
      <c r="C763" s="13"/>
    </row>
    <row r="764" spans="1:3" ht="13" x14ac:dyDescent="0.15">
      <c r="A764" s="10"/>
      <c r="B764" s="13"/>
      <c r="C764" s="13"/>
    </row>
    <row r="765" spans="1:3" ht="13" x14ac:dyDescent="0.15">
      <c r="A765" s="10"/>
      <c r="B765" s="13"/>
      <c r="C765" s="13"/>
    </row>
    <row r="766" spans="1:3" ht="13" x14ac:dyDescent="0.15">
      <c r="A766" s="10"/>
      <c r="B766" s="13"/>
      <c r="C766" s="13"/>
    </row>
    <row r="767" spans="1:3" ht="13" x14ac:dyDescent="0.15">
      <c r="A767" s="10"/>
      <c r="B767" s="13"/>
      <c r="C767" s="13"/>
    </row>
    <row r="768" spans="1:3" ht="13" x14ac:dyDescent="0.15">
      <c r="A768" s="10"/>
      <c r="B768" s="13"/>
      <c r="C768" s="13"/>
    </row>
    <row r="769" spans="1:3" ht="13" x14ac:dyDescent="0.15">
      <c r="A769" s="10"/>
      <c r="B769" s="13"/>
      <c r="C769" s="13"/>
    </row>
    <row r="770" spans="1:3" ht="13" x14ac:dyDescent="0.15">
      <c r="A770" s="10"/>
      <c r="B770" s="13"/>
      <c r="C770" s="13"/>
    </row>
    <row r="771" spans="1:3" ht="13" x14ac:dyDescent="0.15">
      <c r="A771" s="10"/>
      <c r="B771" s="13"/>
      <c r="C771" s="13"/>
    </row>
    <row r="772" spans="1:3" ht="13" x14ac:dyDescent="0.15">
      <c r="A772" s="10"/>
      <c r="B772" s="13"/>
      <c r="C772" s="13"/>
    </row>
    <row r="773" spans="1:3" ht="13" x14ac:dyDescent="0.15">
      <c r="A773" s="10"/>
      <c r="B773" s="13"/>
      <c r="C773" s="13"/>
    </row>
    <row r="774" spans="1:3" ht="13" x14ac:dyDescent="0.15">
      <c r="A774" s="10"/>
      <c r="B774" s="13"/>
      <c r="C774" s="13"/>
    </row>
    <row r="775" spans="1:3" ht="13" x14ac:dyDescent="0.15">
      <c r="A775" s="10"/>
      <c r="B775" s="13"/>
      <c r="C775" s="13"/>
    </row>
    <row r="776" spans="1:3" ht="13" x14ac:dyDescent="0.15">
      <c r="A776" s="10"/>
      <c r="B776" s="13"/>
      <c r="C776" s="13"/>
    </row>
    <row r="777" spans="1:3" ht="13" x14ac:dyDescent="0.15">
      <c r="A777" s="10"/>
      <c r="B777" s="13"/>
      <c r="C777" s="13"/>
    </row>
    <row r="778" spans="1:3" ht="13" x14ac:dyDescent="0.15">
      <c r="A778" s="10"/>
      <c r="B778" s="13"/>
      <c r="C778" s="13"/>
    </row>
    <row r="779" spans="1:3" ht="13" x14ac:dyDescent="0.15">
      <c r="A779" s="10"/>
      <c r="B779" s="13"/>
      <c r="C779" s="13"/>
    </row>
    <row r="780" spans="1:3" ht="13" x14ac:dyDescent="0.15">
      <c r="A780" s="10"/>
      <c r="B780" s="13"/>
      <c r="C780" s="13"/>
    </row>
    <row r="781" spans="1:3" ht="13" x14ac:dyDescent="0.15">
      <c r="A781" s="10"/>
      <c r="B781" s="13"/>
      <c r="C781" s="13"/>
    </row>
    <row r="782" spans="1:3" ht="13" x14ac:dyDescent="0.15">
      <c r="A782" s="10"/>
      <c r="B782" s="13"/>
      <c r="C782" s="13"/>
    </row>
    <row r="783" spans="1:3" ht="13" x14ac:dyDescent="0.15">
      <c r="A783" s="10"/>
      <c r="B783" s="13"/>
      <c r="C783" s="13"/>
    </row>
    <row r="784" spans="1:3" ht="13" x14ac:dyDescent="0.15">
      <c r="A784" s="10"/>
      <c r="B784" s="13"/>
      <c r="C784" s="13"/>
    </row>
    <row r="785" spans="1:3" ht="13" x14ac:dyDescent="0.15">
      <c r="A785" s="10"/>
      <c r="B785" s="13"/>
      <c r="C785" s="13"/>
    </row>
    <row r="786" spans="1:3" ht="13" x14ac:dyDescent="0.15">
      <c r="A786" s="10"/>
      <c r="B786" s="13"/>
      <c r="C786" s="13"/>
    </row>
    <row r="787" spans="1:3" ht="13" x14ac:dyDescent="0.15">
      <c r="A787" s="10"/>
      <c r="B787" s="13"/>
      <c r="C787" s="13"/>
    </row>
    <row r="788" spans="1:3" ht="13" x14ac:dyDescent="0.15">
      <c r="A788" s="10"/>
      <c r="B788" s="13"/>
      <c r="C788" s="13"/>
    </row>
    <row r="789" spans="1:3" ht="13" x14ac:dyDescent="0.15">
      <c r="A789" s="10"/>
      <c r="B789" s="13"/>
      <c r="C789" s="13"/>
    </row>
    <row r="790" spans="1:3" ht="13" x14ac:dyDescent="0.15">
      <c r="A790" s="10"/>
      <c r="B790" s="13"/>
      <c r="C790" s="13"/>
    </row>
    <row r="791" spans="1:3" ht="13" x14ac:dyDescent="0.15">
      <c r="A791" s="10"/>
      <c r="B791" s="13"/>
      <c r="C791" s="13"/>
    </row>
    <row r="792" spans="1:3" ht="13" x14ac:dyDescent="0.15">
      <c r="A792" s="10"/>
      <c r="B792" s="13"/>
      <c r="C792" s="13"/>
    </row>
    <row r="793" spans="1:3" ht="13" x14ac:dyDescent="0.15">
      <c r="A793" s="10"/>
      <c r="B793" s="13"/>
      <c r="C793" s="13"/>
    </row>
    <row r="794" spans="1:3" ht="13" x14ac:dyDescent="0.15">
      <c r="A794" s="10"/>
      <c r="B794" s="13"/>
      <c r="C794" s="13"/>
    </row>
    <row r="795" spans="1:3" ht="13" x14ac:dyDescent="0.15">
      <c r="A795" s="10"/>
      <c r="B795" s="13"/>
      <c r="C795" s="13"/>
    </row>
    <row r="796" spans="1:3" ht="13" x14ac:dyDescent="0.15">
      <c r="A796" s="10"/>
      <c r="B796" s="13"/>
      <c r="C796" s="13"/>
    </row>
    <row r="797" spans="1:3" ht="13" x14ac:dyDescent="0.15">
      <c r="A797" s="10"/>
      <c r="B797" s="13"/>
      <c r="C797" s="13"/>
    </row>
    <row r="798" spans="1:3" ht="13" x14ac:dyDescent="0.15">
      <c r="A798" s="10"/>
      <c r="B798" s="13"/>
      <c r="C798" s="13"/>
    </row>
    <row r="799" spans="1:3" ht="13" x14ac:dyDescent="0.15">
      <c r="A799" s="10"/>
      <c r="B799" s="13"/>
      <c r="C799" s="13"/>
    </row>
    <row r="800" spans="1:3" ht="13" x14ac:dyDescent="0.15">
      <c r="A800" s="10"/>
      <c r="B800" s="13"/>
      <c r="C800" s="13"/>
    </row>
    <row r="801" spans="1:3" ht="13" x14ac:dyDescent="0.15">
      <c r="A801" s="10"/>
      <c r="B801" s="13"/>
      <c r="C801" s="13"/>
    </row>
    <row r="802" spans="1:3" ht="13" x14ac:dyDescent="0.15">
      <c r="A802" s="10"/>
      <c r="B802" s="13"/>
      <c r="C802" s="13"/>
    </row>
    <row r="803" spans="1:3" ht="13" x14ac:dyDescent="0.15">
      <c r="A803" s="10"/>
      <c r="B803" s="13"/>
      <c r="C803" s="13"/>
    </row>
    <row r="804" spans="1:3" ht="13" x14ac:dyDescent="0.15">
      <c r="A804" s="10"/>
      <c r="B804" s="13"/>
      <c r="C804" s="13"/>
    </row>
    <row r="805" spans="1:3" ht="13" x14ac:dyDescent="0.15">
      <c r="A805" s="10"/>
      <c r="B805" s="13"/>
      <c r="C805" s="13"/>
    </row>
    <row r="806" spans="1:3" ht="13" x14ac:dyDescent="0.15">
      <c r="A806" s="10"/>
      <c r="B806" s="13"/>
      <c r="C806" s="13"/>
    </row>
    <row r="807" spans="1:3" ht="13" x14ac:dyDescent="0.15">
      <c r="A807" s="10"/>
      <c r="B807" s="13"/>
      <c r="C807" s="13"/>
    </row>
    <row r="808" spans="1:3" ht="13" x14ac:dyDescent="0.15">
      <c r="A808" s="10"/>
      <c r="B808" s="13"/>
      <c r="C808" s="13"/>
    </row>
    <row r="809" spans="1:3" ht="13" x14ac:dyDescent="0.15">
      <c r="A809" s="10"/>
      <c r="B809" s="13"/>
      <c r="C809" s="13"/>
    </row>
    <row r="810" spans="1:3" ht="13" x14ac:dyDescent="0.15">
      <c r="A810" s="10"/>
      <c r="B810" s="13"/>
      <c r="C810" s="13"/>
    </row>
    <row r="811" spans="1:3" ht="13" x14ac:dyDescent="0.15">
      <c r="A811" s="10"/>
      <c r="B811" s="13"/>
      <c r="C811" s="13"/>
    </row>
    <row r="812" spans="1:3" ht="13" x14ac:dyDescent="0.15">
      <c r="A812" s="10"/>
      <c r="B812" s="13"/>
      <c r="C812" s="13"/>
    </row>
    <row r="813" spans="1:3" ht="13" x14ac:dyDescent="0.15">
      <c r="A813" s="10"/>
      <c r="B813" s="13"/>
      <c r="C813" s="13"/>
    </row>
    <row r="814" spans="1:3" ht="13" x14ac:dyDescent="0.15">
      <c r="A814" s="10"/>
      <c r="B814" s="13"/>
      <c r="C814" s="13"/>
    </row>
    <row r="815" spans="1:3" ht="13" x14ac:dyDescent="0.15">
      <c r="A815" s="10"/>
      <c r="B815" s="13"/>
      <c r="C815" s="13"/>
    </row>
    <row r="816" spans="1:3" ht="13" x14ac:dyDescent="0.15">
      <c r="A816" s="10"/>
      <c r="B816" s="13"/>
      <c r="C816" s="13"/>
    </row>
    <row r="817" spans="1:3" ht="13" x14ac:dyDescent="0.15">
      <c r="A817" s="10"/>
      <c r="B817" s="13"/>
      <c r="C817" s="13"/>
    </row>
    <row r="818" spans="1:3" ht="13" x14ac:dyDescent="0.15">
      <c r="A818" s="10"/>
      <c r="B818" s="13"/>
      <c r="C818" s="13"/>
    </row>
    <row r="819" spans="1:3" ht="13" x14ac:dyDescent="0.15">
      <c r="A819" s="10"/>
      <c r="B819" s="13"/>
      <c r="C819" s="13"/>
    </row>
    <row r="820" spans="1:3" ht="13" x14ac:dyDescent="0.15">
      <c r="A820" s="10"/>
      <c r="B820" s="13"/>
      <c r="C820" s="13"/>
    </row>
    <row r="821" spans="1:3" ht="13" x14ac:dyDescent="0.15">
      <c r="A821" s="10"/>
      <c r="B821" s="13"/>
      <c r="C821" s="13"/>
    </row>
    <row r="822" spans="1:3" ht="13" x14ac:dyDescent="0.15">
      <c r="A822" s="10"/>
      <c r="B822" s="13"/>
      <c r="C822" s="13"/>
    </row>
    <row r="823" spans="1:3" ht="13" x14ac:dyDescent="0.15">
      <c r="A823" s="10"/>
      <c r="B823" s="13"/>
      <c r="C823" s="13"/>
    </row>
    <row r="824" spans="1:3" ht="13" x14ac:dyDescent="0.15">
      <c r="A824" s="10"/>
      <c r="B824" s="13"/>
      <c r="C824" s="13"/>
    </row>
    <row r="825" spans="1:3" ht="13" x14ac:dyDescent="0.15">
      <c r="A825" s="10"/>
      <c r="B825" s="13"/>
      <c r="C825" s="13"/>
    </row>
    <row r="826" spans="1:3" ht="13" x14ac:dyDescent="0.15">
      <c r="A826" s="10"/>
      <c r="B826" s="13"/>
      <c r="C826" s="13"/>
    </row>
    <row r="827" spans="1:3" ht="13" x14ac:dyDescent="0.15">
      <c r="A827" s="10"/>
      <c r="B827" s="13"/>
      <c r="C827" s="13"/>
    </row>
    <row r="828" spans="1:3" ht="13" x14ac:dyDescent="0.15">
      <c r="A828" s="10"/>
      <c r="B828" s="13"/>
      <c r="C828" s="13"/>
    </row>
    <row r="829" spans="1:3" ht="13" x14ac:dyDescent="0.15">
      <c r="A829" s="10"/>
      <c r="B829" s="13"/>
      <c r="C829" s="13"/>
    </row>
    <row r="830" spans="1:3" ht="13" x14ac:dyDescent="0.15">
      <c r="A830" s="10"/>
      <c r="B830" s="13"/>
      <c r="C830" s="13"/>
    </row>
    <row r="831" spans="1:3" ht="13" x14ac:dyDescent="0.15">
      <c r="A831" s="10"/>
      <c r="B831" s="13"/>
      <c r="C831" s="13"/>
    </row>
    <row r="832" spans="1:3" ht="13" x14ac:dyDescent="0.15">
      <c r="A832" s="10"/>
      <c r="B832" s="13"/>
      <c r="C832" s="13"/>
    </row>
    <row r="833" spans="1:3" ht="13" x14ac:dyDescent="0.15">
      <c r="A833" s="10"/>
      <c r="B833" s="13"/>
      <c r="C833" s="13"/>
    </row>
    <row r="834" spans="1:3" ht="13" x14ac:dyDescent="0.15">
      <c r="A834" s="10"/>
      <c r="B834" s="13"/>
      <c r="C834" s="13"/>
    </row>
    <row r="835" spans="1:3" ht="13" x14ac:dyDescent="0.15">
      <c r="A835" s="10"/>
      <c r="B835" s="13"/>
      <c r="C835" s="13"/>
    </row>
    <row r="836" spans="1:3" ht="13" x14ac:dyDescent="0.15">
      <c r="A836" s="10"/>
      <c r="B836" s="13"/>
      <c r="C836" s="13"/>
    </row>
    <row r="837" spans="1:3" ht="13" x14ac:dyDescent="0.15">
      <c r="A837" s="10"/>
      <c r="B837" s="13"/>
      <c r="C837" s="13"/>
    </row>
    <row r="838" spans="1:3" ht="13" x14ac:dyDescent="0.15">
      <c r="A838" s="10"/>
      <c r="B838" s="13"/>
      <c r="C838" s="13"/>
    </row>
    <row r="839" spans="1:3" ht="13" x14ac:dyDescent="0.15">
      <c r="A839" s="10"/>
      <c r="B839" s="13"/>
      <c r="C839" s="13"/>
    </row>
    <row r="840" spans="1:3" ht="13" x14ac:dyDescent="0.15">
      <c r="A840" s="10"/>
      <c r="B840" s="13"/>
      <c r="C840" s="13"/>
    </row>
    <row r="841" spans="1:3" ht="13" x14ac:dyDescent="0.15">
      <c r="A841" s="10"/>
      <c r="B841" s="13"/>
      <c r="C841" s="13"/>
    </row>
    <row r="842" spans="1:3" ht="13" x14ac:dyDescent="0.15">
      <c r="A842" s="10"/>
      <c r="B842" s="13"/>
      <c r="C842" s="13"/>
    </row>
    <row r="843" spans="1:3" ht="13" x14ac:dyDescent="0.15">
      <c r="A843" s="10"/>
      <c r="B843" s="13"/>
      <c r="C843" s="13"/>
    </row>
    <row r="844" spans="1:3" ht="13" x14ac:dyDescent="0.15">
      <c r="A844" s="10"/>
      <c r="B844" s="13"/>
      <c r="C844" s="13"/>
    </row>
    <row r="845" spans="1:3" ht="13" x14ac:dyDescent="0.15">
      <c r="A845" s="10"/>
      <c r="B845" s="13"/>
      <c r="C845" s="13"/>
    </row>
    <row r="846" spans="1:3" ht="13" x14ac:dyDescent="0.15">
      <c r="A846" s="10"/>
      <c r="B846" s="13"/>
      <c r="C846" s="13"/>
    </row>
    <row r="847" spans="1:3" ht="13" x14ac:dyDescent="0.15">
      <c r="A847" s="10"/>
      <c r="B847" s="13"/>
      <c r="C847" s="13"/>
    </row>
    <row r="848" spans="1:3" ht="13" x14ac:dyDescent="0.15">
      <c r="A848" s="10"/>
      <c r="B848" s="13"/>
      <c r="C848" s="13"/>
    </row>
    <row r="849" spans="1:3" ht="13" x14ac:dyDescent="0.15">
      <c r="A849" s="10"/>
      <c r="B849" s="13"/>
      <c r="C849" s="13"/>
    </row>
    <row r="850" spans="1:3" ht="13" x14ac:dyDescent="0.15">
      <c r="A850" s="10"/>
      <c r="B850" s="13"/>
      <c r="C850" s="13"/>
    </row>
    <row r="851" spans="1:3" ht="13" x14ac:dyDescent="0.15">
      <c r="A851" s="10"/>
      <c r="B851" s="13"/>
      <c r="C851" s="13"/>
    </row>
    <row r="852" spans="1:3" ht="13" x14ac:dyDescent="0.15">
      <c r="A852" s="10"/>
      <c r="B852" s="13"/>
      <c r="C852" s="13"/>
    </row>
    <row r="853" spans="1:3" ht="13" x14ac:dyDescent="0.15">
      <c r="A853" s="10"/>
      <c r="B853" s="13"/>
      <c r="C853" s="13"/>
    </row>
    <row r="854" spans="1:3" ht="13" x14ac:dyDescent="0.15">
      <c r="A854" s="10"/>
      <c r="B854" s="13"/>
      <c r="C854" s="13"/>
    </row>
    <row r="855" spans="1:3" ht="13" x14ac:dyDescent="0.15">
      <c r="A855" s="10"/>
      <c r="B855" s="13"/>
      <c r="C855" s="13"/>
    </row>
    <row r="856" spans="1:3" ht="13" x14ac:dyDescent="0.15">
      <c r="A856" s="10"/>
      <c r="B856" s="13"/>
      <c r="C856" s="13"/>
    </row>
    <row r="857" spans="1:3" ht="13" x14ac:dyDescent="0.15">
      <c r="A857" s="10"/>
      <c r="B857" s="13"/>
      <c r="C857" s="13"/>
    </row>
    <row r="858" spans="1:3" ht="13" x14ac:dyDescent="0.15">
      <c r="A858" s="10"/>
      <c r="B858" s="13"/>
      <c r="C858" s="13"/>
    </row>
    <row r="859" spans="1:3" ht="13" x14ac:dyDescent="0.15">
      <c r="A859" s="10"/>
      <c r="B859" s="13"/>
      <c r="C859" s="13"/>
    </row>
    <row r="860" spans="1:3" ht="13" x14ac:dyDescent="0.15">
      <c r="A860" s="10"/>
      <c r="B860" s="13"/>
      <c r="C860" s="13"/>
    </row>
    <row r="861" spans="1:3" ht="13" x14ac:dyDescent="0.15">
      <c r="A861" s="10"/>
      <c r="B861" s="13"/>
      <c r="C861" s="13"/>
    </row>
    <row r="862" spans="1:3" ht="13" x14ac:dyDescent="0.15">
      <c r="A862" s="10"/>
      <c r="B862" s="13"/>
      <c r="C862" s="13"/>
    </row>
    <row r="863" spans="1:3" ht="13" x14ac:dyDescent="0.15">
      <c r="A863" s="10"/>
      <c r="B863" s="13"/>
      <c r="C863" s="13"/>
    </row>
    <row r="864" spans="1:3" ht="13" x14ac:dyDescent="0.15">
      <c r="A864" s="10"/>
      <c r="B864" s="13"/>
      <c r="C864" s="13"/>
    </row>
    <row r="865" spans="1:3" ht="13" x14ac:dyDescent="0.15">
      <c r="A865" s="10"/>
      <c r="B865" s="13"/>
      <c r="C865" s="13"/>
    </row>
    <row r="866" spans="1:3" ht="13" x14ac:dyDescent="0.15">
      <c r="A866" s="10"/>
      <c r="B866" s="13"/>
      <c r="C866" s="13"/>
    </row>
    <row r="867" spans="1:3" ht="13" x14ac:dyDescent="0.15">
      <c r="A867" s="10"/>
      <c r="B867" s="13"/>
      <c r="C867" s="13"/>
    </row>
    <row r="868" spans="1:3" ht="13" x14ac:dyDescent="0.15">
      <c r="A868" s="10"/>
      <c r="B868" s="13"/>
      <c r="C868" s="13"/>
    </row>
    <row r="869" spans="1:3" ht="13" x14ac:dyDescent="0.15">
      <c r="A869" s="10"/>
      <c r="B869" s="13"/>
      <c r="C869" s="13"/>
    </row>
    <row r="870" spans="1:3" ht="13" x14ac:dyDescent="0.15">
      <c r="A870" s="10"/>
      <c r="B870" s="13"/>
      <c r="C870" s="13"/>
    </row>
    <row r="871" spans="1:3" ht="13" x14ac:dyDescent="0.15">
      <c r="A871" s="10"/>
      <c r="B871" s="13"/>
      <c r="C871" s="13"/>
    </row>
    <row r="872" spans="1:3" ht="13" x14ac:dyDescent="0.15">
      <c r="A872" s="10"/>
      <c r="B872" s="13"/>
      <c r="C872" s="13"/>
    </row>
    <row r="873" spans="1:3" ht="13" x14ac:dyDescent="0.15">
      <c r="A873" s="10"/>
      <c r="B873" s="13"/>
      <c r="C873" s="13"/>
    </row>
    <row r="874" spans="1:3" ht="13" x14ac:dyDescent="0.15">
      <c r="A874" s="10"/>
      <c r="B874" s="13"/>
      <c r="C874" s="13"/>
    </row>
    <row r="875" spans="1:3" ht="13" x14ac:dyDescent="0.15">
      <c r="A875" s="10"/>
      <c r="B875" s="13"/>
      <c r="C875" s="13"/>
    </row>
    <row r="876" spans="1:3" ht="13" x14ac:dyDescent="0.15">
      <c r="A876" s="10"/>
      <c r="B876" s="13"/>
      <c r="C876" s="13"/>
    </row>
    <row r="877" spans="1:3" ht="13" x14ac:dyDescent="0.15">
      <c r="A877" s="10"/>
      <c r="B877" s="13"/>
      <c r="C877" s="13"/>
    </row>
    <row r="878" spans="1:3" ht="13" x14ac:dyDescent="0.15">
      <c r="A878" s="10"/>
      <c r="B878" s="13"/>
      <c r="C878" s="13"/>
    </row>
    <row r="879" spans="1:3" ht="13" x14ac:dyDescent="0.15">
      <c r="A879" s="10"/>
      <c r="B879" s="13"/>
      <c r="C879" s="13"/>
    </row>
    <row r="880" spans="1:3" ht="13" x14ac:dyDescent="0.15">
      <c r="A880" s="10"/>
      <c r="B880" s="13"/>
      <c r="C880" s="13"/>
    </row>
    <row r="881" spans="1:3" ht="13" x14ac:dyDescent="0.15">
      <c r="A881" s="10"/>
      <c r="B881" s="13"/>
      <c r="C881" s="13"/>
    </row>
    <row r="882" spans="1:3" ht="13" x14ac:dyDescent="0.15">
      <c r="A882" s="10"/>
      <c r="B882" s="13"/>
      <c r="C882" s="13"/>
    </row>
    <row r="883" spans="1:3" ht="13" x14ac:dyDescent="0.15">
      <c r="A883" s="10"/>
      <c r="B883" s="13"/>
      <c r="C883" s="13"/>
    </row>
    <row r="884" spans="1:3" ht="13" x14ac:dyDescent="0.15">
      <c r="A884" s="10"/>
      <c r="B884" s="13"/>
      <c r="C884" s="13"/>
    </row>
    <row r="885" spans="1:3" ht="13" x14ac:dyDescent="0.15">
      <c r="A885" s="10"/>
      <c r="B885" s="13"/>
      <c r="C885" s="13"/>
    </row>
    <row r="886" spans="1:3" ht="13" x14ac:dyDescent="0.15">
      <c r="A886" s="10"/>
      <c r="B886" s="13"/>
      <c r="C886" s="13"/>
    </row>
    <row r="887" spans="1:3" ht="13" x14ac:dyDescent="0.15">
      <c r="A887" s="10"/>
      <c r="B887" s="13"/>
      <c r="C887" s="13"/>
    </row>
    <row r="888" spans="1:3" ht="13" x14ac:dyDescent="0.15">
      <c r="A888" s="10"/>
      <c r="B888" s="13"/>
      <c r="C888" s="13"/>
    </row>
    <row r="889" spans="1:3" ht="13" x14ac:dyDescent="0.15">
      <c r="A889" s="10"/>
      <c r="B889" s="13"/>
      <c r="C889" s="13"/>
    </row>
    <row r="890" spans="1:3" ht="13" x14ac:dyDescent="0.15">
      <c r="A890" s="10"/>
      <c r="B890" s="13"/>
      <c r="C890" s="13"/>
    </row>
    <row r="891" spans="1:3" ht="13" x14ac:dyDescent="0.15">
      <c r="A891" s="10"/>
      <c r="B891" s="13"/>
      <c r="C891" s="13"/>
    </row>
    <row r="892" spans="1:3" ht="13" x14ac:dyDescent="0.15">
      <c r="A892" s="10"/>
      <c r="B892" s="13"/>
      <c r="C892" s="13"/>
    </row>
    <row r="893" spans="1:3" ht="13" x14ac:dyDescent="0.15">
      <c r="A893" s="10"/>
      <c r="B893" s="13"/>
      <c r="C893" s="13"/>
    </row>
    <row r="894" spans="1:3" ht="13" x14ac:dyDescent="0.15">
      <c r="A894" s="10"/>
      <c r="B894" s="13"/>
      <c r="C894" s="13"/>
    </row>
    <row r="895" spans="1:3" ht="13" x14ac:dyDescent="0.15">
      <c r="A895" s="10"/>
      <c r="B895" s="13"/>
      <c r="C895" s="13"/>
    </row>
    <row r="896" spans="1:3" ht="13" x14ac:dyDescent="0.15">
      <c r="A896" s="10"/>
      <c r="B896" s="13"/>
      <c r="C896" s="13"/>
    </row>
    <row r="897" spans="1:3" ht="13" x14ac:dyDescent="0.15">
      <c r="A897" s="10"/>
      <c r="B897" s="13"/>
      <c r="C897" s="13"/>
    </row>
    <row r="898" spans="1:3" ht="13" x14ac:dyDescent="0.15">
      <c r="A898" s="10"/>
      <c r="B898" s="13"/>
      <c r="C898" s="13"/>
    </row>
    <row r="899" spans="1:3" ht="13" x14ac:dyDescent="0.15">
      <c r="A899" s="10"/>
      <c r="B899" s="13"/>
      <c r="C899" s="13"/>
    </row>
    <row r="900" spans="1:3" ht="13" x14ac:dyDescent="0.15">
      <c r="A900" s="10"/>
      <c r="B900" s="13"/>
      <c r="C900" s="13"/>
    </row>
    <row r="901" spans="1:3" ht="13" x14ac:dyDescent="0.15">
      <c r="A901" s="10"/>
      <c r="B901" s="13"/>
      <c r="C901" s="13"/>
    </row>
    <row r="902" spans="1:3" ht="13" x14ac:dyDescent="0.15">
      <c r="A902" s="10"/>
      <c r="B902" s="13"/>
      <c r="C902" s="13"/>
    </row>
    <row r="903" spans="1:3" ht="13" x14ac:dyDescent="0.15">
      <c r="A903" s="10"/>
      <c r="B903" s="13"/>
      <c r="C903" s="13"/>
    </row>
    <row r="904" spans="1:3" ht="13" x14ac:dyDescent="0.15">
      <c r="A904" s="10"/>
      <c r="B904" s="13"/>
      <c r="C904" s="13"/>
    </row>
    <row r="905" spans="1:3" ht="13" x14ac:dyDescent="0.15">
      <c r="A905" s="10"/>
      <c r="B905" s="13"/>
      <c r="C905" s="13"/>
    </row>
    <row r="906" spans="1:3" ht="13" x14ac:dyDescent="0.15">
      <c r="A906" s="10"/>
      <c r="B906" s="13"/>
      <c r="C906" s="13"/>
    </row>
    <row r="907" spans="1:3" ht="13" x14ac:dyDescent="0.15">
      <c r="A907" s="10"/>
      <c r="B907" s="13"/>
      <c r="C907" s="13"/>
    </row>
    <row r="908" spans="1:3" ht="13" x14ac:dyDescent="0.15">
      <c r="A908" s="10"/>
      <c r="B908" s="13"/>
      <c r="C908" s="13"/>
    </row>
    <row r="909" spans="1:3" ht="13" x14ac:dyDescent="0.15">
      <c r="A909" s="10"/>
      <c r="B909" s="13"/>
      <c r="C909" s="13"/>
    </row>
    <row r="910" spans="1:3" ht="13" x14ac:dyDescent="0.15">
      <c r="A910" s="10"/>
      <c r="B910" s="13"/>
      <c r="C910" s="13"/>
    </row>
    <row r="911" spans="1:3" ht="13" x14ac:dyDescent="0.15">
      <c r="A911" s="10"/>
      <c r="B911" s="13"/>
      <c r="C911" s="13"/>
    </row>
    <row r="912" spans="1:3" ht="13" x14ac:dyDescent="0.15">
      <c r="A912" s="10"/>
      <c r="B912" s="13"/>
      <c r="C912" s="13"/>
    </row>
    <row r="913" spans="1:3" ht="13" x14ac:dyDescent="0.15">
      <c r="A913" s="10"/>
      <c r="B913" s="13"/>
      <c r="C913" s="13"/>
    </row>
    <row r="914" spans="1:3" ht="13" x14ac:dyDescent="0.15">
      <c r="A914" s="10"/>
      <c r="B914" s="13"/>
      <c r="C914" s="13"/>
    </row>
    <row r="915" spans="1:3" ht="13" x14ac:dyDescent="0.15">
      <c r="A915" s="10"/>
      <c r="B915" s="13"/>
      <c r="C915" s="13"/>
    </row>
    <row r="916" spans="1:3" ht="13" x14ac:dyDescent="0.15">
      <c r="A916" s="10"/>
      <c r="B916" s="13"/>
      <c r="C916" s="13"/>
    </row>
    <row r="917" spans="1:3" ht="13" x14ac:dyDescent="0.15">
      <c r="A917" s="10"/>
      <c r="B917" s="13"/>
      <c r="C917" s="13"/>
    </row>
    <row r="918" spans="1:3" ht="13" x14ac:dyDescent="0.15">
      <c r="A918" s="10"/>
      <c r="B918" s="13"/>
      <c r="C918" s="13"/>
    </row>
    <row r="919" spans="1:3" ht="13" x14ac:dyDescent="0.15">
      <c r="A919" s="10"/>
      <c r="B919" s="13"/>
      <c r="C919" s="13"/>
    </row>
    <row r="920" spans="1:3" ht="13" x14ac:dyDescent="0.15">
      <c r="A920" s="10"/>
      <c r="B920" s="13"/>
      <c r="C920" s="13"/>
    </row>
    <row r="921" spans="1:3" ht="13" x14ac:dyDescent="0.15">
      <c r="A921" s="10"/>
      <c r="B921" s="13"/>
      <c r="C921" s="13"/>
    </row>
    <row r="922" spans="1:3" ht="13" x14ac:dyDescent="0.15">
      <c r="A922" s="10"/>
      <c r="B922" s="13"/>
      <c r="C922" s="13"/>
    </row>
    <row r="923" spans="1:3" ht="13" x14ac:dyDescent="0.15">
      <c r="A923" s="10"/>
      <c r="B923" s="13"/>
      <c r="C923" s="13"/>
    </row>
    <row r="924" spans="1:3" ht="13" x14ac:dyDescent="0.15">
      <c r="A924" s="10"/>
      <c r="B924" s="13"/>
      <c r="C924" s="13"/>
    </row>
    <row r="925" spans="1:3" ht="13" x14ac:dyDescent="0.15">
      <c r="A925" s="10"/>
      <c r="B925" s="13"/>
      <c r="C925" s="13"/>
    </row>
    <row r="926" spans="1:3" ht="13" x14ac:dyDescent="0.15">
      <c r="A926" s="10"/>
      <c r="B926" s="13"/>
      <c r="C926" s="13"/>
    </row>
    <row r="927" spans="1:3" ht="13" x14ac:dyDescent="0.15">
      <c r="A927" s="10"/>
      <c r="B927" s="13"/>
      <c r="C927" s="13"/>
    </row>
    <row r="928" spans="1:3" ht="13" x14ac:dyDescent="0.15">
      <c r="A928" s="10"/>
      <c r="B928" s="13"/>
      <c r="C928" s="13"/>
    </row>
    <row r="929" spans="1:3" ht="13" x14ac:dyDescent="0.15">
      <c r="A929" s="10"/>
      <c r="B929" s="13"/>
      <c r="C929" s="13"/>
    </row>
    <row r="930" spans="1:3" ht="13" x14ac:dyDescent="0.15">
      <c r="A930" s="10"/>
      <c r="B930" s="13"/>
      <c r="C930" s="13"/>
    </row>
    <row r="931" spans="1:3" ht="13" x14ac:dyDescent="0.15">
      <c r="A931" s="10"/>
      <c r="B931" s="13"/>
      <c r="C931" s="13"/>
    </row>
    <row r="932" spans="1:3" ht="13" x14ac:dyDescent="0.15">
      <c r="A932" s="10"/>
      <c r="B932" s="13"/>
      <c r="C932" s="13"/>
    </row>
    <row r="933" spans="1:3" ht="13" x14ac:dyDescent="0.15">
      <c r="A933" s="10"/>
      <c r="B933" s="13"/>
      <c r="C933" s="13"/>
    </row>
    <row r="934" spans="1:3" ht="13" x14ac:dyDescent="0.15">
      <c r="A934" s="10"/>
      <c r="B934" s="13"/>
      <c r="C934" s="13"/>
    </row>
    <row r="935" spans="1:3" ht="13" x14ac:dyDescent="0.15">
      <c r="A935" s="10"/>
      <c r="B935" s="13"/>
      <c r="C935" s="13"/>
    </row>
    <row r="936" spans="1:3" ht="13" x14ac:dyDescent="0.15">
      <c r="A936" s="10"/>
      <c r="B936" s="13"/>
      <c r="C936" s="13"/>
    </row>
    <row r="937" spans="1:3" ht="13" x14ac:dyDescent="0.15">
      <c r="A937" s="10"/>
      <c r="B937" s="13"/>
      <c r="C937" s="13"/>
    </row>
    <row r="938" spans="1:3" ht="13" x14ac:dyDescent="0.15">
      <c r="A938" s="10"/>
      <c r="B938" s="13"/>
      <c r="C938" s="13"/>
    </row>
    <row r="939" spans="1:3" ht="13" x14ac:dyDescent="0.15">
      <c r="A939" s="10"/>
      <c r="B939" s="13"/>
      <c r="C939" s="13"/>
    </row>
    <row r="940" spans="1:3" ht="13" x14ac:dyDescent="0.15">
      <c r="A940" s="10"/>
      <c r="B940" s="13"/>
      <c r="C940" s="13"/>
    </row>
    <row r="941" spans="1:3" ht="13" x14ac:dyDescent="0.15">
      <c r="A941" s="10"/>
      <c r="B941" s="13"/>
      <c r="C941" s="13"/>
    </row>
    <row r="942" spans="1:3" ht="13" x14ac:dyDescent="0.15">
      <c r="A942" s="10"/>
      <c r="B942" s="13"/>
      <c r="C942" s="13"/>
    </row>
    <row r="943" spans="1:3" ht="13" x14ac:dyDescent="0.15">
      <c r="A943" s="10"/>
      <c r="B943" s="13"/>
      <c r="C943" s="13"/>
    </row>
    <row r="944" spans="1:3" ht="13" x14ac:dyDescent="0.15">
      <c r="A944" s="10"/>
      <c r="B944" s="13"/>
      <c r="C944" s="13"/>
    </row>
    <row r="945" spans="1:3" ht="13" x14ac:dyDescent="0.15">
      <c r="A945" s="10"/>
      <c r="B945" s="13"/>
      <c r="C945" s="13"/>
    </row>
    <row r="946" spans="1:3" ht="13" x14ac:dyDescent="0.15">
      <c r="A946" s="10"/>
      <c r="B946" s="13"/>
      <c r="C946" s="13"/>
    </row>
    <row r="947" spans="1:3" ht="13" x14ac:dyDescent="0.15">
      <c r="A947" s="10"/>
      <c r="B947" s="13"/>
      <c r="C947" s="13"/>
    </row>
    <row r="948" spans="1:3" ht="13" x14ac:dyDescent="0.15">
      <c r="A948" s="10"/>
      <c r="B948" s="13"/>
      <c r="C948" s="13"/>
    </row>
    <row r="949" spans="1:3" ht="13" x14ac:dyDescent="0.15">
      <c r="A949" s="10"/>
      <c r="B949" s="13"/>
      <c r="C949" s="13"/>
    </row>
    <row r="950" spans="1:3" ht="13" x14ac:dyDescent="0.15">
      <c r="A950" s="10"/>
      <c r="B950" s="13"/>
      <c r="C950" s="13"/>
    </row>
    <row r="951" spans="1:3" ht="13" x14ac:dyDescent="0.15">
      <c r="A951" s="10"/>
      <c r="B951" s="13"/>
      <c r="C951" s="13"/>
    </row>
    <row r="952" spans="1:3" ht="13" x14ac:dyDescent="0.15">
      <c r="A952" s="10"/>
      <c r="B952" s="13"/>
      <c r="C952" s="13"/>
    </row>
    <row r="953" spans="1:3" ht="13" x14ac:dyDescent="0.15">
      <c r="A953" s="10"/>
      <c r="B953" s="13"/>
      <c r="C953" s="13"/>
    </row>
    <row r="954" spans="1:3" ht="13" x14ac:dyDescent="0.15">
      <c r="A954" s="10"/>
      <c r="B954" s="13"/>
      <c r="C954" s="13"/>
    </row>
    <row r="955" spans="1:3" ht="13" x14ac:dyDescent="0.15">
      <c r="A955" s="10"/>
      <c r="B955" s="13"/>
      <c r="C955" s="13"/>
    </row>
    <row r="956" spans="1:3" ht="13" x14ac:dyDescent="0.15">
      <c r="A956" s="10"/>
      <c r="B956" s="13"/>
      <c r="C956" s="13"/>
    </row>
    <row r="957" spans="1:3" ht="13" x14ac:dyDescent="0.15">
      <c r="A957" s="10"/>
      <c r="B957" s="13"/>
      <c r="C957" s="13"/>
    </row>
    <row r="958" spans="1:3" ht="13" x14ac:dyDescent="0.15">
      <c r="A958" s="10"/>
      <c r="B958" s="13"/>
      <c r="C958" s="13"/>
    </row>
    <row r="959" spans="1:3" ht="13" x14ac:dyDescent="0.15">
      <c r="A959" s="10"/>
      <c r="B959" s="13"/>
      <c r="C959" s="13"/>
    </row>
    <row r="960" spans="1:3" ht="13" x14ac:dyDescent="0.15">
      <c r="A960" s="10"/>
      <c r="B960" s="13"/>
      <c r="C960" s="13"/>
    </row>
    <row r="961" spans="1:3" ht="13" x14ac:dyDescent="0.15">
      <c r="A961" s="10"/>
      <c r="B961" s="13"/>
      <c r="C961" s="13"/>
    </row>
    <row r="962" spans="1:3" ht="13" x14ac:dyDescent="0.15">
      <c r="A962" s="10"/>
      <c r="B962" s="13"/>
      <c r="C962" s="13"/>
    </row>
    <row r="963" spans="1:3" ht="13" x14ac:dyDescent="0.15">
      <c r="A963" s="10"/>
      <c r="B963" s="13"/>
      <c r="C963" s="13"/>
    </row>
    <row r="964" spans="1:3" ht="13" x14ac:dyDescent="0.15">
      <c r="A964" s="10"/>
      <c r="B964" s="13"/>
      <c r="C964" s="13"/>
    </row>
    <row r="965" spans="1:3" ht="13" x14ac:dyDescent="0.15">
      <c r="A965" s="10"/>
      <c r="B965" s="13"/>
      <c r="C965" s="13"/>
    </row>
    <row r="966" spans="1:3" ht="13" x14ac:dyDescent="0.15">
      <c r="A966" s="10"/>
      <c r="B966" s="13"/>
      <c r="C966" s="13"/>
    </row>
    <row r="967" spans="1:3" ht="13" x14ac:dyDescent="0.15">
      <c r="A967" s="10"/>
      <c r="B967" s="13"/>
      <c r="C967" s="13"/>
    </row>
    <row r="968" spans="1:3" ht="13" x14ac:dyDescent="0.15">
      <c r="A968" s="10"/>
      <c r="B968" s="13"/>
      <c r="C968" s="13"/>
    </row>
    <row r="969" spans="1:3" ht="13" x14ac:dyDescent="0.15">
      <c r="A969" s="10"/>
      <c r="B969" s="13"/>
      <c r="C969" s="13"/>
    </row>
    <row r="970" spans="1:3" ht="13" x14ac:dyDescent="0.15">
      <c r="A970" s="10"/>
      <c r="B970" s="13"/>
      <c r="C970" s="13"/>
    </row>
    <row r="971" spans="1:3" ht="13" x14ac:dyDescent="0.15">
      <c r="A971" s="10"/>
      <c r="B971" s="13"/>
      <c r="C971" s="13"/>
    </row>
    <row r="972" spans="1:3" ht="13" x14ac:dyDescent="0.15">
      <c r="A972" s="10"/>
      <c r="B972" s="13"/>
      <c r="C972" s="13"/>
    </row>
    <row r="973" spans="1:3" ht="13" x14ac:dyDescent="0.15">
      <c r="A973" s="10"/>
      <c r="B973" s="13"/>
      <c r="C973" s="13"/>
    </row>
    <row r="974" spans="1:3" ht="13" x14ac:dyDescent="0.15">
      <c r="A974" s="10"/>
      <c r="B974" s="13"/>
      <c r="C974" s="13"/>
    </row>
    <row r="975" spans="1:3" ht="13" x14ac:dyDescent="0.15">
      <c r="A975" s="10"/>
      <c r="B975" s="13"/>
      <c r="C975" s="13"/>
    </row>
    <row r="976" spans="1:3" ht="13" x14ac:dyDescent="0.15">
      <c r="A976" s="10"/>
      <c r="B976" s="13"/>
      <c r="C976" s="13"/>
    </row>
    <row r="977" spans="1:3" ht="13" x14ac:dyDescent="0.15">
      <c r="A977" s="10"/>
      <c r="B977" s="13"/>
      <c r="C977" s="13"/>
    </row>
    <row r="978" spans="1:3" ht="13" x14ac:dyDescent="0.15">
      <c r="A978" s="10"/>
      <c r="B978" s="13"/>
      <c r="C978" s="13"/>
    </row>
    <row r="979" spans="1:3" ht="13" x14ac:dyDescent="0.15">
      <c r="A979" s="10"/>
      <c r="B979" s="13"/>
      <c r="C979" s="13"/>
    </row>
    <row r="980" spans="1:3" ht="13" x14ac:dyDescent="0.15">
      <c r="A980" s="10"/>
      <c r="B980" s="13"/>
      <c r="C980" s="13"/>
    </row>
    <row r="981" spans="1:3" ht="13" x14ac:dyDescent="0.15">
      <c r="A981" s="10"/>
      <c r="B981" s="13"/>
      <c r="C981" s="13"/>
    </row>
    <row r="982" spans="1:3" ht="13" x14ac:dyDescent="0.15">
      <c r="A982" s="10"/>
      <c r="B982" s="13"/>
      <c r="C982" s="13"/>
    </row>
    <row r="983" spans="1:3" ht="13" x14ac:dyDescent="0.15">
      <c r="A983" s="10"/>
      <c r="B983" s="13"/>
      <c r="C983" s="13"/>
    </row>
    <row r="984" spans="1:3" ht="13" x14ac:dyDescent="0.15">
      <c r="A984" s="10"/>
      <c r="B984" s="13"/>
      <c r="C984" s="13"/>
    </row>
    <row r="985" spans="1:3" ht="13" x14ac:dyDescent="0.15">
      <c r="A985" s="10"/>
      <c r="B985" s="13"/>
      <c r="C985" s="13"/>
    </row>
    <row r="986" spans="1:3" ht="13" x14ac:dyDescent="0.15">
      <c r="A986" s="10"/>
      <c r="B986" s="13"/>
      <c r="C986" s="13"/>
    </row>
    <row r="987" spans="1:3" ht="13" x14ac:dyDescent="0.15">
      <c r="A987" s="10"/>
      <c r="B987" s="13"/>
      <c r="C987" s="13"/>
    </row>
    <row r="988" spans="1:3" ht="13" x14ac:dyDescent="0.15">
      <c r="A988" s="10"/>
      <c r="B988" s="13"/>
      <c r="C988" s="13"/>
    </row>
    <row r="989" spans="1:3" ht="13" x14ac:dyDescent="0.15">
      <c r="A989" s="10"/>
      <c r="B989" s="13"/>
      <c r="C989" s="13"/>
    </row>
    <row r="990" spans="1:3" ht="13" x14ac:dyDescent="0.15">
      <c r="A990" s="10"/>
      <c r="B990" s="13"/>
      <c r="C990" s="13"/>
    </row>
    <row r="991" spans="1:3" ht="13" x14ac:dyDescent="0.15">
      <c r="A991" s="10"/>
      <c r="B991" s="13"/>
      <c r="C991" s="13"/>
    </row>
    <row r="992" spans="1:3" ht="13" x14ac:dyDescent="0.15">
      <c r="A992" s="10"/>
      <c r="B992" s="13"/>
      <c r="C992" s="13"/>
    </row>
    <row r="993" spans="1:3" ht="13" x14ac:dyDescent="0.15">
      <c r="A993" s="10"/>
      <c r="B993" s="13"/>
      <c r="C993" s="13"/>
    </row>
    <row r="994" spans="1:3" ht="13" x14ac:dyDescent="0.15">
      <c r="A994" s="10"/>
      <c r="B994" s="13"/>
      <c r="C994" s="13"/>
    </row>
    <row r="995" spans="1:3" ht="13" x14ac:dyDescent="0.15">
      <c r="A995" s="10"/>
      <c r="B995" s="13"/>
      <c r="C995" s="13"/>
    </row>
    <row r="996" spans="1:3" ht="13" x14ac:dyDescent="0.15">
      <c r="A996" s="10"/>
      <c r="B996" s="13"/>
      <c r="C996" s="13"/>
    </row>
    <row r="997" spans="1:3" ht="13" x14ac:dyDescent="0.15">
      <c r="A997" s="10"/>
      <c r="B997" s="13"/>
      <c r="C997" s="13"/>
    </row>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outlinePr summaryBelow="0" summaryRight="0"/>
  </sheetPr>
  <dimension ref="A1:D997"/>
  <sheetViews>
    <sheetView workbookViewId="0"/>
  </sheetViews>
  <sheetFormatPr baseColWidth="10" defaultColWidth="12.6640625" defaultRowHeight="15.75" customHeight="1" x14ac:dyDescent="0.15"/>
  <cols>
    <col min="1" max="1" width="71.5" customWidth="1"/>
    <col min="2" max="4" width="37.6640625" customWidth="1"/>
  </cols>
  <sheetData>
    <row r="1" spans="1:4" ht="15.75" customHeight="1" x14ac:dyDescent="0.15">
      <c r="A1" s="1"/>
      <c r="B1" s="10" t="str">
        <f ca="1">IFERROR(__xludf.DUMMYFUNCTION("IMPORTRANGE(""https://docs.google.com/spreadsheets/u/0/d/1DTeUShR903oScgwuFGuA8V8JqIoXmME8W-T3lNP0oHM"", ""A65!B1:B22"")"),"McKinzie Novak")</f>
        <v>McKinzie Novak</v>
      </c>
      <c r="C1" s="10" t="str">
        <f ca="1">IFERROR(__xludf.DUMMYFUNCTION("IMPORTRANGE(""https://docs.google.com/spreadsheets/u/0/d/19yPRVnLV0A_2o92-w6L11RYWj24Qqnerv8i8p-ngiq4"", ""A65!B1:B22"")"),"Jackson Root")</f>
        <v>Jackson Root</v>
      </c>
      <c r="D1" s="2" t="s">
        <v>1</v>
      </c>
    </row>
    <row r="2" spans="1:4" ht="15.75" customHeight="1" x14ac:dyDescent="0.15">
      <c r="A2" s="3" t="s">
        <v>2</v>
      </c>
      <c r="B2" s="15" t="str">
        <f ca="1">IFERROR(__xludf.DUMMYFUNCTION("""COMPUTED_VALUE"""),"START: 35533
STOP: 35961
FORWARD")</f>
        <v>START: 35533
STOP: 35961
FORWARD</v>
      </c>
      <c r="C2" s="15" t="str">
        <f ca="1">IFERROR(__xludf.DUMMYFUNCTION("""COMPUTED_VALUE"""),"Stop: 35961  For")</f>
        <v>Stop: 35961  For</v>
      </c>
      <c r="D2" s="4"/>
    </row>
    <row r="3" spans="1:4" ht="15.75" customHeight="1" x14ac:dyDescent="0.15">
      <c r="A3" s="5" t="s">
        <v>3</v>
      </c>
      <c r="B3" s="17" t="str">
        <f ca="1">IFERROR(__xludf.DUMMYFUNCTION("""COMPUTED_VALUE"""),"DNAM: 64
PHAM: 65
Phagesdb: 65")</f>
        <v>DNAM: 64
PHAM: 65
Phagesdb: 65</v>
      </c>
      <c r="C3" s="17" t="str">
        <f ca="1">IFERROR(__xludf.DUMMYFUNCTION("""COMPUTED_VALUE"""),"Pham: 65   DNA: 64")</f>
        <v>Pham: 65   DNA: 64</v>
      </c>
      <c r="D3" s="6"/>
    </row>
    <row r="4" spans="1:4" ht="15.75" customHeight="1" x14ac:dyDescent="0.15">
      <c r="A4" s="5" t="s">
        <v>4</v>
      </c>
      <c r="B4" s="17" t="str">
        <f ca="1">IFERROR(__xludf.DUMMYFUNCTION("""COMPUTED_VALUE"""),"#87505  3/12/25")</f>
        <v>#87505  3/12/25</v>
      </c>
      <c r="C4" s="17" t="str">
        <f ca="1">IFERROR(__xludf.DUMMYFUNCTION("""COMPUTED_VALUE"""),"pham 87505   03/12/25")</f>
        <v>pham 87505   03/12/25</v>
      </c>
      <c r="D4" s="6"/>
    </row>
    <row r="5" spans="1:4" ht="15.75" customHeight="1" x14ac:dyDescent="0.15">
      <c r="A5" s="5" t="s">
        <v>5</v>
      </c>
      <c r="B5" s="17" t="str">
        <f ca="1">IFERROR(__xludf.DUMMYFUNCTION("""COMPUTED_VALUE"""),"Kovu#62, Shrooms#63, Edmundo#64")</f>
        <v>Kovu#62, Shrooms#63, Edmundo#64</v>
      </c>
      <c r="C5" s="17"/>
      <c r="D5" s="6"/>
    </row>
    <row r="6" spans="1:4" ht="15.75" customHeight="1" x14ac:dyDescent="0.15">
      <c r="A6" s="5" t="s">
        <v>6</v>
      </c>
      <c r="B6" s="17" t="str">
        <f ca="1">IFERROR(__xludf.DUMMYFUNCTION("""COMPUTED_VALUE"""),"Glimmer and GeneMark both call the start at 35533")</f>
        <v>Glimmer and GeneMark both call the start at 35533</v>
      </c>
      <c r="C6" s="17" t="str">
        <f ca="1">IFERROR(__xludf.DUMMYFUNCTION("""COMPUTED_VALUE"""),"Both call 35533")</f>
        <v>Both call 35533</v>
      </c>
      <c r="D6" s="6"/>
    </row>
    <row r="7" spans="1:4" ht="15.75" customHeight="1" x14ac:dyDescent="0.15">
      <c r="A7" s="5" t="s">
        <v>7</v>
      </c>
      <c r="B7" s="17" t="str">
        <f ca="1">IFERROR(__xludf.DUMMYFUNCTION("""COMPUTED_VALUE"""),"Yes the gene has great coding potential, and it is all caught with these starts.")</f>
        <v>Yes the gene has great coding potential, and it is all caught with these starts.</v>
      </c>
      <c r="C7" s="17" t="str">
        <f ca="1">IFERROR(__xludf.DUMMYFUNCTION("""COMPUTED_VALUE"""),"Yes there is good coding potential, all potential is captured")</f>
        <v>Yes there is good coding potential, all potential is captured</v>
      </c>
      <c r="D7" s="6"/>
    </row>
    <row r="8" spans="1:4" ht="15.75" customHeight="1" x14ac:dyDescent="0.15">
      <c r="A8" s="5" t="s">
        <v>8</v>
      </c>
      <c r="B8" s="17" t="str">
        <f ca="1">IFERROR(__xludf.DUMMYFUNCTION("""COMPUTED_VALUE"""),"Yes, this is the earliest and pretty much the only available start for this ORF.")</f>
        <v>Yes, this is the earliest and pretty much the only available start for this ORF.</v>
      </c>
      <c r="C8" s="17" t="str">
        <f ca="1">IFERROR(__xludf.DUMMYFUNCTION("""COMPUTED_VALUE"""),"yes")</f>
        <v>yes</v>
      </c>
      <c r="D8" s="6"/>
    </row>
    <row r="9" spans="1:4" ht="15.75" customHeight="1" x14ac:dyDescent="0.15">
      <c r="A9" s="5" t="s">
        <v>9</v>
      </c>
      <c r="B9" s="17" t="str">
        <f ca="1">IFERROR(__xludf.DUMMYFUNCTION("""COMPUTED_VALUE"""),"There is a 30 basepair gap between this start and the previous gene.")</f>
        <v>There is a 30 basepair gap between this start and the previous gene.</v>
      </c>
      <c r="C9" s="17" t="str">
        <f ca="1">IFERROR(__xludf.DUMMYFUNCTION("""COMPUTED_VALUE"""),"Gap with gene 63: 10 Bp;   Gap with gene 65: 44 Bp")</f>
        <v>Gap with gene 63: 10 Bp;   Gap with gene 65: 44 Bp</v>
      </c>
      <c r="D9" s="6"/>
    </row>
    <row r="10" spans="1:4" ht="15.75" customHeight="1" x14ac:dyDescent="0.15">
      <c r="A10" s="5" t="s">
        <v>10</v>
      </c>
      <c r="B10" s="17" t="str">
        <f ca="1">IFERROR(__xludf.DUMMYFUNCTION("""COMPUTED_VALUE"""),"Start: 35533
z-val: 1.987 RBS: -4.53")</f>
        <v>Start: 35533
z-val: 1.987 RBS: -4.53</v>
      </c>
      <c r="C10" s="17" t="str">
        <f ca="1">IFERROR(__xludf.DUMMYFUNCTION("""COMPUTED_VALUE"""),"current start has the best z-val: 1.987")</f>
        <v>current start has the best z-val: 1.987</v>
      </c>
      <c r="D10" s="6"/>
    </row>
    <row r="11" spans="1:4" ht="15.75" customHeight="1" x14ac:dyDescent="0.15">
      <c r="A11" s="5" t="s">
        <v>11</v>
      </c>
      <c r="B11" s="17" t="str">
        <f ca="1">IFERROR(__xludf.DUMMYFUNCTION("""COMPUTED_VALUE"""),"Kovu#62 ; %ID: 93.6 e-val:0.0e0 Q:1 S:1
Shrooms#63; %ID:75.4 e-val:0.0e0 Q:1 S:1
Edmundo#64;%ID:76.1 e-val:0.0e0 Q:1 S:1")</f>
        <v>Kovu#62 ; %ID: 93.6 e-val:0.0e0 Q:1 S:1
Shrooms#63; %ID:75.4 e-val:0.0e0 Q:1 S:1
Edmundo#64;%ID:76.1 e-val:0.0e0 Q:1 S:1</v>
      </c>
      <c r="C11" s="17"/>
      <c r="D11" s="6"/>
    </row>
    <row r="12" spans="1:4" ht="15.75" customHeight="1" x14ac:dyDescent="0.15">
      <c r="A12" s="5" t="s">
        <v>12</v>
      </c>
      <c r="B12" s="17" t="str">
        <f ca="1">IFERROR(__xludf.DUMMYFUNCTION("""COMPUTED_VALUE"""),"Yes the start is conserved as #1 in ALL members of the pham, it is called 100% of the time.")</f>
        <v>Yes the start is conserved as #1 in ALL members of the pham, it is called 100% of the time.</v>
      </c>
      <c r="C12" s="17" t="str">
        <f ca="1">IFERROR(__xludf.DUMMYFUNCTION("""COMPUTED_VALUE"""),"Start is conserved in all members of the pham, start called 100% of the time when present (12/12)")</f>
        <v>Start is conserved in all members of the pham, start called 100% of the time when present (12/12)</v>
      </c>
      <c r="D12" s="6"/>
    </row>
    <row r="13" spans="1:4" ht="15.75" customHeight="1" x14ac:dyDescent="0.15">
      <c r="A13" s="5" t="s">
        <v>13</v>
      </c>
      <c r="B13" s="17" t="str">
        <f ca="1">IFERROR(__xludf.DUMMYFUNCTION("""COMPUTED_VALUE"""),"No it's literally the only available start, if we move it we will have taken out the entire gene.")</f>
        <v>No it's literally the only available start, if we move it we will have taken out the entire gene.</v>
      </c>
      <c r="C13" s="17" t="str">
        <f ca="1">IFERROR(__xludf.DUMMYFUNCTION("""COMPUTED_VALUE"""),"No start change")</f>
        <v>No start change</v>
      </c>
      <c r="D13" s="6"/>
    </row>
    <row r="14" spans="1:4" ht="15.75" customHeight="1" x14ac:dyDescent="0.15">
      <c r="A14" s="5" t="s">
        <v>14</v>
      </c>
      <c r="B14" s="17" t="str">
        <f ca="1">IFERROR(__xludf.DUMMYFUNCTION("""COMPUTED_VALUE"""),"Kovu#62 e-val: 0.0e0, 
Shrooms#63 e-val: 0.0e0,
Edmundo#64 e-val: 0.0e0")</f>
        <v>Kovu#62 e-val: 0.0e0, 
Shrooms#63 e-val: 0.0e0,
Edmundo#64 e-val: 0.0e0</v>
      </c>
      <c r="C14" s="17" t="str">
        <f ca="1">IFERROR(__xludf.DUMMYFUNCTION("""COMPUTED_VALUE"""),"Kovu_62: 4e-71; Edmundo_64: 2e-61")</f>
        <v>Kovu_62: 4e-71; Edmundo_64: 2e-61</v>
      </c>
      <c r="D14" s="6"/>
    </row>
    <row r="15" spans="1:4" ht="15.75" customHeight="1" x14ac:dyDescent="0.15">
      <c r="A15" s="5" t="s">
        <v>15</v>
      </c>
      <c r="B15" s="17" t="str">
        <f ca="1">IFERROR(__xludf.DUMMYFUNCTION("""COMPUTED_VALUE"""),"Kovu (major tail protein), Shrooms (hypothetical protein), Edmundo (major tail protein)")</f>
        <v>Kovu (major tail protein), Shrooms (hypothetical protein), Edmundo (major tail protein)</v>
      </c>
      <c r="C15" s="17" t="str">
        <f ca="1">IFERROR(__xludf.DUMMYFUNCTION("""COMPUTED_VALUE"""),"Kovu and Edmundo: Major tail protien")</f>
        <v>Kovu and Edmundo: Major tail protien</v>
      </c>
      <c r="D15" s="6"/>
    </row>
    <row r="16" spans="1:4" ht="15.75" customHeight="1" x14ac:dyDescent="0.15">
      <c r="A16" s="5" t="s">
        <v>16</v>
      </c>
      <c r="B16" s="17" t="str">
        <f ca="1">IFERROR(__xludf.DUMMYFUNCTION("""COMPUTED_VALUE"""),"Yes, this gene is between a major tail protein and tail assembly chaperones and fits well within its genetic environment")</f>
        <v>Yes, this gene is between a major tail protein and tail assembly chaperones and fits well within its genetic environment</v>
      </c>
      <c r="C16" s="17" t="str">
        <f ca="1">IFERROR(__xludf.DUMMYFUNCTION("""COMPUTED_VALUE"""),"Found in same genetic environment as Kovu 62, Adjacent to Gene 66 and 64")</f>
        <v>Found in same genetic environment as Kovu 62, Adjacent to Gene 66 and 64</v>
      </c>
      <c r="D16" s="6"/>
    </row>
    <row r="17" spans="1:4" ht="15.75" customHeight="1" x14ac:dyDescent="0.15">
      <c r="A17" s="5" t="s">
        <v>17</v>
      </c>
      <c r="B17" s="17" t="str">
        <f ca="1">IFERROR(__xludf.DUMMYFUNCTION("""COMPUTED_VALUE"""),"DESC: Major tail protein; Marine bacteriophage, Cryo-EM, Siphophage, Baseplate, Megatron protein, Tail fibre protein, Distal tail protein, Hub protein, VIRAL; 4.5A {Dinoroseobacter phage vB_DshS-R4C}
Prob: 99.76 %ALQ:88 %ALT:96.2
Yes it contains the funct"&amp;"ional domain")</f>
        <v>DESC: Major tail protein; Marine bacteriophage, Cryo-EM, Siphophage, Baseplate, Megatron protein, Tail fibre protein, Distal tail protein, Hub protein, VIRAL; 4.5A {Dinoroseobacter phage vB_DshS-R4C}
Prob: 99.76 %ALQ:88 %ALT:96.2
Yes it contains the functional domain</v>
      </c>
      <c r="C17" s="17" t="str">
        <f ca="1">IFERROR(__xludf.DUMMYFUNCTION("""COMPUTED_VALUE"""),"phage major tail protien, Phage_tail_2, etc  %Q: 92.25%; %T: 95.6%; function is apart of the alignment")</f>
        <v>phage major tail protien, Phage_tail_2, etc  %Q: 92.25%; %T: 95.6%; function is apart of the alignment</v>
      </c>
      <c r="D17" s="6"/>
    </row>
    <row r="18" spans="1:4" ht="15.75" customHeight="1" x14ac:dyDescent="0.15">
      <c r="A18" s="5" t="s">
        <v>18</v>
      </c>
      <c r="B18" s="17" t="str">
        <f ca="1">IFERROR(__xludf.DUMMYFUNCTION("""COMPUTED_VALUE"""),"Yes its domain is unknown, DUF within the major tail protein itself")</f>
        <v>Yes its domain is unknown, DUF within the major tail protein itself</v>
      </c>
      <c r="C18" s="17" t="str">
        <f ca="1">IFERROR(__xludf.DUMMYFUNCTION("""COMPUTED_VALUE"""),"no conserved domain")</f>
        <v>no conserved domain</v>
      </c>
      <c r="D18" s="6"/>
    </row>
    <row r="19" spans="1:4" ht="15.75" customHeight="1" x14ac:dyDescent="0.15">
      <c r="A19" s="5" t="s">
        <v>19</v>
      </c>
      <c r="B19" s="17" t="str">
        <f ca="1">IFERROR(__xludf.DUMMYFUNCTION("""COMPUTED_VALUE"""),"None")</f>
        <v>None</v>
      </c>
      <c r="C19" s="17" t="str">
        <f ca="1">IFERROR(__xludf.DUMMYFUNCTION("""COMPUTED_VALUE"""),"not a membrane protien, most likely outside the membrane")</f>
        <v>not a membrane protien, most likely outside the membrane</v>
      </c>
      <c r="D19" s="6"/>
    </row>
    <row r="20" spans="1:4" ht="15.75" customHeight="1" x14ac:dyDescent="0.15">
      <c r="A20" s="5" t="s">
        <v>20</v>
      </c>
      <c r="B20" s="17" t="str">
        <f ca="1">IFERROR(__xludf.DUMMYFUNCTION("""COMPUTED_VALUE"""),"major tail protein, due to the synteny &amp; what's around it, and the matches found in HHPred that are  mostly major tail proteins with different domains (portal, structural, unknown)")</f>
        <v>major tail protein, due to the synteny &amp; what's around it, and the matches found in HHPred that are  mostly major tail proteins with different domains (portal, structural, unknown)</v>
      </c>
      <c r="C20" s="17" t="str">
        <f ca="1">IFERROR(__xludf.DUMMYFUNCTION("""COMPUTED_VALUE"""),"major tail protein, because there were numerus hits that were major tail protiens and considering the start was conserved throuhgout both Edmundo and Kovu and both were major tail protiens, its likely to assume ApoKipo is similar.")</f>
        <v>major tail protein, because there were numerus hits that were major tail protiens and considering the start was conserved throuhgout both Edmundo and Kovu and both were major tail protiens, its likely to assume ApoKipo is similar.</v>
      </c>
      <c r="D20" s="6"/>
    </row>
    <row r="21" spans="1:4" x14ac:dyDescent="0.2">
      <c r="A21" s="7"/>
      <c r="B21" s="19"/>
      <c r="C21" s="19"/>
      <c r="D21" s="8"/>
    </row>
    <row r="22" spans="1:4" ht="15.75" customHeight="1" x14ac:dyDescent="0.15">
      <c r="A22" s="9" t="s">
        <v>21</v>
      </c>
      <c r="B22" s="19"/>
      <c r="C22" s="19"/>
      <c r="D22" s="8"/>
    </row>
    <row r="23" spans="1:4" ht="15.75" customHeight="1" x14ac:dyDescent="0.15">
      <c r="A23" s="10"/>
      <c r="B23" s="13"/>
      <c r="C23" s="13"/>
    </row>
    <row r="24" spans="1:4" ht="15.75" customHeight="1" x14ac:dyDescent="0.15">
      <c r="A24" s="10"/>
      <c r="B24" s="13"/>
      <c r="C24" s="13"/>
    </row>
    <row r="25" spans="1:4" ht="15.75" customHeight="1" x14ac:dyDescent="0.15">
      <c r="A25" s="10"/>
      <c r="B25" s="13"/>
      <c r="C25" s="13"/>
    </row>
    <row r="26" spans="1:4" ht="15.75" customHeight="1" x14ac:dyDescent="0.15">
      <c r="A26" s="10"/>
      <c r="B26" s="13"/>
      <c r="C26" s="13"/>
    </row>
    <row r="27" spans="1:4" ht="15.75" customHeight="1" x14ac:dyDescent="0.15">
      <c r="A27" s="10"/>
      <c r="B27" s="13"/>
      <c r="C27" s="13"/>
    </row>
    <row r="28" spans="1:4" ht="15.75" customHeight="1" x14ac:dyDescent="0.15">
      <c r="A28" s="10"/>
      <c r="B28" s="13"/>
      <c r="C28" s="13"/>
    </row>
    <row r="29" spans="1:4" ht="15.75" customHeight="1" x14ac:dyDescent="0.15">
      <c r="A29" s="10"/>
      <c r="B29" s="13"/>
      <c r="C29" s="13"/>
    </row>
    <row r="30" spans="1:4" ht="15.75" customHeight="1" x14ac:dyDescent="0.15">
      <c r="A30" s="10"/>
      <c r="B30" s="13"/>
      <c r="C30" s="13"/>
    </row>
    <row r="31" spans="1:4" ht="15.75" customHeight="1" x14ac:dyDescent="0.15">
      <c r="A31" s="10"/>
      <c r="B31" s="13"/>
      <c r="C31" s="13"/>
    </row>
    <row r="32" spans="1:4" ht="15.75" customHeight="1" x14ac:dyDescent="0.15">
      <c r="A32" s="10"/>
      <c r="B32" s="13"/>
      <c r="C32" s="13"/>
    </row>
    <row r="33" spans="1:3" ht="15.75" customHeight="1" x14ac:dyDescent="0.15">
      <c r="A33" s="10"/>
      <c r="B33" s="13"/>
      <c r="C33" s="13"/>
    </row>
    <row r="34" spans="1:3" ht="15.75" customHeight="1" x14ac:dyDescent="0.15">
      <c r="A34" s="10"/>
      <c r="B34" s="13"/>
      <c r="C34" s="13"/>
    </row>
    <row r="35" spans="1:3" ht="15.75" customHeight="1" x14ac:dyDescent="0.15">
      <c r="A35" s="10"/>
      <c r="B35" s="13"/>
      <c r="C35" s="13"/>
    </row>
    <row r="36" spans="1:3" ht="15.75" customHeight="1" x14ac:dyDescent="0.15">
      <c r="A36" s="10"/>
      <c r="B36" s="13"/>
      <c r="C36" s="13"/>
    </row>
    <row r="37" spans="1:3" ht="15.75" customHeight="1" x14ac:dyDescent="0.15">
      <c r="A37" s="10"/>
      <c r="B37" s="13"/>
      <c r="C37" s="13"/>
    </row>
    <row r="38" spans="1:3" ht="15.75" customHeight="1" x14ac:dyDescent="0.15">
      <c r="A38" s="10"/>
      <c r="B38" s="13"/>
      <c r="C38" s="13"/>
    </row>
    <row r="39" spans="1:3" ht="13" x14ac:dyDescent="0.15">
      <c r="A39" s="10"/>
      <c r="B39" s="13"/>
      <c r="C39" s="13"/>
    </row>
    <row r="40" spans="1:3" ht="13" x14ac:dyDescent="0.15">
      <c r="A40" s="10"/>
      <c r="B40" s="13"/>
      <c r="C40" s="13"/>
    </row>
    <row r="41" spans="1:3" ht="13" x14ac:dyDescent="0.15">
      <c r="A41" s="10"/>
      <c r="B41" s="13"/>
      <c r="C41" s="13"/>
    </row>
    <row r="42" spans="1:3" ht="13" x14ac:dyDescent="0.15">
      <c r="A42" s="10"/>
      <c r="B42" s="13"/>
      <c r="C42" s="13"/>
    </row>
    <row r="43" spans="1:3" ht="13" x14ac:dyDescent="0.15">
      <c r="A43" s="10"/>
      <c r="B43" s="13"/>
      <c r="C43" s="13"/>
    </row>
    <row r="44" spans="1:3" ht="13" x14ac:dyDescent="0.15">
      <c r="A44" s="10"/>
      <c r="B44" s="13"/>
      <c r="C44" s="13"/>
    </row>
    <row r="45" spans="1:3" ht="13" x14ac:dyDescent="0.15">
      <c r="A45" s="10"/>
      <c r="B45" s="13"/>
      <c r="C45" s="13"/>
    </row>
    <row r="46" spans="1:3" ht="13" x14ac:dyDescent="0.15">
      <c r="A46" s="10"/>
      <c r="B46" s="13"/>
      <c r="C46" s="13"/>
    </row>
    <row r="47" spans="1:3" ht="13" x14ac:dyDescent="0.15">
      <c r="A47" s="10"/>
      <c r="B47" s="13"/>
      <c r="C47" s="13"/>
    </row>
    <row r="48" spans="1:3" ht="13" x14ac:dyDescent="0.15">
      <c r="A48" s="10"/>
      <c r="B48" s="13"/>
      <c r="C48" s="13"/>
    </row>
    <row r="49" spans="1:3" ht="13" x14ac:dyDescent="0.15">
      <c r="A49" s="10"/>
      <c r="B49" s="13"/>
      <c r="C49" s="13"/>
    </row>
    <row r="50" spans="1:3" ht="13" x14ac:dyDescent="0.15">
      <c r="A50" s="10"/>
      <c r="B50" s="13"/>
      <c r="C50" s="13"/>
    </row>
    <row r="51" spans="1:3" ht="13" x14ac:dyDescent="0.15">
      <c r="A51" s="10"/>
      <c r="B51" s="13"/>
      <c r="C51" s="13"/>
    </row>
    <row r="52" spans="1:3" ht="13" x14ac:dyDescent="0.15">
      <c r="A52" s="10"/>
      <c r="B52" s="13"/>
      <c r="C52" s="13"/>
    </row>
    <row r="53" spans="1:3" ht="13" x14ac:dyDescent="0.15">
      <c r="A53" s="10"/>
      <c r="B53" s="13"/>
      <c r="C53" s="13"/>
    </row>
    <row r="54" spans="1:3" ht="13" x14ac:dyDescent="0.15">
      <c r="A54" s="10"/>
      <c r="B54" s="13"/>
      <c r="C54" s="13"/>
    </row>
    <row r="55" spans="1:3" ht="13" x14ac:dyDescent="0.15">
      <c r="A55" s="10"/>
      <c r="B55" s="13"/>
      <c r="C55" s="13"/>
    </row>
    <row r="56" spans="1:3" ht="13" x14ac:dyDescent="0.15">
      <c r="A56" s="10"/>
      <c r="B56" s="13"/>
      <c r="C56" s="13"/>
    </row>
    <row r="57" spans="1:3" ht="13" x14ac:dyDescent="0.15">
      <c r="A57" s="10"/>
      <c r="B57" s="13"/>
      <c r="C57" s="13"/>
    </row>
    <row r="58" spans="1:3" ht="13" x14ac:dyDescent="0.15">
      <c r="A58" s="10"/>
      <c r="B58" s="13"/>
      <c r="C58" s="13"/>
    </row>
    <row r="59" spans="1:3" ht="13" x14ac:dyDescent="0.15">
      <c r="A59" s="10"/>
      <c r="B59" s="13"/>
      <c r="C59" s="13"/>
    </row>
    <row r="60" spans="1:3" ht="13" x14ac:dyDescent="0.15">
      <c r="A60" s="10"/>
      <c r="B60" s="13"/>
      <c r="C60" s="13"/>
    </row>
    <row r="61" spans="1:3" ht="13" x14ac:dyDescent="0.15">
      <c r="A61" s="10"/>
      <c r="B61" s="13"/>
      <c r="C61" s="13"/>
    </row>
    <row r="62" spans="1:3" ht="13" x14ac:dyDescent="0.15">
      <c r="A62" s="10"/>
      <c r="B62" s="13"/>
      <c r="C62" s="13"/>
    </row>
    <row r="63" spans="1:3" ht="13" x14ac:dyDescent="0.15">
      <c r="A63" s="10"/>
      <c r="B63" s="13"/>
      <c r="C63" s="13"/>
    </row>
    <row r="64" spans="1:3" ht="13" x14ac:dyDescent="0.15">
      <c r="A64" s="10"/>
      <c r="B64" s="13"/>
      <c r="C64" s="13"/>
    </row>
    <row r="65" spans="1:3" ht="13" x14ac:dyDescent="0.15">
      <c r="A65" s="10"/>
      <c r="B65" s="13"/>
      <c r="C65" s="13"/>
    </row>
    <row r="66" spans="1:3" ht="13" x14ac:dyDescent="0.15">
      <c r="A66" s="10"/>
      <c r="B66" s="13"/>
      <c r="C66" s="13"/>
    </row>
    <row r="67" spans="1:3" ht="13" x14ac:dyDescent="0.15">
      <c r="A67" s="10"/>
      <c r="B67" s="13"/>
      <c r="C67" s="13"/>
    </row>
    <row r="68" spans="1:3" ht="13" x14ac:dyDescent="0.15">
      <c r="A68" s="10"/>
      <c r="B68" s="13"/>
      <c r="C68" s="13"/>
    </row>
    <row r="69" spans="1:3" ht="13" x14ac:dyDescent="0.15">
      <c r="A69" s="10"/>
      <c r="B69" s="13"/>
      <c r="C69" s="13"/>
    </row>
    <row r="70" spans="1:3" ht="13" x14ac:dyDescent="0.15">
      <c r="A70" s="10"/>
      <c r="B70" s="13"/>
      <c r="C70" s="13"/>
    </row>
    <row r="71" spans="1:3" ht="13" x14ac:dyDescent="0.15">
      <c r="A71" s="10"/>
      <c r="B71" s="13"/>
      <c r="C71" s="13"/>
    </row>
    <row r="72" spans="1:3" ht="13" x14ac:dyDescent="0.15">
      <c r="A72" s="10"/>
      <c r="B72" s="13"/>
      <c r="C72" s="13"/>
    </row>
    <row r="73" spans="1:3" ht="13" x14ac:dyDescent="0.15">
      <c r="A73" s="10"/>
      <c r="B73" s="13"/>
      <c r="C73" s="13"/>
    </row>
    <row r="74" spans="1:3" ht="13" x14ac:dyDescent="0.15">
      <c r="A74" s="10"/>
      <c r="B74" s="13"/>
      <c r="C74" s="13"/>
    </row>
    <row r="75" spans="1:3" ht="13" x14ac:dyDescent="0.15">
      <c r="A75" s="10"/>
      <c r="B75" s="13"/>
      <c r="C75" s="13"/>
    </row>
    <row r="76" spans="1:3" ht="13" x14ac:dyDescent="0.15">
      <c r="A76" s="10"/>
      <c r="B76" s="13"/>
      <c r="C76" s="13"/>
    </row>
    <row r="77" spans="1:3" ht="13" x14ac:dyDescent="0.15">
      <c r="A77" s="10"/>
      <c r="B77" s="13"/>
      <c r="C77" s="13"/>
    </row>
    <row r="78" spans="1:3" ht="13" x14ac:dyDescent="0.15">
      <c r="A78" s="10"/>
      <c r="B78" s="13"/>
      <c r="C78" s="13"/>
    </row>
    <row r="79" spans="1:3" ht="13" x14ac:dyDescent="0.15">
      <c r="A79" s="10"/>
      <c r="B79" s="13"/>
      <c r="C79" s="13"/>
    </row>
    <row r="80" spans="1:3" ht="13" x14ac:dyDescent="0.15">
      <c r="A80" s="10"/>
      <c r="B80" s="13"/>
      <c r="C80" s="13"/>
    </row>
    <row r="81" spans="1:3" ht="13" x14ac:dyDescent="0.15">
      <c r="A81" s="10"/>
      <c r="B81" s="13"/>
      <c r="C81" s="13"/>
    </row>
    <row r="82" spans="1:3" ht="13" x14ac:dyDescent="0.15">
      <c r="A82" s="10"/>
      <c r="B82" s="13"/>
      <c r="C82" s="13"/>
    </row>
    <row r="83" spans="1:3" ht="13" x14ac:dyDescent="0.15">
      <c r="A83" s="10"/>
      <c r="B83" s="13"/>
      <c r="C83" s="13"/>
    </row>
    <row r="84" spans="1:3" ht="13" x14ac:dyDescent="0.15">
      <c r="A84" s="10"/>
      <c r="B84" s="13"/>
      <c r="C84" s="13"/>
    </row>
    <row r="85" spans="1:3" ht="13" x14ac:dyDescent="0.15">
      <c r="A85" s="10"/>
      <c r="B85" s="13"/>
      <c r="C85" s="13"/>
    </row>
    <row r="86" spans="1:3" ht="13" x14ac:dyDescent="0.15">
      <c r="A86" s="10"/>
      <c r="B86" s="13"/>
      <c r="C86" s="13"/>
    </row>
    <row r="87" spans="1:3" ht="13" x14ac:dyDescent="0.15">
      <c r="A87" s="10"/>
      <c r="B87" s="13"/>
      <c r="C87" s="13"/>
    </row>
    <row r="88" spans="1:3" ht="13" x14ac:dyDescent="0.15">
      <c r="A88" s="10"/>
      <c r="B88" s="13"/>
      <c r="C88" s="13"/>
    </row>
    <row r="89" spans="1:3" ht="13" x14ac:dyDescent="0.15">
      <c r="A89" s="10"/>
      <c r="B89" s="13"/>
      <c r="C89" s="13"/>
    </row>
    <row r="90" spans="1:3" ht="13" x14ac:dyDescent="0.15">
      <c r="A90" s="10"/>
      <c r="B90" s="13"/>
      <c r="C90" s="13"/>
    </row>
    <row r="91" spans="1:3" ht="13" x14ac:dyDescent="0.15">
      <c r="A91" s="10"/>
      <c r="B91" s="13"/>
      <c r="C91" s="13"/>
    </row>
    <row r="92" spans="1:3" ht="13" x14ac:dyDescent="0.15">
      <c r="A92" s="10"/>
      <c r="B92" s="13"/>
      <c r="C92" s="13"/>
    </row>
    <row r="93" spans="1:3" ht="13" x14ac:dyDescent="0.15">
      <c r="A93" s="10"/>
      <c r="B93" s="13"/>
      <c r="C93" s="13"/>
    </row>
    <row r="94" spans="1:3" ht="13" x14ac:dyDescent="0.15">
      <c r="A94" s="10"/>
      <c r="B94" s="13"/>
      <c r="C94" s="13"/>
    </row>
    <row r="95" spans="1:3" ht="13" x14ac:dyDescent="0.15">
      <c r="A95" s="10"/>
      <c r="B95" s="13"/>
      <c r="C95" s="13"/>
    </row>
    <row r="96" spans="1:3" ht="13" x14ac:dyDescent="0.15">
      <c r="A96" s="10"/>
      <c r="B96" s="13"/>
      <c r="C96" s="13"/>
    </row>
    <row r="97" spans="1:3" ht="13" x14ac:dyDescent="0.15">
      <c r="A97" s="10"/>
      <c r="B97" s="13"/>
      <c r="C97" s="13"/>
    </row>
    <row r="98" spans="1:3" ht="13" x14ac:dyDescent="0.15">
      <c r="A98" s="10"/>
      <c r="B98" s="13"/>
      <c r="C98" s="13"/>
    </row>
    <row r="99" spans="1:3" ht="13" x14ac:dyDescent="0.15">
      <c r="A99" s="10"/>
      <c r="B99" s="13"/>
      <c r="C99" s="13"/>
    </row>
    <row r="100" spans="1:3" ht="13" x14ac:dyDescent="0.15">
      <c r="A100" s="10"/>
      <c r="B100" s="13"/>
      <c r="C100" s="13"/>
    </row>
    <row r="101" spans="1:3" ht="13" x14ac:dyDescent="0.15">
      <c r="A101" s="10"/>
      <c r="B101" s="13"/>
      <c r="C101" s="13"/>
    </row>
    <row r="102" spans="1:3" ht="13" x14ac:dyDescent="0.15">
      <c r="A102" s="10"/>
      <c r="B102" s="13"/>
      <c r="C102" s="13"/>
    </row>
    <row r="103" spans="1:3" ht="13" x14ac:dyDescent="0.15">
      <c r="A103" s="10"/>
      <c r="B103" s="13"/>
      <c r="C103" s="13"/>
    </row>
    <row r="104" spans="1:3" ht="13" x14ac:dyDescent="0.15">
      <c r="A104" s="10"/>
      <c r="B104" s="13"/>
      <c r="C104" s="13"/>
    </row>
    <row r="105" spans="1:3" ht="13" x14ac:dyDescent="0.15">
      <c r="A105" s="10"/>
      <c r="B105" s="13"/>
      <c r="C105" s="13"/>
    </row>
    <row r="106" spans="1:3" ht="13" x14ac:dyDescent="0.15">
      <c r="A106" s="10"/>
      <c r="B106" s="13"/>
      <c r="C106" s="13"/>
    </row>
    <row r="107" spans="1:3" ht="13" x14ac:dyDescent="0.15">
      <c r="A107" s="10"/>
      <c r="B107" s="13"/>
      <c r="C107" s="13"/>
    </row>
    <row r="108" spans="1:3" ht="13" x14ac:dyDescent="0.15">
      <c r="A108" s="10"/>
      <c r="B108" s="13"/>
      <c r="C108" s="13"/>
    </row>
    <row r="109" spans="1:3" ht="13" x14ac:dyDescent="0.15">
      <c r="A109" s="10"/>
      <c r="B109" s="13"/>
      <c r="C109" s="13"/>
    </row>
    <row r="110" spans="1:3" ht="13" x14ac:dyDescent="0.15">
      <c r="A110" s="10"/>
      <c r="B110" s="13"/>
      <c r="C110" s="13"/>
    </row>
    <row r="111" spans="1:3" ht="13" x14ac:dyDescent="0.15">
      <c r="A111" s="10"/>
      <c r="B111" s="13"/>
      <c r="C111" s="13"/>
    </row>
    <row r="112" spans="1:3" ht="13" x14ac:dyDescent="0.15">
      <c r="A112" s="10"/>
      <c r="B112" s="13"/>
      <c r="C112" s="13"/>
    </row>
    <row r="113" spans="1:3" ht="13" x14ac:dyDescent="0.15">
      <c r="A113" s="10"/>
      <c r="B113" s="13"/>
      <c r="C113" s="13"/>
    </row>
    <row r="114" spans="1:3" ht="13" x14ac:dyDescent="0.15">
      <c r="A114" s="10"/>
      <c r="B114" s="13"/>
      <c r="C114" s="13"/>
    </row>
    <row r="115" spans="1:3" ht="13" x14ac:dyDescent="0.15">
      <c r="A115" s="10"/>
      <c r="B115" s="13"/>
      <c r="C115" s="13"/>
    </row>
    <row r="116" spans="1:3" ht="13" x14ac:dyDescent="0.15">
      <c r="A116" s="10"/>
      <c r="B116" s="13"/>
      <c r="C116" s="13"/>
    </row>
    <row r="117" spans="1:3" ht="13" x14ac:dyDescent="0.15">
      <c r="A117" s="10"/>
      <c r="B117" s="13"/>
      <c r="C117" s="13"/>
    </row>
    <row r="118" spans="1:3" ht="13" x14ac:dyDescent="0.15">
      <c r="A118" s="10"/>
      <c r="B118" s="13"/>
      <c r="C118" s="13"/>
    </row>
    <row r="119" spans="1:3" ht="13" x14ac:dyDescent="0.15">
      <c r="A119" s="10"/>
      <c r="B119" s="13"/>
      <c r="C119" s="13"/>
    </row>
    <row r="120" spans="1:3" ht="13" x14ac:dyDescent="0.15">
      <c r="A120" s="10"/>
      <c r="B120" s="13"/>
      <c r="C120" s="13"/>
    </row>
    <row r="121" spans="1:3" ht="13" x14ac:dyDescent="0.15">
      <c r="A121" s="10"/>
      <c r="B121" s="13"/>
      <c r="C121" s="13"/>
    </row>
    <row r="122" spans="1:3" ht="13" x14ac:dyDescent="0.15">
      <c r="A122" s="10"/>
      <c r="B122" s="13"/>
      <c r="C122" s="13"/>
    </row>
    <row r="123" spans="1:3" ht="13" x14ac:dyDescent="0.15">
      <c r="A123" s="10"/>
      <c r="B123" s="13"/>
      <c r="C123" s="13"/>
    </row>
    <row r="124" spans="1:3" ht="13" x14ac:dyDescent="0.15">
      <c r="A124" s="10"/>
      <c r="B124" s="13"/>
      <c r="C124" s="13"/>
    </row>
    <row r="125" spans="1:3" ht="13" x14ac:dyDescent="0.15">
      <c r="A125" s="10"/>
      <c r="B125" s="13"/>
      <c r="C125" s="13"/>
    </row>
    <row r="126" spans="1:3" ht="13" x14ac:dyDescent="0.15">
      <c r="A126" s="10"/>
      <c r="B126" s="13"/>
      <c r="C126" s="13"/>
    </row>
    <row r="127" spans="1:3" ht="13" x14ac:dyDescent="0.15">
      <c r="A127" s="10"/>
      <c r="B127" s="13"/>
      <c r="C127" s="13"/>
    </row>
    <row r="128" spans="1:3" ht="13" x14ac:dyDescent="0.15">
      <c r="A128" s="10"/>
      <c r="B128" s="13"/>
      <c r="C128" s="13"/>
    </row>
    <row r="129" spans="1:3" ht="13" x14ac:dyDescent="0.15">
      <c r="A129" s="10"/>
      <c r="B129" s="13"/>
      <c r="C129" s="13"/>
    </row>
    <row r="130" spans="1:3" ht="13" x14ac:dyDescent="0.15">
      <c r="A130" s="10"/>
      <c r="B130" s="13"/>
      <c r="C130" s="13"/>
    </row>
    <row r="131" spans="1:3" ht="13" x14ac:dyDescent="0.15">
      <c r="A131" s="10"/>
      <c r="B131" s="13"/>
      <c r="C131" s="13"/>
    </row>
    <row r="132" spans="1:3" ht="13" x14ac:dyDescent="0.15">
      <c r="A132" s="10"/>
      <c r="B132" s="13"/>
      <c r="C132" s="13"/>
    </row>
    <row r="133" spans="1:3" ht="13" x14ac:dyDescent="0.15">
      <c r="A133" s="10"/>
      <c r="B133" s="13"/>
      <c r="C133" s="13"/>
    </row>
    <row r="134" spans="1:3" ht="13" x14ac:dyDescent="0.15">
      <c r="A134" s="10"/>
      <c r="B134" s="13"/>
      <c r="C134" s="13"/>
    </row>
    <row r="135" spans="1:3" ht="13" x14ac:dyDescent="0.15">
      <c r="A135" s="10"/>
      <c r="B135" s="13"/>
      <c r="C135" s="13"/>
    </row>
    <row r="136" spans="1:3" ht="13" x14ac:dyDescent="0.15">
      <c r="A136" s="10"/>
      <c r="B136" s="13"/>
      <c r="C136" s="13"/>
    </row>
    <row r="137" spans="1:3" ht="13" x14ac:dyDescent="0.15">
      <c r="A137" s="10"/>
      <c r="B137" s="13"/>
      <c r="C137" s="13"/>
    </row>
    <row r="138" spans="1:3" ht="13" x14ac:dyDescent="0.15">
      <c r="A138" s="10"/>
      <c r="B138" s="13"/>
      <c r="C138" s="13"/>
    </row>
    <row r="139" spans="1:3" ht="13" x14ac:dyDescent="0.15">
      <c r="A139" s="10"/>
      <c r="B139" s="13"/>
      <c r="C139" s="13"/>
    </row>
    <row r="140" spans="1:3" ht="13" x14ac:dyDescent="0.15">
      <c r="A140" s="10"/>
      <c r="B140" s="13"/>
      <c r="C140" s="13"/>
    </row>
    <row r="141" spans="1:3" ht="13" x14ac:dyDescent="0.15">
      <c r="A141" s="10"/>
      <c r="B141" s="13"/>
      <c r="C141" s="13"/>
    </row>
    <row r="142" spans="1:3" ht="13" x14ac:dyDescent="0.15">
      <c r="A142" s="10"/>
      <c r="B142" s="13"/>
      <c r="C142" s="13"/>
    </row>
    <row r="143" spans="1:3" ht="13" x14ac:dyDescent="0.15">
      <c r="A143" s="10"/>
      <c r="B143" s="13"/>
      <c r="C143" s="13"/>
    </row>
    <row r="144" spans="1:3" ht="13" x14ac:dyDescent="0.15">
      <c r="A144" s="10"/>
      <c r="B144" s="13"/>
      <c r="C144" s="13"/>
    </row>
    <row r="145" spans="1:3" ht="13" x14ac:dyDescent="0.15">
      <c r="A145" s="10"/>
      <c r="B145" s="13"/>
      <c r="C145" s="13"/>
    </row>
    <row r="146" spans="1:3" ht="13" x14ac:dyDescent="0.15">
      <c r="A146" s="10"/>
      <c r="B146" s="13"/>
      <c r="C146" s="13"/>
    </row>
    <row r="147" spans="1:3" ht="13" x14ac:dyDescent="0.15">
      <c r="A147" s="10"/>
      <c r="B147" s="13"/>
      <c r="C147" s="13"/>
    </row>
    <row r="148" spans="1:3" ht="13" x14ac:dyDescent="0.15">
      <c r="A148" s="10"/>
      <c r="B148" s="13"/>
      <c r="C148" s="13"/>
    </row>
    <row r="149" spans="1:3" ht="13" x14ac:dyDescent="0.15">
      <c r="A149" s="10"/>
      <c r="B149" s="13"/>
      <c r="C149" s="13"/>
    </row>
    <row r="150" spans="1:3" ht="13" x14ac:dyDescent="0.15">
      <c r="A150" s="10"/>
      <c r="B150" s="13"/>
      <c r="C150" s="13"/>
    </row>
    <row r="151" spans="1:3" ht="13" x14ac:dyDescent="0.15">
      <c r="A151" s="10"/>
      <c r="B151" s="13"/>
      <c r="C151" s="13"/>
    </row>
    <row r="152" spans="1:3" ht="13" x14ac:dyDescent="0.15">
      <c r="A152" s="10"/>
      <c r="B152" s="13"/>
      <c r="C152" s="13"/>
    </row>
    <row r="153" spans="1:3" ht="13" x14ac:dyDescent="0.15">
      <c r="A153" s="10"/>
      <c r="B153" s="13"/>
      <c r="C153" s="13"/>
    </row>
    <row r="154" spans="1:3" ht="13" x14ac:dyDescent="0.15">
      <c r="A154" s="10"/>
      <c r="B154" s="13"/>
      <c r="C154" s="13"/>
    </row>
    <row r="155" spans="1:3" ht="13" x14ac:dyDescent="0.15">
      <c r="A155" s="10"/>
      <c r="B155" s="13"/>
      <c r="C155" s="13"/>
    </row>
    <row r="156" spans="1:3" ht="13" x14ac:dyDescent="0.15">
      <c r="A156" s="10"/>
      <c r="B156" s="13"/>
      <c r="C156" s="13"/>
    </row>
    <row r="157" spans="1:3" ht="13" x14ac:dyDescent="0.15">
      <c r="A157" s="10"/>
      <c r="B157" s="13"/>
      <c r="C157" s="13"/>
    </row>
    <row r="158" spans="1:3" ht="13" x14ac:dyDescent="0.15">
      <c r="A158" s="10"/>
      <c r="B158" s="13"/>
      <c r="C158" s="13"/>
    </row>
    <row r="159" spans="1:3" ht="13" x14ac:dyDescent="0.15">
      <c r="A159" s="10"/>
      <c r="B159" s="13"/>
      <c r="C159" s="13"/>
    </row>
    <row r="160" spans="1:3" ht="13" x14ac:dyDescent="0.15">
      <c r="A160" s="10"/>
      <c r="B160" s="13"/>
      <c r="C160" s="13"/>
    </row>
    <row r="161" spans="1:3" ht="13" x14ac:dyDescent="0.15">
      <c r="A161" s="10"/>
      <c r="B161" s="13"/>
      <c r="C161" s="13"/>
    </row>
    <row r="162" spans="1:3" ht="13" x14ac:dyDescent="0.15">
      <c r="A162" s="10"/>
      <c r="B162" s="13"/>
      <c r="C162" s="13"/>
    </row>
    <row r="163" spans="1:3" ht="13" x14ac:dyDescent="0.15">
      <c r="A163" s="10"/>
      <c r="B163" s="13"/>
      <c r="C163" s="13"/>
    </row>
    <row r="164" spans="1:3" ht="13" x14ac:dyDescent="0.15">
      <c r="A164" s="10"/>
      <c r="B164" s="13"/>
      <c r="C164" s="13"/>
    </row>
    <row r="165" spans="1:3" ht="13" x14ac:dyDescent="0.15">
      <c r="A165" s="10"/>
      <c r="B165" s="13"/>
      <c r="C165" s="13"/>
    </row>
    <row r="166" spans="1:3" ht="13" x14ac:dyDescent="0.15">
      <c r="A166" s="10"/>
      <c r="B166" s="13"/>
      <c r="C166" s="13"/>
    </row>
    <row r="167" spans="1:3" ht="13" x14ac:dyDescent="0.15">
      <c r="A167" s="10"/>
      <c r="B167" s="13"/>
      <c r="C167" s="13"/>
    </row>
    <row r="168" spans="1:3" ht="13" x14ac:dyDescent="0.15">
      <c r="A168" s="10"/>
      <c r="B168" s="13"/>
      <c r="C168" s="13"/>
    </row>
    <row r="169" spans="1:3" ht="13" x14ac:dyDescent="0.15">
      <c r="A169" s="10"/>
      <c r="B169" s="13"/>
      <c r="C169" s="13"/>
    </row>
    <row r="170" spans="1:3" ht="13" x14ac:dyDescent="0.15">
      <c r="A170" s="10"/>
      <c r="B170" s="13"/>
      <c r="C170" s="13"/>
    </row>
    <row r="171" spans="1:3" ht="13" x14ac:dyDescent="0.15">
      <c r="A171" s="10"/>
      <c r="B171" s="13"/>
      <c r="C171" s="13"/>
    </row>
    <row r="172" spans="1:3" ht="13" x14ac:dyDescent="0.15">
      <c r="A172" s="10"/>
      <c r="B172" s="13"/>
      <c r="C172" s="13"/>
    </row>
    <row r="173" spans="1:3" ht="13" x14ac:dyDescent="0.15">
      <c r="A173" s="10"/>
      <c r="B173" s="13"/>
      <c r="C173" s="13"/>
    </row>
    <row r="174" spans="1:3" ht="13" x14ac:dyDescent="0.15">
      <c r="A174" s="10"/>
      <c r="B174" s="13"/>
      <c r="C174" s="13"/>
    </row>
    <row r="175" spans="1:3" ht="13" x14ac:dyDescent="0.15">
      <c r="A175" s="10"/>
      <c r="B175" s="13"/>
      <c r="C175" s="13"/>
    </row>
    <row r="176" spans="1:3" ht="13" x14ac:dyDescent="0.15">
      <c r="A176" s="10"/>
      <c r="B176" s="13"/>
      <c r="C176" s="13"/>
    </row>
    <row r="177" spans="1:3" ht="13" x14ac:dyDescent="0.15">
      <c r="A177" s="10"/>
      <c r="B177" s="13"/>
      <c r="C177" s="13"/>
    </row>
    <row r="178" spans="1:3" ht="13" x14ac:dyDescent="0.15">
      <c r="A178" s="10"/>
      <c r="B178" s="13"/>
      <c r="C178" s="13"/>
    </row>
    <row r="179" spans="1:3" ht="13" x14ac:dyDescent="0.15">
      <c r="A179" s="10"/>
      <c r="B179" s="13"/>
      <c r="C179" s="13"/>
    </row>
    <row r="180" spans="1:3" ht="13" x14ac:dyDescent="0.15">
      <c r="A180" s="10"/>
      <c r="B180" s="13"/>
      <c r="C180" s="13"/>
    </row>
    <row r="181" spans="1:3" ht="13" x14ac:dyDescent="0.15">
      <c r="A181" s="10"/>
      <c r="B181" s="13"/>
      <c r="C181" s="13"/>
    </row>
    <row r="182" spans="1:3" ht="13" x14ac:dyDescent="0.15">
      <c r="A182" s="10"/>
      <c r="B182" s="13"/>
      <c r="C182" s="13"/>
    </row>
    <row r="183" spans="1:3" ht="13" x14ac:dyDescent="0.15">
      <c r="A183" s="10"/>
      <c r="B183" s="13"/>
      <c r="C183" s="13"/>
    </row>
    <row r="184" spans="1:3" ht="13" x14ac:dyDescent="0.15">
      <c r="A184" s="10"/>
      <c r="B184" s="13"/>
      <c r="C184" s="13"/>
    </row>
    <row r="185" spans="1:3" ht="13" x14ac:dyDescent="0.15">
      <c r="A185" s="10"/>
      <c r="B185" s="13"/>
      <c r="C185" s="13"/>
    </row>
    <row r="186" spans="1:3" ht="13" x14ac:dyDescent="0.15">
      <c r="A186" s="10"/>
      <c r="B186" s="13"/>
      <c r="C186" s="13"/>
    </row>
    <row r="187" spans="1:3" ht="13" x14ac:dyDescent="0.15">
      <c r="A187" s="10"/>
      <c r="B187" s="13"/>
      <c r="C187" s="13"/>
    </row>
    <row r="188" spans="1:3" ht="13" x14ac:dyDescent="0.15">
      <c r="A188" s="10"/>
      <c r="B188" s="13"/>
      <c r="C188" s="13"/>
    </row>
    <row r="189" spans="1:3" ht="13" x14ac:dyDescent="0.15">
      <c r="A189" s="10"/>
      <c r="B189" s="13"/>
      <c r="C189" s="13"/>
    </row>
    <row r="190" spans="1:3" ht="13" x14ac:dyDescent="0.15">
      <c r="A190" s="10"/>
      <c r="B190" s="13"/>
      <c r="C190" s="13"/>
    </row>
    <row r="191" spans="1:3" ht="13" x14ac:dyDescent="0.15">
      <c r="A191" s="10"/>
      <c r="B191" s="13"/>
      <c r="C191" s="13"/>
    </row>
    <row r="192" spans="1:3" ht="13" x14ac:dyDescent="0.15">
      <c r="A192" s="10"/>
      <c r="B192" s="13"/>
      <c r="C192" s="13"/>
    </row>
    <row r="193" spans="1:3" ht="13" x14ac:dyDescent="0.15">
      <c r="A193" s="10"/>
      <c r="B193" s="13"/>
      <c r="C193" s="13"/>
    </row>
    <row r="194" spans="1:3" ht="13" x14ac:dyDescent="0.15">
      <c r="A194" s="10"/>
      <c r="B194" s="13"/>
      <c r="C194" s="13"/>
    </row>
    <row r="195" spans="1:3" ht="13" x14ac:dyDescent="0.15">
      <c r="A195" s="10"/>
      <c r="B195" s="13"/>
      <c r="C195" s="13"/>
    </row>
    <row r="196" spans="1:3" ht="13" x14ac:dyDescent="0.15">
      <c r="A196" s="10"/>
      <c r="B196" s="13"/>
      <c r="C196" s="13"/>
    </row>
    <row r="197" spans="1:3" ht="13" x14ac:dyDescent="0.15">
      <c r="A197" s="10"/>
      <c r="B197" s="13"/>
      <c r="C197" s="13"/>
    </row>
    <row r="198" spans="1:3" ht="13" x14ac:dyDescent="0.15">
      <c r="A198" s="10"/>
      <c r="B198" s="13"/>
      <c r="C198" s="13"/>
    </row>
    <row r="199" spans="1:3" ht="13" x14ac:dyDescent="0.15">
      <c r="A199" s="10"/>
      <c r="B199" s="13"/>
      <c r="C199" s="13"/>
    </row>
    <row r="200" spans="1:3" ht="13" x14ac:dyDescent="0.15">
      <c r="A200" s="10"/>
      <c r="B200" s="13"/>
      <c r="C200" s="13"/>
    </row>
    <row r="201" spans="1:3" ht="13" x14ac:dyDescent="0.15">
      <c r="A201" s="10"/>
      <c r="B201" s="13"/>
      <c r="C201" s="13"/>
    </row>
    <row r="202" spans="1:3" ht="13" x14ac:dyDescent="0.15">
      <c r="A202" s="10"/>
      <c r="B202" s="13"/>
      <c r="C202" s="13"/>
    </row>
    <row r="203" spans="1:3" ht="13" x14ac:dyDescent="0.15">
      <c r="A203" s="10"/>
      <c r="B203" s="13"/>
      <c r="C203" s="13"/>
    </row>
    <row r="204" spans="1:3" ht="13" x14ac:dyDescent="0.15">
      <c r="A204" s="10"/>
      <c r="B204" s="13"/>
      <c r="C204" s="13"/>
    </row>
    <row r="205" spans="1:3" ht="13" x14ac:dyDescent="0.15">
      <c r="A205" s="10"/>
      <c r="B205" s="13"/>
      <c r="C205" s="13"/>
    </row>
    <row r="206" spans="1:3" ht="13" x14ac:dyDescent="0.15">
      <c r="A206" s="10"/>
      <c r="B206" s="13"/>
      <c r="C206" s="13"/>
    </row>
    <row r="207" spans="1:3" ht="13" x14ac:dyDescent="0.15">
      <c r="A207" s="10"/>
      <c r="B207" s="13"/>
      <c r="C207" s="13"/>
    </row>
    <row r="208" spans="1:3" ht="13" x14ac:dyDescent="0.15">
      <c r="A208" s="10"/>
      <c r="B208" s="13"/>
      <c r="C208" s="13"/>
    </row>
    <row r="209" spans="1:3" ht="13" x14ac:dyDescent="0.15">
      <c r="A209" s="10"/>
      <c r="B209" s="13"/>
      <c r="C209" s="13"/>
    </row>
    <row r="210" spans="1:3" ht="13" x14ac:dyDescent="0.15">
      <c r="A210" s="10"/>
      <c r="B210" s="13"/>
      <c r="C210" s="13"/>
    </row>
    <row r="211" spans="1:3" ht="13" x14ac:dyDescent="0.15">
      <c r="A211" s="10"/>
      <c r="B211" s="13"/>
      <c r="C211" s="13"/>
    </row>
    <row r="212" spans="1:3" ht="13" x14ac:dyDescent="0.15">
      <c r="A212" s="10"/>
      <c r="B212" s="13"/>
      <c r="C212" s="13"/>
    </row>
    <row r="213" spans="1:3" ht="13" x14ac:dyDescent="0.15">
      <c r="A213" s="10"/>
      <c r="B213" s="13"/>
      <c r="C213" s="13"/>
    </row>
    <row r="214" spans="1:3" ht="13" x14ac:dyDescent="0.15">
      <c r="A214" s="10"/>
      <c r="B214" s="13"/>
      <c r="C214" s="13"/>
    </row>
    <row r="215" spans="1:3" ht="13" x14ac:dyDescent="0.15">
      <c r="A215" s="10"/>
      <c r="B215" s="13"/>
      <c r="C215" s="13"/>
    </row>
    <row r="216" spans="1:3" ht="13" x14ac:dyDescent="0.15">
      <c r="A216" s="10"/>
      <c r="B216" s="13"/>
      <c r="C216" s="13"/>
    </row>
    <row r="217" spans="1:3" ht="13" x14ac:dyDescent="0.15">
      <c r="A217" s="10"/>
      <c r="B217" s="13"/>
      <c r="C217" s="13"/>
    </row>
    <row r="218" spans="1:3" ht="13" x14ac:dyDescent="0.15">
      <c r="A218" s="10"/>
      <c r="B218" s="13"/>
      <c r="C218" s="13"/>
    </row>
    <row r="219" spans="1:3" ht="13" x14ac:dyDescent="0.15">
      <c r="A219" s="10"/>
      <c r="B219" s="13"/>
      <c r="C219" s="13"/>
    </row>
    <row r="220" spans="1:3" ht="13" x14ac:dyDescent="0.15">
      <c r="A220" s="10"/>
      <c r="B220" s="13"/>
      <c r="C220" s="13"/>
    </row>
    <row r="221" spans="1:3" ht="13" x14ac:dyDescent="0.15">
      <c r="A221" s="10"/>
      <c r="B221" s="13"/>
      <c r="C221" s="13"/>
    </row>
    <row r="222" spans="1:3" ht="13" x14ac:dyDescent="0.15">
      <c r="A222" s="10"/>
      <c r="B222" s="13"/>
      <c r="C222" s="13"/>
    </row>
    <row r="223" spans="1:3" ht="13" x14ac:dyDescent="0.15">
      <c r="A223" s="10"/>
      <c r="B223" s="13"/>
      <c r="C223" s="13"/>
    </row>
    <row r="224" spans="1:3" ht="13" x14ac:dyDescent="0.15">
      <c r="A224" s="10"/>
      <c r="B224" s="13"/>
      <c r="C224" s="13"/>
    </row>
    <row r="225" spans="1:3" ht="13" x14ac:dyDescent="0.15">
      <c r="A225" s="10"/>
      <c r="B225" s="13"/>
      <c r="C225" s="13"/>
    </row>
    <row r="226" spans="1:3" ht="13" x14ac:dyDescent="0.15">
      <c r="A226" s="10"/>
      <c r="B226" s="13"/>
      <c r="C226" s="13"/>
    </row>
    <row r="227" spans="1:3" ht="13" x14ac:dyDescent="0.15">
      <c r="A227" s="10"/>
      <c r="B227" s="13"/>
      <c r="C227" s="13"/>
    </row>
    <row r="228" spans="1:3" ht="13" x14ac:dyDescent="0.15">
      <c r="A228" s="10"/>
      <c r="B228" s="13"/>
      <c r="C228" s="13"/>
    </row>
    <row r="229" spans="1:3" ht="13" x14ac:dyDescent="0.15">
      <c r="A229" s="10"/>
      <c r="B229" s="13"/>
      <c r="C229" s="13"/>
    </row>
    <row r="230" spans="1:3" ht="13" x14ac:dyDescent="0.15">
      <c r="A230" s="10"/>
      <c r="B230" s="13"/>
      <c r="C230" s="13"/>
    </row>
    <row r="231" spans="1:3" ht="13" x14ac:dyDescent="0.15">
      <c r="A231" s="10"/>
      <c r="B231" s="13"/>
      <c r="C231" s="13"/>
    </row>
    <row r="232" spans="1:3" ht="13" x14ac:dyDescent="0.15">
      <c r="A232" s="10"/>
      <c r="B232" s="13"/>
      <c r="C232" s="13"/>
    </row>
    <row r="233" spans="1:3" ht="13" x14ac:dyDescent="0.15">
      <c r="A233" s="10"/>
      <c r="B233" s="13"/>
      <c r="C233" s="13"/>
    </row>
    <row r="234" spans="1:3" ht="13" x14ac:dyDescent="0.15">
      <c r="A234" s="10"/>
      <c r="B234" s="13"/>
      <c r="C234" s="13"/>
    </row>
    <row r="235" spans="1:3" ht="13" x14ac:dyDescent="0.15">
      <c r="A235" s="10"/>
      <c r="B235" s="13"/>
      <c r="C235" s="13"/>
    </row>
    <row r="236" spans="1:3" ht="13" x14ac:dyDescent="0.15">
      <c r="A236" s="10"/>
      <c r="B236" s="13"/>
      <c r="C236" s="13"/>
    </row>
    <row r="237" spans="1:3" ht="13" x14ac:dyDescent="0.15">
      <c r="A237" s="10"/>
      <c r="B237" s="13"/>
      <c r="C237" s="13"/>
    </row>
    <row r="238" spans="1:3" ht="13" x14ac:dyDescent="0.15">
      <c r="A238" s="10"/>
      <c r="B238" s="13"/>
      <c r="C238" s="13"/>
    </row>
    <row r="239" spans="1:3" ht="13" x14ac:dyDescent="0.15">
      <c r="A239" s="10"/>
      <c r="B239" s="13"/>
      <c r="C239" s="13"/>
    </row>
    <row r="240" spans="1:3" ht="13" x14ac:dyDescent="0.15">
      <c r="A240" s="10"/>
      <c r="B240" s="13"/>
      <c r="C240" s="13"/>
    </row>
    <row r="241" spans="1:3" ht="13" x14ac:dyDescent="0.15">
      <c r="A241" s="10"/>
      <c r="B241" s="13"/>
      <c r="C241" s="13"/>
    </row>
    <row r="242" spans="1:3" ht="13" x14ac:dyDescent="0.15">
      <c r="A242" s="10"/>
      <c r="B242" s="13"/>
      <c r="C242" s="13"/>
    </row>
    <row r="243" spans="1:3" ht="13" x14ac:dyDescent="0.15">
      <c r="A243" s="10"/>
      <c r="B243" s="13"/>
      <c r="C243" s="13"/>
    </row>
    <row r="244" spans="1:3" ht="13" x14ac:dyDescent="0.15">
      <c r="A244" s="10"/>
      <c r="B244" s="13"/>
      <c r="C244" s="13"/>
    </row>
    <row r="245" spans="1:3" ht="13" x14ac:dyDescent="0.15">
      <c r="A245" s="10"/>
      <c r="B245" s="13"/>
      <c r="C245" s="13"/>
    </row>
    <row r="246" spans="1:3" ht="13" x14ac:dyDescent="0.15">
      <c r="A246" s="10"/>
      <c r="B246" s="13"/>
      <c r="C246" s="13"/>
    </row>
    <row r="247" spans="1:3" ht="13" x14ac:dyDescent="0.15">
      <c r="A247" s="10"/>
      <c r="B247" s="13"/>
      <c r="C247" s="13"/>
    </row>
    <row r="248" spans="1:3" ht="13" x14ac:dyDescent="0.15">
      <c r="A248" s="10"/>
      <c r="B248" s="13"/>
      <c r="C248" s="13"/>
    </row>
    <row r="249" spans="1:3" ht="13" x14ac:dyDescent="0.15">
      <c r="A249" s="10"/>
      <c r="B249" s="13"/>
      <c r="C249" s="13"/>
    </row>
    <row r="250" spans="1:3" ht="13" x14ac:dyDescent="0.15">
      <c r="A250" s="10"/>
      <c r="B250" s="13"/>
      <c r="C250" s="13"/>
    </row>
    <row r="251" spans="1:3" ht="13" x14ac:dyDescent="0.15">
      <c r="A251" s="10"/>
      <c r="B251" s="13"/>
      <c r="C251" s="13"/>
    </row>
    <row r="252" spans="1:3" ht="13" x14ac:dyDescent="0.15">
      <c r="A252" s="10"/>
      <c r="B252" s="13"/>
      <c r="C252" s="13"/>
    </row>
    <row r="253" spans="1:3" ht="13" x14ac:dyDescent="0.15">
      <c r="A253" s="10"/>
      <c r="B253" s="13"/>
      <c r="C253" s="13"/>
    </row>
    <row r="254" spans="1:3" ht="13" x14ac:dyDescent="0.15">
      <c r="A254" s="10"/>
      <c r="B254" s="13"/>
      <c r="C254" s="13"/>
    </row>
    <row r="255" spans="1:3" ht="13" x14ac:dyDescent="0.15">
      <c r="A255" s="10"/>
      <c r="B255" s="13"/>
      <c r="C255" s="13"/>
    </row>
    <row r="256" spans="1:3" ht="13" x14ac:dyDescent="0.15">
      <c r="A256" s="10"/>
      <c r="B256" s="13"/>
      <c r="C256" s="13"/>
    </row>
    <row r="257" spans="1:3" ht="13" x14ac:dyDescent="0.15">
      <c r="A257" s="10"/>
      <c r="B257" s="13"/>
      <c r="C257" s="13"/>
    </row>
    <row r="258" spans="1:3" ht="13" x14ac:dyDescent="0.15">
      <c r="A258" s="10"/>
      <c r="B258" s="13"/>
      <c r="C258" s="13"/>
    </row>
    <row r="259" spans="1:3" ht="13" x14ac:dyDescent="0.15">
      <c r="A259" s="10"/>
      <c r="B259" s="13"/>
      <c r="C259" s="13"/>
    </row>
    <row r="260" spans="1:3" ht="13" x14ac:dyDescent="0.15">
      <c r="A260" s="10"/>
      <c r="B260" s="13"/>
      <c r="C260" s="13"/>
    </row>
    <row r="261" spans="1:3" ht="13" x14ac:dyDescent="0.15">
      <c r="A261" s="10"/>
      <c r="B261" s="13"/>
      <c r="C261" s="13"/>
    </row>
    <row r="262" spans="1:3" ht="13" x14ac:dyDescent="0.15">
      <c r="A262" s="10"/>
      <c r="B262" s="13"/>
      <c r="C262" s="13"/>
    </row>
    <row r="263" spans="1:3" ht="13" x14ac:dyDescent="0.15">
      <c r="A263" s="10"/>
      <c r="B263" s="13"/>
      <c r="C263" s="13"/>
    </row>
    <row r="264" spans="1:3" ht="13" x14ac:dyDescent="0.15">
      <c r="A264" s="10"/>
      <c r="B264" s="13"/>
      <c r="C264" s="13"/>
    </row>
    <row r="265" spans="1:3" ht="13" x14ac:dyDescent="0.15">
      <c r="A265" s="10"/>
      <c r="B265" s="13"/>
      <c r="C265" s="13"/>
    </row>
    <row r="266" spans="1:3" ht="13" x14ac:dyDescent="0.15">
      <c r="A266" s="10"/>
      <c r="B266" s="13"/>
      <c r="C266" s="13"/>
    </row>
    <row r="267" spans="1:3" ht="13" x14ac:dyDescent="0.15">
      <c r="A267" s="10"/>
      <c r="B267" s="13"/>
      <c r="C267" s="13"/>
    </row>
    <row r="268" spans="1:3" ht="13" x14ac:dyDescent="0.15">
      <c r="A268" s="10"/>
      <c r="B268" s="13"/>
      <c r="C268" s="13"/>
    </row>
    <row r="269" spans="1:3" ht="13" x14ac:dyDescent="0.15">
      <c r="A269" s="10"/>
      <c r="B269" s="13"/>
      <c r="C269" s="13"/>
    </row>
    <row r="270" spans="1:3" ht="13" x14ac:dyDescent="0.15">
      <c r="A270" s="10"/>
      <c r="B270" s="13"/>
      <c r="C270" s="13"/>
    </row>
    <row r="271" spans="1:3" ht="13" x14ac:dyDescent="0.15">
      <c r="A271" s="10"/>
      <c r="B271" s="13"/>
      <c r="C271" s="13"/>
    </row>
    <row r="272" spans="1:3" ht="13" x14ac:dyDescent="0.15">
      <c r="A272" s="10"/>
      <c r="B272" s="13"/>
      <c r="C272" s="13"/>
    </row>
    <row r="273" spans="1:3" ht="13" x14ac:dyDescent="0.15">
      <c r="A273" s="10"/>
      <c r="B273" s="13"/>
      <c r="C273" s="13"/>
    </row>
    <row r="274" spans="1:3" ht="13" x14ac:dyDescent="0.15">
      <c r="A274" s="10"/>
      <c r="B274" s="13"/>
      <c r="C274" s="13"/>
    </row>
    <row r="275" spans="1:3" ht="13" x14ac:dyDescent="0.15">
      <c r="A275" s="10"/>
      <c r="B275" s="13"/>
      <c r="C275" s="13"/>
    </row>
    <row r="276" spans="1:3" ht="13" x14ac:dyDescent="0.15">
      <c r="A276" s="10"/>
      <c r="B276" s="13"/>
      <c r="C276" s="13"/>
    </row>
    <row r="277" spans="1:3" ht="13" x14ac:dyDescent="0.15">
      <c r="A277" s="10"/>
      <c r="B277" s="13"/>
      <c r="C277" s="13"/>
    </row>
    <row r="278" spans="1:3" ht="13" x14ac:dyDescent="0.15">
      <c r="A278" s="10"/>
      <c r="B278" s="13"/>
      <c r="C278" s="13"/>
    </row>
    <row r="279" spans="1:3" ht="13" x14ac:dyDescent="0.15">
      <c r="A279" s="10"/>
      <c r="B279" s="13"/>
      <c r="C279" s="13"/>
    </row>
    <row r="280" spans="1:3" ht="13" x14ac:dyDescent="0.15">
      <c r="A280" s="10"/>
      <c r="B280" s="13"/>
      <c r="C280" s="13"/>
    </row>
    <row r="281" spans="1:3" ht="13" x14ac:dyDescent="0.15">
      <c r="A281" s="10"/>
      <c r="B281" s="13"/>
      <c r="C281" s="13"/>
    </row>
    <row r="282" spans="1:3" ht="13" x14ac:dyDescent="0.15">
      <c r="A282" s="10"/>
      <c r="B282" s="13"/>
      <c r="C282" s="13"/>
    </row>
    <row r="283" spans="1:3" ht="13" x14ac:dyDescent="0.15">
      <c r="A283" s="10"/>
      <c r="B283" s="13"/>
      <c r="C283" s="13"/>
    </row>
    <row r="284" spans="1:3" ht="13" x14ac:dyDescent="0.15">
      <c r="A284" s="10"/>
      <c r="B284" s="13"/>
      <c r="C284" s="13"/>
    </row>
    <row r="285" spans="1:3" ht="13" x14ac:dyDescent="0.15">
      <c r="A285" s="10"/>
      <c r="B285" s="13"/>
      <c r="C285" s="13"/>
    </row>
    <row r="286" spans="1:3" ht="13" x14ac:dyDescent="0.15">
      <c r="A286" s="10"/>
      <c r="B286" s="13"/>
      <c r="C286" s="13"/>
    </row>
    <row r="287" spans="1:3" ht="13" x14ac:dyDescent="0.15">
      <c r="A287" s="10"/>
      <c r="B287" s="13"/>
      <c r="C287" s="13"/>
    </row>
    <row r="288" spans="1:3" ht="13" x14ac:dyDescent="0.15">
      <c r="A288" s="10"/>
      <c r="B288" s="13"/>
      <c r="C288" s="13"/>
    </row>
    <row r="289" spans="1:3" ht="13" x14ac:dyDescent="0.15">
      <c r="A289" s="10"/>
      <c r="B289" s="13"/>
      <c r="C289" s="13"/>
    </row>
    <row r="290" spans="1:3" ht="13" x14ac:dyDescent="0.15">
      <c r="A290" s="10"/>
      <c r="B290" s="13"/>
      <c r="C290" s="13"/>
    </row>
    <row r="291" spans="1:3" ht="13" x14ac:dyDescent="0.15">
      <c r="A291" s="10"/>
      <c r="B291" s="13"/>
      <c r="C291" s="13"/>
    </row>
    <row r="292" spans="1:3" ht="13" x14ac:dyDescent="0.15">
      <c r="A292" s="10"/>
      <c r="B292" s="13"/>
      <c r="C292" s="13"/>
    </row>
    <row r="293" spans="1:3" ht="13" x14ac:dyDescent="0.15">
      <c r="A293" s="10"/>
      <c r="B293" s="13"/>
      <c r="C293" s="13"/>
    </row>
    <row r="294" spans="1:3" ht="13" x14ac:dyDescent="0.15">
      <c r="A294" s="10"/>
      <c r="B294" s="13"/>
      <c r="C294" s="13"/>
    </row>
    <row r="295" spans="1:3" ht="13" x14ac:dyDescent="0.15">
      <c r="A295" s="10"/>
      <c r="B295" s="13"/>
      <c r="C295" s="13"/>
    </row>
    <row r="296" spans="1:3" ht="13" x14ac:dyDescent="0.15">
      <c r="A296" s="10"/>
      <c r="B296" s="13"/>
      <c r="C296" s="13"/>
    </row>
    <row r="297" spans="1:3" ht="13" x14ac:dyDescent="0.15">
      <c r="A297" s="10"/>
      <c r="B297" s="13"/>
      <c r="C297" s="13"/>
    </row>
    <row r="298" spans="1:3" ht="13" x14ac:dyDescent="0.15">
      <c r="A298" s="10"/>
      <c r="B298" s="13"/>
      <c r="C298" s="13"/>
    </row>
    <row r="299" spans="1:3" ht="13" x14ac:dyDescent="0.15">
      <c r="A299" s="10"/>
      <c r="B299" s="13"/>
      <c r="C299" s="13"/>
    </row>
    <row r="300" spans="1:3" ht="13" x14ac:dyDescent="0.15">
      <c r="A300" s="10"/>
      <c r="B300" s="13"/>
      <c r="C300" s="13"/>
    </row>
    <row r="301" spans="1:3" ht="13" x14ac:dyDescent="0.15">
      <c r="A301" s="10"/>
      <c r="B301" s="13"/>
      <c r="C301" s="13"/>
    </row>
    <row r="302" spans="1:3" ht="13" x14ac:dyDescent="0.15">
      <c r="A302" s="10"/>
      <c r="B302" s="13"/>
      <c r="C302" s="13"/>
    </row>
    <row r="303" spans="1:3" ht="13" x14ac:dyDescent="0.15">
      <c r="A303" s="10"/>
      <c r="B303" s="13"/>
      <c r="C303" s="13"/>
    </row>
    <row r="304" spans="1:3" ht="13" x14ac:dyDescent="0.15">
      <c r="A304" s="10"/>
      <c r="B304" s="13"/>
      <c r="C304" s="13"/>
    </row>
    <row r="305" spans="1:3" ht="13" x14ac:dyDescent="0.15">
      <c r="A305" s="10"/>
      <c r="B305" s="13"/>
      <c r="C305" s="13"/>
    </row>
    <row r="306" spans="1:3" ht="13" x14ac:dyDescent="0.15">
      <c r="A306" s="10"/>
      <c r="B306" s="13"/>
      <c r="C306" s="13"/>
    </row>
    <row r="307" spans="1:3" ht="13" x14ac:dyDescent="0.15">
      <c r="A307" s="10"/>
      <c r="B307" s="13"/>
      <c r="C307" s="13"/>
    </row>
    <row r="308" spans="1:3" ht="13" x14ac:dyDescent="0.15">
      <c r="A308" s="10"/>
      <c r="B308" s="13"/>
      <c r="C308" s="13"/>
    </row>
    <row r="309" spans="1:3" ht="13" x14ac:dyDescent="0.15">
      <c r="A309" s="10"/>
      <c r="B309" s="13"/>
      <c r="C309" s="13"/>
    </row>
    <row r="310" spans="1:3" ht="13" x14ac:dyDescent="0.15">
      <c r="A310" s="10"/>
      <c r="B310" s="13"/>
      <c r="C310" s="13"/>
    </row>
    <row r="311" spans="1:3" ht="13" x14ac:dyDescent="0.15">
      <c r="A311" s="10"/>
      <c r="B311" s="13"/>
      <c r="C311" s="13"/>
    </row>
    <row r="312" spans="1:3" ht="13" x14ac:dyDescent="0.15">
      <c r="A312" s="10"/>
      <c r="B312" s="13"/>
      <c r="C312" s="13"/>
    </row>
    <row r="313" spans="1:3" ht="13" x14ac:dyDescent="0.15">
      <c r="A313" s="10"/>
      <c r="B313" s="13"/>
      <c r="C313" s="13"/>
    </row>
    <row r="314" spans="1:3" ht="13" x14ac:dyDescent="0.15">
      <c r="A314" s="10"/>
      <c r="B314" s="13"/>
      <c r="C314" s="13"/>
    </row>
    <row r="315" spans="1:3" ht="13" x14ac:dyDescent="0.15">
      <c r="A315" s="10"/>
      <c r="B315" s="13"/>
      <c r="C315" s="13"/>
    </row>
    <row r="316" spans="1:3" ht="13" x14ac:dyDescent="0.15">
      <c r="A316" s="10"/>
      <c r="B316" s="13"/>
      <c r="C316" s="13"/>
    </row>
    <row r="317" spans="1:3" ht="13" x14ac:dyDescent="0.15">
      <c r="A317" s="10"/>
      <c r="B317" s="13"/>
      <c r="C317" s="13"/>
    </row>
    <row r="318" spans="1:3" ht="13" x14ac:dyDescent="0.15">
      <c r="A318" s="10"/>
      <c r="B318" s="13"/>
      <c r="C318" s="13"/>
    </row>
    <row r="319" spans="1:3" ht="13" x14ac:dyDescent="0.15">
      <c r="A319" s="10"/>
      <c r="B319" s="13"/>
      <c r="C319" s="13"/>
    </row>
    <row r="320" spans="1:3" ht="13" x14ac:dyDescent="0.15">
      <c r="A320" s="10"/>
      <c r="B320" s="13"/>
      <c r="C320" s="13"/>
    </row>
    <row r="321" spans="1:3" ht="13" x14ac:dyDescent="0.15">
      <c r="A321" s="10"/>
      <c r="B321" s="13"/>
      <c r="C321" s="13"/>
    </row>
    <row r="322" spans="1:3" ht="13" x14ac:dyDescent="0.15">
      <c r="A322" s="10"/>
      <c r="B322" s="13"/>
      <c r="C322" s="13"/>
    </row>
    <row r="323" spans="1:3" ht="13" x14ac:dyDescent="0.15">
      <c r="A323" s="10"/>
      <c r="B323" s="13"/>
      <c r="C323" s="13"/>
    </row>
    <row r="324" spans="1:3" ht="13" x14ac:dyDescent="0.15">
      <c r="A324" s="10"/>
      <c r="B324" s="13"/>
      <c r="C324" s="13"/>
    </row>
    <row r="325" spans="1:3" ht="13" x14ac:dyDescent="0.15">
      <c r="A325" s="10"/>
      <c r="B325" s="13"/>
      <c r="C325" s="13"/>
    </row>
    <row r="326" spans="1:3" ht="13" x14ac:dyDescent="0.15">
      <c r="A326" s="10"/>
      <c r="B326" s="13"/>
      <c r="C326" s="13"/>
    </row>
    <row r="327" spans="1:3" ht="13" x14ac:dyDescent="0.15">
      <c r="A327" s="10"/>
      <c r="B327" s="13"/>
      <c r="C327" s="13"/>
    </row>
    <row r="328" spans="1:3" ht="13" x14ac:dyDescent="0.15">
      <c r="A328" s="10"/>
      <c r="B328" s="13"/>
      <c r="C328" s="13"/>
    </row>
    <row r="329" spans="1:3" ht="13" x14ac:dyDescent="0.15">
      <c r="A329" s="10"/>
      <c r="B329" s="13"/>
      <c r="C329" s="13"/>
    </row>
    <row r="330" spans="1:3" ht="13" x14ac:dyDescent="0.15">
      <c r="A330" s="10"/>
      <c r="B330" s="13"/>
      <c r="C330" s="13"/>
    </row>
    <row r="331" spans="1:3" ht="13" x14ac:dyDescent="0.15">
      <c r="A331" s="10"/>
      <c r="B331" s="13"/>
      <c r="C331" s="13"/>
    </row>
    <row r="332" spans="1:3" ht="13" x14ac:dyDescent="0.15">
      <c r="A332" s="10"/>
      <c r="B332" s="13"/>
      <c r="C332" s="13"/>
    </row>
    <row r="333" spans="1:3" ht="13" x14ac:dyDescent="0.15">
      <c r="A333" s="10"/>
      <c r="B333" s="13"/>
      <c r="C333" s="13"/>
    </row>
    <row r="334" spans="1:3" ht="13" x14ac:dyDescent="0.15">
      <c r="A334" s="10"/>
      <c r="B334" s="13"/>
      <c r="C334" s="13"/>
    </row>
    <row r="335" spans="1:3" ht="13" x14ac:dyDescent="0.15">
      <c r="A335" s="10"/>
      <c r="B335" s="13"/>
      <c r="C335" s="13"/>
    </row>
    <row r="336" spans="1:3" ht="13" x14ac:dyDescent="0.15">
      <c r="A336" s="10"/>
      <c r="B336" s="13"/>
      <c r="C336" s="13"/>
    </row>
    <row r="337" spans="1:3" ht="13" x14ac:dyDescent="0.15">
      <c r="A337" s="10"/>
      <c r="B337" s="13"/>
      <c r="C337" s="13"/>
    </row>
    <row r="338" spans="1:3" ht="13" x14ac:dyDescent="0.15">
      <c r="A338" s="10"/>
      <c r="B338" s="13"/>
      <c r="C338" s="13"/>
    </row>
    <row r="339" spans="1:3" ht="13" x14ac:dyDescent="0.15">
      <c r="A339" s="10"/>
      <c r="B339" s="13"/>
      <c r="C339" s="13"/>
    </row>
    <row r="340" spans="1:3" ht="13" x14ac:dyDescent="0.15">
      <c r="A340" s="10"/>
      <c r="B340" s="13"/>
      <c r="C340" s="13"/>
    </row>
    <row r="341" spans="1:3" ht="13" x14ac:dyDescent="0.15">
      <c r="A341" s="10"/>
      <c r="B341" s="13"/>
      <c r="C341" s="13"/>
    </row>
    <row r="342" spans="1:3" ht="13" x14ac:dyDescent="0.15">
      <c r="A342" s="10"/>
      <c r="B342" s="13"/>
      <c r="C342" s="13"/>
    </row>
    <row r="343" spans="1:3" ht="13" x14ac:dyDescent="0.15">
      <c r="A343" s="10"/>
      <c r="B343" s="13"/>
      <c r="C343" s="13"/>
    </row>
    <row r="344" spans="1:3" ht="13" x14ac:dyDescent="0.15">
      <c r="A344" s="10"/>
      <c r="B344" s="13"/>
      <c r="C344" s="13"/>
    </row>
    <row r="345" spans="1:3" ht="13" x14ac:dyDescent="0.15">
      <c r="A345" s="10"/>
      <c r="B345" s="13"/>
      <c r="C345" s="13"/>
    </row>
    <row r="346" spans="1:3" ht="13" x14ac:dyDescent="0.15">
      <c r="A346" s="10"/>
      <c r="B346" s="13"/>
      <c r="C346" s="13"/>
    </row>
    <row r="347" spans="1:3" ht="13" x14ac:dyDescent="0.15">
      <c r="A347" s="10"/>
      <c r="B347" s="13"/>
      <c r="C347" s="13"/>
    </row>
    <row r="348" spans="1:3" ht="13" x14ac:dyDescent="0.15">
      <c r="A348" s="10"/>
      <c r="B348" s="13"/>
      <c r="C348" s="13"/>
    </row>
    <row r="349" spans="1:3" ht="13" x14ac:dyDescent="0.15">
      <c r="A349" s="10"/>
      <c r="B349" s="13"/>
      <c r="C349" s="13"/>
    </row>
    <row r="350" spans="1:3" ht="13" x14ac:dyDescent="0.15">
      <c r="A350" s="10"/>
      <c r="B350" s="13"/>
      <c r="C350" s="13"/>
    </row>
    <row r="351" spans="1:3" ht="13" x14ac:dyDescent="0.15">
      <c r="A351" s="10"/>
      <c r="B351" s="13"/>
      <c r="C351" s="13"/>
    </row>
    <row r="352" spans="1:3" ht="13" x14ac:dyDescent="0.15">
      <c r="A352" s="10"/>
      <c r="B352" s="13"/>
      <c r="C352" s="13"/>
    </row>
    <row r="353" spans="1:3" ht="13" x14ac:dyDescent="0.15">
      <c r="A353" s="10"/>
      <c r="B353" s="13"/>
      <c r="C353" s="13"/>
    </row>
    <row r="354" spans="1:3" ht="13" x14ac:dyDescent="0.15">
      <c r="A354" s="10"/>
      <c r="B354" s="13"/>
      <c r="C354" s="13"/>
    </row>
    <row r="355" spans="1:3" ht="13" x14ac:dyDescent="0.15">
      <c r="A355" s="10"/>
      <c r="B355" s="13"/>
      <c r="C355" s="13"/>
    </row>
    <row r="356" spans="1:3" ht="13" x14ac:dyDescent="0.15">
      <c r="A356" s="10"/>
      <c r="B356" s="13"/>
      <c r="C356" s="13"/>
    </row>
    <row r="357" spans="1:3" ht="13" x14ac:dyDescent="0.15">
      <c r="A357" s="10"/>
      <c r="B357" s="13"/>
      <c r="C357" s="13"/>
    </row>
    <row r="358" spans="1:3" ht="13" x14ac:dyDescent="0.15">
      <c r="A358" s="10"/>
      <c r="B358" s="13"/>
      <c r="C358" s="13"/>
    </row>
    <row r="359" spans="1:3" ht="13" x14ac:dyDescent="0.15">
      <c r="A359" s="10"/>
      <c r="B359" s="13"/>
      <c r="C359" s="13"/>
    </row>
    <row r="360" spans="1:3" ht="13" x14ac:dyDescent="0.15">
      <c r="A360" s="10"/>
      <c r="B360" s="13"/>
      <c r="C360" s="13"/>
    </row>
    <row r="361" spans="1:3" ht="13" x14ac:dyDescent="0.15">
      <c r="A361" s="10"/>
      <c r="B361" s="13"/>
      <c r="C361" s="13"/>
    </row>
    <row r="362" spans="1:3" ht="13" x14ac:dyDescent="0.15">
      <c r="A362" s="10"/>
      <c r="B362" s="13"/>
      <c r="C362" s="13"/>
    </row>
    <row r="363" spans="1:3" ht="13" x14ac:dyDescent="0.15">
      <c r="A363" s="10"/>
      <c r="B363" s="13"/>
      <c r="C363" s="13"/>
    </row>
    <row r="364" spans="1:3" ht="13" x14ac:dyDescent="0.15">
      <c r="A364" s="10"/>
      <c r="B364" s="13"/>
      <c r="C364" s="13"/>
    </row>
    <row r="365" spans="1:3" ht="13" x14ac:dyDescent="0.15">
      <c r="A365" s="10"/>
      <c r="B365" s="13"/>
      <c r="C365" s="13"/>
    </row>
    <row r="366" spans="1:3" ht="13" x14ac:dyDescent="0.15">
      <c r="A366" s="10"/>
      <c r="B366" s="13"/>
      <c r="C366" s="13"/>
    </row>
    <row r="367" spans="1:3" ht="13" x14ac:dyDescent="0.15">
      <c r="A367" s="10"/>
      <c r="B367" s="13"/>
      <c r="C367" s="13"/>
    </row>
    <row r="368" spans="1:3" ht="13" x14ac:dyDescent="0.15">
      <c r="A368" s="10"/>
      <c r="B368" s="13"/>
      <c r="C368" s="13"/>
    </row>
    <row r="369" spans="1:3" ht="13" x14ac:dyDescent="0.15">
      <c r="A369" s="10"/>
      <c r="B369" s="13"/>
      <c r="C369" s="13"/>
    </row>
    <row r="370" spans="1:3" ht="13" x14ac:dyDescent="0.15">
      <c r="A370" s="10"/>
      <c r="B370" s="13"/>
      <c r="C370" s="13"/>
    </row>
    <row r="371" spans="1:3" ht="13" x14ac:dyDescent="0.15">
      <c r="A371" s="10"/>
      <c r="B371" s="13"/>
      <c r="C371" s="13"/>
    </row>
    <row r="372" spans="1:3" ht="13" x14ac:dyDescent="0.15">
      <c r="A372" s="10"/>
      <c r="B372" s="13"/>
      <c r="C372" s="13"/>
    </row>
    <row r="373" spans="1:3" ht="13" x14ac:dyDescent="0.15">
      <c r="A373" s="10"/>
      <c r="B373" s="13"/>
      <c r="C373" s="13"/>
    </row>
    <row r="374" spans="1:3" ht="13" x14ac:dyDescent="0.15">
      <c r="A374" s="10"/>
      <c r="B374" s="13"/>
      <c r="C374" s="13"/>
    </row>
    <row r="375" spans="1:3" ht="13" x14ac:dyDescent="0.15">
      <c r="A375" s="10"/>
      <c r="B375" s="13"/>
      <c r="C375" s="13"/>
    </row>
    <row r="376" spans="1:3" ht="13" x14ac:dyDescent="0.15">
      <c r="A376" s="10"/>
      <c r="B376" s="13"/>
      <c r="C376" s="13"/>
    </row>
    <row r="377" spans="1:3" ht="13" x14ac:dyDescent="0.15">
      <c r="A377" s="10"/>
      <c r="B377" s="13"/>
      <c r="C377" s="13"/>
    </row>
    <row r="378" spans="1:3" ht="13" x14ac:dyDescent="0.15">
      <c r="A378" s="10"/>
      <c r="B378" s="13"/>
      <c r="C378" s="13"/>
    </row>
    <row r="379" spans="1:3" ht="13" x14ac:dyDescent="0.15">
      <c r="A379" s="10"/>
      <c r="B379" s="13"/>
      <c r="C379" s="13"/>
    </row>
    <row r="380" spans="1:3" ht="13" x14ac:dyDescent="0.15">
      <c r="A380" s="10"/>
      <c r="B380" s="13"/>
      <c r="C380" s="13"/>
    </row>
    <row r="381" spans="1:3" ht="13" x14ac:dyDescent="0.15">
      <c r="A381" s="10"/>
      <c r="B381" s="13"/>
      <c r="C381" s="13"/>
    </row>
    <row r="382" spans="1:3" ht="13" x14ac:dyDescent="0.15">
      <c r="A382" s="10"/>
      <c r="B382" s="13"/>
      <c r="C382" s="13"/>
    </row>
    <row r="383" spans="1:3" ht="13" x14ac:dyDescent="0.15">
      <c r="A383" s="10"/>
      <c r="B383" s="13"/>
      <c r="C383" s="13"/>
    </row>
    <row r="384" spans="1:3" ht="13" x14ac:dyDescent="0.15">
      <c r="A384" s="10"/>
      <c r="B384" s="13"/>
      <c r="C384" s="13"/>
    </row>
    <row r="385" spans="1:3" ht="13" x14ac:dyDescent="0.15">
      <c r="A385" s="10"/>
      <c r="B385" s="13"/>
      <c r="C385" s="13"/>
    </row>
    <row r="386" spans="1:3" ht="13" x14ac:dyDescent="0.15">
      <c r="A386" s="10"/>
      <c r="B386" s="13"/>
      <c r="C386" s="13"/>
    </row>
    <row r="387" spans="1:3" ht="13" x14ac:dyDescent="0.15">
      <c r="A387" s="10"/>
      <c r="B387" s="13"/>
      <c r="C387" s="13"/>
    </row>
    <row r="388" spans="1:3" ht="13" x14ac:dyDescent="0.15">
      <c r="A388" s="10"/>
      <c r="B388" s="13"/>
      <c r="C388" s="13"/>
    </row>
    <row r="389" spans="1:3" ht="13" x14ac:dyDescent="0.15">
      <c r="A389" s="10"/>
      <c r="B389" s="13"/>
      <c r="C389" s="13"/>
    </row>
    <row r="390" spans="1:3" ht="13" x14ac:dyDescent="0.15">
      <c r="A390" s="10"/>
      <c r="B390" s="13"/>
      <c r="C390" s="13"/>
    </row>
    <row r="391" spans="1:3" ht="13" x14ac:dyDescent="0.15">
      <c r="A391" s="10"/>
      <c r="B391" s="13"/>
      <c r="C391" s="13"/>
    </row>
    <row r="392" spans="1:3" ht="13" x14ac:dyDescent="0.15">
      <c r="A392" s="10"/>
      <c r="B392" s="13"/>
      <c r="C392" s="13"/>
    </row>
    <row r="393" spans="1:3" ht="13" x14ac:dyDescent="0.15">
      <c r="A393" s="10"/>
      <c r="B393" s="13"/>
      <c r="C393" s="13"/>
    </row>
    <row r="394" spans="1:3" ht="13" x14ac:dyDescent="0.15">
      <c r="A394" s="10"/>
      <c r="B394" s="13"/>
      <c r="C394" s="13"/>
    </row>
    <row r="395" spans="1:3" ht="13" x14ac:dyDescent="0.15">
      <c r="A395" s="10"/>
      <c r="B395" s="13"/>
      <c r="C395" s="13"/>
    </row>
    <row r="396" spans="1:3" ht="13" x14ac:dyDescent="0.15">
      <c r="A396" s="10"/>
      <c r="B396" s="13"/>
      <c r="C396" s="13"/>
    </row>
    <row r="397" spans="1:3" ht="13" x14ac:dyDescent="0.15">
      <c r="A397" s="10"/>
      <c r="B397" s="13"/>
      <c r="C397" s="13"/>
    </row>
    <row r="398" spans="1:3" ht="13" x14ac:dyDescent="0.15">
      <c r="A398" s="10"/>
      <c r="B398" s="13"/>
      <c r="C398" s="13"/>
    </row>
    <row r="399" spans="1:3" ht="13" x14ac:dyDescent="0.15">
      <c r="A399" s="10"/>
      <c r="B399" s="13"/>
      <c r="C399" s="13"/>
    </row>
    <row r="400" spans="1:3" ht="13" x14ac:dyDescent="0.15">
      <c r="A400" s="10"/>
      <c r="B400" s="13"/>
      <c r="C400" s="13"/>
    </row>
    <row r="401" spans="1:3" ht="13" x14ac:dyDescent="0.15">
      <c r="A401" s="10"/>
      <c r="B401" s="13"/>
      <c r="C401" s="13"/>
    </row>
    <row r="402" spans="1:3" ht="13" x14ac:dyDescent="0.15">
      <c r="A402" s="10"/>
      <c r="B402" s="13"/>
      <c r="C402" s="13"/>
    </row>
    <row r="403" spans="1:3" ht="13" x14ac:dyDescent="0.15">
      <c r="A403" s="10"/>
      <c r="B403" s="13"/>
      <c r="C403" s="13"/>
    </row>
    <row r="404" spans="1:3" ht="13" x14ac:dyDescent="0.15">
      <c r="A404" s="10"/>
      <c r="B404" s="13"/>
      <c r="C404" s="13"/>
    </row>
    <row r="405" spans="1:3" ht="13" x14ac:dyDescent="0.15">
      <c r="A405" s="10"/>
      <c r="B405" s="13"/>
      <c r="C405" s="13"/>
    </row>
    <row r="406" spans="1:3" ht="13" x14ac:dyDescent="0.15">
      <c r="A406" s="10"/>
      <c r="B406" s="13"/>
      <c r="C406" s="13"/>
    </row>
    <row r="407" spans="1:3" ht="13" x14ac:dyDescent="0.15">
      <c r="A407" s="10"/>
      <c r="B407" s="13"/>
      <c r="C407" s="13"/>
    </row>
    <row r="408" spans="1:3" ht="13" x14ac:dyDescent="0.15">
      <c r="A408" s="10"/>
      <c r="B408" s="13"/>
      <c r="C408" s="13"/>
    </row>
    <row r="409" spans="1:3" ht="13" x14ac:dyDescent="0.15">
      <c r="A409" s="10"/>
      <c r="B409" s="13"/>
      <c r="C409" s="13"/>
    </row>
    <row r="410" spans="1:3" ht="13" x14ac:dyDescent="0.15">
      <c r="A410" s="10"/>
      <c r="B410" s="13"/>
      <c r="C410" s="13"/>
    </row>
    <row r="411" spans="1:3" ht="13" x14ac:dyDescent="0.15">
      <c r="A411" s="10"/>
      <c r="B411" s="13"/>
      <c r="C411" s="13"/>
    </row>
    <row r="412" spans="1:3" ht="13" x14ac:dyDescent="0.15">
      <c r="A412" s="10"/>
      <c r="B412" s="13"/>
      <c r="C412" s="13"/>
    </row>
    <row r="413" spans="1:3" ht="13" x14ac:dyDescent="0.15">
      <c r="A413" s="10"/>
      <c r="B413" s="13"/>
      <c r="C413" s="13"/>
    </row>
    <row r="414" spans="1:3" ht="13" x14ac:dyDescent="0.15">
      <c r="A414" s="10"/>
      <c r="B414" s="13"/>
      <c r="C414" s="13"/>
    </row>
    <row r="415" spans="1:3" ht="13" x14ac:dyDescent="0.15">
      <c r="A415" s="10"/>
      <c r="B415" s="13"/>
      <c r="C415" s="13"/>
    </row>
    <row r="416" spans="1:3" ht="13" x14ac:dyDescent="0.15">
      <c r="A416" s="10"/>
      <c r="B416" s="13"/>
      <c r="C416" s="13"/>
    </row>
    <row r="417" spans="1:3" ht="13" x14ac:dyDescent="0.15">
      <c r="A417" s="10"/>
      <c r="B417" s="13"/>
      <c r="C417" s="13"/>
    </row>
    <row r="418" spans="1:3" ht="13" x14ac:dyDescent="0.15">
      <c r="A418" s="10"/>
      <c r="B418" s="13"/>
      <c r="C418" s="13"/>
    </row>
    <row r="419" spans="1:3" ht="13" x14ac:dyDescent="0.15">
      <c r="A419" s="10"/>
      <c r="B419" s="13"/>
      <c r="C419" s="13"/>
    </row>
    <row r="420" spans="1:3" ht="13" x14ac:dyDescent="0.15">
      <c r="A420" s="10"/>
      <c r="B420" s="13"/>
      <c r="C420" s="13"/>
    </row>
    <row r="421" spans="1:3" ht="13" x14ac:dyDescent="0.15">
      <c r="A421" s="10"/>
      <c r="B421" s="13"/>
      <c r="C421" s="13"/>
    </row>
    <row r="422" spans="1:3" ht="13" x14ac:dyDescent="0.15">
      <c r="A422" s="10"/>
      <c r="B422" s="13"/>
      <c r="C422" s="13"/>
    </row>
    <row r="423" spans="1:3" ht="13" x14ac:dyDescent="0.15">
      <c r="A423" s="10"/>
      <c r="B423" s="13"/>
      <c r="C423" s="13"/>
    </row>
    <row r="424" spans="1:3" ht="13" x14ac:dyDescent="0.15">
      <c r="A424" s="10"/>
      <c r="B424" s="13"/>
      <c r="C424" s="13"/>
    </row>
    <row r="425" spans="1:3" ht="13" x14ac:dyDescent="0.15">
      <c r="A425" s="10"/>
      <c r="B425" s="13"/>
      <c r="C425" s="13"/>
    </row>
    <row r="426" spans="1:3" ht="13" x14ac:dyDescent="0.15">
      <c r="A426" s="10"/>
      <c r="B426" s="13"/>
      <c r="C426" s="13"/>
    </row>
    <row r="427" spans="1:3" ht="13" x14ac:dyDescent="0.15">
      <c r="A427" s="10"/>
      <c r="B427" s="13"/>
      <c r="C427" s="13"/>
    </row>
    <row r="428" spans="1:3" ht="13" x14ac:dyDescent="0.15">
      <c r="A428" s="10"/>
      <c r="B428" s="13"/>
      <c r="C428" s="13"/>
    </row>
    <row r="429" spans="1:3" ht="13" x14ac:dyDescent="0.15">
      <c r="A429" s="10"/>
      <c r="B429" s="13"/>
      <c r="C429" s="13"/>
    </row>
    <row r="430" spans="1:3" ht="13" x14ac:dyDescent="0.15">
      <c r="A430" s="10"/>
      <c r="B430" s="13"/>
      <c r="C430" s="13"/>
    </row>
    <row r="431" spans="1:3" ht="13" x14ac:dyDescent="0.15">
      <c r="A431" s="10"/>
      <c r="B431" s="13"/>
      <c r="C431" s="13"/>
    </row>
    <row r="432" spans="1:3" ht="13" x14ac:dyDescent="0.15">
      <c r="A432" s="10"/>
      <c r="B432" s="13"/>
      <c r="C432" s="13"/>
    </row>
    <row r="433" spans="1:3" ht="13" x14ac:dyDescent="0.15">
      <c r="A433" s="10"/>
      <c r="B433" s="13"/>
      <c r="C433" s="13"/>
    </row>
    <row r="434" spans="1:3" ht="13" x14ac:dyDescent="0.15">
      <c r="A434" s="10"/>
      <c r="B434" s="13"/>
      <c r="C434" s="13"/>
    </row>
    <row r="435" spans="1:3" ht="13" x14ac:dyDescent="0.15">
      <c r="A435" s="10"/>
      <c r="B435" s="13"/>
      <c r="C435" s="13"/>
    </row>
    <row r="436" spans="1:3" ht="13" x14ac:dyDescent="0.15">
      <c r="A436" s="10"/>
      <c r="B436" s="13"/>
      <c r="C436" s="13"/>
    </row>
    <row r="437" spans="1:3" ht="13" x14ac:dyDescent="0.15">
      <c r="A437" s="10"/>
      <c r="B437" s="13"/>
      <c r="C437" s="13"/>
    </row>
    <row r="438" spans="1:3" ht="13" x14ac:dyDescent="0.15">
      <c r="A438" s="10"/>
      <c r="B438" s="13"/>
      <c r="C438" s="13"/>
    </row>
    <row r="439" spans="1:3" ht="13" x14ac:dyDescent="0.15">
      <c r="A439" s="10"/>
      <c r="B439" s="13"/>
      <c r="C439" s="13"/>
    </row>
    <row r="440" spans="1:3" ht="13" x14ac:dyDescent="0.15">
      <c r="A440" s="10"/>
      <c r="B440" s="13"/>
      <c r="C440" s="13"/>
    </row>
    <row r="441" spans="1:3" ht="13" x14ac:dyDescent="0.15">
      <c r="A441" s="10"/>
      <c r="B441" s="13"/>
      <c r="C441" s="13"/>
    </row>
    <row r="442" spans="1:3" ht="13" x14ac:dyDescent="0.15">
      <c r="A442" s="10"/>
      <c r="B442" s="13"/>
      <c r="C442" s="13"/>
    </row>
    <row r="443" spans="1:3" ht="13" x14ac:dyDescent="0.15">
      <c r="A443" s="10"/>
      <c r="B443" s="13"/>
      <c r="C443" s="13"/>
    </row>
    <row r="444" spans="1:3" ht="13" x14ac:dyDescent="0.15">
      <c r="A444" s="10"/>
      <c r="B444" s="13"/>
      <c r="C444" s="13"/>
    </row>
    <row r="445" spans="1:3" ht="13" x14ac:dyDescent="0.15">
      <c r="A445" s="10"/>
      <c r="B445" s="13"/>
      <c r="C445" s="13"/>
    </row>
    <row r="446" spans="1:3" ht="13" x14ac:dyDescent="0.15">
      <c r="A446" s="10"/>
      <c r="B446" s="13"/>
      <c r="C446" s="13"/>
    </row>
    <row r="447" spans="1:3" ht="13" x14ac:dyDescent="0.15">
      <c r="A447" s="10"/>
      <c r="B447" s="13"/>
      <c r="C447" s="13"/>
    </row>
    <row r="448" spans="1:3" ht="13" x14ac:dyDescent="0.15">
      <c r="A448" s="10"/>
      <c r="B448" s="13"/>
      <c r="C448" s="13"/>
    </row>
    <row r="449" spans="1:3" ht="13" x14ac:dyDescent="0.15">
      <c r="A449" s="10"/>
      <c r="B449" s="13"/>
      <c r="C449" s="13"/>
    </row>
    <row r="450" spans="1:3" ht="13" x14ac:dyDescent="0.15">
      <c r="A450" s="10"/>
      <c r="B450" s="13"/>
      <c r="C450" s="13"/>
    </row>
    <row r="451" spans="1:3" ht="13" x14ac:dyDescent="0.15">
      <c r="A451" s="10"/>
      <c r="B451" s="13"/>
      <c r="C451" s="13"/>
    </row>
    <row r="452" spans="1:3" ht="13" x14ac:dyDescent="0.15">
      <c r="A452" s="10"/>
      <c r="B452" s="13"/>
      <c r="C452" s="13"/>
    </row>
    <row r="453" spans="1:3" ht="13" x14ac:dyDescent="0.15">
      <c r="A453" s="10"/>
      <c r="B453" s="13"/>
      <c r="C453" s="13"/>
    </row>
    <row r="454" spans="1:3" ht="13" x14ac:dyDescent="0.15">
      <c r="A454" s="10"/>
      <c r="B454" s="13"/>
      <c r="C454" s="13"/>
    </row>
    <row r="455" spans="1:3" ht="13" x14ac:dyDescent="0.15">
      <c r="A455" s="10"/>
      <c r="B455" s="13"/>
      <c r="C455" s="13"/>
    </row>
    <row r="456" spans="1:3" ht="13" x14ac:dyDescent="0.15">
      <c r="A456" s="10"/>
      <c r="B456" s="13"/>
      <c r="C456" s="13"/>
    </row>
    <row r="457" spans="1:3" ht="13" x14ac:dyDescent="0.15">
      <c r="A457" s="10"/>
      <c r="B457" s="13"/>
      <c r="C457" s="13"/>
    </row>
    <row r="458" spans="1:3" ht="13" x14ac:dyDescent="0.15">
      <c r="A458" s="10"/>
      <c r="B458" s="13"/>
      <c r="C458" s="13"/>
    </row>
    <row r="459" spans="1:3" ht="13" x14ac:dyDescent="0.15">
      <c r="A459" s="10"/>
      <c r="B459" s="13"/>
      <c r="C459" s="13"/>
    </row>
    <row r="460" spans="1:3" ht="13" x14ac:dyDescent="0.15">
      <c r="A460" s="10"/>
      <c r="B460" s="13"/>
      <c r="C460" s="13"/>
    </row>
    <row r="461" spans="1:3" ht="13" x14ac:dyDescent="0.15">
      <c r="A461" s="10"/>
      <c r="B461" s="13"/>
      <c r="C461" s="13"/>
    </row>
    <row r="462" spans="1:3" ht="13" x14ac:dyDescent="0.15">
      <c r="A462" s="10"/>
      <c r="B462" s="13"/>
      <c r="C462" s="13"/>
    </row>
    <row r="463" spans="1:3" ht="13" x14ac:dyDescent="0.15">
      <c r="A463" s="10"/>
      <c r="B463" s="13"/>
      <c r="C463" s="13"/>
    </row>
    <row r="464" spans="1:3" ht="13" x14ac:dyDescent="0.15">
      <c r="A464" s="10"/>
      <c r="B464" s="13"/>
      <c r="C464" s="13"/>
    </row>
    <row r="465" spans="1:3" ht="13" x14ac:dyDescent="0.15">
      <c r="A465" s="10"/>
      <c r="B465" s="13"/>
      <c r="C465" s="13"/>
    </row>
    <row r="466" spans="1:3" ht="13" x14ac:dyDescent="0.15">
      <c r="A466" s="10"/>
      <c r="B466" s="13"/>
      <c r="C466" s="13"/>
    </row>
    <row r="467" spans="1:3" ht="13" x14ac:dyDescent="0.15">
      <c r="A467" s="10"/>
      <c r="B467" s="13"/>
      <c r="C467" s="13"/>
    </row>
    <row r="468" spans="1:3" ht="13" x14ac:dyDescent="0.15">
      <c r="A468" s="10"/>
      <c r="B468" s="13"/>
      <c r="C468" s="13"/>
    </row>
    <row r="469" spans="1:3" ht="13" x14ac:dyDescent="0.15">
      <c r="A469" s="10"/>
      <c r="B469" s="13"/>
      <c r="C469" s="13"/>
    </row>
    <row r="470" spans="1:3" ht="13" x14ac:dyDescent="0.15">
      <c r="A470" s="10"/>
      <c r="B470" s="13"/>
      <c r="C470" s="13"/>
    </row>
    <row r="471" spans="1:3" ht="13" x14ac:dyDescent="0.15">
      <c r="A471" s="10"/>
      <c r="B471" s="13"/>
      <c r="C471" s="13"/>
    </row>
    <row r="472" spans="1:3" ht="13" x14ac:dyDescent="0.15">
      <c r="A472" s="10"/>
      <c r="B472" s="13"/>
      <c r="C472" s="13"/>
    </row>
    <row r="473" spans="1:3" ht="13" x14ac:dyDescent="0.15">
      <c r="A473" s="10"/>
      <c r="B473" s="13"/>
      <c r="C473" s="13"/>
    </row>
    <row r="474" spans="1:3" ht="13" x14ac:dyDescent="0.15">
      <c r="A474" s="10"/>
      <c r="B474" s="13"/>
      <c r="C474" s="13"/>
    </row>
    <row r="475" spans="1:3" ht="13" x14ac:dyDescent="0.15">
      <c r="A475" s="10"/>
      <c r="B475" s="13"/>
      <c r="C475" s="13"/>
    </row>
    <row r="476" spans="1:3" ht="13" x14ac:dyDescent="0.15">
      <c r="A476" s="10"/>
      <c r="B476" s="13"/>
      <c r="C476" s="13"/>
    </row>
    <row r="477" spans="1:3" ht="13" x14ac:dyDescent="0.15">
      <c r="A477" s="10"/>
      <c r="B477" s="13"/>
      <c r="C477" s="13"/>
    </row>
    <row r="478" spans="1:3" ht="13" x14ac:dyDescent="0.15">
      <c r="A478" s="10"/>
      <c r="B478" s="13"/>
      <c r="C478" s="13"/>
    </row>
    <row r="479" spans="1:3" ht="13" x14ac:dyDescent="0.15">
      <c r="A479" s="10"/>
      <c r="B479" s="13"/>
      <c r="C479" s="13"/>
    </row>
    <row r="480" spans="1:3" ht="13" x14ac:dyDescent="0.15">
      <c r="A480" s="10"/>
      <c r="B480" s="13"/>
      <c r="C480" s="13"/>
    </row>
    <row r="481" spans="1:3" ht="13" x14ac:dyDescent="0.15">
      <c r="A481" s="10"/>
      <c r="B481" s="13"/>
      <c r="C481" s="13"/>
    </row>
    <row r="482" spans="1:3" ht="13" x14ac:dyDescent="0.15">
      <c r="A482" s="10"/>
      <c r="B482" s="13"/>
      <c r="C482" s="13"/>
    </row>
    <row r="483" spans="1:3" ht="13" x14ac:dyDescent="0.15">
      <c r="A483" s="10"/>
      <c r="B483" s="13"/>
      <c r="C483" s="13"/>
    </row>
    <row r="484" spans="1:3" ht="13" x14ac:dyDescent="0.15">
      <c r="A484" s="10"/>
      <c r="B484" s="13"/>
      <c r="C484" s="13"/>
    </row>
    <row r="485" spans="1:3" ht="13" x14ac:dyDescent="0.15">
      <c r="A485" s="10"/>
      <c r="B485" s="13"/>
      <c r="C485" s="13"/>
    </row>
    <row r="486" spans="1:3" ht="13" x14ac:dyDescent="0.15">
      <c r="A486" s="10"/>
      <c r="B486" s="13"/>
      <c r="C486" s="13"/>
    </row>
    <row r="487" spans="1:3" ht="13" x14ac:dyDescent="0.15">
      <c r="A487" s="10"/>
      <c r="B487" s="13"/>
      <c r="C487" s="13"/>
    </row>
    <row r="488" spans="1:3" ht="13" x14ac:dyDescent="0.15">
      <c r="A488" s="10"/>
      <c r="B488" s="13"/>
      <c r="C488" s="13"/>
    </row>
    <row r="489" spans="1:3" ht="13" x14ac:dyDescent="0.15">
      <c r="A489" s="10"/>
      <c r="B489" s="13"/>
      <c r="C489" s="13"/>
    </row>
    <row r="490" spans="1:3" ht="13" x14ac:dyDescent="0.15">
      <c r="A490" s="10"/>
      <c r="B490" s="13"/>
      <c r="C490" s="13"/>
    </row>
    <row r="491" spans="1:3" ht="13" x14ac:dyDescent="0.15">
      <c r="A491" s="10"/>
      <c r="B491" s="13"/>
      <c r="C491" s="13"/>
    </row>
    <row r="492" spans="1:3" ht="13" x14ac:dyDescent="0.15">
      <c r="A492" s="10"/>
      <c r="B492" s="13"/>
      <c r="C492" s="13"/>
    </row>
    <row r="493" spans="1:3" ht="13" x14ac:dyDescent="0.15">
      <c r="A493" s="10"/>
      <c r="B493" s="13"/>
      <c r="C493" s="13"/>
    </row>
    <row r="494" spans="1:3" ht="13" x14ac:dyDescent="0.15">
      <c r="A494" s="10"/>
      <c r="B494" s="13"/>
      <c r="C494" s="13"/>
    </row>
    <row r="495" spans="1:3" ht="13" x14ac:dyDescent="0.15">
      <c r="A495" s="10"/>
      <c r="B495" s="13"/>
      <c r="C495" s="13"/>
    </row>
    <row r="496" spans="1:3" ht="13" x14ac:dyDescent="0.15">
      <c r="A496" s="10"/>
      <c r="B496" s="13"/>
      <c r="C496" s="13"/>
    </row>
    <row r="497" spans="1:3" ht="13" x14ac:dyDescent="0.15">
      <c r="A497" s="10"/>
      <c r="B497" s="13"/>
      <c r="C497" s="13"/>
    </row>
    <row r="498" spans="1:3" ht="13" x14ac:dyDescent="0.15">
      <c r="A498" s="10"/>
      <c r="B498" s="13"/>
      <c r="C498" s="13"/>
    </row>
    <row r="499" spans="1:3" ht="13" x14ac:dyDescent="0.15">
      <c r="A499" s="10"/>
      <c r="B499" s="13"/>
      <c r="C499" s="13"/>
    </row>
    <row r="500" spans="1:3" ht="13" x14ac:dyDescent="0.15">
      <c r="A500" s="10"/>
      <c r="B500" s="13"/>
      <c r="C500" s="13"/>
    </row>
    <row r="501" spans="1:3" ht="13" x14ac:dyDescent="0.15">
      <c r="A501" s="10"/>
      <c r="B501" s="13"/>
      <c r="C501" s="13"/>
    </row>
    <row r="502" spans="1:3" ht="13" x14ac:dyDescent="0.15">
      <c r="A502" s="10"/>
      <c r="B502" s="13"/>
      <c r="C502" s="13"/>
    </row>
    <row r="503" spans="1:3" ht="13" x14ac:dyDescent="0.15">
      <c r="A503" s="10"/>
      <c r="B503" s="13"/>
      <c r="C503" s="13"/>
    </row>
    <row r="504" spans="1:3" ht="13" x14ac:dyDescent="0.15">
      <c r="A504" s="10"/>
      <c r="B504" s="13"/>
      <c r="C504" s="13"/>
    </row>
    <row r="505" spans="1:3" ht="13" x14ac:dyDescent="0.15">
      <c r="A505" s="10"/>
      <c r="B505" s="13"/>
      <c r="C505" s="13"/>
    </row>
    <row r="506" spans="1:3" ht="13" x14ac:dyDescent="0.15">
      <c r="A506" s="10"/>
      <c r="B506" s="13"/>
      <c r="C506" s="13"/>
    </row>
    <row r="507" spans="1:3" ht="13" x14ac:dyDescent="0.15">
      <c r="A507" s="10"/>
      <c r="B507" s="13"/>
      <c r="C507" s="13"/>
    </row>
    <row r="508" spans="1:3" ht="13" x14ac:dyDescent="0.15">
      <c r="A508" s="10"/>
      <c r="B508" s="13"/>
      <c r="C508" s="13"/>
    </row>
    <row r="509" spans="1:3" ht="13" x14ac:dyDescent="0.15">
      <c r="A509" s="10"/>
      <c r="B509" s="13"/>
      <c r="C509" s="13"/>
    </row>
    <row r="510" spans="1:3" ht="13" x14ac:dyDescent="0.15">
      <c r="A510" s="10"/>
      <c r="B510" s="13"/>
      <c r="C510" s="13"/>
    </row>
    <row r="511" spans="1:3" ht="13" x14ac:dyDescent="0.15">
      <c r="A511" s="10"/>
      <c r="B511" s="13"/>
      <c r="C511" s="13"/>
    </row>
    <row r="512" spans="1:3" ht="13" x14ac:dyDescent="0.15">
      <c r="A512" s="10"/>
      <c r="B512" s="13"/>
      <c r="C512" s="13"/>
    </row>
    <row r="513" spans="1:3" ht="13" x14ac:dyDescent="0.15">
      <c r="A513" s="10"/>
      <c r="B513" s="13"/>
      <c r="C513" s="13"/>
    </row>
    <row r="514" spans="1:3" ht="13" x14ac:dyDescent="0.15">
      <c r="A514" s="10"/>
      <c r="B514" s="13"/>
      <c r="C514" s="13"/>
    </row>
    <row r="515" spans="1:3" ht="13" x14ac:dyDescent="0.15">
      <c r="A515" s="10"/>
      <c r="B515" s="13"/>
      <c r="C515" s="13"/>
    </row>
    <row r="516" spans="1:3" ht="13" x14ac:dyDescent="0.15">
      <c r="A516" s="10"/>
      <c r="B516" s="13"/>
      <c r="C516" s="13"/>
    </row>
    <row r="517" spans="1:3" ht="13" x14ac:dyDescent="0.15">
      <c r="A517" s="10"/>
      <c r="B517" s="13"/>
      <c r="C517" s="13"/>
    </row>
    <row r="518" spans="1:3" ht="13" x14ac:dyDescent="0.15">
      <c r="A518" s="10"/>
      <c r="B518" s="13"/>
      <c r="C518" s="13"/>
    </row>
    <row r="519" spans="1:3" ht="13" x14ac:dyDescent="0.15">
      <c r="A519" s="10"/>
      <c r="B519" s="13"/>
      <c r="C519" s="13"/>
    </row>
    <row r="520" spans="1:3" ht="13" x14ac:dyDescent="0.15">
      <c r="A520" s="10"/>
      <c r="B520" s="13"/>
      <c r="C520" s="13"/>
    </row>
    <row r="521" spans="1:3" ht="13" x14ac:dyDescent="0.15">
      <c r="A521" s="10"/>
      <c r="B521" s="13"/>
      <c r="C521" s="13"/>
    </row>
    <row r="522" spans="1:3" ht="13" x14ac:dyDescent="0.15">
      <c r="A522" s="10"/>
      <c r="B522" s="13"/>
      <c r="C522" s="13"/>
    </row>
    <row r="523" spans="1:3" ht="13" x14ac:dyDescent="0.15">
      <c r="A523" s="10"/>
      <c r="B523" s="13"/>
      <c r="C523" s="13"/>
    </row>
    <row r="524" spans="1:3" ht="13" x14ac:dyDescent="0.15">
      <c r="A524" s="10"/>
      <c r="B524" s="13"/>
      <c r="C524" s="13"/>
    </row>
    <row r="525" spans="1:3" ht="13" x14ac:dyDescent="0.15">
      <c r="A525" s="10"/>
      <c r="B525" s="13"/>
      <c r="C525" s="13"/>
    </row>
    <row r="526" spans="1:3" ht="13" x14ac:dyDescent="0.15">
      <c r="A526" s="10"/>
      <c r="B526" s="13"/>
      <c r="C526" s="13"/>
    </row>
    <row r="527" spans="1:3" ht="13" x14ac:dyDescent="0.15">
      <c r="A527" s="10"/>
      <c r="B527" s="13"/>
      <c r="C527" s="13"/>
    </row>
    <row r="528" spans="1:3" ht="13" x14ac:dyDescent="0.15">
      <c r="A528" s="10"/>
      <c r="B528" s="13"/>
      <c r="C528" s="13"/>
    </row>
    <row r="529" spans="1:3" ht="13" x14ac:dyDescent="0.15">
      <c r="A529" s="10"/>
      <c r="B529" s="13"/>
      <c r="C529" s="13"/>
    </row>
    <row r="530" spans="1:3" ht="13" x14ac:dyDescent="0.15">
      <c r="A530" s="10"/>
      <c r="B530" s="13"/>
      <c r="C530" s="13"/>
    </row>
    <row r="531" spans="1:3" ht="13" x14ac:dyDescent="0.15">
      <c r="A531" s="10"/>
      <c r="B531" s="13"/>
      <c r="C531" s="13"/>
    </row>
    <row r="532" spans="1:3" ht="13" x14ac:dyDescent="0.15">
      <c r="A532" s="10"/>
      <c r="B532" s="13"/>
      <c r="C532" s="13"/>
    </row>
    <row r="533" spans="1:3" ht="13" x14ac:dyDescent="0.15">
      <c r="A533" s="10"/>
      <c r="B533" s="13"/>
      <c r="C533" s="13"/>
    </row>
    <row r="534" spans="1:3" ht="13" x14ac:dyDescent="0.15">
      <c r="A534" s="10"/>
      <c r="B534" s="13"/>
      <c r="C534" s="13"/>
    </row>
    <row r="535" spans="1:3" ht="13" x14ac:dyDescent="0.15">
      <c r="A535" s="10"/>
      <c r="B535" s="13"/>
      <c r="C535" s="13"/>
    </row>
    <row r="536" spans="1:3" ht="13" x14ac:dyDescent="0.15">
      <c r="A536" s="10"/>
      <c r="B536" s="13"/>
      <c r="C536" s="13"/>
    </row>
    <row r="537" spans="1:3" ht="13" x14ac:dyDescent="0.15">
      <c r="A537" s="10"/>
      <c r="B537" s="13"/>
      <c r="C537" s="13"/>
    </row>
    <row r="538" spans="1:3" ht="13" x14ac:dyDescent="0.15">
      <c r="A538" s="10"/>
      <c r="B538" s="13"/>
      <c r="C538" s="13"/>
    </row>
    <row r="539" spans="1:3" ht="13" x14ac:dyDescent="0.15">
      <c r="A539" s="10"/>
      <c r="B539" s="13"/>
      <c r="C539" s="13"/>
    </row>
    <row r="540" spans="1:3" ht="13" x14ac:dyDescent="0.15">
      <c r="A540" s="10"/>
      <c r="B540" s="13"/>
      <c r="C540" s="13"/>
    </row>
    <row r="541" spans="1:3" ht="13" x14ac:dyDescent="0.15">
      <c r="A541" s="10"/>
      <c r="B541" s="13"/>
      <c r="C541" s="13"/>
    </row>
    <row r="542" spans="1:3" ht="13" x14ac:dyDescent="0.15">
      <c r="A542" s="10"/>
      <c r="B542" s="13"/>
      <c r="C542" s="13"/>
    </row>
    <row r="543" spans="1:3" ht="13" x14ac:dyDescent="0.15">
      <c r="A543" s="10"/>
      <c r="B543" s="13"/>
      <c r="C543" s="13"/>
    </row>
    <row r="544" spans="1:3" ht="13" x14ac:dyDescent="0.15">
      <c r="A544" s="10"/>
      <c r="B544" s="13"/>
      <c r="C544" s="13"/>
    </row>
    <row r="545" spans="1:3" ht="13" x14ac:dyDescent="0.15">
      <c r="A545" s="10"/>
      <c r="B545" s="13"/>
      <c r="C545" s="13"/>
    </row>
    <row r="546" spans="1:3" ht="13" x14ac:dyDescent="0.15">
      <c r="A546" s="10"/>
      <c r="B546" s="13"/>
      <c r="C546" s="13"/>
    </row>
    <row r="547" spans="1:3" ht="13" x14ac:dyDescent="0.15">
      <c r="A547" s="10"/>
      <c r="B547" s="13"/>
      <c r="C547" s="13"/>
    </row>
    <row r="548" spans="1:3" ht="13" x14ac:dyDescent="0.15">
      <c r="A548" s="10"/>
      <c r="B548" s="13"/>
      <c r="C548" s="13"/>
    </row>
    <row r="549" spans="1:3" ht="13" x14ac:dyDescent="0.15">
      <c r="A549" s="10"/>
      <c r="B549" s="13"/>
      <c r="C549" s="13"/>
    </row>
    <row r="550" spans="1:3" ht="13" x14ac:dyDescent="0.15">
      <c r="A550" s="10"/>
      <c r="B550" s="13"/>
      <c r="C550" s="13"/>
    </row>
    <row r="551" spans="1:3" ht="13" x14ac:dyDescent="0.15">
      <c r="A551" s="10"/>
      <c r="B551" s="13"/>
      <c r="C551" s="13"/>
    </row>
    <row r="552" spans="1:3" ht="13" x14ac:dyDescent="0.15">
      <c r="A552" s="10"/>
      <c r="B552" s="13"/>
      <c r="C552" s="13"/>
    </row>
    <row r="553" spans="1:3" ht="13" x14ac:dyDescent="0.15">
      <c r="A553" s="10"/>
      <c r="B553" s="13"/>
      <c r="C553" s="13"/>
    </row>
    <row r="554" spans="1:3" ht="13" x14ac:dyDescent="0.15">
      <c r="A554" s="10"/>
      <c r="B554" s="13"/>
      <c r="C554" s="13"/>
    </row>
    <row r="555" spans="1:3" ht="13" x14ac:dyDescent="0.15">
      <c r="A555" s="10"/>
      <c r="B555" s="13"/>
      <c r="C555" s="13"/>
    </row>
    <row r="556" spans="1:3" ht="13" x14ac:dyDescent="0.15">
      <c r="A556" s="10"/>
      <c r="B556" s="13"/>
      <c r="C556" s="13"/>
    </row>
    <row r="557" spans="1:3" ht="13" x14ac:dyDescent="0.15">
      <c r="A557" s="10"/>
      <c r="B557" s="13"/>
      <c r="C557" s="13"/>
    </row>
    <row r="558" spans="1:3" ht="13" x14ac:dyDescent="0.15">
      <c r="A558" s="10"/>
      <c r="B558" s="13"/>
      <c r="C558" s="13"/>
    </row>
    <row r="559" spans="1:3" ht="13" x14ac:dyDescent="0.15">
      <c r="A559" s="10"/>
      <c r="B559" s="13"/>
      <c r="C559" s="13"/>
    </row>
    <row r="560" spans="1:3" ht="13" x14ac:dyDescent="0.15">
      <c r="A560" s="10"/>
      <c r="B560" s="13"/>
      <c r="C560" s="13"/>
    </row>
    <row r="561" spans="1:3" ht="13" x14ac:dyDescent="0.15">
      <c r="A561" s="10"/>
      <c r="B561" s="13"/>
      <c r="C561" s="13"/>
    </row>
    <row r="562" spans="1:3" ht="13" x14ac:dyDescent="0.15">
      <c r="A562" s="10"/>
      <c r="B562" s="13"/>
      <c r="C562" s="13"/>
    </row>
    <row r="563" spans="1:3" ht="13" x14ac:dyDescent="0.15">
      <c r="A563" s="10"/>
      <c r="B563" s="13"/>
      <c r="C563" s="13"/>
    </row>
    <row r="564" spans="1:3" ht="13" x14ac:dyDescent="0.15">
      <c r="A564" s="10"/>
      <c r="B564" s="13"/>
      <c r="C564" s="13"/>
    </row>
    <row r="565" spans="1:3" ht="13" x14ac:dyDescent="0.15">
      <c r="A565" s="10"/>
      <c r="B565" s="13"/>
      <c r="C565" s="13"/>
    </row>
    <row r="566" spans="1:3" ht="13" x14ac:dyDescent="0.15">
      <c r="A566" s="10"/>
      <c r="B566" s="13"/>
      <c r="C566" s="13"/>
    </row>
    <row r="567" spans="1:3" ht="13" x14ac:dyDescent="0.15">
      <c r="A567" s="10"/>
      <c r="B567" s="13"/>
      <c r="C567" s="13"/>
    </row>
    <row r="568" spans="1:3" ht="13" x14ac:dyDescent="0.15">
      <c r="A568" s="10"/>
      <c r="B568" s="13"/>
      <c r="C568" s="13"/>
    </row>
    <row r="569" spans="1:3" ht="13" x14ac:dyDescent="0.15">
      <c r="A569" s="10"/>
      <c r="B569" s="13"/>
      <c r="C569" s="13"/>
    </row>
    <row r="570" spans="1:3" ht="13" x14ac:dyDescent="0.15">
      <c r="A570" s="10"/>
      <c r="B570" s="13"/>
      <c r="C570" s="13"/>
    </row>
    <row r="571" spans="1:3" ht="13" x14ac:dyDescent="0.15">
      <c r="A571" s="10"/>
      <c r="B571" s="13"/>
      <c r="C571" s="13"/>
    </row>
    <row r="572" spans="1:3" ht="13" x14ac:dyDescent="0.15">
      <c r="A572" s="10"/>
      <c r="B572" s="13"/>
      <c r="C572" s="13"/>
    </row>
    <row r="573" spans="1:3" ht="13" x14ac:dyDescent="0.15">
      <c r="A573" s="10"/>
      <c r="B573" s="13"/>
      <c r="C573" s="13"/>
    </row>
    <row r="574" spans="1:3" ht="13" x14ac:dyDescent="0.15">
      <c r="A574" s="10"/>
      <c r="B574" s="13"/>
      <c r="C574" s="13"/>
    </row>
    <row r="575" spans="1:3" ht="13" x14ac:dyDescent="0.15">
      <c r="A575" s="10"/>
      <c r="B575" s="13"/>
      <c r="C575" s="13"/>
    </row>
    <row r="576" spans="1:3" ht="13" x14ac:dyDescent="0.15">
      <c r="A576" s="10"/>
      <c r="B576" s="13"/>
      <c r="C576" s="13"/>
    </row>
    <row r="577" spans="1:3" ht="13" x14ac:dyDescent="0.15">
      <c r="A577" s="10"/>
      <c r="B577" s="13"/>
      <c r="C577" s="13"/>
    </row>
    <row r="578" spans="1:3" ht="13" x14ac:dyDescent="0.15">
      <c r="A578" s="10"/>
      <c r="B578" s="13"/>
      <c r="C578" s="13"/>
    </row>
    <row r="579" spans="1:3" ht="13" x14ac:dyDescent="0.15">
      <c r="A579" s="10"/>
      <c r="B579" s="13"/>
      <c r="C579" s="13"/>
    </row>
    <row r="580" spans="1:3" ht="13" x14ac:dyDescent="0.15">
      <c r="A580" s="10"/>
      <c r="B580" s="13"/>
      <c r="C580" s="13"/>
    </row>
    <row r="581" spans="1:3" ht="13" x14ac:dyDescent="0.15">
      <c r="A581" s="10"/>
      <c r="B581" s="13"/>
      <c r="C581" s="13"/>
    </row>
    <row r="582" spans="1:3" ht="13" x14ac:dyDescent="0.15">
      <c r="A582" s="10"/>
      <c r="B582" s="13"/>
      <c r="C582" s="13"/>
    </row>
    <row r="583" spans="1:3" ht="13" x14ac:dyDescent="0.15">
      <c r="A583" s="10"/>
      <c r="B583" s="13"/>
      <c r="C583" s="13"/>
    </row>
    <row r="584" spans="1:3" ht="13" x14ac:dyDescent="0.15">
      <c r="A584" s="10"/>
      <c r="B584" s="13"/>
      <c r="C584" s="13"/>
    </row>
    <row r="585" spans="1:3" ht="13" x14ac:dyDescent="0.15">
      <c r="A585" s="10"/>
      <c r="B585" s="13"/>
      <c r="C585" s="13"/>
    </row>
    <row r="586" spans="1:3" ht="13" x14ac:dyDescent="0.15">
      <c r="A586" s="10"/>
      <c r="B586" s="13"/>
      <c r="C586" s="13"/>
    </row>
    <row r="587" spans="1:3" ht="13" x14ac:dyDescent="0.15">
      <c r="A587" s="10"/>
      <c r="B587" s="13"/>
      <c r="C587" s="13"/>
    </row>
    <row r="588" spans="1:3" ht="13" x14ac:dyDescent="0.15">
      <c r="A588" s="10"/>
      <c r="B588" s="13"/>
      <c r="C588" s="13"/>
    </row>
    <row r="589" spans="1:3" ht="13" x14ac:dyDescent="0.15">
      <c r="A589" s="10"/>
      <c r="B589" s="13"/>
      <c r="C589" s="13"/>
    </row>
    <row r="590" spans="1:3" ht="13" x14ac:dyDescent="0.15">
      <c r="A590" s="10"/>
      <c r="B590" s="13"/>
      <c r="C590" s="13"/>
    </row>
    <row r="591" spans="1:3" ht="13" x14ac:dyDescent="0.15">
      <c r="A591" s="10"/>
      <c r="B591" s="13"/>
      <c r="C591" s="13"/>
    </row>
    <row r="592" spans="1:3" ht="13" x14ac:dyDescent="0.15">
      <c r="A592" s="10"/>
      <c r="B592" s="13"/>
      <c r="C592" s="13"/>
    </row>
    <row r="593" spans="1:3" ht="13" x14ac:dyDescent="0.15">
      <c r="A593" s="10"/>
      <c r="B593" s="13"/>
      <c r="C593" s="13"/>
    </row>
    <row r="594" spans="1:3" ht="13" x14ac:dyDescent="0.15">
      <c r="A594" s="10"/>
      <c r="B594" s="13"/>
      <c r="C594" s="13"/>
    </row>
    <row r="595" spans="1:3" ht="13" x14ac:dyDescent="0.15">
      <c r="A595" s="10"/>
      <c r="B595" s="13"/>
      <c r="C595" s="13"/>
    </row>
    <row r="596" spans="1:3" ht="13" x14ac:dyDescent="0.15">
      <c r="A596" s="10"/>
      <c r="B596" s="13"/>
      <c r="C596" s="13"/>
    </row>
    <row r="597" spans="1:3" ht="13" x14ac:dyDescent="0.15">
      <c r="A597" s="10"/>
      <c r="B597" s="13"/>
      <c r="C597" s="13"/>
    </row>
    <row r="598" spans="1:3" ht="13" x14ac:dyDescent="0.15">
      <c r="A598" s="10"/>
      <c r="B598" s="13"/>
      <c r="C598" s="13"/>
    </row>
    <row r="599" spans="1:3" ht="13" x14ac:dyDescent="0.15">
      <c r="A599" s="10"/>
      <c r="B599" s="13"/>
      <c r="C599" s="13"/>
    </row>
    <row r="600" spans="1:3" ht="13" x14ac:dyDescent="0.15">
      <c r="A600" s="10"/>
      <c r="B600" s="13"/>
      <c r="C600" s="13"/>
    </row>
    <row r="601" spans="1:3" ht="13" x14ac:dyDescent="0.15">
      <c r="A601" s="10"/>
      <c r="B601" s="13"/>
      <c r="C601" s="13"/>
    </row>
    <row r="602" spans="1:3" ht="13" x14ac:dyDescent="0.15">
      <c r="A602" s="10"/>
      <c r="B602" s="13"/>
      <c r="C602" s="13"/>
    </row>
    <row r="603" spans="1:3" ht="13" x14ac:dyDescent="0.15">
      <c r="A603" s="10"/>
      <c r="B603" s="13"/>
      <c r="C603" s="13"/>
    </row>
    <row r="604" spans="1:3" ht="13" x14ac:dyDescent="0.15">
      <c r="A604" s="10"/>
      <c r="B604" s="13"/>
      <c r="C604" s="13"/>
    </row>
    <row r="605" spans="1:3" ht="13" x14ac:dyDescent="0.15">
      <c r="A605" s="10"/>
      <c r="B605" s="13"/>
      <c r="C605" s="13"/>
    </row>
    <row r="606" spans="1:3" ht="13" x14ac:dyDescent="0.15">
      <c r="A606" s="10"/>
      <c r="B606" s="13"/>
      <c r="C606" s="13"/>
    </row>
    <row r="607" spans="1:3" ht="13" x14ac:dyDescent="0.15">
      <c r="A607" s="10"/>
      <c r="B607" s="13"/>
      <c r="C607" s="13"/>
    </row>
    <row r="608" spans="1:3" ht="13" x14ac:dyDescent="0.15">
      <c r="A608" s="10"/>
      <c r="B608" s="13"/>
      <c r="C608" s="13"/>
    </row>
    <row r="609" spans="1:3" ht="13" x14ac:dyDescent="0.15">
      <c r="A609" s="10"/>
      <c r="B609" s="13"/>
      <c r="C609" s="13"/>
    </row>
    <row r="610" spans="1:3" ht="13" x14ac:dyDescent="0.15">
      <c r="A610" s="10"/>
      <c r="B610" s="13"/>
      <c r="C610" s="13"/>
    </row>
    <row r="611" spans="1:3" ht="13" x14ac:dyDescent="0.15">
      <c r="A611" s="10"/>
      <c r="B611" s="13"/>
      <c r="C611" s="13"/>
    </row>
    <row r="612" spans="1:3" ht="13" x14ac:dyDescent="0.15">
      <c r="A612" s="10"/>
      <c r="B612" s="13"/>
      <c r="C612" s="13"/>
    </row>
    <row r="613" spans="1:3" ht="13" x14ac:dyDescent="0.15">
      <c r="A613" s="10"/>
      <c r="B613" s="13"/>
      <c r="C613" s="13"/>
    </row>
    <row r="614" spans="1:3" ht="13" x14ac:dyDescent="0.15">
      <c r="A614" s="10"/>
      <c r="B614" s="13"/>
      <c r="C614" s="13"/>
    </row>
    <row r="615" spans="1:3" ht="13" x14ac:dyDescent="0.15">
      <c r="A615" s="10"/>
      <c r="B615" s="13"/>
      <c r="C615" s="13"/>
    </row>
    <row r="616" spans="1:3" ht="13" x14ac:dyDescent="0.15">
      <c r="A616" s="10"/>
      <c r="B616" s="13"/>
      <c r="C616" s="13"/>
    </row>
    <row r="617" spans="1:3" ht="13" x14ac:dyDescent="0.15">
      <c r="A617" s="10"/>
      <c r="B617" s="13"/>
      <c r="C617" s="13"/>
    </row>
    <row r="618" spans="1:3" ht="13" x14ac:dyDescent="0.15">
      <c r="A618" s="10"/>
      <c r="B618" s="13"/>
      <c r="C618" s="13"/>
    </row>
    <row r="619" spans="1:3" ht="13" x14ac:dyDescent="0.15">
      <c r="A619" s="10"/>
      <c r="B619" s="13"/>
      <c r="C619" s="13"/>
    </row>
    <row r="620" spans="1:3" ht="13" x14ac:dyDescent="0.15">
      <c r="A620" s="10"/>
      <c r="B620" s="13"/>
      <c r="C620" s="13"/>
    </row>
    <row r="621" spans="1:3" ht="13" x14ac:dyDescent="0.15">
      <c r="A621" s="10"/>
      <c r="B621" s="13"/>
      <c r="C621" s="13"/>
    </row>
    <row r="622" spans="1:3" ht="13" x14ac:dyDescent="0.15">
      <c r="A622" s="10"/>
      <c r="B622" s="13"/>
      <c r="C622" s="13"/>
    </row>
    <row r="623" spans="1:3" ht="13" x14ac:dyDescent="0.15">
      <c r="A623" s="10"/>
      <c r="B623" s="13"/>
      <c r="C623" s="13"/>
    </row>
    <row r="624" spans="1:3" ht="13" x14ac:dyDescent="0.15">
      <c r="A624" s="10"/>
      <c r="B624" s="13"/>
      <c r="C624" s="13"/>
    </row>
    <row r="625" spans="1:3" ht="13" x14ac:dyDescent="0.15">
      <c r="A625" s="10"/>
      <c r="B625" s="13"/>
      <c r="C625" s="13"/>
    </row>
    <row r="626" spans="1:3" ht="13" x14ac:dyDescent="0.15">
      <c r="A626" s="10"/>
      <c r="B626" s="13"/>
      <c r="C626" s="13"/>
    </row>
    <row r="627" spans="1:3" ht="13" x14ac:dyDescent="0.15">
      <c r="A627" s="10"/>
      <c r="B627" s="13"/>
      <c r="C627" s="13"/>
    </row>
    <row r="628" spans="1:3" ht="13" x14ac:dyDescent="0.15">
      <c r="A628" s="10"/>
      <c r="B628" s="13"/>
      <c r="C628" s="13"/>
    </row>
    <row r="629" spans="1:3" ht="13" x14ac:dyDescent="0.15">
      <c r="A629" s="10"/>
      <c r="B629" s="13"/>
      <c r="C629" s="13"/>
    </row>
    <row r="630" spans="1:3" ht="13" x14ac:dyDescent="0.15">
      <c r="A630" s="10"/>
      <c r="B630" s="13"/>
      <c r="C630" s="13"/>
    </row>
    <row r="631" spans="1:3" ht="13" x14ac:dyDescent="0.15">
      <c r="A631" s="10"/>
      <c r="B631" s="13"/>
      <c r="C631" s="13"/>
    </row>
    <row r="632" spans="1:3" ht="13" x14ac:dyDescent="0.15">
      <c r="A632" s="10"/>
      <c r="B632" s="13"/>
      <c r="C632" s="13"/>
    </row>
    <row r="633" spans="1:3" ht="13" x14ac:dyDescent="0.15">
      <c r="A633" s="10"/>
      <c r="B633" s="13"/>
      <c r="C633" s="13"/>
    </row>
    <row r="634" spans="1:3" ht="13" x14ac:dyDescent="0.15">
      <c r="A634" s="10"/>
      <c r="B634" s="13"/>
      <c r="C634" s="13"/>
    </row>
    <row r="635" spans="1:3" ht="13" x14ac:dyDescent="0.15">
      <c r="A635" s="10"/>
      <c r="B635" s="13"/>
      <c r="C635" s="13"/>
    </row>
    <row r="636" spans="1:3" ht="13" x14ac:dyDescent="0.15">
      <c r="A636" s="10"/>
      <c r="B636" s="13"/>
      <c r="C636" s="13"/>
    </row>
    <row r="637" spans="1:3" ht="13" x14ac:dyDescent="0.15">
      <c r="A637" s="10"/>
      <c r="B637" s="13"/>
      <c r="C637" s="13"/>
    </row>
    <row r="638" spans="1:3" ht="13" x14ac:dyDescent="0.15">
      <c r="A638" s="10"/>
      <c r="B638" s="13"/>
      <c r="C638" s="13"/>
    </row>
    <row r="639" spans="1:3" ht="13" x14ac:dyDescent="0.15">
      <c r="A639" s="10"/>
      <c r="B639" s="13"/>
      <c r="C639" s="13"/>
    </row>
    <row r="640" spans="1:3" ht="13" x14ac:dyDescent="0.15">
      <c r="A640" s="10"/>
      <c r="B640" s="13"/>
      <c r="C640" s="13"/>
    </row>
    <row r="641" spans="1:3" ht="13" x14ac:dyDescent="0.15">
      <c r="A641" s="10"/>
      <c r="B641" s="13"/>
      <c r="C641" s="13"/>
    </row>
    <row r="642" spans="1:3" ht="13" x14ac:dyDescent="0.15">
      <c r="A642" s="10"/>
      <c r="B642" s="13"/>
      <c r="C642" s="13"/>
    </row>
    <row r="643" spans="1:3" ht="13" x14ac:dyDescent="0.15">
      <c r="A643" s="10"/>
      <c r="B643" s="13"/>
      <c r="C643" s="13"/>
    </row>
    <row r="644" spans="1:3" ht="13" x14ac:dyDescent="0.15">
      <c r="A644" s="10"/>
      <c r="B644" s="13"/>
      <c r="C644" s="13"/>
    </row>
    <row r="645" spans="1:3" ht="13" x14ac:dyDescent="0.15">
      <c r="A645" s="10"/>
      <c r="B645" s="13"/>
      <c r="C645" s="13"/>
    </row>
    <row r="646" spans="1:3" ht="13" x14ac:dyDescent="0.15">
      <c r="A646" s="10"/>
      <c r="B646" s="13"/>
      <c r="C646" s="13"/>
    </row>
    <row r="647" spans="1:3" ht="13" x14ac:dyDescent="0.15">
      <c r="A647" s="10"/>
      <c r="B647" s="13"/>
      <c r="C647" s="13"/>
    </row>
    <row r="648" spans="1:3" ht="13" x14ac:dyDescent="0.15">
      <c r="A648" s="10"/>
      <c r="B648" s="13"/>
      <c r="C648" s="13"/>
    </row>
    <row r="649" spans="1:3" ht="13" x14ac:dyDescent="0.15">
      <c r="A649" s="10"/>
      <c r="B649" s="13"/>
      <c r="C649" s="13"/>
    </row>
    <row r="650" spans="1:3" ht="13" x14ac:dyDescent="0.15">
      <c r="A650" s="10"/>
      <c r="B650" s="13"/>
      <c r="C650" s="13"/>
    </row>
    <row r="651" spans="1:3" ht="13" x14ac:dyDescent="0.15">
      <c r="A651" s="10"/>
      <c r="B651" s="13"/>
      <c r="C651" s="13"/>
    </row>
    <row r="652" spans="1:3" ht="13" x14ac:dyDescent="0.15">
      <c r="A652" s="10"/>
      <c r="B652" s="13"/>
      <c r="C652" s="13"/>
    </row>
    <row r="653" spans="1:3" ht="13" x14ac:dyDescent="0.15">
      <c r="A653" s="10"/>
      <c r="B653" s="13"/>
      <c r="C653" s="13"/>
    </row>
    <row r="654" spans="1:3" ht="13" x14ac:dyDescent="0.15">
      <c r="A654" s="10"/>
      <c r="B654" s="13"/>
      <c r="C654" s="13"/>
    </row>
    <row r="655" spans="1:3" ht="13" x14ac:dyDescent="0.15">
      <c r="A655" s="10"/>
      <c r="B655" s="13"/>
      <c r="C655" s="13"/>
    </row>
    <row r="656" spans="1:3" ht="13" x14ac:dyDescent="0.15">
      <c r="A656" s="10"/>
      <c r="B656" s="13"/>
      <c r="C656" s="13"/>
    </row>
    <row r="657" spans="1:3" ht="13" x14ac:dyDescent="0.15">
      <c r="A657" s="10"/>
      <c r="B657" s="13"/>
      <c r="C657" s="13"/>
    </row>
    <row r="658" spans="1:3" ht="13" x14ac:dyDescent="0.15">
      <c r="A658" s="10"/>
      <c r="B658" s="13"/>
      <c r="C658" s="13"/>
    </row>
    <row r="659" spans="1:3" ht="13" x14ac:dyDescent="0.15">
      <c r="A659" s="10"/>
      <c r="B659" s="13"/>
      <c r="C659" s="13"/>
    </row>
    <row r="660" spans="1:3" ht="13" x14ac:dyDescent="0.15">
      <c r="A660" s="10"/>
      <c r="B660" s="13"/>
      <c r="C660" s="13"/>
    </row>
    <row r="661" spans="1:3" ht="13" x14ac:dyDescent="0.15">
      <c r="A661" s="10"/>
      <c r="B661" s="13"/>
      <c r="C661" s="13"/>
    </row>
    <row r="662" spans="1:3" ht="13" x14ac:dyDescent="0.15">
      <c r="A662" s="10"/>
      <c r="B662" s="13"/>
      <c r="C662" s="13"/>
    </row>
    <row r="663" spans="1:3" ht="13" x14ac:dyDescent="0.15">
      <c r="A663" s="10"/>
      <c r="B663" s="13"/>
      <c r="C663" s="13"/>
    </row>
    <row r="664" spans="1:3" ht="13" x14ac:dyDescent="0.15">
      <c r="A664" s="10"/>
      <c r="B664" s="13"/>
      <c r="C664" s="13"/>
    </row>
    <row r="665" spans="1:3" ht="13" x14ac:dyDescent="0.15">
      <c r="A665" s="10"/>
      <c r="B665" s="13"/>
      <c r="C665" s="13"/>
    </row>
    <row r="666" spans="1:3" ht="13" x14ac:dyDescent="0.15">
      <c r="A666" s="10"/>
      <c r="B666" s="13"/>
      <c r="C666" s="13"/>
    </row>
    <row r="667" spans="1:3" ht="13" x14ac:dyDescent="0.15">
      <c r="A667" s="10"/>
      <c r="B667" s="13"/>
      <c r="C667" s="13"/>
    </row>
    <row r="668" spans="1:3" ht="13" x14ac:dyDescent="0.15">
      <c r="A668" s="10"/>
      <c r="B668" s="13"/>
      <c r="C668" s="13"/>
    </row>
    <row r="669" spans="1:3" ht="13" x14ac:dyDescent="0.15">
      <c r="A669" s="10"/>
      <c r="B669" s="13"/>
      <c r="C669" s="13"/>
    </row>
    <row r="670" spans="1:3" ht="13" x14ac:dyDescent="0.15">
      <c r="A670" s="10"/>
      <c r="B670" s="13"/>
      <c r="C670" s="13"/>
    </row>
    <row r="671" spans="1:3" ht="13" x14ac:dyDescent="0.15">
      <c r="A671" s="10"/>
      <c r="B671" s="13"/>
      <c r="C671" s="13"/>
    </row>
    <row r="672" spans="1:3" ht="13" x14ac:dyDescent="0.15">
      <c r="A672" s="10"/>
      <c r="B672" s="13"/>
      <c r="C672" s="13"/>
    </row>
    <row r="673" spans="1:3" ht="13" x14ac:dyDescent="0.15">
      <c r="A673" s="10"/>
      <c r="B673" s="13"/>
      <c r="C673" s="13"/>
    </row>
    <row r="674" spans="1:3" ht="13" x14ac:dyDescent="0.15">
      <c r="A674" s="10"/>
      <c r="B674" s="13"/>
      <c r="C674" s="13"/>
    </row>
    <row r="675" spans="1:3" ht="13" x14ac:dyDescent="0.15">
      <c r="A675" s="10"/>
      <c r="B675" s="13"/>
      <c r="C675" s="13"/>
    </row>
    <row r="676" spans="1:3" ht="13" x14ac:dyDescent="0.15">
      <c r="A676" s="10"/>
      <c r="B676" s="13"/>
      <c r="C676" s="13"/>
    </row>
    <row r="677" spans="1:3" ht="13" x14ac:dyDescent="0.15">
      <c r="A677" s="10"/>
      <c r="B677" s="13"/>
      <c r="C677" s="13"/>
    </row>
    <row r="678" spans="1:3" ht="13" x14ac:dyDescent="0.15">
      <c r="A678" s="10"/>
      <c r="B678" s="13"/>
      <c r="C678" s="13"/>
    </row>
    <row r="679" spans="1:3" ht="13" x14ac:dyDescent="0.15">
      <c r="A679" s="10"/>
      <c r="B679" s="13"/>
      <c r="C679" s="13"/>
    </row>
    <row r="680" spans="1:3" ht="13" x14ac:dyDescent="0.15">
      <c r="A680" s="10"/>
      <c r="B680" s="13"/>
      <c r="C680" s="13"/>
    </row>
    <row r="681" spans="1:3" ht="13" x14ac:dyDescent="0.15">
      <c r="A681" s="10"/>
      <c r="B681" s="13"/>
      <c r="C681" s="13"/>
    </row>
    <row r="682" spans="1:3" ht="13" x14ac:dyDescent="0.15">
      <c r="A682" s="10"/>
      <c r="B682" s="13"/>
      <c r="C682" s="13"/>
    </row>
    <row r="683" spans="1:3" ht="13" x14ac:dyDescent="0.15">
      <c r="A683" s="10"/>
      <c r="B683" s="13"/>
      <c r="C683" s="13"/>
    </row>
    <row r="684" spans="1:3" ht="13" x14ac:dyDescent="0.15">
      <c r="A684" s="10"/>
      <c r="B684" s="13"/>
      <c r="C684" s="13"/>
    </row>
    <row r="685" spans="1:3" ht="13" x14ac:dyDescent="0.15">
      <c r="A685" s="10"/>
      <c r="B685" s="13"/>
      <c r="C685" s="13"/>
    </row>
    <row r="686" spans="1:3" ht="13" x14ac:dyDescent="0.15">
      <c r="A686" s="10"/>
      <c r="B686" s="13"/>
      <c r="C686" s="13"/>
    </row>
    <row r="687" spans="1:3" ht="13" x14ac:dyDescent="0.15">
      <c r="A687" s="10"/>
      <c r="B687" s="13"/>
      <c r="C687" s="13"/>
    </row>
    <row r="688" spans="1:3" ht="13" x14ac:dyDescent="0.15">
      <c r="A688" s="10"/>
      <c r="B688" s="13"/>
      <c r="C688" s="13"/>
    </row>
    <row r="689" spans="1:3" ht="13" x14ac:dyDescent="0.15">
      <c r="A689" s="10"/>
      <c r="B689" s="13"/>
      <c r="C689" s="13"/>
    </row>
    <row r="690" spans="1:3" ht="13" x14ac:dyDescent="0.15">
      <c r="A690" s="10"/>
      <c r="B690" s="13"/>
      <c r="C690" s="13"/>
    </row>
    <row r="691" spans="1:3" ht="13" x14ac:dyDescent="0.15">
      <c r="A691" s="10"/>
      <c r="B691" s="13"/>
      <c r="C691" s="13"/>
    </row>
    <row r="692" spans="1:3" ht="13" x14ac:dyDescent="0.15">
      <c r="A692" s="10"/>
      <c r="B692" s="13"/>
      <c r="C692" s="13"/>
    </row>
    <row r="693" spans="1:3" ht="13" x14ac:dyDescent="0.15">
      <c r="A693" s="10"/>
      <c r="B693" s="13"/>
      <c r="C693" s="13"/>
    </row>
    <row r="694" spans="1:3" ht="13" x14ac:dyDescent="0.15">
      <c r="A694" s="10"/>
      <c r="B694" s="13"/>
      <c r="C694" s="13"/>
    </row>
    <row r="695" spans="1:3" ht="13" x14ac:dyDescent="0.15">
      <c r="A695" s="10"/>
      <c r="B695" s="13"/>
      <c r="C695" s="13"/>
    </row>
    <row r="696" spans="1:3" ht="13" x14ac:dyDescent="0.15">
      <c r="A696" s="10"/>
      <c r="B696" s="13"/>
      <c r="C696" s="13"/>
    </row>
    <row r="697" spans="1:3" ht="13" x14ac:dyDescent="0.15">
      <c r="A697" s="10"/>
      <c r="B697" s="13"/>
      <c r="C697" s="13"/>
    </row>
    <row r="698" spans="1:3" ht="13" x14ac:dyDescent="0.15">
      <c r="A698" s="10"/>
      <c r="B698" s="13"/>
      <c r="C698" s="13"/>
    </row>
    <row r="699" spans="1:3" ht="13" x14ac:dyDescent="0.15">
      <c r="A699" s="10"/>
      <c r="B699" s="13"/>
      <c r="C699" s="13"/>
    </row>
    <row r="700" spans="1:3" ht="13" x14ac:dyDescent="0.15">
      <c r="A700" s="10"/>
      <c r="B700" s="13"/>
      <c r="C700" s="13"/>
    </row>
    <row r="701" spans="1:3" ht="13" x14ac:dyDescent="0.15">
      <c r="A701" s="10"/>
      <c r="B701" s="13"/>
      <c r="C701" s="13"/>
    </row>
    <row r="702" spans="1:3" ht="13" x14ac:dyDescent="0.15">
      <c r="A702" s="10"/>
      <c r="B702" s="13"/>
      <c r="C702" s="13"/>
    </row>
    <row r="703" spans="1:3" ht="13" x14ac:dyDescent="0.15">
      <c r="A703" s="10"/>
      <c r="B703" s="13"/>
      <c r="C703" s="13"/>
    </row>
    <row r="704" spans="1:3" ht="13" x14ac:dyDescent="0.15">
      <c r="A704" s="10"/>
      <c r="B704" s="13"/>
      <c r="C704" s="13"/>
    </row>
    <row r="705" spans="1:3" ht="13" x14ac:dyDescent="0.15">
      <c r="A705" s="10"/>
      <c r="B705" s="13"/>
      <c r="C705" s="13"/>
    </row>
    <row r="706" spans="1:3" ht="13" x14ac:dyDescent="0.15">
      <c r="A706" s="10"/>
      <c r="B706" s="13"/>
      <c r="C706" s="13"/>
    </row>
    <row r="707" spans="1:3" ht="13" x14ac:dyDescent="0.15">
      <c r="A707" s="10"/>
      <c r="B707" s="13"/>
      <c r="C707" s="13"/>
    </row>
    <row r="708" spans="1:3" ht="13" x14ac:dyDescent="0.15">
      <c r="A708" s="10"/>
      <c r="B708" s="13"/>
      <c r="C708" s="13"/>
    </row>
    <row r="709" spans="1:3" ht="13" x14ac:dyDescent="0.15">
      <c r="A709" s="10"/>
      <c r="B709" s="13"/>
      <c r="C709" s="13"/>
    </row>
    <row r="710" spans="1:3" ht="13" x14ac:dyDescent="0.15">
      <c r="A710" s="10"/>
      <c r="B710" s="13"/>
      <c r="C710" s="13"/>
    </row>
    <row r="711" spans="1:3" ht="13" x14ac:dyDescent="0.15">
      <c r="A711" s="10"/>
      <c r="B711" s="13"/>
      <c r="C711" s="13"/>
    </row>
    <row r="712" spans="1:3" ht="13" x14ac:dyDescent="0.15">
      <c r="A712" s="10"/>
      <c r="B712" s="13"/>
      <c r="C712" s="13"/>
    </row>
    <row r="713" spans="1:3" ht="13" x14ac:dyDescent="0.15">
      <c r="A713" s="10"/>
      <c r="B713" s="13"/>
      <c r="C713" s="13"/>
    </row>
    <row r="714" spans="1:3" ht="13" x14ac:dyDescent="0.15">
      <c r="A714" s="10"/>
      <c r="B714" s="13"/>
      <c r="C714" s="13"/>
    </row>
    <row r="715" spans="1:3" ht="13" x14ac:dyDescent="0.15">
      <c r="A715" s="10"/>
      <c r="B715" s="13"/>
      <c r="C715" s="13"/>
    </row>
    <row r="716" spans="1:3" ht="13" x14ac:dyDescent="0.15">
      <c r="A716" s="10"/>
      <c r="B716" s="13"/>
      <c r="C716" s="13"/>
    </row>
    <row r="717" spans="1:3" ht="13" x14ac:dyDescent="0.15">
      <c r="A717" s="10"/>
      <c r="B717" s="13"/>
      <c r="C717" s="13"/>
    </row>
    <row r="718" spans="1:3" ht="13" x14ac:dyDescent="0.15">
      <c r="A718" s="10"/>
      <c r="B718" s="13"/>
      <c r="C718" s="13"/>
    </row>
    <row r="719" spans="1:3" ht="13" x14ac:dyDescent="0.15">
      <c r="A719" s="10"/>
      <c r="B719" s="13"/>
      <c r="C719" s="13"/>
    </row>
    <row r="720" spans="1:3" ht="13" x14ac:dyDescent="0.15">
      <c r="A720" s="10"/>
      <c r="B720" s="13"/>
      <c r="C720" s="13"/>
    </row>
    <row r="721" spans="1:3" ht="13" x14ac:dyDescent="0.15">
      <c r="A721" s="10"/>
      <c r="B721" s="13"/>
      <c r="C721" s="13"/>
    </row>
    <row r="722" spans="1:3" ht="13" x14ac:dyDescent="0.15">
      <c r="A722" s="10"/>
      <c r="B722" s="13"/>
      <c r="C722" s="13"/>
    </row>
    <row r="723" spans="1:3" ht="13" x14ac:dyDescent="0.15">
      <c r="A723" s="10"/>
      <c r="B723" s="13"/>
      <c r="C723" s="13"/>
    </row>
    <row r="724" spans="1:3" ht="13" x14ac:dyDescent="0.15">
      <c r="A724" s="10"/>
      <c r="B724" s="13"/>
      <c r="C724" s="13"/>
    </row>
    <row r="725" spans="1:3" ht="13" x14ac:dyDescent="0.15">
      <c r="A725" s="10"/>
      <c r="B725" s="13"/>
      <c r="C725" s="13"/>
    </row>
    <row r="726" spans="1:3" ht="13" x14ac:dyDescent="0.15">
      <c r="A726" s="10"/>
      <c r="B726" s="13"/>
      <c r="C726" s="13"/>
    </row>
    <row r="727" spans="1:3" ht="13" x14ac:dyDescent="0.15">
      <c r="A727" s="10"/>
      <c r="B727" s="13"/>
      <c r="C727" s="13"/>
    </row>
    <row r="728" spans="1:3" ht="13" x14ac:dyDescent="0.15">
      <c r="A728" s="10"/>
      <c r="B728" s="13"/>
      <c r="C728" s="13"/>
    </row>
    <row r="729" spans="1:3" ht="13" x14ac:dyDescent="0.15">
      <c r="A729" s="10"/>
      <c r="B729" s="13"/>
      <c r="C729" s="13"/>
    </row>
    <row r="730" spans="1:3" ht="13" x14ac:dyDescent="0.15">
      <c r="A730" s="10"/>
      <c r="B730" s="13"/>
      <c r="C730" s="13"/>
    </row>
    <row r="731" spans="1:3" ht="13" x14ac:dyDescent="0.15">
      <c r="A731" s="10"/>
      <c r="B731" s="13"/>
      <c r="C731" s="13"/>
    </row>
    <row r="732" spans="1:3" ht="13" x14ac:dyDescent="0.15">
      <c r="A732" s="10"/>
      <c r="B732" s="13"/>
      <c r="C732" s="13"/>
    </row>
    <row r="733" spans="1:3" ht="13" x14ac:dyDescent="0.15">
      <c r="A733" s="10"/>
      <c r="B733" s="13"/>
      <c r="C733" s="13"/>
    </row>
    <row r="734" spans="1:3" ht="13" x14ac:dyDescent="0.15">
      <c r="A734" s="10"/>
      <c r="B734" s="13"/>
      <c r="C734" s="13"/>
    </row>
    <row r="735" spans="1:3" ht="13" x14ac:dyDescent="0.15">
      <c r="A735" s="10"/>
      <c r="B735" s="13"/>
      <c r="C735" s="13"/>
    </row>
    <row r="736" spans="1:3" ht="13" x14ac:dyDescent="0.15">
      <c r="A736" s="10"/>
      <c r="B736" s="13"/>
      <c r="C736" s="13"/>
    </row>
    <row r="737" spans="1:3" ht="13" x14ac:dyDescent="0.15">
      <c r="A737" s="10"/>
      <c r="B737" s="13"/>
      <c r="C737" s="13"/>
    </row>
    <row r="738" spans="1:3" ht="13" x14ac:dyDescent="0.15">
      <c r="A738" s="10"/>
      <c r="B738" s="13"/>
      <c r="C738" s="13"/>
    </row>
    <row r="739" spans="1:3" ht="13" x14ac:dyDescent="0.15">
      <c r="A739" s="10"/>
      <c r="B739" s="13"/>
      <c r="C739" s="13"/>
    </row>
    <row r="740" spans="1:3" ht="13" x14ac:dyDescent="0.15">
      <c r="A740" s="10"/>
      <c r="B740" s="13"/>
      <c r="C740" s="13"/>
    </row>
    <row r="741" spans="1:3" ht="13" x14ac:dyDescent="0.15">
      <c r="A741" s="10"/>
      <c r="B741" s="13"/>
      <c r="C741" s="13"/>
    </row>
    <row r="742" spans="1:3" ht="13" x14ac:dyDescent="0.15">
      <c r="A742" s="10"/>
      <c r="B742" s="13"/>
      <c r="C742" s="13"/>
    </row>
    <row r="743" spans="1:3" ht="13" x14ac:dyDescent="0.15">
      <c r="A743" s="10"/>
      <c r="B743" s="13"/>
      <c r="C743" s="13"/>
    </row>
    <row r="744" spans="1:3" ht="13" x14ac:dyDescent="0.15">
      <c r="A744" s="10"/>
      <c r="B744" s="13"/>
      <c r="C744" s="13"/>
    </row>
    <row r="745" spans="1:3" ht="13" x14ac:dyDescent="0.15">
      <c r="A745" s="10"/>
      <c r="B745" s="13"/>
      <c r="C745" s="13"/>
    </row>
    <row r="746" spans="1:3" ht="13" x14ac:dyDescent="0.15">
      <c r="A746" s="10"/>
      <c r="B746" s="13"/>
      <c r="C746" s="13"/>
    </row>
    <row r="747" spans="1:3" ht="13" x14ac:dyDescent="0.15">
      <c r="A747" s="10"/>
      <c r="B747" s="13"/>
      <c r="C747" s="13"/>
    </row>
    <row r="748" spans="1:3" ht="13" x14ac:dyDescent="0.15">
      <c r="A748" s="10"/>
      <c r="B748" s="13"/>
      <c r="C748" s="13"/>
    </row>
    <row r="749" spans="1:3" ht="13" x14ac:dyDescent="0.15">
      <c r="A749" s="10"/>
      <c r="B749" s="13"/>
      <c r="C749" s="13"/>
    </row>
    <row r="750" spans="1:3" ht="13" x14ac:dyDescent="0.15">
      <c r="A750" s="10"/>
      <c r="B750" s="13"/>
      <c r="C750" s="13"/>
    </row>
    <row r="751" spans="1:3" ht="13" x14ac:dyDescent="0.15">
      <c r="A751" s="10"/>
      <c r="B751" s="13"/>
      <c r="C751" s="13"/>
    </row>
    <row r="752" spans="1:3" ht="13" x14ac:dyDescent="0.15">
      <c r="A752" s="10"/>
      <c r="B752" s="13"/>
      <c r="C752" s="13"/>
    </row>
    <row r="753" spans="1:3" ht="13" x14ac:dyDescent="0.15">
      <c r="A753" s="10"/>
      <c r="B753" s="13"/>
      <c r="C753" s="13"/>
    </row>
    <row r="754" spans="1:3" ht="13" x14ac:dyDescent="0.15">
      <c r="A754" s="10"/>
      <c r="B754" s="13"/>
      <c r="C754" s="13"/>
    </row>
    <row r="755" spans="1:3" ht="13" x14ac:dyDescent="0.15">
      <c r="A755" s="10"/>
      <c r="B755" s="13"/>
      <c r="C755" s="13"/>
    </row>
    <row r="756" spans="1:3" ht="13" x14ac:dyDescent="0.15">
      <c r="A756" s="10"/>
      <c r="B756" s="13"/>
      <c r="C756" s="13"/>
    </row>
    <row r="757" spans="1:3" ht="13" x14ac:dyDescent="0.15">
      <c r="A757" s="10"/>
      <c r="B757" s="13"/>
      <c r="C757" s="13"/>
    </row>
    <row r="758" spans="1:3" ht="13" x14ac:dyDescent="0.15">
      <c r="A758" s="10"/>
      <c r="B758" s="13"/>
      <c r="C758" s="13"/>
    </row>
    <row r="759" spans="1:3" ht="13" x14ac:dyDescent="0.15">
      <c r="A759" s="10"/>
      <c r="B759" s="13"/>
      <c r="C759" s="13"/>
    </row>
    <row r="760" spans="1:3" ht="13" x14ac:dyDescent="0.15">
      <c r="A760" s="10"/>
      <c r="B760" s="13"/>
      <c r="C760" s="13"/>
    </row>
    <row r="761" spans="1:3" ht="13" x14ac:dyDescent="0.15">
      <c r="A761" s="10"/>
      <c r="B761" s="13"/>
      <c r="C761" s="13"/>
    </row>
    <row r="762" spans="1:3" ht="13" x14ac:dyDescent="0.15">
      <c r="A762" s="10"/>
      <c r="B762" s="13"/>
      <c r="C762" s="13"/>
    </row>
    <row r="763" spans="1:3" ht="13" x14ac:dyDescent="0.15">
      <c r="A763" s="10"/>
      <c r="B763" s="13"/>
      <c r="C763" s="13"/>
    </row>
    <row r="764" spans="1:3" ht="13" x14ac:dyDescent="0.15">
      <c r="A764" s="10"/>
      <c r="B764" s="13"/>
      <c r="C764" s="13"/>
    </row>
    <row r="765" spans="1:3" ht="13" x14ac:dyDescent="0.15">
      <c r="A765" s="10"/>
      <c r="B765" s="13"/>
      <c r="C765" s="13"/>
    </row>
    <row r="766" spans="1:3" ht="13" x14ac:dyDescent="0.15">
      <c r="A766" s="10"/>
      <c r="B766" s="13"/>
      <c r="C766" s="13"/>
    </row>
    <row r="767" spans="1:3" ht="13" x14ac:dyDescent="0.15">
      <c r="A767" s="10"/>
      <c r="B767" s="13"/>
      <c r="C767" s="13"/>
    </row>
    <row r="768" spans="1:3" ht="13" x14ac:dyDescent="0.15">
      <c r="A768" s="10"/>
      <c r="B768" s="13"/>
      <c r="C768" s="13"/>
    </row>
    <row r="769" spans="1:3" ht="13" x14ac:dyDescent="0.15">
      <c r="A769" s="10"/>
      <c r="B769" s="13"/>
      <c r="C769" s="13"/>
    </row>
    <row r="770" spans="1:3" ht="13" x14ac:dyDescent="0.15">
      <c r="A770" s="10"/>
      <c r="B770" s="13"/>
      <c r="C770" s="13"/>
    </row>
    <row r="771" spans="1:3" ht="13" x14ac:dyDescent="0.15">
      <c r="A771" s="10"/>
      <c r="B771" s="13"/>
      <c r="C771" s="13"/>
    </row>
    <row r="772" spans="1:3" ht="13" x14ac:dyDescent="0.15">
      <c r="A772" s="10"/>
      <c r="B772" s="13"/>
      <c r="C772" s="13"/>
    </row>
    <row r="773" spans="1:3" ht="13" x14ac:dyDescent="0.15">
      <c r="A773" s="10"/>
      <c r="B773" s="13"/>
      <c r="C773" s="13"/>
    </row>
    <row r="774" spans="1:3" ht="13" x14ac:dyDescent="0.15">
      <c r="A774" s="10"/>
      <c r="B774" s="13"/>
      <c r="C774" s="13"/>
    </row>
    <row r="775" spans="1:3" ht="13" x14ac:dyDescent="0.15">
      <c r="A775" s="10"/>
      <c r="B775" s="13"/>
      <c r="C775" s="13"/>
    </row>
    <row r="776" spans="1:3" ht="13" x14ac:dyDescent="0.15">
      <c r="A776" s="10"/>
      <c r="B776" s="13"/>
      <c r="C776" s="13"/>
    </row>
    <row r="777" spans="1:3" ht="13" x14ac:dyDescent="0.15">
      <c r="A777" s="10"/>
      <c r="B777" s="13"/>
      <c r="C777" s="13"/>
    </row>
    <row r="778" spans="1:3" ht="13" x14ac:dyDescent="0.15">
      <c r="A778" s="10"/>
      <c r="B778" s="13"/>
      <c r="C778" s="13"/>
    </row>
    <row r="779" spans="1:3" ht="13" x14ac:dyDescent="0.15">
      <c r="A779" s="10"/>
      <c r="B779" s="13"/>
      <c r="C779" s="13"/>
    </row>
    <row r="780" spans="1:3" ht="13" x14ac:dyDescent="0.15">
      <c r="A780" s="10"/>
      <c r="B780" s="13"/>
      <c r="C780" s="13"/>
    </row>
    <row r="781" spans="1:3" ht="13" x14ac:dyDescent="0.15">
      <c r="A781" s="10"/>
      <c r="B781" s="13"/>
      <c r="C781" s="13"/>
    </row>
    <row r="782" spans="1:3" ht="13" x14ac:dyDescent="0.15">
      <c r="A782" s="10"/>
      <c r="B782" s="13"/>
      <c r="C782" s="13"/>
    </row>
    <row r="783" spans="1:3" ht="13" x14ac:dyDescent="0.15">
      <c r="A783" s="10"/>
      <c r="B783" s="13"/>
      <c r="C783" s="13"/>
    </row>
    <row r="784" spans="1:3" ht="13" x14ac:dyDescent="0.15">
      <c r="A784" s="10"/>
      <c r="B784" s="13"/>
      <c r="C784" s="13"/>
    </row>
    <row r="785" spans="1:3" ht="13" x14ac:dyDescent="0.15">
      <c r="A785" s="10"/>
      <c r="B785" s="13"/>
      <c r="C785" s="13"/>
    </row>
    <row r="786" spans="1:3" ht="13" x14ac:dyDescent="0.15">
      <c r="A786" s="10"/>
      <c r="B786" s="13"/>
      <c r="C786" s="13"/>
    </row>
    <row r="787" spans="1:3" ht="13" x14ac:dyDescent="0.15">
      <c r="A787" s="10"/>
      <c r="B787" s="13"/>
      <c r="C787" s="13"/>
    </row>
    <row r="788" spans="1:3" ht="13" x14ac:dyDescent="0.15">
      <c r="A788" s="10"/>
      <c r="B788" s="13"/>
      <c r="C788" s="13"/>
    </row>
    <row r="789" spans="1:3" ht="13" x14ac:dyDescent="0.15">
      <c r="A789" s="10"/>
      <c r="B789" s="13"/>
      <c r="C789" s="13"/>
    </row>
    <row r="790" spans="1:3" ht="13" x14ac:dyDescent="0.15">
      <c r="A790" s="10"/>
      <c r="B790" s="13"/>
      <c r="C790" s="13"/>
    </row>
    <row r="791" spans="1:3" ht="13" x14ac:dyDescent="0.15">
      <c r="A791" s="10"/>
      <c r="B791" s="13"/>
      <c r="C791" s="13"/>
    </row>
    <row r="792" spans="1:3" ht="13" x14ac:dyDescent="0.15">
      <c r="A792" s="10"/>
      <c r="B792" s="13"/>
      <c r="C792" s="13"/>
    </row>
    <row r="793" spans="1:3" ht="13" x14ac:dyDescent="0.15">
      <c r="A793" s="10"/>
      <c r="B793" s="13"/>
      <c r="C793" s="13"/>
    </row>
    <row r="794" spans="1:3" ht="13" x14ac:dyDescent="0.15">
      <c r="A794" s="10"/>
      <c r="B794" s="13"/>
      <c r="C794" s="13"/>
    </row>
    <row r="795" spans="1:3" ht="13" x14ac:dyDescent="0.15">
      <c r="A795" s="10"/>
      <c r="B795" s="13"/>
      <c r="C795" s="13"/>
    </row>
    <row r="796" spans="1:3" ht="13" x14ac:dyDescent="0.15">
      <c r="A796" s="10"/>
      <c r="B796" s="13"/>
      <c r="C796" s="13"/>
    </row>
    <row r="797" spans="1:3" ht="13" x14ac:dyDescent="0.15">
      <c r="A797" s="10"/>
      <c r="B797" s="13"/>
      <c r="C797" s="13"/>
    </row>
    <row r="798" spans="1:3" ht="13" x14ac:dyDescent="0.15">
      <c r="A798" s="10"/>
      <c r="B798" s="13"/>
      <c r="C798" s="13"/>
    </row>
    <row r="799" spans="1:3" ht="13" x14ac:dyDescent="0.15">
      <c r="A799" s="10"/>
      <c r="B799" s="13"/>
      <c r="C799" s="13"/>
    </row>
    <row r="800" spans="1:3" ht="13" x14ac:dyDescent="0.15">
      <c r="A800" s="10"/>
      <c r="B800" s="13"/>
      <c r="C800" s="13"/>
    </row>
    <row r="801" spans="1:3" ht="13" x14ac:dyDescent="0.15">
      <c r="A801" s="10"/>
      <c r="B801" s="13"/>
      <c r="C801" s="13"/>
    </row>
    <row r="802" spans="1:3" ht="13" x14ac:dyDescent="0.15">
      <c r="A802" s="10"/>
      <c r="B802" s="13"/>
      <c r="C802" s="13"/>
    </row>
    <row r="803" spans="1:3" ht="13" x14ac:dyDescent="0.15">
      <c r="A803" s="10"/>
      <c r="B803" s="13"/>
      <c r="C803" s="13"/>
    </row>
    <row r="804" spans="1:3" ht="13" x14ac:dyDescent="0.15">
      <c r="A804" s="10"/>
      <c r="B804" s="13"/>
      <c r="C804" s="13"/>
    </row>
    <row r="805" spans="1:3" ht="13" x14ac:dyDescent="0.15">
      <c r="A805" s="10"/>
      <c r="B805" s="13"/>
      <c r="C805" s="13"/>
    </row>
    <row r="806" spans="1:3" ht="13" x14ac:dyDescent="0.15">
      <c r="A806" s="10"/>
      <c r="B806" s="13"/>
      <c r="C806" s="13"/>
    </row>
    <row r="807" spans="1:3" ht="13" x14ac:dyDescent="0.15">
      <c r="A807" s="10"/>
      <c r="B807" s="13"/>
      <c r="C807" s="13"/>
    </row>
    <row r="808" spans="1:3" ht="13" x14ac:dyDescent="0.15">
      <c r="A808" s="10"/>
      <c r="B808" s="13"/>
      <c r="C808" s="13"/>
    </row>
    <row r="809" spans="1:3" ht="13" x14ac:dyDescent="0.15">
      <c r="A809" s="10"/>
      <c r="B809" s="13"/>
      <c r="C809" s="13"/>
    </row>
    <row r="810" spans="1:3" ht="13" x14ac:dyDescent="0.15">
      <c r="A810" s="10"/>
      <c r="B810" s="13"/>
      <c r="C810" s="13"/>
    </row>
    <row r="811" spans="1:3" ht="13" x14ac:dyDescent="0.15">
      <c r="A811" s="10"/>
      <c r="B811" s="13"/>
      <c r="C811" s="13"/>
    </row>
    <row r="812" spans="1:3" ht="13" x14ac:dyDescent="0.15">
      <c r="A812" s="10"/>
      <c r="B812" s="13"/>
      <c r="C812" s="13"/>
    </row>
    <row r="813" spans="1:3" ht="13" x14ac:dyDescent="0.15">
      <c r="A813" s="10"/>
      <c r="B813" s="13"/>
      <c r="C813" s="13"/>
    </row>
    <row r="814" spans="1:3" ht="13" x14ac:dyDescent="0.15">
      <c r="A814" s="10"/>
      <c r="B814" s="13"/>
      <c r="C814" s="13"/>
    </row>
    <row r="815" spans="1:3" ht="13" x14ac:dyDescent="0.15">
      <c r="A815" s="10"/>
      <c r="B815" s="13"/>
      <c r="C815" s="13"/>
    </row>
    <row r="816" spans="1:3" ht="13" x14ac:dyDescent="0.15">
      <c r="A816" s="10"/>
      <c r="B816" s="13"/>
      <c r="C816" s="13"/>
    </row>
    <row r="817" spans="1:3" ht="13" x14ac:dyDescent="0.15">
      <c r="A817" s="10"/>
      <c r="B817" s="13"/>
      <c r="C817" s="13"/>
    </row>
    <row r="818" spans="1:3" ht="13" x14ac:dyDescent="0.15">
      <c r="A818" s="10"/>
      <c r="B818" s="13"/>
      <c r="C818" s="13"/>
    </row>
    <row r="819" spans="1:3" ht="13" x14ac:dyDescent="0.15">
      <c r="A819" s="10"/>
      <c r="B819" s="13"/>
      <c r="C819" s="13"/>
    </row>
    <row r="820" spans="1:3" ht="13" x14ac:dyDescent="0.15">
      <c r="A820" s="10"/>
      <c r="B820" s="13"/>
      <c r="C820" s="13"/>
    </row>
    <row r="821" spans="1:3" ht="13" x14ac:dyDescent="0.15">
      <c r="A821" s="10"/>
      <c r="B821" s="13"/>
      <c r="C821" s="13"/>
    </row>
    <row r="822" spans="1:3" ht="13" x14ac:dyDescent="0.15">
      <c r="A822" s="10"/>
      <c r="B822" s="13"/>
      <c r="C822" s="13"/>
    </row>
    <row r="823" spans="1:3" ht="13" x14ac:dyDescent="0.15">
      <c r="A823" s="10"/>
      <c r="B823" s="13"/>
      <c r="C823" s="13"/>
    </row>
    <row r="824" spans="1:3" ht="13" x14ac:dyDescent="0.15">
      <c r="A824" s="10"/>
      <c r="B824" s="13"/>
      <c r="C824" s="13"/>
    </row>
    <row r="825" spans="1:3" ht="13" x14ac:dyDescent="0.15">
      <c r="A825" s="10"/>
      <c r="B825" s="13"/>
      <c r="C825" s="13"/>
    </row>
    <row r="826" spans="1:3" ht="13" x14ac:dyDescent="0.15">
      <c r="A826" s="10"/>
      <c r="B826" s="13"/>
      <c r="C826" s="13"/>
    </row>
    <row r="827" spans="1:3" ht="13" x14ac:dyDescent="0.15">
      <c r="A827" s="10"/>
      <c r="B827" s="13"/>
      <c r="C827" s="13"/>
    </row>
    <row r="828" spans="1:3" ht="13" x14ac:dyDescent="0.15">
      <c r="A828" s="10"/>
      <c r="B828" s="13"/>
      <c r="C828" s="13"/>
    </row>
    <row r="829" spans="1:3" ht="13" x14ac:dyDescent="0.15">
      <c r="A829" s="10"/>
      <c r="B829" s="13"/>
      <c r="C829" s="13"/>
    </row>
    <row r="830" spans="1:3" ht="13" x14ac:dyDescent="0.15">
      <c r="A830" s="10"/>
      <c r="B830" s="13"/>
      <c r="C830" s="13"/>
    </row>
    <row r="831" spans="1:3" ht="13" x14ac:dyDescent="0.15">
      <c r="A831" s="10"/>
      <c r="B831" s="13"/>
      <c r="C831" s="13"/>
    </row>
    <row r="832" spans="1:3" ht="13" x14ac:dyDescent="0.15">
      <c r="A832" s="10"/>
      <c r="B832" s="13"/>
      <c r="C832" s="13"/>
    </row>
    <row r="833" spans="1:3" ht="13" x14ac:dyDescent="0.15">
      <c r="A833" s="10"/>
      <c r="B833" s="13"/>
      <c r="C833" s="13"/>
    </row>
    <row r="834" spans="1:3" ht="13" x14ac:dyDescent="0.15">
      <c r="A834" s="10"/>
      <c r="B834" s="13"/>
      <c r="C834" s="13"/>
    </row>
    <row r="835" spans="1:3" ht="13" x14ac:dyDescent="0.15">
      <c r="A835" s="10"/>
      <c r="B835" s="13"/>
      <c r="C835" s="13"/>
    </row>
    <row r="836" spans="1:3" ht="13" x14ac:dyDescent="0.15">
      <c r="A836" s="10"/>
      <c r="B836" s="13"/>
      <c r="C836" s="13"/>
    </row>
    <row r="837" spans="1:3" ht="13" x14ac:dyDescent="0.15">
      <c r="A837" s="10"/>
      <c r="B837" s="13"/>
      <c r="C837" s="13"/>
    </row>
    <row r="838" spans="1:3" ht="13" x14ac:dyDescent="0.15">
      <c r="A838" s="10"/>
      <c r="B838" s="13"/>
      <c r="C838" s="13"/>
    </row>
    <row r="839" spans="1:3" ht="13" x14ac:dyDescent="0.15">
      <c r="A839" s="10"/>
      <c r="B839" s="13"/>
      <c r="C839" s="13"/>
    </row>
    <row r="840" spans="1:3" ht="13" x14ac:dyDescent="0.15">
      <c r="A840" s="10"/>
      <c r="B840" s="13"/>
      <c r="C840" s="13"/>
    </row>
    <row r="841" spans="1:3" ht="13" x14ac:dyDescent="0.15">
      <c r="A841" s="10"/>
      <c r="B841" s="13"/>
      <c r="C841" s="13"/>
    </row>
    <row r="842" spans="1:3" ht="13" x14ac:dyDescent="0.15">
      <c r="A842" s="10"/>
      <c r="B842" s="13"/>
      <c r="C842" s="13"/>
    </row>
    <row r="843" spans="1:3" ht="13" x14ac:dyDescent="0.15">
      <c r="A843" s="10"/>
      <c r="B843" s="13"/>
      <c r="C843" s="13"/>
    </row>
    <row r="844" spans="1:3" ht="13" x14ac:dyDescent="0.15">
      <c r="A844" s="10"/>
      <c r="B844" s="13"/>
      <c r="C844" s="13"/>
    </row>
    <row r="845" spans="1:3" ht="13" x14ac:dyDescent="0.15">
      <c r="A845" s="10"/>
      <c r="B845" s="13"/>
      <c r="C845" s="13"/>
    </row>
    <row r="846" spans="1:3" ht="13" x14ac:dyDescent="0.15">
      <c r="A846" s="10"/>
      <c r="B846" s="13"/>
      <c r="C846" s="13"/>
    </row>
    <row r="847" spans="1:3" ht="13" x14ac:dyDescent="0.15">
      <c r="A847" s="10"/>
      <c r="B847" s="13"/>
      <c r="C847" s="13"/>
    </row>
    <row r="848" spans="1:3" ht="13" x14ac:dyDescent="0.15">
      <c r="A848" s="10"/>
      <c r="B848" s="13"/>
      <c r="C848" s="13"/>
    </row>
    <row r="849" spans="1:3" ht="13" x14ac:dyDescent="0.15">
      <c r="A849" s="10"/>
      <c r="B849" s="13"/>
      <c r="C849" s="13"/>
    </row>
    <row r="850" spans="1:3" ht="13" x14ac:dyDescent="0.15">
      <c r="A850" s="10"/>
      <c r="B850" s="13"/>
      <c r="C850" s="13"/>
    </row>
    <row r="851" spans="1:3" ht="13" x14ac:dyDescent="0.15">
      <c r="A851" s="10"/>
      <c r="B851" s="13"/>
      <c r="C851" s="13"/>
    </row>
    <row r="852" spans="1:3" ht="13" x14ac:dyDescent="0.15">
      <c r="A852" s="10"/>
      <c r="B852" s="13"/>
      <c r="C852" s="13"/>
    </row>
    <row r="853" spans="1:3" ht="13" x14ac:dyDescent="0.15">
      <c r="A853" s="10"/>
      <c r="B853" s="13"/>
      <c r="C853" s="13"/>
    </row>
    <row r="854" spans="1:3" ht="13" x14ac:dyDescent="0.15">
      <c r="A854" s="10"/>
      <c r="B854" s="13"/>
      <c r="C854" s="13"/>
    </row>
    <row r="855" spans="1:3" ht="13" x14ac:dyDescent="0.15">
      <c r="A855" s="10"/>
      <c r="B855" s="13"/>
      <c r="C855" s="13"/>
    </row>
    <row r="856" spans="1:3" ht="13" x14ac:dyDescent="0.15">
      <c r="A856" s="10"/>
      <c r="B856" s="13"/>
      <c r="C856" s="13"/>
    </row>
    <row r="857" spans="1:3" ht="13" x14ac:dyDescent="0.15">
      <c r="A857" s="10"/>
      <c r="B857" s="13"/>
      <c r="C857" s="13"/>
    </row>
    <row r="858" spans="1:3" ht="13" x14ac:dyDescent="0.15">
      <c r="A858" s="10"/>
      <c r="B858" s="13"/>
      <c r="C858" s="13"/>
    </row>
    <row r="859" spans="1:3" ht="13" x14ac:dyDescent="0.15">
      <c r="A859" s="10"/>
      <c r="B859" s="13"/>
      <c r="C859" s="13"/>
    </row>
    <row r="860" spans="1:3" ht="13" x14ac:dyDescent="0.15">
      <c r="A860" s="10"/>
      <c r="B860" s="13"/>
      <c r="C860" s="13"/>
    </row>
    <row r="861" spans="1:3" ht="13" x14ac:dyDescent="0.15">
      <c r="A861" s="10"/>
      <c r="B861" s="13"/>
      <c r="C861" s="13"/>
    </row>
    <row r="862" spans="1:3" ht="13" x14ac:dyDescent="0.15">
      <c r="A862" s="10"/>
      <c r="B862" s="13"/>
      <c r="C862" s="13"/>
    </row>
    <row r="863" spans="1:3" ht="13" x14ac:dyDescent="0.15">
      <c r="A863" s="10"/>
      <c r="B863" s="13"/>
      <c r="C863" s="13"/>
    </row>
    <row r="864" spans="1:3" ht="13" x14ac:dyDescent="0.15">
      <c r="A864" s="10"/>
      <c r="B864" s="13"/>
      <c r="C864" s="13"/>
    </row>
    <row r="865" spans="1:3" ht="13" x14ac:dyDescent="0.15">
      <c r="A865" s="10"/>
      <c r="B865" s="13"/>
      <c r="C865" s="13"/>
    </row>
    <row r="866" spans="1:3" ht="13" x14ac:dyDescent="0.15">
      <c r="A866" s="10"/>
      <c r="B866" s="13"/>
      <c r="C866" s="13"/>
    </row>
    <row r="867" spans="1:3" ht="13" x14ac:dyDescent="0.15">
      <c r="A867" s="10"/>
      <c r="B867" s="13"/>
      <c r="C867" s="13"/>
    </row>
    <row r="868" spans="1:3" ht="13" x14ac:dyDescent="0.15">
      <c r="A868" s="10"/>
      <c r="B868" s="13"/>
      <c r="C868" s="13"/>
    </row>
    <row r="869" spans="1:3" ht="13" x14ac:dyDescent="0.15">
      <c r="A869" s="10"/>
      <c r="B869" s="13"/>
      <c r="C869" s="13"/>
    </row>
    <row r="870" spans="1:3" ht="13" x14ac:dyDescent="0.15">
      <c r="A870" s="10"/>
      <c r="B870" s="13"/>
      <c r="C870" s="13"/>
    </row>
    <row r="871" spans="1:3" ht="13" x14ac:dyDescent="0.15">
      <c r="A871" s="10"/>
      <c r="B871" s="13"/>
      <c r="C871" s="13"/>
    </row>
    <row r="872" spans="1:3" ht="13" x14ac:dyDescent="0.15">
      <c r="A872" s="10"/>
      <c r="B872" s="13"/>
      <c r="C872" s="13"/>
    </row>
    <row r="873" spans="1:3" ht="13" x14ac:dyDescent="0.15">
      <c r="A873" s="10"/>
      <c r="B873" s="13"/>
      <c r="C873" s="13"/>
    </row>
    <row r="874" spans="1:3" ht="13" x14ac:dyDescent="0.15">
      <c r="A874" s="10"/>
      <c r="B874" s="13"/>
      <c r="C874" s="13"/>
    </row>
    <row r="875" spans="1:3" ht="13" x14ac:dyDescent="0.15">
      <c r="A875" s="10"/>
      <c r="B875" s="13"/>
      <c r="C875" s="13"/>
    </row>
    <row r="876" spans="1:3" ht="13" x14ac:dyDescent="0.15">
      <c r="A876" s="10"/>
      <c r="B876" s="13"/>
      <c r="C876" s="13"/>
    </row>
    <row r="877" spans="1:3" ht="13" x14ac:dyDescent="0.15">
      <c r="A877" s="10"/>
      <c r="B877" s="13"/>
      <c r="C877" s="13"/>
    </row>
    <row r="878" spans="1:3" ht="13" x14ac:dyDescent="0.15">
      <c r="A878" s="10"/>
      <c r="B878" s="13"/>
      <c r="C878" s="13"/>
    </row>
    <row r="879" spans="1:3" ht="13" x14ac:dyDescent="0.15">
      <c r="A879" s="10"/>
      <c r="B879" s="13"/>
      <c r="C879" s="13"/>
    </row>
    <row r="880" spans="1:3" ht="13" x14ac:dyDescent="0.15">
      <c r="A880" s="10"/>
      <c r="B880" s="13"/>
      <c r="C880" s="13"/>
    </row>
    <row r="881" spans="1:3" ht="13" x14ac:dyDescent="0.15">
      <c r="A881" s="10"/>
      <c r="B881" s="13"/>
      <c r="C881" s="13"/>
    </row>
    <row r="882" spans="1:3" ht="13" x14ac:dyDescent="0.15">
      <c r="A882" s="10"/>
      <c r="B882" s="13"/>
      <c r="C882" s="13"/>
    </row>
    <row r="883" spans="1:3" ht="13" x14ac:dyDescent="0.15">
      <c r="A883" s="10"/>
      <c r="B883" s="13"/>
      <c r="C883" s="13"/>
    </row>
    <row r="884" spans="1:3" ht="13" x14ac:dyDescent="0.15">
      <c r="A884" s="10"/>
      <c r="B884" s="13"/>
      <c r="C884" s="13"/>
    </row>
    <row r="885" spans="1:3" ht="13" x14ac:dyDescent="0.15">
      <c r="A885" s="10"/>
      <c r="B885" s="13"/>
      <c r="C885" s="13"/>
    </row>
    <row r="886" spans="1:3" ht="13" x14ac:dyDescent="0.15">
      <c r="A886" s="10"/>
      <c r="B886" s="13"/>
      <c r="C886" s="13"/>
    </row>
    <row r="887" spans="1:3" ht="13" x14ac:dyDescent="0.15">
      <c r="A887" s="10"/>
      <c r="B887" s="13"/>
      <c r="C887" s="13"/>
    </row>
    <row r="888" spans="1:3" ht="13" x14ac:dyDescent="0.15">
      <c r="A888" s="10"/>
      <c r="B888" s="13"/>
      <c r="C888" s="13"/>
    </row>
    <row r="889" spans="1:3" ht="13" x14ac:dyDescent="0.15">
      <c r="A889" s="10"/>
      <c r="B889" s="13"/>
      <c r="C889" s="13"/>
    </row>
    <row r="890" spans="1:3" ht="13" x14ac:dyDescent="0.15">
      <c r="A890" s="10"/>
      <c r="B890" s="13"/>
      <c r="C890" s="13"/>
    </row>
    <row r="891" spans="1:3" ht="13" x14ac:dyDescent="0.15">
      <c r="A891" s="10"/>
      <c r="B891" s="13"/>
      <c r="C891" s="13"/>
    </row>
    <row r="892" spans="1:3" ht="13" x14ac:dyDescent="0.15">
      <c r="A892" s="10"/>
      <c r="B892" s="13"/>
      <c r="C892" s="13"/>
    </row>
    <row r="893" spans="1:3" ht="13" x14ac:dyDescent="0.15">
      <c r="A893" s="10"/>
      <c r="B893" s="13"/>
      <c r="C893" s="13"/>
    </row>
    <row r="894" spans="1:3" ht="13" x14ac:dyDescent="0.15">
      <c r="A894" s="10"/>
      <c r="B894" s="13"/>
      <c r="C894" s="13"/>
    </row>
    <row r="895" spans="1:3" ht="13" x14ac:dyDescent="0.15">
      <c r="A895" s="10"/>
      <c r="B895" s="13"/>
      <c r="C895" s="13"/>
    </row>
    <row r="896" spans="1:3" ht="13" x14ac:dyDescent="0.15">
      <c r="A896" s="10"/>
      <c r="B896" s="13"/>
      <c r="C896" s="13"/>
    </row>
    <row r="897" spans="1:3" ht="13" x14ac:dyDescent="0.15">
      <c r="A897" s="10"/>
      <c r="B897" s="13"/>
      <c r="C897" s="13"/>
    </row>
    <row r="898" spans="1:3" ht="13" x14ac:dyDescent="0.15">
      <c r="A898" s="10"/>
      <c r="B898" s="13"/>
      <c r="C898" s="13"/>
    </row>
    <row r="899" spans="1:3" ht="13" x14ac:dyDescent="0.15">
      <c r="A899" s="10"/>
      <c r="B899" s="13"/>
      <c r="C899" s="13"/>
    </row>
    <row r="900" spans="1:3" ht="13" x14ac:dyDescent="0.15">
      <c r="A900" s="10"/>
      <c r="B900" s="13"/>
      <c r="C900" s="13"/>
    </row>
    <row r="901" spans="1:3" ht="13" x14ac:dyDescent="0.15">
      <c r="A901" s="10"/>
      <c r="B901" s="13"/>
      <c r="C901" s="13"/>
    </row>
    <row r="902" spans="1:3" ht="13" x14ac:dyDescent="0.15">
      <c r="A902" s="10"/>
      <c r="B902" s="13"/>
      <c r="C902" s="13"/>
    </row>
    <row r="903" spans="1:3" ht="13" x14ac:dyDescent="0.15">
      <c r="A903" s="10"/>
      <c r="B903" s="13"/>
      <c r="C903" s="13"/>
    </row>
    <row r="904" spans="1:3" ht="13" x14ac:dyDescent="0.15">
      <c r="A904" s="10"/>
      <c r="B904" s="13"/>
      <c r="C904" s="13"/>
    </row>
    <row r="905" spans="1:3" ht="13" x14ac:dyDescent="0.15">
      <c r="A905" s="10"/>
      <c r="B905" s="13"/>
      <c r="C905" s="13"/>
    </row>
    <row r="906" spans="1:3" ht="13" x14ac:dyDescent="0.15">
      <c r="A906" s="10"/>
      <c r="B906" s="13"/>
      <c r="C906" s="13"/>
    </row>
    <row r="907" spans="1:3" ht="13" x14ac:dyDescent="0.15">
      <c r="A907" s="10"/>
      <c r="B907" s="13"/>
      <c r="C907" s="13"/>
    </row>
    <row r="908" spans="1:3" ht="13" x14ac:dyDescent="0.15">
      <c r="A908" s="10"/>
      <c r="B908" s="13"/>
      <c r="C908" s="13"/>
    </row>
    <row r="909" spans="1:3" ht="13" x14ac:dyDescent="0.15">
      <c r="A909" s="10"/>
      <c r="B909" s="13"/>
      <c r="C909" s="13"/>
    </row>
    <row r="910" spans="1:3" ht="13" x14ac:dyDescent="0.15">
      <c r="A910" s="10"/>
      <c r="B910" s="13"/>
      <c r="C910" s="13"/>
    </row>
    <row r="911" spans="1:3" ht="13" x14ac:dyDescent="0.15">
      <c r="A911" s="10"/>
      <c r="B911" s="13"/>
      <c r="C911" s="13"/>
    </row>
    <row r="912" spans="1:3" ht="13" x14ac:dyDescent="0.15">
      <c r="A912" s="10"/>
      <c r="B912" s="13"/>
      <c r="C912" s="13"/>
    </row>
    <row r="913" spans="1:3" ht="13" x14ac:dyDescent="0.15">
      <c r="A913" s="10"/>
      <c r="B913" s="13"/>
      <c r="C913" s="13"/>
    </row>
    <row r="914" spans="1:3" ht="13" x14ac:dyDescent="0.15">
      <c r="A914" s="10"/>
      <c r="B914" s="13"/>
      <c r="C914" s="13"/>
    </row>
    <row r="915" spans="1:3" ht="13" x14ac:dyDescent="0.15">
      <c r="A915" s="10"/>
      <c r="B915" s="13"/>
      <c r="C915" s="13"/>
    </row>
    <row r="916" spans="1:3" ht="13" x14ac:dyDescent="0.15">
      <c r="A916" s="10"/>
      <c r="B916" s="13"/>
      <c r="C916" s="13"/>
    </row>
    <row r="917" spans="1:3" ht="13" x14ac:dyDescent="0.15">
      <c r="A917" s="10"/>
      <c r="B917" s="13"/>
      <c r="C917" s="13"/>
    </row>
    <row r="918" spans="1:3" ht="13" x14ac:dyDescent="0.15">
      <c r="A918" s="10"/>
      <c r="B918" s="13"/>
      <c r="C918" s="13"/>
    </row>
    <row r="919" spans="1:3" ht="13" x14ac:dyDescent="0.15">
      <c r="A919" s="10"/>
      <c r="B919" s="13"/>
      <c r="C919" s="13"/>
    </row>
    <row r="920" spans="1:3" ht="13" x14ac:dyDescent="0.15">
      <c r="A920" s="10"/>
      <c r="B920" s="13"/>
      <c r="C920" s="13"/>
    </row>
    <row r="921" spans="1:3" ht="13" x14ac:dyDescent="0.15">
      <c r="A921" s="10"/>
      <c r="B921" s="13"/>
      <c r="C921" s="13"/>
    </row>
    <row r="922" spans="1:3" ht="13" x14ac:dyDescent="0.15">
      <c r="A922" s="10"/>
      <c r="B922" s="13"/>
      <c r="C922" s="13"/>
    </row>
    <row r="923" spans="1:3" ht="13" x14ac:dyDescent="0.15">
      <c r="A923" s="10"/>
      <c r="B923" s="13"/>
      <c r="C923" s="13"/>
    </row>
    <row r="924" spans="1:3" ht="13" x14ac:dyDescent="0.15">
      <c r="A924" s="10"/>
      <c r="B924" s="13"/>
      <c r="C924" s="13"/>
    </row>
    <row r="925" spans="1:3" ht="13" x14ac:dyDescent="0.15">
      <c r="A925" s="10"/>
      <c r="B925" s="13"/>
      <c r="C925" s="13"/>
    </row>
    <row r="926" spans="1:3" ht="13" x14ac:dyDescent="0.15">
      <c r="A926" s="10"/>
      <c r="B926" s="13"/>
      <c r="C926" s="13"/>
    </row>
    <row r="927" spans="1:3" ht="13" x14ac:dyDescent="0.15">
      <c r="A927" s="10"/>
      <c r="B927" s="13"/>
      <c r="C927" s="13"/>
    </row>
    <row r="928" spans="1:3" ht="13" x14ac:dyDescent="0.15">
      <c r="A928" s="10"/>
      <c r="B928" s="13"/>
      <c r="C928" s="13"/>
    </row>
    <row r="929" spans="1:3" ht="13" x14ac:dyDescent="0.15">
      <c r="A929" s="10"/>
      <c r="B929" s="13"/>
      <c r="C929" s="13"/>
    </row>
    <row r="930" spans="1:3" ht="13" x14ac:dyDescent="0.15">
      <c r="A930" s="10"/>
      <c r="B930" s="13"/>
      <c r="C930" s="13"/>
    </row>
    <row r="931" spans="1:3" ht="13" x14ac:dyDescent="0.15">
      <c r="A931" s="10"/>
      <c r="B931" s="13"/>
      <c r="C931" s="13"/>
    </row>
    <row r="932" spans="1:3" ht="13" x14ac:dyDescent="0.15">
      <c r="A932" s="10"/>
      <c r="B932" s="13"/>
      <c r="C932" s="13"/>
    </row>
    <row r="933" spans="1:3" ht="13" x14ac:dyDescent="0.15">
      <c r="A933" s="10"/>
      <c r="B933" s="13"/>
      <c r="C933" s="13"/>
    </row>
    <row r="934" spans="1:3" ht="13" x14ac:dyDescent="0.15">
      <c r="A934" s="10"/>
      <c r="B934" s="13"/>
      <c r="C934" s="13"/>
    </row>
    <row r="935" spans="1:3" ht="13" x14ac:dyDescent="0.15">
      <c r="A935" s="10"/>
      <c r="B935" s="13"/>
      <c r="C935" s="13"/>
    </row>
    <row r="936" spans="1:3" ht="13" x14ac:dyDescent="0.15">
      <c r="A936" s="10"/>
      <c r="B936" s="13"/>
      <c r="C936" s="13"/>
    </row>
    <row r="937" spans="1:3" ht="13" x14ac:dyDescent="0.15">
      <c r="A937" s="10"/>
      <c r="B937" s="13"/>
      <c r="C937" s="13"/>
    </row>
    <row r="938" spans="1:3" ht="13" x14ac:dyDescent="0.15">
      <c r="A938" s="10"/>
      <c r="B938" s="13"/>
      <c r="C938" s="13"/>
    </row>
    <row r="939" spans="1:3" ht="13" x14ac:dyDescent="0.15">
      <c r="A939" s="10"/>
      <c r="B939" s="13"/>
      <c r="C939" s="13"/>
    </row>
    <row r="940" spans="1:3" ht="13" x14ac:dyDescent="0.15">
      <c r="A940" s="10"/>
      <c r="B940" s="13"/>
      <c r="C940" s="13"/>
    </row>
    <row r="941" spans="1:3" ht="13" x14ac:dyDescent="0.15">
      <c r="A941" s="10"/>
      <c r="B941" s="13"/>
      <c r="C941" s="13"/>
    </row>
    <row r="942" spans="1:3" ht="13" x14ac:dyDescent="0.15">
      <c r="A942" s="10"/>
      <c r="B942" s="13"/>
      <c r="C942" s="13"/>
    </row>
    <row r="943" spans="1:3" ht="13" x14ac:dyDescent="0.15">
      <c r="A943" s="10"/>
      <c r="B943" s="13"/>
      <c r="C943" s="13"/>
    </row>
    <row r="944" spans="1:3" ht="13" x14ac:dyDescent="0.15">
      <c r="A944" s="10"/>
      <c r="B944" s="13"/>
      <c r="C944" s="13"/>
    </row>
    <row r="945" spans="1:3" ht="13" x14ac:dyDescent="0.15">
      <c r="A945" s="10"/>
      <c r="B945" s="13"/>
      <c r="C945" s="13"/>
    </row>
    <row r="946" spans="1:3" ht="13" x14ac:dyDescent="0.15">
      <c r="A946" s="10"/>
      <c r="B946" s="13"/>
      <c r="C946" s="13"/>
    </row>
    <row r="947" spans="1:3" ht="13" x14ac:dyDescent="0.15">
      <c r="A947" s="10"/>
      <c r="B947" s="13"/>
      <c r="C947" s="13"/>
    </row>
    <row r="948" spans="1:3" ht="13" x14ac:dyDescent="0.15">
      <c r="A948" s="10"/>
      <c r="B948" s="13"/>
      <c r="C948" s="13"/>
    </row>
    <row r="949" spans="1:3" ht="13" x14ac:dyDescent="0.15">
      <c r="A949" s="10"/>
      <c r="B949" s="13"/>
      <c r="C949" s="13"/>
    </row>
    <row r="950" spans="1:3" ht="13" x14ac:dyDescent="0.15">
      <c r="A950" s="10"/>
      <c r="B950" s="13"/>
      <c r="C950" s="13"/>
    </row>
    <row r="951" spans="1:3" ht="13" x14ac:dyDescent="0.15">
      <c r="A951" s="10"/>
      <c r="B951" s="13"/>
      <c r="C951" s="13"/>
    </row>
    <row r="952" spans="1:3" ht="13" x14ac:dyDescent="0.15">
      <c r="A952" s="10"/>
      <c r="B952" s="13"/>
      <c r="C952" s="13"/>
    </row>
    <row r="953" spans="1:3" ht="13" x14ac:dyDescent="0.15">
      <c r="A953" s="10"/>
      <c r="B953" s="13"/>
      <c r="C953" s="13"/>
    </row>
    <row r="954" spans="1:3" ht="13" x14ac:dyDescent="0.15">
      <c r="A954" s="10"/>
      <c r="B954" s="13"/>
      <c r="C954" s="13"/>
    </row>
    <row r="955" spans="1:3" ht="13" x14ac:dyDescent="0.15">
      <c r="A955" s="10"/>
      <c r="B955" s="13"/>
      <c r="C955" s="13"/>
    </row>
    <row r="956" spans="1:3" ht="13" x14ac:dyDescent="0.15">
      <c r="A956" s="10"/>
      <c r="B956" s="13"/>
      <c r="C956" s="13"/>
    </row>
    <row r="957" spans="1:3" ht="13" x14ac:dyDescent="0.15">
      <c r="A957" s="10"/>
      <c r="B957" s="13"/>
      <c r="C957" s="13"/>
    </row>
    <row r="958" spans="1:3" ht="13" x14ac:dyDescent="0.15">
      <c r="A958" s="10"/>
      <c r="B958" s="13"/>
      <c r="C958" s="13"/>
    </row>
    <row r="959" spans="1:3" ht="13" x14ac:dyDescent="0.15">
      <c r="A959" s="10"/>
      <c r="B959" s="13"/>
      <c r="C959" s="13"/>
    </row>
    <row r="960" spans="1:3" ht="13" x14ac:dyDescent="0.15">
      <c r="A960" s="10"/>
      <c r="B960" s="13"/>
      <c r="C960" s="13"/>
    </row>
    <row r="961" spans="1:3" ht="13" x14ac:dyDescent="0.15">
      <c r="A961" s="10"/>
      <c r="B961" s="13"/>
      <c r="C961" s="13"/>
    </row>
    <row r="962" spans="1:3" ht="13" x14ac:dyDescent="0.15">
      <c r="A962" s="10"/>
      <c r="B962" s="13"/>
      <c r="C962" s="13"/>
    </row>
    <row r="963" spans="1:3" ht="13" x14ac:dyDescent="0.15">
      <c r="A963" s="10"/>
      <c r="B963" s="13"/>
      <c r="C963" s="13"/>
    </row>
    <row r="964" spans="1:3" ht="13" x14ac:dyDescent="0.15">
      <c r="A964" s="10"/>
      <c r="B964" s="13"/>
      <c r="C964" s="13"/>
    </row>
    <row r="965" spans="1:3" ht="13" x14ac:dyDescent="0.15">
      <c r="A965" s="10"/>
      <c r="B965" s="13"/>
      <c r="C965" s="13"/>
    </row>
    <row r="966" spans="1:3" ht="13" x14ac:dyDescent="0.15">
      <c r="A966" s="10"/>
      <c r="B966" s="13"/>
      <c r="C966" s="13"/>
    </row>
    <row r="967" spans="1:3" ht="13" x14ac:dyDescent="0.15">
      <c r="A967" s="10"/>
      <c r="B967" s="13"/>
      <c r="C967" s="13"/>
    </row>
    <row r="968" spans="1:3" ht="13" x14ac:dyDescent="0.15">
      <c r="A968" s="10"/>
      <c r="B968" s="13"/>
      <c r="C968" s="13"/>
    </row>
    <row r="969" spans="1:3" ht="13" x14ac:dyDescent="0.15">
      <c r="A969" s="10"/>
      <c r="B969" s="13"/>
      <c r="C969" s="13"/>
    </row>
    <row r="970" spans="1:3" ht="13" x14ac:dyDescent="0.15">
      <c r="A970" s="10"/>
      <c r="B970" s="13"/>
      <c r="C970" s="13"/>
    </row>
    <row r="971" spans="1:3" ht="13" x14ac:dyDescent="0.15">
      <c r="A971" s="10"/>
      <c r="B971" s="13"/>
      <c r="C971" s="13"/>
    </row>
    <row r="972" spans="1:3" ht="13" x14ac:dyDescent="0.15">
      <c r="A972" s="10"/>
      <c r="B972" s="13"/>
      <c r="C972" s="13"/>
    </row>
    <row r="973" spans="1:3" ht="13" x14ac:dyDescent="0.15">
      <c r="A973" s="10"/>
      <c r="B973" s="13"/>
      <c r="C973" s="13"/>
    </row>
    <row r="974" spans="1:3" ht="13" x14ac:dyDescent="0.15">
      <c r="A974" s="10"/>
      <c r="B974" s="13"/>
      <c r="C974" s="13"/>
    </row>
    <row r="975" spans="1:3" ht="13" x14ac:dyDescent="0.15">
      <c r="A975" s="10"/>
      <c r="B975" s="13"/>
      <c r="C975" s="13"/>
    </row>
    <row r="976" spans="1:3" ht="13" x14ac:dyDescent="0.15">
      <c r="A976" s="10"/>
      <c r="B976" s="13"/>
      <c r="C976" s="13"/>
    </row>
    <row r="977" spans="1:3" ht="13" x14ac:dyDescent="0.15">
      <c r="A977" s="10"/>
      <c r="B977" s="13"/>
      <c r="C977" s="13"/>
    </row>
    <row r="978" spans="1:3" ht="13" x14ac:dyDescent="0.15">
      <c r="A978" s="10"/>
      <c r="B978" s="13"/>
      <c r="C978" s="13"/>
    </row>
    <row r="979" spans="1:3" ht="13" x14ac:dyDescent="0.15">
      <c r="A979" s="10"/>
      <c r="B979" s="13"/>
      <c r="C979" s="13"/>
    </row>
    <row r="980" spans="1:3" ht="13" x14ac:dyDescent="0.15">
      <c r="A980" s="10"/>
      <c r="B980" s="13"/>
      <c r="C980" s="13"/>
    </row>
    <row r="981" spans="1:3" ht="13" x14ac:dyDescent="0.15">
      <c r="A981" s="10"/>
      <c r="B981" s="13"/>
      <c r="C981" s="13"/>
    </row>
    <row r="982" spans="1:3" ht="13" x14ac:dyDescent="0.15">
      <c r="A982" s="10"/>
      <c r="B982" s="13"/>
      <c r="C982" s="13"/>
    </row>
    <row r="983" spans="1:3" ht="13" x14ac:dyDescent="0.15">
      <c r="A983" s="10"/>
      <c r="B983" s="13"/>
      <c r="C983" s="13"/>
    </row>
    <row r="984" spans="1:3" ht="13" x14ac:dyDescent="0.15">
      <c r="A984" s="10"/>
      <c r="B984" s="13"/>
      <c r="C984" s="13"/>
    </row>
    <row r="985" spans="1:3" ht="13" x14ac:dyDescent="0.15">
      <c r="A985" s="10"/>
      <c r="B985" s="13"/>
      <c r="C985" s="13"/>
    </row>
    <row r="986" spans="1:3" ht="13" x14ac:dyDescent="0.15">
      <c r="A986" s="10"/>
      <c r="B986" s="13"/>
      <c r="C986" s="13"/>
    </row>
    <row r="987" spans="1:3" ht="13" x14ac:dyDescent="0.15">
      <c r="A987" s="10"/>
      <c r="B987" s="13"/>
      <c r="C987" s="13"/>
    </row>
    <row r="988" spans="1:3" ht="13" x14ac:dyDescent="0.15">
      <c r="A988" s="10"/>
      <c r="B988" s="13"/>
      <c r="C988" s="13"/>
    </row>
    <row r="989" spans="1:3" ht="13" x14ac:dyDescent="0.15">
      <c r="A989" s="10"/>
      <c r="B989" s="13"/>
      <c r="C989" s="13"/>
    </row>
    <row r="990" spans="1:3" ht="13" x14ac:dyDescent="0.15">
      <c r="A990" s="10"/>
      <c r="B990" s="13"/>
      <c r="C990" s="13"/>
    </row>
    <row r="991" spans="1:3" ht="13" x14ac:dyDescent="0.15">
      <c r="A991" s="10"/>
      <c r="B991" s="13"/>
      <c r="C991" s="13"/>
    </row>
    <row r="992" spans="1:3" ht="13" x14ac:dyDescent="0.15">
      <c r="A992" s="10"/>
      <c r="B992" s="13"/>
      <c r="C992" s="13"/>
    </row>
    <row r="993" spans="1:3" ht="13" x14ac:dyDescent="0.15">
      <c r="A993" s="10"/>
      <c r="B993" s="13"/>
      <c r="C993" s="13"/>
    </row>
    <row r="994" spans="1:3" ht="13" x14ac:dyDescent="0.15">
      <c r="A994" s="10"/>
      <c r="B994" s="13"/>
      <c r="C994" s="13"/>
    </row>
    <row r="995" spans="1:3" ht="13" x14ac:dyDescent="0.15">
      <c r="A995" s="10"/>
      <c r="B995" s="13"/>
      <c r="C995" s="13"/>
    </row>
    <row r="996" spans="1:3" ht="13" x14ac:dyDescent="0.15">
      <c r="A996" s="10"/>
      <c r="B996" s="13"/>
      <c r="C996" s="13"/>
    </row>
    <row r="997" spans="1:3" ht="13" x14ac:dyDescent="0.15">
      <c r="A997" s="10"/>
      <c r="B997" s="13"/>
      <c r="C997" s="13"/>
    </row>
  </sheetData>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outlinePr summaryBelow="0" summaryRight="0"/>
  </sheetPr>
  <dimension ref="A1:D997"/>
  <sheetViews>
    <sheetView workbookViewId="0"/>
  </sheetViews>
  <sheetFormatPr baseColWidth="10" defaultColWidth="12.6640625" defaultRowHeight="15.75" customHeight="1" x14ac:dyDescent="0.15"/>
  <cols>
    <col min="1" max="1" width="71.5" customWidth="1"/>
    <col min="2" max="4" width="37.6640625" customWidth="1"/>
  </cols>
  <sheetData>
    <row r="1" spans="1:4" ht="15.75" customHeight="1" x14ac:dyDescent="0.15">
      <c r="A1" s="1"/>
      <c r="B1" s="12" t="str">
        <f ca="1">IFERROR(__xludf.DUMMYFUNCTION("IMPORTRANGE(""https://docs.google.com/spreadsheets/d/13SmE7eku7nG0PwUe_FIOCUfCnXVjPMNZ0Q_x8FW6s5I"",""A66!B1:B22"")"),"Josiah Bolton")</f>
        <v>Josiah Bolton</v>
      </c>
      <c r="C1" s="12" t="str">
        <f ca="1">IFERROR(__xludf.DUMMYFUNCTION("IMPORTRANGE(""https://docs.google.com/spreadsheets/d/19FYWDv6QyCNB_zbElAOE5cOI1IJ2jraXGOFWNs-qsQM"",""A66!B1:B22"")"),"Braden Brennan")</f>
        <v>Braden Brennan</v>
      </c>
      <c r="D1" s="2" t="s">
        <v>1</v>
      </c>
    </row>
    <row r="2" spans="1:4" ht="15.75" customHeight="1" x14ac:dyDescent="0.15">
      <c r="A2" s="3" t="s">
        <v>2</v>
      </c>
      <c r="B2" s="15" t="str">
        <f ca="1">IFERROR(__xludf.DUMMYFUNCTION("""COMPUTED_VALUE"""),"36005-36514 FOR")</f>
        <v>36005-36514 FOR</v>
      </c>
      <c r="C2" s="15" t="str">
        <f ca="1">IFERROR(__xludf.DUMMYFUNCTION("""COMPUTED_VALUE"""),"36005 - 36514")</f>
        <v>36005 - 36514</v>
      </c>
      <c r="D2" s="4"/>
    </row>
    <row r="3" spans="1:4" ht="15.75" customHeight="1" x14ac:dyDescent="0.15">
      <c r="A3" s="5" t="s">
        <v>3</v>
      </c>
      <c r="B3" s="17" t="str">
        <f ca="1">IFERROR(__xludf.DUMMYFUNCTION("""COMPUTED_VALUE"""),"65 in DNA Master
66 on Phamerator Map")</f>
        <v>65 in DNA Master
66 on Phamerator Map</v>
      </c>
      <c r="C3" s="17" t="str">
        <f ca="1">IFERROR(__xludf.DUMMYFUNCTION("""COMPUTED_VALUE"""),"Pham 66   DNAM 65")</f>
        <v>Pham 66   DNAM 65</v>
      </c>
      <c r="D3" s="6"/>
    </row>
    <row r="4" spans="1:4" ht="15.75" customHeight="1" x14ac:dyDescent="0.15">
      <c r="A4" s="5" t="s">
        <v>4</v>
      </c>
      <c r="B4" s="17" t="str">
        <f ca="1">IFERROR(__xludf.DUMMYFUNCTION("""COMPUTED_VALUE"""),"176700 3/17/2025")</f>
        <v>176700 3/17/2025</v>
      </c>
      <c r="C4" s="17" t="str">
        <f ca="1">IFERROR(__xludf.DUMMYFUNCTION("""COMPUTED_VALUE"""),"pham 176700 3/17/2025")</f>
        <v>pham 176700 3/17/2025</v>
      </c>
      <c r="D4" s="6"/>
    </row>
    <row r="5" spans="1:4" ht="15.75" customHeight="1" x14ac:dyDescent="0.15">
      <c r="A5" s="5" t="s">
        <v>5</v>
      </c>
      <c r="B5" s="17" t="str">
        <f ca="1">IFERROR(__xludf.DUMMYFUNCTION("""COMPUTED_VALUE"""),"Kovu 63 and Edmundo 65")</f>
        <v>Kovu 63 and Edmundo 65</v>
      </c>
      <c r="C5" s="17"/>
      <c r="D5" s="6"/>
    </row>
    <row r="6" spans="1:4" ht="15.75" customHeight="1" x14ac:dyDescent="0.15">
      <c r="A6" s="5" t="s">
        <v>6</v>
      </c>
      <c r="B6" s="17" t="str">
        <f ca="1">IFERROR(__xludf.DUMMYFUNCTION("""COMPUTED_VALUE"""),"Both call at 36005.")</f>
        <v>Both call at 36005.</v>
      </c>
      <c r="C6" s="17" t="str">
        <f ca="1">IFERROR(__xludf.DUMMYFUNCTION("""COMPUTED_VALUE"""),"Glimmer call bp 36005 has strength 16.36")</f>
        <v>Glimmer call bp 36005 has strength 16.36</v>
      </c>
      <c r="D6" s="6"/>
    </row>
    <row r="7" spans="1:4" ht="15.75" customHeight="1" x14ac:dyDescent="0.15">
      <c r="A7" s="5" t="s">
        <v>7</v>
      </c>
      <c r="B7" s="17" t="str">
        <f ca="1">IFERROR(__xludf.DUMMYFUNCTION("""COMPUTED_VALUE"""),"Decent coding potential
Not all coding potential is captured, some is left out after the stop codon.")</f>
        <v>Decent coding potential
Not all coding potential is captured, some is left out after the stop codon.</v>
      </c>
      <c r="C7" s="17" t="str">
        <f ca="1">IFERROR(__xludf.DUMMYFUNCTION("""COMPUTED_VALUE"""),"Good coding potential ")</f>
        <v xml:space="preserve">Good coding potential </v>
      </c>
      <c r="D7" s="6"/>
    </row>
    <row r="8" spans="1:4" ht="15.75" customHeight="1" x14ac:dyDescent="0.15">
      <c r="A8" s="5" t="s">
        <v>8</v>
      </c>
      <c r="B8" s="17" t="str">
        <f ca="1">IFERROR(__xludf.DUMMYFUNCTION("""COMPUTED_VALUE"""),"Not the longest possible ORF, but is the best for  the start. There is a start 12 nucleotides bp before.")</f>
        <v>Not the longest possible ORF, but is the best for  the start. There is a start 12 nucleotides bp before.</v>
      </c>
      <c r="C8" s="17" t="str">
        <f ca="1">IFERROR(__xludf.DUMMYFUNCTION("""COMPUTED_VALUE"""),"Could be slightly longer")</f>
        <v>Could be slightly longer</v>
      </c>
      <c r="D8" s="6"/>
    </row>
    <row r="9" spans="1:4" ht="15.75" customHeight="1" x14ac:dyDescent="0.15">
      <c r="A9" s="5" t="s">
        <v>9</v>
      </c>
      <c r="B9" s="17" t="str">
        <f ca="1">IFERROR(__xludf.DUMMYFUNCTION("""COMPUTED_VALUE"""),"44 nucleotide gap.")</f>
        <v>44 nucleotide gap.</v>
      </c>
      <c r="C9" s="17" t="str">
        <f ca="1">IFERROR(__xludf.DUMMYFUNCTION("""COMPUTED_VALUE"""),"44 nucleotide gap with the previous gene")</f>
        <v>44 nucleotide gap with the previous gene</v>
      </c>
      <c r="D9" s="6"/>
    </row>
    <row r="10" spans="1:4" ht="15.75" customHeight="1" x14ac:dyDescent="0.15">
      <c r="A10" s="5" t="s">
        <v>10</v>
      </c>
      <c r="B10" s="17" t="str">
        <f ca="1">IFERROR(__xludf.DUMMYFUNCTION("""COMPUTED_VALUE"""),"Z value is 1.576 and the final score is -5.553. The best score is at 36227 with a z value is 2.128 and a final score at -5.532. ")</f>
        <v xml:space="preserve">Z value is 1.576 and the final score is -5.553. The best score is at 36227 with a z value is 2.128 and a final score at -5.532. </v>
      </c>
      <c r="C10" s="17" t="str">
        <f ca="1">IFERROR(__xludf.DUMMYFUNCTION("""COMPUTED_VALUE"""),"SD: -4.718   Z: 1.576  Final: -5.553")</f>
        <v>SD: -4.718   Z: 1.576  Final: -5.553</v>
      </c>
      <c r="D10" s="6"/>
    </row>
    <row r="11" spans="1:4" ht="15.75" customHeight="1" x14ac:dyDescent="0.15">
      <c r="A11" s="5" t="s">
        <v>11</v>
      </c>
      <c r="B11" s="17" t="str">
        <f ca="1">IFERROR(__xludf.DUMMYFUNCTION("""COMPUTED_VALUE"""),"Kovu 63 with % identity 86.98%, e value 0e0. q1- 169: S 5- 169.")</f>
        <v>Kovu 63 with % identity 86.98%, e value 0e0. q1- 169: S 5- 169.</v>
      </c>
      <c r="C11" s="17" t="str">
        <f ca="1">IFERROR(__xludf.DUMMYFUNCTION("""COMPUTED_VALUE"""),"(Tail assembly chaperone Kovu, 86.98% identity)(Tail assembly chaperone Edmundo, 67,8% identity)(Tail assembly chaperone Kovu, 87.5% identity)")</f>
        <v>(Tail assembly chaperone Kovu, 86.98% identity)(Tail assembly chaperone Edmundo, 67,8% identity)(Tail assembly chaperone Kovu, 87.5% identity)</v>
      </c>
      <c r="D11" s="6"/>
    </row>
    <row r="12" spans="1:4" ht="15.75" customHeight="1" x14ac:dyDescent="0.15">
      <c r="A12" s="5" t="s">
        <v>12</v>
      </c>
      <c r="B12" s="17" t="str">
        <f ca="1">IFERROR(__xludf.DUMMYFUNCTION("""COMPUTED_VALUE"""),"Start 5 is only in Apokipo 66. This is called 33.3% of time when present.")</f>
        <v>Start 5 is only in Apokipo 66. This is called 33.3% of time when present.</v>
      </c>
      <c r="C12" s="17" t="str">
        <f ca="1">IFERROR(__xludf.DUMMYFUNCTION("""COMPUTED_VALUE"""),"Found in 3 of 14 ( 21.4% ) of genes in pham and called 33.3% of the time.")</f>
        <v>Found in 3 of 14 ( 21.4% ) of genes in pham and called 33.3% of the time.</v>
      </c>
      <c r="D12" s="6"/>
    </row>
    <row r="13" spans="1:4" ht="15.75" customHeight="1" x14ac:dyDescent="0.15">
      <c r="A13" s="5" t="s">
        <v>13</v>
      </c>
      <c r="B13" s="17" t="str">
        <f ca="1">IFERROR(__xludf.DUMMYFUNCTION("""COMPUTED_VALUE"""),"No start choice because a lot of gene coding would be lost if moved to the best z score.")</f>
        <v>No start choice because a lot of gene coding would be lost if moved to the best z score.</v>
      </c>
      <c r="C13" s="17" t="str">
        <f ca="1">IFERROR(__xludf.DUMMYFUNCTION("""COMPUTED_VALUE"""),"No because changing the start would cause a large drop off in coding potential ")</f>
        <v xml:space="preserve">No because changing the start would cause a large drop off in coding potential </v>
      </c>
      <c r="D13" s="6"/>
    </row>
    <row r="14" spans="1:4" ht="15.75" customHeight="1" x14ac:dyDescent="0.15">
      <c r="A14" s="5" t="s">
        <v>14</v>
      </c>
      <c r="B14" s="17" t="str">
        <f ca="1">IFERROR(__xludf.DUMMYFUNCTION("""COMPUTED_VALUE"""),"Kovu 63 e value is 3e-78.")</f>
        <v>Kovu 63 e value is 3e-78.</v>
      </c>
      <c r="C14" s="17" t="str">
        <f ca="1">IFERROR(__xludf.DUMMYFUNCTION("""COMPUTED_VALUE"""),"Edmundo_65 (tail assembly chaperone)
Kharcho_41 (tail assembly chaperone)        Kharcho_42 (tail assembly chaperone)
Kovu_63 (tail assembly chaperone)        Kovu_64 (tail assembly chaperone)")</f>
        <v>Edmundo_65 (tail assembly chaperone)
Kharcho_41 (tail assembly chaperone)        Kharcho_42 (tail assembly chaperone)
Kovu_63 (tail assembly chaperone)        Kovu_64 (tail assembly chaperone)</v>
      </c>
      <c r="D14" s="6"/>
    </row>
    <row r="15" spans="1:4" ht="15.75" customHeight="1" x14ac:dyDescent="0.15">
      <c r="A15" s="5" t="s">
        <v>15</v>
      </c>
      <c r="B15" s="17" t="str">
        <f ca="1">IFERROR(__xludf.DUMMYFUNCTION("""COMPUTED_VALUE"""),"Kovu 63 is a tail assembly chaperone.")</f>
        <v>Kovu 63 is a tail assembly chaperone.</v>
      </c>
      <c r="C15" s="17" t="str">
        <f ca="1">IFERROR(__xludf.DUMMYFUNCTION("""COMPUTED_VALUE"""),"tail assembly chaperone")</f>
        <v>tail assembly chaperone</v>
      </c>
      <c r="D15" s="6"/>
    </row>
    <row r="16" spans="1:4" ht="15.75" customHeight="1" x14ac:dyDescent="0.15">
      <c r="A16" s="5" t="s">
        <v>16</v>
      </c>
      <c r="B16" s="17" t="str">
        <f ca="1">IFERROR(__xludf.DUMMYFUNCTION("""COMPUTED_VALUE"""),"This would be expected because others in the AL cluster fit this particular gene function.")</f>
        <v>This would be expected because others in the AL cluster fit this particular gene function.</v>
      </c>
      <c r="C16" s="17" t="str">
        <f ca="1">IFERROR(__xludf.DUMMYFUNCTION("""COMPUTED_VALUE"""),"most other genes around it also help code for tails and the genes fit well together ")</f>
        <v xml:space="preserve">most other genes around it also help code for tails and the genes fit well together </v>
      </c>
      <c r="D16" s="6"/>
    </row>
    <row r="17" spans="1:4" ht="15.75" customHeight="1" x14ac:dyDescent="0.15">
      <c r="A17" s="5" t="s">
        <v>17</v>
      </c>
      <c r="B17" s="17" t="str">
        <f ca="1">IFERROR(__xludf.DUMMYFUNCTION("""COMPUTED_VALUE"""),"Tail assembly chaperone; Bacteriophage HK97, morphogenesis, tail assembly chaperone, CHAPERONE; HET: MSE; 2.3A {Enterobacteria phage HK97} with probability of 99.8%, % alignment of query is 69.41% and alignment of Target is 90.77%. Functional domain is in"&amp;" target part of alignment.")</f>
        <v>Tail assembly chaperone; Bacteriophage HK97, morphogenesis, tail assembly chaperone, CHAPERONE; HET: MSE; 2.3A {Enterobacteria phage HK97} with probability of 99.8%, % alignment of query is 69.41% and alignment of Target is 90.77%. Functional domain is in target part of alignment.</v>
      </c>
      <c r="C17" s="17" t="str">
        <f ca="1">IFERROR(__xludf.DUMMYFUNCTION("""COMPUTED_VALUE"""),"Tail assembly chaperone, 99.81% probability, align Q: 69.82%, align T: 90.77%")</f>
        <v>Tail assembly chaperone, 99.81% probability, align Q: 69.82%, align T: 90.77%</v>
      </c>
      <c r="D17" s="6"/>
    </row>
    <row r="18" spans="1:4" ht="15.75" customHeight="1" x14ac:dyDescent="0.15">
      <c r="A18" s="5" t="s">
        <v>18</v>
      </c>
      <c r="B18" s="17" t="str">
        <f ca="1">IFERROR(__xludf.DUMMYFUNCTION("""COMPUTED_VALUE"""),"Phages TAC")</f>
        <v>Phages TAC</v>
      </c>
      <c r="C18" s="17" t="str">
        <f ca="1">IFERROR(__xludf.DUMMYFUNCTION("""COMPUTED_VALUE"""),"Phage_TAC_1 (Phage tail assembly chaperone)")</f>
        <v>Phage_TAC_1 (Phage tail assembly chaperone)</v>
      </c>
      <c r="D18" s="6"/>
    </row>
    <row r="19" spans="1:4" ht="15.75" customHeight="1" x14ac:dyDescent="0.15">
      <c r="A19" s="5" t="s">
        <v>19</v>
      </c>
      <c r="B19" s="17" t="str">
        <f ca="1">IFERROR(__xludf.DUMMYFUNCTION("""COMPUTED_VALUE"""),"None.")</f>
        <v>None.</v>
      </c>
      <c r="C19" s="17" t="str">
        <f ca="1">IFERROR(__xludf.DUMMYFUNCTION("""COMPUTED_VALUE"""),"not in the membrane")</f>
        <v>not in the membrane</v>
      </c>
      <c r="D19" s="6"/>
    </row>
    <row r="20" spans="1:4" ht="15.75" customHeight="1" x14ac:dyDescent="0.15">
      <c r="A20" s="5" t="s">
        <v>20</v>
      </c>
      <c r="B20" s="17" t="str">
        <f ca="1">IFERROR(__xludf.DUMMYFUNCTION("""COMPUTED_VALUE"""),"tail assembly chaperone based on the evidence from Phamerator, HHPred, and phagesDB.")</f>
        <v>tail assembly chaperone based on the evidence from Phamerator, HHPred, and phagesDB.</v>
      </c>
      <c r="C20" s="17" t="str">
        <f ca="1">IFERROR(__xludf.DUMMYFUNCTION("""COMPUTED_VALUE"""),"Phage tail assembly chaperone")</f>
        <v>Phage tail assembly chaperone</v>
      </c>
      <c r="D20" s="6"/>
    </row>
    <row r="21" spans="1:4" x14ac:dyDescent="0.2">
      <c r="A21" s="7"/>
      <c r="B21" s="19"/>
      <c r="C21" s="19"/>
      <c r="D21" s="8"/>
    </row>
    <row r="22" spans="1:4" ht="15.75" customHeight="1" x14ac:dyDescent="0.15">
      <c r="A22" s="9" t="s">
        <v>21</v>
      </c>
      <c r="B22" s="19"/>
      <c r="C22" s="19"/>
      <c r="D22" s="8"/>
    </row>
    <row r="23" spans="1:4" ht="15.75" customHeight="1" x14ac:dyDescent="0.15">
      <c r="A23" s="10"/>
      <c r="B23" s="13"/>
      <c r="C23" s="13"/>
    </row>
    <row r="24" spans="1:4" ht="15.75" customHeight="1" x14ac:dyDescent="0.15">
      <c r="A24" s="10"/>
      <c r="B24" s="13"/>
      <c r="C24" s="13"/>
    </row>
    <row r="25" spans="1:4" ht="15.75" customHeight="1" x14ac:dyDescent="0.15">
      <c r="A25" s="10"/>
      <c r="B25" s="13"/>
      <c r="C25" s="13"/>
    </row>
    <row r="26" spans="1:4" ht="15.75" customHeight="1" x14ac:dyDescent="0.15">
      <c r="A26" s="10"/>
      <c r="B26" s="13"/>
      <c r="C26" s="13"/>
    </row>
    <row r="27" spans="1:4" ht="15.75" customHeight="1" x14ac:dyDescent="0.15">
      <c r="A27" s="10"/>
      <c r="B27" s="13"/>
      <c r="C27" s="13"/>
    </row>
    <row r="28" spans="1:4" ht="15.75" customHeight="1" x14ac:dyDescent="0.15">
      <c r="A28" s="10"/>
      <c r="B28" s="13"/>
      <c r="C28" s="13"/>
    </row>
    <row r="29" spans="1:4" ht="15.75" customHeight="1" x14ac:dyDescent="0.15">
      <c r="A29" s="10"/>
      <c r="B29" s="13"/>
      <c r="C29" s="13"/>
    </row>
    <row r="30" spans="1:4" ht="15.75" customHeight="1" x14ac:dyDescent="0.15">
      <c r="A30" s="10"/>
      <c r="B30" s="13"/>
      <c r="C30" s="13"/>
    </row>
    <row r="31" spans="1:4" ht="15.75" customHeight="1" x14ac:dyDescent="0.15">
      <c r="A31" s="10"/>
      <c r="B31" s="13"/>
      <c r="C31" s="13"/>
    </row>
    <row r="32" spans="1:4" ht="15.75" customHeight="1" x14ac:dyDescent="0.15">
      <c r="A32" s="10"/>
      <c r="B32" s="13"/>
      <c r="C32" s="13"/>
    </row>
    <row r="33" spans="1:3" ht="15.75" customHeight="1" x14ac:dyDescent="0.15">
      <c r="A33" s="10"/>
      <c r="B33" s="13"/>
      <c r="C33" s="13"/>
    </row>
    <row r="34" spans="1:3" ht="15.75" customHeight="1" x14ac:dyDescent="0.15">
      <c r="A34" s="10"/>
      <c r="B34" s="13"/>
      <c r="C34" s="13"/>
    </row>
    <row r="35" spans="1:3" ht="15.75" customHeight="1" x14ac:dyDescent="0.15">
      <c r="A35" s="10"/>
      <c r="B35" s="13"/>
      <c r="C35" s="13"/>
    </row>
    <row r="36" spans="1:3" ht="15.75" customHeight="1" x14ac:dyDescent="0.15">
      <c r="A36" s="10"/>
      <c r="B36" s="13"/>
      <c r="C36" s="13"/>
    </row>
    <row r="37" spans="1:3" ht="15.75" customHeight="1" x14ac:dyDescent="0.15">
      <c r="A37" s="10"/>
      <c r="B37" s="13"/>
      <c r="C37" s="13"/>
    </row>
    <row r="38" spans="1:3" ht="15.75" customHeight="1" x14ac:dyDescent="0.15">
      <c r="A38" s="10"/>
      <c r="B38" s="13"/>
      <c r="C38" s="13"/>
    </row>
    <row r="39" spans="1:3" ht="13" x14ac:dyDescent="0.15">
      <c r="A39" s="10"/>
      <c r="B39" s="13"/>
      <c r="C39" s="13"/>
    </row>
    <row r="40" spans="1:3" ht="13" x14ac:dyDescent="0.15">
      <c r="A40" s="10"/>
      <c r="B40" s="13"/>
      <c r="C40" s="13"/>
    </row>
    <row r="41" spans="1:3" ht="13" x14ac:dyDescent="0.15">
      <c r="A41" s="10"/>
      <c r="B41" s="13"/>
      <c r="C41" s="13"/>
    </row>
    <row r="42" spans="1:3" ht="13" x14ac:dyDescent="0.15">
      <c r="A42" s="10"/>
      <c r="B42" s="13"/>
      <c r="C42" s="13"/>
    </row>
    <row r="43" spans="1:3" ht="13" x14ac:dyDescent="0.15">
      <c r="A43" s="10"/>
      <c r="B43" s="13"/>
      <c r="C43" s="13"/>
    </row>
    <row r="44" spans="1:3" ht="13" x14ac:dyDescent="0.15">
      <c r="A44" s="10"/>
      <c r="B44" s="13"/>
      <c r="C44" s="13"/>
    </row>
    <row r="45" spans="1:3" ht="13" x14ac:dyDescent="0.15">
      <c r="A45" s="10"/>
      <c r="B45" s="13"/>
      <c r="C45" s="13"/>
    </row>
    <row r="46" spans="1:3" ht="13" x14ac:dyDescent="0.15">
      <c r="A46" s="10"/>
      <c r="B46" s="13"/>
      <c r="C46" s="13"/>
    </row>
    <row r="47" spans="1:3" ht="13" x14ac:dyDescent="0.15">
      <c r="A47" s="10"/>
      <c r="B47" s="13"/>
      <c r="C47" s="13"/>
    </row>
    <row r="48" spans="1:3" ht="13" x14ac:dyDescent="0.15">
      <c r="A48" s="10"/>
      <c r="B48" s="13"/>
      <c r="C48" s="13"/>
    </row>
    <row r="49" spans="1:3" ht="13" x14ac:dyDescent="0.15">
      <c r="A49" s="10"/>
      <c r="B49" s="13"/>
      <c r="C49" s="13"/>
    </row>
    <row r="50" spans="1:3" ht="13" x14ac:dyDescent="0.15">
      <c r="A50" s="10"/>
      <c r="B50" s="13"/>
      <c r="C50" s="13"/>
    </row>
    <row r="51" spans="1:3" ht="13" x14ac:dyDescent="0.15">
      <c r="A51" s="10"/>
      <c r="B51" s="13"/>
      <c r="C51" s="13"/>
    </row>
    <row r="52" spans="1:3" ht="13" x14ac:dyDescent="0.15">
      <c r="A52" s="10"/>
      <c r="B52" s="13"/>
      <c r="C52" s="13"/>
    </row>
    <row r="53" spans="1:3" ht="13" x14ac:dyDescent="0.15">
      <c r="A53" s="10"/>
      <c r="B53" s="13"/>
      <c r="C53" s="13"/>
    </row>
    <row r="54" spans="1:3" ht="13" x14ac:dyDescent="0.15">
      <c r="A54" s="10"/>
      <c r="B54" s="13"/>
      <c r="C54" s="13"/>
    </row>
    <row r="55" spans="1:3" ht="13" x14ac:dyDescent="0.15">
      <c r="A55" s="10"/>
      <c r="B55" s="13"/>
      <c r="C55" s="13"/>
    </row>
    <row r="56" spans="1:3" ht="13" x14ac:dyDescent="0.15">
      <c r="A56" s="10"/>
      <c r="B56" s="13"/>
      <c r="C56" s="13"/>
    </row>
    <row r="57" spans="1:3" ht="13" x14ac:dyDescent="0.15">
      <c r="A57" s="10"/>
      <c r="B57" s="13"/>
      <c r="C57" s="13"/>
    </row>
    <row r="58" spans="1:3" ht="13" x14ac:dyDescent="0.15">
      <c r="A58" s="10"/>
      <c r="B58" s="13"/>
      <c r="C58" s="13"/>
    </row>
    <row r="59" spans="1:3" ht="13" x14ac:dyDescent="0.15">
      <c r="A59" s="10"/>
      <c r="B59" s="13"/>
      <c r="C59" s="13"/>
    </row>
    <row r="60" spans="1:3" ht="13" x14ac:dyDescent="0.15">
      <c r="A60" s="10"/>
      <c r="B60" s="13"/>
      <c r="C60" s="13"/>
    </row>
    <row r="61" spans="1:3" ht="13" x14ac:dyDescent="0.15">
      <c r="A61" s="10"/>
      <c r="B61" s="13"/>
      <c r="C61" s="13"/>
    </row>
    <row r="62" spans="1:3" ht="13" x14ac:dyDescent="0.15">
      <c r="A62" s="10"/>
      <c r="B62" s="13"/>
      <c r="C62" s="13"/>
    </row>
    <row r="63" spans="1:3" ht="13" x14ac:dyDescent="0.15">
      <c r="A63" s="10"/>
      <c r="B63" s="13"/>
      <c r="C63" s="13"/>
    </row>
    <row r="64" spans="1:3" ht="13" x14ac:dyDescent="0.15">
      <c r="A64" s="10"/>
      <c r="B64" s="13"/>
      <c r="C64" s="13"/>
    </row>
    <row r="65" spans="1:3" ht="13" x14ac:dyDescent="0.15">
      <c r="A65" s="10"/>
      <c r="B65" s="13"/>
      <c r="C65" s="13"/>
    </row>
    <row r="66" spans="1:3" ht="13" x14ac:dyDescent="0.15">
      <c r="A66" s="10"/>
      <c r="B66" s="13"/>
      <c r="C66" s="13"/>
    </row>
    <row r="67" spans="1:3" ht="13" x14ac:dyDescent="0.15">
      <c r="A67" s="10"/>
      <c r="B67" s="13"/>
      <c r="C67" s="13"/>
    </row>
    <row r="68" spans="1:3" ht="13" x14ac:dyDescent="0.15">
      <c r="A68" s="10"/>
      <c r="B68" s="13"/>
      <c r="C68" s="13"/>
    </row>
    <row r="69" spans="1:3" ht="13" x14ac:dyDescent="0.15">
      <c r="A69" s="10"/>
      <c r="B69" s="13"/>
      <c r="C69" s="13"/>
    </row>
    <row r="70" spans="1:3" ht="13" x14ac:dyDescent="0.15">
      <c r="A70" s="10"/>
      <c r="B70" s="13"/>
      <c r="C70" s="13"/>
    </row>
    <row r="71" spans="1:3" ht="13" x14ac:dyDescent="0.15">
      <c r="A71" s="10"/>
      <c r="B71" s="13"/>
      <c r="C71" s="13"/>
    </row>
    <row r="72" spans="1:3" ht="13" x14ac:dyDescent="0.15">
      <c r="A72" s="10"/>
      <c r="B72" s="13"/>
      <c r="C72" s="13"/>
    </row>
    <row r="73" spans="1:3" ht="13" x14ac:dyDescent="0.15">
      <c r="A73" s="10"/>
      <c r="B73" s="13"/>
      <c r="C73" s="13"/>
    </row>
    <row r="74" spans="1:3" ht="13" x14ac:dyDescent="0.15">
      <c r="A74" s="10"/>
      <c r="B74" s="13"/>
      <c r="C74" s="13"/>
    </row>
    <row r="75" spans="1:3" ht="13" x14ac:dyDescent="0.15">
      <c r="A75" s="10"/>
      <c r="B75" s="13"/>
      <c r="C75" s="13"/>
    </row>
    <row r="76" spans="1:3" ht="13" x14ac:dyDescent="0.15">
      <c r="A76" s="10"/>
      <c r="B76" s="13"/>
      <c r="C76" s="13"/>
    </row>
    <row r="77" spans="1:3" ht="13" x14ac:dyDescent="0.15">
      <c r="A77" s="10"/>
      <c r="B77" s="13"/>
      <c r="C77" s="13"/>
    </row>
    <row r="78" spans="1:3" ht="13" x14ac:dyDescent="0.15">
      <c r="A78" s="10"/>
      <c r="B78" s="13"/>
      <c r="C78" s="13"/>
    </row>
    <row r="79" spans="1:3" ht="13" x14ac:dyDescent="0.15">
      <c r="A79" s="10"/>
      <c r="B79" s="13"/>
      <c r="C79" s="13"/>
    </row>
    <row r="80" spans="1:3" ht="13" x14ac:dyDescent="0.15">
      <c r="A80" s="10"/>
      <c r="B80" s="13"/>
      <c r="C80" s="13"/>
    </row>
    <row r="81" spans="1:3" ht="13" x14ac:dyDescent="0.15">
      <c r="A81" s="10"/>
      <c r="B81" s="13"/>
      <c r="C81" s="13"/>
    </row>
    <row r="82" spans="1:3" ht="13" x14ac:dyDescent="0.15">
      <c r="A82" s="10"/>
      <c r="B82" s="13"/>
      <c r="C82" s="13"/>
    </row>
    <row r="83" spans="1:3" ht="13" x14ac:dyDescent="0.15">
      <c r="A83" s="10"/>
      <c r="B83" s="13"/>
      <c r="C83" s="13"/>
    </row>
    <row r="84" spans="1:3" ht="13" x14ac:dyDescent="0.15">
      <c r="A84" s="10"/>
      <c r="B84" s="13"/>
      <c r="C84" s="13"/>
    </row>
    <row r="85" spans="1:3" ht="13" x14ac:dyDescent="0.15">
      <c r="A85" s="10"/>
      <c r="B85" s="13"/>
      <c r="C85" s="13"/>
    </row>
    <row r="86" spans="1:3" ht="13" x14ac:dyDescent="0.15">
      <c r="A86" s="10"/>
      <c r="B86" s="13"/>
      <c r="C86" s="13"/>
    </row>
    <row r="87" spans="1:3" ht="13" x14ac:dyDescent="0.15">
      <c r="A87" s="10"/>
      <c r="B87" s="13"/>
      <c r="C87" s="13"/>
    </row>
    <row r="88" spans="1:3" ht="13" x14ac:dyDescent="0.15">
      <c r="A88" s="10"/>
      <c r="B88" s="13"/>
      <c r="C88" s="13"/>
    </row>
    <row r="89" spans="1:3" ht="13" x14ac:dyDescent="0.15">
      <c r="A89" s="10"/>
      <c r="B89" s="13"/>
      <c r="C89" s="13"/>
    </row>
    <row r="90" spans="1:3" ht="13" x14ac:dyDescent="0.15">
      <c r="A90" s="10"/>
      <c r="B90" s="13"/>
      <c r="C90" s="13"/>
    </row>
    <row r="91" spans="1:3" ht="13" x14ac:dyDescent="0.15">
      <c r="A91" s="10"/>
      <c r="B91" s="13"/>
      <c r="C91" s="13"/>
    </row>
    <row r="92" spans="1:3" ht="13" x14ac:dyDescent="0.15">
      <c r="A92" s="10"/>
      <c r="B92" s="13"/>
      <c r="C92" s="13"/>
    </row>
    <row r="93" spans="1:3" ht="13" x14ac:dyDescent="0.15">
      <c r="A93" s="10"/>
      <c r="B93" s="13"/>
      <c r="C93" s="13"/>
    </row>
    <row r="94" spans="1:3" ht="13" x14ac:dyDescent="0.15">
      <c r="A94" s="10"/>
      <c r="B94" s="13"/>
      <c r="C94" s="13"/>
    </row>
    <row r="95" spans="1:3" ht="13" x14ac:dyDescent="0.15">
      <c r="A95" s="10"/>
      <c r="B95" s="13"/>
      <c r="C95" s="13"/>
    </row>
    <row r="96" spans="1:3" ht="13" x14ac:dyDescent="0.15">
      <c r="A96" s="10"/>
      <c r="B96" s="13"/>
      <c r="C96" s="13"/>
    </row>
    <row r="97" spans="1:3" ht="13" x14ac:dyDescent="0.15">
      <c r="A97" s="10"/>
      <c r="B97" s="13"/>
      <c r="C97" s="13"/>
    </row>
    <row r="98" spans="1:3" ht="13" x14ac:dyDescent="0.15">
      <c r="A98" s="10"/>
      <c r="B98" s="13"/>
      <c r="C98" s="13"/>
    </row>
    <row r="99" spans="1:3" ht="13" x14ac:dyDescent="0.15">
      <c r="A99" s="10"/>
      <c r="B99" s="13"/>
      <c r="C99" s="13"/>
    </row>
    <row r="100" spans="1:3" ht="13" x14ac:dyDescent="0.15">
      <c r="A100" s="10"/>
      <c r="B100" s="13"/>
      <c r="C100" s="13"/>
    </row>
    <row r="101" spans="1:3" ht="13" x14ac:dyDescent="0.15">
      <c r="A101" s="10"/>
      <c r="B101" s="13"/>
      <c r="C101" s="13"/>
    </row>
    <row r="102" spans="1:3" ht="13" x14ac:dyDescent="0.15">
      <c r="A102" s="10"/>
      <c r="B102" s="13"/>
      <c r="C102" s="13"/>
    </row>
    <row r="103" spans="1:3" ht="13" x14ac:dyDescent="0.15">
      <c r="A103" s="10"/>
      <c r="B103" s="13"/>
      <c r="C103" s="13"/>
    </row>
    <row r="104" spans="1:3" ht="13" x14ac:dyDescent="0.15">
      <c r="A104" s="10"/>
      <c r="B104" s="13"/>
      <c r="C104" s="13"/>
    </row>
    <row r="105" spans="1:3" ht="13" x14ac:dyDescent="0.15">
      <c r="A105" s="10"/>
      <c r="B105" s="13"/>
      <c r="C105" s="13"/>
    </row>
    <row r="106" spans="1:3" ht="13" x14ac:dyDescent="0.15">
      <c r="A106" s="10"/>
      <c r="B106" s="13"/>
      <c r="C106" s="13"/>
    </row>
    <row r="107" spans="1:3" ht="13" x14ac:dyDescent="0.15">
      <c r="A107" s="10"/>
      <c r="B107" s="13"/>
      <c r="C107" s="13"/>
    </row>
    <row r="108" spans="1:3" ht="13" x14ac:dyDescent="0.15">
      <c r="A108" s="10"/>
      <c r="B108" s="13"/>
      <c r="C108" s="13"/>
    </row>
    <row r="109" spans="1:3" ht="13" x14ac:dyDescent="0.15">
      <c r="A109" s="10"/>
      <c r="B109" s="13"/>
      <c r="C109" s="13"/>
    </row>
    <row r="110" spans="1:3" ht="13" x14ac:dyDescent="0.15">
      <c r="A110" s="10"/>
      <c r="B110" s="13"/>
      <c r="C110" s="13"/>
    </row>
    <row r="111" spans="1:3" ht="13" x14ac:dyDescent="0.15">
      <c r="A111" s="10"/>
      <c r="B111" s="13"/>
      <c r="C111" s="13"/>
    </row>
    <row r="112" spans="1:3" ht="13" x14ac:dyDescent="0.15">
      <c r="A112" s="10"/>
      <c r="B112" s="13"/>
      <c r="C112" s="13"/>
    </row>
    <row r="113" spans="1:3" ht="13" x14ac:dyDescent="0.15">
      <c r="A113" s="10"/>
      <c r="B113" s="13"/>
      <c r="C113" s="13"/>
    </row>
    <row r="114" spans="1:3" ht="13" x14ac:dyDescent="0.15">
      <c r="A114" s="10"/>
      <c r="B114" s="13"/>
      <c r="C114" s="13"/>
    </row>
    <row r="115" spans="1:3" ht="13" x14ac:dyDescent="0.15">
      <c r="A115" s="10"/>
      <c r="B115" s="13"/>
      <c r="C115" s="13"/>
    </row>
    <row r="116" spans="1:3" ht="13" x14ac:dyDescent="0.15">
      <c r="A116" s="10"/>
      <c r="B116" s="13"/>
      <c r="C116" s="13"/>
    </row>
    <row r="117" spans="1:3" ht="13" x14ac:dyDescent="0.15">
      <c r="A117" s="10"/>
      <c r="B117" s="13"/>
      <c r="C117" s="13"/>
    </row>
    <row r="118" spans="1:3" ht="13" x14ac:dyDescent="0.15">
      <c r="A118" s="10"/>
      <c r="B118" s="13"/>
      <c r="C118" s="13"/>
    </row>
    <row r="119" spans="1:3" ht="13" x14ac:dyDescent="0.15">
      <c r="A119" s="10"/>
      <c r="B119" s="13"/>
      <c r="C119" s="13"/>
    </row>
    <row r="120" spans="1:3" ht="13" x14ac:dyDescent="0.15">
      <c r="A120" s="10"/>
      <c r="B120" s="13"/>
      <c r="C120" s="13"/>
    </row>
    <row r="121" spans="1:3" ht="13" x14ac:dyDescent="0.15">
      <c r="A121" s="10"/>
      <c r="B121" s="13"/>
      <c r="C121" s="13"/>
    </row>
    <row r="122" spans="1:3" ht="13" x14ac:dyDescent="0.15">
      <c r="A122" s="10"/>
      <c r="B122" s="13"/>
      <c r="C122" s="13"/>
    </row>
    <row r="123" spans="1:3" ht="13" x14ac:dyDescent="0.15">
      <c r="A123" s="10"/>
      <c r="B123" s="13"/>
      <c r="C123" s="13"/>
    </row>
    <row r="124" spans="1:3" ht="13" x14ac:dyDescent="0.15">
      <c r="A124" s="10"/>
      <c r="B124" s="13"/>
      <c r="C124" s="13"/>
    </row>
    <row r="125" spans="1:3" ht="13" x14ac:dyDescent="0.15">
      <c r="A125" s="10"/>
      <c r="B125" s="13"/>
      <c r="C125" s="13"/>
    </row>
    <row r="126" spans="1:3" ht="13" x14ac:dyDescent="0.15">
      <c r="A126" s="10"/>
      <c r="B126" s="13"/>
      <c r="C126" s="13"/>
    </row>
    <row r="127" spans="1:3" ht="13" x14ac:dyDescent="0.15">
      <c r="A127" s="10"/>
      <c r="B127" s="13"/>
      <c r="C127" s="13"/>
    </row>
    <row r="128" spans="1:3" ht="13" x14ac:dyDescent="0.15">
      <c r="A128" s="10"/>
      <c r="B128" s="13"/>
      <c r="C128" s="13"/>
    </row>
    <row r="129" spans="1:3" ht="13" x14ac:dyDescent="0.15">
      <c r="A129" s="10"/>
      <c r="B129" s="13"/>
      <c r="C129" s="13"/>
    </row>
    <row r="130" spans="1:3" ht="13" x14ac:dyDescent="0.15">
      <c r="A130" s="10"/>
      <c r="B130" s="13"/>
      <c r="C130" s="13"/>
    </row>
    <row r="131" spans="1:3" ht="13" x14ac:dyDescent="0.15">
      <c r="A131" s="10"/>
      <c r="B131" s="13"/>
      <c r="C131" s="13"/>
    </row>
    <row r="132" spans="1:3" ht="13" x14ac:dyDescent="0.15">
      <c r="A132" s="10"/>
      <c r="B132" s="13"/>
      <c r="C132" s="13"/>
    </row>
    <row r="133" spans="1:3" ht="13" x14ac:dyDescent="0.15">
      <c r="A133" s="10"/>
      <c r="B133" s="13"/>
      <c r="C133" s="13"/>
    </row>
    <row r="134" spans="1:3" ht="13" x14ac:dyDescent="0.15">
      <c r="A134" s="10"/>
      <c r="B134" s="13"/>
      <c r="C134" s="13"/>
    </row>
    <row r="135" spans="1:3" ht="13" x14ac:dyDescent="0.15">
      <c r="A135" s="10"/>
      <c r="B135" s="13"/>
      <c r="C135" s="13"/>
    </row>
    <row r="136" spans="1:3" ht="13" x14ac:dyDescent="0.15">
      <c r="A136" s="10"/>
      <c r="B136" s="13"/>
      <c r="C136" s="13"/>
    </row>
    <row r="137" spans="1:3" ht="13" x14ac:dyDescent="0.15">
      <c r="A137" s="10"/>
      <c r="B137" s="13"/>
      <c r="C137" s="13"/>
    </row>
    <row r="138" spans="1:3" ht="13" x14ac:dyDescent="0.15">
      <c r="A138" s="10"/>
      <c r="B138" s="13"/>
      <c r="C138" s="13"/>
    </row>
    <row r="139" spans="1:3" ht="13" x14ac:dyDescent="0.15">
      <c r="A139" s="10"/>
      <c r="B139" s="13"/>
      <c r="C139" s="13"/>
    </row>
    <row r="140" spans="1:3" ht="13" x14ac:dyDescent="0.15">
      <c r="A140" s="10"/>
      <c r="B140" s="13"/>
      <c r="C140" s="13"/>
    </row>
    <row r="141" spans="1:3" ht="13" x14ac:dyDescent="0.15">
      <c r="A141" s="10"/>
      <c r="B141" s="13"/>
      <c r="C141" s="13"/>
    </row>
    <row r="142" spans="1:3" ht="13" x14ac:dyDescent="0.15">
      <c r="A142" s="10"/>
      <c r="B142" s="13"/>
      <c r="C142" s="13"/>
    </row>
    <row r="143" spans="1:3" ht="13" x14ac:dyDescent="0.15">
      <c r="A143" s="10"/>
      <c r="B143" s="13"/>
      <c r="C143" s="13"/>
    </row>
    <row r="144" spans="1:3" ht="13" x14ac:dyDescent="0.15">
      <c r="A144" s="10"/>
      <c r="B144" s="13"/>
      <c r="C144" s="13"/>
    </row>
    <row r="145" spans="1:3" ht="13" x14ac:dyDescent="0.15">
      <c r="A145" s="10"/>
      <c r="B145" s="13"/>
      <c r="C145" s="13"/>
    </row>
    <row r="146" spans="1:3" ht="13" x14ac:dyDescent="0.15">
      <c r="A146" s="10"/>
      <c r="B146" s="13"/>
      <c r="C146" s="13"/>
    </row>
    <row r="147" spans="1:3" ht="13" x14ac:dyDescent="0.15">
      <c r="A147" s="10"/>
      <c r="B147" s="13"/>
      <c r="C147" s="13"/>
    </row>
    <row r="148" spans="1:3" ht="13" x14ac:dyDescent="0.15">
      <c r="A148" s="10"/>
      <c r="B148" s="13"/>
      <c r="C148" s="13"/>
    </row>
    <row r="149" spans="1:3" ht="13" x14ac:dyDescent="0.15">
      <c r="A149" s="10"/>
      <c r="B149" s="13"/>
      <c r="C149" s="13"/>
    </row>
    <row r="150" spans="1:3" ht="13" x14ac:dyDescent="0.15">
      <c r="A150" s="10"/>
      <c r="B150" s="13"/>
      <c r="C150" s="13"/>
    </row>
    <row r="151" spans="1:3" ht="13" x14ac:dyDescent="0.15">
      <c r="A151" s="10"/>
      <c r="B151" s="13"/>
      <c r="C151" s="13"/>
    </row>
    <row r="152" spans="1:3" ht="13" x14ac:dyDescent="0.15">
      <c r="A152" s="10"/>
      <c r="B152" s="13"/>
      <c r="C152" s="13"/>
    </row>
    <row r="153" spans="1:3" ht="13" x14ac:dyDescent="0.15">
      <c r="A153" s="10"/>
      <c r="B153" s="13"/>
      <c r="C153" s="13"/>
    </row>
    <row r="154" spans="1:3" ht="13" x14ac:dyDescent="0.15">
      <c r="A154" s="10"/>
      <c r="B154" s="13"/>
      <c r="C154" s="13"/>
    </row>
    <row r="155" spans="1:3" ht="13" x14ac:dyDescent="0.15">
      <c r="A155" s="10"/>
      <c r="B155" s="13"/>
      <c r="C155" s="13"/>
    </row>
    <row r="156" spans="1:3" ht="13" x14ac:dyDescent="0.15">
      <c r="A156" s="10"/>
      <c r="B156" s="13"/>
      <c r="C156" s="13"/>
    </row>
    <row r="157" spans="1:3" ht="13" x14ac:dyDescent="0.15">
      <c r="A157" s="10"/>
      <c r="B157" s="13"/>
      <c r="C157" s="13"/>
    </row>
    <row r="158" spans="1:3" ht="13" x14ac:dyDescent="0.15">
      <c r="A158" s="10"/>
      <c r="B158" s="13"/>
      <c r="C158" s="13"/>
    </row>
    <row r="159" spans="1:3" ht="13" x14ac:dyDescent="0.15">
      <c r="A159" s="10"/>
      <c r="B159" s="13"/>
      <c r="C159" s="13"/>
    </row>
    <row r="160" spans="1:3" ht="13" x14ac:dyDescent="0.15">
      <c r="A160" s="10"/>
      <c r="B160" s="13"/>
      <c r="C160" s="13"/>
    </row>
    <row r="161" spans="1:3" ht="13" x14ac:dyDescent="0.15">
      <c r="A161" s="10"/>
      <c r="B161" s="13"/>
      <c r="C161" s="13"/>
    </row>
    <row r="162" spans="1:3" ht="13" x14ac:dyDescent="0.15">
      <c r="A162" s="10"/>
      <c r="B162" s="13"/>
      <c r="C162" s="13"/>
    </row>
    <row r="163" spans="1:3" ht="13" x14ac:dyDescent="0.15">
      <c r="A163" s="10"/>
      <c r="B163" s="13"/>
      <c r="C163" s="13"/>
    </row>
    <row r="164" spans="1:3" ht="13" x14ac:dyDescent="0.15">
      <c r="A164" s="10"/>
      <c r="B164" s="13"/>
      <c r="C164" s="13"/>
    </row>
    <row r="165" spans="1:3" ht="13" x14ac:dyDescent="0.15">
      <c r="A165" s="10"/>
      <c r="B165" s="13"/>
      <c r="C165" s="13"/>
    </row>
    <row r="166" spans="1:3" ht="13" x14ac:dyDescent="0.15">
      <c r="A166" s="10"/>
      <c r="B166" s="13"/>
      <c r="C166" s="13"/>
    </row>
    <row r="167" spans="1:3" ht="13" x14ac:dyDescent="0.15">
      <c r="A167" s="10"/>
      <c r="B167" s="13"/>
      <c r="C167" s="13"/>
    </row>
    <row r="168" spans="1:3" ht="13" x14ac:dyDescent="0.15">
      <c r="A168" s="10"/>
      <c r="B168" s="13"/>
      <c r="C168" s="13"/>
    </row>
    <row r="169" spans="1:3" ht="13" x14ac:dyDescent="0.15">
      <c r="A169" s="10"/>
      <c r="B169" s="13"/>
      <c r="C169" s="13"/>
    </row>
    <row r="170" spans="1:3" ht="13" x14ac:dyDescent="0.15">
      <c r="A170" s="10"/>
      <c r="B170" s="13"/>
      <c r="C170" s="13"/>
    </row>
    <row r="171" spans="1:3" ht="13" x14ac:dyDescent="0.15">
      <c r="A171" s="10"/>
      <c r="B171" s="13"/>
      <c r="C171" s="13"/>
    </row>
    <row r="172" spans="1:3" ht="13" x14ac:dyDescent="0.15">
      <c r="A172" s="10"/>
      <c r="B172" s="13"/>
      <c r="C172" s="13"/>
    </row>
    <row r="173" spans="1:3" ht="13" x14ac:dyDescent="0.15">
      <c r="A173" s="10"/>
      <c r="B173" s="13"/>
      <c r="C173" s="13"/>
    </row>
    <row r="174" spans="1:3" ht="13" x14ac:dyDescent="0.15">
      <c r="A174" s="10"/>
      <c r="B174" s="13"/>
      <c r="C174" s="13"/>
    </row>
    <row r="175" spans="1:3" ht="13" x14ac:dyDescent="0.15">
      <c r="A175" s="10"/>
      <c r="B175" s="13"/>
      <c r="C175" s="13"/>
    </row>
    <row r="176" spans="1:3" ht="13" x14ac:dyDescent="0.15">
      <c r="A176" s="10"/>
      <c r="B176" s="13"/>
      <c r="C176" s="13"/>
    </row>
    <row r="177" spans="1:3" ht="13" x14ac:dyDescent="0.15">
      <c r="A177" s="10"/>
      <c r="B177" s="13"/>
      <c r="C177" s="13"/>
    </row>
    <row r="178" spans="1:3" ht="13" x14ac:dyDescent="0.15">
      <c r="A178" s="10"/>
      <c r="B178" s="13"/>
      <c r="C178" s="13"/>
    </row>
    <row r="179" spans="1:3" ht="13" x14ac:dyDescent="0.15">
      <c r="A179" s="10"/>
      <c r="B179" s="13"/>
      <c r="C179" s="13"/>
    </row>
    <row r="180" spans="1:3" ht="13" x14ac:dyDescent="0.15">
      <c r="A180" s="10"/>
      <c r="B180" s="13"/>
      <c r="C180" s="13"/>
    </row>
    <row r="181" spans="1:3" ht="13" x14ac:dyDescent="0.15">
      <c r="A181" s="10"/>
      <c r="B181" s="13"/>
      <c r="C181" s="13"/>
    </row>
    <row r="182" spans="1:3" ht="13" x14ac:dyDescent="0.15">
      <c r="A182" s="10"/>
      <c r="B182" s="13"/>
      <c r="C182" s="13"/>
    </row>
    <row r="183" spans="1:3" ht="13" x14ac:dyDescent="0.15">
      <c r="A183" s="10"/>
      <c r="B183" s="13"/>
      <c r="C183" s="13"/>
    </row>
    <row r="184" spans="1:3" ht="13" x14ac:dyDescent="0.15">
      <c r="A184" s="10"/>
      <c r="B184" s="13"/>
      <c r="C184" s="13"/>
    </row>
    <row r="185" spans="1:3" ht="13" x14ac:dyDescent="0.15">
      <c r="A185" s="10"/>
      <c r="B185" s="13"/>
      <c r="C185" s="13"/>
    </row>
    <row r="186" spans="1:3" ht="13" x14ac:dyDescent="0.15">
      <c r="A186" s="10"/>
      <c r="B186" s="13"/>
      <c r="C186" s="13"/>
    </row>
    <row r="187" spans="1:3" ht="13" x14ac:dyDescent="0.15">
      <c r="A187" s="10"/>
      <c r="B187" s="13"/>
      <c r="C187" s="13"/>
    </row>
    <row r="188" spans="1:3" ht="13" x14ac:dyDescent="0.15">
      <c r="A188" s="10"/>
      <c r="B188" s="13"/>
      <c r="C188" s="13"/>
    </row>
    <row r="189" spans="1:3" ht="13" x14ac:dyDescent="0.15">
      <c r="A189" s="10"/>
      <c r="B189" s="13"/>
      <c r="C189" s="13"/>
    </row>
    <row r="190" spans="1:3" ht="13" x14ac:dyDescent="0.15">
      <c r="A190" s="10"/>
      <c r="B190" s="13"/>
      <c r="C190" s="13"/>
    </row>
    <row r="191" spans="1:3" ht="13" x14ac:dyDescent="0.15">
      <c r="A191" s="10"/>
      <c r="B191" s="13"/>
      <c r="C191" s="13"/>
    </row>
    <row r="192" spans="1:3" ht="13" x14ac:dyDescent="0.15">
      <c r="A192" s="10"/>
      <c r="B192" s="13"/>
      <c r="C192" s="13"/>
    </row>
    <row r="193" spans="1:3" ht="13" x14ac:dyDescent="0.15">
      <c r="A193" s="10"/>
      <c r="B193" s="13"/>
      <c r="C193" s="13"/>
    </row>
    <row r="194" spans="1:3" ht="13" x14ac:dyDescent="0.15">
      <c r="A194" s="10"/>
      <c r="B194" s="13"/>
      <c r="C194" s="13"/>
    </row>
    <row r="195" spans="1:3" ht="13" x14ac:dyDescent="0.15">
      <c r="A195" s="10"/>
      <c r="B195" s="13"/>
      <c r="C195" s="13"/>
    </row>
    <row r="196" spans="1:3" ht="13" x14ac:dyDescent="0.15">
      <c r="A196" s="10"/>
      <c r="B196" s="13"/>
      <c r="C196" s="13"/>
    </row>
    <row r="197" spans="1:3" ht="13" x14ac:dyDescent="0.15">
      <c r="A197" s="10"/>
      <c r="B197" s="13"/>
      <c r="C197" s="13"/>
    </row>
    <row r="198" spans="1:3" ht="13" x14ac:dyDescent="0.15">
      <c r="A198" s="10"/>
      <c r="B198" s="13"/>
      <c r="C198" s="13"/>
    </row>
    <row r="199" spans="1:3" ht="13" x14ac:dyDescent="0.15">
      <c r="A199" s="10"/>
      <c r="B199" s="13"/>
      <c r="C199" s="13"/>
    </row>
    <row r="200" spans="1:3" ht="13" x14ac:dyDescent="0.15">
      <c r="A200" s="10"/>
      <c r="B200" s="13"/>
      <c r="C200" s="13"/>
    </row>
    <row r="201" spans="1:3" ht="13" x14ac:dyDescent="0.15">
      <c r="A201" s="10"/>
      <c r="B201" s="13"/>
      <c r="C201" s="13"/>
    </row>
    <row r="202" spans="1:3" ht="13" x14ac:dyDescent="0.15">
      <c r="A202" s="10"/>
      <c r="B202" s="13"/>
      <c r="C202" s="13"/>
    </row>
    <row r="203" spans="1:3" ht="13" x14ac:dyDescent="0.15">
      <c r="A203" s="10"/>
      <c r="B203" s="13"/>
      <c r="C203" s="13"/>
    </row>
    <row r="204" spans="1:3" ht="13" x14ac:dyDescent="0.15">
      <c r="A204" s="10"/>
      <c r="B204" s="13"/>
      <c r="C204" s="13"/>
    </row>
    <row r="205" spans="1:3" ht="13" x14ac:dyDescent="0.15">
      <c r="A205" s="10"/>
      <c r="B205" s="13"/>
      <c r="C205" s="13"/>
    </row>
    <row r="206" spans="1:3" ht="13" x14ac:dyDescent="0.15">
      <c r="A206" s="10"/>
      <c r="B206" s="13"/>
      <c r="C206" s="13"/>
    </row>
    <row r="207" spans="1:3" ht="13" x14ac:dyDescent="0.15">
      <c r="A207" s="10"/>
      <c r="B207" s="13"/>
      <c r="C207" s="13"/>
    </row>
    <row r="208" spans="1:3" ht="13" x14ac:dyDescent="0.15">
      <c r="A208" s="10"/>
      <c r="B208" s="13"/>
      <c r="C208" s="13"/>
    </row>
    <row r="209" spans="1:3" ht="13" x14ac:dyDescent="0.15">
      <c r="A209" s="10"/>
      <c r="B209" s="13"/>
      <c r="C209" s="13"/>
    </row>
    <row r="210" spans="1:3" ht="13" x14ac:dyDescent="0.15">
      <c r="A210" s="10"/>
      <c r="B210" s="13"/>
      <c r="C210" s="13"/>
    </row>
    <row r="211" spans="1:3" ht="13" x14ac:dyDescent="0.15">
      <c r="A211" s="10"/>
      <c r="B211" s="13"/>
      <c r="C211" s="13"/>
    </row>
    <row r="212" spans="1:3" ht="13" x14ac:dyDescent="0.15">
      <c r="A212" s="10"/>
      <c r="B212" s="13"/>
      <c r="C212" s="13"/>
    </row>
    <row r="213" spans="1:3" ht="13" x14ac:dyDescent="0.15">
      <c r="A213" s="10"/>
      <c r="B213" s="13"/>
      <c r="C213" s="13"/>
    </row>
    <row r="214" spans="1:3" ht="13" x14ac:dyDescent="0.15">
      <c r="A214" s="10"/>
      <c r="B214" s="13"/>
      <c r="C214" s="13"/>
    </row>
    <row r="215" spans="1:3" ht="13" x14ac:dyDescent="0.15">
      <c r="A215" s="10"/>
      <c r="B215" s="13"/>
      <c r="C215" s="13"/>
    </row>
    <row r="216" spans="1:3" ht="13" x14ac:dyDescent="0.15">
      <c r="A216" s="10"/>
      <c r="B216" s="13"/>
      <c r="C216" s="13"/>
    </row>
    <row r="217" spans="1:3" ht="13" x14ac:dyDescent="0.15">
      <c r="A217" s="10"/>
      <c r="B217" s="13"/>
      <c r="C217" s="13"/>
    </row>
    <row r="218" spans="1:3" ht="13" x14ac:dyDescent="0.15">
      <c r="A218" s="10"/>
      <c r="B218" s="13"/>
      <c r="C218" s="13"/>
    </row>
    <row r="219" spans="1:3" ht="13" x14ac:dyDescent="0.15">
      <c r="A219" s="10"/>
      <c r="B219" s="13"/>
      <c r="C219" s="13"/>
    </row>
    <row r="220" spans="1:3" ht="13" x14ac:dyDescent="0.15">
      <c r="A220" s="10"/>
      <c r="B220" s="13"/>
      <c r="C220" s="13"/>
    </row>
    <row r="221" spans="1:3" ht="13" x14ac:dyDescent="0.15">
      <c r="A221" s="10"/>
      <c r="B221" s="13"/>
      <c r="C221" s="13"/>
    </row>
    <row r="222" spans="1:3" ht="13" x14ac:dyDescent="0.15">
      <c r="A222" s="10"/>
      <c r="B222" s="13"/>
      <c r="C222" s="13"/>
    </row>
    <row r="223" spans="1:3" ht="13" x14ac:dyDescent="0.15">
      <c r="A223" s="10"/>
      <c r="B223" s="13"/>
      <c r="C223" s="13"/>
    </row>
    <row r="224" spans="1:3" ht="13" x14ac:dyDescent="0.15">
      <c r="A224" s="10"/>
      <c r="B224" s="13"/>
      <c r="C224" s="13"/>
    </row>
    <row r="225" spans="1:3" ht="13" x14ac:dyDescent="0.15">
      <c r="A225" s="10"/>
      <c r="B225" s="13"/>
      <c r="C225" s="13"/>
    </row>
    <row r="226" spans="1:3" ht="13" x14ac:dyDescent="0.15">
      <c r="A226" s="10"/>
      <c r="B226" s="13"/>
      <c r="C226" s="13"/>
    </row>
    <row r="227" spans="1:3" ht="13" x14ac:dyDescent="0.15">
      <c r="A227" s="10"/>
      <c r="B227" s="13"/>
      <c r="C227" s="13"/>
    </row>
    <row r="228" spans="1:3" ht="13" x14ac:dyDescent="0.15">
      <c r="A228" s="10"/>
      <c r="B228" s="13"/>
      <c r="C228" s="13"/>
    </row>
    <row r="229" spans="1:3" ht="13" x14ac:dyDescent="0.15">
      <c r="A229" s="10"/>
      <c r="B229" s="13"/>
      <c r="C229" s="13"/>
    </row>
    <row r="230" spans="1:3" ht="13" x14ac:dyDescent="0.15">
      <c r="A230" s="10"/>
      <c r="B230" s="13"/>
      <c r="C230" s="13"/>
    </row>
    <row r="231" spans="1:3" ht="13" x14ac:dyDescent="0.15">
      <c r="A231" s="10"/>
      <c r="B231" s="13"/>
      <c r="C231" s="13"/>
    </row>
    <row r="232" spans="1:3" ht="13" x14ac:dyDescent="0.15">
      <c r="A232" s="10"/>
      <c r="B232" s="13"/>
      <c r="C232" s="13"/>
    </row>
    <row r="233" spans="1:3" ht="13" x14ac:dyDescent="0.15">
      <c r="A233" s="10"/>
      <c r="B233" s="13"/>
      <c r="C233" s="13"/>
    </row>
    <row r="234" spans="1:3" ht="13" x14ac:dyDescent="0.15">
      <c r="A234" s="10"/>
      <c r="B234" s="13"/>
      <c r="C234" s="13"/>
    </row>
    <row r="235" spans="1:3" ht="13" x14ac:dyDescent="0.15">
      <c r="A235" s="10"/>
      <c r="B235" s="13"/>
      <c r="C235" s="13"/>
    </row>
    <row r="236" spans="1:3" ht="13" x14ac:dyDescent="0.15">
      <c r="A236" s="10"/>
      <c r="B236" s="13"/>
      <c r="C236" s="13"/>
    </row>
    <row r="237" spans="1:3" ht="13" x14ac:dyDescent="0.15">
      <c r="A237" s="10"/>
      <c r="B237" s="13"/>
      <c r="C237" s="13"/>
    </row>
    <row r="238" spans="1:3" ht="13" x14ac:dyDescent="0.15">
      <c r="A238" s="10"/>
      <c r="B238" s="13"/>
      <c r="C238" s="13"/>
    </row>
    <row r="239" spans="1:3" ht="13" x14ac:dyDescent="0.15">
      <c r="A239" s="10"/>
      <c r="B239" s="13"/>
      <c r="C239" s="13"/>
    </row>
    <row r="240" spans="1:3" ht="13" x14ac:dyDescent="0.15">
      <c r="A240" s="10"/>
      <c r="B240" s="13"/>
      <c r="C240" s="13"/>
    </row>
    <row r="241" spans="1:3" ht="13" x14ac:dyDescent="0.15">
      <c r="A241" s="10"/>
      <c r="B241" s="13"/>
      <c r="C241" s="13"/>
    </row>
    <row r="242" spans="1:3" ht="13" x14ac:dyDescent="0.15">
      <c r="A242" s="10"/>
      <c r="B242" s="13"/>
      <c r="C242" s="13"/>
    </row>
    <row r="243" spans="1:3" ht="13" x14ac:dyDescent="0.15">
      <c r="A243" s="10"/>
      <c r="B243" s="13"/>
      <c r="C243" s="13"/>
    </row>
    <row r="244" spans="1:3" ht="13" x14ac:dyDescent="0.15">
      <c r="A244" s="10"/>
      <c r="B244" s="13"/>
      <c r="C244" s="13"/>
    </row>
    <row r="245" spans="1:3" ht="13" x14ac:dyDescent="0.15">
      <c r="A245" s="10"/>
      <c r="B245" s="13"/>
      <c r="C245" s="13"/>
    </row>
    <row r="246" spans="1:3" ht="13" x14ac:dyDescent="0.15">
      <c r="A246" s="10"/>
      <c r="B246" s="13"/>
      <c r="C246" s="13"/>
    </row>
    <row r="247" spans="1:3" ht="13" x14ac:dyDescent="0.15">
      <c r="A247" s="10"/>
      <c r="B247" s="13"/>
      <c r="C247" s="13"/>
    </row>
    <row r="248" spans="1:3" ht="13" x14ac:dyDescent="0.15">
      <c r="A248" s="10"/>
      <c r="B248" s="13"/>
      <c r="C248" s="13"/>
    </row>
    <row r="249" spans="1:3" ht="13" x14ac:dyDescent="0.15">
      <c r="A249" s="10"/>
      <c r="B249" s="13"/>
      <c r="C249" s="13"/>
    </row>
    <row r="250" spans="1:3" ht="13" x14ac:dyDescent="0.15">
      <c r="A250" s="10"/>
      <c r="B250" s="13"/>
      <c r="C250" s="13"/>
    </row>
    <row r="251" spans="1:3" ht="13" x14ac:dyDescent="0.15">
      <c r="A251" s="10"/>
      <c r="B251" s="13"/>
      <c r="C251" s="13"/>
    </row>
    <row r="252" spans="1:3" ht="13" x14ac:dyDescent="0.15">
      <c r="A252" s="10"/>
      <c r="B252" s="13"/>
      <c r="C252" s="13"/>
    </row>
    <row r="253" spans="1:3" ht="13" x14ac:dyDescent="0.15">
      <c r="A253" s="10"/>
      <c r="B253" s="13"/>
      <c r="C253" s="13"/>
    </row>
    <row r="254" spans="1:3" ht="13" x14ac:dyDescent="0.15">
      <c r="A254" s="10"/>
      <c r="B254" s="13"/>
      <c r="C254" s="13"/>
    </row>
    <row r="255" spans="1:3" ht="13" x14ac:dyDescent="0.15">
      <c r="A255" s="10"/>
      <c r="B255" s="13"/>
      <c r="C255" s="13"/>
    </row>
    <row r="256" spans="1:3" ht="13" x14ac:dyDescent="0.15">
      <c r="A256" s="10"/>
      <c r="B256" s="13"/>
      <c r="C256" s="13"/>
    </row>
    <row r="257" spans="1:3" ht="13" x14ac:dyDescent="0.15">
      <c r="A257" s="10"/>
      <c r="B257" s="13"/>
      <c r="C257" s="13"/>
    </row>
    <row r="258" spans="1:3" ht="13" x14ac:dyDescent="0.15">
      <c r="A258" s="10"/>
      <c r="B258" s="13"/>
      <c r="C258" s="13"/>
    </row>
    <row r="259" spans="1:3" ht="13" x14ac:dyDescent="0.15">
      <c r="A259" s="10"/>
      <c r="B259" s="13"/>
      <c r="C259" s="13"/>
    </row>
    <row r="260" spans="1:3" ht="13" x14ac:dyDescent="0.15">
      <c r="A260" s="10"/>
      <c r="B260" s="13"/>
      <c r="C260" s="13"/>
    </row>
    <row r="261" spans="1:3" ht="13" x14ac:dyDescent="0.15">
      <c r="A261" s="10"/>
      <c r="B261" s="13"/>
      <c r="C261" s="13"/>
    </row>
    <row r="262" spans="1:3" ht="13" x14ac:dyDescent="0.15">
      <c r="A262" s="10"/>
      <c r="B262" s="13"/>
      <c r="C262" s="13"/>
    </row>
    <row r="263" spans="1:3" ht="13" x14ac:dyDescent="0.15">
      <c r="A263" s="10"/>
      <c r="B263" s="13"/>
      <c r="C263" s="13"/>
    </row>
    <row r="264" spans="1:3" ht="13" x14ac:dyDescent="0.15">
      <c r="A264" s="10"/>
      <c r="B264" s="13"/>
      <c r="C264" s="13"/>
    </row>
    <row r="265" spans="1:3" ht="13" x14ac:dyDescent="0.15">
      <c r="A265" s="10"/>
      <c r="B265" s="13"/>
      <c r="C265" s="13"/>
    </row>
    <row r="266" spans="1:3" ht="13" x14ac:dyDescent="0.15">
      <c r="A266" s="10"/>
      <c r="B266" s="13"/>
      <c r="C266" s="13"/>
    </row>
    <row r="267" spans="1:3" ht="13" x14ac:dyDescent="0.15">
      <c r="A267" s="10"/>
      <c r="B267" s="13"/>
      <c r="C267" s="13"/>
    </row>
    <row r="268" spans="1:3" ht="13" x14ac:dyDescent="0.15">
      <c r="A268" s="10"/>
      <c r="B268" s="13"/>
      <c r="C268" s="13"/>
    </row>
    <row r="269" spans="1:3" ht="13" x14ac:dyDescent="0.15">
      <c r="A269" s="10"/>
      <c r="B269" s="13"/>
      <c r="C269" s="13"/>
    </row>
    <row r="270" spans="1:3" ht="13" x14ac:dyDescent="0.15">
      <c r="A270" s="10"/>
      <c r="B270" s="13"/>
      <c r="C270" s="13"/>
    </row>
    <row r="271" spans="1:3" ht="13" x14ac:dyDescent="0.15">
      <c r="A271" s="10"/>
      <c r="B271" s="13"/>
      <c r="C271" s="13"/>
    </row>
    <row r="272" spans="1:3" ht="13" x14ac:dyDescent="0.15">
      <c r="A272" s="10"/>
      <c r="B272" s="13"/>
      <c r="C272" s="13"/>
    </row>
    <row r="273" spans="1:3" ht="13" x14ac:dyDescent="0.15">
      <c r="A273" s="10"/>
      <c r="B273" s="13"/>
      <c r="C273" s="13"/>
    </row>
    <row r="274" spans="1:3" ht="13" x14ac:dyDescent="0.15">
      <c r="A274" s="10"/>
      <c r="B274" s="13"/>
      <c r="C274" s="13"/>
    </row>
    <row r="275" spans="1:3" ht="13" x14ac:dyDescent="0.15">
      <c r="A275" s="10"/>
      <c r="B275" s="13"/>
      <c r="C275" s="13"/>
    </row>
    <row r="276" spans="1:3" ht="13" x14ac:dyDescent="0.15">
      <c r="A276" s="10"/>
      <c r="B276" s="13"/>
      <c r="C276" s="13"/>
    </row>
    <row r="277" spans="1:3" ht="13" x14ac:dyDescent="0.15">
      <c r="A277" s="10"/>
      <c r="B277" s="13"/>
      <c r="C277" s="13"/>
    </row>
    <row r="278" spans="1:3" ht="13" x14ac:dyDescent="0.15">
      <c r="A278" s="10"/>
      <c r="B278" s="13"/>
      <c r="C278" s="13"/>
    </row>
    <row r="279" spans="1:3" ht="13" x14ac:dyDescent="0.15">
      <c r="A279" s="10"/>
      <c r="B279" s="13"/>
      <c r="C279" s="13"/>
    </row>
    <row r="280" spans="1:3" ht="13" x14ac:dyDescent="0.15">
      <c r="A280" s="10"/>
      <c r="B280" s="13"/>
      <c r="C280" s="13"/>
    </row>
    <row r="281" spans="1:3" ht="13" x14ac:dyDescent="0.15">
      <c r="A281" s="10"/>
      <c r="B281" s="13"/>
      <c r="C281" s="13"/>
    </row>
    <row r="282" spans="1:3" ht="13" x14ac:dyDescent="0.15">
      <c r="A282" s="10"/>
      <c r="B282" s="13"/>
      <c r="C282" s="13"/>
    </row>
    <row r="283" spans="1:3" ht="13" x14ac:dyDescent="0.15">
      <c r="A283" s="10"/>
      <c r="B283" s="13"/>
      <c r="C283" s="13"/>
    </row>
    <row r="284" spans="1:3" ht="13" x14ac:dyDescent="0.15">
      <c r="A284" s="10"/>
      <c r="B284" s="13"/>
      <c r="C284" s="13"/>
    </row>
    <row r="285" spans="1:3" ht="13" x14ac:dyDescent="0.15">
      <c r="A285" s="10"/>
      <c r="B285" s="13"/>
      <c r="C285" s="13"/>
    </row>
    <row r="286" spans="1:3" ht="13" x14ac:dyDescent="0.15">
      <c r="A286" s="10"/>
      <c r="B286" s="13"/>
      <c r="C286" s="13"/>
    </row>
    <row r="287" spans="1:3" ht="13" x14ac:dyDescent="0.15">
      <c r="A287" s="10"/>
      <c r="B287" s="13"/>
      <c r="C287" s="13"/>
    </row>
    <row r="288" spans="1:3" ht="13" x14ac:dyDescent="0.15">
      <c r="A288" s="10"/>
      <c r="B288" s="13"/>
      <c r="C288" s="13"/>
    </row>
    <row r="289" spans="1:3" ht="13" x14ac:dyDescent="0.15">
      <c r="A289" s="10"/>
      <c r="B289" s="13"/>
      <c r="C289" s="13"/>
    </row>
    <row r="290" spans="1:3" ht="13" x14ac:dyDescent="0.15">
      <c r="A290" s="10"/>
      <c r="B290" s="13"/>
      <c r="C290" s="13"/>
    </row>
    <row r="291" spans="1:3" ht="13" x14ac:dyDescent="0.15">
      <c r="A291" s="10"/>
      <c r="B291" s="13"/>
      <c r="C291" s="13"/>
    </row>
    <row r="292" spans="1:3" ht="13" x14ac:dyDescent="0.15">
      <c r="A292" s="10"/>
      <c r="B292" s="13"/>
      <c r="C292" s="13"/>
    </row>
    <row r="293" spans="1:3" ht="13" x14ac:dyDescent="0.15">
      <c r="A293" s="10"/>
      <c r="B293" s="13"/>
      <c r="C293" s="13"/>
    </row>
    <row r="294" spans="1:3" ht="13" x14ac:dyDescent="0.15">
      <c r="A294" s="10"/>
      <c r="B294" s="13"/>
      <c r="C294" s="13"/>
    </row>
    <row r="295" spans="1:3" ht="13" x14ac:dyDescent="0.15">
      <c r="A295" s="10"/>
      <c r="B295" s="13"/>
      <c r="C295" s="13"/>
    </row>
    <row r="296" spans="1:3" ht="13" x14ac:dyDescent="0.15">
      <c r="A296" s="10"/>
      <c r="B296" s="13"/>
      <c r="C296" s="13"/>
    </row>
    <row r="297" spans="1:3" ht="13" x14ac:dyDescent="0.15">
      <c r="A297" s="10"/>
      <c r="B297" s="13"/>
      <c r="C297" s="13"/>
    </row>
    <row r="298" spans="1:3" ht="13" x14ac:dyDescent="0.15">
      <c r="A298" s="10"/>
      <c r="B298" s="13"/>
      <c r="C298" s="13"/>
    </row>
    <row r="299" spans="1:3" ht="13" x14ac:dyDescent="0.15">
      <c r="A299" s="10"/>
      <c r="B299" s="13"/>
      <c r="C299" s="13"/>
    </row>
    <row r="300" spans="1:3" ht="13" x14ac:dyDescent="0.15">
      <c r="A300" s="10"/>
      <c r="B300" s="13"/>
      <c r="C300" s="13"/>
    </row>
    <row r="301" spans="1:3" ht="13" x14ac:dyDescent="0.15">
      <c r="A301" s="10"/>
      <c r="B301" s="13"/>
      <c r="C301" s="13"/>
    </row>
    <row r="302" spans="1:3" ht="13" x14ac:dyDescent="0.15">
      <c r="A302" s="10"/>
      <c r="B302" s="13"/>
      <c r="C302" s="13"/>
    </row>
    <row r="303" spans="1:3" ht="13" x14ac:dyDescent="0.15">
      <c r="A303" s="10"/>
      <c r="B303" s="13"/>
      <c r="C303" s="13"/>
    </row>
    <row r="304" spans="1:3" ht="13" x14ac:dyDescent="0.15">
      <c r="A304" s="10"/>
      <c r="B304" s="13"/>
      <c r="C304" s="13"/>
    </row>
    <row r="305" spans="1:3" ht="13" x14ac:dyDescent="0.15">
      <c r="A305" s="10"/>
      <c r="B305" s="13"/>
      <c r="C305" s="13"/>
    </row>
    <row r="306" spans="1:3" ht="13" x14ac:dyDescent="0.15">
      <c r="A306" s="10"/>
      <c r="B306" s="13"/>
      <c r="C306" s="13"/>
    </row>
    <row r="307" spans="1:3" ht="13" x14ac:dyDescent="0.15">
      <c r="A307" s="10"/>
      <c r="B307" s="13"/>
      <c r="C307" s="13"/>
    </row>
    <row r="308" spans="1:3" ht="13" x14ac:dyDescent="0.15">
      <c r="A308" s="10"/>
      <c r="B308" s="13"/>
      <c r="C308" s="13"/>
    </row>
    <row r="309" spans="1:3" ht="13" x14ac:dyDescent="0.15">
      <c r="A309" s="10"/>
      <c r="B309" s="13"/>
      <c r="C309" s="13"/>
    </row>
    <row r="310" spans="1:3" ht="13" x14ac:dyDescent="0.15">
      <c r="A310" s="10"/>
      <c r="B310" s="13"/>
      <c r="C310" s="13"/>
    </row>
    <row r="311" spans="1:3" ht="13" x14ac:dyDescent="0.15">
      <c r="A311" s="10"/>
      <c r="B311" s="13"/>
      <c r="C311" s="13"/>
    </row>
    <row r="312" spans="1:3" ht="13" x14ac:dyDescent="0.15">
      <c r="A312" s="10"/>
      <c r="B312" s="13"/>
      <c r="C312" s="13"/>
    </row>
    <row r="313" spans="1:3" ht="13" x14ac:dyDescent="0.15">
      <c r="A313" s="10"/>
      <c r="B313" s="13"/>
      <c r="C313" s="13"/>
    </row>
    <row r="314" spans="1:3" ht="13" x14ac:dyDescent="0.15">
      <c r="A314" s="10"/>
      <c r="B314" s="13"/>
      <c r="C314" s="13"/>
    </row>
    <row r="315" spans="1:3" ht="13" x14ac:dyDescent="0.15">
      <c r="A315" s="10"/>
      <c r="B315" s="13"/>
      <c r="C315" s="13"/>
    </row>
    <row r="316" spans="1:3" ht="13" x14ac:dyDescent="0.15">
      <c r="A316" s="10"/>
      <c r="B316" s="13"/>
      <c r="C316" s="13"/>
    </row>
    <row r="317" spans="1:3" ht="13" x14ac:dyDescent="0.15">
      <c r="A317" s="10"/>
      <c r="B317" s="13"/>
      <c r="C317" s="13"/>
    </row>
    <row r="318" spans="1:3" ht="13" x14ac:dyDescent="0.15">
      <c r="A318" s="10"/>
      <c r="B318" s="13"/>
      <c r="C318" s="13"/>
    </row>
    <row r="319" spans="1:3" ht="13" x14ac:dyDescent="0.15">
      <c r="A319" s="10"/>
      <c r="B319" s="13"/>
      <c r="C319" s="13"/>
    </row>
    <row r="320" spans="1:3" ht="13" x14ac:dyDescent="0.15">
      <c r="A320" s="10"/>
      <c r="B320" s="13"/>
      <c r="C320" s="13"/>
    </row>
    <row r="321" spans="1:3" ht="13" x14ac:dyDescent="0.15">
      <c r="A321" s="10"/>
      <c r="B321" s="13"/>
      <c r="C321" s="13"/>
    </row>
    <row r="322" spans="1:3" ht="13" x14ac:dyDescent="0.15">
      <c r="A322" s="10"/>
      <c r="B322" s="13"/>
      <c r="C322" s="13"/>
    </row>
    <row r="323" spans="1:3" ht="13" x14ac:dyDescent="0.15">
      <c r="A323" s="10"/>
      <c r="B323" s="13"/>
      <c r="C323" s="13"/>
    </row>
    <row r="324" spans="1:3" ht="13" x14ac:dyDescent="0.15">
      <c r="A324" s="10"/>
      <c r="B324" s="13"/>
      <c r="C324" s="13"/>
    </row>
    <row r="325" spans="1:3" ht="13" x14ac:dyDescent="0.15">
      <c r="A325" s="10"/>
      <c r="B325" s="13"/>
      <c r="C325" s="13"/>
    </row>
    <row r="326" spans="1:3" ht="13" x14ac:dyDescent="0.15">
      <c r="A326" s="10"/>
      <c r="B326" s="13"/>
      <c r="C326" s="13"/>
    </row>
    <row r="327" spans="1:3" ht="13" x14ac:dyDescent="0.15">
      <c r="A327" s="10"/>
      <c r="B327" s="13"/>
      <c r="C327" s="13"/>
    </row>
    <row r="328" spans="1:3" ht="13" x14ac:dyDescent="0.15">
      <c r="A328" s="10"/>
      <c r="B328" s="13"/>
      <c r="C328" s="13"/>
    </row>
    <row r="329" spans="1:3" ht="13" x14ac:dyDescent="0.15">
      <c r="A329" s="10"/>
      <c r="B329" s="13"/>
      <c r="C329" s="13"/>
    </row>
    <row r="330" spans="1:3" ht="13" x14ac:dyDescent="0.15">
      <c r="A330" s="10"/>
      <c r="B330" s="13"/>
      <c r="C330" s="13"/>
    </row>
    <row r="331" spans="1:3" ht="13" x14ac:dyDescent="0.15">
      <c r="A331" s="10"/>
      <c r="B331" s="13"/>
      <c r="C331" s="13"/>
    </row>
    <row r="332" spans="1:3" ht="13" x14ac:dyDescent="0.15">
      <c r="A332" s="10"/>
      <c r="B332" s="13"/>
      <c r="C332" s="13"/>
    </row>
    <row r="333" spans="1:3" ht="13" x14ac:dyDescent="0.15">
      <c r="A333" s="10"/>
      <c r="B333" s="13"/>
      <c r="C333" s="13"/>
    </row>
    <row r="334" spans="1:3" ht="13" x14ac:dyDescent="0.15">
      <c r="A334" s="10"/>
      <c r="B334" s="13"/>
      <c r="C334" s="13"/>
    </row>
    <row r="335" spans="1:3" ht="13" x14ac:dyDescent="0.15">
      <c r="A335" s="10"/>
      <c r="B335" s="13"/>
      <c r="C335" s="13"/>
    </row>
    <row r="336" spans="1:3" ht="13" x14ac:dyDescent="0.15">
      <c r="A336" s="10"/>
      <c r="B336" s="13"/>
      <c r="C336" s="13"/>
    </row>
    <row r="337" spans="1:3" ht="13" x14ac:dyDescent="0.15">
      <c r="A337" s="10"/>
      <c r="B337" s="13"/>
      <c r="C337" s="13"/>
    </row>
    <row r="338" spans="1:3" ht="13" x14ac:dyDescent="0.15">
      <c r="A338" s="10"/>
      <c r="B338" s="13"/>
      <c r="C338" s="13"/>
    </row>
    <row r="339" spans="1:3" ht="13" x14ac:dyDescent="0.15">
      <c r="A339" s="10"/>
      <c r="B339" s="13"/>
      <c r="C339" s="13"/>
    </row>
    <row r="340" spans="1:3" ht="13" x14ac:dyDescent="0.15">
      <c r="A340" s="10"/>
      <c r="B340" s="13"/>
      <c r="C340" s="13"/>
    </row>
    <row r="341" spans="1:3" ht="13" x14ac:dyDescent="0.15">
      <c r="A341" s="10"/>
      <c r="B341" s="13"/>
      <c r="C341" s="13"/>
    </row>
    <row r="342" spans="1:3" ht="13" x14ac:dyDescent="0.15">
      <c r="A342" s="10"/>
      <c r="B342" s="13"/>
      <c r="C342" s="13"/>
    </row>
    <row r="343" spans="1:3" ht="13" x14ac:dyDescent="0.15">
      <c r="A343" s="10"/>
      <c r="B343" s="13"/>
      <c r="C343" s="13"/>
    </row>
    <row r="344" spans="1:3" ht="13" x14ac:dyDescent="0.15">
      <c r="A344" s="10"/>
      <c r="B344" s="13"/>
      <c r="C344" s="13"/>
    </row>
    <row r="345" spans="1:3" ht="13" x14ac:dyDescent="0.15">
      <c r="A345" s="10"/>
      <c r="B345" s="13"/>
      <c r="C345" s="13"/>
    </row>
    <row r="346" spans="1:3" ht="13" x14ac:dyDescent="0.15">
      <c r="A346" s="10"/>
      <c r="B346" s="13"/>
      <c r="C346" s="13"/>
    </row>
    <row r="347" spans="1:3" ht="13" x14ac:dyDescent="0.15">
      <c r="A347" s="10"/>
      <c r="B347" s="13"/>
      <c r="C347" s="13"/>
    </row>
    <row r="348" spans="1:3" ht="13" x14ac:dyDescent="0.15">
      <c r="A348" s="10"/>
      <c r="B348" s="13"/>
      <c r="C348" s="13"/>
    </row>
    <row r="349" spans="1:3" ht="13" x14ac:dyDescent="0.15">
      <c r="A349" s="10"/>
      <c r="B349" s="13"/>
      <c r="C349" s="13"/>
    </row>
    <row r="350" spans="1:3" ht="13" x14ac:dyDescent="0.15">
      <c r="A350" s="10"/>
      <c r="B350" s="13"/>
      <c r="C350" s="13"/>
    </row>
    <row r="351" spans="1:3" ht="13" x14ac:dyDescent="0.15">
      <c r="A351" s="10"/>
      <c r="B351" s="13"/>
      <c r="C351" s="13"/>
    </row>
    <row r="352" spans="1:3" ht="13" x14ac:dyDescent="0.15">
      <c r="A352" s="10"/>
      <c r="B352" s="13"/>
      <c r="C352" s="13"/>
    </row>
    <row r="353" spans="1:3" ht="13" x14ac:dyDescent="0.15">
      <c r="A353" s="10"/>
      <c r="B353" s="13"/>
      <c r="C353" s="13"/>
    </row>
    <row r="354" spans="1:3" ht="13" x14ac:dyDescent="0.15">
      <c r="A354" s="10"/>
      <c r="B354" s="13"/>
      <c r="C354" s="13"/>
    </row>
    <row r="355" spans="1:3" ht="13" x14ac:dyDescent="0.15">
      <c r="A355" s="10"/>
      <c r="B355" s="13"/>
      <c r="C355" s="13"/>
    </row>
    <row r="356" spans="1:3" ht="13" x14ac:dyDescent="0.15">
      <c r="A356" s="10"/>
      <c r="B356" s="13"/>
      <c r="C356" s="13"/>
    </row>
    <row r="357" spans="1:3" ht="13" x14ac:dyDescent="0.15">
      <c r="A357" s="10"/>
      <c r="B357" s="13"/>
      <c r="C357" s="13"/>
    </row>
    <row r="358" spans="1:3" ht="13" x14ac:dyDescent="0.15">
      <c r="A358" s="10"/>
      <c r="B358" s="13"/>
      <c r="C358" s="13"/>
    </row>
    <row r="359" spans="1:3" ht="13" x14ac:dyDescent="0.15">
      <c r="A359" s="10"/>
      <c r="B359" s="13"/>
      <c r="C359" s="13"/>
    </row>
    <row r="360" spans="1:3" ht="13" x14ac:dyDescent="0.15">
      <c r="A360" s="10"/>
      <c r="B360" s="13"/>
      <c r="C360" s="13"/>
    </row>
    <row r="361" spans="1:3" ht="13" x14ac:dyDescent="0.15">
      <c r="A361" s="10"/>
      <c r="B361" s="13"/>
      <c r="C361" s="13"/>
    </row>
    <row r="362" spans="1:3" ht="13" x14ac:dyDescent="0.15">
      <c r="A362" s="10"/>
      <c r="B362" s="13"/>
      <c r="C362" s="13"/>
    </row>
    <row r="363" spans="1:3" ht="13" x14ac:dyDescent="0.15">
      <c r="A363" s="10"/>
      <c r="B363" s="13"/>
      <c r="C363" s="13"/>
    </row>
    <row r="364" spans="1:3" ht="13" x14ac:dyDescent="0.15">
      <c r="A364" s="10"/>
      <c r="B364" s="13"/>
      <c r="C364" s="13"/>
    </row>
    <row r="365" spans="1:3" ht="13" x14ac:dyDescent="0.15">
      <c r="A365" s="10"/>
      <c r="B365" s="13"/>
      <c r="C365" s="13"/>
    </row>
    <row r="366" spans="1:3" ht="13" x14ac:dyDescent="0.15">
      <c r="A366" s="10"/>
      <c r="B366" s="13"/>
      <c r="C366" s="13"/>
    </row>
    <row r="367" spans="1:3" ht="13" x14ac:dyDescent="0.15">
      <c r="A367" s="10"/>
      <c r="B367" s="13"/>
      <c r="C367" s="13"/>
    </row>
    <row r="368" spans="1:3" ht="13" x14ac:dyDescent="0.15">
      <c r="A368" s="10"/>
      <c r="B368" s="13"/>
      <c r="C368" s="13"/>
    </row>
    <row r="369" spans="1:3" ht="13" x14ac:dyDescent="0.15">
      <c r="A369" s="10"/>
      <c r="B369" s="13"/>
      <c r="C369" s="13"/>
    </row>
    <row r="370" spans="1:3" ht="13" x14ac:dyDescent="0.15">
      <c r="A370" s="10"/>
      <c r="B370" s="13"/>
      <c r="C370" s="13"/>
    </row>
    <row r="371" spans="1:3" ht="13" x14ac:dyDescent="0.15">
      <c r="A371" s="10"/>
      <c r="B371" s="13"/>
      <c r="C371" s="13"/>
    </row>
    <row r="372" spans="1:3" ht="13" x14ac:dyDescent="0.15">
      <c r="A372" s="10"/>
      <c r="B372" s="13"/>
      <c r="C372" s="13"/>
    </row>
    <row r="373" spans="1:3" ht="13" x14ac:dyDescent="0.15">
      <c r="A373" s="10"/>
      <c r="B373" s="13"/>
      <c r="C373" s="13"/>
    </row>
    <row r="374" spans="1:3" ht="13" x14ac:dyDescent="0.15">
      <c r="A374" s="10"/>
      <c r="B374" s="13"/>
      <c r="C374" s="13"/>
    </row>
    <row r="375" spans="1:3" ht="13" x14ac:dyDescent="0.15">
      <c r="A375" s="10"/>
      <c r="B375" s="13"/>
      <c r="C375" s="13"/>
    </row>
    <row r="376" spans="1:3" ht="13" x14ac:dyDescent="0.15">
      <c r="A376" s="10"/>
      <c r="B376" s="13"/>
      <c r="C376" s="13"/>
    </row>
    <row r="377" spans="1:3" ht="13" x14ac:dyDescent="0.15">
      <c r="A377" s="10"/>
      <c r="B377" s="13"/>
      <c r="C377" s="13"/>
    </row>
    <row r="378" spans="1:3" ht="13" x14ac:dyDescent="0.15">
      <c r="A378" s="10"/>
      <c r="B378" s="13"/>
      <c r="C378" s="13"/>
    </row>
    <row r="379" spans="1:3" ht="13" x14ac:dyDescent="0.15">
      <c r="A379" s="10"/>
      <c r="B379" s="13"/>
      <c r="C379" s="13"/>
    </row>
    <row r="380" spans="1:3" ht="13" x14ac:dyDescent="0.15">
      <c r="A380" s="10"/>
      <c r="B380" s="13"/>
      <c r="C380" s="13"/>
    </row>
    <row r="381" spans="1:3" ht="13" x14ac:dyDescent="0.15">
      <c r="A381" s="10"/>
      <c r="B381" s="13"/>
      <c r="C381" s="13"/>
    </row>
    <row r="382" spans="1:3" ht="13" x14ac:dyDescent="0.15">
      <c r="A382" s="10"/>
      <c r="B382" s="13"/>
      <c r="C382" s="13"/>
    </row>
    <row r="383" spans="1:3" ht="13" x14ac:dyDescent="0.15">
      <c r="A383" s="10"/>
      <c r="B383" s="13"/>
      <c r="C383" s="13"/>
    </row>
    <row r="384" spans="1:3" ht="13" x14ac:dyDescent="0.15">
      <c r="A384" s="10"/>
      <c r="B384" s="13"/>
      <c r="C384" s="13"/>
    </row>
    <row r="385" spans="1:3" ht="13" x14ac:dyDescent="0.15">
      <c r="A385" s="10"/>
      <c r="B385" s="13"/>
      <c r="C385" s="13"/>
    </row>
    <row r="386" spans="1:3" ht="13" x14ac:dyDescent="0.15">
      <c r="A386" s="10"/>
      <c r="B386" s="13"/>
      <c r="C386" s="13"/>
    </row>
    <row r="387" spans="1:3" ht="13" x14ac:dyDescent="0.15">
      <c r="A387" s="10"/>
      <c r="B387" s="13"/>
      <c r="C387" s="13"/>
    </row>
    <row r="388" spans="1:3" ht="13" x14ac:dyDescent="0.15">
      <c r="A388" s="10"/>
      <c r="B388" s="13"/>
      <c r="C388" s="13"/>
    </row>
    <row r="389" spans="1:3" ht="13" x14ac:dyDescent="0.15">
      <c r="A389" s="10"/>
      <c r="B389" s="13"/>
      <c r="C389" s="13"/>
    </row>
    <row r="390" spans="1:3" ht="13" x14ac:dyDescent="0.15">
      <c r="A390" s="10"/>
      <c r="B390" s="13"/>
      <c r="C390" s="13"/>
    </row>
    <row r="391" spans="1:3" ht="13" x14ac:dyDescent="0.15">
      <c r="A391" s="10"/>
      <c r="B391" s="13"/>
      <c r="C391" s="13"/>
    </row>
    <row r="392" spans="1:3" ht="13" x14ac:dyDescent="0.15">
      <c r="A392" s="10"/>
      <c r="B392" s="13"/>
      <c r="C392" s="13"/>
    </row>
    <row r="393" spans="1:3" ht="13" x14ac:dyDescent="0.15">
      <c r="A393" s="10"/>
      <c r="B393" s="13"/>
      <c r="C393" s="13"/>
    </row>
    <row r="394" spans="1:3" ht="13" x14ac:dyDescent="0.15">
      <c r="A394" s="10"/>
      <c r="B394" s="13"/>
      <c r="C394" s="13"/>
    </row>
    <row r="395" spans="1:3" ht="13" x14ac:dyDescent="0.15">
      <c r="A395" s="10"/>
      <c r="B395" s="13"/>
      <c r="C395" s="13"/>
    </row>
    <row r="396" spans="1:3" ht="13" x14ac:dyDescent="0.15">
      <c r="A396" s="10"/>
      <c r="B396" s="13"/>
      <c r="C396" s="13"/>
    </row>
    <row r="397" spans="1:3" ht="13" x14ac:dyDescent="0.15">
      <c r="A397" s="10"/>
      <c r="B397" s="13"/>
      <c r="C397" s="13"/>
    </row>
    <row r="398" spans="1:3" ht="13" x14ac:dyDescent="0.15">
      <c r="A398" s="10"/>
      <c r="B398" s="13"/>
      <c r="C398" s="13"/>
    </row>
    <row r="399" spans="1:3" ht="13" x14ac:dyDescent="0.15">
      <c r="A399" s="10"/>
      <c r="B399" s="13"/>
      <c r="C399" s="13"/>
    </row>
    <row r="400" spans="1:3" ht="13" x14ac:dyDescent="0.15">
      <c r="A400" s="10"/>
      <c r="B400" s="13"/>
      <c r="C400" s="13"/>
    </row>
    <row r="401" spans="1:3" ht="13" x14ac:dyDescent="0.15">
      <c r="A401" s="10"/>
      <c r="B401" s="13"/>
      <c r="C401" s="13"/>
    </row>
    <row r="402" spans="1:3" ht="13" x14ac:dyDescent="0.15">
      <c r="A402" s="10"/>
      <c r="B402" s="13"/>
      <c r="C402" s="13"/>
    </row>
    <row r="403" spans="1:3" ht="13" x14ac:dyDescent="0.15">
      <c r="A403" s="10"/>
      <c r="B403" s="13"/>
      <c r="C403" s="13"/>
    </row>
    <row r="404" spans="1:3" ht="13" x14ac:dyDescent="0.15">
      <c r="A404" s="10"/>
      <c r="B404" s="13"/>
      <c r="C404" s="13"/>
    </row>
    <row r="405" spans="1:3" ht="13" x14ac:dyDescent="0.15">
      <c r="A405" s="10"/>
      <c r="B405" s="13"/>
      <c r="C405" s="13"/>
    </row>
    <row r="406" spans="1:3" ht="13" x14ac:dyDescent="0.15">
      <c r="A406" s="10"/>
      <c r="B406" s="13"/>
      <c r="C406" s="13"/>
    </row>
    <row r="407" spans="1:3" ht="13" x14ac:dyDescent="0.15">
      <c r="A407" s="10"/>
      <c r="B407" s="13"/>
      <c r="C407" s="13"/>
    </row>
    <row r="408" spans="1:3" ht="13" x14ac:dyDescent="0.15">
      <c r="A408" s="10"/>
      <c r="B408" s="13"/>
      <c r="C408" s="13"/>
    </row>
    <row r="409" spans="1:3" ht="13" x14ac:dyDescent="0.15">
      <c r="A409" s="10"/>
      <c r="B409" s="13"/>
      <c r="C409" s="13"/>
    </row>
    <row r="410" spans="1:3" ht="13" x14ac:dyDescent="0.15">
      <c r="A410" s="10"/>
      <c r="B410" s="13"/>
      <c r="C410" s="13"/>
    </row>
    <row r="411" spans="1:3" ht="13" x14ac:dyDescent="0.15">
      <c r="A411" s="10"/>
      <c r="B411" s="13"/>
      <c r="C411" s="13"/>
    </row>
    <row r="412" spans="1:3" ht="13" x14ac:dyDescent="0.15">
      <c r="A412" s="10"/>
      <c r="B412" s="13"/>
      <c r="C412" s="13"/>
    </row>
    <row r="413" spans="1:3" ht="13" x14ac:dyDescent="0.15">
      <c r="A413" s="10"/>
      <c r="B413" s="13"/>
      <c r="C413" s="13"/>
    </row>
    <row r="414" spans="1:3" ht="13" x14ac:dyDescent="0.15">
      <c r="A414" s="10"/>
      <c r="B414" s="13"/>
      <c r="C414" s="13"/>
    </row>
    <row r="415" spans="1:3" ht="13" x14ac:dyDescent="0.15">
      <c r="A415" s="10"/>
      <c r="B415" s="13"/>
      <c r="C415" s="13"/>
    </row>
    <row r="416" spans="1:3" ht="13" x14ac:dyDescent="0.15">
      <c r="A416" s="10"/>
      <c r="B416" s="13"/>
      <c r="C416" s="13"/>
    </row>
    <row r="417" spans="1:3" ht="13" x14ac:dyDescent="0.15">
      <c r="A417" s="10"/>
      <c r="B417" s="13"/>
      <c r="C417" s="13"/>
    </row>
    <row r="418" spans="1:3" ht="13" x14ac:dyDescent="0.15">
      <c r="A418" s="10"/>
      <c r="B418" s="13"/>
      <c r="C418" s="13"/>
    </row>
    <row r="419" spans="1:3" ht="13" x14ac:dyDescent="0.15">
      <c r="A419" s="10"/>
      <c r="B419" s="13"/>
      <c r="C419" s="13"/>
    </row>
    <row r="420" spans="1:3" ht="13" x14ac:dyDescent="0.15">
      <c r="A420" s="10"/>
      <c r="B420" s="13"/>
      <c r="C420" s="13"/>
    </row>
    <row r="421" spans="1:3" ht="13" x14ac:dyDescent="0.15">
      <c r="A421" s="10"/>
      <c r="B421" s="13"/>
      <c r="C421" s="13"/>
    </row>
    <row r="422" spans="1:3" ht="13" x14ac:dyDescent="0.15">
      <c r="A422" s="10"/>
      <c r="B422" s="13"/>
      <c r="C422" s="13"/>
    </row>
    <row r="423" spans="1:3" ht="13" x14ac:dyDescent="0.15">
      <c r="A423" s="10"/>
      <c r="B423" s="13"/>
      <c r="C423" s="13"/>
    </row>
    <row r="424" spans="1:3" ht="13" x14ac:dyDescent="0.15">
      <c r="A424" s="10"/>
      <c r="B424" s="13"/>
      <c r="C424" s="13"/>
    </row>
    <row r="425" spans="1:3" ht="13" x14ac:dyDescent="0.15">
      <c r="A425" s="10"/>
      <c r="B425" s="13"/>
      <c r="C425" s="13"/>
    </row>
    <row r="426" spans="1:3" ht="13" x14ac:dyDescent="0.15">
      <c r="A426" s="10"/>
      <c r="B426" s="13"/>
      <c r="C426" s="13"/>
    </row>
    <row r="427" spans="1:3" ht="13" x14ac:dyDescent="0.15">
      <c r="A427" s="10"/>
      <c r="B427" s="13"/>
      <c r="C427" s="13"/>
    </row>
    <row r="428" spans="1:3" ht="13" x14ac:dyDescent="0.15">
      <c r="A428" s="10"/>
      <c r="B428" s="13"/>
      <c r="C428" s="13"/>
    </row>
    <row r="429" spans="1:3" ht="13" x14ac:dyDescent="0.15">
      <c r="A429" s="10"/>
      <c r="B429" s="13"/>
      <c r="C429" s="13"/>
    </row>
    <row r="430" spans="1:3" ht="13" x14ac:dyDescent="0.15">
      <c r="A430" s="10"/>
      <c r="B430" s="13"/>
      <c r="C430" s="13"/>
    </row>
    <row r="431" spans="1:3" ht="13" x14ac:dyDescent="0.15">
      <c r="A431" s="10"/>
      <c r="B431" s="13"/>
      <c r="C431" s="13"/>
    </row>
    <row r="432" spans="1:3" ht="13" x14ac:dyDescent="0.15">
      <c r="A432" s="10"/>
      <c r="B432" s="13"/>
      <c r="C432" s="13"/>
    </row>
    <row r="433" spans="1:3" ht="13" x14ac:dyDescent="0.15">
      <c r="A433" s="10"/>
      <c r="B433" s="13"/>
      <c r="C433" s="13"/>
    </row>
    <row r="434" spans="1:3" ht="13" x14ac:dyDescent="0.15">
      <c r="A434" s="10"/>
      <c r="B434" s="13"/>
      <c r="C434" s="13"/>
    </row>
    <row r="435" spans="1:3" ht="13" x14ac:dyDescent="0.15">
      <c r="A435" s="10"/>
      <c r="B435" s="13"/>
      <c r="C435" s="13"/>
    </row>
    <row r="436" spans="1:3" ht="13" x14ac:dyDescent="0.15">
      <c r="A436" s="10"/>
      <c r="B436" s="13"/>
      <c r="C436" s="13"/>
    </row>
    <row r="437" spans="1:3" ht="13" x14ac:dyDescent="0.15">
      <c r="A437" s="10"/>
      <c r="B437" s="13"/>
      <c r="C437" s="13"/>
    </row>
    <row r="438" spans="1:3" ht="13" x14ac:dyDescent="0.15">
      <c r="A438" s="10"/>
      <c r="B438" s="13"/>
      <c r="C438" s="13"/>
    </row>
    <row r="439" spans="1:3" ht="13" x14ac:dyDescent="0.15">
      <c r="A439" s="10"/>
      <c r="B439" s="13"/>
      <c r="C439" s="13"/>
    </row>
    <row r="440" spans="1:3" ht="13" x14ac:dyDescent="0.15">
      <c r="A440" s="10"/>
      <c r="B440" s="13"/>
      <c r="C440" s="13"/>
    </row>
    <row r="441" spans="1:3" ht="13" x14ac:dyDescent="0.15">
      <c r="A441" s="10"/>
      <c r="B441" s="13"/>
      <c r="C441" s="13"/>
    </row>
    <row r="442" spans="1:3" ht="13" x14ac:dyDescent="0.15">
      <c r="A442" s="10"/>
      <c r="B442" s="13"/>
      <c r="C442" s="13"/>
    </row>
    <row r="443" spans="1:3" ht="13" x14ac:dyDescent="0.15">
      <c r="A443" s="10"/>
      <c r="B443" s="13"/>
      <c r="C443" s="13"/>
    </row>
    <row r="444" spans="1:3" ht="13" x14ac:dyDescent="0.15">
      <c r="A444" s="10"/>
      <c r="B444" s="13"/>
      <c r="C444" s="13"/>
    </row>
    <row r="445" spans="1:3" ht="13" x14ac:dyDescent="0.15">
      <c r="A445" s="10"/>
      <c r="B445" s="13"/>
      <c r="C445" s="13"/>
    </row>
    <row r="446" spans="1:3" ht="13" x14ac:dyDescent="0.15">
      <c r="A446" s="10"/>
      <c r="B446" s="13"/>
      <c r="C446" s="13"/>
    </row>
    <row r="447" spans="1:3" ht="13" x14ac:dyDescent="0.15">
      <c r="A447" s="10"/>
      <c r="B447" s="13"/>
      <c r="C447" s="13"/>
    </row>
    <row r="448" spans="1:3" ht="13" x14ac:dyDescent="0.15">
      <c r="A448" s="10"/>
      <c r="B448" s="13"/>
      <c r="C448" s="13"/>
    </row>
    <row r="449" spans="1:3" ht="13" x14ac:dyDescent="0.15">
      <c r="A449" s="10"/>
      <c r="B449" s="13"/>
      <c r="C449" s="13"/>
    </row>
    <row r="450" spans="1:3" ht="13" x14ac:dyDescent="0.15">
      <c r="A450" s="10"/>
      <c r="B450" s="13"/>
      <c r="C450" s="13"/>
    </row>
    <row r="451" spans="1:3" ht="13" x14ac:dyDescent="0.15">
      <c r="A451" s="10"/>
      <c r="B451" s="13"/>
      <c r="C451" s="13"/>
    </row>
    <row r="452" spans="1:3" ht="13" x14ac:dyDescent="0.15">
      <c r="A452" s="10"/>
      <c r="B452" s="13"/>
      <c r="C452" s="13"/>
    </row>
    <row r="453" spans="1:3" ht="13" x14ac:dyDescent="0.15">
      <c r="A453" s="10"/>
      <c r="B453" s="13"/>
      <c r="C453" s="13"/>
    </row>
    <row r="454" spans="1:3" ht="13" x14ac:dyDescent="0.15">
      <c r="A454" s="10"/>
      <c r="B454" s="13"/>
      <c r="C454" s="13"/>
    </row>
    <row r="455" spans="1:3" ht="13" x14ac:dyDescent="0.15">
      <c r="A455" s="10"/>
      <c r="B455" s="13"/>
      <c r="C455" s="13"/>
    </row>
    <row r="456" spans="1:3" ht="13" x14ac:dyDescent="0.15">
      <c r="A456" s="10"/>
      <c r="B456" s="13"/>
      <c r="C456" s="13"/>
    </row>
    <row r="457" spans="1:3" ht="13" x14ac:dyDescent="0.15">
      <c r="A457" s="10"/>
      <c r="B457" s="13"/>
      <c r="C457" s="13"/>
    </row>
    <row r="458" spans="1:3" ht="13" x14ac:dyDescent="0.15">
      <c r="A458" s="10"/>
      <c r="B458" s="13"/>
      <c r="C458" s="13"/>
    </row>
    <row r="459" spans="1:3" ht="13" x14ac:dyDescent="0.15">
      <c r="A459" s="10"/>
      <c r="B459" s="13"/>
      <c r="C459" s="13"/>
    </row>
    <row r="460" spans="1:3" ht="13" x14ac:dyDescent="0.15">
      <c r="A460" s="10"/>
      <c r="B460" s="13"/>
      <c r="C460" s="13"/>
    </row>
    <row r="461" spans="1:3" ht="13" x14ac:dyDescent="0.15">
      <c r="A461" s="10"/>
      <c r="B461" s="13"/>
      <c r="C461" s="13"/>
    </row>
    <row r="462" spans="1:3" ht="13" x14ac:dyDescent="0.15">
      <c r="A462" s="10"/>
      <c r="B462" s="13"/>
      <c r="C462" s="13"/>
    </row>
    <row r="463" spans="1:3" ht="13" x14ac:dyDescent="0.15">
      <c r="A463" s="10"/>
      <c r="B463" s="13"/>
      <c r="C463" s="13"/>
    </row>
    <row r="464" spans="1:3" ht="13" x14ac:dyDescent="0.15">
      <c r="A464" s="10"/>
      <c r="B464" s="13"/>
      <c r="C464" s="13"/>
    </row>
    <row r="465" spans="1:3" ht="13" x14ac:dyDescent="0.15">
      <c r="A465" s="10"/>
      <c r="B465" s="13"/>
      <c r="C465" s="13"/>
    </row>
    <row r="466" spans="1:3" ht="13" x14ac:dyDescent="0.15">
      <c r="A466" s="10"/>
      <c r="B466" s="13"/>
      <c r="C466" s="13"/>
    </row>
    <row r="467" spans="1:3" ht="13" x14ac:dyDescent="0.15">
      <c r="A467" s="10"/>
      <c r="B467" s="13"/>
      <c r="C467" s="13"/>
    </row>
    <row r="468" spans="1:3" ht="13" x14ac:dyDescent="0.15">
      <c r="A468" s="10"/>
      <c r="B468" s="13"/>
      <c r="C468" s="13"/>
    </row>
    <row r="469" spans="1:3" ht="13" x14ac:dyDescent="0.15">
      <c r="A469" s="10"/>
      <c r="B469" s="13"/>
      <c r="C469" s="13"/>
    </row>
    <row r="470" spans="1:3" ht="13" x14ac:dyDescent="0.15">
      <c r="A470" s="10"/>
      <c r="B470" s="13"/>
      <c r="C470" s="13"/>
    </row>
    <row r="471" spans="1:3" ht="13" x14ac:dyDescent="0.15">
      <c r="A471" s="10"/>
      <c r="B471" s="13"/>
      <c r="C471" s="13"/>
    </row>
    <row r="472" spans="1:3" ht="13" x14ac:dyDescent="0.15">
      <c r="A472" s="10"/>
      <c r="B472" s="13"/>
      <c r="C472" s="13"/>
    </row>
    <row r="473" spans="1:3" ht="13" x14ac:dyDescent="0.15">
      <c r="A473" s="10"/>
      <c r="B473" s="13"/>
      <c r="C473" s="13"/>
    </row>
    <row r="474" spans="1:3" ht="13" x14ac:dyDescent="0.15">
      <c r="A474" s="10"/>
      <c r="B474" s="13"/>
      <c r="C474" s="13"/>
    </row>
    <row r="475" spans="1:3" ht="13" x14ac:dyDescent="0.15">
      <c r="A475" s="10"/>
      <c r="B475" s="13"/>
      <c r="C475" s="13"/>
    </row>
    <row r="476" spans="1:3" ht="13" x14ac:dyDescent="0.15">
      <c r="A476" s="10"/>
      <c r="B476" s="13"/>
      <c r="C476" s="13"/>
    </row>
    <row r="477" spans="1:3" ht="13" x14ac:dyDescent="0.15">
      <c r="A477" s="10"/>
      <c r="B477" s="13"/>
      <c r="C477" s="13"/>
    </row>
    <row r="478" spans="1:3" ht="13" x14ac:dyDescent="0.15">
      <c r="A478" s="10"/>
      <c r="B478" s="13"/>
      <c r="C478" s="13"/>
    </row>
    <row r="479" spans="1:3" ht="13" x14ac:dyDescent="0.15">
      <c r="A479" s="10"/>
      <c r="B479" s="13"/>
      <c r="C479" s="13"/>
    </row>
    <row r="480" spans="1:3" ht="13" x14ac:dyDescent="0.15">
      <c r="A480" s="10"/>
      <c r="B480" s="13"/>
      <c r="C480" s="13"/>
    </row>
    <row r="481" spans="1:3" ht="13" x14ac:dyDescent="0.15">
      <c r="A481" s="10"/>
      <c r="B481" s="13"/>
      <c r="C481" s="13"/>
    </row>
    <row r="482" spans="1:3" ht="13" x14ac:dyDescent="0.15">
      <c r="A482" s="10"/>
      <c r="B482" s="13"/>
      <c r="C482" s="13"/>
    </row>
    <row r="483" spans="1:3" ht="13" x14ac:dyDescent="0.15">
      <c r="A483" s="10"/>
      <c r="B483" s="13"/>
      <c r="C483" s="13"/>
    </row>
    <row r="484" spans="1:3" ht="13" x14ac:dyDescent="0.15">
      <c r="A484" s="10"/>
      <c r="B484" s="13"/>
      <c r="C484" s="13"/>
    </row>
    <row r="485" spans="1:3" ht="13" x14ac:dyDescent="0.15">
      <c r="A485" s="10"/>
      <c r="B485" s="13"/>
      <c r="C485" s="13"/>
    </row>
    <row r="486" spans="1:3" ht="13" x14ac:dyDescent="0.15">
      <c r="A486" s="10"/>
      <c r="B486" s="13"/>
      <c r="C486" s="13"/>
    </row>
    <row r="487" spans="1:3" ht="13" x14ac:dyDescent="0.15">
      <c r="A487" s="10"/>
      <c r="B487" s="13"/>
      <c r="C487" s="13"/>
    </row>
    <row r="488" spans="1:3" ht="13" x14ac:dyDescent="0.15">
      <c r="A488" s="10"/>
      <c r="B488" s="13"/>
      <c r="C488" s="13"/>
    </row>
    <row r="489" spans="1:3" ht="13" x14ac:dyDescent="0.15">
      <c r="A489" s="10"/>
      <c r="B489" s="13"/>
      <c r="C489" s="13"/>
    </row>
    <row r="490" spans="1:3" ht="13" x14ac:dyDescent="0.15">
      <c r="A490" s="10"/>
      <c r="B490" s="13"/>
      <c r="C490" s="13"/>
    </row>
    <row r="491" spans="1:3" ht="13" x14ac:dyDescent="0.15">
      <c r="A491" s="10"/>
      <c r="B491" s="13"/>
      <c r="C491" s="13"/>
    </row>
    <row r="492" spans="1:3" ht="13" x14ac:dyDescent="0.15">
      <c r="A492" s="10"/>
      <c r="B492" s="13"/>
      <c r="C492" s="13"/>
    </row>
    <row r="493" spans="1:3" ht="13" x14ac:dyDescent="0.15">
      <c r="A493" s="10"/>
      <c r="B493" s="13"/>
      <c r="C493" s="13"/>
    </row>
    <row r="494" spans="1:3" ht="13" x14ac:dyDescent="0.15">
      <c r="A494" s="10"/>
      <c r="B494" s="13"/>
      <c r="C494" s="13"/>
    </row>
    <row r="495" spans="1:3" ht="13" x14ac:dyDescent="0.15">
      <c r="A495" s="10"/>
      <c r="B495" s="13"/>
      <c r="C495" s="13"/>
    </row>
    <row r="496" spans="1:3" ht="13" x14ac:dyDescent="0.15">
      <c r="A496" s="10"/>
      <c r="B496" s="13"/>
      <c r="C496" s="13"/>
    </row>
    <row r="497" spans="1:3" ht="13" x14ac:dyDescent="0.15">
      <c r="A497" s="10"/>
      <c r="B497" s="13"/>
      <c r="C497" s="13"/>
    </row>
    <row r="498" spans="1:3" ht="13" x14ac:dyDescent="0.15">
      <c r="A498" s="10"/>
      <c r="B498" s="13"/>
      <c r="C498" s="13"/>
    </row>
    <row r="499" spans="1:3" ht="13" x14ac:dyDescent="0.15">
      <c r="A499" s="10"/>
      <c r="B499" s="13"/>
      <c r="C499" s="13"/>
    </row>
    <row r="500" spans="1:3" ht="13" x14ac:dyDescent="0.15">
      <c r="A500" s="10"/>
      <c r="B500" s="13"/>
      <c r="C500" s="13"/>
    </row>
    <row r="501" spans="1:3" ht="13" x14ac:dyDescent="0.15">
      <c r="A501" s="10"/>
      <c r="B501" s="13"/>
      <c r="C501" s="13"/>
    </row>
    <row r="502" spans="1:3" ht="13" x14ac:dyDescent="0.15">
      <c r="A502" s="10"/>
      <c r="B502" s="13"/>
      <c r="C502" s="13"/>
    </row>
    <row r="503" spans="1:3" ht="13" x14ac:dyDescent="0.15">
      <c r="A503" s="10"/>
      <c r="B503" s="13"/>
      <c r="C503" s="13"/>
    </row>
    <row r="504" spans="1:3" ht="13" x14ac:dyDescent="0.15">
      <c r="A504" s="10"/>
      <c r="B504" s="13"/>
      <c r="C504" s="13"/>
    </row>
    <row r="505" spans="1:3" ht="13" x14ac:dyDescent="0.15">
      <c r="A505" s="10"/>
      <c r="B505" s="13"/>
      <c r="C505" s="13"/>
    </row>
    <row r="506" spans="1:3" ht="13" x14ac:dyDescent="0.15">
      <c r="A506" s="10"/>
      <c r="B506" s="13"/>
      <c r="C506" s="13"/>
    </row>
    <row r="507" spans="1:3" ht="13" x14ac:dyDescent="0.15">
      <c r="A507" s="10"/>
      <c r="B507" s="13"/>
      <c r="C507" s="13"/>
    </row>
    <row r="508" spans="1:3" ht="13" x14ac:dyDescent="0.15">
      <c r="A508" s="10"/>
      <c r="B508" s="13"/>
      <c r="C508" s="13"/>
    </row>
    <row r="509" spans="1:3" ht="13" x14ac:dyDescent="0.15">
      <c r="A509" s="10"/>
      <c r="B509" s="13"/>
      <c r="C509" s="13"/>
    </row>
    <row r="510" spans="1:3" ht="13" x14ac:dyDescent="0.15">
      <c r="A510" s="10"/>
      <c r="B510" s="13"/>
      <c r="C510" s="13"/>
    </row>
    <row r="511" spans="1:3" ht="13" x14ac:dyDescent="0.15">
      <c r="A511" s="10"/>
      <c r="B511" s="13"/>
      <c r="C511" s="13"/>
    </row>
    <row r="512" spans="1:3" ht="13" x14ac:dyDescent="0.15">
      <c r="A512" s="10"/>
      <c r="B512" s="13"/>
      <c r="C512" s="13"/>
    </row>
    <row r="513" spans="1:3" ht="13" x14ac:dyDescent="0.15">
      <c r="A513" s="10"/>
      <c r="B513" s="13"/>
      <c r="C513" s="13"/>
    </row>
    <row r="514" spans="1:3" ht="13" x14ac:dyDescent="0.15">
      <c r="A514" s="10"/>
      <c r="B514" s="13"/>
      <c r="C514" s="13"/>
    </row>
    <row r="515" spans="1:3" ht="13" x14ac:dyDescent="0.15">
      <c r="A515" s="10"/>
      <c r="B515" s="13"/>
      <c r="C515" s="13"/>
    </row>
    <row r="516" spans="1:3" ht="13" x14ac:dyDescent="0.15">
      <c r="A516" s="10"/>
      <c r="B516" s="13"/>
      <c r="C516" s="13"/>
    </row>
    <row r="517" spans="1:3" ht="13" x14ac:dyDescent="0.15">
      <c r="A517" s="10"/>
      <c r="B517" s="13"/>
      <c r="C517" s="13"/>
    </row>
    <row r="518" spans="1:3" ht="13" x14ac:dyDescent="0.15">
      <c r="A518" s="10"/>
      <c r="B518" s="13"/>
      <c r="C518" s="13"/>
    </row>
    <row r="519" spans="1:3" ht="13" x14ac:dyDescent="0.15">
      <c r="A519" s="10"/>
      <c r="B519" s="13"/>
      <c r="C519" s="13"/>
    </row>
    <row r="520" spans="1:3" ht="13" x14ac:dyDescent="0.15">
      <c r="A520" s="10"/>
      <c r="B520" s="13"/>
      <c r="C520" s="13"/>
    </row>
    <row r="521" spans="1:3" ht="13" x14ac:dyDescent="0.15">
      <c r="A521" s="10"/>
      <c r="B521" s="13"/>
      <c r="C521" s="13"/>
    </row>
    <row r="522" spans="1:3" ht="13" x14ac:dyDescent="0.15">
      <c r="A522" s="10"/>
      <c r="B522" s="13"/>
      <c r="C522" s="13"/>
    </row>
    <row r="523" spans="1:3" ht="13" x14ac:dyDescent="0.15">
      <c r="A523" s="10"/>
      <c r="B523" s="13"/>
      <c r="C523" s="13"/>
    </row>
    <row r="524" spans="1:3" ht="13" x14ac:dyDescent="0.15">
      <c r="A524" s="10"/>
      <c r="B524" s="13"/>
      <c r="C524" s="13"/>
    </row>
    <row r="525" spans="1:3" ht="13" x14ac:dyDescent="0.15">
      <c r="A525" s="10"/>
      <c r="B525" s="13"/>
      <c r="C525" s="13"/>
    </row>
    <row r="526" spans="1:3" ht="13" x14ac:dyDescent="0.15">
      <c r="A526" s="10"/>
      <c r="B526" s="13"/>
      <c r="C526" s="13"/>
    </row>
    <row r="527" spans="1:3" ht="13" x14ac:dyDescent="0.15">
      <c r="A527" s="10"/>
      <c r="B527" s="13"/>
      <c r="C527" s="13"/>
    </row>
    <row r="528" spans="1:3" ht="13" x14ac:dyDescent="0.15">
      <c r="A528" s="10"/>
      <c r="B528" s="13"/>
      <c r="C528" s="13"/>
    </row>
    <row r="529" spans="1:3" ht="13" x14ac:dyDescent="0.15">
      <c r="A529" s="10"/>
      <c r="B529" s="13"/>
      <c r="C529" s="13"/>
    </row>
    <row r="530" spans="1:3" ht="13" x14ac:dyDescent="0.15">
      <c r="A530" s="10"/>
      <c r="B530" s="13"/>
      <c r="C530" s="13"/>
    </row>
    <row r="531" spans="1:3" ht="13" x14ac:dyDescent="0.15">
      <c r="A531" s="10"/>
      <c r="B531" s="13"/>
      <c r="C531" s="13"/>
    </row>
    <row r="532" spans="1:3" ht="13" x14ac:dyDescent="0.15">
      <c r="A532" s="10"/>
      <c r="B532" s="13"/>
      <c r="C532" s="13"/>
    </row>
    <row r="533" spans="1:3" ht="13" x14ac:dyDescent="0.15">
      <c r="A533" s="10"/>
      <c r="B533" s="13"/>
      <c r="C533" s="13"/>
    </row>
    <row r="534" spans="1:3" ht="13" x14ac:dyDescent="0.15">
      <c r="A534" s="10"/>
      <c r="B534" s="13"/>
      <c r="C534" s="13"/>
    </row>
    <row r="535" spans="1:3" ht="13" x14ac:dyDescent="0.15">
      <c r="A535" s="10"/>
      <c r="B535" s="13"/>
      <c r="C535" s="13"/>
    </row>
    <row r="536" spans="1:3" ht="13" x14ac:dyDescent="0.15">
      <c r="A536" s="10"/>
      <c r="B536" s="13"/>
      <c r="C536" s="13"/>
    </row>
    <row r="537" spans="1:3" ht="13" x14ac:dyDescent="0.15">
      <c r="A537" s="10"/>
      <c r="B537" s="13"/>
      <c r="C537" s="13"/>
    </row>
    <row r="538" spans="1:3" ht="13" x14ac:dyDescent="0.15">
      <c r="A538" s="10"/>
      <c r="B538" s="13"/>
      <c r="C538" s="13"/>
    </row>
    <row r="539" spans="1:3" ht="13" x14ac:dyDescent="0.15">
      <c r="A539" s="10"/>
      <c r="B539" s="13"/>
      <c r="C539" s="13"/>
    </row>
    <row r="540" spans="1:3" ht="13" x14ac:dyDescent="0.15">
      <c r="A540" s="10"/>
      <c r="B540" s="13"/>
      <c r="C540" s="13"/>
    </row>
    <row r="541" spans="1:3" ht="13" x14ac:dyDescent="0.15">
      <c r="A541" s="10"/>
      <c r="B541" s="13"/>
      <c r="C541" s="13"/>
    </row>
    <row r="542" spans="1:3" ht="13" x14ac:dyDescent="0.15">
      <c r="A542" s="10"/>
      <c r="B542" s="13"/>
      <c r="C542" s="13"/>
    </row>
    <row r="543" spans="1:3" ht="13" x14ac:dyDescent="0.15">
      <c r="A543" s="10"/>
      <c r="B543" s="13"/>
      <c r="C543" s="13"/>
    </row>
    <row r="544" spans="1:3" ht="13" x14ac:dyDescent="0.15">
      <c r="A544" s="10"/>
      <c r="B544" s="13"/>
      <c r="C544" s="13"/>
    </row>
    <row r="545" spans="1:3" ht="13" x14ac:dyDescent="0.15">
      <c r="A545" s="10"/>
      <c r="B545" s="13"/>
      <c r="C545" s="13"/>
    </row>
    <row r="546" spans="1:3" ht="13" x14ac:dyDescent="0.15">
      <c r="A546" s="10"/>
      <c r="B546" s="13"/>
      <c r="C546" s="13"/>
    </row>
    <row r="547" spans="1:3" ht="13" x14ac:dyDescent="0.15">
      <c r="A547" s="10"/>
      <c r="B547" s="13"/>
      <c r="C547" s="13"/>
    </row>
    <row r="548" spans="1:3" ht="13" x14ac:dyDescent="0.15">
      <c r="A548" s="10"/>
      <c r="B548" s="13"/>
      <c r="C548" s="13"/>
    </row>
    <row r="549" spans="1:3" ht="13" x14ac:dyDescent="0.15">
      <c r="A549" s="10"/>
      <c r="B549" s="13"/>
      <c r="C549" s="13"/>
    </row>
    <row r="550" spans="1:3" ht="13" x14ac:dyDescent="0.15">
      <c r="A550" s="10"/>
      <c r="B550" s="13"/>
      <c r="C550" s="13"/>
    </row>
    <row r="551" spans="1:3" ht="13" x14ac:dyDescent="0.15">
      <c r="A551" s="10"/>
      <c r="B551" s="13"/>
      <c r="C551" s="13"/>
    </row>
    <row r="552" spans="1:3" ht="13" x14ac:dyDescent="0.15">
      <c r="A552" s="10"/>
      <c r="B552" s="13"/>
      <c r="C552" s="13"/>
    </row>
    <row r="553" spans="1:3" ht="13" x14ac:dyDescent="0.15">
      <c r="A553" s="10"/>
      <c r="B553" s="13"/>
      <c r="C553" s="13"/>
    </row>
    <row r="554" spans="1:3" ht="13" x14ac:dyDescent="0.15">
      <c r="A554" s="10"/>
      <c r="B554" s="13"/>
      <c r="C554" s="13"/>
    </row>
    <row r="555" spans="1:3" ht="13" x14ac:dyDescent="0.15">
      <c r="A555" s="10"/>
      <c r="B555" s="13"/>
      <c r="C555" s="13"/>
    </row>
    <row r="556" spans="1:3" ht="13" x14ac:dyDescent="0.15">
      <c r="A556" s="10"/>
      <c r="B556" s="13"/>
      <c r="C556" s="13"/>
    </row>
    <row r="557" spans="1:3" ht="13" x14ac:dyDescent="0.15">
      <c r="A557" s="10"/>
      <c r="B557" s="13"/>
      <c r="C557" s="13"/>
    </row>
    <row r="558" spans="1:3" ht="13" x14ac:dyDescent="0.15">
      <c r="A558" s="10"/>
      <c r="B558" s="13"/>
      <c r="C558" s="13"/>
    </row>
    <row r="559" spans="1:3" ht="13" x14ac:dyDescent="0.15">
      <c r="A559" s="10"/>
      <c r="B559" s="13"/>
      <c r="C559" s="13"/>
    </row>
    <row r="560" spans="1:3" ht="13" x14ac:dyDescent="0.15">
      <c r="A560" s="10"/>
      <c r="B560" s="13"/>
      <c r="C560" s="13"/>
    </row>
    <row r="561" spans="1:3" ht="13" x14ac:dyDescent="0.15">
      <c r="A561" s="10"/>
      <c r="B561" s="13"/>
      <c r="C561" s="13"/>
    </row>
    <row r="562" spans="1:3" ht="13" x14ac:dyDescent="0.15">
      <c r="A562" s="10"/>
      <c r="B562" s="13"/>
      <c r="C562" s="13"/>
    </row>
    <row r="563" spans="1:3" ht="13" x14ac:dyDescent="0.15">
      <c r="A563" s="10"/>
      <c r="B563" s="13"/>
      <c r="C563" s="13"/>
    </row>
    <row r="564" spans="1:3" ht="13" x14ac:dyDescent="0.15">
      <c r="A564" s="10"/>
      <c r="B564" s="13"/>
      <c r="C564" s="13"/>
    </row>
    <row r="565" spans="1:3" ht="13" x14ac:dyDescent="0.15">
      <c r="A565" s="10"/>
      <c r="B565" s="13"/>
      <c r="C565" s="13"/>
    </row>
    <row r="566" spans="1:3" ht="13" x14ac:dyDescent="0.15">
      <c r="A566" s="10"/>
      <c r="B566" s="13"/>
      <c r="C566" s="13"/>
    </row>
    <row r="567" spans="1:3" ht="13" x14ac:dyDescent="0.15">
      <c r="A567" s="10"/>
      <c r="B567" s="13"/>
      <c r="C567" s="13"/>
    </row>
    <row r="568" spans="1:3" ht="13" x14ac:dyDescent="0.15">
      <c r="A568" s="10"/>
      <c r="B568" s="13"/>
      <c r="C568" s="13"/>
    </row>
    <row r="569" spans="1:3" ht="13" x14ac:dyDescent="0.15">
      <c r="A569" s="10"/>
      <c r="B569" s="13"/>
      <c r="C569" s="13"/>
    </row>
    <row r="570" spans="1:3" ht="13" x14ac:dyDescent="0.15">
      <c r="A570" s="10"/>
      <c r="B570" s="13"/>
      <c r="C570" s="13"/>
    </row>
    <row r="571" spans="1:3" ht="13" x14ac:dyDescent="0.15">
      <c r="A571" s="10"/>
      <c r="B571" s="13"/>
      <c r="C571" s="13"/>
    </row>
    <row r="572" spans="1:3" ht="13" x14ac:dyDescent="0.15">
      <c r="A572" s="10"/>
      <c r="B572" s="13"/>
      <c r="C572" s="13"/>
    </row>
    <row r="573" spans="1:3" ht="13" x14ac:dyDescent="0.15">
      <c r="A573" s="10"/>
      <c r="B573" s="13"/>
      <c r="C573" s="13"/>
    </row>
    <row r="574" spans="1:3" ht="13" x14ac:dyDescent="0.15">
      <c r="A574" s="10"/>
      <c r="B574" s="13"/>
      <c r="C574" s="13"/>
    </row>
    <row r="575" spans="1:3" ht="13" x14ac:dyDescent="0.15">
      <c r="A575" s="10"/>
      <c r="B575" s="13"/>
      <c r="C575" s="13"/>
    </row>
    <row r="576" spans="1:3" ht="13" x14ac:dyDescent="0.15">
      <c r="A576" s="10"/>
      <c r="B576" s="13"/>
      <c r="C576" s="13"/>
    </row>
    <row r="577" spans="1:3" ht="13" x14ac:dyDescent="0.15">
      <c r="A577" s="10"/>
      <c r="B577" s="13"/>
      <c r="C577" s="13"/>
    </row>
    <row r="578" spans="1:3" ht="13" x14ac:dyDescent="0.15">
      <c r="A578" s="10"/>
      <c r="B578" s="13"/>
      <c r="C578" s="13"/>
    </row>
    <row r="579" spans="1:3" ht="13" x14ac:dyDescent="0.15">
      <c r="A579" s="10"/>
      <c r="B579" s="13"/>
      <c r="C579" s="13"/>
    </row>
    <row r="580" spans="1:3" ht="13" x14ac:dyDescent="0.15">
      <c r="A580" s="10"/>
      <c r="B580" s="13"/>
      <c r="C580" s="13"/>
    </row>
    <row r="581" spans="1:3" ht="13" x14ac:dyDescent="0.15">
      <c r="A581" s="10"/>
      <c r="B581" s="13"/>
      <c r="C581" s="13"/>
    </row>
    <row r="582" spans="1:3" ht="13" x14ac:dyDescent="0.15">
      <c r="A582" s="10"/>
      <c r="B582" s="13"/>
      <c r="C582" s="13"/>
    </row>
    <row r="583" spans="1:3" ht="13" x14ac:dyDescent="0.15">
      <c r="A583" s="10"/>
      <c r="B583" s="13"/>
      <c r="C583" s="13"/>
    </row>
    <row r="584" spans="1:3" ht="13" x14ac:dyDescent="0.15">
      <c r="A584" s="10"/>
      <c r="B584" s="13"/>
      <c r="C584" s="13"/>
    </row>
    <row r="585" spans="1:3" ht="13" x14ac:dyDescent="0.15">
      <c r="A585" s="10"/>
      <c r="B585" s="13"/>
      <c r="C585" s="13"/>
    </row>
    <row r="586" spans="1:3" ht="13" x14ac:dyDescent="0.15">
      <c r="A586" s="10"/>
      <c r="B586" s="13"/>
      <c r="C586" s="13"/>
    </row>
    <row r="587" spans="1:3" ht="13" x14ac:dyDescent="0.15">
      <c r="A587" s="10"/>
      <c r="B587" s="13"/>
      <c r="C587" s="13"/>
    </row>
    <row r="588" spans="1:3" ht="13" x14ac:dyDescent="0.15">
      <c r="A588" s="10"/>
      <c r="B588" s="13"/>
      <c r="C588" s="13"/>
    </row>
    <row r="589" spans="1:3" ht="13" x14ac:dyDescent="0.15">
      <c r="A589" s="10"/>
      <c r="B589" s="13"/>
      <c r="C589" s="13"/>
    </row>
    <row r="590" spans="1:3" ht="13" x14ac:dyDescent="0.15">
      <c r="A590" s="10"/>
      <c r="B590" s="13"/>
      <c r="C590" s="13"/>
    </row>
    <row r="591" spans="1:3" ht="13" x14ac:dyDescent="0.15">
      <c r="A591" s="10"/>
      <c r="B591" s="13"/>
      <c r="C591" s="13"/>
    </row>
    <row r="592" spans="1:3" ht="13" x14ac:dyDescent="0.15">
      <c r="A592" s="10"/>
      <c r="B592" s="13"/>
      <c r="C592" s="13"/>
    </row>
    <row r="593" spans="1:3" ht="13" x14ac:dyDescent="0.15">
      <c r="A593" s="10"/>
      <c r="B593" s="13"/>
      <c r="C593" s="13"/>
    </row>
    <row r="594" spans="1:3" ht="13" x14ac:dyDescent="0.15">
      <c r="A594" s="10"/>
      <c r="B594" s="13"/>
      <c r="C594" s="13"/>
    </row>
    <row r="595" spans="1:3" ht="13" x14ac:dyDescent="0.15">
      <c r="A595" s="10"/>
      <c r="B595" s="13"/>
      <c r="C595" s="13"/>
    </row>
    <row r="596" spans="1:3" ht="13" x14ac:dyDescent="0.15">
      <c r="A596" s="10"/>
      <c r="B596" s="13"/>
      <c r="C596" s="13"/>
    </row>
    <row r="597" spans="1:3" ht="13" x14ac:dyDescent="0.15">
      <c r="A597" s="10"/>
      <c r="B597" s="13"/>
      <c r="C597" s="13"/>
    </row>
    <row r="598" spans="1:3" ht="13" x14ac:dyDescent="0.15">
      <c r="A598" s="10"/>
      <c r="B598" s="13"/>
      <c r="C598" s="13"/>
    </row>
    <row r="599" spans="1:3" ht="13" x14ac:dyDescent="0.15">
      <c r="A599" s="10"/>
      <c r="B599" s="13"/>
      <c r="C599" s="13"/>
    </row>
    <row r="600" spans="1:3" ht="13" x14ac:dyDescent="0.15">
      <c r="A600" s="10"/>
      <c r="B600" s="13"/>
      <c r="C600" s="13"/>
    </row>
    <row r="601" spans="1:3" ht="13" x14ac:dyDescent="0.15">
      <c r="A601" s="10"/>
      <c r="B601" s="13"/>
      <c r="C601" s="13"/>
    </row>
    <row r="602" spans="1:3" ht="13" x14ac:dyDescent="0.15">
      <c r="A602" s="10"/>
      <c r="B602" s="13"/>
      <c r="C602" s="13"/>
    </row>
    <row r="603" spans="1:3" ht="13" x14ac:dyDescent="0.15">
      <c r="A603" s="10"/>
      <c r="B603" s="13"/>
      <c r="C603" s="13"/>
    </row>
    <row r="604" spans="1:3" ht="13" x14ac:dyDescent="0.15">
      <c r="A604" s="10"/>
      <c r="B604" s="13"/>
      <c r="C604" s="13"/>
    </row>
    <row r="605" spans="1:3" ht="13" x14ac:dyDescent="0.15">
      <c r="A605" s="10"/>
      <c r="B605" s="13"/>
      <c r="C605" s="13"/>
    </row>
    <row r="606" spans="1:3" ht="13" x14ac:dyDescent="0.15">
      <c r="A606" s="10"/>
      <c r="B606" s="13"/>
      <c r="C606" s="13"/>
    </row>
    <row r="607" spans="1:3" ht="13" x14ac:dyDescent="0.15">
      <c r="A607" s="10"/>
      <c r="B607" s="13"/>
      <c r="C607" s="13"/>
    </row>
    <row r="608" spans="1:3" ht="13" x14ac:dyDescent="0.15">
      <c r="A608" s="10"/>
      <c r="B608" s="13"/>
      <c r="C608" s="13"/>
    </row>
    <row r="609" spans="1:3" ht="13" x14ac:dyDescent="0.15">
      <c r="A609" s="10"/>
      <c r="B609" s="13"/>
      <c r="C609" s="13"/>
    </row>
    <row r="610" spans="1:3" ht="13" x14ac:dyDescent="0.15">
      <c r="A610" s="10"/>
      <c r="B610" s="13"/>
      <c r="C610" s="13"/>
    </row>
    <row r="611" spans="1:3" ht="13" x14ac:dyDescent="0.15">
      <c r="A611" s="10"/>
      <c r="B611" s="13"/>
      <c r="C611" s="13"/>
    </row>
    <row r="612" spans="1:3" ht="13" x14ac:dyDescent="0.15">
      <c r="A612" s="10"/>
      <c r="B612" s="13"/>
      <c r="C612" s="13"/>
    </row>
    <row r="613" spans="1:3" ht="13" x14ac:dyDescent="0.15">
      <c r="A613" s="10"/>
      <c r="B613" s="13"/>
      <c r="C613" s="13"/>
    </row>
    <row r="614" spans="1:3" ht="13" x14ac:dyDescent="0.15">
      <c r="A614" s="10"/>
      <c r="B614" s="13"/>
      <c r="C614" s="13"/>
    </row>
    <row r="615" spans="1:3" ht="13" x14ac:dyDescent="0.15">
      <c r="A615" s="10"/>
      <c r="B615" s="13"/>
      <c r="C615" s="13"/>
    </row>
    <row r="616" spans="1:3" ht="13" x14ac:dyDescent="0.15">
      <c r="A616" s="10"/>
      <c r="B616" s="13"/>
      <c r="C616" s="13"/>
    </row>
    <row r="617" spans="1:3" ht="13" x14ac:dyDescent="0.15">
      <c r="A617" s="10"/>
      <c r="B617" s="13"/>
      <c r="C617" s="13"/>
    </row>
    <row r="618" spans="1:3" ht="13" x14ac:dyDescent="0.15">
      <c r="A618" s="10"/>
      <c r="B618" s="13"/>
      <c r="C618" s="13"/>
    </row>
    <row r="619" spans="1:3" ht="13" x14ac:dyDescent="0.15">
      <c r="A619" s="10"/>
      <c r="B619" s="13"/>
      <c r="C619" s="13"/>
    </row>
    <row r="620" spans="1:3" ht="13" x14ac:dyDescent="0.15">
      <c r="A620" s="10"/>
      <c r="B620" s="13"/>
      <c r="C620" s="13"/>
    </row>
    <row r="621" spans="1:3" ht="13" x14ac:dyDescent="0.15">
      <c r="A621" s="10"/>
      <c r="B621" s="13"/>
      <c r="C621" s="13"/>
    </row>
    <row r="622" spans="1:3" ht="13" x14ac:dyDescent="0.15">
      <c r="A622" s="10"/>
      <c r="B622" s="13"/>
      <c r="C622" s="13"/>
    </row>
    <row r="623" spans="1:3" ht="13" x14ac:dyDescent="0.15">
      <c r="A623" s="10"/>
      <c r="B623" s="13"/>
      <c r="C623" s="13"/>
    </row>
    <row r="624" spans="1:3" ht="13" x14ac:dyDescent="0.15">
      <c r="A624" s="10"/>
      <c r="B624" s="13"/>
      <c r="C624" s="13"/>
    </row>
    <row r="625" spans="1:3" ht="13" x14ac:dyDescent="0.15">
      <c r="A625" s="10"/>
      <c r="B625" s="13"/>
      <c r="C625" s="13"/>
    </row>
    <row r="626" spans="1:3" ht="13" x14ac:dyDescent="0.15">
      <c r="A626" s="10"/>
      <c r="B626" s="13"/>
      <c r="C626" s="13"/>
    </row>
    <row r="627" spans="1:3" ht="13" x14ac:dyDescent="0.15">
      <c r="A627" s="10"/>
      <c r="B627" s="13"/>
      <c r="C627" s="13"/>
    </row>
    <row r="628" spans="1:3" ht="13" x14ac:dyDescent="0.15">
      <c r="A628" s="10"/>
      <c r="B628" s="13"/>
      <c r="C628" s="13"/>
    </row>
    <row r="629" spans="1:3" ht="13" x14ac:dyDescent="0.15">
      <c r="A629" s="10"/>
      <c r="B629" s="13"/>
      <c r="C629" s="13"/>
    </row>
    <row r="630" spans="1:3" ht="13" x14ac:dyDescent="0.15">
      <c r="A630" s="10"/>
      <c r="B630" s="13"/>
      <c r="C630" s="13"/>
    </row>
    <row r="631" spans="1:3" ht="13" x14ac:dyDescent="0.15">
      <c r="A631" s="10"/>
      <c r="B631" s="13"/>
      <c r="C631" s="13"/>
    </row>
    <row r="632" spans="1:3" ht="13" x14ac:dyDescent="0.15">
      <c r="A632" s="10"/>
      <c r="B632" s="13"/>
      <c r="C632" s="13"/>
    </row>
    <row r="633" spans="1:3" ht="13" x14ac:dyDescent="0.15">
      <c r="A633" s="10"/>
      <c r="B633" s="13"/>
      <c r="C633" s="13"/>
    </row>
    <row r="634" spans="1:3" ht="13" x14ac:dyDescent="0.15">
      <c r="A634" s="10"/>
      <c r="B634" s="13"/>
      <c r="C634" s="13"/>
    </row>
    <row r="635" spans="1:3" ht="13" x14ac:dyDescent="0.15">
      <c r="A635" s="10"/>
      <c r="B635" s="13"/>
      <c r="C635" s="13"/>
    </row>
    <row r="636" spans="1:3" ht="13" x14ac:dyDescent="0.15">
      <c r="A636" s="10"/>
      <c r="B636" s="13"/>
      <c r="C636" s="13"/>
    </row>
    <row r="637" spans="1:3" ht="13" x14ac:dyDescent="0.15">
      <c r="A637" s="10"/>
      <c r="B637" s="13"/>
      <c r="C637" s="13"/>
    </row>
    <row r="638" spans="1:3" ht="13" x14ac:dyDescent="0.15">
      <c r="A638" s="10"/>
      <c r="B638" s="13"/>
      <c r="C638" s="13"/>
    </row>
    <row r="639" spans="1:3" ht="13" x14ac:dyDescent="0.15">
      <c r="A639" s="10"/>
      <c r="B639" s="13"/>
      <c r="C639" s="13"/>
    </row>
    <row r="640" spans="1:3" ht="13" x14ac:dyDescent="0.15">
      <c r="A640" s="10"/>
      <c r="B640" s="13"/>
      <c r="C640" s="13"/>
    </row>
    <row r="641" spans="1:3" ht="13" x14ac:dyDescent="0.15">
      <c r="A641" s="10"/>
      <c r="B641" s="13"/>
      <c r="C641" s="13"/>
    </row>
    <row r="642" spans="1:3" ht="13" x14ac:dyDescent="0.15">
      <c r="A642" s="10"/>
      <c r="B642" s="13"/>
      <c r="C642" s="13"/>
    </row>
    <row r="643" spans="1:3" ht="13" x14ac:dyDescent="0.15">
      <c r="A643" s="10"/>
      <c r="B643" s="13"/>
      <c r="C643" s="13"/>
    </row>
    <row r="644" spans="1:3" ht="13" x14ac:dyDescent="0.15">
      <c r="A644" s="10"/>
      <c r="B644" s="13"/>
      <c r="C644" s="13"/>
    </row>
    <row r="645" spans="1:3" ht="13" x14ac:dyDescent="0.15">
      <c r="A645" s="10"/>
      <c r="B645" s="13"/>
      <c r="C645" s="13"/>
    </row>
    <row r="646" spans="1:3" ht="13" x14ac:dyDescent="0.15">
      <c r="A646" s="10"/>
      <c r="B646" s="13"/>
      <c r="C646" s="13"/>
    </row>
    <row r="647" spans="1:3" ht="13" x14ac:dyDescent="0.15">
      <c r="A647" s="10"/>
      <c r="B647" s="13"/>
      <c r="C647" s="13"/>
    </row>
    <row r="648" spans="1:3" ht="13" x14ac:dyDescent="0.15">
      <c r="A648" s="10"/>
      <c r="B648" s="13"/>
      <c r="C648" s="13"/>
    </row>
    <row r="649" spans="1:3" ht="13" x14ac:dyDescent="0.15">
      <c r="A649" s="10"/>
      <c r="B649" s="13"/>
      <c r="C649" s="13"/>
    </row>
    <row r="650" spans="1:3" ht="13" x14ac:dyDescent="0.15">
      <c r="A650" s="10"/>
      <c r="B650" s="13"/>
      <c r="C650" s="13"/>
    </row>
    <row r="651" spans="1:3" ht="13" x14ac:dyDescent="0.15">
      <c r="A651" s="10"/>
      <c r="B651" s="13"/>
      <c r="C651" s="13"/>
    </row>
    <row r="652" spans="1:3" ht="13" x14ac:dyDescent="0.15">
      <c r="A652" s="10"/>
      <c r="B652" s="13"/>
      <c r="C652" s="13"/>
    </row>
    <row r="653" spans="1:3" ht="13" x14ac:dyDescent="0.15">
      <c r="A653" s="10"/>
      <c r="B653" s="13"/>
      <c r="C653" s="13"/>
    </row>
    <row r="654" spans="1:3" ht="13" x14ac:dyDescent="0.15">
      <c r="A654" s="10"/>
      <c r="B654" s="13"/>
      <c r="C654" s="13"/>
    </row>
    <row r="655" spans="1:3" ht="13" x14ac:dyDescent="0.15">
      <c r="A655" s="10"/>
      <c r="B655" s="13"/>
      <c r="C655" s="13"/>
    </row>
    <row r="656" spans="1:3" ht="13" x14ac:dyDescent="0.15">
      <c r="A656" s="10"/>
      <c r="B656" s="13"/>
      <c r="C656" s="13"/>
    </row>
    <row r="657" spans="1:3" ht="13" x14ac:dyDescent="0.15">
      <c r="A657" s="10"/>
      <c r="B657" s="13"/>
      <c r="C657" s="13"/>
    </row>
    <row r="658" spans="1:3" ht="13" x14ac:dyDescent="0.15">
      <c r="A658" s="10"/>
      <c r="B658" s="13"/>
      <c r="C658" s="13"/>
    </row>
    <row r="659" spans="1:3" ht="13" x14ac:dyDescent="0.15">
      <c r="A659" s="10"/>
      <c r="B659" s="13"/>
      <c r="C659" s="13"/>
    </row>
    <row r="660" spans="1:3" ht="13" x14ac:dyDescent="0.15">
      <c r="A660" s="10"/>
      <c r="B660" s="13"/>
      <c r="C660" s="13"/>
    </row>
    <row r="661" spans="1:3" ht="13" x14ac:dyDescent="0.15">
      <c r="A661" s="10"/>
      <c r="B661" s="13"/>
      <c r="C661" s="13"/>
    </row>
    <row r="662" spans="1:3" ht="13" x14ac:dyDescent="0.15">
      <c r="A662" s="10"/>
      <c r="B662" s="13"/>
      <c r="C662" s="13"/>
    </row>
    <row r="663" spans="1:3" ht="13" x14ac:dyDescent="0.15">
      <c r="A663" s="10"/>
      <c r="B663" s="13"/>
      <c r="C663" s="13"/>
    </row>
    <row r="664" spans="1:3" ht="13" x14ac:dyDescent="0.15">
      <c r="A664" s="10"/>
      <c r="B664" s="13"/>
      <c r="C664" s="13"/>
    </row>
    <row r="665" spans="1:3" ht="13" x14ac:dyDescent="0.15">
      <c r="A665" s="10"/>
      <c r="B665" s="13"/>
      <c r="C665" s="13"/>
    </row>
    <row r="666" spans="1:3" ht="13" x14ac:dyDescent="0.15">
      <c r="A666" s="10"/>
      <c r="B666" s="13"/>
      <c r="C666" s="13"/>
    </row>
    <row r="667" spans="1:3" ht="13" x14ac:dyDescent="0.15">
      <c r="A667" s="10"/>
      <c r="B667" s="13"/>
      <c r="C667" s="13"/>
    </row>
    <row r="668" spans="1:3" ht="13" x14ac:dyDescent="0.15">
      <c r="A668" s="10"/>
      <c r="B668" s="13"/>
      <c r="C668" s="13"/>
    </row>
    <row r="669" spans="1:3" ht="13" x14ac:dyDescent="0.15">
      <c r="A669" s="10"/>
      <c r="B669" s="13"/>
      <c r="C669" s="13"/>
    </row>
    <row r="670" spans="1:3" ht="13" x14ac:dyDescent="0.15">
      <c r="A670" s="10"/>
      <c r="B670" s="13"/>
      <c r="C670" s="13"/>
    </row>
    <row r="671" spans="1:3" ht="13" x14ac:dyDescent="0.15">
      <c r="A671" s="10"/>
      <c r="B671" s="13"/>
      <c r="C671" s="13"/>
    </row>
    <row r="672" spans="1:3" ht="13" x14ac:dyDescent="0.15">
      <c r="A672" s="10"/>
      <c r="B672" s="13"/>
      <c r="C672" s="13"/>
    </row>
    <row r="673" spans="1:3" ht="13" x14ac:dyDescent="0.15">
      <c r="A673" s="10"/>
      <c r="B673" s="13"/>
      <c r="C673" s="13"/>
    </row>
    <row r="674" spans="1:3" ht="13" x14ac:dyDescent="0.15">
      <c r="A674" s="10"/>
      <c r="B674" s="13"/>
      <c r="C674" s="13"/>
    </row>
    <row r="675" spans="1:3" ht="13" x14ac:dyDescent="0.15">
      <c r="A675" s="10"/>
      <c r="B675" s="13"/>
      <c r="C675" s="13"/>
    </row>
    <row r="676" spans="1:3" ht="13" x14ac:dyDescent="0.15">
      <c r="A676" s="10"/>
      <c r="B676" s="13"/>
      <c r="C676" s="13"/>
    </row>
    <row r="677" spans="1:3" ht="13" x14ac:dyDescent="0.15">
      <c r="A677" s="10"/>
      <c r="B677" s="13"/>
      <c r="C677" s="13"/>
    </row>
    <row r="678" spans="1:3" ht="13" x14ac:dyDescent="0.15">
      <c r="A678" s="10"/>
      <c r="B678" s="13"/>
      <c r="C678" s="13"/>
    </row>
    <row r="679" spans="1:3" ht="13" x14ac:dyDescent="0.15">
      <c r="A679" s="10"/>
      <c r="B679" s="13"/>
      <c r="C679" s="13"/>
    </row>
    <row r="680" spans="1:3" ht="13" x14ac:dyDescent="0.15">
      <c r="A680" s="10"/>
      <c r="B680" s="13"/>
      <c r="C680" s="13"/>
    </row>
    <row r="681" spans="1:3" ht="13" x14ac:dyDescent="0.15">
      <c r="A681" s="10"/>
      <c r="B681" s="13"/>
      <c r="C681" s="13"/>
    </row>
    <row r="682" spans="1:3" ht="13" x14ac:dyDescent="0.15">
      <c r="A682" s="10"/>
      <c r="B682" s="13"/>
      <c r="C682" s="13"/>
    </row>
    <row r="683" spans="1:3" ht="13" x14ac:dyDescent="0.15">
      <c r="A683" s="10"/>
      <c r="B683" s="13"/>
      <c r="C683" s="13"/>
    </row>
    <row r="684" spans="1:3" ht="13" x14ac:dyDescent="0.15">
      <c r="A684" s="10"/>
      <c r="B684" s="13"/>
      <c r="C684" s="13"/>
    </row>
    <row r="685" spans="1:3" ht="13" x14ac:dyDescent="0.15">
      <c r="A685" s="10"/>
      <c r="B685" s="13"/>
      <c r="C685" s="13"/>
    </row>
    <row r="686" spans="1:3" ht="13" x14ac:dyDescent="0.15">
      <c r="A686" s="10"/>
      <c r="B686" s="13"/>
      <c r="C686" s="13"/>
    </row>
    <row r="687" spans="1:3" ht="13" x14ac:dyDescent="0.15">
      <c r="A687" s="10"/>
      <c r="B687" s="13"/>
      <c r="C687" s="13"/>
    </row>
    <row r="688" spans="1:3" ht="13" x14ac:dyDescent="0.15">
      <c r="A688" s="10"/>
      <c r="B688" s="13"/>
      <c r="C688" s="13"/>
    </row>
    <row r="689" spans="1:3" ht="13" x14ac:dyDescent="0.15">
      <c r="A689" s="10"/>
      <c r="B689" s="13"/>
      <c r="C689" s="13"/>
    </row>
    <row r="690" spans="1:3" ht="13" x14ac:dyDescent="0.15">
      <c r="A690" s="10"/>
      <c r="B690" s="13"/>
      <c r="C690" s="13"/>
    </row>
    <row r="691" spans="1:3" ht="13" x14ac:dyDescent="0.15">
      <c r="A691" s="10"/>
      <c r="B691" s="13"/>
      <c r="C691" s="13"/>
    </row>
    <row r="692" spans="1:3" ht="13" x14ac:dyDescent="0.15">
      <c r="A692" s="10"/>
      <c r="B692" s="13"/>
      <c r="C692" s="13"/>
    </row>
    <row r="693" spans="1:3" ht="13" x14ac:dyDescent="0.15">
      <c r="A693" s="10"/>
      <c r="B693" s="13"/>
      <c r="C693" s="13"/>
    </row>
    <row r="694" spans="1:3" ht="13" x14ac:dyDescent="0.15">
      <c r="A694" s="10"/>
      <c r="B694" s="13"/>
      <c r="C694" s="13"/>
    </row>
    <row r="695" spans="1:3" ht="13" x14ac:dyDescent="0.15">
      <c r="A695" s="10"/>
      <c r="B695" s="13"/>
      <c r="C695" s="13"/>
    </row>
    <row r="696" spans="1:3" ht="13" x14ac:dyDescent="0.15">
      <c r="A696" s="10"/>
      <c r="B696" s="13"/>
      <c r="C696" s="13"/>
    </row>
    <row r="697" spans="1:3" ht="13" x14ac:dyDescent="0.15">
      <c r="A697" s="10"/>
      <c r="B697" s="13"/>
      <c r="C697" s="13"/>
    </row>
    <row r="698" spans="1:3" ht="13" x14ac:dyDescent="0.15">
      <c r="A698" s="10"/>
      <c r="B698" s="13"/>
      <c r="C698" s="13"/>
    </row>
    <row r="699" spans="1:3" ht="13" x14ac:dyDescent="0.15">
      <c r="A699" s="10"/>
      <c r="B699" s="13"/>
      <c r="C699" s="13"/>
    </row>
    <row r="700" spans="1:3" ht="13" x14ac:dyDescent="0.15">
      <c r="A700" s="10"/>
      <c r="B700" s="13"/>
      <c r="C700" s="13"/>
    </row>
    <row r="701" spans="1:3" ht="13" x14ac:dyDescent="0.15">
      <c r="A701" s="10"/>
      <c r="B701" s="13"/>
      <c r="C701" s="13"/>
    </row>
    <row r="702" spans="1:3" ht="13" x14ac:dyDescent="0.15">
      <c r="A702" s="10"/>
      <c r="B702" s="13"/>
      <c r="C702" s="13"/>
    </row>
    <row r="703" spans="1:3" ht="13" x14ac:dyDescent="0.15">
      <c r="A703" s="10"/>
      <c r="B703" s="13"/>
      <c r="C703" s="13"/>
    </row>
    <row r="704" spans="1:3" ht="13" x14ac:dyDescent="0.15">
      <c r="A704" s="10"/>
      <c r="B704" s="13"/>
      <c r="C704" s="13"/>
    </row>
    <row r="705" spans="1:3" ht="13" x14ac:dyDescent="0.15">
      <c r="A705" s="10"/>
      <c r="B705" s="13"/>
      <c r="C705" s="13"/>
    </row>
    <row r="706" spans="1:3" ht="13" x14ac:dyDescent="0.15">
      <c r="A706" s="10"/>
      <c r="B706" s="13"/>
      <c r="C706" s="13"/>
    </row>
    <row r="707" spans="1:3" ht="13" x14ac:dyDescent="0.15">
      <c r="A707" s="10"/>
      <c r="B707" s="13"/>
      <c r="C707" s="13"/>
    </row>
    <row r="708" spans="1:3" ht="13" x14ac:dyDescent="0.15">
      <c r="A708" s="10"/>
      <c r="B708" s="13"/>
      <c r="C708" s="13"/>
    </row>
    <row r="709" spans="1:3" ht="13" x14ac:dyDescent="0.15">
      <c r="A709" s="10"/>
      <c r="B709" s="13"/>
      <c r="C709" s="13"/>
    </row>
    <row r="710" spans="1:3" ht="13" x14ac:dyDescent="0.15">
      <c r="A710" s="10"/>
      <c r="B710" s="13"/>
      <c r="C710" s="13"/>
    </row>
    <row r="711" spans="1:3" ht="13" x14ac:dyDescent="0.15">
      <c r="A711" s="10"/>
      <c r="B711" s="13"/>
      <c r="C711" s="13"/>
    </row>
    <row r="712" spans="1:3" ht="13" x14ac:dyDescent="0.15">
      <c r="A712" s="10"/>
      <c r="B712" s="13"/>
      <c r="C712" s="13"/>
    </row>
    <row r="713" spans="1:3" ht="13" x14ac:dyDescent="0.15">
      <c r="A713" s="10"/>
      <c r="B713" s="13"/>
      <c r="C713" s="13"/>
    </row>
    <row r="714" spans="1:3" ht="13" x14ac:dyDescent="0.15">
      <c r="A714" s="10"/>
      <c r="B714" s="13"/>
      <c r="C714" s="13"/>
    </row>
    <row r="715" spans="1:3" ht="13" x14ac:dyDescent="0.15">
      <c r="A715" s="10"/>
      <c r="B715" s="13"/>
      <c r="C715" s="13"/>
    </row>
    <row r="716" spans="1:3" ht="13" x14ac:dyDescent="0.15">
      <c r="A716" s="10"/>
      <c r="B716" s="13"/>
      <c r="C716" s="13"/>
    </row>
    <row r="717" spans="1:3" ht="13" x14ac:dyDescent="0.15">
      <c r="A717" s="10"/>
      <c r="B717" s="13"/>
      <c r="C717" s="13"/>
    </row>
    <row r="718" spans="1:3" ht="13" x14ac:dyDescent="0.15">
      <c r="A718" s="10"/>
      <c r="B718" s="13"/>
      <c r="C718" s="13"/>
    </row>
    <row r="719" spans="1:3" ht="13" x14ac:dyDescent="0.15">
      <c r="A719" s="10"/>
      <c r="B719" s="13"/>
      <c r="C719" s="13"/>
    </row>
    <row r="720" spans="1:3" ht="13" x14ac:dyDescent="0.15">
      <c r="A720" s="10"/>
      <c r="B720" s="13"/>
      <c r="C720" s="13"/>
    </row>
    <row r="721" spans="1:3" ht="13" x14ac:dyDescent="0.15">
      <c r="A721" s="10"/>
      <c r="B721" s="13"/>
      <c r="C721" s="13"/>
    </row>
    <row r="722" spans="1:3" ht="13" x14ac:dyDescent="0.15">
      <c r="A722" s="10"/>
      <c r="B722" s="13"/>
      <c r="C722" s="13"/>
    </row>
    <row r="723" spans="1:3" ht="13" x14ac:dyDescent="0.15">
      <c r="A723" s="10"/>
      <c r="B723" s="13"/>
      <c r="C723" s="13"/>
    </row>
    <row r="724" spans="1:3" ht="13" x14ac:dyDescent="0.15">
      <c r="A724" s="10"/>
      <c r="B724" s="13"/>
      <c r="C724" s="13"/>
    </row>
    <row r="725" spans="1:3" ht="13" x14ac:dyDescent="0.15">
      <c r="A725" s="10"/>
      <c r="B725" s="13"/>
      <c r="C725" s="13"/>
    </row>
    <row r="726" spans="1:3" ht="13" x14ac:dyDescent="0.15">
      <c r="A726" s="10"/>
      <c r="B726" s="13"/>
      <c r="C726" s="13"/>
    </row>
    <row r="727" spans="1:3" ht="13" x14ac:dyDescent="0.15">
      <c r="A727" s="10"/>
      <c r="B727" s="13"/>
      <c r="C727" s="13"/>
    </row>
    <row r="728" spans="1:3" ht="13" x14ac:dyDescent="0.15">
      <c r="A728" s="10"/>
      <c r="B728" s="13"/>
      <c r="C728" s="13"/>
    </row>
    <row r="729" spans="1:3" ht="13" x14ac:dyDescent="0.15">
      <c r="A729" s="10"/>
      <c r="B729" s="13"/>
      <c r="C729" s="13"/>
    </row>
    <row r="730" spans="1:3" ht="13" x14ac:dyDescent="0.15">
      <c r="A730" s="10"/>
      <c r="B730" s="13"/>
      <c r="C730" s="13"/>
    </row>
    <row r="731" spans="1:3" ht="13" x14ac:dyDescent="0.15">
      <c r="A731" s="10"/>
      <c r="B731" s="13"/>
      <c r="C731" s="13"/>
    </row>
    <row r="732" spans="1:3" ht="13" x14ac:dyDescent="0.15">
      <c r="A732" s="10"/>
      <c r="B732" s="13"/>
      <c r="C732" s="13"/>
    </row>
    <row r="733" spans="1:3" ht="13" x14ac:dyDescent="0.15">
      <c r="A733" s="10"/>
      <c r="B733" s="13"/>
      <c r="C733" s="13"/>
    </row>
    <row r="734" spans="1:3" ht="13" x14ac:dyDescent="0.15">
      <c r="A734" s="10"/>
      <c r="B734" s="13"/>
      <c r="C734" s="13"/>
    </row>
    <row r="735" spans="1:3" ht="13" x14ac:dyDescent="0.15">
      <c r="A735" s="10"/>
      <c r="B735" s="13"/>
      <c r="C735" s="13"/>
    </row>
    <row r="736" spans="1:3" ht="13" x14ac:dyDescent="0.15">
      <c r="A736" s="10"/>
      <c r="B736" s="13"/>
      <c r="C736" s="13"/>
    </row>
    <row r="737" spans="1:3" ht="13" x14ac:dyDescent="0.15">
      <c r="A737" s="10"/>
      <c r="B737" s="13"/>
      <c r="C737" s="13"/>
    </row>
    <row r="738" spans="1:3" ht="13" x14ac:dyDescent="0.15">
      <c r="A738" s="10"/>
      <c r="B738" s="13"/>
      <c r="C738" s="13"/>
    </row>
    <row r="739" spans="1:3" ht="13" x14ac:dyDescent="0.15">
      <c r="A739" s="10"/>
      <c r="B739" s="13"/>
      <c r="C739" s="13"/>
    </row>
    <row r="740" spans="1:3" ht="13" x14ac:dyDescent="0.15">
      <c r="A740" s="10"/>
      <c r="B740" s="13"/>
      <c r="C740" s="13"/>
    </row>
    <row r="741" spans="1:3" ht="13" x14ac:dyDescent="0.15">
      <c r="A741" s="10"/>
      <c r="B741" s="13"/>
      <c r="C741" s="13"/>
    </row>
    <row r="742" spans="1:3" ht="13" x14ac:dyDescent="0.15">
      <c r="A742" s="10"/>
      <c r="B742" s="13"/>
      <c r="C742" s="13"/>
    </row>
    <row r="743" spans="1:3" ht="13" x14ac:dyDescent="0.15">
      <c r="A743" s="10"/>
      <c r="B743" s="13"/>
      <c r="C743" s="13"/>
    </row>
    <row r="744" spans="1:3" ht="13" x14ac:dyDescent="0.15">
      <c r="A744" s="10"/>
      <c r="B744" s="13"/>
      <c r="C744" s="13"/>
    </row>
    <row r="745" spans="1:3" ht="13" x14ac:dyDescent="0.15">
      <c r="A745" s="10"/>
      <c r="B745" s="13"/>
      <c r="C745" s="13"/>
    </row>
    <row r="746" spans="1:3" ht="13" x14ac:dyDescent="0.15">
      <c r="A746" s="10"/>
      <c r="B746" s="13"/>
      <c r="C746" s="13"/>
    </row>
    <row r="747" spans="1:3" ht="13" x14ac:dyDescent="0.15">
      <c r="A747" s="10"/>
      <c r="B747" s="13"/>
      <c r="C747" s="13"/>
    </row>
    <row r="748" spans="1:3" ht="13" x14ac:dyDescent="0.15">
      <c r="A748" s="10"/>
      <c r="B748" s="13"/>
      <c r="C748" s="13"/>
    </row>
    <row r="749" spans="1:3" ht="13" x14ac:dyDescent="0.15">
      <c r="A749" s="10"/>
      <c r="B749" s="13"/>
      <c r="C749" s="13"/>
    </row>
    <row r="750" spans="1:3" ht="13" x14ac:dyDescent="0.15">
      <c r="A750" s="10"/>
      <c r="B750" s="13"/>
      <c r="C750" s="13"/>
    </row>
    <row r="751" spans="1:3" ht="13" x14ac:dyDescent="0.15">
      <c r="A751" s="10"/>
      <c r="B751" s="13"/>
      <c r="C751" s="13"/>
    </row>
    <row r="752" spans="1:3" ht="13" x14ac:dyDescent="0.15">
      <c r="A752" s="10"/>
      <c r="B752" s="13"/>
      <c r="C752" s="13"/>
    </row>
    <row r="753" spans="1:3" ht="13" x14ac:dyDescent="0.15">
      <c r="A753" s="10"/>
      <c r="B753" s="13"/>
      <c r="C753" s="13"/>
    </row>
    <row r="754" spans="1:3" ht="13" x14ac:dyDescent="0.15">
      <c r="A754" s="10"/>
      <c r="B754" s="13"/>
      <c r="C754" s="13"/>
    </row>
    <row r="755" spans="1:3" ht="13" x14ac:dyDescent="0.15">
      <c r="A755" s="10"/>
      <c r="B755" s="13"/>
      <c r="C755" s="13"/>
    </row>
    <row r="756" spans="1:3" ht="13" x14ac:dyDescent="0.15">
      <c r="A756" s="10"/>
      <c r="B756" s="13"/>
      <c r="C756" s="13"/>
    </row>
    <row r="757" spans="1:3" ht="13" x14ac:dyDescent="0.15">
      <c r="A757" s="10"/>
      <c r="B757" s="13"/>
      <c r="C757" s="13"/>
    </row>
    <row r="758" spans="1:3" ht="13" x14ac:dyDescent="0.15">
      <c r="A758" s="10"/>
      <c r="B758" s="13"/>
      <c r="C758" s="13"/>
    </row>
    <row r="759" spans="1:3" ht="13" x14ac:dyDescent="0.15">
      <c r="A759" s="10"/>
      <c r="B759" s="13"/>
      <c r="C759" s="13"/>
    </row>
    <row r="760" spans="1:3" ht="13" x14ac:dyDescent="0.15">
      <c r="A760" s="10"/>
      <c r="B760" s="13"/>
      <c r="C760" s="13"/>
    </row>
    <row r="761" spans="1:3" ht="13" x14ac:dyDescent="0.15">
      <c r="A761" s="10"/>
      <c r="B761" s="13"/>
      <c r="C761" s="13"/>
    </row>
    <row r="762" spans="1:3" ht="13" x14ac:dyDescent="0.15">
      <c r="A762" s="10"/>
      <c r="B762" s="13"/>
      <c r="C762" s="13"/>
    </row>
    <row r="763" spans="1:3" ht="13" x14ac:dyDescent="0.15">
      <c r="A763" s="10"/>
      <c r="B763" s="13"/>
      <c r="C763" s="13"/>
    </row>
    <row r="764" spans="1:3" ht="13" x14ac:dyDescent="0.15">
      <c r="A764" s="10"/>
      <c r="B764" s="13"/>
      <c r="C764" s="13"/>
    </row>
    <row r="765" spans="1:3" ht="13" x14ac:dyDescent="0.15">
      <c r="A765" s="10"/>
      <c r="B765" s="13"/>
      <c r="C765" s="13"/>
    </row>
    <row r="766" spans="1:3" ht="13" x14ac:dyDescent="0.15">
      <c r="A766" s="10"/>
      <c r="B766" s="13"/>
      <c r="C766" s="13"/>
    </row>
    <row r="767" spans="1:3" ht="13" x14ac:dyDescent="0.15">
      <c r="A767" s="10"/>
      <c r="B767" s="13"/>
      <c r="C767" s="13"/>
    </row>
    <row r="768" spans="1:3" ht="13" x14ac:dyDescent="0.15">
      <c r="A768" s="10"/>
      <c r="B768" s="13"/>
      <c r="C768" s="13"/>
    </row>
    <row r="769" spans="1:3" ht="13" x14ac:dyDescent="0.15">
      <c r="A769" s="10"/>
      <c r="B769" s="13"/>
      <c r="C769" s="13"/>
    </row>
    <row r="770" spans="1:3" ht="13" x14ac:dyDescent="0.15">
      <c r="A770" s="10"/>
      <c r="B770" s="13"/>
      <c r="C770" s="13"/>
    </row>
    <row r="771" spans="1:3" ht="13" x14ac:dyDescent="0.15">
      <c r="A771" s="10"/>
      <c r="B771" s="13"/>
      <c r="C771" s="13"/>
    </row>
    <row r="772" spans="1:3" ht="13" x14ac:dyDescent="0.15">
      <c r="A772" s="10"/>
      <c r="B772" s="13"/>
      <c r="C772" s="13"/>
    </row>
    <row r="773" spans="1:3" ht="13" x14ac:dyDescent="0.15">
      <c r="A773" s="10"/>
      <c r="B773" s="13"/>
      <c r="C773" s="13"/>
    </row>
    <row r="774" spans="1:3" ht="13" x14ac:dyDescent="0.15">
      <c r="A774" s="10"/>
      <c r="B774" s="13"/>
      <c r="C774" s="13"/>
    </row>
    <row r="775" spans="1:3" ht="13" x14ac:dyDescent="0.15">
      <c r="A775" s="10"/>
      <c r="B775" s="13"/>
      <c r="C775" s="13"/>
    </row>
    <row r="776" spans="1:3" ht="13" x14ac:dyDescent="0.15">
      <c r="A776" s="10"/>
      <c r="B776" s="13"/>
      <c r="C776" s="13"/>
    </row>
    <row r="777" spans="1:3" ht="13" x14ac:dyDescent="0.15">
      <c r="A777" s="10"/>
      <c r="B777" s="13"/>
      <c r="C777" s="13"/>
    </row>
    <row r="778" spans="1:3" ht="13" x14ac:dyDescent="0.15">
      <c r="A778" s="10"/>
      <c r="B778" s="13"/>
      <c r="C778" s="13"/>
    </row>
    <row r="779" spans="1:3" ht="13" x14ac:dyDescent="0.15">
      <c r="A779" s="10"/>
      <c r="B779" s="13"/>
      <c r="C779" s="13"/>
    </row>
    <row r="780" spans="1:3" ht="13" x14ac:dyDescent="0.15">
      <c r="A780" s="10"/>
      <c r="B780" s="13"/>
      <c r="C780" s="13"/>
    </row>
    <row r="781" spans="1:3" ht="13" x14ac:dyDescent="0.15">
      <c r="A781" s="10"/>
      <c r="B781" s="13"/>
      <c r="C781" s="13"/>
    </row>
    <row r="782" spans="1:3" ht="13" x14ac:dyDescent="0.15">
      <c r="A782" s="10"/>
      <c r="B782" s="13"/>
      <c r="C782" s="13"/>
    </row>
    <row r="783" spans="1:3" ht="13" x14ac:dyDescent="0.15">
      <c r="A783" s="10"/>
      <c r="B783" s="13"/>
      <c r="C783" s="13"/>
    </row>
    <row r="784" spans="1:3" ht="13" x14ac:dyDescent="0.15">
      <c r="A784" s="10"/>
      <c r="B784" s="13"/>
      <c r="C784" s="13"/>
    </row>
    <row r="785" spans="1:3" ht="13" x14ac:dyDescent="0.15">
      <c r="A785" s="10"/>
      <c r="B785" s="13"/>
      <c r="C785" s="13"/>
    </row>
    <row r="786" spans="1:3" ht="13" x14ac:dyDescent="0.15">
      <c r="A786" s="10"/>
      <c r="B786" s="13"/>
      <c r="C786" s="13"/>
    </row>
    <row r="787" spans="1:3" ht="13" x14ac:dyDescent="0.15">
      <c r="A787" s="10"/>
      <c r="B787" s="13"/>
      <c r="C787" s="13"/>
    </row>
    <row r="788" spans="1:3" ht="13" x14ac:dyDescent="0.15">
      <c r="A788" s="10"/>
      <c r="B788" s="13"/>
      <c r="C788" s="13"/>
    </row>
    <row r="789" spans="1:3" ht="13" x14ac:dyDescent="0.15">
      <c r="A789" s="10"/>
      <c r="B789" s="13"/>
      <c r="C789" s="13"/>
    </row>
    <row r="790" spans="1:3" ht="13" x14ac:dyDescent="0.15">
      <c r="A790" s="10"/>
      <c r="B790" s="13"/>
      <c r="C790" s="13"/>
    </row>
    <row r="791" spans="1:3" ht="13" x14ac:dyDescent="0.15">
      <c r="A791" s="10"/>
      <c r="B791" s="13"/>
      <c r="C791" s="13"/>
    </row>
    <row r="792" spans="1:3" ht="13" x14ac:dyDescent="0.15">
      <c r="A792" s="10"/>
      <c r="B792" s="13"/>
      <c r="C792" s="13"/>
    </row>
    <row r="793" spans="1:3" ht="13" x14ac:dyDescent="0.15">
      <c r="A793" s="10"/>
      <c r="B793" s="13"/>
      <c r="C793" s="13"/>
    </row>
    <row r="794" spans="1:3" ht="13" x14ac:dyDescent="0.15">
      <c r="A794" s="10"/>
      <c r="B794" s="13"/>
      <c r="C794" s="13"/>
    </row>
    <row r="795" spans="1:3" ht="13" x14ac:dyDescent="0.15">
      <c r="A795" s="10"/>
      <c r="B795" s="13"/>
      <c r="C795" s="13"/>
    </row>
    <row r="796" spans="1:3" ht="13" x14ac:dyDescent="0.15">
      <c r="A796" s="10"/>
      <c r="B796" s="13"/>
      <c r="C796" s="13"/>
    </row>
    <row r="797" spans="1:3" ht="13" x14ac:dyDescent="0.15">
      <c r="A797" s="10"/>
      <c r="B797" s="13"/>
      <c r="C797" s="13"/>
    </row>
    <row r="798" spans="1:3" ht="13" x14ac:dyDescent="0.15">
      <c r="A798" s="10"/>
      <c r="B798" s="13"/>
      <c r="C798" s="13"/>
    </row>
    <row r="799" spans="1:3" ht="13" x14ac:dyDescent="0.15">
      <c r="A799" s="10"/>
      <c r="B799" s="13"/>
      <c r="C799" s="13"/>
    </row>
    <row r="800" spans="1:3" ht="13" x14ac:dyDescent="0.15">
      <c r="A800" s="10"/>
      <c r="B800" s="13"/>
      <c r="C800" s="13"/>
    </row>
    <row r="801" spans="1:3" ht="13" x14ac:dyDescent="0.15">
      <c r="A801" s="10"/>
      <c r="B801" s="13"/>
      <c r="C801" s="13"/>
    </row>
    <row r="802" spans="1:3" ht="13" x14ac:dyDescent="0.15">
      <c r="A802" s="10"/>
      <c r="B802" s="13"/>
      <c r="C802" s="13"/>
    </row>
    <row r="803" spans="1:3" ht="13" x14ac:dyDescent="0.15">
      <c r="A803" s="10"/>
      <c r="B803" s="13"/>
      <c r="C803" s="13"/>
    </row>
    <row r="804" spans="1:3" ht="13" x14ac:dyDescent="0.15">
      <c r="A804" s="10"/>
      <c r="B804" s="13"/>
      <c r="C804" s="13"/>
    </row>
    <row r="805" spans="1:3" ht="13" x14ac:dyDescent="0.15">
      <c r="A805" s="10"/>
      <c r="B805" s="13"/>
      <c r="C805" s="13"/>
    </row>
    <row r="806" spans="1:3" ht="13" x14ac:dyDescent="0.15">
      <c r="A806" s="10"/>
      <c r="B806" s="13"/>
      <c r="C806" s="13"/>
    </row>
    <row r="807" spans="1:3" ht="13" x14ac:dyDescent="0.15">
      <c r="A807" s="10"/>
      <c r="B807" s="13"/>
      <c r="C807" s="13"/>
    </row>
    <row r="808" spans="1:3" ht="13" x14ac:dyDescent="0.15">
      <c r="A808" s="10"/>
      <c r="B808" s="13"/>
      <c r="C808" s="13"/>
    </row>
    <row r="809" spans="1:3" ht="13" x14ac:dyDescent="0.15">
      <c r="A809" s="10"/>
      <c r="B809" s="13"/>
      <c r="C809" s="13"/>
    </row>
    <row r="810" spans="1:3" ht="13" x14ac:dyDescent="0.15">
      <c r="A810" s="10"/>
      <c r="B810" s="13"/>
      <c r="C810" s="13"/>
    </row>
    <row r="811" spans="1:3" ht="13" x14ac:dyDescent="0.15">
      <c r="A811" s="10"/>
      <c r="B811" s="13"/>
      <c r="C811" s="13"/>
    </row>
    <row r="812" spans="1:3" ht="13" x14ac:dyDescent="0.15">
      <c r="A812" s="10"/>
      <c r="B812" s="13"/>
      <c r="C812" s="13"/>
    </row>
    <row r="813" spans="1:3" ht="13" x14ac:dyDescent="0.15">
      <c r="A813" s="10"/>
      <c r="B813" s="13"/>
      <c r="C813" s="13"/>
    </row>
    <row r="814" spans="1:3" ht="13" x14ac:dyDescent="0.15">
      <c r="A814" s="10"/>
      <c r="B814" s="13"/>
      <c r="C814" s="13"/>
    </row>
    <row r="815" spans="1:3" ht="13" x14ac:dyDescent="0.15">
      <c r="A815" s="10"/>
      <c r="B815" s="13"/>
      <c r="C815" s="13"/>
    </row>
    <row r="816" spans="1:3" ht="13" x14ac:dyDescent="0.15">
      <c r="A816" s="10"/>
      <c r="B816" s="13"/>
      <c r="C816" s="13"/>
    </row>
    <row r="817" spans="1:3" ht="13" x14ac:dyDescent="0.15">
      <c r="A817" s="10"/>
      <c r="B817" s="13"/>
      <c r="C817" s="13"/>
    </row>
    <row r="818" spans="1:3" ht="13" x14ac:dyDescent="0.15">
      <c r="A818" s="10"/>
      <c r="B818" s="13"/>
      <c r="C818" s="13"/>
    </row>
    <row r="819" spans="1:3" ht="13" x14ac:dyDescent="0.15">
      <c r="A819" s="10"/>
      <c r="B819" s="13"/>
      <c r="C819" s="13"/>
    </row>
    <row r="820" spans="1:3" ht="13" x14ac:dyDescent="0.15">
      <c r="A820" s="10"/>
      <c r="B820" s="13"/>
      <c r="C820" s="13"/>
    </row>
    <row r="821" spans="1:3" ht="13" x14ac:dyDescent="0.15">
      <c r="A821" s="10"/>
      <c r="B821" s="13"/>
      <c r="C821" s="13"/>
    </row>
    <row r="822" spans="1:3" ht="13" x14ac:dyDescent="0.15">
      <c r="A822" s="10"/>
      <c r="B822" s="13"/>
      <c r="C822" s="13"/>
    </row>
    <row r="823" spans="1:3" ht="13" x14ac:dyDescent="0.15">
      <c r="A823" s="10"/>
      <c r="B823" s="13"/>
      <c r="C823" s="13"/>
    </row>
    <row r="824" spans="1:3" ht="13" x14ac:dyDescent="0.15">
      <c r="A824" s="10"/>
      <c r="B824" s="13"/>
      <c r="C824" s="13"/>
    </row>
    <row r="825" spans="1:3" ht="13" x14ac:dyDescent="0.15">
      <c r="A825" s="10"/>
      <c r="B825" s="13"/>
      <c r="C825" s="13"/>
    </row>
    <row r="826" spans="1:3" ht="13" x14ac:dyDescent="0.15">
      <c r="A826" s="10"/>
      <c r="B826" s="13"/>
      <c r="C826" s="13"/>
    </row>
    <row r="827" spans="1:3" ht="13" x14ac:dyDescent="0.15">
      <c r="A827" s="10"/>
      <c r="B827" s="13"/>
      <c r="C827" s="13"/>
    </row>
    <row r="828" spans="1:3" ht="13" x14ac:dyDescent="0.15">
      <c r="A828" s="10"/>
      <c r="B828" s="13"/>
      <c r="C828" s="13"/>
    </row>
    <row r="829" spans="1:3" ht="13" x14ac:dyDescent="0.15">
      <c r="A829" s="10"/>
      <c r="B829" s="13"/>
      <c r="C829" s="13"/>
    </row>
    <row r="830" spans="1:3" ht="13" x14ac:dyDescent="0.15">
      <c r="A830" s="10"/>
      <c r="B830" s="13"/>
      <c r="C830" s="13"/>
    </row>
    <row r="831" spans="1:3" ht="13" x14ac:dyDescent="0.15">
      <c r="A831" s="10"/>
      <c r="B831" s="13"/>
      <c r="C831" s="13"/>
    </row>
    <row r="832" spans="1:3" ht="13" x14ac:dyDescent="0.15">
      <c r="A832" s="10"/>
      <c r="B832" s="13"/>
      <c r="C832" s="13"/>
    </row>
    <row r="833" spans="1:3" ht="13" x14ac:dyDescent="0.15">
      <c r="A833" s="10"/>
      <c r="B833" s="13"/>
      <c r="C833" s="13"/>
    </row>
    <row r="834" spans="1:3" ht="13" x14ac:dyDescent="0.15">
      <c r="A834" s="10"/>
      <c r="B834" s="13"/>
      <c r="C834" s="13"/>
    </row>
    <row r="835" spans="1:3" ht="13" x14ac:dyDescent="0.15">
      <c r="A835" s="10"/>
      <c r="B835" s="13"/>
      <c r="C835" s="13"/>
    </row>
    <row r="836" spans="1:3" ht="13" x14ac:dyDescent="0.15">
      <c r="A836" s="10"/>
      <c r="B836" s="13"/>
      <c r="C836" s="13"/>
    </row>
    <row r="837" spans="1:3" ht="13" x14ac:dyDescent="0.15">
      <c r="A837" s="10"/>
      <c r="B837" s="13"/>
      <c r="C837" s="13"/>
    </row>
    <row r="838" spans="1:3" ht="13" x14ac:dyDescent="0.15">
      <c r="A838" s="10"/>
      <c r="B838" s="13"/>
      <c r="C838" s="13"/>
    </row>
    <row r="839" spans="1:3" ht="13" x14ac:dyDescent="0.15">
      <c r="A839" s="10"/>
      <c r="B839" s="13"/>
      <c r="C839" s="13"/>
    </row>
    <row r="840" spans="1:3" ht="13" x14ac:dyDescent="0.15">
      <c r="A840" s="10"/>
      <c r="B840" s="13"/>
      <c r="C840" s="13"/>
    </row>
    <row r="841" spans="1:3" ht="13" x14ac:dyDescent="0.15">
      <c r="A841" s="10"/>
      <c r="B841" s="13"/>
      <c r="C841" s="13"/>
    </row>
    <row r="842" spans="1:3" ht="13" x14ac:dyDescent="0.15">
      <c r="A842" s="10"/>
      <c r="B842" s="13"/>
      <c r="C842" s="13"/>
    </row>
    <row r="843" spans="1:3" ht="13" x14ac:dyDescent="0.15">
      <c r="A843" s="10"/>
      <c r="B843" s="13"/>
      <c r="C843" s="13"/>
    </row>
    <row r="844" spans="1:3" ht="13" x14ac:dyDescent="0.15">
      <c r="A844" s="10"/>
      <c r="B844" s="13"/>
      <c r="C844" s="13"/>
    </row>
    <row r="845" spans="1:3" ht="13" x14ac:dyDescent="0.15">
      <c r="A845" s="10"/>
      <c r="B845" s="13"/>
      <c r="C845" s="13"/>
    </row>
    <row r="846" spans="1:3" ht="13" x14ac:dyDescent="0.15">
      <c r="A846" s="10"/>
      <c r="B846" s="13"/>
      <c r="C846" s="13"/>
    </row>
    <row r="847" spans="1:3" ht="13" x14ac:dyDescent="0.15">
      <c r="A847" s="10"/>
      <c r="B847" s="13"/>
      <c r="C847" s="13"/>
    </row>
    <row r="848" spans="1:3" ht="13" x14ac:dyDescent="0.15">
      <c r="A848" s="10"/>
      <c r="B848" s="13"/>
      <c r="C848" s="13"/>
    </row>
    <row r="849" spans="1:3" ht="13" x14ac:dyDescent="0.15">
      <c r="A849" s="10"/>
      <c r="B849" s="13"/>
      <c r="C849" s="13"/>
    </row>
    <row r="850" spans="1:3" ht="13" x14ac:dyDescent="0.15">
      <c r="A850" s="10"/>
      <c r="B850" s="13"/>
      <c r="C850" s="13"/>
    </row>
    <row r="851" spans="1:3" ht="13" x14ac:dyDescent="0.15">
      <c r="A851" s="10"/>
      <c r="B851" s="13"/>
      <c r="C851" s="13"/>
    </row>
    <row r="852" spans="1:3" ht="13" x14ac:dyDescent="0.15">
      <c r="A852" s="10"/>
      <c r="B852" s="13"/>
      <c r="C852" s="13"/>
    </row>
    <row r="853" spans="1:3" ht="13" x14ac:dyDescent="0.15">
      <c r="A853" s="10"/>
      <c r="B853" s="13"/>
      <c r="C853" s="13"/>
    </row>
    <row r="854" spans="1:3" ht="13" x14ac:dyDescent="0.15">
      <c r="A854" s="10"/>
      <c r="B854" s="13"/>
      <c r="C854" s="13"/>
    </row>
    <row r="855" spans="1:3" ht="13" x14ac:dyDescent="0.15">
      <c r="A855" s="10"/>
      <c r="B855" s="13"/>
      <c r="C855" s="13"/>
    </row>
    <row r="856" spans="1:3" ht="13" x14ac:dyDescent="0.15">
      <c r="A856" s="10"/>
      <c r="B856" s="13"/>
      <c r="C856" s="13"/>
    </row>
    <row r="857" spans="1:3" ht="13" x14ac:dyDescent="0.15">
      <c r="A857" s="10"/>
      <c r="B857" s="13"/>
      <c r="C857" s="13"/>
    </row>
    <row r="858" spans="1:3" ht="13" x14ac:dyDescent="0.15">
      <c r="A858" s="10"/>
      <c r="B858" s="13"/>
      <c r="C858" s="13"/>
    </row>
    <row r="859" spans="1:3" ht="13" x14ac:dyDescent="0.15">
      <c r="A859" s="10"/>
      <c r="B859" s="13"/>
      <c r="C859" s="13"/>
    </row>
    <row r="860" spans="1:3" ht="13" x14ac:dyDescent="0.15">
      <c r="A860" s="10"/>
      <c r="B860" s="13"/>
      <c r="C860" s="13"/>
    </row>
    <row r="861" spans="1:3" ht="13" x14ac:dyDescent="0.15">
      <c r="A861" s="10"/>
      <c r="B861" s="13"/>
      <c r="C861" s="13"/>
    </row>
    <row r="862" spans="1:3" ht="13" x14ac:dyDescent="0.15">
      <c r="A862" s="10"/>
      <c r="B862" s="13"/>
      <c r="C862" s="13"/>
    </row>
    <row r="863" spans="1:3" ht="13" x14ac:dyDescent="0.15">
      <c r="A863" s="10"/>
      <c r="B863" s="13"/>
      <c r="C863" s="13"/>
    </row>
    <row r="864" spans="1:3" ht="13" x14ac:dyDescent="0.15">
      <c r="A864" s="10"/>
      <c r="B864" s="13"/>
      <c r="C864" s="13"/>
    </row>
    <row r="865" spans="1:3" ht="13" x14ac:dyDescent="0.15">
      <c r="A865" s="10"/>
      <c r="B865" s="13"/>
      <c r="C865" s="13"/>
    </row>
    <row r="866" spans="1:3" ht="13" x14ac:dyDescent="0.15">
      <c r="A866" s="10"/>
      <c r="B866" s="13"/>
      <c r="C866" s="13"/>
    </row>
    <row r="867" spans="1:3" ht="13" x14ac:dyDescent="0.15">
      <c r="A867" s="10"/>
      <c r="B867" s="13"/>
      <c r="C867" s="13"/>
    </row>
    <row r="868" spans="1:3" ht="13" x14ac:dyDescent="0.15">
      <c r="A868" s="10"/>
      <c r="B868" s="13"/>
      <c r="C868" s="13"/>
    </row>
    <row r="869" spans="1:3" ht="13" x14ac:dyDescent="0.15">
      <c r="A869" s="10"/>
      <c r="B869" s="13"/>
      <c r="C869" s="13"/>
    </row>
    <row r="870" spans="1:3" ht="13" x14ac:dyDescent="0.15">
      <c r="A870" s="10"/>
      <c r="B870" s="13"/>
      <c r="C870" s="13"/>
    </row>
    <row r="871" spans="1:3" ht="13" x14ac:dyDescent="0.15">
      <c r="A871" s="10"/>
      <c r="B871" s="13"/>
      <c r="C871" s="13"/>
    </row>
    <row r="872" spans="1:3" ht="13" x14ac:dyDescent="0.15">
      <c r="A872" s="10"/>
      <c r="B872" s="13"/>
      <c r="C872" s="13"/>
    </row>
    <row r="873" spans="1:3" ht="13" x14ac:dyDescent="0.15">
      <c r="A873" s="10"/>
      <c r="B873" s="13"/>
      <c r="C873" s="13"/>
    </row>
    <row r="874" spans="1:3" ht="13" x14ac:dyDescent="0.15">
      <c r="A874" s="10"/>
      <c r="B874" s="13"/>
      <c r="C874" s="13"/>
    </row>
    <row r="875" spans="1:3" ht="13" x14ac:dyDescent="0.15">
      <c r="A875" s="10"/>
      <c r="B875" s="13"/>
      <c r="C875" s="13"/>
    </row>
    <row r="876" spans="1:3" ht="13" x14ac:dyDescent="0.15">
      <c r="A876" s="10"/>
      <c r="B876" s="13"/>
      <c r="C876" s="13"/>
    </row>
    <row r="877" spans="1:3" ht="13" x14ac:dyDescent="0.15">
      <c r="A877" s="10"/>
      <c r="B877" s="13"/>
      <c r="C877" s="13"/>
    </row>
    <row r="878" spans="1:3" ht="13" x14ac:dyDescent="0.15">
      <c r="A878" s="10"/>
      <c r="B878" s="13"/>
      <c r="C878" s="13"/>
    </row>
    <row r="879" spans="1:3" ht="13" x14ac:dyDescent="0.15">
      <c r="A879" s="10"/>
      <c r="B879" s="13"/>
      <c r="C879" s="13"/>
    </row>
    <row r="880" spans="1:3" ht="13" x14ac:dyDescent="0.15">
      <c r="A880" s="10"/>
      <c r="B880" s="13"/>
      <c r="C880" s="13"/>
    </row>
    <row r="881" spans="1:3" ht="13" x14ac:dyDescent="0.15">
      <c r="A881" s="10"/>
      <c r="B881" s="13"/>
      <c r="C881" s="13"/>
    </row>
    <row r="882" spans="1:3" ht="13" x14ac:dyDescent="0.15">
      <c r="A882" s="10"/>
      <c r="B882" s="13"/>
      <c r="C882" s="13"/>
    </row>
    <row r="883" spans="1:3" ht="13" x14ac:dyDescent="0.15">
      <c r="A883" s="10"/>
      <c r="B883" s="13"/>
      <c r="C883" s="13"/>
    </row>
    <row r="884" spans="1:3" ht="13" x14ac:dyDescent="0.15">
      <c r="A884" s="10"/>
      <c r="B884" s="13"/>
      <c r="C884" s="13"/>
    </row>
    <row r="885" spans="1:3" ht="13" x14ac:dyDescent="0.15">
      <c r="A885" s="10"/>
      <c r="B885" s="13"/>
      <c r="C885" s="13"/>
    </row>
    <row r="886" spans="1:3" ht="13" x14ac:dyDescent="0.15">
      <c r="A886" s="10"/>
      <c r="B886" s="13"/>
      <c r="C886" s="13"/>
    </row>
    <row r="887" spans="1:3" ht="13" x14ac:dyDescent="0.15">
      <c r="A887" s="10"/>
      <c r="B887" s="13"/>
      <c r="C887" s="13"/>
    </row>
    <row r="888" spans="1:3" ht="13" x14ac:dyDescent="0.15">
      <c r="A888" s="10"/>
      <c r="B888" s="13"/>
      <c r="C888" s="13"/>
    </row>
    <row r="889" spans="1:3" ht="13" x14ac:dyDescent="0.15">
      <c r="A889" s="10"/>
      <c r="B889" s="13"/>
      <c r="C889" s="13"/>
    </row>
    <row r="890" spans="1:3" ht="13" x14ac:dyDescent="0.15">
      <c r="A890" s="10"/>
      <c r="B890" s="13"/>
      <c r="C890" s="13"/>
    </row>
    <row r="891" spans="1:3" ht="13" x14ac:dyDescent="0.15">
      <c r="A891" s="10"/>
      <c r="B891" s="13"/>
      <c r="C891" s="13"/>
    </row>
    <row r="892" spans="1:3" ht="13" x14ac:dyDescent="0.15">
      <c r="A892" s="10"/>
      <c r="B892" s="13"/>
      <c r="C892" s="13"/>
    </row>
    <row r="893" spans="1:3" ht="13" x14ac:dyDescent="0.15">
      <c r="A893" s="10"/>
      <c r="B893" s="13"/>
      <c r="C893" s="13"/>
    </row>
    <row r="894" spans="1:3" ht="13" x14ac:dyDescent="0.15">
      <c r="A894" s="10"/>
      <c r="B894" s="13"/>
      <c r="C894" s="13"/>
    </row>
    <row r="895" spans="1:3" ht="13" x14ac:dyDescent="0.15">
      <c r="A895" s="10"/>
      <c r="B895" s="13"/>
      <c r="C895" s="13"/>
    </row>
    <row r="896" spans="1:3" ht="13" x14ac:dyDescent="0.15">
      <c r="A896" s="10"/>
      <c r="B896" s="13"/>
      <c r="C896" s="13"/>
    </row>
    <row r="897" spans="1:3" ht="13" x14ac:dyDescent="0.15">
      <c r="A897" s="10"/>
      <c r="B897" s="13"/>
      <c r="C897" s="13"/>
    </row>
    <row r="898" spans="1:3" ht="13" x14ac:dyDescent="0.15">
      <c r="A898" s="10"/>
      <c r="B898" s="13"/>
      <c r="C898" s="13"/>
    </row>
    <row r="899" spans="1:3" ht="13" x14ac:dyDescent="0.15">
      <c r="A899" s="10"/>
      <c r="B899" s="13"/>
      <c r="C899" s="13"/>
    </row>
    <row r="900" spans="1:3" ht="13" x14ac:dyDescent="0.15">
      <c r="A900" s="10"/>
      <c r="B900" s="13"/>
      <c r="C900" s="13"/>
    </row>
    <row r="901" spans="1:3" ht="13" x14ac:dyDescent="0.15">
      <c r="A901" s="10"/>
      <c r="B901" s="13"/>
      <c r="C901" s="13"/>
    </row>
    <row r="902" spans="1:3" ht="13" x14ac:dyDescent="0.15">
      <c r="A902" s="10"/>
      <c r="B902" s="13"/>
      <c r="C902" s="13"/>
    </row>
    <row r="903" spans="1:3" ht="13" x14ac:dyDescent="0.15">
      <c r="A903" s="10"/>
      <c r="B903" s="13"/>
      <c r="C903" s="13"/>
    </row>
    <row r="904" spans="1:3" ht="13" x14ac:dyDescent="0.15">
      <c r="A904" s="10"/>
      <c r="B904" s="13"/>
      <c r="C904" s="13"/>
    </row>
    <row r="905" spans="1:3" ht="13" x14ac:dyDescent="0.15">
      <c r="A905" s="10"/>
      <c r="B905" s="13"/>
      <c r="C905" s="13"/>
    </row>
    <row r="906" spans="1:3" ht="13" x14ac:dyDescent="0.15">
      <c r="A906" s="10"/>
      <c r="B906" s="13"/>
      <c r="C906" s="13"/>
    </row>
    <row r="907" spans="1:3" ht="13" x14ac:dyDescent="0.15">
      <c r="A907" s="10"/>
      <c r="B907" s="13"/>
      <c r="C907" s="13"/>
    </row>
    <row r="908" spans="1:3" ht="13" x14ac:dyDescent="0.15">
      <c r="A908" s="10"/>
      <c r="B908" s="13"/>
      <c r="C908" s="13"/>
    </row>
    <row r="909" spans="1:3" ht="13" x14ac:dyDescent="0.15">
      <c r="A909" s="10"/>
      <c r="B909" s="13"/>
      <c r="C909" s="13"/>
    </row>
    <row r="910" spans="1:3" ht="13" x14ac:dyDescent="0.15">
      <c r="A910" s="10"/>
      <c r="B910" s="13"/>
      <c r="C910" s="13"/>
    </row>
    <row r="911" spans="1:3" ht="13" x14ac:dyDescent="0.15">
      <c r="A911" s="10"/>
      <c r="B911" s="13"/>
      <c r="C911" s="13"/>
    </row>
    <row r="912" spans="1:3" ht="13" x14ac:dyDescent="0.15">
      <c r="A912" s="10"/>
      <c r="B912" s="13"/>
      <c r="C912" s="13"/>
    </row>
    <row r="913" spans="1:3" ht="13" x14ac:dyDescent="0.15">
      <c r="A913" s="10"/>
      <c r="B913" s="13"/>
      <c r="C913" s="13"/>
    </row>
    <row r="914" spans="1:3" ht="13" x14ac:dyDescent="0.15">
      <c r="A914" s="10"/>
      <c r="B914" s="13"/>
      <c r="C914" s="13"/>
    </row>
    <row r="915" spans="1:3" ht="13" x14ac:dyDescent="0.15">
      <c r="A915" s="10"/>
      <c r="B915" s="13"/>
      <c r="C915" s="13"/>
    </row>
    <row r="916" spans="1:3" ht="13" x14ac:dyDescent="0.15">
      <c r="A916" s="10"/>
      <c r="B916" s="13"/>
      <c r="C916" s="13"/>
    </row>
    <row r="917" spans="1:3" ht="13" x14ac:dyDescent="0.15">
      <c r="A917" s="10"/>
      <c r="B917" s="13"/>
      <c r="C917" s="13"/>
    </row>
    <row r="918" spans="1:3" ht="13" x14ac:dyDescent="0.15">
      <c r="A918" s="10"/>
      <c r="B918" s="13"/>
      <c r="C918" s="13"/>
    </row>
    <row r="919" spans="1:3" ht="13" x14ac:dyDescent="0.15">
      <c r="A919" s="10"/>
      <c r="B919" s="13"/>
      <c r="C919" s="13"/>
    </row>
    <row r="920" spans="1:3" ht="13" x14ac:dyDescent="0.15">
      <c r="A920" s="10"/>
      <c r="B920" s="13"/>
      <c r="C920" s="13"/>
    </row>
    <row r="921" spans="1:3" ht="13" x14ac:dyDescent="0.15">
      <c r="A921" s="10"/>
      <c r="B921" s="13"/>
      <c r="C921" s="13"/>
    </row>
    <row r="922" spans="1:3" ht="13" x14ac:dyDescent="0.15">
      <c r="A922" s="10"/>
      <c r="B922" s="13"/>
      <c r="C922" s="13"/>
    </row>
    <row r="923" spans="1:3" ht="13" x14ac:dyDescent="0.15">
      <c r="A923" s="10"/>
      <c r="B923" s="13"/>
      <c r="C923" s="13"/>
    </row>
    <row r="924" spans="1:3" ht="13" x14ac:dyDescent="0.15">
      <c r="A924" s="10"/>
      <c r="B924" s="13"/>
      <c r="C924" s="13"/>
    </row>
    <row r="925" spans="1:3" ht="13" x14ac:dyDescent="0.15">
      <c r="A925" s="10"/>
      <c r="B925" s="13"/>
      <c r="C925" s="13"/>
    </row>
    <row r="926" spans="1:3" ht="13" x14ac:dyDescent="0.15">
      <c r="A926" s="10"/>
      <c r="B926" s="13"/>
      <c r="C926" s="13"/>
    </row>
    <row r="927" spans="1:3" ht="13" x14ac:dyDescent="0.15">
      <c r="A927" s="10"/>
      <c r="B927" s="13"/>
      <c r="C927" s="13"/>
    </row>
    <row r="928" spans="1:3" ht="13" x14ac:dyDescent="0.15">
      <c r="A928" s="10"/>
      <c r="B928" s="13"/>
      <c r="C928" s="13"/>
    </row>
    <row r="929" spans="1:3" ht="13" x14ac:dyDescent="0.15">
      <c r="A929" s="10"/>
      <c r="B929" s="13"/>
      <c r="C929" s="13"/>
    </row>
    <row r="930" spans="1:3" ht="13" x14ac:dyDescent="0.15">
      <c r="A930" s="10"/>
      <c r="B930" s="13"/>
      <c r="C930" s="13"/>
    </row>
    <row r="931" spans="1:3" ht="13" x14ac:dyDescent="0.15">
      <c r="A931" s="10"/>
      <c r="B931" s="13"/>
      <c r="C931" s="13"/>
    </row>
    <row r="932" spans="1:3" ht="13" x14ac:dyDescent="0.15">
      <c r="A932" s="10"/>
      <c r="B932" s="13"/>
      <c r="C932" s="13"/>
    </row>
    <row r="933" spans="1:3" ht="13" x14ac:dyDescent="0.15">
      <c r="A933" s="10"/>
      <c r="B933" s="13"/>
      <c r="C933" s="13"/>
    </row>
    <row r="934" spans="1:3" ht="13" x14ac:dyDescent="0.15">
      <c r="A934" s="10"/>
      <c r="B934" s="13"/>
      <c r="C934" s="13"/>
    </row>
    <row r="935" spans="1:3" ht="13" x14ac:dyDescent="0.15">
      <c r="A935" s="10"/>
      <c r="B935" s="13"/>
      <c r="C935" s="13"/>
    </row>
    <row r="936" spans="1:3" ht="13" x14ac:dyDescent="0.15">
      <c r="A936" s="10"/>
      <c r="B936" s="13"/>
      <c r="C936" s="13"/>
    </row>
    <row r="937" spans="1:3" ht="13" x14ac:dyDescent="0.15">
      <c r="A937" s="10"/>
      <c r="B937" s="13"/>
      <c r="C937" s="13"/>
    </row>
    <row r="938" spans="1:3" ht="13" x14ac:dyDescent="0.15">
      <c r="A938" s="10"/>
      <c r="B938" s="13"/>
      <c r="C938" s="13"/>
    </row>
    <row r="939" spans="1:3" ht="13" x14ac:dyDescent="0.15">
      <c r="A939" s="10"/>
      <c r="B939" s="13"/>
      <c r="C939" s="13"/>
    </row>
    <row r="940" spans="1:3" ht="13" x14ac:dyDescent="0.15">
      <c r="A940" s="10"/>
      <c r="B940" s="13"/>
      <c r="C940" s="13"/>
    </row>
    <row r="941" spans="1:3" ht="13" x14ac:dyDescent="0.15">
      <c r="A941" s="10"/>
      <c r="B941" s="13"/>
      <c r="C941" s="13"/>
    </row>
    <row r="942" spans="1:3" ht="13" x14ac:dyDescent="0.15">
      <c r="A942" s="10"/>
      <c r="B942" s="13"/>
      <c r="C942" s="13"/>
    </row>
    <row r="943" spans="1:3" ht="13" x14ac:dyDescent="0.15">
      <c r="A943" s="10"/>
      <c r="B943" s="13"/>
      <c r="C943" s="13"/>
    </row>
    <row r="944" spans="1:3" ht="13" x14ac:dyDescent="0.15">
      <c r="A944" s="10"/>
      <c r="B944" s="13"/>
      <c r="C944" s="13"/>
    </row>
    <row r="945" spans="1:3" ht="13" x14ac:dyDescent="0.15">
      <c r="A945" s="10"/>
      <c r="B945" s="13"/>
      <c r="C945" s="13"/>
    </row>
    <row r="946" spans="1:3" ht="13" x14ac:dyDescent="0.15">
      <c r="A946" s="10"/>
      <c r="B946" s="13"/>
      <c r="C946" s="13"/>
    </row>
    <row r="947" spans="1:3" ht="13" x14ac:dyDescent="0.15">
      <c r="A947" s="10"/>
      <c r="B947" s="13"/>
      <c r="C947" s="13"/>
    </row>
    <row r="948" spans="1:3" ht="13" x14ac:dyDescent="0.15">
      <c r="A948" s="10"/>
      <c r="B948" s="13"/>
      <c r="C948" s="13"/>
    </row>
    <row r="949" spans="1:3" ht="13" x14ac:dyDescent="0.15">
      <c r="A949" s="10"/>
      <c r="B949" s="13"/>
      <c r="C949" s="13"/>
    </row>
    <row r="950" spans="1:3" ht="13" x14ac:dyDescent="0.15">
      <c r="A950" s="10"/>
      <c r="B950" s="13"/>
      <c r="C950" s="13"/>
    </row>
    <row r="951" spans="1:3" ht="13" x14ac:dyDescent="0.15">
      <c r="A951" s="10"/>
      <c r="B951" s="13"/>
      <c r="C951" s="13"/>
    </row>
    <row r="952" spans="1:3" ht="13" x14ac:dyDescent="0.15">
      <c r="A952" s="10"/>
      <c r="B952" s="13"/>
      <c r="C952" s="13"/>
    </row>
    <row r="953" spans="1:3" ht="13" x14ac:dyDescent="0.15">
      <c r="A953" s="10"/>
      <c r="B953" s="13"/>
      <c r="C953" s="13"/>
    </row>
    <row r="954" spans="1:3" ht="13" x14ac:dyDescent="0.15">
      <c r="A954" s="10"/>
      <c r="B954" s="13"/>
      <c r="C954" s="13"/>
    </row>
    <row r="955" spans="1:3" ht="13" x14ac:dyDescent="0.15">
      <c r="A955" s="10"/>
      <c r="B955" s="13"/>
      <c r="C955" s="13"/>
    </row>
    <row r="956" spans="1:3" ht="13" x14ac:dyDescent="0.15">
      <c r="A956" s="10"/>
      <c r="B956" s="13"/>
      <c r="C956" s="13"/>
    </row>
    <row r="957" spans="1:3" ht="13" x14ac:dyDescent="0.15">
      <c r="A957" s="10"/>
      <c r="B957" s="13"/>
      <c r="C957" s="13"/>
    </row>
    <row r="958" spans="1:3" ht="13" x14ac:dyDescent="0.15">
      <c r="A958" s="10"/>
      <c r="B958" s="13"/>
      <c r="C958" s="13"/>
    </row>
    <row r="959" spans="1:3" ht="13" x14ac:dyDescent="0.15">
      <c r="A959" s="10"/>
      <c r="B959" s="13"/>
      <c r="C959" s="13"/>
    </row>
    <row r="960" spans="1:3" ht="13" x14ac:dyDescent="0.15">
      <c r="A960" s="10"/>
      <c r="B960" s="13"/>
      <c r="C960" s="13"/>
    </row>
    <row r="961" spans="1:3" ht="13" x14ac:dyDescent="0.15">
      <c r="A961" s="10"/>
      <c r="B961" s="13"/>
      <c r="C961" s="13"/>
    </row>
    <row r="962" spans="1:3" ht="13" x14ac:dyDescent="0.15">
      <c r="A962" s="10"/>
      <c r="B962" s="13"/>
      <c r="C962" s="13"/>
    </row>
    <row r="963" spans="1:3" ht="13" x14ac:dyDescent="0.15">
      <c r="A963" s="10"/>
      <c r="B963" s="13"/>
      <c r="C963" s="13"/>
    </row>
    <row r="964" spans="1:3" ht="13" x14ac:dyDescent="0.15">
      <c r="A964" s="10"/>
      <c r="B964" s="13"/>
      <c r="C964" s="13"/>
    </row>
    <row r="965" spans="1:3" ht="13" x14ac:dyDescent="0.15">
      <c r="A965" s="10"/>
      <c r="B965" s="13"/>
      <c r="C965" s="13"/>
    </row>
    <row r="966" spans="1:3" ht="13" x14ac:dyDescent="0.15">
      <c r="A966" s="10"/>
      <c r="B966" s="13"/>
      <c r="C966" s="13"/>
    </row>
    <row r="967" spans="1:3" ht="13" x14ac:dyDescent="0.15">
      <c r="A967" s="10"/>
      <c r="B967" s="13"/>
      <c r="C967" s="13"/>
    </row>
    <row r="968" spans="1:3" ht="13" x14ac:dyDescent="0.15">
      <c r="A968" s="10"/>
      <c r="B968" s="13"/>
      <c r="C968" s="13"/>
    </row>
    <row r="969" spans="1:3" ht="13" x14ac:dyDescent="0.15">
      <c r="A969" s="10"/>
      <c r="B969" s="13"/>
      <c r="C969" s="13"/>
    </row>
    <row r="970" spans="1:3" ht="13" x14ac:dyDescent="0.15">
      <c r="A970" s="10"/>
      <c r="B970" s="13"/>
      <c r="C970" s="13"/>
    </row>
    <row r="971" spans="1:3" ht="13" x14ac:dyDescent="0.15">
      <c r="A971" s="10"/>
      <c r="B971" s="13"/>
      <c r="C971" s="13"/>
    </row>
    <row r="972" spans="1:3" ht="13" x14ac:dyDescent="0.15">
      <c r="A972" s="10"/>
      <c r="B972" s="13"/>
      <c r="C972" s="13"/>
    </row>
    <row r="973" spans="1:3" ht="13" x14ac:dyDescent="0.15">
      <c r="A973" s="10"/>
      <c r="B973" s="13"/>
      <c r="C973" s="13"/>
    </row>
    <row r="974" spans="1:3" ht="13" x14ac:dyDescent="0.15">
      <c r="A974" s="10"/>
      <c r="B974" s="13"/>
      <c r="C974" s="13"/>
    </row>
    <row r="975" spans="1:3" ht="13" x14ac:dyDescent="0.15">
      <c r="A975" s="10"/>
      <c r="B975" s="13"/>
      <c r="C975" s="13"/>
    </row>
    <row r="976" spans="1:3" ht="13" x14ac:dyDescent="0.15">
      <c r="A976" s="10"/>
      <c r="B976" s="13"/>
      <c r="C976" s="13"/>
    </row>
    <row r="977" spans="1:3" ht="13" x14ac:dyDescent="0.15">
      <c r="A977" s="10"/>
      <c r="B977" s="13"/>
      <c r="C977" s="13"/>
    </row>
    <row r="978" spans="1:3" ht="13" x14ac:dyDescent="0.15">
      <c r="A978" s="10"/>
      <c r="B978" s="13"/>
      <c r="C978" s="13"/>
    </row>
    <row r="979" spans="1:3" ht="13" x14ac:dyDescent="0.15">
      <c r="A979" s="10"/>
      <c r="B979" s="13"/>
      <c r="C979" s="13"/>
    </row>
    <row r="980" spans="1:3" ht="13" x14ac:dyDescent="0.15">
      <c r="A980" s="10"/>
      <c r="B980" s="13"/>
      <c r="C980" s="13"/>
    </row>
    <row r="981" spans="1:3" ht="13" x14ac:dyDescent="0.15">
      <c r="A981" s="10"/>
      <c r="B981" s="13"/>
      <c r="C981" s="13"/>
    </row>
    <row r="982" spans="1:3" ht="13" x14ac:dyDescent="0.15">
      <c r="A982" s="10"/>
      <c r="B982" s="13"/>
      <c r="C982" s="13"/>
    </row>
    <row r="983" spans="1:3" ht="13" x14ac:dyDescent="0.15">
      <c r="A983" s="10"/>
      <c r="B983" s="13"/>
      <c r="C983" s="13"/>
    </row>
    <row r="984" spans="1:3" ht="13" x14ac:dyDescent="0.15">
      <c r="A984" s="10"/>
      <c r="B984" s="13"/>
      <c r="C984" s="13"/>
    </row>
    <row r="985" spans="1:3" ht="13" x14ac:dyDescent="0.15">
      <c r="A985" s="10"/>
      <c r="B985" s="13"/>
      <c r="C985" s="13"/>
    </row>
    <row r="986" spans="1:3" ht="13" x14ac:dyDescent="0.15">
      <c r="A986" s="10"/>
      <c r="B986" s="13"/>
      <c r="C986" s="13"/>
    </row>
    <row r="987" spans="1:3" ht="13" x14ac:dyDescent="0.15">
      <c r="A987" s="10"/>
      <c r="B987" s="13"/>
      <c r="C987" s="13"/>
    </row>
    <row r="988" spans="1:3" ht="13" x14ac:dyDescent="0.15">
      <c r="A988" s="10"/>
      <c r="B988" s="13"/>
      <c r="C988" s="13"/>
    </row>
    <row r="989" spans="1:3" ht="13" x14ac:dyDescent="0.15">
      <c r="A989" s="10"/>
      <c r="B989" s="13"/>
      <c r="C989" s="13"/>
    </row>
    <row r="990" spans="1:3" ht="13" x14ac:dyDescent="0.15">
      <c r="A990" s="10"/>
      <c r="B990" s="13"/>
      <c r="C990" s="13"/>
    </row>
    <row r="991" spans="1:3" ht="13" x14ac:dyDescent="0.15">
      <c r="A991" s="10"/>
      <c r="B991" s="13"/>
      <c r="C991" s="13"/>
    </row>
    <row r="992" spans="1:3" ht="13" x14ac:dyDescent="0.15">
      <c r="A992" s="10"/>
      <c r="B992" s="13"/>
      <c r="C992" s="13"/>
    </row>
    <row r="993" spans="1:3" ht="13" x14ac:dyDescent="0.15">
      <c r="A993" s="10"/>
      <c r="B993" s="13"/>
      <c r="C993" s="13"/>
    </row>
    <row r="994" spans="1:3" ht="13" x14ac:dyDescent="0.15">
      <c r="A994" s="10"/>
      <c r="B994" s="13"/>
      <c r="C994" s="13"/>
    </row>
    <row r="995" spans="1:3" ht="13" x14ac:dyDescent="0.15">
      <c r="A995" s="10"/>
      <c r="B995" s="13"/>
      <c r="C995" s="13"/>
    </row>
    <row r="996" spans="1:3" ht="13" x14ac:dyDescent="0.15">
      <c r="A996" s="10"/>
      <c r="B996" s="13"/>
      <c r="C996" s="13"/>
    </row>
    <row r="997" spans="1:3" ht="13" x14ac:dyDescent="0.15">
      <c r="A997" s="10"/>
      <c r="B997" s="13"/>
      <c r="C997" s="13"/>
    </row>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outlinePr summaryBelow="0" summaryRight="0"/>
  </sheetPr>
  <dimension ref="A1:D997"/>
  <sheetViews>
    <sheetView workbookViewId="0"/>
  </sheetViews>
  <sheetFormatPr baseColWidth="10" defaultColWidth="12.6640625" defaultRowHeight="15.75" customHeight="1" x14ac:dyDescent="0.15"/>
  <cols>
    <col min="1" max="1" width="71.5" customWidth="1"/>
    <col min="2" max="4" width="37.6640625" customWidth="1"/>
  </cols>
  <sheetData>
    <row r="1" spans="1:4" ht="15.75" customHeight="1" x14ac:dyDescent="0.15">
      <c r="A1" s="1"/>
      <c r="B1" s="10" t="str">
        <f ca="1">IFERROR(__xludf.DUMMYFUNCTION("IMPORTRANGE(""https://docs.google.com/spreadsheets/u/0/d/1etLQb97lMSNWG4ebq9e4mMf5V6Y_IPpBxMswZpIG47E"", ""A67!B1:B22"")"),"Erin Loudermilk")</f>
        <v>Erin Loudermilk</v>
      </c>
      <c r="C1" s="10" t="str">
        <f ca="1">IFERROR(__xludf.DUMMYFUNCTION("IMPORTRANGE(""https://docs.google.com/spreadsheets/d/1Rfwd61p8X8kU1VBE4PFTeYG7-2eZzi6BYhKfon6XtRs"", ""A67!B1:B22"")"),"#REF!")</f>
        <v>#REF!</v>
      </c>
      <c r="D1" s="10" t="str">
        <f ca="1">IFERROR(__xludf.DUMMYFUNCTION("IMPORTRANGE(""https://docs.google.com/spreadsheets/u/0/d/1Eq2M_a4_TeZImjU1FJcBSaIp6Xib8-RIHm3cQ24mbRI"", ""A67!B1:B22"")"),"#REF!")</f>
        <v>#REF!</v>
      </c>
    </row>
    <row r="2" spans="1:4" ht="15.75" customHeight="1" x14ac:dyDescent="0.15">
      <c r="A2" s="3" t="s">
        <v>2</v>
      </c>
      <c r="B2" s="15" t="str">
        <f ca="1">IFERROR(__xludf.DUMMYFUNCTION("""COMPUTED_VALUE"""),"36687 - 40424 FOR")</f>
        <v>36687 - 40424 FOR</v>
      </c>
      <c r="C2" s="15"/>
      <c r="D2" s="4"/>
    </row>
    <row r="3" spans="1:4" ht="15.75" customHeight="1" x14ac:dyDescent="0.15">
      <c r="A3" s="5" t="s">
        <v>3</v>
      </c>
      <c r="B3" s="17" t="str">
        <f ca="1">IFERROR(__xludf.DUMMYFUNCTION("""COMPUTED_VALUE"""),"DNA: 66, Pham: 67")</f>
        <v>DNA: 66, Pham: 67</v>
      </c>
      <c r="C3" s="17"/>
      <c r="D3" s="6"/>
    </row>
    <row r="4" spans="1:4" ht="15.75" customHeight="1" x14ac:dyDescent="0.15">
      <c r="A4" s="5" t="s">
        <v>4</v>
      </c>
      <c r="B4" s="17" t="str">
        <f ca="1">IFERROR(__xludf.DUMMYFUNCTION("""COMPUTED_VALUE"""),"Pham 221895 (3/19/25)")</f>
        <v>Pham 221895 (3/19/25)</v>
      </c>
      <c r="C4" s="17"/>
      <c r="D4" s="6"/>
    </row>
    <row r="5" spans="1:4" ht="15.75" customHeight="1" x14ac:dyDescent="0.15">
      <c r="A5" s="5" t="s">
        <v>5</v>
      </c>
      <c r="B5" s="17" t="str">
        <f ca="1">IFERROR(__xludf.DUMMYFUNCTION("""COMPUTED_VALUE"""),"Kovu_65, Edmundo_67")</f>
        <v>Kovu_65, Edmundo_67</v>
      </c>
      <c r="C5" s="17"/>
      <c r="D5" s="6"/>
    </row>
    <row r="6" spans="1:4" ht="15.75" customHeight="1" x14ac:dyDescent="0.15">
      <c r="A6" s="5" t="s">
        <v>6</v>
      </c>
      <c r="B6" s="17" t="str">
        <f ca="1">IFERROR(__xludf.DUMMYFUNCTION("""COMPUTED_VALUE"""),"Both call start @ 36687")</f>
        <v>Both call start @ 36687</v>
      </c>
      <c r="C6" s="17"/>
      <c r="D6" s="6"/>
    </row>
    <row r="7" spans="1:4" ht="15.75" customHeight="1" x14ac:dyDescent="0.15">
      <c r="A7" s="5" t="s">
        <v>7</v>
      </c>
      <c r="B7" s="17" t="str">
        <f ca="1">IFERROR(__xludf.DUMMYFUNCTION("""COMPUTED_VALUE"""),"Gene has good coding potential, including start")</f>
        <v>Gene has good coding potential, including start</v>
      </c>
      <c r="C7" s="17"/>
      <c r="D7" s="6"/>
    </row>
    <row r="8" spans="1:4" ht="15.75" customHeight="1" x14ac:dyDescent="0.15">
      <c r="A8" s="5" t="s">
        <v>8</v>
      </c>
      <c r="B8" s="17" t="str">
        <f ca="1">IFERROR(__xludf.DUMMYFUNCTION("""COMPUTED_VALUE"""),"Yes")</f>
        <v>Yes</v>
      </c>
      <c r="C8" s="17"/>
      <c r="D8" s="6"/>
    </row>
    <row r="9" spans="1:4" ht="15.75" customHeight="1" x14ac:dyDescent="0.15">
      <c r="A9" s="5" t="s">
        <v>9</v>
      </c>
      <c r="B9" s="17" t="str">
        <f ca="1">IFERROR(__xludf.DUMMYFUNCTION("""COMPUTED_VALUE"""),"173 nucleotide gap, smallest gap possible")</f>
        <v>173 nucleotide gap, smallest gap possible</v>
      </c>
      <c r="C9" s="17"/>
      <c r="D9" s="6"/>
    </row>
    <row r="10" spans="1:4" ht="15.75" customHeight="1" x14ac:dyDescent="0.15">
      <c r="A10" s="5" t="s">
        <v>10</v>
      </c>
      <c r="B10" s="17" t="str">
        <f ca="1">IFERROR(__xludf.DUMMYFUNCTION("""COMPUTED_VALUE"""),"2.807, best z score")</f>
        <v>2.807, best z score</v>
      </c>
      <c r="C10" s="17"/>
      <c r="D10" s="6"/>
    </row>
    <row r="11" spans="1:4" ht="15.75" customHeight="1" x14ac:dyDescent="0.15">
      <c r="A11" s="5" t="s">
        <v>11</v>
      </c>
      <c r="B11" s="17" t="str">
        <f ca="1">IFERROR(__xludf.DUMMYFUNCTION("""COMPUTED_VALUE"""),"Kovu_65, 80.26% identity, 0.0E0 e-value, q:1226, s:1224")</f>
        <v>Kovu_65, 80.26% identity, 0.0E0 e-value, q:1226, s:1224</v>
      </c>
      <c r="C11" s="17"/>
      <c r="D11" s="6"/>
    </row>
    <row r="12" spans="1:4" ht="15.75" customHeight="1" x14ac:dyDescent="0.15">
      <c r="A12" s="5" t="s">
        <v>12</v>
      </c>
      <c r="B12" s="17" t="str">
        <f ca="1">IFERROR(__xludf.DUMMYFUNCTION("""COMPUTED_VALUE"""),"Not conserved in all members, called 100% time when present")</f>
        <v>Not conserved in all members, called 100% time when present</v>
      </c>
      <c r="C12" s="17"/>
      <c r="D12" s="6"/>
    </row>
    <row r="13" spans="1:4" ht="15.75" customHeight="1" x14ac:dyDescent="0.15">
      <c r="A13" s="5" t="s">
        <v>13</v>
      </c>
      <c r="B13" s="17" t="str">
        <f ca="1">IFERROR(__xludf.DUMMYFUNCTION("""COMPUTED_VALUE"""),"No ")</f>
        <v xml:space="preserve">No </v>
      </c>
      <c r="C13" s="17"/>
      <c r="D13" s="6"/>
    </row>
    <row r="14" spans="1:4" ht="15.75" customHeight="1" x14ac:dyDescent="0.15">
      <c r="A14" s="5" t="s">
        <v>14</v>
      </c>
      <c r="B14" s="17" t="str">
        <f ca="1">IFERROR(__xludf.DUMMYFUNCTION("""COMPUTED_VALUE"""),"Kovu_65, 0.0 e-value")</f>
        <v>Kovu_65, 0.0 e-value</v>
      </c>
      <c r="C14" s="17"/>
      <c r="D14" s="6"/>
    </row>
    <row r="15" spans="1:4" ht="15.75" customHeight="1" x14ac:dyDescent="0.15">
      <c r="A15" s="5" t="s">
        <v>15</v>
      </c>
      <c r="B15" s="17" t="str">
        <f ca="1">IFERROR(__xludf.DUMMYFUNCTION("""COMPUTED_VALUE"""),"tape measure protein")</f>
        <v>tape measure protein</v>
      </c>
      <c r="C15" s="17"/>
      <c r="D15" s="6"/>
    </row>
    <row r="16" spans="1:4" ht="15.75" customHeight="1" x14ac:dyDescent="0.15">
      <c r="A16" s="5" t="s">
        <v>16</v>
      </c>
      <c r="B16" s="17" t="str">
        <f ca="1">IFERROR(__xludf.DUMMYFUNCTION("""COMPUTED_VALUE"""),"Seen in similar environment in Kovu")</f>
        <v>Seen in similar environment in Kovu</v>
      </c>
      <c r="C16" s="17"/>
      <c r="D16" s="6"/>
    </row>
    <row r="17" spans="1:4" ht="15.75" customHeight="1" x14ac:dyDescent="0.15">
      <c r="A17" s="5" t="s">
        <v>17</v>
      </c>
      <c r="B17" s="17" t="str">
        <f ca="1">IFERROR(__xludf.DUMMYFUNCTION("""COMPUTED_VALUE"""),"TMP_BPDP1 Tape measure protein, 100% probability, 90.52% query, 89.32% target, functional domain in target part of query")</f>
        <v>TMP_BPDP1 Tape measure protein, 100% probability, 90.52% query, 89.32% target, functional domain in target part of query</v>
      </c>
      <c r="C17" s="17"/>
      <c r="D17" s="6"/>
    </row>
    <row r="18" spans="1:4" ht="15.75" customHeight="1" x14ac:dyDescent="0.15">
      <c r="A18" s="5" t="s">
        <v>18</v>
      </c>
      <c r="B18" s="17" t="str">
        <f ca="1">IFERROR(__xludf.DUMMYFUNCTION("""COMPUTED_VALUE"""),"Mu-like_prophage_FluMu: tape measure domain")</f>
        <v>Mu-like_prophage_FluMu: tape measure domain</v>
      </c>
      <c r="C18" s="17"/>
      <c r="D18" s="6"/>
    </row>
    <row r="19" spans="1:4" ht="15.75" customHeight="1" x14ac:dyDescent="0.15">
      <c r="A19" s="5" t="s">
        <v>19</v>
      </c>
      <c r="B19" s="17" t="str">
        <f ca="1">IFERROR(__xludf.DUMMYFUNCTION("""COMPUTED_VALUE"""),"One, confirmed by SOSUI")</f>
        <v>One, confirmed by SOSUI</v>
      </c>
      <c r="C19" s="17"/>
      <c r="D19" s="6"/>
    </row>
    <row r="20" spans="1:4" ht="15.75" customHeight="1" x14ac:dyDescent="0.15">
      <c r="A20" s="5" t="s">
        <v>20</v>
      </c>
      <c r="B20" s="17" t="str">
        <f ca="1">IFERROR(__xludf.DUMMYFUNCTION("""COMPUTED_VALUE"""),"tape measure protein")</f>
        <v>tape measure protein</v>
      </c>
      <c r="C20" s="17"/>
      <c r="D20" s="6"/>
    </row>
    <row r="21" spans="1:4" x14ac:dyDescent="0.2">
      <c r="A21" s="7"/>
      <c r="B21" s="19"/>
      <c r="C21" s="19"/>
      <c r="D21" s="8"/>
    </row>
    <row r="22" spans="1:4" ht="15.75" customHeight="1" x14ac:dyDescent="0.15">
      <c r="A22" s="9" t="s">
        <v>21</v>
      </c>
      <c r="B22" s="19"/>
      <c r="C22" s="19"/>
      <c r="D22" s="8"/>
    </row>
    <row r="23" spans="1:4" ht="15.75" customHeight="1" x14ac:dyDescent="0.15">
      <c r="A23" s="10"/>
      <c r="B23" s="13"/>
      <c r="C23" s="13"/>
    </row>
    <row r="24" spans="1:4" ht="15.75" customHeight="1" x14ac:dyDescent="0.15">
      <c r="A24" s="10"/>
      <c r="B24" s="13"/>
      <c r="C24" s="13"/>
    </row>
    <row r="25" spans="1:4" ht="15.75" customHeight="1" x14ac:dyDescent="0.15">
      <c r="A25" s="10"/>
      <c r="B25" s="13"/>
      <c r="C25" s="13"/>
    </row>
    <row r="26" spans="1:4" ht="15.75" customHeight="1" x14ac:dyDescent="0.15">
      <c r="A26" s="10"/>
      <c r="B26" s="13"/>
      <c r="C26" s="13"/>
    </row>
    <row r="27" spans="1:4" ht="15.75" customHeight="1" x14ac:dyDescent="0.15">
      <c r="A27" s="10"/>
      <c r="B27" s="13"/>
      <c r="C27" s="13"/>
    </row>
    <row r="28" spans="1:4" ht="15.75" customHeight="1" x14ac:dyDescent="0.15">
      <c r="A28" s="10"/>
      <c r="B28" s="13"/>
      <c r="C28" s="13"/>
    </row>
    <row r="29" spans="1:4" ht="15.75" customHeight="1" x14ac:dyDescent="0.15">
      <c r="A29" s="10"/>
      <c r="B29" s="13"/>
      <c r="C29" s="13"/>
    </row>
    <row r="30" spans="1:4" ht="15.75" customHeight="1" x14ac:dyDescent="0.15">
      <c r="A30" s="10"/>
      <c r="B30" s="13"/>
      <c r="C30" s="13"/>
    </row>
    <row r="31" spans="1:4" ht="15.75" customHeight="1" x14ac:dyDescent="0.15">
      <c r="A31" s="10"/>
      <c r="B31" s="13"/>
      <c r="C31" s="13"/>
    </row>
    <row r="32" spans="1:4" ht="15.75" customHeight="1" x14ac:dyDescent="0.15">
      <c r="A32" s="10"/>
      <c r="B32" s="13"/>
      <c r="C32" s="13"/>
    </row>
    <row r="33" spans="1:3" ht="15.75" customHeight="1" x14ac:dyDescent="0.15">
      <c r="A33" s="10"/>
      <c r="B33" s="13"/>
      <c r="C33" s="13"/>
    </row>
    <row r="34" spans="1:3" ht="15.75" customHeight="1" x14ac:dyDescent="0.15">
      <c r="A34" s="10"/>
      <c r="B34" s="13"/>
      <c r="C34" s="13"/>
    </row>
    <row r="35" spans="1:3" ht="15.75" customHeight="1" x14ac:dyDescent="0.15">
      <c r="A35" s="10"/>
      <c r="B35" s="13"/>
      <c r="C35" s="13"/>
    </row>
    <row r="36" spans="1:3" ht="15.75" customHeight="1" x14ac:dyDescent="0.15">
      <c r="A36" s="10"/>
      <c r="B36" s="13"/>
      <c r="C36" s="13"/>
    </row>
    <row r="37" spans="1:3" ht="15.75" customHeight="1" x14ac:dyDescent="0.15">
      <c r="A37" s="10"/>
      <c r="B37" s="13"/>
      <c r="C37" s="13"/>
    </row>
    <row r="38" spans="1:3" ht="15.75" customHeight="1" x14ac:dyDescent="0.15">
      <c r="A38" s="10"/>
      <c r="B38" s="13"/>
      <c r="C38" s="13"/>
    </row>
    <row r="39" spans="1:3" ht="13" x14ac:dyDescent="0.15">
      <c r="A39" s="10"/>
      <c r="B39" s="13"/>
      <c r="C39" s="13"/>
    </row>
    <row r="40" spans="1:3" ht="13" x14ac:dyDescent="0.15">
      <c r="A40" s="10"/>
      <c r="B40" s="13"/>
      <c r="C40" s="13"/>
    </row>
    <row r="41" spans="1:3" ht="13" x14ac:dyDescent="0.15">
      <c r="A41" s="10"/>
      <c r="B41" s="13"/>
      <c r="C41" s="13"/>
    </row>
    <row r="42" spans="1:3" ht="13" x14ac:dyDescent="0.15">
      <c r="A42" s="10"/>
      <c r="B42" s="13"/>
      <c r="C42" s="13"/>
    </row>
    <row r="43" spans="1:3" ht="13" x14ac:dyDescent="0.15">
      <c r="A43" s="10"/>
      <c r="B43" s="13"/>
      <c r="C43" s="13"/>
    </row>
    <row r="44" spans="1:3" ht="13" x14ac:dyDescent="0.15">
      <c r="A44" s="10"/>
      <c r="B44" s="13"/>
      <c r="C44" s="13"/>
    </row>
    <row r="45" spans="1:3" ht="13" x14ac:dyDescent="0.15">
      <c r="A45" s="10"/>
      <c r="B45" s="13"/>
      <c r="C45" s="13"/>
    </row>
    <row r="46" spans="1:3" ht="13" x14ac:dyDescent="0.15">
      <c r="A46" s="10"/>
      <c r="B46" s="13"/>
      <c r="C46" s="13"/>
    </row>
    <row r="47" spans="1:3" ht="13" x14ac:dyDescent="0.15">
      <c r="A47" s="10"/>
      <c r="B47" s="13"/>
      <c r="C47" s="13"/>
    </row>
    <row r="48" spans="1:3" ht="13" x14ac:dyDescent="0.15">
      <c r="A48" s="10"/>
      <c r="B48" s="13"/>
      <c r="C48" s="13"/>
    </row>
    <row r="49" spans="1:3" ht="13" x14ac:dyDescent="0.15">
      <c r="A49" s="10"/>
      <c r="B49" s="13"/>
      <c r="C49" s="13"/>
    </row>
    <row r="50" spans="1:3" ht="13" x14ac:dyDescent="0.15">
      <c r="A50" s="10"/>
      <c r="B50" s="13"/>
      <c r="C50" s="13"/>
    </row>
    <row r="51" spans="1:3" ht="13" x14ac:dyDescent="0.15">
      <c r="A51" s="10"/>
      <c r="B51" s="13"/>
      <c r="C51" s="13"/>
    </row>
    <row r="52" spans="1:3" ht="13" x14ac:dyDescent="0.15">
      <c r="A52" s="10"/>
      <c r="B52" s="13"/>
      <c r="C52" s="13"/>
    </row>
    <row r="53" spans="1:3" ht="13" x14ac:dyDescent="0.15">
      <c r="A53" s="10"/>
      <c r="B53" s="13"/>
      <c r="C53" s="13"/>
    </row>
    <row r="54" spans="1:3" ht="13" x14ac:dyDescent="0.15">
      <c r="A54" s="10"/>
      <c r="B54" s="13"/>
      <c r="C54" s="13"/>
    </row>
    <row r="55" spans="1:3" ht="13" x14ac:dyDescent="0.15">
      <c r="A55" s="10"/>
      <c r="B55" s="13"/>
      <c r="C55" s="13"/>
    </row>
    <row r="56" spans="1:3" ht="13" x14ac:dyDescent="0.15">
      <c r="A56" s="10"/>
      <c r="B56" s="13"/>
      <c r="C56" s="13"/>
    </row>
    <row r="57" spans="1:3" ht="13" x14ac:dyDescent="0.15">
      <c r="A57" s="10"/>
      <c r="B57" s="13"/>
      <c r="C57" s="13"/>
    </row>
    <row r="58" spans="1:3" ht="13" x14ac:dyDescent="0.15">
      <c r="A58" s="10"/>
      <c r="B58" s="13"/>
      <c r="C58" s="13"/>
    </row>
    <row r="59" spans="1:3" ht="13" x14ac:dyDescent="0.15">
      <c r="A59" s="10"/>
      <c r="B59" s="13"/>
      <c r="C59" s="13"/>
    </row>
    <row r="60" spans="1:3" ht="13" x14ac:dyDescent="0.15">
      <c r="A60" s="10"/>
      <c r="B60" s="13"/>
      <c r="C60" s="13"/>
    </row>
    <row r="61" spans="1:3" ht="13" x14ac:dyDescent="0.15">
      <c r="A61" s="10"/>
      <c r="B61" s="13"/>
      <c r="C61" s="13"/>
    </row>
    <row r="62" spans="1:3" ht="13" x14ac:dyDescent="0.15">
      <c r="A62" s="10"/>
      <c r="B62" s="13"/>
      <c r="C62" s="13"/>
    </row>
    <row r="63" spans="1:3" ht="13" x14ac:dyDescent="0.15">
      <c r="A63" s="10"/>
      <c r="B63" s="13"/>
      <c r="C63" s="13"/>
    </row>
    <row r="64" spans="1:3" ht="13" x14ac:dyDescent="0.15">
      <c r="A64" s="10"/>
      <c r="B64" s="13"/>
      <c r="C64" s="13"/>
    </row>
    <row r="65" spans="1:3" ht="13" x14ac:dyDescent="0.15">
      <c r="A65" s="10"/>
      <c r="B65" s="13"/>
      <c r="C65" s="13"/>
    </row>
    <row r="66" spans="1:3" ht="13" x14ac:dyDescent="0.15">
      <c r="A66" s="10"/>
      <c r="B66" s="13"/>
      <c r="C66" s="13"/>
    </row>
    <row r="67" spans="1:3" ht="13" x14ac:dyDescent="0.15">
      <c r="A67" s="10"/>
      <c r="B67" s="13"/>
      <c r="C67" s="13"/>
    </row>
    <row r="68" spans="1:3" ht="13" x14ac:dyDescent="0.15">
      <c r="A68" s="10"/>
      <c r="B68" s="13"/>
      <c r="C68" s="13"/>
    </row>
    <row r="69" spans="1:3" ht="13" x14ac:dyDescent="0.15">
      <c r="A69" s="10"/>
      <c r="B69" s="13"/>
      <c r="C69" s="13"/>
    </row>
    <row r="70" spans="1:3" ht="13" x14ac:dyDescent="0.15">
      <c r="A70" s="10"/>
      <c r="B70" s="13"/>
      <c r="C70" s="13"/>
    </row>
    <row r="71" spans="1:3" ht="13" x14ac:dyDescent="0.15">
      <c r="A71" s="10"/>
      <c r="B71" s="13"/>
      <c r="C71" s="13"/>
    </row>
    <row r="72" spans="1:3" ht="13" x14ac:dyDescent="0.15">
      <c r="A72" s="10"/>
      <c r="B72" s="13"/>
      <c r="C72" s="13"/>
    </row>
    <row r="73" spans="1:3" ht="13" x14ac:dyDescent="0.15">
      <c r="A73" s="10"/>
      <c r="B73" s="13"/>
      <c r="C73" s="13"/>
    </row>
    <row r="74" spans="1:3" ht="13" x14ac:dyDescent="0.15">
      <c r="A74" s="10"/>
      <c r="B74" s="13"/>
      <c r="C74" s="13"/>
    </row>
    <row r="75" spans="1:3" ht="13" x14ac:dyDescent="0.15">
      <c r="A75" s="10"/>
      <c r="B75" s="13"/>
      <c r="C75" s="13"/>
    </row>
    <row r="76" spans="1:3" ht="13" x14ac:dyDescent="0.15">
      <c r="A76" s="10"/>
      <c r="B76" s="13"/>
      <c r="C76" s="13"/>
    </row>
    <row r="77" spans="1:3" ht="13" x14ac:dyDescent="0.15">
      <c r="A77" s="10"/>
      <c r="B77" s="13"/>
      <c r="C77" s="13"/>
    </row>
    <row r="78" spans="1:3" ht="13" x14ac:dyDescent="0.15">
      <c r="A78" s="10"/>
      <c r="B78" s="13"/>
      <c r="C78" s="13"/>
    </row>
    <row r="79" spans="1:3" ht="13" x14ac:dyDescent="0.15">
      <c r="A79" s="10"/>
      <c r="B79" s="13"/>
      <c r="C79" s="13"/>
    </row>
    <row r="80" spans="1:3" ht="13" x14ac:dyDescent="0.15">
      <c r="A80" s="10"/>
      <c r="B80" s="13"/>
      <c r="C80" s="13"/>
    </row>
    <row r="81" spans="1:3" ht="13" x14ac:dyDescent="0.15">
      <c r="A81" s="10"/>
      <c r="B81" s="13"/>
      <c r="C81" s="13"/>
    </row>
    <row r="82" spans="1:3" ht="13" x14ac:dyDescent="0.15">
      <c r="A82" s="10"/>
      <c r="B82" s="13"/>
      <c r="C82" s="13"/>
    </row>
    <row r="83" spans="1:3" ht="13" x14ac:dyDescent="0.15">
      <c r="A83" s="10"/>
      <c r="B83" s="13"/>
      <c r="C83" s="13"/>
    </row>
    <row r="84" spans="1:3" ht="13" x14ac:dyDescent="0.15">
      <c r="A84" s="10"/>
      <c r="B84" s="13"/>
      <c r="C84" s="13"/>
    </row>
    <row r="85" spans="1:3" ht="13" x14ac:dyDescent="0.15">
      <c r="A85" s="10"/>
      <c r="B85" s="13"/>
      <c r="C85" s="13"/>
    </row>
    <row r="86" spans="1:3" ht="13" x14ac:dyDescent="0.15">
      <c r="A86" s="10"/>
      <c r="B86" s="13"/>
      <c r="C86" s="13"/>
    </row>
    <row r="87" spans="1:3" ht="13" x14ac:dyDescent="0.15">
      <c r="A87" s="10"/>
      <c r="B87" s="13"/>
      <c r="C87" s="13"/>
    </row>
    <row r="88" spans="1:3" ht="13" x14ac:dyDescent="0.15">
      <c r="A88" s="10"/>
      <c r="B88" s="13"/>
      <c r="C88" s="13"/>
    </row>
    <row r="89" spans="1:3" ht="13" x14ac:dyDescent="0.15">
      <c r="A89" s="10"/>
      <c r="B89" s="13"/>
      <c r="C89" s="13"/>
    </row>
    <row r="90" spans="1:3" ht="13" x14ac:dyDescent="0.15">
      <c r="A90" s="10"/>
      <c r="B90" s="13"/>
      <c r="C90" s="13"/>
    </row>
    <row r="91" spans="1:3" ht="13" x14ac:dyDescent="0.15">
      <c r="A91" s="10"/>
      <c r="B91" s="13"/>
      <c r="C91" s="13"/>
    </row>
    <row r="92" spans="1:3" ht="13" x14ac:dyDescent="0.15">
      <c r="A92" s="10"/>
      <c r="B92" s="13"/>
      <c r="C92" s="13"/>
    </row>
    <row r="93" spans="1:3" ht="13" x14ac:dyDescent="0.15">
      <c r="A93" s="10"/>
      <c r="B93" s="13"/>
      <c r="C93" s="13"/>
    </row>
    <row r="94" spans="1:3" ht="13" x14ac:dyDescent="0.15">
      <c r="A94" s="10"/>
      <c r="B94" s="13"/>
      <c r="C94" s="13"/>
    </row>
    <row r="95" spans="1:3" ht="13" x14ac:dyDescent="0.15">
      <c r="A95" s="10"/>
      <c r="B95" s="13"/>
      <c r="C95" s="13"/>
    </row>
    <row r="96" spans="1:3" ht="13" x14ac:dyDescent="0.15">
      <c r="A96" s="10"/>
      <c r="B96" s="13"/>
      <c r="C96" s="13"/>
    </row>
    <row r="97" spans="1:3" ht="13" x14ac:dyDescent="0.15">
      <c r="A97" s="10"/>
      <c r="B97" s="13"/>
      <c r="C97" s="13"/>
    </row>
    <row r="98" spans="1:3" ht="13" x14ac:dyDescent="0.15">
      <c r="A98" s="10"/>
      <c r="B98" s="13"/>
      <c r="C98" s="13"/>
    </row>
    <row r="99" spans="1:3" ht="13" x14ac:dyDescent="0.15">
      <c r="A99" s="10"/>
      <c r="B99" s="13"/>
      <c r="C99" s="13"/>
    </row>
    <row r="100" spans="1:3" ht="13" x14ac:dyDescent="0.15">
      <c r="A100" s="10"/>
      <c r="B100" s="13"/>
      <c r="C100" s="13"/>
    </row>
    <row r="101" spans="1:3" ht="13" x14ac:dyDescent="0.15">
      <c r="A101" s="10"/>
      <c r="B101" s="13"/>
      <c r="C101" s="13"/>
    </row>
    <row r="102" spans="1:3" ht="13" x14ac:dyDescent="0.15">
      <c r="A102" s="10"/>
      <c r="B102" s="13"/>
      <c r="C102" s="13"/>
    </row>
    <row r="103" spans="1:3" ht="13" x14ac:dyDescent="0.15">
      <c r="A103" s="10"/>
      <c r="B103" s="13"/>
      <c r="C103" s="13"/>
    </row>
    <row r="104" spans="1:3" ht="13" x14ac:dyDescent="0.15">
      <c r="A104" s="10"/>
      <c r="B104" s="13"/>
      <c r="C104" s="13"/>
    </row>
    <row r="105" spans="1:3" ht="13" x14ac:dyDescent="0.15">
      <c r="A105" s="10"/>
      <c r="B105" s="13"/>
      <c r="C105" s="13"/>
    </row>
    <row r="106" spans="1:3" ht="13" x14ac:dyDescent="0.15">
      <c r="A106" s="10"/>
      <c r="B106" s="13"/>
      <c r="C106" s="13"/>
    </row>
    <row r="107" spans="1:3" ht="13" x14ac:dyDescent="0.15">
      <c r="A107" s="10"/>
      <c r="B107" s="13"/>
      <c r="C107" s="13"/>
    </row>
    <row r="108" spans="1:3" ht="13" x14ac:dyDescent="0.15">
      <c r="A108" s="10"/>
      <c r="B108" s="13"/>
      <c r="C108" s="13"/>
    </row>
    <row r="109" spans="1:3" ht="13" x14ac:dyDescent="0.15">
      <c r="A109" s="10"/>
      <c r="B109" s="13"/>
      <c r="C109" s="13"/>
    </row>
    <row r="110" spans="1:3" ht="13" x14ac:dyDescent="0.15">
      <c r="A110" s="10"/>
      <c r="B110" s="13"/>
      <c r="C110" s="13"/>
    </row>
    <row r="111" spans="1:3" ht="13" x14ac:dyDescent="0.15">
      <c r="A111" s="10"/>
      <c r="B111" s="13"/>
      <c r="C111" s="13"/>
    </row>
    <row r="112" spans="1:3" ht="13" x14ac:dyDescent="0.15">
      <c r="A112" s="10"/>
      <c r="B112" s="13"/>
      <c r="C112" s="13"/>
    </row>
    <row r="113" spans="1:3" ht="13" x14ac:dyDescent="0.15">
      <c r="A113" s="10"/>
      <c r="B113" s="13"/>
      <c r="C113" s="13"/>
    </row>
    <row r="114" spans="1:3" ht="13" x14ac:dyDescent="0.15">
      <c r="A114" s="10"/>
      <c r="B114" s="13"/>
      <c r="C114" s="13"/>
    </row>
    <row r="115" spans="1:3" ht="13" x14ac:dyDescent="0.15">
      <c r="A115" s="10"/>
      <c r="B115" s="13"/>
      <c r="C115" s="13"/>
    </row>
    <row r="116" spans="1:3" ht="13" x14ac:dyDescent="0.15">
      <c r="A116" s="10"/>
      <c r="B116" s="13"/>
      <c r="C116" s="13"/>
    </row>
    <row r="117" spans="1:3" ht="13" x14ac:dyDescent="0.15">
      <c r="A117" s="10"/>
      <c r="B117" s="13"/>
      <c r="C117" s="13"/>
    </row>
    <row r="118" spans="1:3" ht="13" x14ac:dyDescent="0.15">
      <c r="A118" s="10"/>
      <c r="B118" s="13"/>
      <c r="C118" s="13"/>
    </row>
    <row r="119" spans="1:3" ht="13" x14ac:dyDescent="0.15">
      <c r="A119" s="10"/>
      <c r="B119" s="13"/>
      <c r="C119" s="13"/>
    </row>
    <row r="120" spans="1:3" ht="13" x14ac:dyDescent="0.15">
      <c r="A120" s="10"/>
      <c r="B120" s="13"/>
      <c r="C120" s="13"/>
    </row>
    <row r="121" spans="1:3" ht="13" x14ac:dyDescent="0.15">
      <c r="A121" s="10"/>
      <c r="B121" s="13"/>
      <c r="C121" s="13"/>
    </row>
    <row r="122" spans="1:3" ht="13" x14ac:dyDescent="0.15">
      <c r="A122" s="10"/>
      <c r="B122" s="13"/>
      <c r="C122" s="13"/>
    </row>
    <row r="123" spans="1:3" ht="13" x14ac:dyDescent="0.15">
      <c r="A123" s="10"/>
      <c r="B123" s="13"/>
      <c r="C123" s="13"/>
    </row>
    <row r="124" spans="1:3" ht="13" x14ac:dyDescent="0.15">
      <c r="A124" s="10"/>
      <c r="B124" s="13"/>
      <c r="C124" s="13"/>
    </row>
    <row r="125" spans="1:3" ht="13" x14ac:dyDescent="0.15">
      <c r="A125" s="10"/>
      <c r="B125" s="13"/>
      <c r="C125" s="13"/>
    </row>
    <row r="126" spans="1:3" ht="13" x14ac:dyDescent="0.15">
      <c r="A126" s="10"/>
      <c r="B126" s="13"/>
      <c r="C126" s="13"/>
    </row>
    <row r="127" spans="1:3" ht="13" x14ac:dyDescent="0.15">
      <c r="A127" s="10"/>
      <c r="B127" s="13"/>
      <c r="C127" s="13"/>
    </row>
    <row r="128" spans="1:3" ht="13" x14ac:dyDescent="0.15">
      <c r="A128" s="10"/>
      <c r="B128" s="13"/>
      <c r="C128" s="13"/>
    </row>
    <row r="129" spans="1:3" ht="13" x14ac:dyDescent="0.15">
      <c r="A129" s="10"/>
      <c r="B129" s="13"/>
      <c r="C129" s="13"/>
    </row>
    <row r="130" spans="1:3" ht="13" x14ac:dyDescent="0.15">
      <c r="A130" s="10"/>
      <c r="B130" s="13"/>
      <c r="C130" s="13"/>
    </row>
    <row r="131" spans="1:3" ht="13" x14ac:dyDescent="0.15">
      <c r="A131" s="10"/>
      <c r="B131" s="13"/>
      <c r="C131" s="13"/>
    </row>
    <row r="132" spans="1:3" ht="13" x14ac:dyDescent="0.15">
      <c r="A132" s="10"/>
      <c r="B132" s="13"/>
      <c r="C132" s="13"/>
    </row>
    <row r="133" spans="1:3" ht="13" x14ac:dyDescent="0.15">
      <c r="A133" s="10"/>
      <c r="B133" s="13"/>
      <c r="C133" s="13"/>
    </row>
    <row r="134" spans="1:3" ht="13" x14ac:dyDescent="0.15">
      <c r="A134" s="10"/>
      <c r="B134" s="13"/>
      <c r="C134" s="13"/>
    </row>
    <row r="135" spans="1:3" ht="13" x14ac:dyDescent="0.15">
      <c r="A135" s="10"/>
      <c r="B135" s="13"/>
      <c r="C135" s="13"/>
    </row>
    <row r="136" spans="1:3" ht="13" x14ac:dyDescent="0.15">
      <c r="A136" s="10"/>
      <c r="B136" s="13"/>
      <c r="C136" s="13"/>
    </row>
    <row r="137" spans="1:3" ht="13" x14ac:dyDescent="0.15">
      <c r="A137" s="10"/>
      <c r="B137" s="13"/>
      <c r="C137" s="13"/>
    </row>
    <row r="138" spans="1:3" ht="13" x14ac:dyDescent="0.15">
      <c r="A138" s="10"/>
      <c r="B138" s="13"/>
      <c r="C138" s="13"/>
    </row>
    <row r="139" spans="1:3" ht="13" x14ac:dyDescent="0.15">
      <c r="A139" s="10"/>
      <c r="B139" s="13"/>
      <c r="C139" s="13"/>
    </row>
    <row r="140" spans="1:3" ht="13" x14ac:dyDescent="0.15">
      <c r="A140" s="10"/>
      <c r="B140" s="13"/>
      <c r="C140" s="13"/>
    </row>
    <row r="141" spans="1:3" ht="13" x14ac:dyDescent="0.15">
      <c r="A141" s="10"/>
      <c r="B141" s="13"/>
      <c r="C141" s="13"/>
    </row>
    <row r="142" spans="1:3" ht="13" x14ac:dyDescent="0.15">
      <c r="A142" s="10"/>
      <c r="B142" s="13"/>
      <c r="C142" s="13"/>
    </row>
    <row r="143" spans="1:3" ht="13" x14ac:dyDescent="0.15">
      <c r="A143" s="10"/>
      <c r="B143" s="13"/>
      <c r="C143" s="13"/>
    </row>
    <row r="144" spans="1:3" ht="13" x14ac:dyDescent="0.15">
      <c r="A144" s="10"/>
      <c r="B144" s="13"/>
      <c r="C144" s="13"/>
    </row>
    <row r="145" spans="1:3" ht="13" x14ac:dyDescent="0.15">
      <c r="A145" s="10"/>
      <c r="B145" s="13"/>
      <c r="C145" s="13"/>
    </row>
    <row r="146" spans="1:3" ht="13" x14ac:dyDescent="0.15">
      <c r="A146" s="10"/>
      <c r="B146" s="13"/>
      <c r="C146" s="13"/>
    </row>
    <row r="147" spans="1:3" ht="13" x14ac:dyDescent="0.15">
      <c r="A147" s="10"/>
      <c r="B147" s="13"/>
      <c r="C147" s="13"/>
    </row>
    <row r="148" spans="1:3" ht="13" x14ac:dyDescent="0.15">
      <c r="A148" s="10"/>
      <c r="B148" s="13"/>
      <c r="C148" s="13"/>
    </row>
    <row r="149" spans="1:3" ht="13" x14ac:dyDescent="0.15">
      <c r="A149" s="10"/>
      <c r="B149" s="13"/>
      <c r="C149" s="13"/>
    </row>
    <row r="150" spans="1:3" ht="13" x14ac:dyDescent="0.15">
      <c r="A150" s="10"/>
      <c r="B150" s="13"/>
      <c r="C150" s="13"/>
    </row>
    <row r="151" spans="1:3" ht="13" x14ac:dyDescent="0.15">
      <c r="A151" s="10"/>
      <c r="B151" s="13"/>
      <c r="C151" s="13"/>
    </row>
    <row r="152" spans="1:3" ht="13" x14ac:dyDescent="0.15">
      <c r="A152" s="10"/>
      <c r="B152" s="13"/>
      <c r="C152" s="13"/>
    </row>
    <row r="153" spans="1:3" ht="13" x14ac:dyDescent="0.15">
      <c r="A153" s="10"/>
      <c r="B153" s="13"/>
      <c r="C153" s="13"/>
    </row>
    <row r="154" spans="1:3" ht="13" x14ac:dyDescent="0.15">
      <c r="A154" s="10"/>
      <c r="B154" s="13"/>
      <c r="C154" s="13"/>
    </row>
    <row r="155" spans="1:3" ht="13" x14ac:dyDescent="0.15">
      <c r="A155" s="10"/>
      <c r="B155" s="13"/>
      <c r="C155" s="13"/>
    </row>
    <row r="156" spans="1:3" ht="13" x14ac:dyDescent="0.15">
      <c r="A156" s="10"/>
      <c r="B156" s="13"/>
      <c r="C156" s="13"/>
    </row>
    <row r="157" spans="1:3" ht="13" x14ac:dyDescent="0.15">
      <c r="A157" s="10"/>
      <c r="B157" s="13"/>
      <c r="C157" s="13"/>
    </row>
    <row r="158" spans="1:3" ht="13" x14ac:dyDescent="0.15">
      <c r="A158" s="10"/>
      <c r="B158" s="13"/>
      <c r="C158" s="13"/>
    </row>
    <row r="159" spans="1:3" ht="13" x14ac:dyDescent="0.15">
      <c r="A159" s="10"/>
      <c r="B159" s="13"/>
      <c r="C159" s="13"/>
    </row>
    <row r="160" spans="1:3" ht="13" x14ac:dyDescent="0.15">
      <c r="A160" s="10"/>
      <c r="B160" s="13"/>
      <c r="C160" s="13"/>
    </row>
    <row r="161" spans="1:3" ht="13" x14ac:dyDescent="0.15">
      <c r="A161" s="10"/>
      <c r="B161" s="13"/>
      <c r="C161" s="13"/>
    </row>
    <row r="162" spans="1:3" ht="13" x14ac:dyDescent="0.15">
      <c r="A162" s="10"/>
      <c r="B162" s="13"/>
      <c r="C162" s="13"/>
    </row>
    <row r="163" spans="1:3" ht="13" x14ac:dyDescent="0.15">
      <c r="A163" s="10"/>
      <c r="B163" s="13"/>
      <c r="C163" s="13"/>
    </row>
    <row r="164" spans="1:3" ht="13" x14ac:dyDescent="0.15">
      <c r="A164" s="10"/>
      <c r="B164" s="13"/>
      <c r="C164" s="13"/>
    </row>
    <row r="165" spans="1:3" ht="13" x14ac:dyDescent="0.15">
      <c r="A165" s="10"/>
      <c r="B165" s="13"/>
      <c r="C165" s="13"/>
    </row>
    <row r="166" spans="1:3" ht="13" x14ac:dyDescent="0.15">
      <c r="A166" s="10"/>
      <c r="B166" s="13"/>
      <c r="C166" s="13"/>
    </row>
    <row r="167" spans="1:3" ht="13" x14ac:dyDescent="0.15">
      <c r="A167" s="10"/>
      <c r="B167" s="13"/>
      <c r="C167" s="13"/>
    </row>
    <row r="168" spans="1:3" ht="13" x14ac:dyDescent="0.15">
      <c r="A168" s="10"/>
      <c r="B168" s="13"/>
      <c r="C168" s="13"/>
    </row>
    <row r="169" spans="1:3" ht="13" x14ac:dyDescent="0.15">
      <c r="A169" s="10"/>
      <c r="B169" s="13"/>
      <c r="C169" s="13"/>
    </row>
    <row r="170" spans="1:3" ht="13" x14ac:dyDescent="0.15">
      <c r="A170" s="10"/>
      <c r="B170" s="13"/>
      <c r="C170" s="13"/>
    </row>
    <row r="171" spans="1:3" ht="13" x14ac:dyDescent="0.15">
      <c r="A171" s="10"/>
      <c r="B171" s="13"/>
      <c r="C171" s="13"/>
    </row>
    <row r="172" spans="1:3" ht="13" x14ac:dyDescent="0.15">
      <c r="A172" s="10"/>
      <c r="B172" s="13"/>
      <c r="C172" s="13"/>
    </row>
    <row r="173" spans="1:3" ht="13" x14ac:dyDescent="0.15">
      <c r="A173" s="10"/>
      <c r="B173" s="13"/>
      <c r="C173" s="13"/>
    </row>
    <row r="174" spans="1:3" ht="13" x14ac:dyDescent="0.15">
      <c r="A174" s="10"/>
      <c r="B174" s="13"/>
      <c r="C174" s="13"/>
    </row>
    <row r="175" spans="1:3" ht="13" x14ac:dyDescent="0.15">
      <c r="A175" s="10"/>
      <c r="B175" s="13"/>
      <c r="C175" s="13"/>
    </row>
    <row r="176" spans="1:3" ht="13" x14ac:dyDescent="0.15">
      <c r="A176" s="10"/>
      <c r="B176" s="13"/>
      <c r="C176" s="13"/>
    </row>
    <row r="177" spans="1:3" ht="13" x14ac:dyDescent="0.15">
      <c r="A177" s="10"/>
      <c r="B177" s="13"/>
      <c r="C177" s="13"/>
    </row>
    <row r="178" spans="1:3" ht="13" x14ac:dyDescent="0.15">
      <c r="A178" s="10"/>
      <c r="B178" s="13"/>
      <c r="C178" s="13"/>
    </row>
    <row r="179" spans="1:3" ht="13" x14ac:dyDescent="0.15">
      <c r="A179" s="10"/>
      <c r="B179" s="13"/>
      <c r="C179" s="13"/>
    </row>
    <row r="180" spans="1:3" ht="13" x14ac:dyDescent="0.15">
      <c r="A180" s="10"/>
      <c r="B180" s="13"/>
      <c r="C180" s="13"/>
    </row>
    <row r="181" spans="1:3" ht="13" x14ac:dyDescent="0.15">
      <c r="A181" s="10"/>
      <c r="B181" s="13"/>
      <c r="C181" s="13"/>
    </row>
    <row r="182" spans="1:3" ht="13" x14ac:dyDescent="0.15">
      <c r="A182" s="10"/>
      <c r="B182" s="13"/>
      <c r="C182" s="13"/>
    </row>
    <row r="183" spans="1:3" ht="13" x14ac:dyDescent="0.15">
      <c r="A183" s="10"/>
      <c r="B183" s="13"/>
      <c r="C183" s="13"/>
    </row>
    <row r="184" spans="1:3" ht="13" x14ac:dyDescent="0.15">
      <c r="A184" s="10"/>
      <c r="B184" s="13"/>
      <c r="C184" s="13"/>
    </row>
    <row r="185" spans="1:3" ht="13" x14ac:dyDescent="0.15">
      <c r="A185" s="10"/>
      <c r="B185" s="13"/>
      <c r="C185" s="13"/>
    </row>
    <row r="186" spans="1:3" ht="13" x14ac:dyDescent="0.15">
      <c r="A186" s="10"/>
      <c r="B186" s="13"/>
      <c r="C186" s="13"/>
    </row>
    <row r="187" spans="1:3" ht="13" x14ac:dyDescent="0.15">
      <c r="A187" s="10"/>
      <c r="B187" s="13"/>
      <c r="C187" s="13"/>
    </row>
    <row r="188" spans="1:3" ht="13" x14ac:dyDescent="0.15">
      <c r="A188" s="10"/>
      <c r="B188" s="13"/>
      <c r="C188" s="13"/>
    </row>
    <row r="189" spans="1:3" ht="13" x14ac:dyDescent="0.15">
      <c r="A189" s="10"/>
      <c r="B189" s="13"/>
      <c r="C189" s="13"/>
    </row>
    <row r="190" spans="1:3" ht="13" x14ac:dyDescent="0.15">
      <c r="A190" s="10"/>
      <c r="B190" s="13"/>
      <c r="C190" s="13"/>
    </row>
    <row r="191" spans="1:3" ht="13" x14ac:dyDescent="0.15">
      <c r="A191" s="10"/>
      <c r="B191" s="13"/>
      <c r="C191" s="13"/>
    </row>
    <row r="192" spans="1:3" ht="13" x14ac:dyDescent="0.15">
      <c r="A192" s="10"/>
      <c r="B192" s="13"/>
      <c r="C192" s="13"/>
    </row>
    <row r="193" spans="1:3" ht="13" x14ac:dyDescent="0.15">
      <c r="A193" s="10"/>
      <c r="B193" s="13"/>
      <c r="C193" s="13"/>
    </row>
    <row r="194" spans="1:3" ht="13" x14ac:dyDescent="0.15">
      <c r="A194" s="10"/>
      <c r="B194" s="13"/>
      <c r="C194" s="13"/>
    </row>
    <row r="195" spans="1:3" ht="13" x14ac:dyDescent="0.15">
      <c r="A195" s="10"/>
      <c r="B195" s="13"/>
      <c r="C195" s="13"/>
    </row>
    <row r="196" spans="1:3" ht="13" x14ac:dyDescent="0.15">
      <c r="A196" s="10"/>
      <c r="B196" s="13"/>
      <c r="C196" s="13"/>
    </row>
    <row r="197" spans="1:3" ht="13" x14ac:dyDescent="0.15">
      <c r="A197" s="10"/>
      <c r="B197" s="13"/>
      <c r="C197" s="13"/>
    </row>
    <row r="198" spans="1:3" ht="13" x14ac:dyDescent="0.15">
      <c r="A198" s="10"/>
      <c r="B198" s="13"/>
      <c r="C198" s="13"/>
    </row>
    <row r="199" spans="1:3" ht="13" x14ac:dyDescent="0.15">
      <c r="A199" s="10"/>
      <c r="B199" s="13"/>
      <c r="C199" s="13"/>
    </row>
    <row r="200" spans="1:3" ht="13" x14ac:dyDescent="0.15">
      <c r="A200" s="10"/>
      <c r="B200" s="13"/>
      <c r="C200" s="13"/>
    </row>
    <row r="201" spans="1:3" ht="13" x14ac:dyDescent="0.15">
      <c r="A201" s="10"/>
      <c r="B201" s="13"/>
      <c r="C201" s="13"/>
    </row>
    <row r="202" spans="1:3" ht="13" x14ac:dyDescent="0.15">
      <c r="A202" s="10"/>
      <c r="B202" s="13"/>
      <c r="C202" s="13"/>
    </row>
    <row r="203" spans="1:3" ht="13" x14ac:dyDescent="0.15">
      <c r="A203" s="10"/>
      <c r="B203" s="13"/>
      <c r="C203" s="13"/>
    </row>
    <row r="204" spans="1:3" ht="13" x14ac:dyDescent="0.15">
      <c r="A204" s="10"/>
      <c r="B204" s="13"/>
      <c r="C204" s="13"/>
    </row>
    <row r="205" spans="1:3" ht="13" x14ac:dyDescent="0.15">
      <c r="A205" s="10"/>
      <c r="B205" s="13"/>
      <c r="C205" s="13"/>
    </row>
    <row r="206" spans="1:3" ht="13" x14ac:dyDescent="0.15">
      <c r="A206" s="10"/>
      <c r="B206" s="13"/>
      <c r="C206" s="13"/>
    </row>
    <row r="207" spans="1:3" ht="13" x14ac:dyDescent="0.15">
      <c r="A207" s="10"/>
      <c r="B207" s="13"/>
      <c r="C207" s="13"/>
    </row>
    <row r="208" spans="1:3" ht="13" x14ac:dyDescent="0.15">
      <c r="A208" s="10"/>
      <c r="B208" s="13"/>
      <c r="C208" s="13"/>
    </row>
    <row r="209" spans="1:3" ht="13" x14ac:dyDescent="0.15">
      <c r="A209" s="10"/>
      <c r="B209" s="13"/>
      <c r="C209" s="13"/>
    </row>
    <row r="210" spans="1:3" ht="13" x14ac:dyDescent="0.15">
      <c r="A210" s="10"/>
      <c r="B210" s="13"/>
      <c r="C210" s="13"/>
    </row>
    <row r="211" spans="1:3" ht="13" x14ac:dyDescent="0.15">
      <c r="A211" s="10"/>
      <c r="B211" s="13"/>
      <c r="C211" s="13"/>
    </row>
    <row r="212" spans="1:3" ht="13" x14ac:dyDescent="0.15">
      <c r="A212" s="10"/>
      <c r="B212" s="13"/>
      <c r="C212" s="13"/>
    </row>
    <row r="213" spans="1:3" ht="13" x14ac:dyDescent="0.15">
      <c r="A213" s="10"/>
      <c r="B213" s="13"/>
      <c r="C213" s="13"/>
    </row>
    <row r="214" spans="1:3" ht="13" x14ac:dyDescent="0.15">
      <c r="A214" s="10"/>
      <c r="B214" s="13"/>
      <c r="C214" s="13"/>
    </row>
    <row r="215" spans="1:3" ht="13" x14ac:dyDescent="0.15">
      <c r="A215" s="10"/>
      <c r="B215" s="13"/>
      <c r="C215" s="13"/>
    </row>
    <row r="216" spans="1:3" ht="13" x14ac:dyDescent="0.15">
      <c r="A216" s="10"/>
      <c r="B216" s="13"/>
      <c r="C216" s="13"/>
    </row>
    <row r="217" spans="1:3" ht="13" x14ac:dyDescent="0.15">
      <c r="A217" s="10"/>
      <c r="B217" s="13"/>
      <c r="C217" s="13"/>
    </row>
    <row r="218" spans="1:3" ht="13" x14ac:dyDescent="0.15">
      <c r="A218" s="10"/>
      <c r="B218" s="13"/>
      <c r="C218" s="13"/>
    </row>
    <row r="219" spans="1:3" ht="13" x14ac:dyDescent="0.15">
      <c r="A219" s="10"/>
      <c r="B219" s="13"/>
      <c r="C219" s="13"/>
    </row>
    <row r="220" spans="1:3" ht="13" x14ac:dyDescent="0.15">
      <c r="A220" s="10"/>
      <c r="B220" s="13"/>
      <c r="C220" s="13"/>
    </row>
    <row r="221" spans="1:3" ht="13" x14ac:dyDescent="0.15">
      <c r="A221" s="10"/>
      <c r="B221" s="13"/>
      <c r="C221" s="13"/>
    </row>
    <row r="222" spans="1:3" ht="13" x14ac:dyDescent="0.15">
      <c r="A222" s="10"/>
      <c r="B222" s="13"/>
      <c r="C222" s="13"/>
    </row>
    <row r="223" spans="1:3" ht="13" x14ac:dyDescent="0.15">
      <c r="A223" s="10"/>
      <c r="B223" s="13"/>
      <c r="C223" s="13"/>
    </row>
    <row r="224" spans="1:3" ht="13" x14ac:dyDescent="0.15">
      <c r="A224" s="10"/>
      <c r="B224" s="13"/>
      <c r="C224" s="13"/>
    </row>
    <row r="225" spans="1:3" ht="13" x14ac:dyDescent="0.15">
      <c r="A225" s="10"/>
      <c r="B225" s="13"/>
      <c r="C225" s="13"/>
    </row>
    <row r="226" spans="1:3" ht="13" x14ac:dyDescent="0.15">
      <c r="A226" s="10"/>
      <c r="B226" s="13"/>
      <c r="C226" s="13"/>
    </row>
    <row r="227" spans="1:3" ht="13" x14ac:dyDescent="0.15">
      <c r="A227" s="10"/>
      <c r="B227" s="13"/>
      <c r="C227" s="13"/>
    </row>
    <row r="228" spans="1:3" ht="13" x14ac:dyDescent="0.15">
      <c r="A228" s="10"/>
      <c r="B228" s="13"/>
      <c r="C228" s="13"/>
    </row>
    <row r="229" spans="1:3" ht="13" x14ac:dyDescent="0.15">
      <c r="A229" s="10"/>
      <c r="B229" s="13"/>
      <c r="C229" s="13"/>
    </row>
    <row r="230" spans="1:3" ht="13" x14ac:dyDescent="0.15">
      <c r="A230" s="10"/>
      <c r="B230" s="13"/>
      <c r="C230" s="13"/>
    </row>
    <row r="231" spans="1:3" ht="13" x14ac:dyDescent="0.15">
      <c r="A231" s="10"/>
      <c r="B231" s="13"/>
      <c r="C231" s="13"/>
    </row>
    <row r="232" spans="1:3" ht="13" x14ac:dyDescent="0.15">
      <c r="A232" s="10"/>
      <c r="B232" s="13"/>
      <c r="C232" s="13"/>
    </row>
    <row r="233" spans="1:3" ht="13" x14ac:dyDescent="0.15">
      <c r="A233" s="10"/>
      <c r="B233" s="13"/>
      <c r="C233" s="13"/>
    </row>
    <row r="234" spans="1:3" ht="13" x14ac:dyDescent="0.15">
      <c r="A234" s="10"/>
      <c r="B234" s="13"/>
      <c r="C234" s="13"/>
    </row>
    <row r="235" spans="1:3" ht="13" x14ac:dyDescent="0.15">
      <c r="A235" s="10"/>
      <c r="B235" s="13"/>
      <c r="C235" s="13"/>
    </row>
    <row r="236" spans="1:3" ht="13" x14ac:dyDescent="0.15">
      <c r="A236" s="10"/>
      <c r="B236" s="13"/>
      <c r="C236" s="13"/>
    </row>
    <row r="237" spans="1:3" ht="13" x14ac:dyDescent="0.15">
      <c r="A237" s="10"/>
      <c r="B237" s="13"/>
      <c r="C237" s="13"/>
    </row>
    <row r="238" spans="1:3" ht="13" x14ac:dyDescent="0.15">
      <c r="A238" s="10"/>
      <c r="B238" s="13"/>
      <c r="C238" s="13"/>
    </row>
    <row r="239" spans="1:3" ht="13" x14ac:dyDescent="0.15">
      <c r="A239" s="10"/>
      <c r="B239" s="13"/>
      <c r="C239" s="13"/>
    </row>
    <row r="240" spans="1:3" ht="13" x14ac:dyDescent="0.15">
      <c r="A240" s="10"/>
      <c r="B240" s="13"/>
      <c r="C240" s="13"/>
    </row>
    <row r="241" spans="1:3" ht="13" x14ac:dyDescent="0.15">
      <c r="A241" s="10"/>
      <c r="B241" s="13"/>
      <c r="C241" s="13"/>
    </row>
    <row r="242" spans="1:3" ht="13" x14ac:dyDescent="0.15">
      <c r="A242" s="10"/>
      <c r="B242" s="13"/>
      <c r="C242" s="13"/>
    </row>
    <row r="243" spans="1:3" ht="13" x14ac:dyDescent="0.15">
      <c r="A243" s="10"/>
      <c r="B243" s="13"/>
      <c r="C243" s="13"/>
    </row>
    <row r="244" spans="1:3" ht="13" x14ac:dyDescent="0.15">
      <c r="A244" s="10"/>
      <c r="B244" s="13"/>
      <c r="C244" s="13"/>
    </row>
    <row r="245" spans="1:3" ht="13" x14ac:dyDescent="0.15">
      <c r="A245" s="10"/>
      <c r="B245" s="13"/>
      <c r="C245" s="13"/>
    </row>
    <row r="246" spans="1:3" ht="13" x14ac:dyDescent="0.15">
      <c r="A246" s="10"/>
      <c r="B246" s="13"/>
      <c r="C246" s="13"/>
    </row>
    <row r="247" spans="1:3" ht="13" x14ac:dyDescent="0.15">
      <c r="A247" s="10"/>
      <c r="B247" s="13"/>
      <c r="C247" s="13"/>
    </row>
    <row r="248" spans="1:3" ht="13" x14ac:dyDescent="0.15">
      <c r="A248" s="10"/>
      <c r="B248" s="13"/>
      <c r="C248" s="13"/>
    </row>
    <row r="249" spans="1:3" ht="13" x14ac:dyDescent="0.15">
      <c r="A249" s="10"/>
      <c r="B249" s="13"/>
      <c r="C249" s="13"/>
    </row>
    <row r="250" spans="1:3" ht="13" x14ac:dyDescent="0.15">
      <c r="A250" s="10"/>
      <c r="B250" s="13"/>
      <c r="C250" s="13"/>
    </row>
    <row r="251" spans="1:3" ht="13" x14ac:dyDescent="0.15">
      <c r="A251" s="10"/>
      <c r="B251" s="13"/>
      <c r="C251" s="13"/>
    </row>
    <row r="252" spans="1:3" ht="13" x14ac:dyDescent="0.15">
      <c r="A252" s="10"/>
      <c r="B252" s="13"/>
      <c r="C252" s="13"/>
    </row>
    <row r="253" spans="1:3" ht="13" x14ac:dyDescent="0.15">
      <c r="A253" s="10"/>
      <c r="B253" s="13"/>
      <c r="C253" s="13"/>
    </row>
    <row r="254" spans="1:3" ht="13" x14ac:dyDescent="0.15">
      <c r="A254" s="10"/>
      <c r="B254" s="13"/>
      <c r="C254" s="13"/>
    </row>
    <row r="255" spans="1:3" ht="13" x14ac:dyDescent="0.15">
      <c r="A255" s="10"/>
      <c r="B255" s="13"/>
      <c r="C255" s="13"/>
    </row>
    <row r="256" spans="1:3" ht="13" x14ac:dyDescent="0.15">
      <c r="A256" s="10"/>
      <c r="B256" s="13"/>
      <c r="C256" s="13"/>
    </row>
    <row r="257" spans="1:3" ht="13" x14ac:dyDescent="0.15">
      <c r="A257" s="10"/>
      <c r="B257" s="13"/>
      <c r="C257" s="13"/>
    </row>
    <row r="258" spans="1:3" ht="13" x14ac:dyDescent="0.15">
      <c r="A258" s="10"/>
      <c r="B258" s="13"/>
      <c r="C258" s="13"/>
    </row>
    <row r="259" spans="1:3" ht="13" x14ac:dyDescent="0.15">
      <c r="A259" s="10"/>
      <c r="B259" s="13"/>
      <c r="C259" s="13"/>
    </row>
    <row r="260" spans="1:3" ht="13" x14ac:dyDescent="0.15">
      <c r="A260" s="10"/>
      <c r="B260" s="13"/>
      <c r="C260" s="13"/>
    </row>
    <row r="261" spans="1:3" ht="13" x14ac:dyDescent="0.15">
      <c r="A261" s="10"/>
      <c r="B261" s="13"/>
      <c r="C261" s="13"/>
    </row>
    <row r="262" spans="1:3" ht="13" x14ac:dyDescent="0.15">
      <c r="A262" s="10"/>
      <c r="B262" s="13"/>
      <c r="C262" s="13"/>
    </row>
    <row r="263" spans="1:3" ht="13" x14ac:dyDescent="0.15">
      <c r="A263" s="10"/>
      <c r="B263" s="13"/>
      <c r="C263" s="13"/>
    </row>
    <row r="264" spans="1:3" ht="13" x14ac:dyDescent="0.15">
      <c r="A264" s="10"/>
      <c r="B264" s="13"/>
      <c r="C264" s="13"/>
    </row>
    <row r="265" spans="1:3" ht="13" x14ac:dyDescent="0.15">
      <c r="A265" s="10"/>
      <c r="B265" s="13"/>
      <c r="C265" s="13"/>
    </row>
    <row r="266" spans="1:3" ht="13" x14ac:dyDescent="0.15">
      <c r="A266" s="10"/>
      <c r="B266" s="13"/>
      <c r="C266" s="13"/>
    </row>
    <row r="267" spans="1:3" ht="13" x14ac:dyDescent="0.15">
      <c r="A267" s="10"/>
      <c r="B267" s="13"/>
      <c r="C267" s="13"/>
    </row>
    <row r="268" spans="1:3" ht="13" x14ac:dyDescent="0.15">
      <c r="A268" s="10"/>
      <c r="B268" s="13"/>
      <c r="C268" s="13"/>
    </row>
    <row r="269" spans="1:3" ht="13" x14ac:dyDescent="0.15">
      <c r="A269" s="10"/>
      <c r="B269" s="13"/>
      <c r="C269" s="13"/>
    </row>
    <row r="270" spans="1:3" ht="13" x14ac:dyDescent="0.15">
      <c r="A270" s="10"/>
      <c r="B270" s="13"/>
      <c r="C270" s="13"/>
    </row>
    <row r="271" spans="1:3" ht="13" x14ac:dyDescent="0.15">
      <c r="A271" s="10"/>
      <c r="B271" s="13"/>
      <c r="C271" s="13"/>
    </row>
    <row r="272" spans="1:3" ht="13" x14ac:dyDescent="0.15">
      <c r="A272" s="10"/>
      <c r="B272" s="13"/>
      <c r="C272" s="13"/>
    </row>
    <row r="273" spans="1:3" ht="13" x14ac:dyDescent="0.15">
      <c r="A273" s="10"/>
      <c r="B273" s="13"/>
      <c r="C273" s="13"/>
    </row>
    <row r="274" spans="1:3" ht="13" x14ac:dyDescent="0.15">
      <c r="A274" s="10"/>
      <c r="B274" s="13"/>
      <c r="C274" s="13"/>
    </row>
    <row r="275" spans="1:3" ht="13" x14ac:dyDescent="0.15">
      <c r="A275" s="10"/>
      <c r="B275" s="13"/>
      <c r="C275" s="13"/>
    </row>
    <row r="276" spans="1:3" ht="13" x14ac:dyDescent="0.15">
      <c r="A276" s="10"/>
      <c r="B276" s="13"/>
      <c r="C276" s="13"/>
    </row>
    <row r="277" spans="1:3" ht="13" x14ac:dyDescent="0.15">
      <c r="A277" s="10"/>
      <c r="B277" s="13"/>
      <c r="C277" s="13"/>
    </row>
    <row r="278" spans="1:3" ht="13" x14ac:dyDescent="0.15">
      <c r="A278" s="10"/>
      <c r="B278" s="13"/>
      <c r="C278" s="13"/>
    </row>
    <row r="279" spans="1:3" ht="13" x14ac:dyDescent="0.15">
      <c r="A279" s="10"/>
      <c r="B279" s="13"/>
      <c r="C279" s="13"/>
    </row>
    <row r="280" spans="1:3" ht="13" x14ac:dyDescent="0.15">
      <c r="A280" s="10"/>
      <c r="B280" s="13"/>
      <c r="C280" s="13"/>
    </row>
    <row r="281" spans="1:3" ht="13" x14ac:dyDescent="0.15">
      <c r="A281" s="10"/>
      <c r="B281" s="13"/>
      <c r="C281" s="13"/>
    </row>
    <row r="282" spans="1:3" ht="13" x14ac:dyDescent="0.15">
      <c r="A282" s="10"/>
      <c r="B282" s="13"/>
      <c r="C282" s="13"/>
    </row>
    <row r="283" spans="1:3" ht="13" x14ac:dyDescent="0.15">
      <c r="A283" s="10"/>
      <c r="B283" s="13"/>
      <c r="C283" s="13"/>
    </row>
    <row r="284" spans="1:3" ht="13" x14ac:dyDescent="0.15">
      <c r="A284" s="10"/>
      <c r="B284" s="13"/>
      <c r="C284" s="13"/>
    </row>
    <row r="285" spans="1:3" ht="13" x14ac:dyDescent="0.15">
      <c r="A285" s="10"/>
      <c r="B285" s="13"/>
      <c r="C285" s="13"/>
    </row>
    <row r="286" spans="1:3" ht="13" x14ac:dyDescent="0.15">
      <c r="A286" s="10"/>
      <c r="B286" s="13"/>
      <c r="C286" s="13"/>
    </row>
    <row r="287" spans="1:3" ht="13" x14ac:dyDescent="0.15">
      <c r="A287" s="10"/>
      <c r="B287" s="13"/>
      <c r="C287" s="13"/>
    </row>
    <row r="288" spans="1:3" ht="13" x14ac:dyDescent="0.15">
      <c r="A288" s="10"/>
      <c r="B288" s="13"/>
      <c r="C288" s="13"/>
    </row>
    <row r="289" spans="1:3" ht="13" x14ac:dyDescent="0.15">
      <c r="A289" s="10"/>
      <c r="B289" s="13"/>
      <c r="C289" s="13"/>
    </row>
    <row r="290" spans="1:3" ht="13" x14ac:dyDescent="0.15">
      <c r="A290" s="10"/>
      <c r="B290" s="13"/>
      <c r="C290" s="13"/>
    </row>
    <row r="291" spans="1:3" ht="13" x14ac:dyDescent="0.15">
      <c r="A291" s="10"/>
      <c r="B291" s="13"/>
      <c r="C291" s="13"/>
    </row>
    <row r="292" spans="1:3" ht="13" x14ac:dyDescent="0.15">
      <c r="A292" s="10"/>
      <c r="B292" s="13"/>
      <c r="C292" s="13"/>
    </row>
    <row r="293" spans="1:3" ht="13" x14ac:dyDescent="0.15">
      <c r="A293" s="10"/>
      <c r="B293" s="13"/>
      <c r="C293" s="13"/>
    </row>
    <row r="294" spans="1:3" ht="13" x14ac:dyDescent="0.15">
      <c r="A294" s="10"/>
      <c r="B294" s="13"/>
      <c r="C294" s="13"/>
    </row>
    <row r="295" spans="1:3" ht="13" x14ac:dyDescent="0.15">
      <c r="A295" s="10"/>
      <c r="B295" s="13"/>
      <c r="C295" s="13"/>
    </row>
    <row r="296" spans="1:3" ht="13" x14ac:dyDescent="0.15">
      <c r="A296" s="10"/>
      <c r="B296" s="13"/>
      <c r="C296" s="13"/>
    </row>
    <row r="297" spans="1:3" ht="13" x14ac:dyDescent="0.15">
      <c r="A297" s="10"/>
      <c r="B297" s="13"/>
      <c r="C297" s="13"/>
    </row>
    <row r="298" spans="1:3" ht="13" x14ac:dyDescent="0.15">
      <c r="A298" s="10"/>
      <c r="B298" s="13"/>
      <c r="C298" s="13"/>
    </row>
    <row r="299" spans="1:3" ht="13" x14ac:dyDescent="0.15">
      <c r="A299" s="10"/>
      <c r="B299" s="13"/>
      <c r="C299" s="13"/>
    </row>
    <row r="300" spans="1:3" ht="13" x14ac:dyDescent="0.15">
      <c r="A300" s="10"/>
      <c r="B300" s="13"/>
      <c r="C300" s="13"/>
    </row>
    <row r="301" spans="1:3" ht="13" x14ac:dyDescent="0.15">
      <c r="A301" s="10"/>
      <c r="B301" s="13"/>
      <c r="C301" s="13"/>
    </row>
    <row r="302" spans="1:3" ht="13" x14ac:dyDescent="0.15">
      <c r="A302" s="10"/>
      <c r="B302" s="13"/>
      <c r="C302" s="13"/>
    </row>
    <row r="303" spans="1:3" ht="13" x14ac:dyDescent="0.15">
      <c r="A303" s="10"/>
      <c r="B303" s="13"/>
      <c r="C303" s="13"/>
    </row>
    <row r="304" spans="1:3" ht="13" x14ac:dyDescent="0.15">
      <c r="A304" s="10"/>
      <c r="B304" s="13"/>
      <c r="C304" s="13"/>
    </row>
    <row r="305" spans="1:3" ht="13" x14ac:dyDescent="0.15">
      <c r="A305" s="10"/>
      <c r="B305" s="13"/>
      <c r="C305" s="13"/>
    </row>
    <row r="306" spans="1:3" ht="13" x14ac:dyDescent="0.15">
      <c r="A306" s="10"/>
      <c r="B306" s="13"/>
      <c r="C306" s="13"/>
    </row>
    <row r="307" spans="1:3" ht="13" x14ac:dyDescent="0.15">
      <c r="A307" s="10"/>
      <c r="B307" s="13"/>
      <c r="C307" s="13"/>
    </row>
    <row r="308" spans="1:3" ht="13" x14ac:dyDescent="0.15">
      <c r="A308" s="10"/>
      <c r="B308" s="13"/>
      <c r="C308" s="13"/>
    </row>
    <row r="309" spans="1:3" ht="13" x14ac:dyDescent="0.15">
      <c r="A309" s="10"/>
      <c r="B309" s="13"/>
      <c r="C309" s="13"/>
    </row>
    <row r="310" spans="1:3" ht="13" x14ac:dyDescent="0.15">
      <c r="A310" s="10"/>
      <c r="B310" s="13"/>
      <c r="C310" s="13"/>
    </row>
    <row r="311" spans="1:3" ht="13" x14ac:dyDescent="0.15">
      <c r="A311" s="10"/>
      <c r="B311" s="13"/>
      <c r="C311" s="13"/>
    </row>
    <row r="312" spans="1:3" ht="13" x14ac:dyDescent="0.15">
      <c r="A312" s="10"/>
      <c r="B312" s="13"/>
      <c r="C312" s="13"/>
    </row>
    <row r="313" spans="1:3" ht="13" x14ac:dyDescent="0.15">
      <c r="A313" s="10"/>
      <c r="B313" s="13"/>
      <c r="C313" s="13"/>
    </row>
    <row r="314" spans="1:3" ht="13" x14ac:dyDescent="0.15">
      <c r="A314" s="10"/>
      <c r="B314" s="13"/>
      <c r="C314" s="13"/>
    </row>
    <row r="315" spans="1:3" ht="13" x14ac:dyDescent="0.15">
      <c r="A315" s="10"/>
      <c r="B315" s="13"/>
      <c r="C315" s="13"/>
    </row>
    <row r="316" spans="1:3" ht="13" x14ac:dyDescent="0.15">
      <c r="A316" s="10"/>
      <c r="B316" s="13"/>
      <c r="C316" s="13"/>
    </row>
    <row r="317" spans="1:3" ht="13" x14ac:dyDescent="0.15">
      <c r="A317" s="10"/>
      <c r="B317" s="13"/>
      <c r="C317" s="13"/>
    </row>
    <row r="318" spans="1:3" ht="13" x14ac:dyDescent="0.15">
      <c r="A318" s="10"/>
      <c r="B318" s="13"/>
      <c r="C318" s="13"/>
    </row>
    <row r="319" spans="1:3" ht="13" x14ac:dyDescent="0.15">
      <c r="A319" s="10"/>
      <c r="B319" s="13"/>
      <c r="C319" s="13"/>
    </row>
    <row r="320" spans="1:3" ht="13" x14ac:dyDescent="0.15">
      <c r="A320" s="10"/>
      <c r="B320" s="13"/>
      <c r="C320" s="13"/>
    </row>
    <row r="321" spans="1:3" ht="13" x14ac:dyDescent="0.15">
      <c r="A321" s="10"/>
      <c r="B321" s="13"/>
      <c r="C321" s="13"/>
    </row>
    <row r="322" spans="1:3" ht="13" x14ac:dyDescent="0.15">
      <c r="A322" s="10"/>
      <c r="B322" s="13"/>
      <c r="C322" s="13"/>
    </row>
    <row r="323" spans="1:3" ht="13" x14ac:dyDescent="0.15">
      <c r="A323" s="10"/>
      <c r="B323" s="13"/>
      <c r="C323" s="13"/>
    </row>
    <row r="324" spans="1:3" ht="13" x14ac:dyDescent="0.15">
      <c r="A324" s="10"/>
      <c r="B324" s="13"/>
      <c r="C324" s="13"/>
    </row>
    <row r="325" spans="1:3" ht="13" x14ac:dyDescent="0.15">
      <c r="A325" s="10"/>
      <c r="B325" s="13"/>
      <c r="C325" s="13"/>
    </row>
    <row r="326" spans="1:3" ht="13" x14ac:dyDescent="0.15">
      <c r="A326" s="10"/>
      <c r="B326" s="13"/>
      <c r="C326" s="13"/>
    </row>
    <row r="327" spans="1:3" ht="13" x14ac:dyDescent="0.15">
      <c r="A327" s="10"/>
      <c r="B327" s="13"/>
      <c r="C327" s="13"/>
    </row>
    <row r="328" spans="1:3" ht="13" x14ac:dyDescent="0.15">
      <c r="A328" s="10"/>
      <c r="B328" s="13"/>
      <c r="C328" s="13"/>
    </row>
    <row r="329" spans="1:3" ht="13" x14ac:dyDescent="0.15">
      <c r="A329" s="10"/>
      <c r="B329" s="13"/>
      <c r="C329" s="13"/>
    </row>
    <row r="330" spans="1:3" ht="13" x14ac:dyDescent="0.15">
      <c r="A330" s="10"/>
      <c r="B330" s="13"/>
      <c r="C330" s="13"/>
    </row>
    <row r="331" spans="1:3" ht="13" x14ac:dyDescent="0.15">
      <c r="A331" s="10"/>
      <c r="B331" s="13"/>
      <c r="C331" s="13"/>
    </row>
    <row r="332" spans="1:3" ht="13" x14ac:dyDescent="0.15">
      <c r="A332" s="10"/>
      <c r="B332" s="13"/>
      <c r="C332" s="13"/>
    </row>
    <row r="333" spans="1:3" ht="13" x14ac:dyDescent="0.15">
      <c r="A333" s="10"/>
      <c r="B333" s="13"/>
      <c r="C333" s="13"/>
    </row>
    <row r="334" spans="1:3" ht="13" x14ac:dyDescent="0.15">
      <c r="A334" s="10"/>
      <c r="B334" s="13"/>
      <c r="C334" s="13"/>
    </row>
    <row r="335" spans="1:3" ht="13" x14ac:dyDescent="0.15">
      <c r="A335" s="10"/>
      <c r="B335" s="13"/>
      <c r="C335" s="13"/>
    </row>
    <row r="336" spans="1:3" ht="13" x14ac:dyDescent="0.15">
      <c r="A336" s="10"/>
      <c r="B336" s="13"/>
      <c r="C336" s="13"/>
    </row>
    <row r="337" spans="1:3" ht="13" x14ac:dyDescent="0.15">
      <c r="A337" s="10"/>
      <c r="B337" s="13"/>
      <c r="C337" s="13"/>
    </row>
    <row r="338" spans="1:3" ht="13" x14ac:dyDescent="0.15">
      <c r="A338" s="10"/>
      <c r="B338" s="13"/>
      <c r="C338" s="13"/>
    </row>
    <row r="339" spans="1:3" ht="13" x14ac:dyDescent="0.15">
      <c r="A339" s="10"/>
      <c r="B339" s="13"/>
      <c r="C339" s="13"/>
    </row>
    <row r="340" spans="1:3" ht="13" x14ac:dyDescent="0.15">
      <c r="A340" s="10"/>
      <c r="B340" s="13"/>
      <c r="C340" s="13"/>
    </row>
    <row r="341" spans="1:3" ht="13" x14ac:dyDescent="0.15">
      <c r="A341" s="10"/>
      <c r="B341" s="13"/>
      <c r="C341" s="13"/>
    </row>
    <row r="342" spans="1:3" ht="13" x14ac:dyDescent="0.15">
      <c r="A342" s="10"/>
      <c r="B342" s="13"/>
      <c r="C342" s="13"/>
    </row>
    <row r="343" spans="1:3" ht="13" x14ac:dyDescent="0.15">
      <c r="A343" s="10"/>
      <c r="B343" s="13"/>
      <c r="C343" s="13"/>
    </row>
    <row r="344" spans="1:3" ht="13" x14ac:dyDescent="0.15">
      <c r="A344" s="10"/>
      <c r="B344" s="13"/>
      <c r="C344" s="13"/>
    </row>
    <row r="345" spans="1:3" ht="13" x14ac:dyDescent="0.15">
      <c r="A345" s="10"/>
      <c r="B345" s="13"/>
      <c r="C345" s="13"/>
    </row>
    <row r="346" spans="1:3" ht="13" x14ac:dyDescent="0.15">
      <c r="A346" s="10"/>
      <c r="B346" s="13"/>
      <c r="C346" s="13"/>
    </row>
    <row r="347" spans="1:3" ht="13" x14ac:dyDescent="0.15">
      <c r="A347" s="10"/>
      <c r="B347" s="13"/>
      <c r="C347" s="13"/>
    </row>
    <row r="348" spans="1:3" ht="13" x14ac:dyDescent="0.15">
      <c r="A348" s="10"/>
      <c r="B348" s="13"/>
      <c r="C348" s="13"/>
    </row>
    <row r="349" spans="1:3" ht="13" x14ac:dyDescent="0.15">
      <c r="A349" s="10"/>
      <c r="B349" s="13"/>
      <c r="C349" s="13"/>
    </row>
    <row r="350" spans="1:3" ht="13" x14ac:dyDescent="0.15">
      <c r="A350" s="10"/>
      <c r="B350" s="13"/>
      <c r="C350" s="13"/>
    </row>
    <row r="351" spans="1:3" ht="13" x14ac:dyDescent="0.15">
      <c r="A351" s="10"/>
      <c r="B351" s="13"/>
      <c r="C351" s="13"/>
    </row>
    <row r="352" spans="1:3" ht="13" x14ac:dyDescent="0.15">
      <c r="A352" s="10"/>
      <c r="B352" s="13"/>
      <c r="C352" s="13"/>
    </row>
    <row r="353" spans="1:3" ht="13" x14ac:dyDescent="0.15">
      <c r="A353" s="10"/>
      <c r="B353" s="13"/>
      <c r="C353" s="13"/>
    </row>
    <row r="354" spans="1:3" ht="13" x14ac:dyDescent="0.15">
      <c r="A354" s="10"/>
      <c r="B354" s="13"/>
      <c r="C354" s="13"/>
    </row>
    <row r="355" spans="1:3" ht="13" x14ac:dyDescent="0.15">
      <c r="A355" s="10"/>
      <c r="B355" s="13"/>
      <c r="C355" s="13"/>
    </row>
    <row r="356" spans="1:3" ht="13" x14ac:dyDescent="0.15">
      <c r="A356" s="10"/>
      <c r="B356" s="13"/>
      <c r="C356" s="13"/>
    </row>
    <row r="357" spans="1:3" ht="13" x14ac:dyDescent="0.15">
      <c r="A357" s="10"/>
      <c r="B357" s="13"/>
      <c r="C357" s="13"/>
    </row>
    <row r="358" spans="1:3" ht="13" x14ac:dyDescent="0.15">
      <c r="A358" s="10"/>
      <c r="B358" s="13"/>
      <c r="C358" s="13"/>
    </row>
    <row r="359" spans="1:3" ht="13" x14ac:dyDescent="0.15">
      <c r="A359" s="10"/>
      <c r="B359" s="13"/>
      <c r="C359" s="13"/>
    </row>
    <row r="360" spans="1:3" ht="13" x14ac:dyDescent="0.15">
      <c r="A360" s="10"/>
      <c r="B360" s="13"/>
      <c r="C360" s="13"/>
    </row>
    <row r="361" spans="1:3" ht="13" x14ac:dyDescent="0.15">
      <c r="A361" s="10"/>
      <c r="B361" s="13"/>
      <c r="C361" s="13"/>
    </row>
    <row r="362" spans="1:3" ht="13" x14ac:dyDescent="0.15">
      <c r="A362" s="10"/>
      <c r="B362" s="13"/>
      <c r="C362" s="13"/>
    </row>
    <row r="363" spans="1:3" ht="13" x14ac:dyDescent="0.15">
      <c r="A363" s="10"/>
      <c r="B363" s="13"/>
      <c r="C363" s="13"/>
    </row>
    <row r="364" spans="1:3" ht="13" x14ac:dyDescent="0.15">
      <c r="A364" s="10"/>
      <c r="B364" s="13"/>
      <c r="C364" s="13"/>
    </row>
    <row r="365" spans="1:3" ht="13" x14ac:dyDescent="0.15">
      <c r="A365" s="10"/>
      <c r="B365" s="13"/>
      <c r="C365" s="13"/>
    </row>
    <row r="366" spans="1:3" ht="13" x14ac:dyDescent="0.15">
      <c r="A366" s="10"/>
      <c r="B366" s="13"/>
      <c r="C366" s="13"/>
    </row>
    <row r="367" spans="1:3" ht="13" x14ac:dyDescent="0.15">
      <c r="A367" s="10"/>
      <c r="B367" s="13"/>
      <c r="C367" s="13"/>
    </row>
    <row r="368" spans="1:3" ht="13" x14ac:dyDescent="0.15">
      <c r="A368" s="10"/>
      <c r="B368" s="13"/>
      <c r="C368" s="13"/>
    </row>
    <row r="369" spans="1:3" ht="13" x14ac:dyDescent="0.15">
      <c r="A369" s="10"/>
      <c r="B369" s="13"/>
      <c r="C369" s="13"/>
    </row>
    <row r="370" spans="1:3" ht="13" x14ac:dyDescent="0.15">
      <c r="A370" s="10"/>
      <c r="B370" s="13"/>
      <c r="C370" s="13"/>
    </row>
    <row r="371" spans="1:3" ht="13" x14ac:dyDescent="0.15">
      <c r="A371" s="10"/>
      <c r="B371" s="13"/>
      <c r="C371" s="13"/>
    </row>
    <row r="372" spans="1:3" ht="13" x14ac:dyDescent="0.15">
      <c r="A372" s="10"/>
      <c r="B372" s="13"/>
      <c r="C372" s="13"/>
    </row>
    <row r="373" spans="1:3" ht="13" x14ac:dyDescent="0.15">
      <c r="A373" s="10"/>
      <c r="B373" s="13"/>
      <c r="C373" s="13"/>
    </row>
    <row r="374" spans="1:3" ht="13" x14ac:dyDescent="0.15">
      <c r="A374" s="10"/>
      <c r="B374" s="13"/>
      <c r="C374" s="13"/>
    </row>
    <row r="375" spans="1:3" ht="13" x14ac:dyDescent="0.15">
      <c r="A375" s="10"/>
      <c r="B375" s="13"/>
      <c r="C375" s="13"/>
    </row>
    <row r="376" spans="1:3" ht="13" x14ac:dyDescent="0.15">
      <c r="A376" s="10"/>
      <c r="B376" s="13"/>
      <c r="C376" s="13"/>
    </row>
    <row r="377" spans="1:3" ht="13" x14ac:dyDescent="0.15">
      <c r="A377" s="10"/>
      <c r="B377" s="13"/>
      <c r="C377" s="13"/>
    </row>
    <row r="378" spans="1:3" ht="13" x14ac:dyDescent="0.15">
      <c r="A378" s="10"/>
      <c r="B378" s="13"/>
      <c r="C378" s="13"/>
    </row>
    <row r="379" spans="1:3" ht="13" x14ac:dyDescent="0.15">
      <c r="A379" s="10"/>
      <c r="B379" s="13"/>
      <c r="C379" s="13"/>
    </row>
    <row r="380" spans="1:3" ht="13" x14ac:dyDescent="0.15">
      <c r="A380" s="10"/>
      <c r="B380" s="13"/>
      <c r="C380" s="13"/>
    </row>
    <row r="381" spans="1:3" ht="13" x14ac:dyDescent="0.15">
      <c r="A381" s="10"/>
      <c r="B381" s="13"/>
      <c r="C381" s="13"/>
    </row>
    <row r="382" spans="1:3" ht="13" x14ac:dyDescent="0.15">
      <c r="A382" s="10"/>
      <c r="B382" s="13"/>
      <c r="C382" s="13"/>
    </row>
    <row r="383" spans="1:3" ht="13" x14ac:dyDescent="0.15">
      <c r="A383" s="10"/>
      <c r="B383" s="13"/>
      <c r="C383" s="13"/>
    </row>
    <row r="384" spans="1:3" ht="13" x14ac:dyDescent="0.15">
      <c r="A384" s="10"/>
      <c r="B384" s="13"/>
      <c r="C384" s="13"/>
    </row>
    <row r="385" spans="1:3" ht="13" x14ac:dyDescent="0.15">
      <c r="A385" s="10"/>
      <c r="B385" s="13"/>
      <c r="C385" s="13"/>
    </row>
    <row r="386" spans="1:3" ht="13" x14ac:dyDescent="0.15">
      <c r="A386" s="10"/>
      <c r="B386" s="13"/>
      <c r="C386" s="13"/>
    </row>
    <row r="387" spans="1:3" ht="13" x14ac:dyDescent="0.15">
      <c r="A387" s="10"/>
      <c r="B387" s="13"/>
      <c r="C387" s="13"/>
    </row>
    <row r="388" spans="1:3" ht="13" x14ac:dyDescent="0.15">
      <c r="A388" s="10"/>
      <c r="B388" s="13"/>
      <c r="C388" s="13"/>
    </row>
    <row r="389" spans="1:3" ht="13" x14ac:dyDescent="0.15">
      <c r="A389" s="10"/>
      <c r="B389" s="13"/>
      <c r="C389" s="13"/>
    </row>
    <row r="390" spans="1:3" ht="13" x14ac:dyDescent="0.15">
      <c r="A390" s="10"/>
      <c r="B390" s="13"/>
      <c r="C390" s="13"/>
    </row>
    <row r="391" spans="1:3" ht="13" x14ac:dyDescent="0.15">
      <c r="A391" s="10"/>
      <c r="B391" s="13"/>
      <c r="C391" s="13"/>
    </row>
    <row r="392" spans="1:3" ht="13" x14ac:dyDescent="0.15">
      <c r="A392" s="10"/>
      <c r="B392" s="13"/>
      <c r="C392" s="13"/>
    </row>
    <row r="393" spans="1:3" ht="13" x14ac:dyDescent="0.15">
      <c r="A393" s="10"/>
      <c r="B393" s="13"/>
      <c r="C393" s="13"/>
    </row>
    <row r="394" spans="1:3" ht="13" x14ac:dyDescent="0.15">
      <c r="A394" s="10"/>
      <c r="B394" s="13"/>
      <c r="C394" s="13"/>
    </row>
    <row r="395" spans="1:3" ht="13" x14ac:dyDescent="0.15">
      <c r="A395" s="10"/>
      <c r="B395" s="13"/>
      <c r="C395" s="13"/>
    </row>
    <row r="396" spans="1:3" ht="13" x14ac:dyDescent="0.15">
      <c r="A396" s="10"/>
      <c r="B396" s="13"/>
      <c r="C396" s="13"/>
    </row>
    <row r="397" spans="1:3" ht="13" x14ac:dyDescent="0.15">
      <c r="A397" s="10"/>
      <c r="B397" s="13"/>
      <c r="C397" s="13"/>
    </row>
    <row r="398" spans="1:3" ht="13" x14ac:dyDescent="0.15">
      <c r="A398" s="10"/>
      <c r="B398" s="13"/>
      <c r="C398" s="13"/>
    </row>
    <row r="399" spans="1:3" ht="13" x14ac:dyDescent="0.15">
      <c r="A399" s="10"/>
      <c r="B399" s="13"/>
      <c r="C399" s="13"/>
    </row>
    <row r="400" spans="1:3" ht="13" x14ac:dyDescent="0.15">
      <c r="A400" s="10"/>
      <c r="B400" s="13"/>
      <c r="C400" s="13"/>
    </row>
    <row r="401" spans="1:3" ht="13" x14ac:dyDescent="0.15">
      <c r="A401" s="10"/>
      <c r="B401" s="13"/>
      <c r="C401" s="13"/>
    </row>
    <row r="402" spans="1:3" ht="13" x14ac:dyDescent="0.15">
      <c r="A402" s="10"/>
      <c r="B402" s="13"/>
      <c r="C402" s="13"/>
    </row>
    <row r="403" spans="1:3" ht="13" x14ac:dyDescent="0.15">
      <c r="A403" s="10"/>
      <c r="B403" s="13"/>
      <c r="C403" s="13"/>
    </row>
    <row r="404" spans="1:3" ht="13" x14ac:dyDescent="0.15">
      <c r="A404" s="10"/>
      <c r="B404" s="13"/>
      <c r="C404" s="13"/>
    </row>
    <row r="405" spans="1:3" ht="13" x14ac:dyDescent="0.15">
      <c r="A405" s="10"/>
      <c r="B405" s="13"/>
      <c r="C405" s="13"/>
    </row>
    <row r="406" spans="1:3" ht="13" x14ac:dyDescent="0.15">
      <c r="A406" s="10"/>
      <c r="B406" s="13"/>
      <c r="C406" s="13"/>
    </row>
    <row r="407" spans="1:3" ht="13" x14ac:dyDescent="0.15">
      <c r="A407" s="10"/>
      <c r="B407" s="13"/>
      <c r="C407" s="13"/>
    </row>
    <row r="408" spans="1:3" ht="13" x14ac:dyDescent="0.15">
      <c r="A408" s="10"/>
      <c r="B408" s="13"/>
      <c r="C408" s="13"/>
    </row>
    <row r="409" spans="1:3" ht="13" x14ac:dyDescent="0.15">
      <c r="A409" s="10"/>
      <c r="B409" s="13"/>
      <c r="C409" s="13"/>
    </row>
    <row r="410" spans="1:3" ht="13" x14ac:dyDescent="0.15">
      <c r="A410" s="10"/>
      <c r="B410" s="13"/>
      <c r="C410" s="13"/>
    </row>
    <row r="411" spans="1:3" ht="13" x14ac:dyDescent="0.15">
      <c r="A411" s="10"/>
      <c r="B411" s="13"/>
      <c r="C411" s="13"/>
    </row>
    <row r="412" spans="1:3" ht="13" x14ac:dyDescent="0.15">
      <c r="A412" s="10"/>
      <c r="B412" s="13"/>
      <c r="C412" s="13"/>
    </row>
    <row r="413" spans="1:3" ht="13" x14ac:dyDescent="0.15">
      <c r="A413" s="10"/>
      <c r="B413" s="13"/>
      <c r="C413" s="13"/>
    </row>
    <row r="414" spans="1:3" ht="13" x14ac:dyDescent="0.15">
      <c r="A414" s="10"/>
      <c r="B414" s="13"/>
      <c r="C414" s="13"/>
    </row>
    <row r="415" spans="1:3" ht="13" x14ac:dyDescent="0.15">
      <c r="A415" s="10"/>
      <c r="B415" s="13"/>
      <c r="C415" s="13"/>
    </row>
    <row r="416" spans="1:3" ht="13" x14ac:dyDescent="0.15">
      <c r="A416" s="10"/>
      <c r="B416" s="13"/>
      <c r="C416" s="13"/>
    </row>
    <row r="417" spans="1:3" ht="13" x14ac:dyDescent="0.15">
      <c r="A417" s="10"/>
      <c r="B417" s="13"/>
      <c r="C417" s="13"/>
    </row>
    <row r="418" spans="1:3" ht="13" x14ac:dyDescent="0.15">
      <c r="A418" s="10"/>
      <c r="B418" s="13"/>
      <c r="C418" s="13"/>
    </row>
    <row r="419" spans="1:3" ht="13" x14ac:dyDescent="0.15">
      <c r="A419" s="10"/>
      <c r="B419" s="13"/>
      <c r="C419" s="13"/>
    </row>
    <row r="420" spans="1:3" ht="13" x14ac:dyDescent="0.15">
      <c r="A420" s="10"/>
      <c r="B420" s="13"/>
      <c r="C420" s="13"/>
    </row>
    <row r="421" spans="1:3" ht="13" x14ac:dyDescent="0.15">
      <c r="A421" s="10"/>
      <c r="B421" s="13"/>
      <c r="C421" s="13"/>
    </row>
    <row r="422" spans="1:3" ht="13" x14ac:dyDescent="0.15">
      <c r="A422" s="10"/>
      <c r="B422" s="13"/>
      <c r="C422" s="13"/>
    </row>
    <row r="423" spans="1:3" ht="13" x14ac:dyDescent="0.15">
      <c r="A423" s="10"/>
      <c r="B423" s="13"/>
      <c r="C423" s="13"/>
    </row>
    <row r="424" spans="1:3" ht="13" x14ac:dyDescent="0.15">
      <c r="A424" s="10"/>
      <c r="B424" s="13"/>
      <c r="C424" s="13"/>
    </row>
    <row r="425" spans="1:3" ht="13" x14ac:dyDescent="0.15">
      <c r="A425" s="10"/>
      <c r="B425" s="13"/>
      <c r="C425" s="13"/>
    </row>
    <row r="426" spans="1:3" ht="13" x14ac:dyDescent="0.15">
      <c r="A426" s="10"/>
      <c r="B426" s="13"/>
      <c r="C426" s="13"/>
    </row>
    <row r="427" spans="1:3" ht="13" x14ac:dyDescent="0.15">
      <c r="A427" s="10"/>
      <c r="B427" s="13"/>
      <c r="C427" s="13"/>
    </row>
    <row r="428" spans="1:3" ht="13" x14ac:dyDescent="0.15">
      <c r="A428" s="10"/>
      <c r="B428" s="13"/>
      <c r="C428" s="13"/>
    </row>
    <row r="429" spans="1:3" ht="13" x14ac:dyDescent="0.15">
      <c r="A429" s="10"/>
      <c r="B429" s="13"/>
      <c r="C429" s="13"/>
    </row>
    <row r="430" spans="1:3" ht="13" x14ac:dyDescent="0.15">
      <c r="A430" s="10"/>
      <c r="B430" s="13"/>
      <c r="C430" s="13"/>
    </row>
    <row r="431" spans="1:3" ht="13" x14ac:dyDescent="0.15">
      <c r="A431" s="10"/>
      <c r="B431" s="13"/>
      <c r="C431" s="13"/>
    </row>
    <row r="432" spans="1:3" ht="13" x14ac:dyDescent="0.15">
      <c r="A432" s="10"/>
      <c r="B432" s="13"/>
      <c r="C432" s="13"/>
    </row>
    <row r="433" spans="1:3" ht="13" x14ac:dyDescent="0.15">
      <c r="A433" s="10"/>
      <c r="B433" s="13"/>
      <c r="C433" s="13"/>
    </row>
    <row r="434" spans="1:3" ht="13" x14ac:dyDescent="0.15">
      <c r="A434" s="10"/>
      <c r="B434" s="13"/>
      <c r="C434" s="13"/>
    </row>
    <row r="435" spans="1:3" ht="13" x14ac:dyDescent="0.15">
      <c r="A435" s="10"/>
      <c r="B435" s="13"/>
      <c r="C435" s="13"/>
    </row>
    <row r="436" spans="1:3" ht="13" x14ac:dyDescent="0.15">
      <c r="A436" s="10"/>
      <c r="B436" s="13"/>
      <c r="C436" s="13"/>
    </row>
    <row r="437" spans="1:3" ht="13" x14ac:dyDescent="0.15">
      <c r="A437" s="10"/>
      <c r="B437" s="13"/>
      <c r="C437" s="13"/>
    </row>
    <row r="438" spans="1:3" ht="13" x14ac:dyDescent="0.15">
      <c r="A438" s="10"/>
      <c r="B438" s="13"/>
      <c r="C438" s="13"/>
    </row>
    <row r="439" spans="1:3" ht="13" x14ac:dyDescent="0.15">
      <c r="A439" s="10"/>
      <c r="B439" s="13"/>
      <c r="C439" s="13"/>
    </row>
    <row r="440" spans="1:3" ht="13" x14ac:dyDescent="0.15">
      <c r="A440" s="10"/>
      <c r="B440" s="13"/>
      <c r="C440" s="13"/>
    </row>
    <row r="441" spans="1:3" ht="13" x14ac:dyDescent="0.15">
      <c r="A441" s="10"/>
      <c r="B441" s="13"/>
      <c r="C441" s="13"/>
    </row>
    <row r="442" spans="1:3" ht="13" x14ac:dyDescent="0.15">
      <c r="A442" s="10"/>
      <c r="B442" s="13"/>
      <c r="C442" s="13"/>
    </row>
    <row r="443" spans="1:3" ht="13" x14ac:dyDescent="0.15">
      <c r="A443" s="10"/>
      <c r="B443" s="13"/>
      <c r="C443" s="13"/>
    </row>
    <row r="444" spans="1:3" ht="13" x14ac:dyDescent="0.15">
      <c r="A444" s="10"/>
      <c r="B444" s="13"/>
      <c r="C444" s="13"/>
    </row>
    <row r="445" spans="1:3" ht="13" x14ac:dyDescent="0.15">
      <c r="A445" s="10"/>
      <c r="B445" s="13"/>
      <c r="C445" s="13"/>
    </row>
    <row r="446" spans="1:3" ht="13" x14ac:dyDescent="0.15">
      <c r="A446" s="10"/>
      <c r="B446" s="13"/>
      <c r="C446" s="13"/>
    </row>
    <row r="447" spans="1:3" ht="13" x14ac:dyDescent="0.15">
      <c r="A447" s="10"/>
      <c r="B447" s="13"/>
      <c r="C447" s="13"/>
    </row>
    <row r="448" spans="1:3" ht="13" x14ac:dyDescent="0.15">
      <c r="A448" s="10"/>
      <c r="B448" s="13"/>
      <c r="C448" s="13"/>
    </row>
    <row r="449" spans="1:3" ht="13" x14ac:dyDescent="0.15">
      <c r="A449" s="10"/>
      <c r="B449" s="13"/>
      <c r="C449" s="13"/>
    </row>
    <row r="450" spans="1:3" ht="13" x14ac:dyDescent="0.15">
      <c r="A450" s="10"/>
      <c r="B450" s="13"/>
      <c r="C450" s="13"/>
    </row>
    <row r="451" spans="1:3" ht="13" x14ac:dyDescent="0.15">
      <c r="A451" s="10"/>
      <c r="B451" s="13"/>
      <c r="C451" s="13"/>
    </row>
    <row r="452" spans="1:3" ht="13" x14ac:dyDescent="0.15">
      <c r="A452" s="10"/>
      <c r="B452" s="13"/>
      <c r="C452" s="13"/>
    </row>
    <row r="453" spans="1:3" ht="13" x14ac:dyDescent="0.15">
      <c r="A453" s="10"/>
      <c r="B453" s="13"/>
      <c r="C453" s="13"/>
    </row>
    <row r="454" spans="1:3" ht="13" x14ac:dyDescent="0.15">
      <c r="A454" s="10"/>
      <c r="B454" s="13"/>
      <c r="C454" s="13"/>
    </row>
    <row r="455" spans="1:3" ht="13" x14ac:dyDescent="0.15">
      <c r="A455" s="10"/>
      <c r="B455" s="13"/>
      <c r="C455" s="13"/>
    </row>
    <row r="456" spans="1:3" ht="13" x14ac:dyDescent="0.15">
      <c r="A456" s="10"/>
      <c r="B456" s="13"/>
      <c r="C456" s="13"/>
    </row>
    <row r="457" spans="1:3" ht="13" x14ac:dyDescent="0.15">
      <c r="A457" s="10"/>
      <c r="B457" s="13"/>
      <c r="C457" s="13"/>
    </row>
    <row r="458" spans="1:3" ht="13" x14ac:dyDescent="0.15">
      <c r="A458" s="10"/>
      <c r="B458" s="13"/>
      <c r="C458" s="13"/>
    </row>
    <row r="459" spans="1:3" ht="13" x14ac:dyDescent="0.15">
      <c r="A459" s="10"/>
      <c r="B459" s="13"/>
      <c r="C459" s="13"/>
    </row>
    <row r="460" spans="1:3" ht="13" x14ac:dyDescent="0.15">
      <c r="A460" s="10"/>
      <c r="B460" s="13"/>
      <c r="C460" s="13"/>
    </row>
    <row r="461" spans="1:3" ht="13" x14ac:dyDescent="0.15">
      <c r="A461" s="10"/>
      <c r="B461" s="13"/>
      <c r="C461" s="13"/>
    </row>
    <row r="462" spans="1:3" ht="13" x14ac:dyDescent="0.15">
      <c r="A462" s="10"/>
      <c r="B462" s="13"/>
      <c r="C462" s="13"/>
    </row>
    <row r="463" spans="1:3" ht="13" x14ac:dyDescent="0.15">
      <c r="A463" s="10"/>
      <c r="B463" s="13"/>
      <c r="C463" s="13"/>
    </row>
    <row r="464" spans="1:3" ht="13" x14ac:dyDescent="0.15">
      <c r="A464" s="10"/>
      <c r="B464" s="13"/>
      <c r="C464" s="13"/>
    </row>
    <row r="465" spans="1:3" ht="13" x14ac:dyDescent="0.15">
      <c r="A465" s="10"/>
      <c r="B465" s="13"/>
      <c r="C465" s="13"/>
    </row>
    <row r="466" spans="1:3" ht="13" x14ac:dyDescent="0.15">
      <c r="A466" s="10"/>
      <c r="B466" s="13"/>
      <c r="C466" s="13"/>
    </row>
    <row r="467" spans="1:3" ht="13" x14ac:dyDescent="0.15">
      <c r="A467" s="10"/>
      <c r="B467" s="13"/>
      <c r="C467" s="13"/>
    </row>
    <row r="468" spans="1:3" ht="13" x14ac:dyDescent="0.15">
      <c r="A468" s="10"/>
      <c r="B468" s="13"/>
      <c r="C468" s="13"/>
    </row>
    <row r="469" spans="1:3" ht="13" x14ac:dyDescent="0.15">
      <c r="A469" s="10"/>
      <c r="B469" s="13"/>
      <c r="C469" s="13"/>
    </row>
    <row r="470" spans="1:3" ht="13" x14ac:dyDescent="0.15">
      <c r="A470" s="10"/>
      <c r="B470" s="13"/>
      <c r="C470" s="13"/>
    </row>
    <row r="471" spans="1:3" ht="13" x14ac:dyDescent="0.15">
      <c r="A471" s="10"/>
      <c r="B471" s="13"/>
      <c r="C471" s="13"/>
    </row>
    <row r="472" spans="1:3" ht="13" x14ac:dyDescent="0.15">
      <c r="A472" s="10"/>
      <c r="B472" s="13"/>
      <c r="C472" s="13"/>
    </row>
    <row r="473" spans="1:3" ht="13" x14ac:dyDescent="0.15">
      <c r="A473" s="10"/>
      <c r="B473" s="13"/>
      <c r="C473" s="13"/>
    </row>
    <row r="474" spans="1:3" ht="13" x14ac:dyDescent="0.15">
      <c r="A474" s="10"/>
      <c r="B474" s="13"/>
      <c r="C474" s="13"/>
    </row>
    <row r="475" spans="1:3" ht="13" x14ac:dyDescent="0.15">
      <c r="A475" s="10"/>
      <c r="B475" s="13"/>
      <c r="C475" s="13"/>
    </row>
    <row r="476" spans="1:3" ht="13" x14ac:dyDescent="0.15">
      <c r="A476" s="10"/>
      <c r="B476" s="13"/>
      <c r="C476" s="13"/>
    </row>
    <row r="477" spans="1:3" ht="13" x14ac:dyDescent="0.15">
      <c r="A477" s="10"/>
      <c r="B477" s="13"/>
      <c r="C477" s="13"/>
    </row>
    <row r="478" spans="1:3" ht="13" x14ac:dyDescent="0.15">
      <c r="A478" s="10"/>
      <c r="B478" s="13"/>
      <c r="C478" s="13"/>
    </row>
    <row r="479" spans="1:3" ht="13" x14ac:dyDescent="0.15">
      <c r="A479" s="10"/>
      <c r="B479" s="13"/>
      <c r="C479" s="13"/>
    </row>
    <row r="480" spans="1:3" ht="13" x14ac:dyDescent="0.15">
      <c r="A480" s="10"/>
      <c r="B480" s="13"/>
      <c r="C480" s="13"/>
    </row>
    <row r="481" spans="1:3" ht="13" x14ac:dyDescent="0.15">
      <c r="A481" s="10"/>
      <c r="B481" s="13"/>
      <c r="C481" s="13"/>
    </row>
    <row r="482" spans="1:3" ht="13" x14ac:dyDescent="0.15">
      <c r="A482" s="10"/>
      <c r="B482" s="13"/>
      <c r="C482" s="13"/>
    </row>
    <row r="483" spans="1:3" ht="13" x14ac:dyDescent="0.15">
      <c r="A483" s="10"/>
      <c r="B483" s="13"/>
      <c r="C483" s="13"/>
    </row>
    <row r="484" spans="1:3" ht="13" x14ac:dyDescent="0.15">
      <c r="A484" s="10"/>
      <c r="B484" s="13"/>
      <c r="C484" s="13"/>
    </row>
    <row r="485" spans="1:3" ht="13" x14ac:dyDescent="0.15">
      <c r="A485" s="10"/>
      <c r="B485" s="13"/>
      <c r="C485" s="13"/>
    </row>
    <row r="486" spans="1:3" ht="13" x14ac:dyDescent="0.15">
      <c r="A486" s="10"/>
      <c r="B486" s="13"/>
      <c r="C486" s="13"/>
    </row>
    <row r="487" spans="1:3" ht="13" x14ac:dyDescent="0.15">
      <c r="A487" s="10"/>
      <c r="B487" s="13"/>
      <c r="C487" s="13"/>
    </row>
    <row r="488" spans="1:3" ht="13" x14ac:dyDescent="0.15">
      <c r="A488" s="10"/>
      <c r="B488" s="13"/>
      <c r="C488" s="13"/>
    </row>
    <row r="489" spans="1:3" ht="13" x14ac:dyDescent="0.15">
      <c r="A489" s="10"/>
      <c r="B489" s="13"/>
      <c r="C489" s="13"/>
    </row>
    <row r="490" spans="1:3" ht="13" x14ac:dyDescent="0.15">
      <c r="A490" s="10"/>
      <c r="B490" s="13"/>
      <c r="C490" s="13"/>
    </row>
    <row r="491" spans="1:3" ht="13" x14ac:dyDescent="0.15">
      <c r="A491" s="10"/>
      <c r="B491" s="13"/>
      <c r="C491" s="13"/>
    </row>
    <row r="492" spans="1:3" ht="13" x14ac:dyDescent="0.15">
      <c r="A492" s="10"/>
      <c r="B492" s="13"/>
      <c r="C492" s="13"/>
    </row>
    <row r="493" spans="1:3" ht="13" x14ac:dyDescent="0.15">
      <c r="A493" s="10"/>
      <c r="B493" s="13"/>
      <c r="C493" s="13"/>
    </row>
    <row r="494" spans="1:3" ht="13" x14ac:dyDescent="0.15">
      <c r="A494" s="10"/>
      <c r="B494" s="13"/>
      <c r="C494" s="13"/>
    </row>
    <row r="495" spans="1:3" ht="13" x14ac:dyDescent="0.15">
      <c r="A495" s="10"/>
      <c r="B495" s="13"/>
      <c r="C495" s="13"/>
    </row>
    <row r="496" spans="1:3" ht="13" x14ac:dyDescent="0.15">
      <c r="A496" s="10"/>
      <c r="B496" s="13"/>
      <c r="C496" s="13"/>
    </row>
    <row r="497" spans="1:3" ht="13" x14ac:dyDescent="0.15">
      <c r="A497" s="10"/>
      <c r="B497" s="13"/>
      <c r="C497" s="13"/>
    </row>
    <row r="498" spans="1:3" ht="13" x14ac:dyDescent="0.15">
      <c r="A498" s="10"/>
      <c r="B498" s="13"/>
      <c r="C498" s="13"/>
    </row>
    <row r="499" spans="1:3" ht="13" x14ac:dyDescent="0.15">
      <c r="A499" s="10"/>
      <c r="B499" s="13"/>
      <c r="C499" s="13"/>
    </row>
    <row r="500" spans="1:3" ht="13" x14ac:dyDescent="0.15">
      <c r="A500" s="10"/>
      <c r="B500" s="13"/>
      <c r="C500" s="13"/>
    </row>
    <row r="501" spans="1:3" ht="13" x14ac:dyDescent="0.15">
      <c r="A501" s="10"/>
      <c r="B501" s="13"/>
      <c r="C501" s="13"/>
    </row>
    <row r="502" spans="1:3" ht="13" x14ac:dyDescent="0.15">
      <c r="A502" s="10"/>
      <c r="B502" s="13"/>
      <c r="C502" s="13"/>
    </row>
    <row r="503" spans="1:3" ht="13" x14ac:dyDescent="0.15">
      <c r="A503" s="10"/>
      <c r="B503" s="13"/>
      <c r="C503" s="13"/>
    </row>
    <row r="504" spans="1:3" ht="13" x14ac:dyDescent="0.15">
      <c r="A504" s="10"/>
      <c r="B504" s="13"/>
      <c r="C504" s="13"/>
    </row>
    <row r="505" spans="1:3" ht="13" x14ac:dyDescent="0.15">
      <c r="A505" s="10"/>
      <c r="B505" s="13"/>
      <c r="C505" s="13"/>
    </row>
    <row r="506" spans="1:3" ht="13" x14ac:dyDescent="0.15">
      <c r="A506" s="10"/>
      <c r="B506" s="13"/>
      <c r="C506" s="13"/>
    </row>
    <row r="507" spans="1:3" ht="13" x14ac:dyDescent="0.15">
      <c r="A507" s="10"/>
      <c r="B507" s="13"/>
      <c r="C507" s="13"/>
    </row>
    <row r="508" spans="1:3" ht="13" x14ac:dyDescent="0.15">
      <c r="A508" s="10"/>
      <c r="B508" s="13"/>
      <c r="C508" s="13"/>
    </row>
    <row r="509" spans="1:3" ht="13" x14ac:dyDescent="0.15">
      <c r="A509" s="10"/>
      <c r="B509" s="13"/>
      <c r="C509" s="13"/>
    </row>
    <row r="510" spans="1:3" ht="13" x14ac:dyDescent="0.15">
      <c r="A510" s="10"/>
      <c r="B510" s="13"/>
      <c r="C510" s="13"/>
    </row>
    <row r="511" spans="1:3" ht="13" x14ac:dyDescent="0.15">
      <c r="A511" s="10"/>
      <c r="B511" s="13"/>
      <c r="C511" s="13"/>
    </row>
    <row r="512" spans="1:3" ht="13" x14ac:dyDescent="0.15">
      <c r="A512" s="10"/>
      <c r="B512" s="13"/>
      <c r="C512" s="13"/>
    </row>
    <row r="513" spans="1:3" ht="13" x14ac:dyDescent="0.15">
      <c r="A513" s="10"/>
      <c r="B513" s="13"/>
      <c r="C513" s="13"/>
    </row>
    <row r="514" spans="1:3" ht="13" x14ac:dyDescent="0.15">
      <c r="A514" s="10"/>
      <c r="B514" s="13"/>
      <c r="C514" s="13"/>
    </row>
    <row r="515" spans="1:3" ht="13" x14ac:dyDescent="0.15">
      <c r="A515" s="10"/>
      <c r="B515" s="13"/>
      <c r="C515" s="13"/>
    </row>
    <row r="516" spans="1:3" ht="13" x14ac:dyDescent="0.15">
      <c r="A516" s="10"/>
      <c r="B516" s="13"/>
      <c r="C516" s="13"/>
    </row>
    <row r="517" spans="1:3" ht="13" x14ac:dyDescent="0.15">
      <c r="A517" s="10"/>
      <c r="B517" s="13"/>
      <c r="C517" s="13"/>
    </row>
    <row r="518" spans="1:3" ht="13" x14ac:dyDescent="0.15">
      <c r="A518" s="10"/>
      <c r="B518" s="13"/>
      <c r="C518" s="13"/>
    </row>
    <row r="519" spans="1:3" ht="13" x14ac:dyDescent="0.15">
      <c r="A519" s="10"/>
      <c r="B519" s="13"/>
      <c r="C519" s="13"/>
    </row>
    <row r="520" spans="1:3" ht="13" x14ac:dyDescent="0.15">
      <c r="A520" s="10"/>
      <c r="B520" s="13"/>
      <c r="C520" s="13"/>
    </row>
    <row r="521" spans="1:3" ht="13" x14ac:dyDescent="0.15">
      <c r="A521" s="10"/>
      <c r="B521" s="13"/>
      <c r="C521" s="13"/>
    </row>
    <row r="522" spans="1:3" ht="13" x14ac:dyDescent="0.15">
      <c r="A522" s="10"/>
      <c r="B522" s="13"/>
      <c r="C522" s="13"/>
    </row>
    <row r="523" spans="1:3" ht="13" x14ac:dyDescent="0.15">
      <c r="A523" s="10"/>
      <c r="B523" s="13"/>
      <c r="C523" s="13"/>
    </row>
    <row r="524" spans="1:3" ht="13" x14ac:dyDescent="0.15">
      <c r="A524" s="10"/>
      <c r="B524" s="13"/>
      <c r="C524" s="13"/>
    </row>
    <row r="525" spans="1:3" ht="13" x14ac:dyDescent="0.15">
      <c r="A525" s="10"/>
      <c r="B525" s="13"/>
      <c r="C525" s="13"/>
    </row>
    <row r="526" spans="1:3" ht="13" x14ac:dyDescent="0.15">
      <c r="A526" s="10"/>
      <c r="B526" s="13"/>
      <c r="C526" s="13"/>
    </row>
    <row r="527" spans="1:3" ht="13" x14ac:dyDescent="0.15">
      <c r="A527" s="10"/>
      <c r="B527" s="13"/>
      <c r="C527" s="13"/>
    </row>
    <row r="528" spans="1:3" ht="13" x14ac:dyDescent="0.15">
      <c r="A528" s="10"/>
      <c r="B528" s="13"/>
      <c r="C528" s="13"/>
    </row>
    <row r="529" spans="1:3" ht="13" x14ac:dyDescent="0.15">
      <c r="A529" s="10"/>
      <c r="B529" s="13"/>
      <c r="C529" s="13"/>
    </row>
    <row r="530" spans="1:3" ht="13" x14ac:dyDescent="0.15">
      <c r="A530" s="10"/>
      <c r="B530" s="13"/>
      <c r="C530" s="13"/>
    </row>
    <row r="531" spans="1:3" ht="13" x14ac:dyDescent="0.15">
      <c r="A531" s="10"/>
      <c r="B531" s="13"/>
      <c r="C531" s="13"/>
    </row>
    <row r="532" spans="1:3" ht="13" x14ac:dyDescent="0.15">
      <c r="A532" s="10"/>
      <c r="B532" s="13"/>
      <c r="C532" s="13"/>
    </row>
    <row r="533" spans="1:3" ht="13" x14ac:dyDescent="0.15">
      <c r="A533" s="10"/>
      <c r="B533" s="13"/>
      <c r="C533" s="13"/>
    </row>
    <row r="534" spans="1:3" ht="13" x14ac:dyDescent="0.15">
      <c r="A534" s="10"/>
      <c r="B534" s="13"/>
      <c r="C534" s="13"/>
    </row>
    <row r="535" spans="1:3" ht="13" x14ac:dyDescent="0.15">
      <c r="A535" s="10"/>
      <c r="B535" s="13"/>
      <c r="C535" s="13"/>
    </row>
    <row r="536" spans="1:3" ht="13" x14ac:dyDescent="0.15">
      <c r="A536" s="10"/>
      <c r="B536" s="13"/>
      <c r="C536" s="13"/>
    </row>
    <row r="537" spans="1:3" ht="13" x14ac:dyDescent="0.15">
      <c r="A537" s="10"/>
      <c r="B537" s="13"/>
      <c r="C537" s="13"/>
    </row>
    <row r="538" spans="1:3" ht="13" x14ac:dyDescent="0.15">
      <c r="A538" s="10"/>
      <c r="B538" s="13"/>
      <c r="C538" s="13"/>
    </row>
    <row r="539" spans="1:3" ht="13" x14ac:dyDescent="0.15">
      <c r="A539" s="10"/>
      <c r="B539" s="13"/>
      <c r="C539" s="13"/>
    </row>
    <row r="540" spans="1:3" ht="13" x14ac:dyDescent="0.15">
      <c r="A540" s="10"/>
      <c r="B540" s="13"/>
      <c r="C540" s="13"/>
    </row>
    <row r="541" spans="1:3" ht="13" x14ac:dyDescent="0.15">
      <c r="A541" s="10"/>
      <c r="B541" s="13"/>
      <c r="C541" s="13"/>
    </row>
    <row r="542" spans="1:3" ht="13" x14ac:dyDescent="0.15">
      <c r="A542" s="10"/>
      <c r="B542" s="13"/>
      <c r="C542" s="13"/>
    </row>
    <row r="543" spans="1:3" ht="13" x14ac:dyDescent="0.15">
      <c r="A543" s="10"/>
      <c r="B543" s="13"/>
      <c r="C543" s="13"/>
    </row>
    <row r="544" spans="1:3" ht="13" x14ac:dyDescent="0.15">
      <c r="A544" s="10"/>
      <c r="B544" s="13"/>
      <c r="C544" s="13"/>
    </row>
    <row r="545" spans="1:3" ht="13" x14ac:dyDescent="0.15">
      <c r="A545" s="10"/>
      <c r="B545" s="13"/>
      <c r="C545" s="13"/>
    </row>
    <row r="546" spans="1:3" ht="13" x14ac:dyDescent="0.15">
      <c r="A546" s="10"/>
      <c r="B546" s="13"/>
      <c r="C546" s="13"/>
    </row>
    <row r="547" spans="1:3" ht="13" x14ac:dyDescent="0.15">
      <c r="A547" s="10"/>
      <c r="B547" s="13"/>
      <c r="C547" s="13"/>
    </row>
    <row r="548" spans="1:3" ht="13" x14ac:dyDescent="0.15">
      <c r="A548" s="10"/>
      <c r="B548" s="13"/>
      <c r="C548" s="13"/>
    </row>
    <row r="549" spans="1:3" ht="13" x14ac:dyDescent="0.15">
      <c r="A549" s="10"/>
      <c r="B549" s="13"/>
      <c r="C549" s="13"/>
    </row>
    <row r="550" spans="1:3" ht="13" x14ac:dyDescent="0.15">
      <c r="A550" s="10"/>
      <c r="B550" s="13"/>
      <c r="C550" s="13"/>
    </row>
    <row r="551" spans="1:3" ht="13" x14ac:dyDescent="0.15">
      <c r="A551" s="10"/>
      <c r="B551" s="13"/>
      <c r="C551" s="13"/>
    </row>
    <row r="552" spans="1:3" ht="13" x14ac:dyDescent="0.15">
      <c r="A552" s="10"/>
      <c r="B552" s="13"/>
      <c r="C552" s="13"/>
    </row>
    <row r="553" spans="1:3" ht="13" x14ac:dyDescent="0.15">
      <c r="A553" s="10"/>
      <c r="B553" s="13"/>
      <c r="C553" s="13"/>
    </row>
    <row r="554" spans="1:3" ht="13" x14ac:dyDescent="0.15">
      <c r="A554" s="10"/>
      <c r="B554" s="13"/>
      <c r="C554" s="13"/>
    </row>
    <row r="555" spans="1:3" ht="13" x14ac:dyDescent="0.15">
      <c r="A555" s="10"/>
      <c r="B555" s="13"/>
      <c r="C555" s="13"/>
    </row>
    <row r="556" spans="1:3" ht="13" x14ac:dyDescent="0.15">
      <c r="A556" s="10"/>
      <c r="B556" s="13"/>
      <c r="C556" s="13"/>
    </row>
    <row r="557" spans="1:3" ht="13" x14ac:dyDescent="0.15">
      <c r="A557" s="10"/>
      <c r="B557" s="13"/>
      <c r="C557" s="13"/>
    </row>
    <row r="558" spans="1:3" ht="13" x14ac:dyDescent="0.15">
      <c r="A558" s="10"/>
      <c r="B558" s="13"/>
      <c r="C558" s="13"/>
    </row>
    <row r="559" spans="1:3" ht="13" x14ac:dyDescent="0.15">
      <c r="A559" s="10"/>
      <c r="B559" s="13"/>
      <c r="C559" s="13"/>
    </row>
    <row r="560" spans="1:3" ht="13" x14ac:dyDescent="0.15">
      <c r="A560" s="10"/>
      <c r="B560" s="13"/>
      <c r="C560" s="13"/>
    </row>
    <row r="561" spans="1:3" ht="13" x14ac:dyDescent="0.15">
      <c r="A561" s="10"/>
      <c r="B561" s="13"/>
      <c r="C561" s="13"/>
    </row>
    <row r="562" spans="1:3" ht="13" x14ac:dyDescent="0.15">
      <c r="A562" s="10"/>
      <c r="B562" s="13"/>
      <c r="C562" s="13"/>
    </row>
    <row r="563" spans="1:3" ht="13" x14ac:dyDescent="0.15">
      <c r="A563" s="10"/>
      <c r="B563" s="13"/>
      <c r="C563" s="13"/>
    </row>
    <row r="564" spans="1:3" ht="13" x14ac:dyDescent="0.15">
      <c r="A564" s="10"/>
      <c r="B564" s="13"/>
      <c r="C564" s="13"/>
    </row>
    <row r="565" spans="1:3" ht="13" x14ac:dyDescent="0.15">
      <c r="A565" s="10"/>
      <c r="B565" s="13"/>
      <c r="C565" s="13"/>
    </row>
    <row r="566" spans="1:3" ht="13" x14ac:dyDescent="0.15">
      <c r="A566" s="10"/>
      <c r="B566" s="13"/>
      <c r="C566" s="13"/>
    </row>
    <row r="567" spans="1:3" ht="13" x14ac:dyDescent="0.15">
      <c r="A567" s="10"/>
      <c r="B567" s="13"/>
      <c r="C567" s="13"/>
    </row>
    <row r="568" spans="1:3" ht="13" x14ac:dyDescent="0.15">
      <c r="A568" s="10"/>
      <c r="B568" s="13"/>
      <c r="C568" s="13"/>
    </row>
    <row r="569" spans="1:3" ht="13" x14ac:dyDescent="0.15">
      <c r="A569" s="10"/>
      <c r="B569" s="13"/>
      <c r="C569" s="13"/>
    </row>
    <row r="570" spans="1:3" ht="13" x14ac:dyDescent="0.15">
      <c r="A570" s="10"/>
      <c r="B570" s="13"/>
      <c r="C570" s="13"/>
    </row>
    <row r="571" spans="1:3" ht="13" x14ac:dyDescent="0.15">
      <c r="A571" s="10"/>
      <c r="B571" s="13"/>
      <c r="C571" s="13"/>
    </row>
    <row r="572" spans="1:3" ht="13" x14ac:dyDescent="0.15">
      <c r="A572" s="10"/>
      <c r="B572" s="13"/>
      <c r="C572" s="13"/>
    </row>
    <row r="573" spans="1:3" ht="13" x14ac:dyDescent="0.15">
      <c r="A573" s="10"/>
      <c r="B573" s="13"/>
      <c r="C573" s="13"/>
    </row>
    <row r="574" spans="1:3" ht="13" x14ac:dyDescent="0.15">
      <c r="A574" s="10"/>
      <c r="B574" s="13"/>
      <c r="C574" s="13"/>
    </row>
    <row r="575" spans="1:3" ht="13" x14ac:dyDescent="0.15">
      <c r="A575" s="10"/>
      <c r="B575" s="13"/>
      <c r="C575" s="13"/>
    </row>
    <row r="576" spans="1:3" ht="13" x14ac:dyDescent="0.15">
      <c r="A576" s="10"/>
      <c r="B576" s="13"/>
      <c r="C576" s="13"/>
    </row>
    <row r="577" spans="1:3" ht="13" x14ac:dyDescent="0.15">
      <c r="A577" s="10"/>
      <c r="B577" s="13"/>
      <c r="C577" s="13"/>
    </row>
    <row r="578" spans="1:3" ht="13" x14ac:dyDescent="0.15">
      <c r="A578" s="10"/>
      <c r="B578" s="13"/>
      <c r="C578" s="13"/>
    </row>
    <row r="579" spans="1:3" ht="13" x14ac:dyDescent="0.15">
      <c r="A579" s="10"/>
      <c r="B579" s="13"/>
      <c r="C579" s="13"/>
    </row>
    <row r="580" spans="1:3" ht="13" x14ac:dyDescent="0.15">
      <c r="A580" s="10"/>
      <c r="B580" s="13"/>
      <c r="C580" s="13"/>
    </row>
    <row r="581" spans="1:3" ht="13" x14ac:dyDescent="0.15">
      <c r="A581" s="10"/>
      <c r="B581" s="13"/>
      <c r="C581" s="13"/>
    </row>
    <row r="582" spans="1:3" ht="13" x14ac:dyDescent="0.15">
      <c r="A582" s="10"/>
      <c r="B582" s="13"/>
      <c r="C582" s="13"/>
    </row>
    <row r="583" spans="1:3" ht="13" x14ac:dyDescent="0.15">
      <c r="A583" s="10"/>
      <c r="B583" s="13"/>
      <c r="C583" s="13"/>
    </row>
    <row r="584" spans="1:3" ht="13" x14ac:dyDescent="0.15">
      <c r="A584" s="10"/>
      <c r="B584" s="13"/>
      <c r="C584" s="13"/>
    </row>
    <row r="585" spans="1:3" ht="13" x14ac:dyDescent="0.15">
      <c r="A585" s="10"/>
      <c r="B585" s="13"/>
      <c r="C585" s="13"/>
    </row>
    <row r="586" spans="1:3" ht="13" x14ac:dyDescent="0.15">
      <c r="A586" s="10"/>
      <c r="B586" s="13"/>
      <c r="C586" s="13"/>
    </row>
    <row r="587" spans="1:3" ht="13" x14ac:dyDescent="0.15">
      <c r="A587" s="10"/>
      <c r="B587" s="13"/>
      <c r="C587" s="13"/>
    </row>
    <row r="588" spans="1:3" ht="13" x14ac:dyDescent="0.15">
      <c r="A588" s="10"/>
      <c r="B588" s="13"/>
      <c r="C588" s="13"/>
    </row>
    <row r="589" spans="1:3" ht="13" x14ac:dyDescent="0.15">
      <c r="A589" s="10"/>
      <c r="B589" s="13"/>
      <c r="C589" s="13"/>
    </row>
    <row r="590" spans="1:3" ht="13" x14ac:dyDescent="0.15">
      <c r="A590" s="10"/>
      <c r="B590" s="13"/>
      <c r="C590" s="13"/>
    </row>
    <row r="591" spans="1:3" ht="13" x14ac:dyDescent="0.15">
      <c r="A591" s="10"/>
      <c r="B591" s="13"/>
      <c r="C591" s="13"/>
    </row>
    <row r="592" spans="1:3" ht="13" x14ac:dyDescent="0.15">
      <c r="A592" s="10"/>
      <c r="B592" s="13"/>
      <c r="C592" s="13"/>
    </row>
    <row r="593" spans="1:3" ht="13" x14ac:dyDescent="0.15">
      <c r="A593" s="10"/>
      <c r="B593" s="13"/>
      <c r="C593" s="13"/>
    </row>
    <row r="594" spans="1:3" ht="13" x14ac:dyDescent="0.15">
      <c r="A594" s="10"/>
      <c r="B594" s="13"/>
      <c r="C594" s="13"/>
    </row>
    <row r="595" spans="1:3" ht="13" x14ac:dyDescent="0.15">
      <c r="A595" s="10"/>
      <c r="B595" s="13"/>
      <c r="C595" s="13"/>
    </row>
    <row r="596" spans="1:3" ht="13" x14ac:dyDescent="0.15">
      <c r="A596" s="10"/>
      <c r="B596" s="13"/>
      <c r="C596" s="13"/>
    </row>
    <row r="597" spans="1:3" ht="13" x14ac:dyDescent="0.15">
      <c r="A597" s="10"/>
      <c r="B597" s="13"/>
      <c r="C597" s="13"/>
    </row>
    <row r="598" spans="1:3" ht="13" x14ac:dyDescent="0.15">
      <c r="A598" s="10"/>
      <c r="B598" s="13"/>
      <c r="C598" s="13"/>
    </row>
    <row r="599" spans="1:3" ht="13" x14ac:dyDescent="0.15">
      <c r="A599" s="10"/>
      <c r="B599" s="13"/>
      <c r="C599" s="13"/>
    </row>
    <row r="600" spans="1:3" ht="13" x14ac:dyDescent="0.15">
      <c r="A600" s="10"/>
      <c r="B600" s="13"/>
      <c r="C600" s="13"/>
    </row>
    <row r="601" spans="1:3" ht="13" x14ac:dyDescent="0.15">
      <c r="A601" s="10"/>
      <c r="B601" s="13"/>
      <c r="C601" s="13"/>
    </row>
    <row r="602" spans="1:3" ht="13" x14ac:dyDescent="0.15">
      <c r="A602" s="10"/>
      <c r="B602" s="13"/>
      <c r="C602" s="13"/>
    </row>
    <row r="603" spans="1:3" ht="13" x14ac:dyDescent="0.15">
      <c r="A603" s="10"/>
      <c r="B603" s="13"/>
      <c r="C603" s="13"/>
    </row>
    <row r="604" spans="1:3" ht="13" x14ac:dyDescent="0.15">
      <c r="A604" s="10"/>
      <c r="B604" s="13"/>
      <c r="C604" s="13"/>
    </row>
    <row r="605" spans="1:3" ht="13" x14ac:dyDescent="0.15">
      <c r="A605" s="10"/>
      <c r="B605" s="13"/>
      <c r="C605" s="13"/>
    </row>
    <row r="606" spans="1:3" ht="13" x14ac:dyDescent="0.15">
      <c r="A606" s="10"/>
      <c r="B606" s="13"/>
      <c r="C606" s="13"/>
    </row>
    <row r="607" spans="1:3" ht="13" x14ac:dyDescent="0.15">
      <c r="A607" s="10"/>
      <c r="B607" s="13"/>
      <c r="C607" s="13"/>
    </row>
    <row r="608" spans="1:3" ht="13" x14ac:dyDescent="0.15">
      <c r="A608" s="10"/>
      <c r="B608" s="13"/>
      <c r="C608" s="13"/>
    </row>
    <row r="609" spans="1:3" ht="13" x14ac:dyDescent="0.15">
      <c r="A609" s="10"/>
      <c r="B609" s="13"/>
      <c r="C609" s="13"/>
    </row>
    <row r="610" spans="1:3" ht="13" x14ac:dyDescent="0.15">
      <c r="A610" s="10"/>
      <c r="B610" s="13"/>
      <c r="C610" s="13"/>
    </row>
    <row r="611" spans="1:3" ht="13" x14ac:dyDescent="0.15">
      <c r="A611" s="10"/>
      <c r="B611" s="13"/>
      <c r="C611" s="13"/>
    </row>
    <row r="612" spans="1:3" ht="13" x14ac:dyDescent="0.15">
      <c r="A612" s="10"/>
      <c r="B612" s="13"/>
      <c r="C612" s="13"/>
    </row>
    <row r="613" spans="1:3" ht="13" x14ac:dyDescent="0.15">
      <c r="A613" s="10"/>
      <c r="B613" s="13"/>
      <c r="C613" s="13"/>
    </row>
    <row r="614" spans="1:3" ht="13" x14ac:dyDescent="0.15">
      <c r="A614" s="10"/>
      <c r="B614" s="13"/>
      <c r="C614" s="13"/>
    </row>
    <row r="615" spans="1:3" ht="13" x14ac:dyDescent="0.15">
      <c r="A615" s="10"/>
      <c r="B615" s="13"/>
      <c r="C615" s="13"/>
    </row>
    <row r="616" spans="1:3" ht="13" x14ac:dyDescent="0.15">
      <c r="A616" s="10"/>
      <c r="B616" s="13"/>
      <c r="C616" s="13"/>
    </row>
    <row r="617" spans="1:3" ht="13" x14ac:dyDescent="0.15">
      <c r="A617" s="10"/>
      <c r="B617" s="13"/>
      <c r="C617" s="13"/>
    </row>
    <row r="618" spans="1:3" ht="13" x14ac:dyDescent="0.15">
      <c r="A618" s="10"/>
      <c r="B618" s="13"/>
      <c r="C618" s="13"/>
    </row>
    <row r="619" spans="1:3" ht="13" x14ac:dyDescent="0.15">
      <c r="A619" s="10"/>
      <c r="B619" s="13"/>
      <c r="C619" s="13"/>
    </row>
    <row r="620" spans="1:3" ht="13" x14ac:dyDescent="0.15">
      <c r="A620" s="10"/>
      <c r="B620" s="13"/>
      <c r="C620" s="13"/>
    </row>
    <row r="621" spans="1:3" ht="13" x14ac:dyDescent="0.15">
      <c r="A621" s="10"/>
      <c r="B621" s="13"/>
      <c r="C621" s="13"/>
    </row>
    <row r="622" spans="1:3" ht="13" x14ac:dyDescent="0.15">
      <c r="A622" s="10"/>
      <c r="B622" s="13"/>
      <c r="C622" s="13"/>
    </row>
    <row r="623" spans="1:3" ht="13" x14ac:dyDescent="0.15">
      <c r="A623" s="10"/>
      <c r="B623" s="13"/>
      <c r="C623" s="13"/>
    </row>
    <row r="624" spans="1:3" ht="13" x14ac:dyDescent="0.15">
      <c r="A624" s="10"/>
      <c r="B624" s="13"/>
      <c r="C624" s="13"/>
    </row>
    <row r="625" spans="1:3" ht="13" x14ac:dyDescent="0.15">
      <c r="A625" s="10"/>
      <c r="B625" s="13"/>
      <c r="C625" s="13"/>
    </row>
    <row r="626" spans="1:3" ht="13" x14ac:dyDescent="0.15">
      <c r="A626" s="10"/>
      <c r="B626" s="13"/>
      <c r="C626" s="13"/>
    </row>
    <row r="627" spans="1:3" ht="13" x14ac:dyDescent="0.15">
      <c r="A627" s="10"/>
      <c r="B627" s="13"/>
      <c r="C627" s="13"/>
    </row>
    <row r="628" spans="1:3" ht="13" x14ac:dyDescent="0.15">
      <c r="A628" s="10"/>
      <c r="B628" s="13"/>
      <c r="C628" s="13"/>
    </row>
    <row r="629" spans="1:3" ht="13" x14ac:dyDescent="0.15">
      <c r="A629" s="10"/>
      <c r="B629" s="13"/>
      <c r="C629" s="13"/>
    </row>
    <row r="630" spans="1:3" ht="13" x14ac:dyDescent="0.15">
      <c r="A630" s="10"/>
      <c r="B630" s="13"/>
      <c r="C630" s="13"/>
    </row>
    <row r="631" spans="1:3" ht="13" x14ac:dyDescent="0.15">
      <c r="A631" s="10"/>
      <c r="B631" s="13"/>
      <c r="C631" s="13"/>
    </row>
    <row r="632" spans="1:3" ht="13" x14ac:dyDescent="0.15">
      <c r="A632" s="10"/>
      <c r="B632" s="13"/>
      <c r="C632" s="13"/>
    </row>
    <row r="633" spans="1:3" ht="13" x14ac:dyDescent="0.15">
      <c r="A633" s="10"/>
      <c r="B633" s="13"/>
      <c r="C633" s="13"/>
    </row>
    <row r="634" spans="1:3" ht="13" x14ac:dyDescent="0.15">
      <c r="A634" s="10"/>
      <c r="B634" s="13"/>
      <c r="C634" s="13"/>
    </row>
    <row r="635" spans="1:3" ht="13" x14ac:dyDescent="0.15">
      <c r="A635" s="10"/>
      <c r="B635" s="13"/>
      <c r="C635" s="13"/>
    </row>
    <row r="636" spans="1:3" ht="13" x14ac:dyDescent="0.15">
      <c r="A636" s="10"/>
      <c r="B636" s="13"/>
      <c r="C636" s="13"/>
    </row>
    <row r="637" spans="1:3" ht="13" x14ac:dyDescent="0.15">
      <c r="A637" s="10"/>
      <c r="B637" s="13"/>
      <c r="C637" s="13"/>
    </row>
    <row r="638" spans="1:3" ht="13" x14ac:dyDescent="0.15">
      <c r="A638" s="10"/>
      <c r="B638" s="13"/>
      <c r="C638" s="13"/>
    </row>
    <row r="639" spans="1:3" ht="13" x14ac:dyDescent="0.15">
      <c r="A639" s="10"/>
      <c r="B639" s="13"/>
      <c r="C639" s="13"/>
    </row>
    <row r="640" spans="1:3" ht="13" x14ac:dyDescent="0.15">
      <c r="A640" s="10"/>
      <c r="B640" s="13"/>
      <c r="C640" s="13"/>
    </row>
    <row r="641" spans="1:3" ht="13" x14ac:dyDescent="0.15">
      <c r="A641" s="10"/>
      <c r="B641" s="13"/>
      <c r="C641" s="13"/>
    </row>
    <row r="642" spans="1:3" ht="13" x14ac:dyDescent="0.15">
      <c r="A642" s="10"/>
      <c r="B642" s="13"/>
      <c r="C642" s="13"/>
    </row>
    <row r="643" spans="1:3" ht="13" x14ac:dyDescent="0.15">
      <c r="A643" s="10"/>
      <c r="B643" s="13"/>
      <c r="C643" s="13"/>
    </row>
    <row r="644" spans="1:3" ht="13" x14ac:dyDescent="0.15">
      <c r="A644" s="10"/>
      <c r="B644" s="13"/>
      <c r="C644" s="13"/>
    </row>
    <row r="645" spans="1:3" ht="13" x14ac:dyDescent="0.15">
      <c r="A645" s="10"/>
      <c r="B645" s="13"/>
      <c r="C645" s="13"/>
    </row>
    <row r="646" spans="1:3" ht="13" x14ac:dyDescent="0.15">
      <c r="A646" s="10"/>
      <c r="B646" s="13"/>
      <c r="C646" s="13"/>
    </row>
    <row r="647" spans="1:3" ht="13" x14ac:dyDescent="0.15">
      <c r="A647" s="10"/>
      <c r="B647" s="13"/>
      <c r="C647" s="13"/>
    </row>
    <row r="648" spans="1:3" ht="13" x14ac:dyDescent="0.15">
      <c r="A648" s="10"/>
      <c r="B648" s="13"/>
      <c r="C648" s="13"/>
    </row>
    <row r="649" spans="1:3" ht="13" x14ac:dyDescent="0.15">
      <c r="A649" s="10"/>
      <c r="B649" s="13"/>
      <c r="C649" s="13"/>
    </row>
    <row r="650" spans="1:3" ht="13" x14ac:dyDescent="0.15">
      <c r="A650" s="10"/>
      <c r="B650" s="13"/>
      <c r="C650" s="13"/>
    </row>
    <row r="651" spans="1:3" ht="13" x14ac:dyDescent="0.15">
      <c r="A651" s="10"/>
      <c r="B651" s="13"/>
      <c r="C651" s="13"/>
    </row>
    <row r="652" spans="1:3" ht="13" x14ac:dyDescent="0.15">
      <c r="A652" s="10"/>
      <c r="B652" s="13"/>
      <c r="C652" s="13"/>
    </row>
    <row r="653" spans="1:3" ht="13" x14ac:dyDescent="0.15">
      <c r="A653" s="10"/>
      <c r="B653" s="13"/>
      <c r="C653" s="13"/>
    </row>
    <row r="654" spans="1:3" ht="13" x14ac:dyDescent="0.15">
      <c r="A654" s="10"/>
      <c r="B654" s="13"/>
      <c r="C654" s="13"/>
    </row>
    <row r="655" spans="1:3" ht="13" x14ac:dyDescent="0.15">
      <c r="A655" s="10"/>
      <c r="B655" s="13"/>
      <c r="C655" s="13"/>
    </row>
    <row r="656" spans="1:3" ht="13" x14ac:dyDescent="0.15">
      <c r="A656" s="10"/>
      <c r="B656" s="13"/>
      <c r="C656" s="13"/>
    </row>
    <row r="657" spans="1:3" ht="13" x14ac:dyDescent="0.15">
      <c r="A657" s="10"/>
      <c r="B657" s="13"/>
      <c r="C657" s="13"/>
    </row>
    <row r="658" spans="1:3" ht="13" x14ac:dyDescent="0.15">
      <c r="A658" s="10"/>
      <c r="B658" s="13"/>
      <c r="C658" s="13"/>
    </row>
    <row r="659" spans="1:3" ht="13" x14ac:dyDescent="0.15">
      <c r="A659" s="10"/>
      <c r="B659" s="13"/>
      <c r="C659" s="13"/>
    </row>
    <row r="660" spans="1:3" ht="13" x14ac:dyDescent="0.15">
      <c r="A660" s="10"/>
      <c r="B660" s="13"/>
      <c r="C660" s="13"/>
    </row>
    <row r="661" spans="1:3" ht="13" x14ac:dyDescent="0.15">
      <c r="A661" s="10"/>
      <c r="B661" s="13"/>
      <c r="C661" s="13"/>
    </row>
    <row r="662" spans="1:3" ht="13" x14ac:dyDescent="0.15">
      <c r="A662" s="10"/>
      <c r="B662" s="13"/>
      <c r="C662" s="13"/>
    </row>
    <row r="663" spans="1:3" ht="13" x14ac:dyDescent="0.15">
      <c r="A663" s="10"/>
      <c r="B663" s="13"/>
      <c r="C663" s="13"/>
    </row>
    <row r="664" spans="1:3" ht="13" x14ac:dyDescent="0.15">
      <c r="A664" s="10"/>
      <c r="B664" s="13"/>
      <c r="C664" s="13"/>
    </row>
    <row r="665" spans="1:3" ht="13" x14ac:dyDescent="0.15">
      <c r="A665" s="10"/>
      <c r="B665" s="13"/>
      <c r="C665" s="13"/>
    </row>
    <row r="666" spans="1:3" ht="13" x14ac:dyDescent="0.15">
      <c r="A666" s="10"/>
      <c r="B666" s="13"/>
      <c r="C666" s="13"/>
    </row>
    <row r="667" spans="1:3" ht="13" x14ac:dyDescent="0.15">
      <c r="A667" s="10"/>
      <c r="B667" s="13"/>
      <c r="C667" s="13"/>
    </row>
    <row r="668" spans="1:3" ht="13" x14ac:dyDescent="0.15">
      <c r="A668" s="10"/>
      <c r="B668" s="13"/>
      <c r="C668" s="13"/>
    </row>
    <row r="669" spans="1:3" ht="13" x14ac:dyDescent="0.15">
      <c r="A669" s="10"/>
      <c r="B669" s="13"/>
      <c r="C669" s="13"/>
    </row>
    <row r="670" spans="1:3" ht="13" x14ac:dyDescent="0.15">
      <c r="A670" s="10"/>
      <c r="B670" s="13"/>
      <c r="C670" s="13"/>
    </row>
    <row r="671" spans="1:3" ht="13" x14ac:dyDescent="0.15">
      <c r="A671" s="10"/>
      <c r="B671" s="13"/>
      <c r="C671" s="13"/>
    </row>
    <row r="672" spans="1:3" ht="13" x14ac:dyDescent="0.15">
      <c r="A672" s="10"/>
      <c r="B672" s="13"/>
      <c r="C672" s="13"/>
    </row>
    <row r="673" spans="1:3" ht="13" x14ac:dyDescent="0.15">
      <c r="A673" s="10"/>
      <c r="B673" s="13"/>
      <c r="C673" s="13"/>
    </row>
    <row r="674" spans="1:3" ht="13" x14ac:dyDescent="0.15">
      <c r="A674" s="10"/>
      <c r="B674" s="13"/>
      <c r="C674" s="13"/>
    </row>
    <row r="675" spans="1:3" ht="13" x14ac:dyDescent="0.15">
      <c r="A675" s="10"/>
      <c r="B675" s="13"/>
      <c r="C675" s="13"/>
    </row>
    <row r="676" spans="1:3" ht="13" x14ac:dyDescent="0.15">
      <c r="A676" s="10"/>
      <c r="B676" s="13"/>
      <c r="C676" s="13"/>
    </row>
    <row r="677" spans="1:3" ht="13" x14ac:dyDescent="0.15">
      <c r="A677" s="10"/>
      <c r="B677" s="13"/>
      <c r="C677" s="13"/>
    </row>
    <row r="678" spans="1:3" ht="13" x14ac:dyDescent="0.15">
      <c r="A678" s="10"/>
      <c r="B678" s="13"/>
      <c r="C678" s="13"/>
    </row>
    <row r="679" spans="1:3" ht="13" x14ac:dyDescent="0.15">
      <c r="A679" s="10"/>
      <c r="B679" s="13"/>
      <c r="C679" s="13"/>
    </row>
    <row r="680" spans="1:3" ht="13" x14ac:dyDescent="0.15">
      <c r="A680" s="10"/>
      <c r="B680" s="13"/>
      <c r="C680" s="13"/>
    </row>
    <row r="681" spans="1:3" ht="13" x14ac:dyDescent="0.15">
      <c r="A681" s="10"/>
      <c r="B681" s="13"/>
      <c r="C681" s="13"/>
    </row>
    <row r="682" spans="1:3" ht="13" x14ac:dyDescent="0.15">
      <c r="A682" s="10"/>
      <c r="B682" s="13"/>
      <c r="C682" s="13"/>
    </row>
    <row r="683" spans="1:3" ht="13" x14ac:dyDescent="0.15">
      <c r="A683" s="10"/>
      <c r="B683" s="13"/>
      <c r="C683" s="13"/>
    </row>
    <row r="684" spans="1:3" ht="13" x14ac:dyDescent="0.15">
      <c r="A684" s="10"/>
      <c r="B684" s="13"/>
      <c r="C684" s="13"/>
    </row>
    <row r="685" spans="1:3" ht="13" x14ac:dyDescent="0.15">
      <c r="A685" s="10"/>
      <c r="B685" s="13"/>
      <c r="C685" s="13"/>
    </row>
    <row r="686" spans="1:3" ht="13" x14ac:dyDescent="0.15">
      <c r="A686" s="10"/>
      <c r="B686" s="13"/>
      <c r="C686" s="13"/>
    </row>
    <row r="687" spans="1:3" ht="13" x14ac:dyDescent="0.15">
      <c r="A687" s="10"/>
      <c r="B687" s="13"/>
      <c r="C687" s="13"/>
    </row>
    <row r="688" spans="1:3" ht="13" x14ac:dyDescent="0.15">
      <c r="A688" s="10"/>
      <c r="B688" s="13"/>
      <c r="C688" s="13"/>
    </row>
    <row r="689" spans="1:3" ht="13" x14ac:dyDescent="0.15">
      <c r="A689" s="10"/>
      <c r="B689" s="13"/>
      <c r="C689" s="13"/>
    </row>
    <row r="690" spans="1:3" ht="13" x14ac:dyDescent="0.15">
      <c r="A690" s="10"/>
      <c r="B690" s="13"/>
      <c r="C690" s="13"/>
    </row>
    <row r="691" spans="1:3" ht="13" x14ac:dyDescent="0.15">
      <c r="A691" s="10"/>
      <c r="B691" s="13"/>
      <c r="C691" s="13"/>
    </row>
    <row r="692" spans="1:3" ht="13" x14ac:dyDescent="0.15">
      <c r="A692" s="10"/>
      <c r="B692" s="13"/>
      <c r="C692" s="13"/>
    </row>
    <row r="693" spans="1:3" ht="13" x14ac:dyDescent="0.15">
      <c r="A693" s="10"/>
      <c r="B693" s="13"/>
      <c r="C693" s="13"/>
    </row>
    <row r="694" spans="1:3" ht="13" x14ac:dyDescent="0.15">
      <c r="A694" s="10"/>
      <c r="B694" s="13"/>
      <c r="C694" s="13"/>
    </row>
    <row r="695" spans="1:3" ht="13" x14ac:dyDescent="0.15">
      <c r="A695" s="10"/>
      <c r="B695" s="13"/>
      <c r="C695" s="13"/>
    </row>
    <row r="696" spans="1:3" ht="13" x14ac:dyDescent="0.15">
      <c r="A696" s="10"/>
      <c r="B696" s="13"/>
      <c r="C696" s="13"/>
    </row>
    <row r="697" spans="1:3" ht="13" x14ac:dyDescent="0.15">
      <c r="A697" s="10"/>
      <c r="B697" s="13"/>
      <c r="C697" s="13"/>
    </row>
    <row r="698" spans="1:3" ht="13" x14ac:dyDescent="0.15">
      <c r="A698" s="10"/>
      <c r="B698" s="13"/>
      <c r="C698" s="13"/>
    </row>
    <row r="699" spans="1:3" ht="13" x14ac:dyDescent="0.15">
      <c r="A699" s="10"/>
      <c r="B699" s="13"/>
      <c r="C699" s="13"/>
    </row>
    <row r="700" spans="1:3" ht="13" x14ac:dyDescent="0.15">
      <c r="A700" s="10"/>
      <c r="B700" s="13"/>
      <c r="C700" s="13"/>
    </row>
    <row r="701" spans="1:3" ht="13" x14ac:dyDescent="0.15">
      <c r="A701" s="10"/>
      <c r="B701" s="13"/>
      <c r="C701" s="13"/>
    </row>
    <row r="702" spans="1:3" ht="13" x14ac:dyDescent="0.15">
      <c r="A702" s="10"/>
      <c r="B702" s="13"/>
      <c r="C702" s="13"/>
    </row>
    <row r="703" spans="1:3" ht="13" x14ac:dyDescent="0.15">
      <c r="A703" s="10"/>
      <c r="B703" s="13"/>
      <c r="C703" s="13"/>
    </row>
    <row r="704" spans="1:3" ht="13" x14ac:dyDescent="0.15">
      <c r="A704" s="10"/>
      <c r="B704" s="13"/>
      <c r="C704" s="13"/>
    </row>
    <row r="705" spans="1:3" ht="13" x14ac:dyDescent="0.15">
      <c r="A705" s="10"/>
      <c r="B705" s="13"/>
      <c r="C705" s="13"/>
    </row>
    <row r="706" spans="1:3" ht="13" x14ac:dyDescent="0.15">
      <c r="A706" s="10"/>
      <c r="B706" s="13"/>
      <c r="C706" s="13"/>
    </row>
    <row r="707" spans="1:3" ht="13" x14ac:dyDescent="0.15">
      <c r="A707" s="10"/>
      <c r="B707" s="13"/>
      <c r="C707" s="13"/>
    </row>
    <row r="708" spans="1:3" ht="13" x14ac:dyDescent="0.15">
      <c r="A708" s="10"/>
      <c r="B708" s="13"/>
      <c r="C708" s="13"/>
    </row>
    <row r="709" spans="1:3" ht="13" x14ac:dyDescent="0.15">
      <c r="A709" s="10"/>
      <c r="B709" s="13"/>
      <c r="C709" s="13"/>
    </row>
    <row r="710" spans="1:3" ht="13" x14ac:dyDescent="0.15">
      <c r="A710" s="10"/>
      <c r="B710" s="13"/>
      <c r="C710" s="13"/>
    </row>
    <row r="711" spans="1:3" ht="13" x14ac:dyDescent="0.15">
      <c r="A711" s="10"/>
      <c r="B711" s="13"/>
      <c r="C711" s="13"/>
    </row>
    <row r="712" spans="1:3" ht="13" x14ac:dyDescent="0.15">
      <c r="A712" s="10"/>
      <c r="B712" s="13"/>
      <c r="C712" s="13"/>
    </row>
    <row r="713" spans="1:3" ht="13" x14ac:dyDescent="0.15">
      <c r="A713" s="10"/>
      <c r="B713" s="13"/>
      <c r="C713" s="13"/>
    </row>
    <row r="714" spans="1:3" ht="13" x14ac:dyDescent="0.15">
      <c r="A714" s="10"/>
      <c r="B714" s="13"/>
      <c r="C714" s="13"/>
    </row>
    <row r="715" spans="1:3" ht="13" x14ac:dyDescent="0.15">
      <c r="A715" s="10"/>
      <c r="B715" s="13"/>
      <c r="C715" s="13"/>
    </row>
    <row r="716" spans="1:3" ht="13" x14ac:dyDescent="0.15">
      <c r="A716" s="10"/>
      <c r="B716" s="13"/>
      <c r="C716" s="13"/>
    </row>
    <row r="717" spans="1:3" ht="13" x14ac:dyDescent="0.15">
      <c r="A717" s="10"/>
      <c r="B717" s="13"/>
      <c r="C717" s="13"/>
    </row>
    <row r="718" spans="1:3" ht="13" x14ac:dyDescent="0.15">
      <c r="A718" s="10"/>
      <c r="B718" s="13"/>
      <c r="C718" s="13"/>
    </row>
    <row r="719" spans="1:3" ht="13" x14ac:dyDescent="0.15">
      <c r="A719" s="10"/>
      <c r="B719" s="13"/>
      <c r="C719" s="13"/>
    </row>
    <row r="720" spans="1:3" ht="13" x14ac:dyDescent="0.15">
      <c r="A720" s="10"/>
      <c r="B720" s="13"/>
      <c r="C720" s="13"/>
    </row>
    <row r="721" spans="1:3" ht="13" x14ac:dyDescent="0.15">
      <c r="A721" s="10"/>
      <c r="B721" s="13"/>
      <c r="C721" s="13"/>
    </row>
    <row r="722" spans="1:3" ht="13" x14ac:dyDescent="0.15">
      <c r="A722" s="10"/>
      <c r="B722" s="13"/>
      <c r="C722" s="13"/>
    </row>
    <row r="723" spans="1:3" ht="13" x14ac:dyDescent="0.15">
      <c r="A723" s="10"/>
      <c r="B723" s="13"/>
      <c r="C723" s="13"/>
    </row>
    <row r="724" spans="1:3" ht="13" x14ac:dyDescent="0.15">
      <c r="A724" s="10"/>
      <c r="B724" s="13"/>
      <c r="C724" s="13"/>
    </row>
    <row r="725" spans="1:3" ht="13" x14ac:dyDescent="0.15">
      <c r="A725" s="10"/>
      <c r="B725" s="13"/>
      <c r="C725" s="13"/>
    </row>
    <row r="726" spans="1:3" ht="13" x14ac:dyDescent="0.15">
      <c r="A726" s="10"/>
      <c r="B726" s="13"/>
      <c r="C726" s="13"/>
    </row>
    <row r="727" spans="1:3" ht="13" x14ac:dyDescent="0.15">
      <c r="A727" s="10"/>
      <c r="B727" s="13"/>
      <c r="C727" s="13"/>
    </row>
    <row r="728" spans="1:3" ht="13" x14ac:dyDescent="0.15">
      <c r="A728" s="10"/>
      <c r="B728" s="13"/>
      <c r="C728" s="13"/>
    </row>
    <row r="729" spans="1:3" ht="13" x14ac:dyDescent="0.15">
      <c r="A729" s="10"/>
      <c r="B729" s="13"/>
      <c r="C729" s="13"/>
    </row>
    <row r="730" spans="1:3" ht="13" x14ac:dyDescent="0.15">
      <c r="A730" s="10"/>
      <c r="B730" s="13"/>
      <c r="C730" s="13"/>
    </row>
    <row r="731" spans="1:3" ht="13" x14ac:dyDescent="0.15">
      <c r="A731" s="10"/>
      <c r="B731" s="13"/>
      <c r="C731" s="13"/>
    </row>
    <row r="732" spans="1:3" ht="13" x14ac:dyDescent="0.15">
      <c r="A732" s="10"/>
      <c r="B732" s="13"/>
      <c r="C732" s="13"/>
    </row>
    <row r="733" spans="1:3" ht="13" x14ac:dyDescent="0.15">
      <c r="A733" s="10"/>
      <c r="B733" s="13"/>
      <c r="C733" s="13"/>
    </row>
    <row r="734" spans="1:3" ht="13" x14ac:dyDescent="0.15">
      <c r="A734" s="10"/>
      <c r="B734" s="13"/>
      <c r="C734" s="13"/>
    </row>
    <row r="735" spans="1:3" ht="13" x14ac:dyDescent="0.15">
      <c r="A735" s="10"/>
      <c r="B735" s="13"/>
      <c r="C735" s="13"/>
    </row>
    <row r="736" spans="1:3" ht="13" x14ac:dyDescent="0.15">
      <c r="A736" s="10"/>
      <c r="B736" s="13"/>
      <c r="C736" s="13"/>
    </row>
    <row r="737" spans="1:3" ht="13" x14ac:dyDescent="0.15">
      <c r="A737" s="10"/>
      <c r="B737" s="13"/>
      <c r="C737" s="13"/>
    </row>
    <row r="738" spans="1:3" ht="13" x14ac:dyDescent="0.15">
      <c r="A738" s="10"/>
      <c r="B738" s="13"/>
      <c r="C738" s="13"/>
    </row>
    <row r="739" spans="1:3" ht="13" x14ac:dyDescent="0.15">
      <c r="A739" s="10"/>
      <c r="B739" s="13"/>
      <c r="C739" s="13"/>
    </row>
    <row r="740" spans="1:3" ht="13" x14ac:dyDescent="0.15">
      <c r="A740" s="10"/>
      <c r="B740" s="13"/>
      <c r="C740" s="13"/>
    </row>
    <row r="741" spans="1:3" ht="13" x14ac:dyDescent="0.15">
      <c r="A741" s="10"/>
      <c r="B741" s="13"/>
      <c r="C741" s="13"/>
    </row>
    <row r="742" spans="1:3" ht="13" x14ac:dyDescent="0.15">
      <c r="A742" s="10"/>
      <c r="B742" s="13"/>
      <c r="C742" s="13"/>
    </row>
    <row r="743" spans="1:3" ht="13" x14ac:dyDescent="0.15">
      <c r="A743" s="10"/>
      <c r="B743" s="13"/>
      <c r="C743" s="13"/>
    </row>
    <row r="744" spans="1:3" ht="13" x14ac:dyDescent="0.15">
      <c r="A744" s="10"/>
      <c r="B744" s="13"/>
      <c r="C744" s="13"/>
    </row>
    <row r="745" spans="1:3" ht="13" x14ac:dyDescent="0.15">
      <c r="A745" s="10"/>
      <c r="B745" s="13"/>
      <c r="C745" s="13"/>
    </row>
    <row r="746" spans="1:3" ht="13" x14ac:dyDescent="0.15">
      <c r="A746" s="10"/>
      <c r="B746" s="13"/>
      <c r="C746" s="13"/>
    </row>
    <row r="747" spans="1:3" ht="13" x14ac:dyDescent="0.15">
      <c r="A747" s="10"/>
      <c r="B747" s="13"/>
      <c r="C747" s="13"/>
    </row>
    <row r="748" spans="1:3" ht="13" x14ac:dyDescent="0.15">
      <c r="A748" s="10"/>
      <c r="B748" s="13"/>
      <c r="C748" s="13"/>
    </row>
    <row r="749" spans="1:3" ht="13" x14ac:dyDescent="0.15">
      <c r="A749" s="10"/>
      <c r="B749" s="13"/>
      <c r="C749" s="13"/>
    </row>
    <row r="750" spans="1:3" ht="13" x14ac:dyDescent="0.15">
      <c r="A750" s="10"/>
      <c r="B750" s="13"/>
      <c r="C750" s="13"/>
    </row>
    <row r="751" spans="1:3" ht="13" x14ac:dyDescent="0.15">
      <c r="A751" s="10"/>
      <c r="B751" s="13"/>
      <c r="C751" s="13"/>
    </row>
    <row r="752" spans="1:3" ht="13" x14ac:dyDescent="0.15">
      <c r="A752" s="10"/>
      <c r="B752" s="13"/>
      <c r="C752" s="13"/>
    </row>
    <row r="753" spans="1:3" ht="13" x14ac:dyDescent="0.15">
      <c r="A753" s="10"/>
      <c r="B753" s="13"/>
      <c r="C753" s="13"/>
    </row>
    <row r="754" spans="1:3" ht="13" x14ac:dyDescent="0.15">
      <c r="A754" s="10"/>
      <c r="B754" s="13"/>
      <c r="C754" s="13"/>
    </row>
    <row r="755" spans="1:3" ht="13" x14ac:dyDescent="0.15">
      <c r="A755" s="10"/>
      <c r="B755" s="13"/>
      <c r="C755" s="13"/>
    </row>
    <row r="756" spans="1:3" ht="13" x14ac:dyDescent="0.15">
      <c r="A756" s="10"/>
      <c r="B756" s="13"/>
      <c r="C756" s="13"/>
    </row>
    <row r="757" spans="1:3" ht="13" x14ac:dyDescent="0.15">
      <c r="A757" s="10"/>
      <c r="B757" s="13"/>
      <c r="C757" s="13"/>
    </row>
    <row r="758" spans="1:3" ht="13" x14ac:dyDescent="0.15">
      <c r="A758" s="10"/>
      <c r="B758" s="13"/>
      <c r="C758" s="13"/>
    </row>
    <row r="759" spans="1:3" ht="13" x14ac:dyDescent="0.15">
      <c r="A759" s="10"/>
      <c r="B759" s="13"/>
      <c r="C759" s="13"/>
    </row>
    <row r="760" spans="1:3" ht="13" x14ac:dyDescent="0.15">
      <c r="A760" s="10"/>
      <c r="B760" s="13"/>
      <c r="C760" s="13"/>
    </row>
    <row r="761" spans="1:3" ht="13" x14ac:dyDescent="0.15">
      <c r="A761" s="10"/>
      <c r="B761" s="13"/>
      <c r="C761" s="13"/>
    </row>
    <row r="762" spans="1:3" ht="13" x14ac:dyDescent="0.15">
      <c r="A762" s="10"/>
      <c r="B762" s="13"/>
      <c r="C762" s="13"/>
    </row>
    <row r="763" spans="1:3" ht="13" x14ac:dyDescent="0.15">
      <c r="A763" s="10"/>
      <c r="B763" s="13"/>
      <c r="C763" s="13"/>
    </row>
    <row r="764" spans="1:3" ht="13" x14ac:dyDescent="0.15">
      <c r="A764" s="10"/>
      <c r="B764" s="13"/>
      <c r="C764" s="13"/>
    </row>
    <row r="765" spans="1:3" ht="13" x14ac:dyDescent="0.15">
      <c r="A765" s="10"/>
      <c r="B765" s="13"/>
      <c r="C765" s="13"/>
    </row>
    <row r="766" spans="1:3" ht="13" x14ac:dyDescent="0.15">
      <c r="A766" s="10"/>
      <c r="B766" s="13"/>
      <c r="C766" s="13"/>
    </row>
    <row r="767" spans="1:3" ht="13" x14ac:dyDescent="0.15">
      <c r="A767" s="10"/>
      <c r="B767" s="13"/>
      <c r="C767" s="13"/>
    </row>
    <row r="768" spans="1:3" ht="13" x14ac:dyDescent="0.15">
      <c r="A768" s="10"/>
      <c r="B768" s="13"/>
      <c r="C768" s="13"/>
    </row>
    <row r="769" spans="1:3" ht="13" x14ac:dyDescent="0.15">
      <c r="A769" s="10"/>
      <c r="B769" s="13"/>
      <c r="C769" s="13"/>
    </row>
    <row r="770" spans="1:3" ht="13" x14ac:dyDescent="0.15">
      <c r="A770" s="10"/>
      <c r="B770" s="13"/>
      <c r="C770" s="13"/>
    </row>
    <row r="771" spans="1:3" ht="13" x14ac:dyDescent="0.15">
      <c r="A771" s="10"/>
      <c r="B771" s="13"/>
      <c r="C771" s="13"/>
    </row>
    <row r="772" spans="1:3" ht="13" x14ac:dyDescent="0.15">
      <c r="A772" s="10"/>
      <c r="B772" s="13"/>
      <c r="C772" s="13"/>
    </row>
    <row r="773" spans="1:3" ht="13" x14ac:dyDescent="0.15">
      <c r="A773" s="10"/>
      <c r="B773" s="13"/>
      <c r="C773" s="13"/>
    </row>
    <row r="774" spans="1:3" ht="13" x14ac:dyDescent="0.15">
      <c r="A774" s="10"/>
      <c r="B774" s="13"/>
      <c r="C774" s="13"/>
    </row>
    <row r="775" spans="1:3" ht="13" x14ac:dyDescent="0.15">
      <c r="A775" s="10"/>
      <c r="B775" s="13"/>
      <c r="C775" s="13"/>
    </row>
    <row r="776" spans="1:3" ht="13" x14ac:dyDescent="0.15">
      <c r="A776" s="10"/>
      <c r="B776" s="13"/>
      <c r="C776" s="13"/>
    </row>
    <row r="777" spans="1:3" ht="13" x14ac:dyDescent="0.15">
      <c r="A777" s="10"/>
      <c r="B777" s="13"/>
      <c r="C777" s="13"/>
    </row>
    <row r="778" spans="1:3" ht="13" x14ac:dyDescent="0.15">
      <c r="A778" s="10"/>
      <c r="B778" s="13"/>
      <c r="C778" s="13"/>
    </row>
    <row r="779" spans="1:3" ht="13" x14ac:dyDescent="0.15">
      <c r="A779" s="10"/>
      <c r="B779" s="13"/>
      <c r="C779" s="13"/>
    </row>
    <row r="780" spans="1:3" ht="13" x14ac:dyDescent="0.15">
      <c r="A780" s="10"/>
      <c r="B780" s="13"/>
      <c r="C780" s="13"/>
    </row>
    <row r="781" spans="1:3" ht="13" x14ac:dyDescent="0.15">
      <c r="A781" s="10"/>
      <c r="B781" s="13"/>
      <c r="C781" s="13"/>
    </row>
    <row r="782" spans="1:3" ht="13" x14ac:dyDescent="0.15">
      <c r="A782" s="10"/>
      <c r="B782" s="13"/>
      <c r="C782" s="13"/>
    </row>
    <row r="783" spans="1:3" ht="13" x14ac:dyDescent="0.15">
      <c r="A783" s="10"/>
      <c r="B783" s="13"/>
      <c r="C783" s="13"/>
    </row>
    <row r="784" spans="1:3" ht="13" x14ac:dyDescent="0.15">
      <c r="A784" s="10"/>
      <c r="B784" s="13"/>
      <c r="C784" s="13"/>
    </row>
    <row r="785" spans="1:3" ht="13" x14ac:dyDescent="0.15">
      <c r="A785" s="10"/>
      <c r="B785" s="13"/>
      <c r="C785" s="13"/>
    </row>
    <row r="786" spans="1:3" ht="13" x14ac:dyDescent="0.15">
      <c r="A786" s="10"/>
      <c r="B786" s="13"/>
      <c r="C786" s="13"/>
    </row>
    <row r="787" spans="1:3" ht="13" x14ac:dyDescent="0.15">
      <c r="A787" s="10"/>
      <c r="B787" s="13"/>
      <c r="C787" s="13"/>
    </row>
    <row r="788" spans="1:3" ht="13" x14ac:dyDescent="0.15">
      <c r="A788" s="10"/>
      <c r="B788" s="13"/>
      <c r="C788" s="13"/>
    </row>
    <row r="789" spans="1:3" ht="13" x14ac:dyDescent="0.15">
      <c r="A789" s="10"/>
      <c r="B789" s="13"/>
      <c r="C789" s="13"/>
    </row>
    <row r="790" spans="1:3" ht="13" x14ac:dyDescent="0.15">
      <c r="A790" s="10"/>
      <c r="B790" s="13"/>
      <c r="C790" s="13"/>
    </row>
    <row r="791" spans="1:3" ht="13" x14ac:dyDescent="0.15">
      <c r="A791" s="10"/>
      <c r="B791" s="13"/>
      <c r="C791" s="13"/>
    </row>
    <row r="792" spans="1:3" ht="13" x14ac:dyDescent="0.15">
      <c r="A792" s="10"/>
      <c r="B792" s="13"/>
      <c r="C792" s="13"/>
    </row>
    <row r="793" spans="1:3" ht="13" x14ac:dyDescent="0.15">
      <c r="A793" s="10"/>
      <c r="B793" s="13"/>
      <c r="C793" s="13"/>
    </row>
    <row r="794" spans="1:3" ht="13" x14ac:dyDescent="0.15">
      <c r="A794" s="10"/>
      <c r="B794" s="13"/>
      <c r="C794" s="13"/>
    </row>
    <row r="795" spans="1:3" ht="13" x14ac:dyDescent="0.15">
      <c r="A795" s="10"/>
      <c r="B795" s="13"/>
      <c r="C795" s="13"/>
    </row>
    <row r="796" spans="1:3" ht="13" x14ac:dyDescent="0.15">
      <c r="A796" s="10"/>
      <c r="B796" s="13"/>
      <c r="C796" s="13"/>
    </row>
    <row r="797" spans="1:3" ht="13" x14ac:dyDescent="0.15">
      <c r="A797" s="10"/>
      <c r="B797" s="13"/>
      <c r="C797" s="13"/>
    </row>
    <row r="798" spans="1:3" ht="13" x14ac:dyDescent="0.15">
      <c r="A798" s="10"/>
      <c r="B798" s="13"/>
      <c r="C798" s="13"/>
    </row>
    <row r="799" spans="1:3" ht="13" x14ac:dyDescent="0.15">
      <c r="A799" s="10"/>
      <c r="B799" s="13"/>
      <c r="C799" s="13"/>
    </row>
    <row r="800" spans="1:3" ht="13" x14ac:dyDescent="0.15">
      <c r="A800" s="10"/>
      <c r="B800" s="13"/>
      <c r="C800" s="13"/>
    </row>
    <row r="801" spans="1:3" ht="13" x14ac:dyDescent="0.15">
      <c r="A801" s="10"/>
      <c r="B801" s="13"/>
      <c r="C801" s="13"/>
    </row>
    <row r="802" spans="1:3" ht="13" x14ac:dyDescent="0.15">
      <c r="A802" s="10"/>
      <c r="B802" s="13"/>
      <c r="C802" s="13"/>
    </row>
    <row r="803" spans="1:3" ht="13" x14ac:dyDescent="0.15">
      <c r="A803" s="10"/>
      <c r="B803" s="13"/>
      <c r="C803" s="13"/>
    </row>
    <row r="804" spans="1:3" ht="13" x14ac:dyDescent="0.15">
      <c r="A804" s="10"/>
      <c r="B804" s="13"/>
      <c r="C804" s="13"/>
    </row>
    <row r="805" spans="1:3" ht="13" x14ac:dyDescent="0.15">
      <c r="A805" s="10"/>
      <c r="B805" s="13"/>
      <c r="C805" s="13"/>
    </row>
    <row r="806" spans="1:3" ht="13" x14ac:dyDescent="0.15">
      <c r="A806" s="10"/>
      <c r="B806" s="13"/>
      <c r="C806" s="13"/>
    </row>
    <row r="807" spans="1:3" ht="13" x14ac:dyDescent="0.15">
      <c r="A807" s="10"/>
      <c r="B807" s="13"/>
      <c r="C807" s="13"/>
    </row>
    <row r="808" spans="1:3" ht="13" x14ac:dyDescent="0.15">
      <c r="A808" s="10"/>
      <c r="B808" s="13"/>
      <c r="C808" s="13"/>
    </row>
    <row r="809" spans="1:3" ht="13" x14ac:dyDescent="0.15">
      <c r="A809" s="10"/>
      <c r="B809" s="13"/>
      <c r="C809" s="13"/>
    </row>
    <row r="810" spans="1:3" ht="13" x14ac:dyDescent="0.15">
      <c r="A810" s="10"/>
      <c r="B810" s="13"/>
      <c r="C810" s="13"/>
    </row>
    <row r="811" spans="1:3" ht="13" x14ac:dyDescent="0.15">
      <c r="A811" s="10"/>
      <c r="B811" s="13"/>
      <c r="C811" s="13"/>
    </row>
    <row r="812" spans="1:3" ht="13" x14ac:dyDescent="0.15">
      <c r="A812" s="10"/>
      <c r="B812" s="13"/>
      <c r="C812" s="13"/>
    </row>
    <row r="813" spans="1:3" ht="13" x14ac:dyDescent="0.15">
      <c r="A813" s="10"/>
      <c r="B813" s="13"/>
      <c r="C813" s="13"/>
    </row>
    <row r="814" spans="1:3" ht="13" x14ac:dyDescent="0.15">
      <c r="A814" s="10"/>
      <c r="B814" s="13"/>
      <c r="C814" s="13"/>
    </row>
    <row r="815" spans="1:3" ht="13" x14ac:dyDescent="0.15">
      <c r="A815" s="10"/>
      <c r="B815" s="13"/>
      <c r="C815" s="13"/>
    </row>
    <row r="816" spans="1:3" ht="13" x14ac:dyDescent="0.15">
      <c r="A816" s="10"/>
      <c r="B816" s="13"/>
      <c r="C816" s="13"/>
    </row>
    <row r="817" spans="1:3" ht="13" x14ac:dyDescent="0.15">
      <c r="A817" s="10"/>
      <c r="B817" s="13"/>
      <c r="C817" s="13"/>
    </row>
    <row r="818" spans="1:3" ht="13" x14ac:dyDescent="0.15">
      <c r="A818" s="10"/>
      <c r="B818" s="13"/>
      <c r="C818" s="13"/>
    </row>
    <row r="819" spans="1:3" ht="13" x14ac:dyDescent="0.15">
      <c r="A819" s="10"/>
      <c r="B819" s="13"/>
      <c r="C819" s="13"/>
    </row>
    <row r="820" spans="1:3" ht="13" x14ac:dyDescent="0.15">
      <c r="A820" s="10"/>
      <c r="B820" s="13"/>
      <c r="C820" s="13"/>
    </row>
    <row r="821" spans="1:3" ht="13" x14ac:dyDescent="0.15">
      <c r="A821" s="10"/>
      <c r="B821" s="13"/>
      <c r="C821" s="13"/>
    </row>
    <row r="822" spans="1:3" ht="13" x14ac:dyDescent="0.15">
      <c r="A822" s="10"/>
      <c r="B822" s="13"/>
      <c r="C822" s="13"/>
    </row>
    <row r="823" spans="1:3" ht="13" x14ac:dyDescent="0.15">
      <c r="A823" s="10"/>
      <c r="B823" s="13"/>
      <c r="C823" s="13"/>
    </row>
    <row r="824" spans="1:3" ht="13" x14ac:dyDescent="0.15">
      <c r="A824" s="10"/>
      <c r="B824" s="13"/>
      <c r="C824" s="13"/>
    </row>
    <row r="825" spans="1:3" ht="13" x14ac:dyDescent="0.15">
      <c r="A825" s="10"/>
      <c r="B825" s="13"/>
      <c r="C825" s="13"/>
    </row>
    <row r="826" spans="1:3" ht="13" x14ac:dyDescent="0.15">
      <c r="A826" s="10"/>
      <c r="B826" s="13"/>
      <c r="C826" s="13"/>
    </row>
    <row r="827" spans="1:3" ht="13" x14ac:dyDescent="0.15">
      <c r="A827" s="10"/>
      <c r="B827" s="13"/>
      <c r="C827" s="13"/>
    </row>
    <row r="828" spans="1:3" ht="13" x14ac:dyDescent="0.15">
      <c r="A828" s="10"/>
      <c r="B828" s="13"/>
      <c r="C828" s="13"/>
    </row>
    <row r="829" spans="1:3" ht="13" x14ac:dyDescent="0.15">
      <c r="A829" s="10"/>
      <c r="B829" s="13"/>
      <c r="C829" s="13"/>
    </row>
    <row r="830" spans="1:3" ht="13" x14ac:dyDescent="0.15">
      <c r="A830" s="10"/>
      <c r="B830" s="13"/>
      <c r="C830" s="13"/>
    </row>
    <row r="831" spans="1:3" ht="13" x14ac:dyDescent="0.15">
      <c r="A831" s="10"/>
      <c r="B831" s="13"/>
      <c r="C831" s="13"/>
    </row>
    <row r="832" spans="1:3" ht="13" x14ac:dyDescent="0.15">
      <c r="A832" s="10"/>
      <c r="B832" s="13"/>
      <c r="C832" s="13"/>
    </row>
    <row r="833" spans="1:3" ht="13" x14ac:dyDescent="0.15">
      <c r="A833" s="10"/>
      <c r="B833" s="13"/>
      <c r="C833" s="13"/>
    </row>
    <row r="834" spans="1:3" ht="13" x14ac:dyDescent="0.15">
      <c r="A834" s="10"/>
      <c r="B834" s="13"/>
      <c r="C834" s="13"/>
    </row>
    <row r="835" spans="1:3" ht="13" x14ac:dyDescent="0.15">
      <c r="A835" s="10"/>
      <c r="B835" s="13"/>
      <c r="C835" s="13"/>
    </row>
    <row r="836" spans="1:3" ht="13" x14ac:dyDescent="0.15">
      <c r="A836" s="10"/>
      <c r="B836" s="13"/>
      <c r="C836" s="13"/>
    </row>
    <row r="837" spans="1:3" ht="13" x14ac:dyDescent="0.15">
      <c r="A837" s="10"/>
      <c r="B837" s="13"/>
      <c r="C837" s="13"/>
    </row>
    <row r="838" spans="1:3" ht="13" x14ac:dyDescent="0.15">
      <c r="A838" s="10"/>
      <c r="B838" s="13"/>
      <c r="C838" s="13"/>
    </row>
    <row r="839" spans="1:3" ht="13" x14ac:dyDescent="0.15">
      <c r="A839" s="10"/>
      <c r="B839" s="13"/>
      <c r="C839" s="13"/>
    </row>
    <row r="840" spans="1:3" ht="13" x14ac:dyDescent="0.15">
      <c r="A840" s="10"/>
      <c r="B840" s="13"/>
      <c r="C840" s="13"/>
    </row>
    <row r="841" spans="1:3" ht="13" x14ac:dyDescent="0.15">
      <c r="A841" s="10"/>
      <c r="B841" s="13"/>
      <c r="C841" s="13"/>
    </row>
    <row r="842" spans="1:3" ht="13" x14ac:dyDescent="0.15">
      <c r="A842" s="10"/>
      <c r="B842" s="13"/>
      <c r="C842" s="13"/>
    </row>
    <row r="843" spans="1:3" ht="13" x14ac:dyDescent="0.15">
      <c r="A843" s="10"/>
      <c r="B843" s="13"/>
      <c r="C843" s="13"/>
    </row>
    <row r="844" spans="1:3" ht="13" x14ac:dyDescent="0.15">
      <c r="A844" s="10"/>
      <c r="B844" s="13"/>
      <c r="C844" s="13"/>
    </row>
    <row r="845" spans="1:3" ht="13" x14ac:dyDescent="0.15">
      <c r="A845" s="10"/>
      <c r="B845" s="13"/>
      <c r="C845" s="13"/>
    </row>
    <row r="846" spans="1:3" ht="13" x14ac:dyDescent="0.15">
      <c r="A846" s="10"/>
      <c r="B846" s="13"/>
      <c r="C846" s="13"/>
    </row>
    <row r="847" spans="1:3" ht="13" x14ac:dyDescent="0.15">
      <c r="A847" s="10"/>
      <c r="B847" s="13"/>
      <c r="C847" s="13"/>
    </row>
    <row r="848" spans="1:3" ht="13" x14ac:dyDescent="0.15">
      <c r="A848" s="10"/>
      <c r="B848" s="13"/>
      <c r="C848" s="13"/>
    </row>
    <row r="849" spans="1:3" ht="13" x14ac:dyDescent="0.15">
      <c r="A849" s="10"/>
      <c r="B849" s="13"/>
      <c r="C849" s="13"/>
    </row>
    <row r="850" spans="1:3" ht="13" x14ac:dyDescent="0.15">
      <c r="A850" s="10"/>
      <c r="B850" s="13"/>
      <c r="C850" s="13"/>
    </row>
    <row r="851" spans="1:3" ht="13" x14ac:dyDescent="0.15">
      <c r="A851" s="10"/>
      <c r="B851" s="13"/>
      <c r="C851" s="13"/>
    </row>
    <row r="852" spans="1:3" ht="13" x14ac:dyDescent="0.15">
      <c r="A852" s="10"/>
      <c r="B852" s="13"/>
      <c r="C852" s="13"/>
    </row>
    <row r="853" spans="1:3" ht="13" x14ac:dyDescent="0.15">
      <c r="A853" s="10"/>
      <c r="B853" s="13"/>
      <c r="C853" s="13"/>
    </row>
    <row r="854" spans="1:3" ht="13" x14ac:dyDescent="0.15">
      <c r="A854" s="10"/>
      <c r="B854" s="13"/>
      <c r="C854" s="13"/>
    </row>
    <row r="855" spans="1:3" ht="13" x14ac:dyDescent="0.15">
      <c r="A855" s="10"/>
      <c r="B855" s="13"/>
      <c r="C855" s="13"/>
    </row>
    <row r="856" spans="1:3" ht="13" x14ac:dyDescent="0.15">
      <c r="A856" s="10"/>
      <c r="B856" s="13"/>
      <c r="C856" s="13"/>
    </row>
    <row r="857" spans="1:3" ht="13" x14ac:dyDescent="0.15">
      <c r="A857" s="10"/>
      <c r="B857" s="13"/>
      <c r="C857" s="13"/>
    </row>
    <row r="858" spans="1:3" ht="13" x14ac:dyDescent="0.15">
      <c r="A858" s="10"/>
      <c r="B858" s="13"/>
      <c r="C858" s="13"/>
    </row>
    <row r="859" spans="1:3" ht="13" x14ac:dyDescent="0.15">
      <c r="A859" s="10"/>
      <c r="B859" s="13"/>
      <c r="C859" s="13"/>
    </row>
    <row r="860" spans="1:3" ht="13" x14ac:dyDescent="0.15">
      <c r="A860" s="10"/>
      <c r="B860" s="13"/>
      <c r="C860" s="13"/>
    </row>
    <row r="861" spans="1:3" ht="13" x14ac:dyDescent="0.15">
      <c r="A861" s="10"/>
      <c r="B861" s="13"/>
      <c r="C861" s="13"/>
    </row>
    <row r="862" spans="1:3" ht="13" x14ac:dyDescent="0.15">
      <c r="A862" s="10"/>
      <c r="B862" s="13"/>
      <c r="C862" s="13"/>
    </row>
    <row r="863" spans="1:3" ht="13" x14ac:dyDescent="0.15">
      <c r="A863" s="10"/>
      <c r="B863" s="13"/>
      <c r="C863" s="13"/>
    </row>
    <row r="864" spans="1:3" ht="13" x14ac:dyDescent="0.15">
      <c r="A864" s="10"/>
      <c r="B864" s="13"/>
      <c r="C864" s="13"/>
    </row>
    <row r="865" spans="1:3" ht="13" x14ac:dyDescent="0.15">
      <c r="A865" s="10"/>
      <c r="B865" s="13"/>
      <c r="C865" s="13"/>
    </row>
    <row r="866" spans="1:3" ht="13" x14ac:dyDescent="0.15">
      <c r="A866" s="10"/>
      <c r="B866" s="13"/>
      <c r="C866" s="13"/>
    </row>
    <row r="867" spans="1:3" ht="13" x14ac:dyDescent="0.15">
      <c r="A867" s="10"/>
      <c r="B867" s="13"/>
      <c r="C867" s="13"/>
    </row>
    <row r="868" spans="1:3" ht="13" x14ac:dyDescent="0.15">
      <c r="A868" s="10"/>
      <c r="B868" s="13"/>
      <c r="C868" s="13"/>
    </row>
    <row r="869" spans="1:3" ht="13" x14ac:dyDescent="0.15">
      <c r="A869" s="10"/>
      <c r="B869" s="13"/>
      <c r="C869" s="13"/>
    </row>
    <row r="870" spans="1:3" ht="13" x14ac:dyDescent="0.15">
      <c r="A870" s="10"/>
      <c r="B870" s="13"/>
      <c r="C870" s="13"/>
    </row>
    <row r="871" spans="1:3" ht="13" x14ac:dyDescent="0.15">
      <c r="A871" s="10"/>
      <c r="B871" s="13"/>
      <c r="C871" s="13"/>
    </row>
    <row r="872" spans="1:3" ht="13" x14ac:dyDescent="0.15">
      <c r="A872" s="10"/>
      <c r="B872" s="13"/>
      <c r="C872" s="13"/>
    </row>
    <row r="873" spans="1:3" ht="13" x14ac:dyDescent="0.15">
      <c r="A873" s="10"/>
      <c r="B873" s="13"/>
      <c r="C873" s="13"/>
    </row>
    <row r="874" spans="1:3" ht="13" x14ac:dyDescent="0.15">
      <c r="A874" s="10"/>
      <c r="B874" s="13"/>
      <c r="C874" s="13"/>
    </row>
    <row r="875" spans="1:3" ht="13" x14ac:dyDescent="0.15">
      <c r="A875" s="10"/>
      <c r="B875" s="13"/>
      <c r="C875" s="13"/>
    </row>
    <row r="876" spans="1:3" ht="13" x14ac:dyDescent="0.15">
      <c r="A876" s="10"/>
      <c r="B876" s="13"/>
      <c r="C876" s="13"/>
    </row>
    <row r="877" spans="1:3" ht="13" x14ac:dyDescent="0.15">
      <c r="A877" s="10"/>
      <c r="B877" s="13"/>
      <c r="C877" s="13"/>
    </row>
    <row r="878" spans="1:3" ht="13" x14ac:dyDescent="0.15">
      <c r="A878" s="10"/>
      <c r="B878" s="13"/>
      <c r="C878" s="13"/>
    </row>
    <row r="879" spans="1:3" ht="13" x14ac:dyDescent="0.15">
      <c r="A879" s="10"/>
      <c r="B879" s="13"/>
      <c r="C879" s="13"/>
    </row>
    <row r="880" spans="1:3" ht="13" x14ac:dyDescent="0.15">
      <c r="A880" s="10"/>
      <c r="B880" s="13"/>
      <c r="C880" s="13"/>
    </row>
    <row r="881" spans="1:3" ht="13" x14ac:dyDescent="0.15">
      <c r="A881" s="10"/>
      <c r="B881" s="13"/>
      <c r="C881" s="13"/>
    </row>
    <row r="882" spans="1:3" ht="13" x14ac:dyDescent="0.15">
      <c r="A882" s="10"/>
      <c r="B882" s="13"/>
      <c r="C882" s="13"/>
    </row>
    <row r="883" spans="1:3" ht="13" x14ac:dyDescent="0.15">
      <c r="A883" s="10"/>
      <c r="B883" s="13"/>
      <c r="C883" s="13"/>
    </row>
    <row r="884" spans="1:3" ht="13" x14ac:dyDescent="0.15">
      <c r="A884" s="10"/>
      <c r="B884" s="13"/>
      <c r="C884" s="13"/>
    </row>
    <row r="885" spans="1:3" ht="13" x14ac:dyDescent="0.15">
      <c r="A885" s="10"/>
      <c r="B885" s="13"/>
      <c r="C885" s="13"/>
    </row>
    <row r="886" spans="1:3" ht="13" x14ac:dyDescent="0.15">
      <c r="A886" s="10"/>
      <c r="B886" s="13"/>
      <c r="C886" s="13"/>
    </row>
    <row r="887" spans="1:3" ht="13" x14ac:dyDescent="0.15">
      <c r="A887" s="10"/>
      <c r="B887" s="13"/>
      <c r="C887" s="13"/>
    </row>
    <row r="888" spans="1:3" ht="13" x14ac:dyDescent="0.15">
      <c r="A888" s="10"/>
      <c r="B888" s="13"/>
      <c r="C888" s="13"/>
    </row>
    <row r="889" spans="1:3" ht="13" x14ac:dyDescent="0.15">
      <c r="A889" s="10"/>
      <c r="B889" s="13"/>
      <c r="C889" s="13"/>
    </row>
    <row r="890" spans="1:3" ht="13" x14ac:dyDescent="0.15">
      <c r="A890" s="10"/>
      <c r="B890" s="13"/>
      <c r="C890" s="13"/>
    </row>
    <row r="891" spans="1:3" ht="13" x14ac:dyDescent="0.15">
      <c r="A891" s="10"/>
      <c r="B891" s="13"/>
      <c r="C891" s="13"/>
    </row>
    <row r="892" spans="1:3" ht="13" x14ac:dyDescent="0.15">
      <c r="A892" s="10"/>
      <c r="B892" s="13"/>
      <c r="C892" s="13"/>
    </row>
    <row r="893" spans="1:3" ht="13" x14ac:dyDescent="0.15">
      <c r="A893" s="10"/>
      <c r="B893" s="13"/>
      <c r="C893" s="13"/>
    </row>
    <row r="894" spans="1:3" ht="13" x14ac:dyDescent="0.15">
      <c r="A894" s="10"/>
      <c r="B894" s="13"/>
      <c r="C894" s="13"/>
    </row>
    <row r="895" spans="1:3" ht="13" x14ac:dyDescent="0.15">
      <c r="A895" s="10"/>
      <c r="B895" s="13"/>
      <c r="C895" s="13"/>
    </row>
    <row r="896" spans="1:3" ht="13" x14ac:dyDescent="0.15">
      <c r="A896" s="10"/>
      <c r="B896" s="13"/>
      <c r="C896" s="13"/>
    </row>
    <row r="897" spans="1:3" ht="13" x14ac:dyDescent="0.15">
      <c r="A897" s="10"/>
      <c r="B897" s="13"/>
      <c r="C897" s="13"/>
    </row>
    <row r="898" spans="1:3" ht="13" x14ac:dyDescent="0.15">
      <c r="A898" s="10"/>
      <c r="B898" s="13"/>
      <c r="C898" s="13"/>
    </row>
    <row r="899" spans="1:3" ht="13" x14ac:dyDescent="0.15">
      <c r="A899" s="10"/>
      <c r="B899" s="13"/>
      <c r="C899" s="13"/>
    </row>
    <row r="900" spans="1:3" ht="13" x14ac:dyDescent="0.15">
      <c r="A900" s="10"/>
      <c r="B900" s="13"/>
      <c r="C900" s="13"/>
    </row>
    <row r="901" spans="1:3" ht="13" x14ac:dyDescent="0.15">
      <c r="A901" s="10"/>
      <c r="B901" s="13"/>
      <c r="C901" s="13"/>
    </row>
    <row r="902" spans="1:3" ht="13" x14ac:dyDescent="0.15">
      <c r="A902" s="10"/>
      <c r="B902" s="13"/>
      <c r="C902" s="13"/>
    </row>
    <row r="903" spans="1:3" ht="13" x14ac:dyDescent="0.15">
      <c r="A903" s="10"/>
      <c r="B903" s="13"/>
      <c r="C903" s="13"/>
    </row>
    <row r="904" spans="1:3" ht="13" x14ac:dyDescent="0.15">
      <c r="A904" s="10"/>
      <c r="B904" s="13"/>
      <c r="C904" s="13"/>
    </row>
    <row r="905" spans="1:3" ht="13" x14ac:dyDescent="0.15">
      <c r="A905" s="10"/>
      <c r="B905" s="13"/>
      <c r="C905" s="13"/>
    </row>
    <row r="906" spans="1:3" ht="13" x14ac:dyDescent="0.15">
      <c r="A906" s="10"/>
      <c r="B906" s="13"/>
      <c r="C906" s="13"/>
    </row>
    <row r="907" spans="1:3" ht="13" x14ac:dyDescent="0.15">
      <c r="A907" s="10"/>
      <c r="B907" s="13"/>
      <c r="C907" s="13"/>
    </row>
    <row r="908" spans="1:3" ht="13" x14ac:dyDescent="0.15">
      <c r="A908" s="10"/>
      <c r="B908" s="13"/>
      <c r="C908" s="13"/>
    </row>
    <row r="909" spans="1:3" ht="13" x14ac:dyDescent="0.15">
      <c r="A909" s="10"/>
      <c r="B909" s="13"/>
      <c r="C909" s="13"/>
    </row>
    <row r="910" spans="1:3" ht="13" x14ac:dyDescent="0.15">
      <c r="A910" s="10"/>
      <c r="B910" s="13"/>
      <c r="C910" s="13"/>
    </row>
    <row r="911" spans="1:3" ht="13" x14ac:dyDescent="0.15">
      <c r="A911" s="10"/>
      <c r="B911" s="13"/>
      <c r="C911" s="13"/>
    </row>
    <row r="912" spans="1:3" ht="13" x14ac:dyDescent="0.15">
      <c r="A912" s="10"/>
      <c r="B912" s="13"/>
      <c r="C912" s="13"/>
    </row>
    <row r="913" spans="1:3" ht="13" x14ac:dyDescent="0.15">
      <c r="A913" s="10"/>
      <c r="B913" s="13"/>
      <c r="C913" s="13"/>
    </row>
    <row r="914" spans="1:3" ht="13" x14ac:dyDescent="0.15">
      <c r="A914" s="10"/>
      <c r="B914" s="13"/>
      <c r="C914" s="13"/>
    </row>
    <row r="915" spans="1:3" ht="13" x14ac:dyDescent="0.15">
      <c r="A915" s="10"/>
      <c r="B915" s="13"/>
      <c r="C915" s="13"/>
    </row>
    <row r="916" spans="1:3" ht="13" x14ac:dyDescent="0.15">
      <c r="A916" s="10"/>
      <c r="B916" s="13"/>
      <c r="C916" s="13"/>
    </row>
    <row r="917" spans="1:3" ht="13" x14ac:dyDescent="0.15">
      <c r="A917" s="10"/>
      <c r="B917" s="13"/>
      <c r="C917" s="13"/>
    </row>
    <row r="918" spans="1:3" ht="13" x14ac:dyDescent="0.15">
      <c r="A918" s="10"/>
      <c r="B918" s="13"/>
      <c r="C918" s="13"/>
    </row>
    <row r="919" spans="1:3" ht="13" x14ac:dyDescent="0.15">
      <c r="A919" s="10"/>
      <c r="B919" s="13"/>
      <c r="C919" s="13"/>
    </row>
    <row r="920" spans="1:3" ht="13" x14ac:dyDescent="0.15">
      <c r="A920" s="10"/>
      <c r="B920" s="13"/>
      <c r="C920" s="13"/>
    </row>
    <row r="921" spans="1:3" ht="13" x14ac:dyDescent="0.15">
      <c r="A921" s="10"/>
      <c r="B921" s="13"/>
      <c r="C921" s="13"/>
    </row>
    <row r="922" spans="1:3" ht="13" x14ac:dyDescent="0.15">
      <c r="A922" s="10"/>
      <c r="B922" s="13"/>
      <c r="C922" s="13"/>
    </row>
    <row r="923" spans="1:3" ht="13" x14ac:dyDescent="0.15">
      <c r="A923" s="10"/>
      <c r="B923" s="13"/>
      <c r="C923" s="13"/>
    </row>
    <row r="924" spans="1:3" ht="13" x14ac:dyDescent="0.15">
      <c r="A924" s="10"/>
      <c r="B924" s="13"/>
      <c r="C924" s="13"/>
    </row>
    <row r="925" spans="1:3" ht="13" x14ac:dyDescent="0.15">
      <c r="A925" s="10"/>
      <c r="B925" s="13"/>
      <c r="C925" s="13"/>
    </row>
    <row r="926" spans="1:3" ht="13" x14ac:dyDescent="0.15">
      <c r="A926" s="10"/>
      <c r="B926" s="13"/>
      <c r="C926" s="13"/>
    </row>
    <row r="927" spans="1:3" ht="13" x14ac:dyDescent="0.15">
      <c r="A927" s="10"/>
      <c r="B927" s="13"/>
      <c r="C927" s="13"/>
    </row>
    <row r="928" spans="1:3" ht="13" x14ac:dyDescent="0.15">
      <c r="A928" s="10"/>
      <c r="B928" s="13"/>
      <c r="C928" s="13"/>
    </row>
    <row r="929" spans="1:3" ht="13" x14ac:dyDescent="0.15">
      <c r="A929" s="10"/>
      <c r="B929" s="13"/>
      <c r="C929" s="13"/>
    </row>
    <row r="930" spans="1:3" ht="13" x14ac:dyDescent="0.15">
      <c r="A930" s="10"/>
      <c r="B930" s="13"/>
      <c r="C930" s="13"/>
    </row>
    <row r="931" spans="1:3" ht="13" x14ac:dyDescent="0.15">
      <c r="A931" s="10"/>
      <c r="B931" s="13"/>
      <c r="C931" s="13"/>
    </row>
    <row r="932" spans="1:3" ht="13" x14ac:dyDescent="0.15">
      <c r="A932" s="10"/>
      <c r="B932" s="13"/>
      <c r="C932" s="13"/>
    </row>
    <row r="933" spans="1:3" ht="13" x14ac:dyDescent="0.15">
      <c r="A933" s="10"/>
      <c r="B933" s="13"/>
      <c r="C933" s="13"/>
    </row>
    <row r="934" spans="1:3" ht="13" x14ac:dyDescent="0.15">
      <c r="A934" s="10"/>
      <c r="B934" s="13"/>
      <c r="C934" s="13"/>
    </row>
    <row r="935" spans="1:3" ht="13" x14ac:dyDescent="0.15">
      <c r="A935" s="10"/>
      <c r="B935" s="13"/>
      <c r="C935" s="13"/>
    </row>
    <row r="936" spans="1:3" ht="13" x14ac:dyDescent="0.15">
      <c r="A936" s="10"/>
      <c r="B936" s="13"/>
      <c r="C936" s="13"/>
    </row>
    <row r="937" spans="1:3" ht="13" x14ac:dyDescent="0.15">
      <c r="A937" s="10"/>
      <c r="B937" s="13"/>
      <c r="C937" s="13"/>
    </row>
    <row r="938" spans="1:3" ht="13" x14ac:dyDescent="0.15">
      <c r="A938" s="10"/>
      <c r="B938" s="13"/>
      <c r="C938" s="13"/>
    </row>
    <row r="939" spans="1:3" ht="13" x14ac:dyDescent="0.15">
      <c r="A939" s="10"/>
      <c r="B939" s="13"/>
      <c r="C939" s="13"/>
    </row>
    <row r="940" spans="1:3" ht="13" x14ac:dyDescent="0.15">
      <c r="A940" s="10"/>
      <c r="B940" s="13"/>
      <c r="C940" s="13"/>
    </row>
    <row r="941" spans="1:3" ht="13" x14ac:dyDescent="0.15">
      <c r="A941" s="10"/>
      <c r="B941" s="13"/>
      <c r="C941" s="13"/>
    </row>
    <row r="942" spans="1:3" ht="13" x14ac:dyDescent="0.15">
      <c r="A942" s="10"/>
      <c r="B942" s="13"/>
      <c r="C942" s="13"/>
    </row>
    <row r="943" spans="1:3" ht="13" x14ac:dyDescent="0.15">
      <c r="A943" s="10"/>
      <c r="B943" s="13"/>
      <c r="C943" s="13"/>
    </row>
    <row r="944" spans="1:3" ht="13" x14ac:dyDescent="0.15">
      <c r="A944" s="10"/>
      <c r="B944" s="13"/>
      <c r="C944" s="13"/>
    </row>
    <row r="945" spans="1:3" ht="13" x14ac:dyDescent="0.15">
      <c r="A945" s="10"/>
      <c r="B945" s="13"/>
      <c r="C945" s="13"/>
    </row>
    <row r="946" spans="1:3" ht="13" x14ac:dyDescent="0.15">
      <c r="A946" s="10"/>
      <c r="B946" s="13"/>
      <c r="C946" s="13"/>
    </row>
    <row r="947" spans="1:3" ht="13" x14ac:dyDescent="0.15">
      <c r="A947" s="10"/>
      <c r="B947" s="13"/>
      <c r="C947" s="13"/>
    </row>
    <row r="948" spans="1:3" ht="13" x14ac:dyDescent="0.15">
      <c r="A948" s="10"/>
      <c r="B948" s="13"/>
      <c r="C948" s="13"/>
    </row>
    <row r="949" spans="1:3" ht="13" x14ac:dyDescent="0.15">
      <c r="A949" s="10"/>
      <c r="B949" s="13"/>
      <c r="C949" s="13"/>
    </row>
    <row r="950" spans="1:3" ht="13" x14ac:dyDescent="0.15">
      <c r="A950" s="10"/>
      <c r="B950" s="13"/>
      <c r="C950" s="13"/>
    </row>
    <row r="951" spans="1:3" ht="13" x14ac:dyDescent="0.15">
      <c r="A951" s="10"/>
      <c r="B951" s="13"/>
      <c r="C951" s="13"/>
    </row>
    <row r="952" spans="1:3" ht="13" x14ac:dyDescent="0.15">
      <c r="A952" s="10"/>
      <c r="B952" s="13"/>
      <c r="C952" s="13"/>
    </row>
    <row r="953" spans="1:3" ht="13" x14ac:dyDescent="0.15">
      <c r="A953" s="10"/>
      <c r="B953" s="13"/>
      <c r="C953" s="13"/>
    </row>
    <row r="954" spans="1:3" ht="13" x14ac:dyDescent="0.15">
      <c r="A954" s="10"/>
      <c r="B954" s="13"/>
      <c r="C954" s="13"/>
    </row>
    <row r="955" spans="1:3" ht="13" x14ac:dyDescent="0.15">
      <c r="A955" s="10"/>
      <c r="B955" s="13"/>
      <c r="C955" s="13"/>
    </row>
    <row r="956" spans="1:3" ht="13" x14ac:dyDescent="0.15">
      <c r="A956" s="10"/>
      <c r="B956" s="13"/>
      <c r="C956" s="13"/>
    </row>
    <row r="957" spans="1:3" ht="13" x14ac:dyDescent="0.15">
      <c r="A957" s="10"/>
      <c r="B957" s="13"/>
      <c r="C957" s="13"/>
    </row>
    <row r="958" spans="1:3" ht="13" x14ac:dyDescent="0.15">
      <c r="A958" s="10"/>
      <c r="B958" s="13"/>
      <c r="C958" s="13"/>
    </row>
    <row r="959" spans="1:3" ht="13" x14ac:dyDescent="0.15">
      <c r="A959" s="10"/>
      <c r="B959" s="13"/>
      <c r="C959" s="13"/>
    </row>
    <row r="960" spans="1:3" ht="13" x14ac:dyDescent="0.15">
      <c r="A960" s="10"/>
      <c r="B960" s="13"/>
      <c r="C960" s="13"/>
    </row>
    <row r="961" spans="1:3" ht="13" x14ac:dyDescent="0.15">
      <c r="A961" s="10"/>
      <c r="B961" s="13"/>
      <c r="C961" s="13"/>
    </row>
    <row r="962" spans="1:3" ht="13" x14ac:dyDescent="0.15">
      <c r="A962" s="10"/>
      <c r="B962" s="13"/>
      <c r="C962" s="13"/>
    </row>
    <row r="963" spans="1:3" ht="13" x14ac:dyDescent="0.15">
      <c r="A963" s="10"/>
      <c r="B963" s="13"/>
      <c r="C963" s="13"/>
    </row>
    <row r="964" spans="1:3" ht="13" x14ac:dyDescent="0.15">
      <c r="A964" s="10"/>
      <c r="B964" s="13"/>
      <c r="C964" s="13"/>
    </row>
    <row r="965" spans="1:3" ht="13" x14ac:dyDescent="0.15">
      <c r="A965" s="10"/>
      <c r="B965" s="13"/>
      <c r="C965" s="13"/>
    </row>
    <row r="966" spans="1:3" ht="13" x14ac:dyDescent="0.15">
      <c r="A966" s="10"/>
      <c r="B966" s="13"/>
      <c r="C966" s="13"/>
    </row>
    <row r="967" spans="1:3" ht="13" x14ac:dyDescent="0.15">
      <c r="A967" s="10"/>
      <c r="B967" s="13"/>
      <c r="C967" s="13"/>
    </row>
    <row r="968" spans="1:3" ht="13" x14ac:dyDescent="0.15">
      <c r="A968" s="10"/>
      <c r="B968" s="13"/>
      <c r="C968" s="13"/>
    </row>
    <row r="969" spans="1:3" ht="13" x14ac:dyDescent="0.15">
      <c r="A969" s="10"/>
      <c r="B969" s="13"/>
      <c r="C969" s="13"/>
    </row>
    <row r="970" spans="1:3" ht="13" x14ac:dyDescent="0.15">
      <c r="A970" s="10"/>
      <c r="B970" s="13"/>
      <c r="C970" s="13"/>
    </row>
    <row r="971" spans="1:3" ht="13" x14ac:dyDescent="0.15">
      <c r="A971" s="10"/>
      <c r="B971" s="13"/>
      <c r="C971" s="13"/>
    </row>
    <row r="972" spans="1:3" ht="13" x14ac:dyDescent="0.15">
      <c r="A972" s="10"/>
      <c r="B972" s="13"/>
      <c r="C972" s="13"/>
    </row>
    <row r="973" spans="1:3" ht="13" x14ac:dyDescent="0.15">
      <c r="A973" s="10"/>
      <c r="B973" s="13"/>
      <c r="C973" s="13"/>
    </row>
    <row r="974" spans="1:3" ht="13" x14ac:dyDescent="0.15">
      <c r="A974" s="10"/>
      <c r="B974" s="13"/>
      <c r="C974" s="13"/>
    </row>
    <row r="975" spans="1:3" ht="13" x14ac:dyDescent="0.15">
      <c r="A975" s="10"/>
      <c r="B975" s="13"/>
      <c r="C975" s="13"/>
    </row>
    <row r="976" spans="1:3" ht="13" x14ac:dyDescent="0.15">
      <c r="A976" s="10"/>
      <c r="B976" s="13"/>
      <c r="C976" s="13"/>
    </row>
    <row r="977" spans="1:3" ht="13" x14ac:dyDescent="0.15">
      <c r="A977" s="10"/>
      <c r="B977" s="13"/>
      <c r="C977" s="13"/>
    </row>
    <row r="978" spans="1:3" ht="13" x14ac:dyDescent="0.15">
      <c r="A978" s="10"/>
      <c r="B978" s="13"/>
      <c r="C978" s="13"/>
    </row>
    <row r="979" spans="1:3" ht="13" x14ac:dyDescent="0.15">
      <c r="A979" s="10"/>
      <c r="B979" s="13"/>
      <c r="C979" s="13"/>
    </row>
    <row r="980" spans="1:3" ht="13" x14ac:dyDescent="0.15">
      <c r="A980" s="10"/>
      <c r="B980" s="13"/>
      <c r="C980" s="13"/>
    </row>
    <row r="981" spans="1:3" ht="13" x14ac:dyDescent="0.15">
      <c r="A981" s="10"/>
      <c r="B981" s="13"/>
      <c r="C981" s="13"/>
    </row>
    <row r="982" spans="1:3" ht="13" x14ac:dyDescent="0.15">
      <c r="A982" s="10"/>
      <c r="B982" s="13"/>
      <c r="C982" s="13"/>
    </row>
    <row r="983" spans="1:3" ht="13" x14ac:dyDescent="0.15">
      <c r="A983" s="10"/>
      <c r="B983" s="13"/>
      <c r="C983" s="13"/>
    </row>
    <row r="984" spans="1:3" ht="13" x14ac:dyDescent="0.15">
      <c r="A984" s="10"/>
      <c r="B984" s="13"/>
      <c r="C984" s="13"/>
    </row>
    <row r="985" spans="1:3" ht="13" x14ac:dyDescent="0.15">
      <c r="A985" s="10"/>
      <c r="B985" s="13"/>
      <c r="C985" s="13"/>
    </row>
    <row r="986" spans="1:3" ht="13" x14ac:dyDescent="0.15">
      <c r="A986" s="10"/>
      <c r="B986" s="13"/>
      <c r="C986" s="13"/>
    </row>
    <row r="987" spans="1:3" ht="13" x14ac:dyDescent="0.15">
      <c r="A987" s="10"/>
      <c r="B987" s="13"/>
      <c r="C987" s="13"/>
    </row>
    <row r="988" spans="1:3" ht="13" x14ac:dyDescent="0.15">
      <c r="A988" s="10"/>
      <c r="B988" s="13"/>
      <c r="C988" s="13"/>
    </row>
    <row r="989" spans="1:3" ht="13" x14ac:dyDescent="0.15">
      <c r="A989" s="10"/>
      <c r="B989" s="13"/>
      <c r="C989" s="13"/>
    </row>
    <row r="990" spans="1:3" ht="13" x14ac:dyDescent="0.15">
      <c r="A990" s="10"/>
      <c r="B990" s="13"/>
      <c r="C990" s="13"/>
    </row>
    <row r="991" spans="1:3" ht="13" x14ac:dyDescent="0.15">
      <c r="A991" s="10"/>
      <c r="B991" s="13"/>
      <c r="C991" s="13"/>
    </row>
    <row r="992" spans="1:3" ht="13" x14ac:dyDescent="0.15">
      <c r="A992" s="10"/>
      <c r="B992" s="13"/>
      <c r="C992" s="13"/>
    </row>
    <row r="993" spans="1:3" ht="13" x14ac:dyDescent="0.15">
      <c r="A993" s="10"/>
      <c r="B993" s="13"/>
      <c r="C993" s="13"/>
    </row>
    <row r="994" spans="1:3" ht="13" x14ac:dyDescent="0.15">
      <c r="A994" s="10"/>
      <c r="B994" s="13"/>
      <c r="C994" s="13"/>
    </row>
    <row r="995" spans="1:3" ht="13" x14ac:dyDescent="0.15">
      <c r="A995" s="10"/>
      <c r="B995" s="13"/>
      <c r="C995" s="13"/>
    </row>
    <row r="996" spans="1:3" ht="13" x14ac:dyDescent="0.15">
      <c r="A996" s="10"/>
      <c r="B996" s="13"/>
      <c r="C996" s="13"/>
    </row>
    <row r="997" spans="1:3" ht="13" x14ac:dyDescent="0.15">
      <c r="A997" s="10"/>
      <c r="B997" s="13"/>
      <c r="C997" s="13"/>
    </row>
  </sheetData>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outlinePr summaryBelow="0" summaryRight="0"/>
  </sheetPr>
  <dimension ref="A1:D997"/>
  <sheetViews>
    <sheetView workbookViewId="0"/>
  </sheetViews>
  <sheetFormatPr baseColWidth="10" defaultColWidth="12.6640625" defaultRowHeight="15.75" customHeight="1" x14ac:dyDescent="0.15"/>
  <cols>
    <col min="1" max="1" width="71.5" customWidth="1"/>
    <col min="2" max="4" width="37.6640625" customWidth="1"/>
  </cols>
  <sheetData>
    <row r="1" spans="1:4" ht="15.75" customHeight="1" x14ac:dyDescent="0.15">
      <c r="A1" s="1"/>
      <c r="B1" s="10" t="str">
        <f ca="1">IFERROR(__xludf.DUMMYFUNCTION("IMPORTRANGE(""https://docs.google.com/spreadsheets/u/0/d/1etLQb97lMSNWG4ebq9e4mMf5V6Y_IPpBxMswZpIG47E"", ""A68!B1:B22"")"),"Erin Loudermilk")</f>
        <v>Erin Loudermilk</v>
      </c>
      <c r="C1" s="10" t="str">
        <f ca="1">IFERROR(__xludf.DUMMYFUNCTION("IMPORTRANGE(""https://docs.google.com/spreadsheets/u/0/d/19yPRVnLV0A_2o92-w6L11RYWj24Qqnerv8i8p-ngiq4"", ""A68!B1:B22"")"),"Jackson Root")</f>
        <v>Jackson Root</v>
      </c>
      <c r="D1" s="12" t="str">
        <f ca="1">IFERROR(__xludf.DUMMYFUNCTION("IMPORTRANGE(""https://docs.google.com/spreadsheets/u/0/d/1e6QLf1_HeiTNz7JOFlwsfbt48UsSPCJuGTSppexqIJc"", ""67!B1:B22"")"),"Tyler Thibodeaux")</f>
        <v>Tyler Thibodeaux</v>
      </c>
    </row>
    <row r="2" spans="1:4" ht="15.75" customHeight="1" x14ac:dyDescent="0.15">
      <c r="A2" s="3" t="s">
        <v>2</v>
      </c>
      <c r="B2" s="15" t="str">
        <f ca="1">IFERROR(__xludf.DUMMYFUNCTION("""COMPUTED_VALUE"""),"40430 - 42421 FOR")</f>
        <v>40430 - 42421 FOR</v>
      </c>
      <c r="C2" s="15" t="str">
        <f ca="1">IFERROR(__xludf.DUMMYFUNCTION("""COMPUTED_VALUE"""),"Stop: 42421 FOR")</f>
        <v>Stop: 42421 FOR</v>
      </c>
      <c r="D2" s="15" t="str">
        <f ca="1">IFERROR(__xludf.DUMMYFUNCTION("""COMPUTED_VALUE"""),"40430 to 42421 (Forward)")</f>
        <v>40430 to 42421 (Forward)</v>
      </c>
    </row>
    <row r="3" spans="1:4" ht="15.75" customHeight="1" x14ac:dyDescent="0.15">
      <c r="A3" s="5" t="s">
        <v>3</v>
      </c>
      <c r="B3" s="17" t="str">
        <f ca="1">IFERROR(__xludf.DUMMYFUNCTION("""COMPUTED_VALUE"""),"DNA: 67, Pham: 68")</f>
        <v>DNA: 67, Pham: 68</v>
      </c>
      <c r="C3" s="17" t="str">
        <f ca="1">IFERROR(__xludf.DUMMYFUNCTION("""COMPUTED_VALUE"""),"Pham: 68   DNA: 67")</f>
        <v>Pham: 68   DNA: 67</v>
      </c>
      <c r="D3" s="17" t="str">
        <f ca="1">IFERROR(__xludf.DUMMYFUNCTION("""COMPUTED_VALUE"""),"DNAm: 67, PHAM:68")</f>
        <v>DNAm: 67, PHAM:68</v>
      </c>
    </row>
    <row r="4" spans="1:4" ht="15.75" customHeight="1" x14ac:dyDescent="0.15">
      <c r="A4" s="5" t="s">
        <v>4</v>
      </c>
      <c r="B4" s="17" t="str">
        <f ca="1">IFERROR(__xludf.DUMMYFUNCTION("""COMPUTED_VALUE""")," 203346 (3/19/25)")</f>
        <v xml:space="preserve"> 203346 (3/19/25)</v>
      </c>
      <c r="C4" s="17" t="str">
        <f ca="1">IFERROR(__xludf.DUMMYFUNCTION("""COMPUTED_VALUE"""),"pham 203346   03/12/25
")</f>
        <v xml:space="preserve">pham 203346   03/12/25
</v>
      </c>
      <c r="D4" s="17" t="str">
        <f ca="1">IFERROR(__xludf.DUMMYFUNCTION("""COMPUTED_VALUE"""),"pham 203346, 3-19-25")</f>
        <v>pham 203346, 3-19-25</v>
      </c>
    </row>
    <row r="5" spans="1:4" ht="15.75" customHeight="1" x14ac:dyDescent="0.15">
      <c r="A5" s="5" t="s">
        <v>5</v>
      </c>
      <c r="B5" s="17" t="str">
        <f ca="1">IFERROR(__xludf.DUMMYFUNCTION("""COMPUTED_VALUE"""),"Kovu_66, Edmundo_68")</f>
        <v>Kovu_66, Edmundo_68</v>
      </c>
      <c r="C5" s="17"/>
      <c r="D5" s="17" t="str">
        <f ca="1">IFERROR(__xludf.DUMMYFUNCTION("""COMPUTED_VALUE"""),"Kovu_66")</f>
        <v>Kovu_66</v>
      </c>
    </row>
    <row r="6" spans="1:4" ht="15.75" customHeight="1" x14ac:dyDescent="0.15">
      <c r="A6" s="5" t="s">
        <v>6</v>
      </c>
      <c r="B6" s="17" t="str">
        <f ca="1">IFERROR(__xludf.DUMMYFUNCTION("""COMPUTED_VALUE"""),"Both call start @ 40430")</f>
        <v>Both call start @ 40430</v>
      </c>
      <c r="C6" s="17" t="str">
        <f ca="1">IFERROR(__xludf.DUMMYFUNCTION("""COMPUTED_VALUE"""),"both call 40430")</f>
        <v>both call 40430</v>
      </c>
      <c r="D6" s="17" t="str">
        <f ca="1">IFERROR(__xludf.DUMMYFUNCTION("""COMPUTED_VALUE"""),"Original Glimmer call @bp 40430, Both Call for this")</f>
        <v>Original Glimmer call @bp 40430, Both Call for this</v>
      </c>
    </row>
    <row r="7" spans="1:4" ht="15.75" customHeight="1" x14ac:dyDescent="0.15">
      <c r="A7" s="5" t="s">
        <v>7</v>
      </c>
      <c r="B7" s="17" t="str">
        <f ca="1">IFERROR(__xludf.DUMMYFUNCTION("""COMPUTED_VALUE"""),"Gene has good coding potential, including start")</f>
        <v>Gene has good coding potential, including start</v>
      </c>
      <c r="C7" s="17" t="str">
        <f ca="1">IFERROR(__xludf.DUMMYFUNCTION("""COMPUTED_VALUE"""),"Yes it has great conding potential")</f>
        <v>Yes it has great conding potential</v>
      </c>
      <c r="D7" s="17" t="str">
        <f ca="1">IFERROR(__xludf.DUMMYFUNCTION("""COMPUTED_VALUE"""),"It has very good coding potential ")</f>
        <v xml:space="preserve">It has very good coding potential </v>
      </c>
    </row>
    <row r="8" spans="1:4" ht="15.75" customHeight="1" x14ac:dyDescent="0.15">
      <c r="A8" s="5" t="s">
        <v>8</v>
      </c>
      <c r="B8" s="17" t="str">
        <f ca="1">IFERROR(__xludf.DUMMYFUNCTION("""COMPUTED_VALUE"""),"Yes")</f>
        <v>Yes</v>
      </c>
      <c r="C8" s="17" t="str">
        <f ca="1">IFERROR(__xludf.DUMMYFUNCTION("""COMPUTED_VALUE"""),"yes")</f>
        <v>yes</v>
      </c>
      <c r="D8" s="17" t="str">
        <f ca="1">IFERROR(__xludf.DUMMYFUNCTION("""COMPUTED_VALUE"""),"It is the longest possible ORF")</f>
        <v>It is the longest possible ORF</v>
      </c>
    </row>
    <row r="9" spans="1:4" ht="15.75" customHeight="1" x14ac:dyDescent="0.15">
      <c r="A9" s="5" t="s">
        <v>9</v>
      </c>
      <c r="B9" s="17" t="str">
        <f ca="1">IFERROR(__xludf.DUMMYFUNCTION("""COMPUTED_VALUE"""),"6 nucleotide gap")</f>
        <v>6 nucleotide gap</v>
      </c>
      <c r="C9" s="17" t="str">
        <f ca="1">IFERROR(__xludf.DUMMYFUNCTION("""COMPUTED_VALUE"""),"Gap with gene 66: 6 Bp    Gap with Gene 68: 21 Bp")</f>
        <v>Gap with gene 66: 6 Bp    Gap with Gene 68: 21 Bp</v>
      </c>
      <c r="D9" s="17" t="str">
        <f ca="1">IFERROR(__xludf.DUMMYFUNCTION("""COMPUTED_VALUE"""),"None ")</f>
        <v xml:space="preserve">None </v>
      </c>
    </row>
    <row r="10" spans="1:4" ht="15.75" customHeight="1" x14ac:dyDescent="0.15">
      <c r="A10" s="5" t="s">
        <v>10</v>
      </c>
      <c r="B10" s="17" t="str">
        <f ca="1">IFERROR(__xludf.DUMMYFUNCTION("""COMPUTED_VALUE"""),"2.113, best z-score")</f>
        <v>2.113, best z-score</v>
      </c>
      <c r="C10" s="17" t="str">
        <f ca="1">IFERROR(__xludf.DUMMYFUNCTION("""COMPUTED_VALUE"""),"This start doesnt have the highest z-val, but all start z-vals are close to the current called: 2.113")</f>
        <v>This start doesnt have the highest z-val, but all start z-vals are close to the current called: 2.113</v>
      </c>
      <c r="D10" s="17" t="str">
        <f ca="1">IFERROR(__xludf.DUMMYFUNCTION("""COMPUTED_VALUE"""),"Z score: 2.1, It is the best. ")</f>
        <v xml:space="preserve">Z score: 2.1, It is the best. </v>
      </c>
    </row>
    <row r="11" spans="1:4" ht="15.75" customHeight="1" x14ac:dyDescent="0.15">
      <c r="A11" s="5" t="s">
        <v>11</v>
      </c>
      <c r="B11" s="17" t="str">
        <f ca="1">IFERROR(__xludf.DUMMYFUNCTION("""COMPUTED_VALUE"""),"Kovu_66, 86.75% identity, 0.0E0 e-value, Q:663, S:664")</f>
        <v>Kovu_66, 86.75% identity, 0.0E0 e-value, Q:663, S:664</v>
      </c>
      <c r="C11" s="17"/>
      <c r="D11" s="17" t="str">
        <f ca="1">IFERROR(__xludf.DUMMYFUNCTION("""COMPUTED_VALUE"""),"minor tail protein [Arthrobacter phage Kovu], %I:87%, e value: 0.0, q1:s1")</f>
        <v>minor tail protein [Arthrobacter phage Kovu], %I:87%, e value: 0.0, q1:s1</v>
      </c>
    </row>
    <row r="12" spans="1:4" ht="15.75" customHeight="1" x14ac:dyDescent="0.15">
      <c r="A12" s="5" t="s">
        <v>12</v>
      </c>
      <c r="B12" s="17" t="str">
        <f ca="1">IFERROR(__xludf.DUMMYFUNCTION("""COMPUTED_VALUE"""),"Not conserved in all members, called 100% time when present")</f>
        <v>Not conserved in all members, called 100% time when present</v>
      </c>
      <c r="C12" s="17" t="str">
        <f ca="1">IFERROR(__xludf.DUMMYFUNCTION("""COMPUTED_VALUE"""),"Start is conserved in most members, called 100% of the time when present, was present in 9/12 phages")</f>
        <v>Start is conserved in most members, called 100% of the time when present, was present in 9/12 phages</v>
      </c>
      <c r="D12" s="17" t="str">
        <f ca="1">IFERROR(__xludf.DUMMYFUNCTION("""COMPUTED_VALUE"""),"It is conserved in half of the members, IT is called a 100% of the time")</f>
        <v>It is conserved in half of the members, IT is called a 100% of the time</v>
      </c>
    </row>
    <row r="13" spans="1:4" ht="15.75" customHeight="1" x14ac:dyDescent="0.15">
      <c r="A13" s="5" t="s">
        <v>13</v>
      </c>
      <c r="B13" s="17" t="str">
        <f ca="1">IFERROR(__xludf.DUMMYFUNCTION("""COMPUTED_VALUE"""),"No ")</f>
        <v xml:space="preserve">No </v>
      </c>
      <c r="C13" s="17" t="str">
        <f ca="1">IFERROR(__xludf.DUMMYFUNCTION("""COMPUTED_VALUE"""),"No start change as the start is conserved within the pham and all great coding potential is captured by the current start")</f>
        <v>No start change as the start is conserved within the pham and all great coding potential is captured by the current start</v>
      </c>
      <c r="D13" s="17" t="str">
        <f ca="1">IFERROR(__xludf.DUMMYFUNCTION("""COMPUTED_VALUE"""),"None")</f>
        <v>None</v>
      </c>
    </row>
    <row r="14" spans="1:4" ht="15.75" customHeight="1" x14ac:dyDescent="0.15">
      <c r="A14" s="5" t="s">
        <v>14</v>
      </c>
      <c r="B14" s="17" t="str">
        <f ca="1">IFERROR(__xludf.DUMMYFUNCTION("""COMPUTED_VALUE"""),"Kovu_66, 0.0 e-value")</f>
        <v>Kovu_66, 0.0 e-value</v>
      </c>
      <c r="C14" s="17" t="str">
        <f ca="1">IFERROR(__xludf.DUMMYFUNCTION("""COMPUTED_VALUE"""),"Kovu_66: 0.0; Edmundo_68: 3e-88")</f>
        <v>Kovu_66: 0.0; Edmundo_68: 3e-88</v>
      </c>
      <c r="D14" s="17" t="str">
        <f ca="1">IFERROR(__xludf.DUMMYFUNCTION("""COMPUTED_VALUE"""),"Kovu_66, minor tail protein, Evalue: 0.0")</f>
        <v>Kovu_66, minor tail protein, Evalue: 0.0</v>
      </c>
    </row>
    <row r="15" spans="1:4" ht="15.75" customHeight="1" x14ac:dyDescent="0.15">
      <c r="A15" s="5" t="s">
        <v>15</v>
      </c>
      <c r="B15" s="17" t="str">
        <f ca="1">IFERROR(__xludf.DUMMYFUNCTION("""COMPUTED_VALUE"""),"minor tail protein")</f>
        <v>minor tail protein</v>
      </c>
      <c r="C15" s="17" t="str">
        <f ca="1">IFERROR(__xludf.DUMMYFUNCTION("""COMPUTED_VALUE"""),"Kovu and Edmundo: minor tail protien")</f>
        <v>Kovu and Edmundo: minor tail protien</v>
      </c>
      <c r="D15" s="17" t="str">
        <f ca="1">IFERROR(__xludf.DUMMYFUNCTION("""COMPUTED_VALUE"""),"Kovu_66, minor tail protein")</f>
        <v>Kovu_66, minor tail protein</v>
      </c>
    </row>
    <row r="16" spans="1:4" ht="15.75" customHeight="1" x14ac:dyDescent="0.15">
      <c r="A16" s="5" t="s">
        <v>16</v>
      </c>
      <c r="B16" s="17" t="str">
        <f ca="1">IFERROR(__xludf.DUMMYFUNCTION("""COMPUTED_VALUE"""),"Found in similar environment in Kovu")</f>
        <v>Found in similar environment in Kovu</v>
      </c>
      <c r="C16" s="17" t="str">
        <f ca="1">IFERROR(__xludf.DUMMYFUNCTION("""COMPUTED_VALUE"""),"Found in same genetic environment as Kovu_66, adjacent to gene 67 and 69 ")</f>
        <v xml:space="preserve">Found in same genetic environment as Kovu_66, adjacent to gene 67 and 69 </v>
      </c>
      <c r="D16" s="17" t="str">
        <f ca="1">IFERROR(__xludf.DUMMYFUNCTION("""COMPUTED_VALUE"""),"It is in the same genetic enviorment as kovu")</f>
        <v>It is in the same genetic enviorment as kovu</v>
      </c>
    </row>
    <row r="17" spans="1:4" ht="15.75" customHeight="1" x14ac:dyDescent="0.15">
      <c r="A17" s="5" t="s">
        <v>17</v>
      </c>
      <c r="B17" s="17" t="str">
        <f ca="1">IFERROR(__xludf.DUMMYFUNCTION("""COMPUTED_VALUE"""),"Strangely hits insecticide carbohydrate binding. 99.62% probability, 53.7% query, 99.4% target, functional domain not part of target")</f>
        <v>Strangely hits insecticide carbohydrate binding. 99.62% probability, 53.7% query, 99.4% target, functional domain not part of target</v>
      </c>
      <c r="C17" s="17" t="str">
        <f ca="1">IFERROR(__xludf.DUMMYFUNCTION("""COMPUTED_VALUE"""),"Endo-alpha-N-acetylgalactosaminidase, Maltose/maltodextrin-binding periplasmic protein, Endo-1,4-beta-xylanase C, Function is a part of the domain, %Q: 44.04%;  %T: 87.4%  (matched twice with Streptococcus pneumoniae and once with E. coli)")</f>
        <v>Endo-alpha-N-acetylgalactosaminidase, Maltose/maltodextrin-binding periplasmic protein, Endo-1,4-beta-xylanase C, Function is a part of the domain, %Q: 44.04%;  %T: 87.4%  (matched twice with Streptococcus pneumoniae and once with E. coli)</v>
      </c>
      <c r="D17" s="17" t="str">
        <f ca="1">IFERROR(__xludf.DUMMYFUNCTION("""COMPUTED_VALUE"""),"Not useful ")</f>
        <v xml:space="preserve">Not useful </v>
      </c>
    </row>
    <row r="18" spans="1:4" ht="15.75" customHeight="1" x14ac:dyDescent="0.15">
      <c r="A18" s="5" t="s">
        <v>18</v>
      </c>
      <c r="B18" s="17" t="str">
        <f ca="1">IFERROR(__xludf.DUMMYFUNCTION("""COMPUTED_VALUE"""),"None")</f>
        <v>None</v>
      </c>
      <c r="C18" s="17" t="str">
        <f ca="1">IFERROR(__xludf.DUMMYFUNCTION("""COMPUTED_VALUE"""),"No conserved domain in NCBI")</f>
        <v>No conserved domain in NCBI</v>
      </c>
      <c r="D18" s="17" t="str">
        <f ca="1">IFERROR(__xludf.DUMMYFUNCTION("""COMPUTED_VALUE"""),"None ")</f>
        <v xml:space="preserve">None </v>
      </c>
    </row>
    <row r="19" spans="1:4" ht="15.75" customHeight="1" x14ac:dyDescent="0.15">
      <c r="A19" s="5" t="s">
        <v>19</v>
      </c>
      <c r="B19" s="17" t="str">
        <f ca="1">IFERROR(__xludf.DUMMYFUNCTION("""COMPUTED_VALUE"""),"None")</f>
        <v>None</v>
      </c>
      <c r="C19" s="17" t="str">
        <f ca="1">IFERROR(__xludf.DUMMYFUNCTION("""COMPUTED_VALUE"""),"not a membrane protien, most likely outside the membrane")</f>
        <v>not a membrane protien, most likely outside the membrane</v>
      </c>
      <c r="D19" s="17" t="str">
        <f ca="1">IFERROR(__xludf.DUMMYFUNCTION("""COMPUTED_VALUE"""),"None ")</f>
        <v xml:space="preserve">None </v>
      </c>
    </row>
    <row r="20" spans="1:4" ht="15.75" customHeight="1" x14ac:dyDescent="0.15">
      <c r="A20" s="5" t="s">
        <v>20</v>
      </c>
      <c r="B20" s="17" t="str">
        <f ca="1">IFERROR(__xludf.DUMMYFUNCTION("""COMPUTED_VALUE"""),"Minor tail protein")</f>
        <v>Minor tail protein</v>
      </c>
      <c r="C20" s="17" t="str">
        <f ca="1">IFERROR(__xludf.DUMMYFUNCTION("""COMPUTED_VALUE"""),"minor tail protein, because there were multiple hits in NCBI with minor tail protien ie: Kovu and Edmundo, as well as the start being conserved and the E-val of the phagesDB matching Kovu was 0.0e. ")</f>
        <v xml:space="preserve">minor tail protein, because there were multiple hits in NCBI with minor tail protien ie: Kovu and Edmundo, as well as the start being conserved and the E-val of the phagesDB matching Kovu was 0.0e. </v>
      </c>
      <c r="D20" s="17" t="str">
        <f ca="1">IFERROR(__xludf.DUMMYFUNCTION("""COMPUTED_VALUE"""),"minor tail protein. This is because of the Phagesdb blast, NCBI blast, Synteny, and the coding potential. ")</f>
        <v xml:space="preserve">minor tail protein. This is because of the Phagesdb blast, NCBI blast, Synteny, and the coding potential. </v>
      </c>
    </row>
    <row r="21" spans="1:4" x14ac:dyDescent="0.2">
      <c r="A21" s="7"/>
      <c r="B21" s="19"/>
      <c r="C21" s="19"/>
      <c r="D21" s="19"/>
    </row>
    <row r="22" spans="1:4" ht="15.75" customHeight="1" x14ac:dyDescent="0.15">
      <c r="A22" s="9" t="s">
        <v>21</v>
      </c>
      <c r="B22" s="19"/>
      <c r="C22" s="19"/>
      <c r="D22" s="19"/>
    </row>
    <row r="23" spans="1:4" ht="15.75" customHeight="1" x14ac:dyDescent="0.15">
      <c r="A23" s="10"/>
      <c r="B23" s="13"/>
      <c r="C23" s="13"/>
      <c r="D23" s="13"/>
    </row>
    <row r="24" spans="1:4" ht="15.75" customHeight="1" x14ac:dyDescent="0.15">
      <c r="A24" s="10"/>
      <c r="B24" s="13"/>
      <c r="C24" s="13"/>
      <c r="D24" s="13"/>
    </row>
    <row r="25" spans="1:4" ht="15.75" customHeight="1" x14ac:dyDescent="0.15">
      <c r="A25" s="10"/>
      <c r="B25" s="13"/>
      <c r="C25" s="13"/>
      <c r="D25" s="13"/>
    </row>
    <row r="26" spans="1:4" ht="15.75" customHeight="1" x14ac:dyDescent="0.15">
      <c r="A26" s="10"/>
      <c r="B26" s="13"/>
      <c r="C26" s="13"/>
      <c r="D26" s="13"/>
    </row>
    <row r="27" spans="1:4" ht="15.75" customHeight="1" x14ac:dyDescent="0.15">
      <c r="A27" s="10"/>
      <c r="B27" s="13"/>
      <c r="C27" s="13"/>
      <c r="D27" s="13"/>
    </row>
    <row r="28" spans="1:4" ht="15.75" customHeight="1" x14ac:dyDescent="0.15">
      <c r="A28" s="10"/>
      <c r="B28" s="13"/>
      <c r="C28" s="13"/>
      <c r="D28" s="13"/>
    </row>
    <row r="29" spans="1:4" ht="15.75" customHeight="1" x14ac:dyDescent="0.15">
      <c r="A29" s="10"/>
      <c r="B29" s="13"/>
      <c r="C29" s="13"/>
      <c r="D29" s="13"/>
    </row>
    <row r="30" spans="1:4" ht="15.75" customHeight="1" x14ac:dyDescent="0.15">
      <c r="A30" s="10"/>
      <c r="B30" s="13"/>
      <c r="C30" s="13"/>
      <c r="D30" s="13"/>
    </row>
    <row r="31" spans="1:4" ht="15.75" customHeight="1" x14ac:dyDescent="0.15">
      <c r="A31" s="10"/>
      <c r="B31" s="13"/>
      <c r="C31" s="13"/>
      <c r="D31" s="13"/>
    </row>
    <row r="32" spans="1:4" ht="15.75" customHeight="1" x14ac:dyDescent="0.15">
      <c r="A32" s="10"/>
      <c r="B32" s="13"/>
      <c r="C32" s="13"/>
      <c r="D32" s="13"/>
    </row>
    <row r="33" spans="1:4" ht="15.75" customHeight="1" x14ac:dyDescent="0.15">
      <c r="A33" s="10"/>
      <c r="B33" s="13"/>
      <c r="C33" s="13"/>
      <c r="D33" s="13"/>
    </row>
    <row r="34" spans="1:4" ht="15.75" customHeight="1" x14ac:dyDescent="0.15">
      <c r="A34" s="10"/>
      <c r="B34" s="13"/>
      <c r="C34" s="13"/>
      <c r="D34" s="13"/>
    </row>
    <row r="35" spans="1:4" ht="15.75" customHeight="1" x14ac:dyDescent="0.15">
      <c r="A35" s="10"/>
      <c r="B35" s="13"/>
      <c r="C35" s="13"/>
      <c r="D35" s="13"/>
    </row>
    <row r="36" spans="1:4" ht="15.75" customHeight="1" x14ac:dyDescent="0.15">
      <c r="A36" s="10"/>
      <c r="B36" s="13"/>
      <c r="C36" s="13"/>
      <c r="D36" s="13"/>
    </row>
    <row r="37" spans="1:4" ht="15.75" customHeight="1" x14ac:dyDescent="0.15">
      <c r="A37" s="10"/>
      <c r="B37" s="13"/>
      <c r="C37" s="13"/>
      <c r="D37" s="13"/>
    </row>
    <row r="38" spans="1:4" ht="15.75" customHeight="1" x14ac:dyDescent="0.15">
      <c r="A38" s="10"/>
      <c r="B38" s="13"/>
      <c r="C38" s="13"/>
      <c r="D38" s="13"/>
    </row>
    <row r="39" spans="1:4" ht="13" x14ac:dyDescent="0.15">
      <c r="A39" s="10"/>
      <c r="B39" s="13"/>
      <c r="C39" s="13"/>
      <c r="D39" s="13"/>
    </row>
    <row r="40" spans="1:4" ht="13" x14ac:dyDescent="0.15">
      <c r="A40" s="10"/>
      <c r="B40" s="13"/>
      <c r="C40" s="13"/>
      <c r="D40" s="13"/>
    </row>
    <row r="41" spans="1:4" ht="13" x14ac:dyDescent="0.15">
      <c r="A41" s="10"/>
      <c r="B41" s="13"/>
      <c r="C41" s="13"/>
      <c r="D41" s="13"/>
    </row>
    <row r="42" spans="1:4" ht="13" x14ac:dyDescent="0.15">
      <c r="A42" s="10"/>
      <c r="B42" s="13"/>
      <c r="C42" s="13"/>
      <c r="D42" s="13"/>
    </row>
    <row r="43" spans="1:4" ht="13" x14ac:dyDescent="0.15">
      <c r="A43" s="10"/>
      <c r="B43" s="13"/>
      <c r="C43" s="13"/>
      <c r="D43" s="13"/>
    </row>
    <row r="44" spans="1:4" ht="13" x14ac:dyDescent="0.15">
      <c r="A44" s="10"/>
      <c r="B44" s="13"/>
      <c r="C44" s="13"/>
      <c r="D44" s="13"/>
    </row>
    <row r="45" spans="1:4" ht="13" x14ac:dyDescent="0.15">
      <c r="A45" s="10"/>
      <c r="B45" s="13"/>
      <c r="C45" s="13"/>
      <c r="D45" s="13"/>
    </row>
    <row r="46" spans="1:4" ht="13" x14ac:dyDescent="0.15">
      <c r="A46" s="10"/>
      <c r="B46" s="13"/>
      <c r="C46" s="13"/>
      <c r="D46" s="13"/>
    </row>
    <row r="47" spans="1:4" ht="13" x14ac:dyDescent="0.15">
      <c r="A47" s="10"/>
      <c r="B47" s="13"/>
      <c r="C47" s="13"/>
      <c r="D47" s="13"/>
    </row>
    <row r="48" spans="1:4" ht="13" x14ac:dyDescent="0.15">
      <c r="A48" s="10"/>
      <c r="B48" s="13"/>
      <c r="C48" s="13"/>
      <c r="D48" s="13"/>
    </row>
    <row r="49" spans="1:4" ht="13" x14ac:dyDescent="0.15">
      <c r="A49" s="10"/>
      <c r="B49" s="13"/>
      <c r="C49" s="13"/>
      <c r="D49" s="13"/>
    </row>
    <row r="50" spans="1:4" ht="13" x14ac:dyDescent="0.15">
      <c r="A50" s="10"/>
      <c r="B50" s="13"/>
      <c r="C50" s="13"/>
      <c r="D50" s="13"/>
    </row>
    <row r="51" spans="1:4" ht="13" x14ac:dyDescent="0.15">
      <c r="A51" s="10"/>
      <c r="B51" s="13"/>
      <c r="C51" s="13"/>
      <c r="D51" s="13"/>
    </row>
    <row r="52" spans="1:4" ht="13" x14ac:dyDescent="0.15">
      <c r="A52" s="10"/>
      <c r="B52" s="13"/>
      <c r="C52" s="13"/>
      <c r="D52" s="13"/>
    </row>
    <row r="53" spans="1:4" ht="13" x14ac:dyDescent="0.15">
      <c r="A53" s="10"/>
      <c r="B53" s="13"/>
      <c r="C53" s="13"/>
      <c r="D53" s="13"/>
    </row>
    <row r="54" spans="1:4" ht="13" x14ac:dyDescent="0.15">
      <c r="A54" s="10"/>
      <c r="B54" s="13"/>
      <c r="C54" s="13"/>
      <c r="D54" s="13"/>
    </row>
    <row r="55" spans="1:4" ht="13" x14ac:dyDescent="0.15">
      <c r="A55" s="10"/>
      <c r="B55" s="13"/>
      <c r="C55" s="13"/>
      <c r="D55" s="13"/>
    </row>
    <row r="56" spans="1:4" ht="13" x14ac:dyDescent="0.15">
      <c r="A56" s="10"/>
      <c r="B56" s="13"/>
      <c r="C56" s="13"/>
      <c r="D56" s="13"/>
    </row>
    <row r="57" spans="1:4" ht="13" x14ac:dyDescent="0.15">
      <c r="A57" s="10"/>
      <c r="B57" s="13"/>
      <c r="C57" s="13"/>
      <c r="D57" s="13"/>
    </row>
    <row r="58" spans="1:4" ht="13" x14ac:dyDescent="0.15">
      <c r="A58" s="10"/>
      <c r="B58" s="13"/>
      <c r="C58" s="13"/>
      <c r="D58" s="13"/>
    </row>
    <row r="59" spans="1:4" ht="13" x14ac:dyDescent="0.15">
      <c r="A59" s="10"/>
      <c r="B59" s="13"/>
      <c r="C59" s="13"/>
      <c r="D59" s="13"/>
    </row>
    <row r="60" spans="1:4" ht="13" x14ac:dyDescent="0.15">
      <c r="A60" s="10"/>
      <c r="B60" s="13"/>
      <c r="C60" s="13"/>
      <c r="D60" s="13"/>
    </row>
    <row r="61" spans="1:4" ht="13" x14ac:dyDescent="0.15">
      <c r="A61" s="10"/>
      <c r="B61" s="13"/>
      <c r="C61" s="13"/>
      <c r="D61" s="13"/>
    </row>
    <row r="62" spans="1:4" ht="13" x14ac:dyDescent="0.15">
      <c r="A62" s="10"/>
      <c r="B62" s="13"/>
      <c r="C62" s="13"/>
      <c r="D62" s="13"/>
    </row>
    <row r="63" spans="1:4" ht="13" x14ac:dyDescent="0.15">
      <c r="A63" s="10"/>
      <c r="B63" s="13"/>
      <c r="C63" s="13"/>
      <c r="D63" s="13"/>
    </row>
    <row r="64" spans="1:4" ht="13" x14ac:dyDescent="0.15">
      <c r="A64" s="10"/>
      <c r="B64" s="13"/>
      <c r="C64" s="13"/>
      <c r="D64" s="13"/>
    </row>
    <row r="65" spans="1:4" ht="13" x14ac:dyDescent="0.15">
      <c r="A65" s="10"/>
      <c r="B65" s="13"/>
      <c r="C65" s="13"/>
      <c r="D65" s="13"/>
    </row>
    <row r="66" spans="1:4" ht="13" x14ac:dyDescent="0.15">
      <c r="A66" s="10"/>
      <c r="B66" s="13"/>
      <c r="C66" s="13"/>
      <c r="D66" s="13"/>
    </row>
    <row r="67" spans="1:4" ht="13" x14ac:dyDescent="0.15">
      <c r="A67" s="10"/>
      <c r="B67" s="13"/>
      <c r="C67" s="13"/>
      <c r="D67" s="13"/>
    </row>
    <row r="68" spans="1:4" ht="13" x14ac:dyDescent="0.15">
      <c r="A68" s="10"/>
      <c r="B68" s="13"/>
      <c r="C68" s="13"/>
      <c r="D68" s="13"/>
    </row>
    <row r="69" spans="1:4" ht="13" x14ac:dyDescent="0.15">
      <c r="A69" s="10"/>
      <c r="B69" s="13"/>
      <c r="C69" s="13"/>
      <c r="D69" s="13"/>
    </row>
    <row r="70" spans="1:4" ht="13" x14ac:dyDescent="0.15">
      <c r="A70" s="10"/>
      <c r="B70" s="13"/>
      <c r="C70" s="13"/>
      <c r="D70" s="13"/>
    </row>
    <row r="71" spans="1:4" ht="13" x14ac:dyDescent="0.15">
      <c r="A71" s="10"/>
      <c r="B71" s="13"/>
      <c r="C71" s="13"/>
      <c r="D71" s="13"/>
    </row>
    <row r="72" spans="1:4" ht="13" x14ac:dyDescent="0.15">
      <c r="A72" s="10"/>
      <c r="B72" s="13"/>
      <c r="C72" s="13"/>
      <c r="D72" s="13"/>
    </row>
    <row r="73" spans="1:4" ht="13" x14ac:dyDescent="0.15">
      <c r="A73" s="10"/>
      <c r="B73" s="13"/>
      <c r="C73" s="13"/>
      <c r="D73" s="13"/>
    </row>
    <row r="74" spans="1:4" ht="13" x14ac:dyDescent="0.15">
      <c r="A74" s="10"/>
      <c r="B74" s="13"/>
      <c r="C74" s="13"/>
      <c r="D74" s="13"/>
    </row>
    <row r="75" spans="1:4" ht="13" x14ac:dyDescent="0.15">
      <c r="A75" s="10"/>
      <c r="B75" s="13"/>
      <c r="C75" s="13"/>
      <c r="D75" s="13"/>
    </row>
    <row r="76" spans="1:4" ht="13" x14ac:dyDescent="0.15">
      <c r="A76" s="10"/>
      <c r="B76" s="13"/>
      <c r="C76" s="13"/>
      <c r="D76" s="13"/>
    </row>
    <row r="77" spans="1:4" ht="13" x14ac:dyDescent="0.15">
      <c r="A77" s="10"/>
      <c r="B77" s="13"/>
      <c r="C77" s="13"/>
      <c r="D77" s="13"/>
    </row>
    <row r="78" spans="1:4" ht="13" x14ac:dyDescent="0.15">
      <c r="A78" s="10"/>
      <c r="B78" s="13"/>
      <c r="C78" s="13"/>
      <c r="D78" s="13"/>
    </row>
    <row r="79" spans="1:4" ht="13" x14ac:dyDescent="0.15">
      <c r="A79" s="10"/>
      <c r="B79" s="13"/>
      <c r="C79" s="13"/>
      <c r="D79" s="13"/>
    </row>
    <row r="80" spans="1:4" ht="13" x14ac:dyDescent="0.15">
      <c r="A80" s="10"/>
      <c r="B80" s="13"/>
      <c r="C80" s="13"/>
      <c r="D80" s="13"/>
    </row>
    <row r="81" spans="1:4" ht="13" x14ac:dyDescent="0.15">
      <c r="A81" s="10"/>
      <c r="B81" s="13"/>
      <c r="C81" s="13"/>
      <c r="D81" s="13"/>
    </row>
    <row r="82" spans="1:4" ht="13" x14ac:dyDescent="0.15">
      <c r="A82" s="10"/>
      <c r="B82" s="13"/>
      <c r="C82" s="13"/>
      <c r="D82" s="13"/>
    </row>
    <row r="83" spans="1:4" ht="13" x14ac:dyDescent="0.15">
      <c r="A83" s="10"/>
      <c r="B83" s="13"/>
      <c r="C83" s="13"/>
      <c r="D83" s="13"/>
    </row>
    <row r="84" spans="1:4" ht="13" x14ac:dyDescent="0.15">
      <c r="A84" s="10"/>
      <c r="B84" s="13"/>
      <c r="C84" s="13"/>
      <c r="D84" s="13"/>
    </row>
    <row r="85" spans="1:4" ht="13" x14ac:dyDescent="0.15">
      <c r="A85" s="10"/>
      <c r="B85" s="13"/>
      <c r="C85" s="13"/>
      <c r="D85" s="13"/>
    </row>
    <row r="86" spans="1:4" ht="13" x14ac:dyDescent="0.15">
      <c r="A86" s="10"/>
      <c r="B86" s="13"/>
      <c r="C86" s="13"/>
      <c r="D86" s="13"/>
    </row>
    <row r="87" spans="1:4" ht="13" x14ac:dyDescent="0.15">
      <c r="A87" s="10"/>
      <c r="B87" s="13"/>
      <c r="C87" s="13"/>
      <c r="D87" s="13"/>
    </row>
    <row r="88" spans="1:4" ht="13" x14ac:dyDescent="0.15">
      <c r="A88" s="10"/>
      <c r="B88" s="13"/>
      <c r="C88" s="13"/>
      <c r="D88" s="13"/>
    </row>
    <row r="89" spans="1:4" ht="13" x14ac:dyDescent="0.15">
      <c r="A89" s="10"/>
      <c r="B89" s="13"/>
      <c r="C89" s="13"/>
      <c r="D89" s="13"/>
    </row>
    <row r="90" spans="1:4" ht="13" x14ac:dyDescent="0.15">
      <c r="A90" s="10"/>
      <c r="B90" s="13"/>
      <c r="C90" s="13"/>
      <c r="D90" s="13"/>
    </row>
    <row r="91" spans="1:4" ht="13" x14ac:dyDescent="0.15">
      <c r="A91" s="10"/>
      <c r="B91" s="13"/>
      <c r="C91" s="13"/>
      <c r="D91" s="13"/>
    </row>
    <row r="92" spans="1:4" ht="13" x14ac:dyDescent="0.15">
      <c r="A92" s="10"/>
      <c r="B92" s="13"/>
      <c r="C92" s="13"/>
      <c r="D92" s="13"/>
    </row>
    <row r="93" spans="1:4" ht="13" x14ac:dyDescent="0.15">
      <c r="A93" s="10"/>
      <c r="B93" s="13"/>
      <c r="C93" s="13"/>
      <c r="D93" s="13"/>
    </row>
    <row r="94" spans="1:4" ht="13" x14ac:dyDescent="0.15">
      <c r="A94" s="10"/>
      <c r="B94" s="13"/>
      <c r="C94" s="13"/>
      <c r="D94" s="13"/>
    </row>
    <row r="95" spans="1:4" ht="13" x14ac:dyDescent="0.15">
      <c r="A95" s="10"/>
      <c r="B95" s="13"/>
      <c r="C95" s="13"/>
      <c r="D95" s="13"/>
    </row>
    <row r="96" spans="1:4" ht="13" x14ac:dyDescent="0.15">
      <c r="A96" s="10"/>
      <c r="B96" s="13"/>
      <c r="C96" s="13"/>
      <c r="D96" s="13"/>
    </row>
    <row r="97" spans="1:4" ht="13" x14ac:dyDescent="0.15">
      <c r="A97" s="10"/>
      <c r="B97" s="13"/>
      <c r="C97" s="13"/>
      <c r="D97" s="13"/>
    </row>
    <row r="98" spans="1:4" ht="13" x14ac:dyDescent="0.15">
      <c r="A98" s="10"/>
      <c r="B98" s="13"/>
      <c r="C98" s="13"/>
      <c r="D98" s="13"/>
    </row>
    <row r="99" spans="1:4" ht="13" x14ac:dyDescent="0.15">
      <c r="A99" s="10"/>
      <c r="B99" s="13"/>
      <c r="C99" s="13"/>
      <c r="D99" s="13"/>
    </row>
    <row r="100" spans="1:4" ht="13" x14ac:dyDescent="0.15">
      <c r="A100" s="10"/>
      <c r="B100" s="13"/>
      <c r="C100" s="13"/>
      <c r="D100" s="13"/>
    </row>
    <row r="101" spans="1:4" ht="13" x14ac:dyDescent="0.15">
      <c r="A101" s="10"/>
      <c r="B101" s="13"/>
      <c r="C101" s="13"/>
      <c r="D101" s="13"/>
    </row>
    <row r="102" spans="1:4" ht="13" x14ac:dyDescent="0.15">
      <c r="A102" s="10"/>
      <c r="B102" s="13"/>
      <c r="C102" s="13"/>
      <c r="D102" s="13"/>
    </row>
    <row r="103" spans="1:4" ht="13" x14ac:dyDescent="0.15">
      <c r="A103" s="10"/>
      <c r="B103" s="13"/>
      <c r="C103" s="13"/>
      <c r="D103" s="13"/>
    </row>
    <row r="104" spans="1:4" ht="13" x14ac:dyDescent="0.15">
      <c r="A104" s="10"/>
      <c r="B104" s="13"/>
      <c r="C104" s="13"/>
      <c r="D104" s="13"/>
    </row>
    <row r="105" spans="1:4" ht="13" x14ac:dyDescent="0.15">
      <c r="A105" s="10"/>
      <c r="B105" s="13"/>
      <c r="C105" s="13"/>
      <c r="D105" s="13"/>
    </row>
    <row r="106" spans="1:4" ht="13" x14ac:dyDescent="0.15">
      <c r="A106" s="10"/>
      <c r="B106" s="13"/>
      <c r="C106" s="13"/>
      <c r="D106" s="13"/>
    </row>
    <row r="107" spans="1:4" ht="13" x14ac:dyDescent="0.15">
      <c r="A107" s="10"/>
      <c r="B107" s="13"/>
      <c r="C107" s="13"/>
      <c r="D107" s="13"/>
    </row>
    <row r="108" spans="1:4" ht="13" x14ac:dyDescent="0.15">
      <c r="A108" s="10"/>
      <c r="B108" s="13"/>
      <c r="C108" s="13"/>
      <c r="D108" s="13"/>
    </row>
    <row r="109" spans="1:4" ht="13" x14ac:dyDescent="0.15">
      <c r="A109" s="10"/>
      <c r="B109" s="13"/>
      <c r="C109" s="13"/>
      <c r="D109" s="13"/>
    </row>
    <row r="110" spans="1:4" ht="13" x14ac:dyDescent="0.15">
      <c r="A110" s="10"/>
      <c r="B110" s="13"/>
      <c r="C110" s="13"/>
      <c r="D110" s="13"/>
    </row>
    <row r="111" spans="1:4" ht="13" x14ac:dyDescent="0.15">
      <c r="A111" s="10"/>
      <c r="B111" s="13"/>
      <c r="C111" s="13"/>
      <c r="D111" s="13"/>
    </row>
    <row r="112" spans="1:4" ht="13" x14ac:dyDescent="0.15">
      <c r="A112" s="10"/>
      <c r="B112" s="13"/>
      <c r="C112" s="13"/>
      <c r="D112" s="13"/>
    </row>
    <row r="113" spans="1:4" ht="13" x14ac:dyDescent="0.15">
      <c r="A113" s="10"/>
      <c r="B113" s="13"/>
      <c r="C113" s="13"/>
      <c r="D113" s="13"/>
    </row>
    <row r="114" spans="1:4" ht="13" x14ac:dyDescent="0.15">
      <c r="A114" s="10"/>
      <c r="B114" s="13"/>
      <c r="C114" s="13"/>
      <c r="D114" s="13"/>
    </row>
    <row r="115" spans="1:4" ht="13" x14ac:dyDescent="0.15">
      <c r="A115" s="10"/>
      <c r="B115" s="13"/>
      <c r="C115" s="13"/>
      <c r="D115" s="13"/>
    </row>
    <row r="116" spans="1:4" ht="13" x14ac:dyDescent="0.15">
      <c r="A116" s="10"/>
      <c r="B116" s="13"/>
      <c r="C116" s="13"/>
      <c r="D116" s="13"/>
    </row>
    <row r="117" spans="1:4" ht="13" x14ac:dyDescent="0.15">
      <c r="A117" s="10"/>
      <c r="B117" s="13"/>
      <c r="C117" s="13"/>
      <c r="D117" s="13"/>
    </row>
    <row r="118" spans="1:4" ht="13" x14ac:dyDescent="0.15">
      <c r="A118" s="10"/>
      <c r="B118" s="13"/>
      <c r="C118" s="13"/>
      <c r="D118" s="13"/>
    </row>
    <row r="119" spans="1:4" ht="13" x14ac:dyDescent="0.15">
      <c r="A119" s="10"/>
      <c r="B119" s="13"/>
      <c r="C119" s="13"/>
      <c r="D119" s="13"/>
    </row>
    <row r="120" spans="1:4" ht="13" x14ac:dyDescent="0.15">
      <c r="A120" s="10"/>
      <c r="B120" s="13"/>
      <c r="C120" s="13"/>
      <c r="D120" s="13"/>
    </row>
    <row r="121" spans="1:4" ht="13" x14ac:dyDescent="0.15">
      <c r="A121" s="10"/>
      <c r="B121" s="13"/>
      <c r="C121" s="13"/>
      <c r="D121" s="13"/>
    </row>
    <row r="122" spans="1:4" ht="13" x14ac:dyDescent="0.15">
      <c r="A122" s="10"/>
      <c r="B122" s="13"/>
      <c r="C122" s="13"/>
      <c r="D122" s="13"/>
    </row>
    <row r="123" spans="1:4" ht="13" x14ac:dyDescent="0.15">
      <c r="A123" s="10"/>
      <c r="B123" s="13"/>
      <c r="C123" s="13"/>
      <c r="D123" s="13"/>
    </row>
    <row r="124" spans="1:4" ht="13" x14ac:dyDescent="0.15">
      <c r="A124" s="10"/>
      <c r="B124" s="13"/>
      <c r="C124" s="13"/>
      <c r="D124" s="13"/>
    </row>
    <row r="125" spans="1:4" ht="13" x14ac:dyDescent="0.15">
      <c r="A125" s="10"/>
      <c r="B125" s="13"/>
      <c r="C125" s="13"/>
      <c r="D125" s="13"/>
    </row>
    <row r="126" spans="1:4" ht="13" x14ac:dyDescent="0.15">
      <c r="A126" s="10"/>
      <c r="B126" s="13"/>
      <c r="C126" s="13"/>
      <c r="D126" s="13"/>
    </row>
    <row r="127" spans="1:4" ht="13" x14ac:dyDescent="0.15">
      <c r="A127" s="10"/>
      <c r="B127" s="13"/>
      <c r="C127" s="13"/>
      <c r="D127" s="13"/>
    </row>
    <row r="128" spans="1:4" ht="13" x14ac:dyDescent="0.15">
      <c r="A128" s="10"/>
      <c r="B128" s="13"/>
      <c r="C128" s="13"/>
      <c r="D128" s="13"/>
    </row>
    <row r="129" spans="1:4" ht="13" x14ac:dyDescent="0.15">
      <c r="A129" s="10"/>
      <c r="B129" s="13"/>
      <c r="C129" s="13"/>
      <c r="D129" s="13"/>
    </row>
    <row r="130" spans="1:4" ht="13" x14ac:dyDescent="0.15">
      <c r="A130" s="10"/>
      <c r="B130" s="13"/>
      <c r="C130" s="13"/>
      <c r="D130" s="13"/>
    </row>
    <row r="131" spans="1:4" ht="13" x14ac:dyDescent="0.15">
      <c r="A131" s="10"/>
      <c r="B131" s="13"/>
      <c r="C131" s="13"/>
      <c r="D131" s="13"/>
    </row>
    <row r="132" spans="1:4" ht="13" x14ac:dyDescent="0.15">
      <c r="A132" s="10"/>
      <c r="B132" s="13"/>
      <c r="C132" s="13"/>
      <c r="D132" s="13"/>
    </row>
    <row r="133" spans="1:4" ht="13" x14ac:dyDescent="0.15">
      <c r="A133" s="10"/>
      <c r="B133" s="13"/>
      <c r="C133" s="13"/>
      <c r="D133" s="13"/>
    </row>
    <row r="134" spans="1:4" ht="13" x14ac:dyDescent="0.15">
      <c r="A134" s="10"/>
      <c r="B134" s="13"/>
      <c r="C134" s="13"/>
      <c r="D134" s="13"/>
    </row>
    <row r="135" spans="1:4" ht="13" x14ac:dyDescent="0.15">
      <c r="A135" s="10"/>
      <c r="B135" s="13"/>
      <c r="C135" s="13"/>
      <c r="D135" s="13"/>
    </row>
    <row r="136" spans="1:4" ht="13" x14ac:dyDescent="0.15">
      <c r="A136" s="10"/>
      <c r="B136" s="13"/>
      <c r="C136" s="13"/>
      <c r="D136" s="13"/>
    </row>
    <row r="137" spans="1:4" ht="13" x14ac:dyDescent="0.15">
      <c r="A137" s="10"/>
      <c r="B137" s="13"/>
      <c r="C137" s="13"/>
      <c r="D137" s="13"/>
    </row>
    <row r="138" spans="1:4" ht="13" x14ac:dyDescent="0.15">
      <c r="A138" s="10"/>
      <c r="B138" s="13"/>
      <c r="C138" s="13"/>
      <c r="D138" s="13"/>
    </row>
    <row r="139" spans="1:4" ht="13" x14ac:dyDescent="0.15">
      <c r="A139" s="10"/>
      <c r="B139" s="13"/>
      <c r="C139" s="13"/>
      <c r="D139" s="13"/>
    </row>
    <row r="140" spans="1:4" ht="13" x14ac:dyDescent="0.15">
      <c r="A140" s="10"/>
      <c r="B140" s="13"/>
      <c r="C140" s="13"/>
      <c r="D140" s="13"/>
    </row>
    <row r="141" spans="1:4" ht="13" x14ac:dyDescent="0.15">
      <c r="A141" s="10"/>
      <c r="B141" s="13"/>
      <c r="C141" s="13"/>
      <c r="D141" s="13"/>
    </row>
    <row r="142" spans="1:4" ht="13" x14ac:dyDescent="0.15">
      <c r="A142" s="10"/>
      <c r="B142" s="13"/>
      <c r="C142" s="13"/>
      <c r="D142" s="13"/>
    </row>
    <row r="143" spans="1:4" ht="13" x14ac:dyDescent="0.15">
      <c r="A143" s="10"/>
      <c r="B143" s="13"/>
      <c r="C143" s="13"/>
      <c r="D143" s="13"/>
    </row>
    <row r="144" spans="1:4" ht="13" x14ac:dyDescent="0.15">
      <c r="A144" s="10"/>
      <c r="B144" s="13"/>
      <c r="C144" s="13"/>
      <c r="D144" s="13"/>
    </row>
    <row r="145" spans="1:4" ht="13" x14ac:dyDescent="0.15">
      <c r="A145" s="10"/>
      <c r="B145" s="13"/>
      <c r="C145" s="13"/>
      <c r="D145" s="13"/>
    </row>
    <row r="146" spans="1:4" ht="13" x14ac:dyDescent="0.15">
      <c r="A146" s="10"/>
      <c r="B146" s="13"/>
      <c r="C146" s="13"/>
      <c r="D146" s="13"/>
    </row>
    <row r="147" spans="1:4" ht="13" x14ac:dyDescent="0.15">
      <c r="A147" s="10"/>
      <c r="B147" s="13"/>
      <c r="C147" s="13"/>
      <c r="D147" s="13"/>
    </row>
    <row r="148" spans="1:4" ht="13" x14ac:dyDescent="0.15">
      <c r="A148" s="10"/>
      <c r="B148" s="13"/>
      <c r="C148" s="13"/>
      <c r="D148" s="13"/>
    </row>
    <row r="149" spans="1:4" ht="13" x14ac:dyDescent="0.15">
      <c r="A149" s="10"/>
      <c r="B149" s="13"/>
      <c r="C149" s="13"/>
      <c r="D149" s="13"/>
    </row>
    <row r="150" spans="1:4" ht="13" x14ac:dyDescent="0.15">
      <c r="A150" s="10"/>
      <c r="B150" s="13"/>
      <c r="C150" s="13"/>
      <c r="D150" s="13"/>
    </row>
    <row r="151" spans="1:4" ht="13" x14ac:dyDescent="0.15">
      <c r="A151" s="10"/>
      <c r="B151" s="13"/>
      <c r="C151" s="13"/>
      <c r="D151" s="13"/>
    </row>
    <row r="152" spans="1:4" ht="13" x14ac:dyDescent="0.15">
      <c r="A152" s="10"/>
      <c r="B152" s="13"/>
      <c r="C152" s="13"/>
      <c r="D152" s="13"/>
    </row>
    <row r="153" spans="1:4" ht="13" x14ac:dyDescent="0.15">
      <c r="A153" s="10"/>
      <c r="B153" s="13"/>
      <c r="C153" s="13"/>
      <c r="D153" s="13"/>
    </row>
    <row r="154" spans="1:4" ht="13" x14ac:dyDescent="0.15">
      <c r="A154" s="10"/>
      <c r="B154" s="13"/>
      <c r="C154" s="13"/>
      <c r="D154" s="13"/>
    </row>
    <row r="155" spans="1:4" ht="13" x14ac:dyDescent="0.15">
      <c r="A155" s="10"/>
      <c r="B155" s="13"/>
      <c r="C155" s="13"/>
      <c r="D155" s="13"/>
    </row>
    <row r="156" spans="1:4" ht="13" x14ac:dyDescent="0.15">
      <c r="A156" s="10"/>
      <c r="B156" s="13"/>
      <c r="C156" s="13"/>
      <c r="D156" s="13"/>
    </row>
    <row r="157" spans="1:4" ht="13" x14ac:dyDescent="0.15">
      <c r="A157" s="10"/>
      <c r="B157" s="13"/>
      <c r="C157" s="13"/>
      <c r="D157" s="13"/>
    </row>
    <row r="158" spans="1:4" ht="13" x14ac:dyDescent="0.15">
      <c r="A158" s="10"/>
      <c r="B158" s="13"/>
      <c r="C158" s="13"/>
      <c r="D158" s="13"/>
    </row>
    <row r="159" spans="1:4" ht="13" x14ac:dyDescent="0.15">
      <c r="A159" s="10"/>
      <c r="B159" s="13"/>
      <c r="C159" s="13"/>
      <c r="D159" s="13"/>
    </row>
    <row r="160" spans="1:4" ht="13" x14ac:dyDescent="0.15">
      <c r="A160" s="10"/>
      <c r="B160" s="13"/>
      <c r="C160" s="13"/>
      <c r="D160" s="13"/>
    </row>
    <row r="161" spans="1:4" ht="13" x14ac:dyDescent="0.15">
      <c r="A161" s="10"/>
      <c r="B161" s="13"/>
      <c r="C161" s="13"/>
      <c r="D161" s="13"/>
    </row>
    <row r="162" spans="1:4" ht="13" x14ac:dyDescent="0.15">
      <c r="A162" s="10"/>
      <c r="B162" s="13"/>
      <c r="C162" s="13"/>
      <c r="D162" s="13"/>
    </row>
    <row r="163" spans="1:4" ht="13" x14ac:dyDescent="0.15">
      <c r="A163" s="10"/>
      <c r="B163" s="13"/>
      <c r="C163" s="13"/>
      <c r="D163" s="13"/>
    </row>
    <row r="164" spans="1:4" ht="13" x14ac:dyDescent="0.15">
      <c r="A164" s="10"/>
      <c r="B164" s="13"/>
      <c r="C164" s="13"/>
      <c r="D164" s="13"/>
    </row>
    <row r="165" spans="1:4" ht="13" x14ac:dyDescent="0.15">
      <c r="A165" s="10"/>
      <c r="B165" s="13"/>
      <c r="C165" s="13"/>
      <c r="D165" s="13"/>
    </row>
    <row r="166" spans="1:4" ht="13" x14ac:dyDescent="0.15">
      <c r="A166" s="10"/>
      <c r="B166" s="13"/>
      <c r="C166" s="13"/>
      <c r="D166" s="13"/>
    </row>
    <row r="167" spans="1:4" ht="13" x14ac:dyDescent="0.15">
      <c r="A167" s="10"/>
      <c r="B167" s="13"/>
      <c r="C167" s="13"/>
      <c r="D167" s="13"/>
    </row>
    <row r="168" spans="1:4" ht="13" x14ac:dyDescent="0.15">
      <c r="A168" s="10"/>
      <c r="B168" s="13"/>
      <c r="C168" s="13"/>
      <c r="D168" s="13"/>
    </row>
    <row r="169" spans="1:4" ht="13" x14ac:dyDescent="0.15">
      <c r="A169" s="10"/>
      <c r="B169" s="13"/>
      <c r="C169" s="13"/>
      <c r="D169" s="13"/>
    </row>
    <row r="170" spans="1:4" ht="13" x14ac:dyDescent="0.15">
      <c r="A170" s="10"/>
      <c r="B170" s="13"/>
      <c r="C170" s="13"/>
      <c r="D170" s="13"/>
    </row>
    <row r="171" spans="1:4" ht="13" x14ac:dyDescent="0.15">
      <c r="A171" s="10"/>
      <c r="B171" s="13"/>
      <c r="C171" s="13"/>
      <c r="D171" s="13"/>
    </row>
    <row r="172" spans="1:4" ht="13" x14ac:dyDescent="0.15">
      <c r="A172" s="10"/>
      <c r="B172" s="13"/>
      <c r="C172" s="13"/>
      <c r="D172" s="13"/>
    </row>
    <row r="173" spans="1:4" ht="13" x14ac:dyDescent="0.15">
      <c r="A173" s="10"/>
      <c r="B173" s="13"/>
      <c r="C173" s="13"/>
      <c r="D173" s="13"/>
    </row>
    <row r="174" spans="1:4" ht="13" x14ac:dyDescent="0.15">
      <c r="A174" s="10"/>
      <c r="B174" s="13"/>
      <c r="C174" s="13"/>
      <c r="D174" s="13"/>
    </row>
    <row r="175" spans="1:4" ht="13" x14ac:dyDescent="0.15">
      <c r="A175" s="10"/>
      <c r="B175" s="13"/>
      <c r="C175" s="13"/>
      <c r="D175" s="13"/>
    </row>
    <row r="176" spans="1:4" ht="13" x14ac:dyDescent="0.15">
      <c r="A176" s="10"/>
      <c r="B176" s="13"/>
      <c r="C176" s="13"/>
      <c r="D176" s="13"/>
    </row>
    <row r="177" spans="1:4" ht="13" x14ac:dyDescent="0.15">
      <c r="A177" s="10"/>
      <c r="B177" s="13"/>
      <c r="C177" s="13"/>
      <c r="D177" s="13"/>
    </row>
    <row r="178" spans="1:4" ht="13" x14ac:dyDescent="0.15">
      <c r="A178" s="10"/>
      <c r="B178" s="13"/>
      <c r="C178" s="13"/>
      <c r="D178" s="13"/>
    </row>
    <row r="179" spans="1:4" ht="13" x14ac:dyDescent="0.15">
      <c r="A179" s="10"/>
      <c r="B179" s="13"/>
      <c r="C179" s="13"/>
      <c r="D179" s="13"/>
    </row>
    <row r="180" spans="1:4" ht="13" x14ac:dyDescent="0.15">
      <c r="A180" s="10"/>
      <c r="B180" s="13"/>
      <c r="C180" s="13"/>
      <c r="D180" s="13"/>
    </row>
    <row r="181" spans="1:4" ht="13" x14ac:dyDescent="0.15">
      <c r="A181" s="10"/>
      <c r="B181" s="13"/>
      <c r="C181" s="13"/>
      <c r="D181" s="13"/>
    </row>
    <row r="182" spans="1:4" ht="13" x14ac:dyDescent="0.15">
      <c r="A182" s="10"/>
      <c r="B182" s="13"/>
      <c r="C182" s="13"/>
      <c r="D182" s="13"/>
    </row>
    <row r="183" spans="1:4" ht="13" x14ac:dyDescent="0.15">
      <c r="A183" s="10"/>
      <c r="B183" s="13"/>
      <c r="C183" s="13"/>
      <c r="D183" s="13"/>
    </row>
    <row r="184" spans="1:4" ht="13" x14ac:dyDescent="0.15">
      <c r="A184" s="10"/>
      <c r="B184" s="13"/>
      <c r="C184" s="13"/>
      <c r="D184" s="13"/>
    </row>
    <row r="185" spans="1:4" ht="13" x14ac:dyDescent="0.15">
      <c r="A185" s="10"/>
      <c r="B185" s="13"/>
      <c r="C185" s="13"/>
      <c r="D185" s="13"/>
    </row>
    <row r="186" spans="1:4" ht="13" x14ac:dyDescent="0.15">
      <c r="A186" s="10"/>
      <c r="B186" s="13"/>
      <c r="C186" s="13"/>
      <c r="D186" s="13"/>
    </row>
    <row r="187" spans="1:4" ht="13" x14ac:dyDescent="0.15">
      <c r="A187" s="10"/>
      <c r="B187" s="13"/>
      <c r="C187" s="13"/>
      <c r="D187" s="13"/>
    </row>
    <row r="188" spans="1:4" ht="13" x14ac:dyDescent="0.15">
      <c r="A188" s="10"/>
      <c r="B188" s="13"/>
      <c r="C188" s="13"/>
      <c r="D188" s="13"/>
    </row>
    <row r="189" spans="1:4" ht="13" x14ac:dyDescent="0.15">
      <c r="A189" s="10"/>
      <c r="B189" s="13"/>
      <c r="C189" s="13"/>
      <c r="D189" s="13"/>
    </row>
    <row r="190" spans="1:4" ht="13" x14ac:dyDescent="0.15">
      <c r="A190" s="10"/>
      <c r="B190" s="13"/>
      <c r="C190" s="13"/>
      <c r="D190" s="13"/>
    </row>
    <row r="191" spans="1:4" ht="13" x14ac:dyDescent="0.15">
      <c r="A191" s="10"/>
      <c r="B191" s="13"/>
      <c r="C191" s="13"/>
      <c r="D191" s="13"/>
    </row>
    <row r="192" spans="1:4" ht="13" x14ac:dyDescent="0.15">
      <c r="A192" s="10"/>
      <c r="B192" s="13"/>
      <c r="C192" s="13"/>
      <c r="D192" s="13"/>
    </row>
    <row r="193" spans="1:4" ht="13" x14ac:dyDescent="0.15">
      <c r="A193" s="10"/>
      <c r="B193" s="13"/>
      <c r="C193" s="13"/>
      <c r="D193" s="13"/>
    </row>
    <row r="194" spans="1:4" ht="13" x14ac:dyDescent="0.15">
      <c r="A194" s="10"/>
      <c r="B194" s="13"/>
      <c r="C194" s="13"/>
      <c r="D194" s="13"/>
    </row>
    <row r="195" spans="1:4" ht="13" x14ac:dyDescent="0.15">
      <c r="A195" s="10"/>
      <c r="B195" s="13"/>
      <c r="C195" s="13"/>
      <c r="D195" s="13"/>
    </row>
    <row r="196" spans="1:4" ht="13" x14ac:dyDescent="0.15">
      <c r="A196" s="10"/>
      <c r="B196" s="13"/>
      <c r="C196" s="13"/>
      <c r="D196" s="13"/>
    </row>
    <row r="197" spans="1:4" ht="13" x14ac:dyDescent="0.15">
      <c r="A197" s="10"/>
      <c r="B197" s="13"/>
      <c r="C197" s="13"/>
      <c r="D197" s="13"/>
    </row>
    <row r="198" spans="1:4" ht="13" x14ac:dyDescent="0.15">
      <c r="A198" s="10"/>
      <c r="B198" s="13"/>
      <c r="C198" s="13"/>
      <c r="D198" s="13"/>
    </row>
    <row r="199" spans="1:4" ht="13" x14ac:dyDescent="0.15">
      <c r="A199" s="10"/>
      <c r="B199" s="13"/>
      <c r="C199" s="13"/>
      <c r="D199" s="13"/>
    </row>
    <row r="200" spans="1:4" ht="13" x14ac:dyDescent="0.15">
      <c r="A200" s="10"/>
      <c r="B200" s="13"/>
      <c r="C200" s="13"/>
      <c r="D200" s="13"/>
    </row>
    <row r="201" spans="1:4" ht="13" x14ac:dyDescent="0.15">
      <c r="A201" s="10"/>
      <c r="B201" s="13"/>
      <c r="C201" s="13"/>
      <c r="D201" s="13"/>
    </row>
    <row r="202" spans="1:4" ht="13" x14ac:dyDescent="0.15">
      <c r="A202" s="10"/>
      <c r="B202" s="13"/>
      <c r="C202" s="13"/>
      <c r="D202" s="13"/>
    </row>
    <row r="203" spans="1:4" ht="13" x14ac:dyDescent="0.15">
      <c r="A203" s="10"/>
      <c r="B203" s="13"/>
      <c r="C203" s="13"/>
      <c r="D203" s="13"/>
    </row>
    <row r="204" spans="1:4" ht="13" x14ac:dyDescent="0.15">
      <c r="A204" s="10"/>
      <c r="B204" s="13"/>
      <c r="C204" s="13"/>
      <c r="D204" s="13"/>
    </row>
    <row r="205" spans="1:4" ht="13" x14ac:dyDescent="0.15">
      <c r="A205" s="10"/>
      <c r="B205" s="13"/>
      <c r="C205" s="13"/>
      <c r="D205" s="13"/>
    </row>
    <row r="206" spans="1:4" ht="13" x14ac:dyDescent="0.15">
      <c r="A206" s="10"/>
      <c r="B206" s="13"/>
      <c r="C206" s="13"/>
      <c r="D206" s="13"/>
    </row>
    <row r="207" spans="1:4" ht="13" x14ac:dyDescent="0.15">
      <c r="A207" s="10"/>
      <c r="B207" s="13"/>
      <c r="C207" s="13"/>
      <c r="D207" s="13"/>
    </row>
    <row r="208" spans="1:4" ht="13" x14ac:dyDescent="0.15">
      <c r="A208" s="10"/>
      <c r="B208" s="13"/>
      <c r="C208" s="13"/>
      <c r="D208" s="13"/>
    </row>
    <row r="209" spans="1:4" ht="13" x14ac:dyDescent="0.15">
      <c r="A209" s="10"/>
      <c r="B209" s="13"/>
      <c r="C209" s="13"/>
      <c r="D209" s="13"/>
    </row>
    <row r="210" spans="1:4" ht="13" x14ac:dyDescent="0.15">
      <c r="A210" s="10"/>
      <c r="B210" s="13"/>
      <c r="C210" s="13"/>
      <c r="D210" s="13"/>
    </row>
    <row r="211" spans="1:4" ht="13" x14ac:dyDescent="0.15">
      <c r="A211" s="10"/>
      <c r="B211" s="13"/>
      <c r="C211" s="13"/>
      <c r="D211" s="13"/>
    </row>
    <row r="212" spans="1:4" ht="13" x14ac:dyDescent="0.15">
      <c r="A212" s="10"/>
      <c r="B212" s="13"/>
      <c r="C212" s="13"/>
      <c r="D212" s="13"/>
    </row>
    <row r="213" spans="1:4" ht="13" x14ac:dyDescent="0.15">
      <c r="A213" s="10"/>
      <c r="B213" s="13"/>
      <c r="C213" s="13"/>
      <c r="D213" s="13"/>
    </row>
    <row r="214" spans="1:4" ht="13" x14ac:dyDescent="0.15">
      <c r="A214" s="10"/>
      <c r="B214" s="13"/>
      <c r="C214" s="13"/>
      <c r="D214" s="13"/>
    </row>
    <row r="215" spans="1:4" ht="13" x14ac:dyDescent="0.15">
      <c r="A215" s="10"/>
      <c r="B215" s="13"/>
      <c r="C215" s="13"/>
      <c r="D215" s="13"/>
    </row>
    <row r="216" spans="1:4" ht="13" x14ac:dyDescent="0.15">
      <c r="A216" s="10"/>
      <c r="B216" s="13"/>
      <c r="C216" s="13"/>
      <c r="D216" s="13"/>
    </row>
    <row r="217" spans="1:4" ht="13" x14ac:dyDescent="0.15">
      <c r="A217" s="10"/>
      <c r="B217" s="13"/>
      <c r="C217" s="13"/>
      <c r="D217" s="13"/>
    </row>
    <row r="218" spans="1:4" ht="13" x14ac:dyDescent="0.15">
      <c r="A218" s="10"/>
      <c r="B218" s="13"/>
      <c r="C218" s="13"/>
      <c r="D218" s="13"/>
    </row>
    <row r="219" spans="1:4" ht="13" x14ac:dyDescent="0.15">
      <c r="A219" s="10"/>
      <c r="B219" s="13"/>
      <c r="C219" s="13"/>
      <c r="D219" s="13"/>
    </row>
    <row r="220" spans="1:4" ht="13" x14ac:dyDescent="0.15">
      <c r="A220" s="10"/>
      <c r="B220" s="13"/>
      <c r="C220" s="13"/>
      <c r="D220" s="13"/>
    </row>
    <row r="221" spans="1:4" ht="13" x14ac:dyDescent="0.15">
      <c r="A221" s="10"/>
      <c r="B221" s="13"/>
      <c r="C221" s="13"/>
      <c r="D221" s="13"/>
    </row>
    <row r="222" spans="1:4" ht="13" x14ac:dyDescent="0.15">
      <c r="A222" s="10"/>
      <c r="B222" s="13"/>
      <c r="C222" s="13"/>
      <c r="D222" s="13"/>
    </row>
    <row r="223" spans="1:4" ht="13" x14ac:dyDescent="0.15">
      <c r="A223" s="10"/>
      <c r="B223" s="13"/>
      <c r="C223" s="13"/>
      <c r="D223" s="13"/>
    </row>
    <row r="224" spans="1:4" ht="13" x14ac:dyDescent="0.15">
      <c r="A224" s="10"/>
      <c r="B224" s="13"/>
      <c r="C224" s="13"/>
      <c r="D224" s="13"/>
    </row>
    <row r="225" spans="1:4" ht="13" x14ac:dyDescent="0.15">
      <c r="A225" s="10"/>
      <c r="B225" s="13"/>
      <c r="C225" s="13"/>
      <c r="D225" s="13"/>
    </row>
    <row r="226" spans="1:4" ht="13" x14ac:dyDescent="0.15">
      <c r="A226" s="10"/>
      <c r="B226" s="13"/>
      <c r="C226" s="13"/>
      <c r="D226" s="13"/>
    </row>
    <row r="227" spans="1:4" ht="13" x14ac:dyDescent="0.15">
      <c r="A227" s="10"/>
      <c r="B227" s="13"/>
      <c r="C227" s="13"/>
      <c r="D227" s="13"/>
    </row>
    <row r="228" spans="1:4" ht="13" x14ac:dyDescent="0.15">
      <c r="A228" s="10"/>
      <c r="B228" s="13"/>
      <c r="C228" s="13"/>
      <c r="D228" s="13"/>
    </row>
    <row r="229" spans="1:4" ht="13" x14ac:dyDescent="0.15">
      <c r="A229" s="10"/>
      <c r="B229" s="13"/>
      <c r="C229" s="13"/>
      <c r="D229" s="13"/>
    </row>
    <row r="230" spans="1:4" ht="13" x14ac:dyDescent="0.15">
      <c r="A230" s="10"/>
      <c r="B230" s="13"/>
      <c r="C230" s="13"/>
      <c r="D230" s="13"/>
    </row>
    <row r="231" spans="1:4" ht="13" x14ac:dyDescent="0.15">
      <c r="A231" s="10"/>
      <c r="B231" s="13"/>
      <c r="C231" s="13"/>
      <c r="D231" s="13"/>
    </row>
    <row r="232" spans="1:4" ht="13" x14ac:dyDescent="0.15">
      <c r="A232" s="10"/>
      <c r="B232" s="13"/>
      <c r="C232" s="13"/>
      <c r="D232" s="13"/>
    </row>
    <row r="233" spans="1:4" ht="13" x14ac:dyDescent="0.15">
      <c r="A233" s="10"/>
      <c r="B233" s="13"/>
      <c r="C233" s="13"/>
      <c r="D233" s="13"/>
    </row>
    <row r="234" spans="1:4" ht="13" x14ac:dyDescent="0.15">
      <c r="A234" s="10"/>
      <c r="B234" s="13"/>
      <c r="C234" s="13"/>
      <c r="D234" s="13"/>
    </row>
    <row r="235" spans="1:4" ht="13" x14ac:dyDescent="0.15">
      <c r="A235" s="10"/>
      <c r="B235" s="13"/>
      <c r="C235" s="13"/>
      <c r="D235" s="13"/>
    </row>
    <row r="236" spans="1:4" ht="13" x14ac:dyDescent="0.15">
      <c r="A236" s="10"/>
      <c r="B236" s="13"/>
      <c r="C236" s="13"/>
      <c r="D236" s="13"/>
    </row>
    <row r="237" spans="1:4" ht="13" x14ac:dyDescent="0.15">
      <c r="A237" s="10"/>
      <c r="B237" s="13"/>
      <c r="C237" s="13"/>
      <c r="D237" s="13"/>
    </row>
    <row r="238" spans="1:4" ht="13" x14ac:dyDescent="0.15">
      <c r="A238" s="10"/>
      <c r="B238" s="13"/>
      <c r="C238" s="13"/>
      <c r="D238" s="13"/>
    </row>
    <row r="239" spans="1:4" ht="13" x14ac:dyDescent="0.15">
      <c r="A239" s="10"/>
      <c r="B239" s="13"/>
      <c r="C239" s="13"/>
      <c r="D239" s="13"/>
    </row>
    <row r="240" spans="1:4" ht="13" x14ac:dyDescent="0.15">
      <c r="A240" s="10"/>
      <c r="B240" s="13"/>
      <c r="C240" s="13"/>
      <c r="D240" s="13"/>
    </row>
    <row r="241" spans="1:4" ht="13" x14ac:dyDescent="0.15">
      <c r="A241" s="10"/>
      <c r="B241" s="13"/>
      <c r="C241" s="13"/>
      <c r="D241" s="13"/>
    </row>
    <row r="242" spans="1:4" ht="13" x14ac:dyDescent="0.15">
      <c r="A242" s="10"/>
      <c r="B242" s="13"/>
      <c r="C242" s="13"/>
      <c r="D242" s="13"/>
    </row>
    <row r="243" spans="1:4" ht="13" x14ac:dyDescent="0.15">
      <c r="A243" s="10"/>
      <c r="B243" s="13"/>
      <c r="C243" s="13"/>
      <c r="D243" s="13"/>
    </row>
    <row r="244" spans="1:4" ht="13" x14ac:dyDescent="0.15">
      <c r="A244" s="10"/>
      <c r="B244" s="13"/>
      <c r="C244" s="13"/>
      <c r="D244" s="13"/>
    </row>
    <row r="245" spans="1:4" ht="13" x14ac:dyDescent="0.15">
      <c r="A245" s="10"/>
      <c r="B245" s="13"/>
      <c r="C245" s="13"/>
      <c r="D245" s="13"/>
    </row>
    <row r="246" spans="1:4" ht="13" x14ac:dyDescent="0.15">
      <c r="A246" s="10"/>
      <c r="B246" s="13"/>
      <c r="C246" s="13"/>
      <c r="D246" s="13"/>
    </row>
    <row r="247" spans="1:4" ht="13" x14ac:dyDescent="0.15">
      <c r="A247" s="10"/>
      <c r="B247" s="13"/>
      <c r="C247" s="13"/>
      <c r="D247" s="13"/>
    </row>
    <row r="248" spans="1:4" ht="13" x14ac:dyDescent="0.15">
      <c r="A248" s="10"/>
      <c r="B248" s="13"/>
      <c r="C248" s="13"/>
      <c r="D248" s="13"/>
    </row>
    <row r="249" spans="1:4" ht="13" x14ac:dyDescent="0.15">
      <c r="A249" s="10"/>
      <c r="B249" s="13"/>
      <c r="C249" s="13"/>
      <c r="D249" s="13"/>
    </row>
    <row r="250" spans="1:4" ht="13" x14ac:dyDescent="0.15">
      <c r="A250" s="10"/>
      <c r="B250" s="13"/>
      <c r="C250" s="13"/>
      <c r="D250" s="13"/>
    </row>
    <row r="251" spans="1:4" ht="13" x14ac:dyDescent="0.15">
      <c r="A251" s="10"/>
      <c r="B251" s="13"/>
      <c r="C251" s="13"/>
      <c r="D251" s="13"/>
    </row>
    <row r="252" spans="1:4" ht="13" x14ac:dyDescent="0.15">
      <c r="A252" s="10"/>
      <c r="B252" s="13"/>
      <c r="C252" s="13"/>
      <c r="D252" s="13"/>
    </row>
    <row r="253" spans="1:4" ht="13" x14ac:dyDescent="0.15">
      <c r="A253" s="10"/>
      <c r="B253" s="13"/>
      <c r="C253" s="13"/>
      <c r="D253" s="13"/>
    </row>
    <row r="254" spans="1:4" ht="13" x14ac:dyDescent="0.15">
      <c r="A254" s="10"/>
      <c r="B254" s="13"/>
      <c r="C254" s="13"/>
      <c r="D254" s="13"/>
    </row>
    <row r="255" spans="1:4" ht="13" x14ac:dyDescent="0.15">
      <c r="A255" s="10"/>
      <c r="B255" s="13"/>
      <c r="C255" s="13"/>
      <c r="D255" s="13"/>
    </row>
    <row r="256" spans="1:4" ht="13" x14ac:dyDescent="0.15">
      <c r="A256" s="10"/>
      <c r="B256" s="13"/>
      <c r="C256" s="13"/>
      <c r="D256" s="13"/>
    </row>
    <row r="257" spans="1:4" ht="13" x14ac:dyDescent="0.15">
      <c r="A257" s="10"/>
      <c r="B257" s="13"/>
      <c r="C257" s="13"/>
      <c r="D257" s="13"/>
    </row>
    <row r="258" spans="1:4" ht="13" x14ac:dyDescent="0.15">
      <c r="A258" s="10"/>
      <c r="B258" s="13"/>
      <c r="C258" s="13"/>
      <c r="D258" s="13"/>
    </row>
    <row r="259" spans="1:4" ht="13" x14ac:dyDescent="0.15">
      <c r="A259" s="10"/>
      <c r="B259" s="13"/>
      <c r="C259" s="13"/>
      <c r="D259" s="13"/>
    </row>
    <row r="260" spans="1:4" ht="13" x14ac:dyDescent="0.15">
      <c r="A260" s="10"/>
      <c r="B260" s="13"/>
      <c r="C260" s="13"/>
      <c r="D260" s="13"/>
    </row>
    <row r="261" spans="1:4" ht="13" x14ac:dyDescent="0.15">
      <c r="A261" s="10"/>
      <c r="B261" s="13"/>
      <c r="C261" s="13"/>
      <c r="D261" s="13"/>
    </row>
    <row r="262" spans="1:4" ht="13" x14ac:dyDescent="0.15">
      <c r="A262" s="10"/>
      <c r="B262" s="13"/>
      <c r="C262" s="13"/>
      <c r="D262" s="13"/>
    </row>
    <row r="263" spans="1:4" ht="13" x14ac:dyDescent="0.15">
      <c r="A263" s="10"/>
      <c r="B263" s="13"/>
      <c r="C263" s="13"/>
      <c r="D263" s="13"/>
    </row>
    <row r="264" spans="1:4" ht="13" x14ac:dyDescent="0.15">
      <c r="A264" s="10"/>
      <c r="B264" s="13"/>
      <c r="C264" s="13"/>
      <c r="D264" s="13"/>
    </row>
    <row r="265" spans="1:4" ht="13" x14ac:dyDescent="0.15">
      <c r="A265" s="10"/>
      <c r="B265" s="13"/>
      <c r="C265" s="13"/>
      <c r="D265" s="13"/>
    </row>
    <row r="266" spans="1:4" ht="13" x14ac:dyDescent="0.15">
      <c r="A266" s="10"/>
      <c r="B266" s="13"/>
      <c r="C266" s="13"/>
      <c r="D266" s="13"/>
    </row>
    <row r="267" spans="1:4" ht="13" x14ac:dyDescent="0.15">
      <c r="A267" s="10"/>
      <c r="B267" s="13"/>
      <c r="C267" s="13"/>
      <c r="D267" s="13"/>
    </row>
    <row r="268" spans="1:4" ht="13" x14ac:dyDescent="0.15">
      <c r="A268" s="10"/>
      <c r="B268" s="13"/>
      <c r="C268" s="13"/>
      <c r="D268" s="13"/>
    </row>
    <row r="269" spans="1:4" ht="13" x14ac:dyDescent="0.15">
      <c r="A269" s="10"/>
      <c r="B269" s="13"/>
      <c r="C269" s="13"/>
      <c r="D269" s="13"/>
    </row>
    <row r="270" spans="1:4" ht="13" x14ac:dyDescent="0.15">
      <c r="A270" s="10"/>
      <c r="B270" s="13"/>
      <c r="C270" s="13"/>
      <c r="D270" s="13"/>
    </row>
    <row r="271" spans="1:4" ht="13" x14ac:dyDescent="0.15">
      <c r="A271" s="10"/>
      <c r="B271" s="13"/>
      <c r="C271" s="13"/>
      <c r="D271" s="13"/>
    </row>
    <row r="272" spans="1:4" ht="13" x14ac:dyDescent="0.15">
      <c r="A272" s="10"/>
      <c r="B272" s="13"/>
      <c r="C272" s="13"/>
      <c r="D272" s="13"/>
    </row>
    <row r="273" spans="1:4" ht="13" x14ac:dyDescent="0.15">
      <c r="A273" s="10"/>
      <c r="B273" s="13"/>
      <c r="C273" s="13"/>
      <c r="D273" s="13"/>
    </row>
    <row r="274" spans="1:4" ht="13" x14ac:dyDescent="0.15">
      <c r="A274" s="10"/>
      <c r="B274" s="13"/>
      <c r="C274" s="13"/>
      <c r="D274" s="13"/>
    </row>
    <row r="275" spans="1:4" ht="13" x14ac:dyDescent="0.15">
      <c r="A275" s="10"/>
      <c r="B275" s="13"/>
      <c r="C275" s="13"/>
      <c r="D275" s="13"/>
    </row>
    <row r="276" spans="1:4" ht="13" x14ac:dyDescent="0.15">
      <c r="A276" s="10"/>
      <c r="B276" s="13"/>
      <c r="C276" s="13"/>
      <c r="D276" s="13"/>
    </row>
    <row r="277" spans="1:4" ht="13" x14ac:dyDescent="0.15">
      <c r="A277" s="10"/>
      <c r="B277" s="13"/>
      <c r="C277" s="13"/>
      <c r="D277" s="13"/>
    </row>
    <row r="278" spans="1:4" ht="13" x14ac:dyDescent="0.15">
      <c r="A278" s="10"/>
      <c r="B278" s="13"/>
      <c r="C278" s="13"/>
      <c r="D278" s="13"/>
    </row>
    <row r="279" spans="1:4" ht="13" x14ac:dyDescent="0.15">
      <c r="A279" s="10"/>
      <c r="B279" s="13"/>
      <c r="C279" s="13"/>
      <c r="D279" s="13"/>
    </row>
    <row r="280" spans="1:4" ht="13" x14ac:dyDescent="0.15">
      <c r="A280" s="10"/>
      <c r="B280" s="13"/>
      <c r="C280" s="13"/>
      <c r="D280" s="13"/>
    </row>
    <row r="281" spans="1:4" ht="13" x14ac:dyDescent="0.15">
      <c r="A281" s="10"/>
      <c r="B281" s="13"/>
      <c r="C281" s="13"/>
      <c r="D281" s="13"/>
    </row>
    <row r="282" spans="1:4" ht="13" x14ac:dyDescent="0.15">
      <c r="A282" s="10"/>
      <c r="B282" s="13"/>
      <c r="C282" s="13"/>
      <c r="D282" s="13"/>
    </row>
    <row r="283" spans="1:4" ht="13" x14ac:dyDescent="0.15">
      <c r="A283" s="10"/>
      <c r="B283" s="13"/>
      <c r="C283" s="13"/>
      <c r="D283" s="13"/>
    </row>
    <row r="284" spans="1:4" ht="13" x14ac:dyDescent="0.15">
      <c r="A284" s="10"/>
      <c r="B284" s="13"/>
      <c r="C284" s="13"/>
      <c r="D284" s="13"/>
    </row>
    <row r="285" spans="1:4" ht="13" x14ac:dyDescent="0.15">
      <c r="A285" s="10"/>
      <c r="B285" s="13"/>
      <c r="C285" s="13"/>
      <c r="D285" s="13"/>
    </row>
    <row r="286" spans="1:4" ht="13" x14ac:dyDescent="0.15">
      <c r="A286" s="10"/>
      <c r="B286" s="13"/>
      <c r="C286" s="13"/>
      <c r="D286" s="13"/>
    </row>
    <row r="287" spans="1:4" ht="13" x14ac:dyDescent="0.15">
      <c r="A287" s="10"/>
      <c r="B287" s="13"/>
      <c r="C287" s="13"/>
      <c r="D287" s="13"/>
    </row>
    <row r="288" spans="1:4" ht="13" x14ac:dyDescent="0.15">
      <c r="A288" s="10"/>
      <c r="B288" s="13"/>
      <c r="C288" s="13"/>
      <c r="D288" s="13"/>
    </row>
    <row r="289" spans="1:4" ht="13" x14ac:dyDescent="0.15">
      <c r="A289" s="10"/>
      <c r="B289" s="13"/>
      <c r="C289" s="13"/>
      <c r="D289" s="13"/>
    </row>
    <row r="290" spans="1:4" ht="13" x14ac:dyDescent="0.15">
      <c r="A290" s="10"/>
      <c r="B290" s="13"/>
      <c r="C290" s="13"/>
      <c r="D290" s="13"/>
    </row>
    <row r="291" spans="1:4" ht="13" x14ac:dyDescent="0.15">
      <c r="A291" s="10"/>
      <c r="B291" s="13"/>
      <c r="C291" s="13"/>
      <c r="D291" s="13"/>
    </row>
    <row r="292" spans="1:4" ht="13" x14ac:dyDescent="0.15">
      <c r="A292" s="10"/>
      <c r="B292" s="13"/>
      <c r="C292" s="13"/>
      <c r="D292" s="13"/>
    </row>
    <row r="293" spans="1:4" ht="13" x14ac:dyDescent="0.15">
      <c r="A293" s="10"/>
      <c r="B293" s="13"/>
      <c r="C293" s="13"/>
      <c r="D293" s="13"/>
    </row>
    <row r="294" spans="1:4" ht="13" x14ac:dyDescent="0.15">
      <c r="A294" s="10"/>
      <c r="B294" s="13"/>
      <c r="C294" s="13"/>
      <c r="D294" s="13"/>
    </row>
    <row r="295" spans="1:4" ht="13" x14ac:dyDescent="0.15">
      <c r="A295" s="10"/>
      <c r="B295" s="13"/>
      <c r="C295" s="13"/>
      <c r="D295" s="13"/>
    </row>
    <row r="296" spans="1:4" ht="13" x14ac:dyDescent="0.15">
      <c r="A296" s="10"/>
      <c r="B296" s="13"/>
      <c r="C296" s="13"/>
      <c r="D296" s="13"/>
    </row>
    <row r="297" spans="1:4" ht="13" x14ac:dyDescent="0.15">
      <c r="A297" s="10"/>
      <c r="B297" s="13"/>
      <c r="C297" s="13"/>
      <c r="D297" s="13"/>
    </row>
    <row r="298" spans="1:4" ht="13" x14ac:dyDescent="0.15">
      <c r="A298" s="10"/>
      <c r="B298" s="13"/>
      <c r="C298" s="13"/>
      <c r="D298" s="13"/>
    </row>
    <row r="299" spans="1:4" ht="13" x14ac:dyDescent="0.15">
      <c r="A299" s="10"/>
      <c r="B299" s="13"/>
      <c r="C299" s="13"/>
      <c r="D299" s="13"/>
    </row>
    <row r="300" spans="1:4" ht="13" x14ac:dyDescent="0.15">
      <c r="A300" s="10"/>
      <c r="B300" s="13"/>
      <c r="C300" s="13"/>
      <c r="D300" s="13"/>
    </row>
    <row r="301" spans="1:4" ht="13" x14ac:dyDescent="0.15">
      <c r="A301" s="10"/>
      <c r="B301" s="13"/>
      <c r="C301" s="13"/>
      <c r="D301" s="13"/>
    </row>
    <row r="302" spans="1:4" ht="13" x14ac:dyDescent="0.15">
      <c r="A302" s="10"/>
      <c r="B302" s="13"/>
      <c r="C302" s="13"/>
      <c r="D302" s="13"/>
    </row>
    <row r="303" spans="1:4" ht="13" x14ac:dyDescent="0.15">
      <c r="A303" s="10"/>
      <c r="B303" s="13"/>
      <c r="C303" s="13"/>
      <c r="D303" s="13"/>
    </row>
    <row r="304" spans="1:4" ht="13" x14ac:dyDescent="0.15">
      <c r="A304" s="10"/>
      <c r="B304" s="13"/>
      <c r="C304" s="13"/>
      <c r="D304" s="13"/>
    </row>
    <row r="305" spans="1:4" ht="13" x14ac:dyDescent="0.15">
      <c r="A305" s="10"/>
      <c r="B305" s="13"/>
      <c r="C305" s="13"/>
      <c r="D305" s="13"/>
    </row>
    <row r="306" spans="1:4" ht="13" x14ac:dyDescent="0.15">
      <c r="A306" s="10"/>
      <c r="B306" s="13"/>
      <c r="C306" s="13"/>
      <c r="D306" s="13"/>
    </row>
    <row r="307" spans="1:4" ht="13" x14ac:dyDescent="0.15">
      <c r="A307" s="10"/>
      <c r="B307" s="13"/>
      <c r="C307" s="13"/>
      <c r="D307" s="13"/>
    </row>
    <row r="308" spans="1:4" ht="13" x14ac:dyDescent="0.15">
      <c r="A308" s="10"/>
      <c r="B308" s="13"/>
      <c r="C308" s="13"/>
      <c r="D308" s="13"/>
    </row>
    <row r="309" spans="1:4" ht="13" x14ac:dyDescent="0.15">
      <c r="A309" s="10"/>
      <c r="B309" s="13"/>
      <c r="C309" s="13"/>
      <c r="D309" s="13"/>
    </row>
    <row r="310" spans="1:4" ht="13" x14ac:dyDescent="0.15">
      <c r="A310" s="10"/>
      <c r="B310" s="13"/>
      <c r="C310" s="13"/>
      <c r="D310" s="13"/>
    </row>
    <row r="311" spans="1:4" ht="13" x14ac:dyDescent="0.15">
      <c r="A311" s="10"/>
      <c r="B311" s="13"/>
      <c r="C311" s="13"/>
      <c r="D311" s="13"/>
    </row>
    <row r="312" spans="1:4" ht="13" x14ac:dyDescent="0.15">
      <c r="A312" s="10"/>
      <c r="B312" s="13"/>
      <c r="C312" s="13"/>
      <c r="D312" s="13"/>
    </row>
    <row r="313" spans="1:4" ht="13" x14ac:dyDescent="0.15">
      <c r="A313" s="10"/>
      <c r="B313" s="13"/>
      <c r="C313" s="13"/>
      <c r="D313" s="13"/>
    </row>
    <row r="314" spans="1:4" ht="13" x14ac:dyDescent="0.15">
      <c r="A314" s="10"/>
      <c r="B314" s="13"/>
      <c r="C314" s="13"/>
      <c r="D314" s="13"/>
    </row>
    <row r="315" spans="1:4" ht="13" x14ac:dyDescent="0.15">
      <c r="A315" s="10"/>
      <c r="B315" s="13"/>
      <c r="C315" s="13"/>
      <c r="D315" s="13"/>
    </row>
    <row r="316" spans="1:4" ht="13" x14ac:dyDescent="0.15">
      <c r="A316" s="10"/>
      <c r="B316" s="13"/>
      <c r="C316" s="13"/>
      <c r="D316" s="13"/>
    </row>
    <row r="317" spans="1:4" ht="13" x14ac:dyDescent="0.15">
      <c r="A317" s="10"/>
      <c r="B317" s="13"/>
      <c r="C317" s="13"/>
      <c r="D317" s="13"/>
    </row>
    <row r="318" spans="1:4" ht="13" x14ac:dyDescent="0.15">
      <c r="A318" s="10"/>
      <c r="B318" s="13"/>
      <c r="C318" s="13"/>
      <c r="D318" s="13"/>
    </row>
    <row r="319" spans="1:4" ht="13" x14ac:dyDescent="0.15">
      <c r="A319" s="10"/>
      <c r="B319" s="13"/>
      <c r="C319" s="13"/>
      <c r="D319" s="13"/>
    </row>
    <row r="320" spans="1:4" ht="13" x14ac:dyDescent="0.15">
      <c r="A320" s="10"/>
      <c r="B320" s="13"/>
      <c r="C320" s="13"/>
      <c r="D320" s="13"/>
    </row>
    <row r="321" spans="1:4" ht="13" x14ac:dyDescent="0.15">
      <c r="A321" s="10"/>
      <c r="B321" s="13"/>
      <c r="C321" s="13"/>
      <c r="D321" s="13"/>
    </row>
    <row r="322" spans="1:4" ht="13" x14ac:dyDescent="0.15">
      <c r="A322" s="10"/>
      <c r="B322" s="13"/>
      <c r="C322" s="13"/>
      <c r="D322" s="13"/>
    </row>
    <row r="323" spans="1:4" ht="13" x14ac:dyDescent="0.15">
      <c r="A323" s="10"/>
      <c r="B323" s="13"/>
      <c r="C323" s="13"/>
      <c r="D323" s="13"/>
    </row>
    <row r="324" spans="1:4" ht="13" x14ac:dyDescent="0.15">
      <c r="A324" s="10"/>
      <c r="B324" s="13"/>
      <c r="C324" s="13"/>
      <c r="D324" s="13"/>
    </row>
    <row r="325" spans="1:4" ht="13" x14ac:dyDescent="0.15">
      <c r="A325" s="10"/>
      <c r="B325" s="13"/>
      <c r="C325" s="13"/>
      <c r="D325" s="13"/>
    </row>
    <row r="326" spans="1:4" ht="13" x14ac:dyDescent="0.15">
      <c r="A326" s="10"/>
      <c r="B326" s="13"/>
      <c r="C326" s="13"/>
      <c r="D326" s="13"/>
    </row>
    <row r="327" spans="1:4" ht="13" x14ac:dyDescent="0.15">
      <c r="A327" s="10"/>
      <c r="B327" s="13"/>
      <c r="C327" s="13"/>
      <c r="D327" s="13"/>
    </row>
    <row r="328" spans="1:4" ht="13" x14ac:dyDescent="0.15">
      <c r="A328" s="10"/>
      <c r="B328" s="13"/>
      <c r="C328" s="13"/>
      <c r="D328" s="13"/>
    </row>
    <row r="329" spans="1:4" ht="13" x14ac:dyDescent="0.15">
      <c r="A329" s="10"/>
      <c r="B329" s="13"/>
      <c r="C329" s="13"/>
      <c r="D329" s="13"/>
    </row>
    <row r="330" spans="1:4" ht="13" x14ac:dyDescent="0.15">
      <c r="A330" s="10"/>
      <c r="B330" s="13"/>
      <c r="C330" s="13"/>
      <c r="D330" s="13"/>
    </row>
    <row r="331" spans="1:4" ht="13" x14ac:dyDescent="0.15">
      <c r="A331" s="10"/>
      <c r="B331" s="13"/>
      <c r="C331" s="13"/>
      <c r="D331" s="13"/>
    </row>
    <row r="332" spans="1:4" ht="13" x14ac:dyDescent="0.15">
      <c r="A332" s="10"/>
      <c r="B332" s="13"/>
      <c r="C332" s="13"/>
      <c r="D332" s="13"/>
    </row>
    <row r="333" spans="1:4" ht="13" x14ac:dyDescent="0.15">
      <c r="A333" s="10"/>
      <c r="B333" s="13"/>
      <c r="C333" s="13"/>
      <c r="D333" s="13"/>
    </row>
    <row r="334" spans="1:4" ht="13" x14ac:dyDescent="0.15">
      <c r="A334" s="10"/>
      <c r="B334" s="13"/>
      <c r="C334" s="13"/>
      <c r="D334" s="13"/>
    </row>
    <row r="335" spans="1:4" ht="13" x14ac:dyDescent="0.15">
      <c r="A335" s="10"/>
      <c r="B335" s="13"/>
      <c r="C335" s="13"/>
      <c r="D335" s="13"/>
    </row>
    <row r="336" spans="1:4" ht="13" x14ac:dyDescent="0.15">
      <c r="A336" s="10"/>
      <c r="B336" s="13"/>
      <c r="C336" s="13"/>
      <c r="D336" s="13"/>
    </row>
    <row r="337" spans="1:4" ht="13" x14ac:dyDescent="0.15">
      <c r="A337" s="10"/>
      <c r="B337" s="13"/>
      <c r="C337" s="13"/>
      <c r="D337" s="13"/>
    </row>
    <row r="338" spans="1:4" ht="13" x14ac:dyDescent="0.15">
      <c r="A338" s="10"/>
      <c r="B338" s="13"/>
      <c r="C338" s="13"/>
      <c r="D338" s="13"/>
    </row>
    <row r="339" spans="1:4" ht="13" x14ac:dyDescent="0.15">
      <c r="A339" s="10"/>
      <c r="B339" s="13"/>
      <c r="C339" s="13"/>
      <c r="D339" s="13"/>
    </row>
    <row r="340" spans="1:4" ht="13" x14ac:dyDescent="0.15">
      <c r="A340" s="10"/>
      <c r="B340" s="13"/>
      <c r="C340" s="13"/>
      <c r="D340" s="13"/>
    </row>
    <row r="341" spans="1:4" ht="13" x14ac:dyDescent="0.15">
      <c r="A341" s="10"/>
      <c r="B341" s="13"/>
      <c r="C341" s="13"/>
      <c r="D341" s="13"/>
    </row>
    <row r="342" spans="1:4" ht="13" x14ac:dyDescent="0.15">
      <c r="A342" s="10"/>
      <c r="B342" s="13"/>
      <c r="C342" s="13"/>
      <c r="D342" s="13"/>
    </row>
    <row r="343" spans="1:4" ht="13" x14ac:dyDescent="0.15">
      <c r="A343" s="10"/>
      <c r="B343" s="13"/>
      <c r="C343" s="13"/>
      <c r="D343" s="13"/>
    </row>
    <row r="344" spans="1:4" ht="13" x14ac:dyDescent="0.15">
      <c r="A344" s="10"/>
      <c r="B344" s="13"/>
      <c r="C344" s="13"/>
      <c r="D344" s="13"/>
    </row>
    <row r="345" spans="1:4" ht="13" x14ac:dyDescent="0.15">
      <c r="A345" s="10"/>
      <c r="B345" s="13"/>
      <c r="C345" s="13"/>
      <c r="D345" s="13"/>
    </row>
    <row r="346" spans="1:4" ht="13" x14ac:dyDescent="0.15">
      <c r="A346" s="10"/>
      <c r="B346" s="13"/>
      <c r="C346" s="13"/>
      <c r="D346" s="13"/>
    </row>
    <row r="347" spans="1:4" ht="13" x14ac:dyDescent="0.15">
      <c r="A347" s="10"/>
      <c r="B347" s="13"/>
      <c r="C347" s="13"/>
      <c r="D347" s="13"/>
    </row>
    <row r="348" spans="1:4" ht="13" x14ac:dyDescent="0.15">
      <c r="A348" s="10"/>
      <c r="B348" s="13"/>
      <c r="C348" s="13"/>
      <c r="D348" s="13"/>
    </row>
    <row r="349" spans="1:4" ht="13" x14ac:dyDescent="0.15">
      <c r="A349" s="10"/>
      <c r="B349" s="13"/>
      <c r="C349" s="13"/>
      <c r="D349" s="13"/>
    </row>
    <row r="350" spans="1:4" ht="13" x14ac:dyDescent="0.15">
      <c r="A350" s="10"/>
      <c r="B350" s="13"/>
      <c r="C350" s="13"/>
      <c r="D350" s="13"/>
    </row>
    <row r="351" spans="1:4" ht="13" x14ac:dyDescent="0.15">
      <c r="A351" s="10"/>
      <c r="B351" s="13"/>
      <c r="C351" s="13"/>
      <c r="D351" s="13"/>
    </row>
    <row r="352" spans="1:4" ht="13" x14ac:dyDescent="0.15">
      <c r="A352" s="10"/>
      <c r="B352" s="13"/>
      <c r="C352" s="13"/>
      <c r="D352" s="13"/>
    </row>
    <row r="353" spans="1:4" ht="13" x14ac:dyDescent="0.15">
      <c r="A353" s="10"/>
      <c r="B353" s="13"/>
      <c r="C353" s="13"/>
      <c r="D353" s="13"/>
    </row>
    <row r="354" spans="1:4" ht="13" x14ac:dyDescent="0.15">
      <c r="A354" s="10"/>
      <c r="B354" s="13"/>
      <c r="C354" s="13"/>
      <c r="D354" s="13"/>
    </row>
    <row r="355" spans="1:4" ht="13" x14ac:dyDescent="0.15">
      <c r="A355" s="10"/>
      <c r="B355" s="13"/>
      <c r="C355" s="13"/>
      <c r="D355" s="13"/>
    </row>
    <row r="356" spans="1:4" ht="13" x14ac:dyDescent="0.15">
      <c r="A356" s="10"/>
      <c r="B356" s="13"/>
      <c r="C356" s="13"/>
      <c r="D356" s="13"/>
    </row>
    <row r="357" spans="1:4" ht="13" x14ac:dyDescent="0.15">
      <c r="A357" s="10"/>
      <c r="B357" s="13"/>
      <c r="C357" s="13"/>
      <c r="D357" s="13"/>
    </row>
    <row r="358" spans="1:4" ht="13" x14ac:dyDescent="0.15">
      <c r="A358" s="10"/>
      <c r="B358" s="13"/>
      <c r="C358" s="13"/>
      <c r="D358" s="13"/>
    </row>
    <row r="359" spans="1:4" ht="13" x14ac:dyDescent="0.15">
      <c r="A359" s="10"/>
      <c r="B359" s="13"/>
      <c r="C359" s="13"/>
      <c r="D359" s="13"/>
    </row>
    <row r="360" spans="1:4" ht="13" x14ac:dyDescent="0.15">
      <c r="A360" s="10"/>
      <c r="B360" s="13"/>
      <c r="C360" s="13"/>
      <c r="D360" s="13"/>
    </row>
    <row r="361" spans="1:4" ht="13" x14ac:dyDescent="0.15">
      <c r="A361" s="10"/>
      <c r="B361" s="13"/>
      <c r="C361" s="13"/>
      <c r="D361" s="13"/>
    </row>
    <row r="362" spans="1:4" ht="13" x14ac:dyDescent="0.15">
      <c r="A362" s="10"/>
      <c r="B362" s="13"/>
      <c r="C362" s="13"/>
      <c r="D362" s="13"/>
    </row>
    <row r="363" spans="1:4" ht="13" x14ac:dyDescent="0.15">
      <c r="A363" s="10"/>
      <c r="B363" s="13"/>
      <c r="C363" s="13"/>
      <c r="D363" s="13"/>
    </row>
    <row r="364" spans="1:4" ht="13" x14ac:dyDescent="0.15">
      <c r="A364" s="10"/>
      <c r="B364" s="13"/>
      <c r="C364" s="13"/>
      <c r="D364" s="13"/>
    </row>
    <row r="365" spans="1:4" ht="13" x14ac:dyDescent="0.15">
      <c r="A365" s="10"/>
      <c r="B365" s="13"/>
      <c r="C365" s="13"/>
      <c r="D365" s="13"/>
    </row>
    <row r="366" spans="1:4" ht="13" x14ac:dyDescent="0.15">
      <c r="A366" s="10"/>
      <c r="B366" s="13"/>
      <c r="C366" s="13"/>
      <c r="D366" s="13"/>
    </row>
    <row r="367" spans="1:4" ht="13" x14ac:dyDescent="0.15">
      <c r="A367" s="10"/>
      <c r="B367" s="13"/>
      <c r="C367" s="13"/>
      <c r="D367" s="13"/>
    </row>
    <row r="368" spans="1:4" ht="13" x14ac:dyDescent="0.15">
      <c r="A368" s="10"/>
      <c r="B368" s="13"/>
      <c r="C368" s="13"/>
      <c r="D368" s="13"/>
    </row>
    <row r="369" spans="1:4" ht="13" x14ac:dyDescent="0.15">
      <c r="A369" s="10"/>
      <c r="B369" s="13"/>
      <c r="C369" s="13"/>
      <c r="D369" s="13"/>
    </row>
    <row r="370" spans="1:4" ht="13" x14ac:dyDescent="0.15">
      <c r="A370" s="10"/>
      <c r="B370" s="13"/>
      <c r="C370" s="13"/>
      <c r="D370" s="13"/>
    </row>
    <row r="371" spans="1:4" ht="13" x14ac:dyDescent="0.15">
      <c r="A371" s="10"/>
      <c r="B371" s="13"/>
      <c r="C371" s="13"/>
      <c r="D371" s="13"/>
    </row>
    <row r="372" spans="1:4" ht="13" x14ac:dyDescent="0.15">
      <c r="A372" s="10"/>
      <c r="B372" s="13"/>
      <c r="C372" s="13"/>
      <c r="D372" s="13"/>
    </row>
    <row r="373" spans="1:4" ht="13" x14ac:dyDescent="0.15">
      <c r="A373" s="10"/>
      <c r="B373" s="13"/>
      <c r="C373" s="13"/>
      <c r="D373" s="13"/>
    </row>
    <row r="374" spans="1:4" ht="13" x14ac:dyDescent="0.15">
      <c r="A374" s="10"/>
      <c r="B374" s="13"/>
      <c r="C374" s="13"/>
      <c r="D374" s="13"/>
    </row>
    <row r="375" spans="1:4" ht="13" x14ac:dyDescent="0.15">
      <c r="A375" s="10"/>
      <c r="B375" s="13"/>
      <c r="C375" s="13"/>
      <c r="D375" s="13"/>
    </row>
    <row r="376" spans="1:4" ht="13" x14ac:dyDescent="0.15">
      <c r="A376" s="10"/>
      <c r="B376" s="13"/>
      <c r="C376" s="13"/>
      <c r="D376" s="13"/>
    </row>
    <row r="377" spans="1:4" ht="13" x14ac:dyDescent="0.15">
      <c r="A377" s="10"/>
      <c r="B377" s="13"/>
      <c r="C377" s="13"/>
      <c r="D377" s="13"/>
    </row>
    <row r="378" spans="1:4" ht="13" x14ac:dyDescent="0.15">
      <c r="A378" s="10"/>
      <c r="B378" s="13"/>
      <c r="C378" s="13"/>
      <c r="D378" s="13"/>
    </row>
    <row r="379" spans="1:4" ht="13" x14ac:dyDescent="0.15">
      <c r="A379" s="10"/>
      <c r="B379" s="13"/>
      <c r="C379" s="13"/>
      <c r="D379" s="13"/>
    </row>
    <row r="380" spans="1:4" ht="13" x14ac:dyDescent="0.15">
      <c r="A380" s="10"/>
      <c r="B380" s="13"/>
      <c r="C380" s="13"/>
      <c r="D380" s="13"/>
    </row>
    <row r="381" spans="1:4" ht="13" x14ac:dyDescent="0.15">
      <c r="A381" s="10"/>
      <c r="B381" s="13"/>
      <c r="C381" s="13"/>
      <c r="D381" s="13"/>
    </row>
    <row r="382" spans="1:4" ht="13" x14ac:dyDescent="0.15">
      <c r="A382" s="10"/>
      <c r="B382" s="13"/>
      <c r="C382" s="13"/>
      <c r="D382" s="13"/>
    </row>
    <row r="383" spans="1:4" ht="13" x14ac:dyDescent="0.15">
      <c r="A383" s="10"/>
      <c r="B383" s="13"/>
      <c r="C383" s="13"/>
      <c r="D383" s="13"/>
    </row>
    <row r="384" spans="1:4" ht="13" x14ac:dyDescent="0.15">
      <c r="A384" s="10"/>
      <c r="B384" s="13"/>
      <c r="C384" s="13"/>
      <c r="D384" s="13"/>
    </row>
    <row r="385" spans="1:4" ht="13" x14ac:dyDescent="0.15">
      <c r="A385" s="10"/>
      <c r="B385" s="13"/>
      <c r="C385" s="13"/>
      <c r="D385" s="13"/>
    </row>
    <row r="386" spans="1:4" ht="13" x14ac:dyDescent="0.15">
      <c r="A386" s="10"/>
      <c r="B386" s="13"/>
      <c r="C386" s="13"/>
      <c r="D386" s="13"/>
    </row>
    <row r="387" spans="1:4" ht="13" x14ac:dyDescent="0.15">
      <c r="A387" s="10"/>
      <c r="B387" s="13"/>
      <c r="C387" s="13"/>
      <c r="D387" s="13"/>
    </row>
    <row r="388" spans="1:4" ht="13" x14ac:dyDescent="0.15">
      <c r="A388" s="10"/>
      <c r="B388" s="13"/>
      <c r="C388" s="13"/>
      <c r="D388" s="13"/>
    </row>
    <row r="389" spans="1:4" ht="13" x14ac:dyDescent="0.15">
      <c r="A389" s="10"/>
      <c r="B389" s="13"/>
      <c r="C389" s="13"/>
      <c r="D389" s="13"/>
    </row>
    <row r="390" spans="1:4" ht="13" x14ac:dyDescent="0.15">
      <c r="A390" s="10"/>
      <c r="B390" s="13"/>
      <c r="C390" s="13"/>
      <c r="D390" s="13"/>
    </row>
    <row r="391" spans="1:4" ht="13" x14ac:dyDescent="0.15">
      <c r="A391" s="10"/>
      <c r="B391" s="13"/>
      <c r="C391" s="13"/>
      <c r="D391" s="13"/>
    </row>
    <row r="392" spans="1:4" ht="13" x14ac:dyDescent="0.15">
      <c r="A392" s="10"/>
      <c r="B392" s="13"/>
      <c r="C392" s="13"/>
      <c r="D392" s="13"/>
    </row>
    <row r="393" spans="1:4" ht="13" x14ac:dyDescent="0.15">
      <c r="A393" s="10"/>
      <c r="B393" s="13"/>
      <c r="C393" s="13"/>
      <c r="D393" s="13"/>
    </row>
    <row r="394" spans="1:4" ht="13" x14ac:dyDescent="0.15">
      <c r="A394" s="10"/>
      <c r="B394" s="13"/>
      <c r="C394" s="13"/>
      <c r="D394" s="13"/>
    </row>
    <row r="395" spans="1:4" ht="13" x14ac:dyDescent="0.15">
      <c r="A395" s="10"/>
      <c r="B395" s="13"/>
      <c r="C395" s="13"/>
      <c r="D395" s="13"/>
    </row>
    <row r="396" spans="1:4" ht="13" x14ac:dyDescent="0.15">
      <c r="A396" s="10"/>
      <c r="B396" s="13"/>
      <c r="C396" s="13"/>
      <c r="D396" s="13"/>
    </row>
    <row r="397" spans="1:4" ht="13" x14ac:dyDescent="0.15">
      <c r="A397" s="10"/>
      <c r="B397" s="13"/>
      <c r="C397" s="13"/>
      <c r="D397" s="13"/>
    </row>
    <row r="398" spans="1:4" ht="13" x14ac:dyDescent="0.15">
      <c r="A398" s="10"/>
      <c r="B398" s="13"/>
      <c r="C398" s="13"/>
      <c r="D398" s="13"/>
    </row>
    <row r="399" spans="1:4" ht="13" x14ac:dyDescent="0.15">
      <c r="A399" s="10"/>
      <c r="B399" s="13"/>
      <c r="C399" s="13"/>
      <c r="D399" s="13"/>
    </row>
    <row r="400" spans="1:4" ht="13" x14ac:dyDescent="0.15">
      <c r="A400" s="10"/>
      <c r="B400" s="13"/>
      <c r="C400" s="13"/>
      <c r="D400" s="13"/>
    </row>
    <row r="401" spans="1:4" ht="13" x14ac:dyDescent="0.15">
      <c r="A401" s="10"/>
      <c r="B401" s="13"/>
      <c r="C401" s="13"/>
      <c r="D401" s="13"/>
    </row>
    <row r="402" spans="1:4" ht="13" x14ac:dyDescent="0.15">
      <c r="A402" s="10"/>
      <c r="B402" s="13"/>
      <c r="C402" s="13"/>
      <c r="D402" s="13"/>
    </row>
    <row r="403" spans="1:4" ht="13" x14ac:dyDescent="0.15">
      <c r="A403" s="10"/>
      <c r="B403" s="13"/>
      <c r="C403" s="13"/>
      <c r="D403" s="13"/>
    </row>
    <row r="404" spans="1:4" ht="13" x14ac:dyDescent="0.15">
      <c r="A404" s="10"/>
      <c r="B404" s="13"/>
      <c r="C404" s="13"/>
      <c r="D404" s="13"/>
    </row>
    <row r="405" spans="1:4" ht="13" x14ac:dyDescent="0.15">
      <c r="A405" s="10"/>
      <c r="B405" s="13"/>
      <c r="C405" s="13"/>
      <c r="D405" s="13"/>
    </row>
    <row r="406" spans="1:4" ht="13" x14ac:dyDescent="0.15">
      <c r="A406" s="10"/>
      <c r="B406" s="13"/>
      <c r="C406" s="13"/>
      <c r="D406" s="13"/>
    </row>
    <row r="407" spans="1:4" ht="13" x14ac:dyDescent="0.15">
      <c r="A407" s="10"/>
      <c r="B407" s="13"/>
      <c r="C407" s="13"/>
      <c r="D407" s="13"/>
    </row>
    <row r="408" spans="1:4" ht="13" x14ac:dyDescent="0.15">
      <c r="A408" s="10"/>
      <c r="B408" s="13"/>
      <c r="C408" s="13"/>
      <c r="D408" s="13"/>
    </row>
    <row r="409" spans="1:4" ht="13" x14ac:dyDescent="0.15">
      <c r="A409" s="10"/>
      <c r="B409" s="13"/>
      <c r="C409" s="13"/>
      <c r="D409" s="13"/>
    </row>
    <row r="410" spans="1:4" ht="13" x14ac:dyDescent="0.15">
      <c r="A410" s="10"/>
      <c r="B410" s="13"/>
      <c r="C410" s="13"/>
      <c r="D410" s="13"/>
    </row>
    <row r="411" spans="1:4" ht="13" x14ac:dyDescent="0.15">
      <c r="A411" s="10"/>
      <c r="B411" s="13"/>
      <c r="C411" s="13"/>
      <c r="D411" s="13"/>
    </row>
    <row r="412" spans="1:4" ht="13" x14ac:dyDescent="0.15">
      <c r="A412" s="10"/>
      <c r="B412" s="13"/>
      <c r="C412" s="13"/>
      <c r="D412" s="13"/>
    </row>
    <row r="413" spans="1:4" ht="13" x14ac:dyDescent="0.15">
      <c r="A413" s="10"/>
      <c r="B413" s="13"/>
      <c r="C413" s="13"/>
      <c r="D413" s="13"/>
    </row>
    <row r="414" spans="1:4" ht="13" x14ac:dyDescent="0.15">
      <c r="A414" s="10"/>
      <c r="B414" s="13"/>
      <c r="C414" s="13"/>
      <c r="D414" s="13"/>
    </row>
    <row r="415" spans="1:4" ht="13" x14ac:dyDescent="0.15">
      <c r="A415" s="10"/>
      <c r="B415" s="13"/>
      <c r="C415" s="13"/>
      <c r="D415" s="13"/>
    </row>
    <row r="416" spans="1:4" ht="13" x14ac:dyDescent="0.15">
      <c r="A416" s="10"/>
      <c r="B416" s="13"/>
      <c r="C416" s="13"/>
      <c r="D416" s="13"/>
    </row>
    <row r="417" spans="1:4" ht="13" x14ac:dyDescent="0.15">
      <c r="A417" s="10"/>
      <c r="B417" s="13"/>
      <c r="C417" s="13"/>
      <c r="D417" s="13"/>
    </row>
    <row r="418" spans="1:4" ht="13" x14ac:dyDescent="0.15">
      <c r="A418" s="10"/>
      <c r="B418" s="13"/>
      <c r="C418" s="13"/>
      <c r="D418" s="13"/>
    </row>
    <row r="419" spans="1:4" ht="13" x14ac:dyDescent="0.15">
      <c r="A419" s="10"/>
      <c r="B419" s="13"/>
      <c r="C419" s="13"/>
      <c r="D419" s="13"/>
    </row>
    <row r="420" spans="1:4" ht="13" x14ac:dyDescent="0.15">
      <c r="A420" s="10"/>
      <c r="B420" s="13"/>
      <c r="C420" s="13"/>
      <c r="D420" s="13"/>
    </row>
    <row r="421" spans="1:4" ht="13" x14ac:dyDescent="0.15">
      <c r="A421" s="10"/>
      <c r="B421" s="13"/>
      <c r="C421" s="13"/>
      <c r="D421" s="13"/>
    </row>
    <row r="422" spans="1:4" ht="13" x14ac:dyDescent="0.15">
      <c r="A422" s="10"/>
      <c r="B422" s="13"/>
      <c r="C422" s="13"/>
      <c r="D422" s="13"/>
    </row>
    <row r="423" spans="1:4" ht="13" x14ac:dyDescent="0.15">
      <c r="A423" s="10"/>
      <c r="B423" s="13"/>
      <c r="C423" s="13"/>
      <c r="D423" s="13"/>
    </row>
    <row r="424" spans="1:4" ht="13" x14ac:dyDescent="0.15">
      <c r="A424" s="10"/>
      <c r="B424" s="13"/>
      <c r="C424" s="13"/>
      <c r="D424" s="13"/>
    </row>
    <row r="425" spans="1:4" ht="13" x14ac:dyDescent="0.15">
      <c r="A425" s="10"/>
      <c r="B425" s="13"/>
      <c r="C425" s="13"/>
      <c r="D425" s="13"/>
    </row>
    <row r="426" spans="1:4" ht="13" x14ac:dyDescent="0.15">
      <c r="A426" s="10"/>
      <c r="B426" s="13"/>
      <c r="C426" s="13"/>
      <c r="D426" s="13"/>
    </row>
    <row r="427" spans="1:4" ht="13" x14ac:dyDescent="0.15">
      <c r="A427" s="10"/>
      <c r="B427" s="13"/>
      <c r="C427" s="13"/>
      <c r="D427" s="13"/>
    </row>
    <row r="428" spans="1:4" ht="13" x14ac:dyDescent="0.15">
      <c r="A428" s="10"/>
      <c r="B428" s="13"/>
      <c r="C428" s="13"/>
      <c r="D428" s="13"/>
    </row>
    <row r="429" spans="1:4" ht="13" x14ac:dyDescent="0.15">
      <c r="A429" s="10"/>
      <c r="B429" s="13"/>
      <c r="C429" s="13"/>
      <c r="D429" s="13"/>
    </row>
    <row r="430" spans="1:4" ht="13" x14ac:dyDescent="0.15">
      <c r="A430" s="10"/>
      <c r="B430" s="13"/>
      <c r="C430" s="13"/>
      <c r="D430" s="13"/>
    </row>
    <row r="431" spans="1:4" ht="13" x14ac:dyDescent="0.15">
      <c r="A431" s="10"/>
      <c r="B431" s="13"/>
      <c r="C431" s="13"/>
      <c r="D431" s="13"/>
    </row>
    <row r="432" spans="1:4" ht="13" x14ac:dyDescent="0.15">
      <c r="A432" s="10"/>
      <c r="B432" s="13"/>
      <c r="C432" s="13"/>
      <c r="D432" s="13"/>
    </row>
    <row r="433" spans="1:4" ht="13" x14ac:dyDescent="0.15">
      <c r="A433" s="10"/>
      <c r="B433" s="13"/>
      <c r="C433" s="13"/>
      <c r="D433" s="13"/>
    </row>
    <row r="434" spans="1:4" ht="13" x14ac:dyDescent="0.15">
      <c r="A434" s="10"/>
      <c r="B434" s="13"/>
      <c r="C434" s="13"/>
      <c r="D434" s="13"/>
    </row>
    <row r="435" spans="1:4" ht="13" x14ac:dyDescent="0.15">
      <c r="A435" s="10"/>
      <c r="B435" s="13"/>
      <c r="C435" s="13"/>
      <c r="D435" s="13"/>
    </row>
    <row r="436" spans="1:4" ht="13" x14ac:dyDescent="0.15">
      <c r="A436" s="10"/>
      <c r="B436" s="13"/>
      <c r="C436" s="13"/>
      <c r="D436" s="13"/>
    </row>
    <row r="437" spans="1:4" ht="13" x14ac:dyDescent="0.15">
      <c r="A437" s="10"/>
      <c r="B437" s="13"/>
      <c r="C437" s="13"/>
      <c r="D437" s="13"/>
    </row>
    <row r="438" spans="1:4" ht="13" x14ac:dyDescent="0.15">
      <c r="A438" s="10"/>
      <c r="B438" s="13"/>
      <c r="C438" s="13"/>
      <c r="D438" s="13"/>
    </row>
    <row r="439" spans="1:4" ht="13" x14ac:dyDescent="0.15">
      <c r="A439" s="10"/>
      <c r="B439" s="13"/>
      <c r="C439" s="13"/>
      <c r="D439" s="13"/>
    </row>
    <row r="440" spans="1:4" ht="13" x14ac:dyDescent="0.15">
      <c r="A440" s="10"/>
      <c r="B440" s="13"/>
      <c r="C440" s="13"/>
      <c r="D440" s="13"/>
    </row>
    <row r="441" spans="1:4" ht="13" x14ac:dyDescent="0.15">
      <c r="A441" s="10"/>
      <c r="B441" s="13"/>
      <c r="C441" s="13"/>
      <c r="D441" s="13"/>
    </row>
    <row r="442" spans="1:4" ht="13" x14ac:dyDescent="0.15">
      <c r="A442" s="10"/>
      <c r="B442" s="13"/>
      <c r="C442" s="13"/>
      <c r="D442" s="13"/>
    </row>
    <row r="443" spans="1:4" ht="13" x14ac:dyDescent="0.15">
      <c r="A443" s="10"/>
      <c r="B443" s="13"/>
      <c r="C443" s="13"/>
      <c r="D443" s="13"/>
    </row>
    <row r="444" spans="1:4" ht="13" x14ac:dyDescent="0.15">
      <c r="A444" s="10"/>
      <c r="B444" s="13"/>
      <c r="C444" s="13"/>
      <c r="D444" s="13"/>
    </row>
    <row r="445" spans="1:4" ht="13" x14ac:dyDescent="0.15">
      <c r="A445" s="10"/>
      <c r="B445" s="13"/>
      <c r="C445" s="13"/>
      <c r="D445" s="13"/>
    </row>
    <row r="446" spans="1:4" ht="13" x14ac:dyDescent="0.15">
      <c r="A446" s="10"/>
      <c r="B446" s="13"/>
      <c r="C446" s="13"/>
      <c r="D446" s="13"/>
    </row>
    <row r="447" spans="1:4" ht="13" x14ac:dyDescent="0.15">
      <c r="A447" s="10"/>
      <c r="B447" s="13"/>
      <c r="C447" s="13"/>
      <c r="D447" s="13"/>
    </row>
    <row r="448" spans="1:4" ht="13" x14ac:dyDescent="0.15">
      <c r="A448" s="10"/>
      <c r="B448" s="13"/>
      <c r="C448" s="13"/>
      <c r="D448" s="13"/>
    </row>
    <row r="449" spans="1:4" ht="13" x14ac:dyDescent="0.15">
      <c r="A449" s="10"/>
      <c r="B449" s="13"/>
      <c r="C449" s="13"/>
      <c r="D449" s="13"/>
    </row>
    <row r="450" spans="1:4" ht="13" x14ac:dyDescent="0.15">
      <c r="A450" s="10"/>
      <c r="B450" s="13"/>
      <c r="C450" s="13"/>
      <c r="D450" s="13"/>
    </row>
    <row r="451" spans="1:4" ht="13" x14ac:dyDescent="0.15">
      <c r="A451" s="10"/>
      <c r="B451" s="13"/>
      <c r="C451" s="13"/>
      <c r="D451" s="13"/>
    </row>
    <row r="452" spans="1:4" ht="13" x14ac:dyDescent="0.15">
      <c r="A452" s="10"/>
      <c r="B452" s="13"/>
      <c r="C452" s="13"/>
      <c r="D452" s="13"/>
    </row>
    <row r="453" spans="1:4" ht="13" x14ac:dyDescent="0.15">
      <c r="A453" s="10"/>
      <c r="B453" s="13"/>
      <c r="C453" s="13"/>
      <c r="D453" s="13"/>
    </row>
    <row r="454" spans="1:4" ht="13" x14ac:dyDescent="0.15">
      <c r="A454" s="10"/>
      <c r="B454" s="13"/>
      <c r="C454" s="13"/>
      <c r="D454" s="13"/>
    </row>
    <row r="455" spans="1:4" ht="13" x14ac:dyDescent="0.15">
      <c r="A455" s="10"/>
      <c r="B455" s="13"/>
      <c r="C455" s="13"/>
      <c r="D455" s="13"/>
    </row>
    <row r="456" spans="1:4" ht="13" x14ac:dyDescent="0.15">
      <c r="A456" s="10"/>
      <c r="B456" s="13"/>
      <c r="C456" s="13"/>
      <c r="D456" s="13"/>
    </row>
    <row r="457" spans="1:4" ht="13" x14ac:dyDescent="0.15">
      <c r="A457" s="10"/>
      <c r="B457" s="13"/>
      <c r="C457" s="13"/>
      <c r="D457" s="13"/>
    </row>
    <row r="458" spans="1:4" ht="13" x14ac:dyDescent="0.15">
      <c r="A458" s="10"/>
      <c r="B458" s="13"/>
      <c r="C458" s="13"/>
      <c r="D458" s="13"/>
    </row>
    <row r="459" spans="1:4" ht="13" x14ac:dyDescent="0.15">
      <c r="A459" s="10"/>
      <c r="B459" s="13"/>
      <c r="C459" s="13"/>
      <c r="D459" s="13"/>
    </row>
    <row r="460" spans="1:4" ht="13" x14ac:dyDescent="0.15">
      <c r="A460" s="10"/>
      <c r="B460" s="13"/>
      <c r="C460" s="13"/>
      <c r="D460" s="13"/>
    </row>
    <row r="461" spans="1:4" ht="13" x14ac:dyDescent="0.15">
      <c r="A461" s="10"/>
      <c r="B461" s="13"/>
      <c r="C461" s="13"/>
      <c r="D461" s="13"/>
    </row>
    <row r="462" spans="1:4" ht="13" x14ac:dyDescent="0.15">
      <c r="A462" s="10"/>
      <c r="B462" s="13"/>
      <c r="C462" s="13"/>
      <c r="D462" s="13"/>
    </row>
    <row r="463" spans="1:4" ht="13" x14ac:dyDescent="0.15">
      <c r="A463" s="10"/>
      <c r="B463" s="13"/>
      <c r="C463" s="13"/>
      <c r="D463" s="13"/>
    </row>
    <row r="464" spans="1:4" ht="13" x14ac:dyDescent="0.15">
      <c r="A464" s="10"/>
      <c r="B464" s="13"/>
      <c r="C464" s="13"/>
      <c r="D464" s="13"/>
    </row>
    <row r="465" spans="1:4" ht="13" x14ac:dyDescent="0.15">
      <c r="A465" s="10"/>
      <c r="B465" s="13"/>
      <c r="C465" s="13"/>
      <c r="D465" s="13"/>
    </row>
    <row r="466" spans="1:4" ht="13" x14ac:dyDescent="0.15">
      <c r="A466" s="10"/>
      <c r="B466" s="13"/>
      <c r="C466" s="13"/>
      <c r="D466" s="13"/>
    </row>
    <row r="467" spans="1:4" ht="13" x14ac:dyDescent="0.15">
      <c r="A467" s="10"/>
      <c r="B467" s="13"/>
      <c r="C467" s="13"/>
      <c r="D467" s="13"/>
    </row>
    <row r="468" spans="1:4" ht="13" x14ac:dyDescent="0.15">
      <c r="A468" s="10"/>
      <c r="B468" s="13"/>
      <c r="C468" s="13"/>
      <c r="D468" s="13"/>
    </row>
    <row r="469" spans="1:4" ht="13" x14ac:dyDescent="0.15">
      <c r="A469" s="10"/>
      <c r="B469" s="13"/>
      <c r="C469" s="13"/>
      <c r="D469" s="13"/>
    </row>
    <row r="470" spans="1:4" ht="13" x14ac:dyDescent="0.15">
      <c r="A470" s="10"/>
      <c r="B470" s="13"/>
      <c r="C470" s="13"/>
      <c r="D470" s="13"/>
    </row>
    <row r="471" spans="1:4" ht="13" x14ac:dyDescent="0.15">
      <c r="A471" s="10"/>
      <c r="B471" s="13"/>
      <c r="C471" s="13"/>
      <c r="D471" s="13"/>
    </row>
    <row r="472" spans="1:4" ht="13" x14ac:dyDescent="0.15">
      <c r="A472" s="10"/>
      <c r="B472" s="13"/>
      <c r="C472" s="13"/>
      <c r="D472" s="13"/>
    </row>
    <row r="473" spans="1:4" ht="13" x14ac:dyDescent="0.15">
      <c r="A473" s="10"/>
      <c r="B473" s="13"/>
      <c r="C473" s="13"/>
      <c r="D473" s="13"/>
    </row>
    <row r="474" spans="1:4" ht="13" x14ac:dyDescent="0.15">
      <c r="A474" s="10"/>
      <c r="B474" s="13"/>
      <c r="C474" s="13"/>
      <c r="D474" s="13"/>
    </row>
    <row r="475" spans="1:4" ht="13" x14ac:dyDescent="0.15">
      <c r="A475" s="10"/>
      <c r="B475" s="13"/>
      <c r="C475" s="13"/>
      <c r="D475" s="13"/>
    </row>
    <row r="476" spans="1:4" ht="13" x14ac:dyDescent="0.15">
      <c r="A476" s="10"/>
      <c r="B476" s="13"/>
      <c r="C476" s="13"/>
      <c r="D476" s="13"/>
    </row>
    <row r="477" spans="1:4" ht="13" x14ac:dyDescent="0.15">
      <c r="A477" s="10"/>
      <c r="B477" s="13"/>
      <c r="C477" s="13"/>
      <c r="D477" s="13"/>
    </row>
    <row r="478" spans="1:4" ht="13" x14ac:dyDescent="0.15">
      <c r="A478" s="10"/>
      <c r="B478" s="13"/>
      <c r="C478" s="13"/>
      <c r="D478" s="13"/>
    </row>
    <row r="479" spans="1:4" ht="13" x14ac:dyDescent="0.15">
      <c r="A479" s="10"/>
      <c r="B479" s="13"/>
      <c r="C479" s="13"/>
      <c r="D479" s="13"/>
    </row>
    <row r="480" spans="1:4" ht="13" x14ac:dyDescent="0.15">
      <c r="A480" s="10"/>
      <c r="B480" s="13"/>
      <c r="C480" s="13"/>
      <c r="D480" s="13"/>
    </row>
    <row r="481" spans="1:4" ht="13" x14ac:dyDescent="0.15">
      <c r="A481" s="10"/>
      <c r="B481" s="13"/>
      <c r="C481" s="13"/>
      <c r="D481" s="13"/>
    </row>
    <row r="482" spans="1:4" ht="13" x14ac:dyDescent="0.15">
      <c r="A482" s="10"/>
      <c r="B482" s="13"/>
      <c r="C482" s="13"/>
      <c r="D482" s="13"/>
    </row>
    <row r="483" spans="1:4" ht="13" x14ac:dyDescent="0.15">
      <c r="A483" s="10"/>
      <c r="B483" s="13"/>
      <c r="C483" s="13"/>
      <c r="D483" s="13"/>
    </row>
    <row r="484" spans="1:4" ht="13" x14ac:dyDescent="0.15">
      <c r="A484" s="10"/>
      <c r="B484" s="13"/>
      <c r="C484" s="13"/>
      <c r="D484" s="13"/>
    </row>
    <row r="485" spans="1:4" ht="13" x14ac:dyDescent="0.15">
      <c r="A485" s="10"/>
      <c r="B485" s="13"/>
      <c r="C485" s="13"/>
      <c r="D485" s="13"/>
    </row>
    <row r="486" spans="1:4" ht="13" x14ac:dyDescent="0.15">
      <c r="A486" s="10"/>
      <c r="B486" s="13"/>
      <c r="C486" s="13"/>
      <c r="D486" s="13"/>
    </row>
    <row r="487" spans="1:4" ht="13" x14ac:dyDescent="0.15">
      <c r="A487" s="10"/>
      <c r="B487" s="13"/>
      <c r="C487" s="13"/>
      <c r="D487" s="13"/>
    </row>
    <row r="488" spans="1:4" ht="13" x14ac:dyDescent="0.15">
      <c r="A488" s="10"/>
      <c r="B488" s="13"/>
      <c r="C488" s="13"/>
      <c r="D488" s="13"/>
    </row>
    <row r="489" spans="1:4" ht="13" x14ac:dyDescent="0.15">
      <c r="A489" s="10"/>
      <c r="B489" s="13"/>
      <c r="C489" s="13"/>
      <c r="D489" s="13"/>
    </row>
    <row r="490" spans="1:4" ht="13" x14ac:dyDescent="0.15">
      <c r="A490" s="10"/>
      <c r="B490" s="13"/>
      <c r="C490" s="13"/>
      <c r="D490" s="13"/>
    </row>
    <row r="491" spans="1:4" ht="13" x14ac:dyDescent="0.15">
      <c r="A491" s="10"/>
      <c r="B491" s="13"/>
      <c r="C491" s="13"/>
      <c r="D491" s="13"/>
    </row>
    <row r="492" spans="1:4" ht="13" x14ac:dyDescent="0.15">
      <c r="A492" s="10"/>
      <c r="B492" s="13"/>
      <c r="C492" s="13"/>
      <c r="D492" s="13"/>
    </row>
    <row r="493" spans="1:4" ht="13" x14ac:dyDescent="0.15">
      <c r="A493" s="10"/>
      <c r="B493" s="13"/>
      <c r="C493" s="13"/>
      <c r="D493" s="13"/>
    </row>
    <row r="494" spans="1:4" ht="13" x14ac:dyDescent="0.15">
      <c r="A494" s="10"/>
      <c r="B494" s="13"/>
      <c r="C494" s="13"/>
      <c r="D494" s="13"/>
    </row>
    <row r="495" spans="1:4" ht="13" x14ac:dyDescent="0.15">
      <c r="A495" s="10"/>
      <c r="B495" s="13"/>
      <c r="C495" s="13"/>
      <c r="D495" s="13"/>
    </row>
    <row r="496" spans="1:4" ht="13" x14ac:dyDescent="0.15">
      <c r="A496" s="10"/>
      <c r="B496" s="13"/>
      <c r="C496" s="13"/>
      <c r="D496" s="13"/>
    </row>
    <row r="497" spans="1:4" ht="13" x14ac:dyDescent="0.15">
      <c r="A497" s="10"/>
      <c r="B497" s="13"/>
      <c r="C497" s="13"/>
      <c r="D497" s="13"/>
    </row>
    <row r="498" spans="1:4" ht="13" x14ac:dyDescent="0.15">
      <c r="A498" s="10"/>
      <c r="B498" s="13"/>
      <c r="C498" s="13"/>
      <c r="D498" s="13"/>
    </row>
    <row r="499" spans="1:4" ht="13" x14ac:dyDescent="0.15">
      <c r="A499" s="10"/>
      <c r="B499" s="13"/>
      <c r="C499" s="13"/>
      <c r="D499" s="13"/>
    </row>
    <row r="500" spans="1:4" ht="13" x14ac:dyDescent="0.15">
      <c r="A500" s="10"/>
      <c r="B500" s="13"/>
      <c r="C500" s="13"/>
      <c r="D500" s="13"/>
    </row>
    <row r="501" spans="1:4" ht="13" x14ac:dyDescent="0.15">
      <c r="A501" s="10"/>
      <c r="B501" s="13"/>
      <c r="C501" s="13"/>
      <c r="D501" s="13"/>
    </row>
    <row r="502" spans="1:4" ht="13" x14ac:dyDescent="0.15">
      <c r="A502" s="10"/>
      <c r="B502" s="13"/>
      <c r="C502" s="13"/>
      <c r="D502" s="13"/>
    </row>
    <row r="503" spans="1:4" ht="13" x14ac:dyDescent="0.15">
      <c r="A503" s="10"/>
      <c r="B503" s="13"/>
      <c r="C503" s="13"/>
      <c r="D503" s="13"/>
    </row>
    <row r="504" spans="1:4" ht="13" x14ac:dyDescent="0.15">
      <c r="A504" s="10"/>
      <c r="B504" s="13"/>
      <c r="C504" s="13"/>
      <c r="D504" s="13"/>
    </row>
    <row r="505" spans="1:4" ht="13" x14ac:dyDescent="0.15">
      <c r="A505" s="10"/>
      <c r="B505" s="13"/>
      <c r="C505" s="13"/>
      <c r="D505" s="13"/>
    </row>
    <row r="506" spans="1:4" ht="13" x14ac:dyDescent="0.15">
      <c r="A506" s="10"/>
      <c r="B506" s="13"/>
      <c r="C506" s="13"/>
      <c r="D506" s="13"/>
    </row>
    <row r="507" spans="1:4" ht="13" x14ac:dyDescent="0.15">
      <c r="A507" s="10"/>
      <c r="B507" s="13"/>
      <c r="C507" s="13"/>
      <c r="D507" s="13"/>
    </row>
    <row r="508" spans="1:4" ht="13" x14ac:dyDescent="0.15">
      <c r="A508" s="10"/>
      <c r="B508" s="13"/>
      <c r="C508" s="13"/>
      <c r="D508" s="13"/>
    </row>
    <row r="509" spans="1:4" ht="13" x14ac:dyDescent="0.15">
      <c r="A509" s="10"/>
      <c r="B509" s="13"/>
      <c r="C509" s="13"/>
      <c r="D509" s="13"/>
    </row>
    <row r="510" spans="1:4" ht="13" x14ac:dyDescent="0.15">
      <c r="A510" s="10"/>
      <c r="B510" s="13"/>
      <c r="C510" s="13"/>
      <c r="D510" s="13"/>
    </row>
    <row r="511" spans="1:4" ht="13" x14ac:dyDescent="0.15">
      <c r="A511" s="10"/>
      <c r="B511" s="13"/>
      <c r="C511" s="13"/>
      <c r="D511" s="13"/>
    </row>
    <row r="512" spans="1:4" ht="13" x14ac:dyDescent="0.15">
      <c r="A512" s="10"/>
      <c r="B512" s="13"/>
      <c r="C512" s="13"/>
      <c r="D512" s="13"/>
    </row>
    <row r="513" spans="1:4" ht="13" x14ac:dyDescent="0.15">
      <c r="A513" s="10"/>
      <c r="B513" s="13"/>
      <c r="C513" s="13"/>
      <c r="D513" s="13"/>
    </row>
    <row r="514" spans="1:4" ht="13" x14ac:dyDescent="0.15">
      <c r="A514" s="10"/>
      <c r="B514" s="13"/>
      <c r="C514" s="13"/>
      <c r="D514" s="13"/>
    </row>
    <row r="515" spans="1:4" ht="13" x14ac:dyDescent="0.15">
      <c r="A515" s="10"/>
      <c r="B515" s="13"/>
      <c r="C515" s="13"/>
      <c r="D515" s="13"/>
    </row>
    <row r="516" spans="1:4" ht="13" x14ac:dyDescent="0.15">
      <c r="A516" s="10"/>
      <c r="B516" s="13"/>
      <c r="C516" s="13"/>
      <c r="D516" s="13"/>
    </row>
    <row r="517" spans="1:4" ht="13" x14ac:dyDescent="0.15">
      <c r="A517" s="10"/>
      <c r="B517" s="13"/>
      <c r="C517" s="13"/>
      <c r="D517" s="13"/>
    </row>
    <row r="518" spans="1:4" ht="13" x14ac:dyDescent="0.15">
      <c r="A518" s="10"/>
      <c r="B518" s="13"/>
      <c r="C518" s="13"/>
      <c r="D518" s="13"/>
    </row>
    <row r="519" spans="1:4" ht="13" x14ac:dyDescent="0.15">
      <c r="A519" s="10"/>
      <c r="B519" s="13"/>
      <c r="C519" s="13"/>
      <c r="D519" s="13"/>
    </row>
    <row r="520" spans="1:4" ht="13" x14ac:dyDescent="0.15">
      <c r="A520" s="10"/>
      <c r="B520" s="13"/>
      <c r="C520" s="13"/>
      <c r="D520" s="13"/>
    </row>
    <row r="521" spans="1:4" ht="13" x14ac:dyDescent="0.15">
      <c r="A521" s="10"/>
      <c r="B521" s="13"/>
      <c r="C521" s="13"/>
      <c r="D521" s="13"/>
    </row>
    <row r="522" spans="1:4" ht="13" x14ac:dyDescent="0.15">
      <c r="A522" s="10"/>
      <c r="B522" s="13"/>
      <c r="C522" s="13"/>
      <c r="D522" s="13"/>
    </row>
    <row r="523" spans="1:4" ht="13" x14ac:dyDescent="0.15">
      <c r="A523" s="10"/>
      <c r="B523" s="13"/>
      <c r="C523" s="13"/>
      <c r="D523" s="13"/>
    </row>
    <row r="524" spans="1:4" ht="13" x14ac:dyDescent="0.15">
      <c r="A524" s="10"/>
      <c r="B524" s="13"/>
      <c r="C524" s="13"/>
      <c r="D524" s="13"/>
    </row>
    <row r="525" spans="1:4" ht="13" x14ac:dyDescent="0.15">
      <c r="A525" s="10"/>
      <c r="B525" s="13"/>
      <c r="C525" s="13"/>
      <c r="D525" s="13"/>
    </row>
    <row r="526" spans="1:4" ht="13" x14ac:dyDescent="0.15">
      <c r="A526" s="10"/>
      <c r="B526" s="13"/>
      <c r="C526" s="13"/>
      <c r="D526" s="13"/>
    </row>
    <row r="527" spans="1:4" ht="13" x14ac:dyDescent="0.15">
      <c r="A527" s="10"/>
      <c r="B527" s="13"/>
      <c r="C527" s="13"/>
      <c r="D527" s="13"/>
    </row>
    <row r="528" spans="1:4" ht="13" x14ac:dyDescent="0.15">
      <c r="A528" s="10"/>
      <c r="B528" s="13"/>
      <c r="C528" s="13"/>
      <c r="D528" s="13"/>
    </row>
    <row r="529" spans="1:4" ht="13" x14ac:dyDescent="0.15">
      <c r="A529" s="10"/>
      <c r="B529" s="13"/>
      <c r="C529" s="13"/>
      <c r="D529" s="13"/>
    </row>
    <row r="530" spans="1:4" ht="13" x14ac:dyDescent="0.15">
      <c r="A530" s="10"/>
      <c r="B530" s="13"/>
      <c r="C530" s="13"/>
      <c r="D530" s="13"/>
    </row>
    <row r="531" spans="1:4" ht="13" x14ac:dyDescent="0.15">
      <c r="A531" s="10"/>
      <c r="B531" s="13"/>
      <c r="C531" s="13"/>
      <c r="D531" s="13"/>
    </row>
    <row r="532" spans="1:4" ht="13" x14ac:dyDescent="0.15">
      <c r="A532" s="10"/>
      <c r="B532" s="13"/>
      <c r="C532" s="13"/>
      <c r="D532" s="13"/>
    </row>
    <row r="533" spans="1:4" ht="13" x14ac:dyDescent="0.15">
      <c r="A533" s="10"/>
      <c r="B533" s="13"/>
      <c r="C533" s="13"/>
      <c r="D533" s="13"/>
    </row>
    <row r="534" spans="1:4" ht="13" x14ac:dyDescent="0.15">
      <c r="A534" s="10"/>
      <c r="B534" s="13"/>
      <c r="C534" s="13"/>
      <c r="D534" s="13"/>
    </row>
    <row r="535" spans="1:4" ht="13" x14ac:dyDescent="0.15">
      <c r="A535" s="10"/>
      <c r="B535" s="13"/>
      <c r="C535" s="13"/>
      <c r="D535" s="13"/>
    </row>
    <row r="536" spans="1:4" ht="13" x14ac:dyDescent="0.15">
      <c r="A536" s="10"/>
      <c r="B536" s="13"/>
      <c r="C536" s="13"/>
      <c r="D536" s="13"/>
    </row>
    <row r="537" spans="1:4" ht="13" x14ac:dyDescent="0.15">
      <c r="A537" s="10"/>
      <c r="B537" s="13"/>
      <c r="C537" s="13"/>
      <c r="D537" s="13"/>
    </row>
    <row r="538" spans="1:4" ht="13" x14ac:dyDescent="0.15">
      <c r="A538" s="10"/>
      <c r="B538" s="13"/>
      <c r="C538" s="13"/>
      <c r="D538" s="13"/>
    </row>
    <row r="539" spans="1:4" ht="13" x14ac:dyDescent="0.15">
      <c r="A539" s="10"/>
      <c r="B539" s="13"/>
      <c r="C539" s="13"/>
      <c r="D539" s="13"/>
    </row>
    <row r="540" spans="1:4" ht="13" x14ac:dyDescent="0.15">
      <c r="A540" s="10"/>
      <c r="B540" s="13"/>
      <c r="C540" s="13"/>
      <c r="D540" s="13"/>
    </row>
    <row r="541" spans="1:4" ht="13" x14ac:dyDescent="0.15">
      <c r="A541" s="10"/>
      <c r="B541" s="13"/>
      <c r="C541" s="13"/>
      <c r="D541" s="13"/>
    </row>
    <row r="542" spans="1:4" ht="13" x14ac:dyDescent="0.15">
      <c r="A542" s="10"/>
      <c r="B542" s="13"/>
      <c r="C542" s="13"/>
      <c r="D542" s="13"/>
    </row>
    <row r="543" spans="1:4" ht="13" x14ac:dyDescent="0.15">
      <c r="A543" s="10"/>
      <c r="B543" s="13"/>
      <c r="C543" s="13"/>
      <c r="D543" s="13"/>
    </row>
    <row r="544" spans="1:4" ht="13" x14ac:dyDescent="0.15">
      <c r="A544" s="10"/>
      <c r="B544" s="13"/>
      <c r="C544" s="13"/>
      <c r="D544" s="13"/>
    </row>
    <row r="545" spans="1:4" ht="13" x14ac:dyDescent="0.15">
      <c r="A545" s="10"/>
      <c r="B545" s="13"/>
      <c r="C545" s="13"/>
      <c r="D545" s="13"/>
    </row>
    <row r="546" spans="1:4" ht="13" x14ac:dyDescent="0.15">
      <c r="A546" s="10"/>
      <c r="B546" s="13"/>
      <c r="C546" s="13"/>
      <c r="D546" s="13"/>
    </row>
    <row r="547" spans="1:4" ht="13" x14ac:dyDescent="0.15">
      <c r="A547" s="10"/>
      <c r="B547" s="13"/>
      <c r="C547" s="13"/>
      <c r="D547" s="13"/>
    </row>
    <row r="548" spans="1:4" ht="13" x14ac:dyDescent="0.15">
      <c r="A548" s="10"/>
      <c r="B548" s="13"/>
      <c r="C548" s="13"/>
      <c r="D548" s="13"/>
    </row>
    <row r="549" spans="1:4" ht="13" x14ac:dyDescent="0.15">
      <c r="A549" s="10"/>
      <c r="B549" s="13"/>
      <c r="C549" s="13"/>
      <c r="D549" s="13"/>
    </row>
    <row r="550" spans="1:4" ht="13" x14ac:dyDescent="0.15">
      <c r="A550" s="10"/>
      <c r="B550" s="13"/>
      <c r="C550" s="13"/>
      <c r="D550" s="13"/>
    </row>
    <row r="551" spans="1:4" ht="13" x14ac:dyDescent="0.15">
      <c r="A551" s="10"/>
      <c r="B551" s="13"/>
      <c r="C551" s="13"/>
      <c r="D551" s="13"/>
    </row>
    <row r="552" spans="1:4" ht="13" x14ac:dyDescent="0.15">
      <c r="A552" s="10"/>
      <c r="B552" s="13"/>
      <c r="C552" s="13"/>
      <c r="D552" s="13"/>
    </row>
    <row r="553" spans="1:4" ht="13" x14ac:dyDescent="0.15">
      <c r="A553" s="10"/>
      <c r="B553" s="13"/>
      <c r="C553" s="13"/>
      <c r="D553" s="13"/>
    </row>
    <row r="554" spans="1:4" ht="13" x14ac:dyDescent="0.15">
      <c r="A554" s="10"/>
      <c r="B554" s="13"/>
      <c r="C554" s="13"/>
      <c r="D554" s="13"/>
    </row>
    <row r="555" spans="1:4" ht="13" x14ac:dyDescent="0.15">
      <c r="A555" s="10"/>
      <c r="B555" s="13"/>
      <c r="C555" s="13"/>
      <c r="D555" s="13"/>
    </row>
    <row r="556" spans="1:4" ht="13" x14ac:dyDescent="0.15">
      <c r="A556" s="10"/>
      <c r="B556" s="13"/>
      <c r="C556" s="13"/>
      <c r="D556" s="13"/>
    </row>
    <row r="557" spans="1:4" ht="13" x14ac:dyDescent="0.15">
      <c r="A557" s="10"/>
      <c r="B557" s="13"/>
      <c r="C557" s="13"/>
      <c r="D557" s="13"/>
    </row>
    <row r="558" spans="1:4" ht="13" x14ac:dyDescent="0.15">
      <c r="A558" s="10"/>
      <c r="B558" s="13"/>
      <c r="C558" s="13"/>
      <c r="D558" s="13"/>
    </row>
    <row r="559" spans="1:4" ht="13" x14ac:dyDescent="0.15">
      <c r="A559" s="10"/>
      <c r="B559" s="13"/>
      <c r="C559" s="13"/>
      <c r="D559" s="13"/>
    </row>
    <row r="560" spans="1:4" ht="13" x14ac:dyDescent="0.15">
      <c r="A560" s="10"/>
      <c r="B560" s="13"/>
      <c r="C560" s="13"/>
      <c r="D560" s="13"/>
    </row>
    <row r="561" spans="1:4" ht="13" x14ac:dyDescent="0.15">
      <c r="A561" s="10"/>
      <c r="B561" s="13"/>
      <c r="C561" s="13"/>
      <c r="D561" s="13"/>
    </row>
    <row r="562" spans="1:4" ht="13" x14ac:dyDescent="0.15">
      <c r="A562" s="10"/>
      <c r="B562" s="13"/>
      <c r="C562" s="13"/>
      <c r="D562" s="13"/>
    </row>
    <row r="563" spans="1:4" ht="13" x14ac:dyDescent="0.15">
      <c r="A563" s="10"/>
      <c r="B563" s="13"/>
      <c r="C563" s="13"/>
      <c r="D563" s="13"/>
    </row>
    <row r="564" spans="1:4" ht="13" x14ac:dyDescent="0.15">
      <c r="A564" s="10"/>
      <c r="B564" s="13"/>
      <c r="C564" s="13"/>
      <c r="D564" s="13"/>
    </row>
    <row r="565" spans="1:4" ht="13" x14ac:dyDescent="0.15">
      <c r="A565" s="10"/>
      <c r="B565" s="13"/>
      <c r="C565" s="13"/>
      <c r="D565" s="13"/>
    </row>
    <row r="566" spans="1:4" ht="13" x14ac:dyDescent="0.15">
      <c r="A566" s="10"/>
      <c r="B566" s="13"/>
      <c r="C566" s="13"/>
      <c r="D566" s="13"/>
    </row>
    <row r="567" spans="1:4" ht="13" x14ac:dyDescent="0.15">
      <c r="A567" s="10"/>
      <c r="B567" s="13"/>
      <c r="C567" s="13"/>
      <c r="D567" s="13"/>
    </row>
    <row r="568" spans="1:4" ht="13" x14ac:dyDescent="0.15">
      <c r="A568" s="10"/>
      <c r="B568" s="13"/>
      <c r="C568" s="13"/>
      <c r="D568" s="13"/>
    </row>
    <row r="569" spans="1:4" ht="13" x14ac:dyDescent="0.15">
      <c r="A569" s="10"/>
      <c r="B569" s="13"/>
      <c r="C569" s="13"/>
      <c r="D569" s="13"/>
    </row>
    <row r="570" spans="1:4" ht="13" x14ac:dyDescent="0.15">
      <c r="A570" s="10"/>
      <c r="B570" s="13"/>
      <c r="C570" s="13"/>
      <c r="D570" s="13"/>
    </row>
    <row r="571" spans="1:4" ht="13" x14ac:dyDescent="0.15">
      <c r="A571" s="10"/>
      <c r="B571" s="13"/>
      <c r="C571" s="13"/>
      <c r="D571" s="13"/>
    </row>
    <row r="572" spans="1:4" ht="13" x14ac:dyDescent="0.15">
      <c r="A572" s="10"/>
      <c r="B572" s="13"/>
      <c r="C572" s="13"/>
      <c r="D572" s="13"/>
    </row>
    <row r="573" spans="1:4" ht="13" x14ac:dyDescent="0.15">
      <c r="A573" s="10"/>
      <c r="B573" s="13"/>
      <c r="C573" s="13"/>
      <c r="D573" s="13"/>
    </row>
    <row r="574" spans="1:4" ht="13" x14ac:dyDescent="0.15">
      <c r="A574" s="10"/>
      <c r="B574" s="13"/>
      <c r="C574" s="13"/>
      <c r="D574" s="13"/>
    </row>
    <row r="575" spans="1:4" ht="13" x14ac:dyDescent="0.15">
      <c r="A575" s="10"/>
      <c r="B575" s="13"/>
      <c r="C575" s="13"/>
      <c r="D575" s="13"/>
    </row>
    <row r="576" spans="1:4" ht="13" x14ac:dyDescent="0.15">
      <c r="A576" s="10"/>
      <c r="B576" s="13"/>
      <c r="C576" s="13"/>
      <c r="D576" s="13"/>
    </row>
    <row r="577" spans="1:4" ht="13" x14ac:dyDescent="0.15">
      <c r="A577" s="10"/>
      <c r="B577" s="13"/>
      <c r="C577" s="13"/>
      <c r="D577" s="13"/>
    </row>
    <row r="578" spans="1:4" ht="13" x14ac:dyDescent="0.15">
      <c r="A578" s="10"/>
      <c r="B578" s="13"/>
      <c r="C578" s="13"/>
      <c r="D578" s="13"/>
    </row>
    <row r="579" spans="1:4" ht="13" x14ac:dyDescent="0.15">
      <c r="A579" s="10"/>
      <c r="B579" s="13"/>
      <c r="C579" s="13"/>
      <c r="D579" s="13"/>
    </row>
    <row r="580" spans="1:4" ht="13" x14ac:dyDescent="0.15">
      <c r="A580" s="10"/>
      <c r="B580" s="13"/>
      <c r="C580" s="13"/>
      <c r="D580" s="13"/>
    </row>
    <row r="581" spans="1:4" ht="13" x14ac:dyDescent="0.15">
      <c r="A581" s="10"/>
      <c r="B581" s="13"/>
      <c r="C581" s="13"/>
      <c r="D581" s="13"/>
    </row>
    <row r="582" spans="1:4" ht="13" x14ac:dyDescent="0.15">
      <c r="A582" s="10"/>
      <c r="B582" s="13"/>
      <c r="C582" s="13"/>
      <c r="D582" s="13"/>
    </row>
    <row r="583" spans="1:4" ht="13" x14ac:dyDescent="0.15">
      <c r="A583" s="10"/>
      <c r="B583" s="13"/>
      <c r="C583" s="13"/>
      <c r="D583" s="13"/>
    </row>
    <row r="584" spans="1:4" ht="13" x14ac:dyDescent="0.15">
      <c r="A584" s="10"/>
      <c r="B584" s="13"/>
      <c r="C584" s="13"/>
      <c r="D584" s="13"/>
    </row>
    <row r="585" spans="1:4" ht="13" x14ac:dyDescent="0.15">
      <c r="A585" s="10"/>
      <c r="B585" s="13"/>
      <c r="C585" s="13"/>
      <c r="D585" s="13"/>
    </row>
    <row r="586" spans="1:4" ht="13" x14ac:dyDescent="0.15">
      <c r="A586" s="10"/>
      <c r="B586" s="13"/>
      <c r="C586" s="13"/>
      <c r="D586" s="13"/>
    </row>
    <row r="587" spans="1:4" ht="13" x14ac:dyDescent="0.15">
      <c r="A587" s="10"/>
      <c r="B587" s="13"/>
      <c r="C587" s="13"/>
      <c r="D587" s="13"/>
    </row>
    <row r="588" spans="1:4" ht="13" x14ac:dyDescent="0.15">
      <c r="A588" s="10"/>
      <c r="B588" s="13"/>
      <c r="C588" s="13"/>
      <c r="D588" s="13"/>
    </row>
    <row r="589" spans="1:4" ht="13" x14ac:dyDescent="0.15">
      <c r="A589" s="10"/>
      <c r="B589" s="13"/>
      <c r="C589" s="13"/>
      <c r="D589" s="13"/>
    </row>
    <row r="590" spans="1:4" ht="13" x14ac:dyDescent="0.15">
      <c r="A590" s="10"/>
      <c r="B590" s="13"/>
      <c r="C590" s="13"/>
      <c r="D590" s="13"/>
    </row>
    <row r="591" spans="1:4" ht="13" x14ac:dyDescent="0.15">
      <c r="A591" s="10"/>
      <c r="B591" s="13"/>
      <c r="C591" s="13"/>
      <c r="D591" s="13"/>
    </row>
    <row r="592" spans="1:4" ht="13" x14ac:dyDescent="0.15">
      <c r="A592" s="10"/>
      <c r="B592" s="13"/>
      <c r="C592" s="13"/>
      <c r="D592" s="13"/>
    </row>
    <row r="593" spans="1:4" ht="13" x14ac:dyDescent="0.15">
      <c r="A593" s="10"/>
      <c r="B593" s="13"/>
      <c r="C593" s="13"/>
      <c r="D593" s="13"/>
    </row>
    <row r="594" spans="1:4" ht="13" x14ac:dyDescent="0.15">
      <c r="A594" s="10"/>
      <c r="B594" s="13"/>
      <c r="C594" s="13"/>
      <c r="D594" s="13"/>
    </row>
    <row r="595" spans="1:4" ht="13" x14ac:dyDescent="0.15">
      <c r="A595" s="10"/>
      <c r="B595" s="13"/>
      <c r="C595" s="13"/>
      <c r="D595" s="13"/>
    </row>
    <row r="596" spans="1:4" ht="13" x14ac:dyDescent="0.15">
      <c r="A596" s="10"/>
      <c r="B596" s="13"/>
      <c r="C596" s="13"/>
      <c r="D596" s="13"/>
    </row>
    <row r="597" spans="1:4" ht="13" x14ac:dyDescent="0.15">
      <c r="A597" s="10"/>
      <c r="B597" s="13"/>
      <c r="C597" s="13"/>
      <c r="D597" s="13"/>
    </row>
    <row r="598" spans="1:4" ht="13" x14ac:dyDescent="0.15">
      <c r="A598" s="10"/>
      <c r="B598" s="13"/>
      <c r="C598" s="13"/>
      <c r="D598" s="13"/>
    </row>
    <row r="599" spans="1:4" ht="13" x14ac:dyDescent="0.15">
      <c r="A599" s="10"/>
      <c r="B599" s="13"/>
      <c r="C599" s="13"/>
      <c r="D599" s="13"/>
    </row>
    <row r="600" spans="1:4" ht="13" x14ac:dyDescent="0.15">
      <c r="A600" s="10"/>
      <c r="B600" s="13"/>
      <c r="C600" s="13"/>
      <c r="D600" s="13"/>
    </row>
    <row r="601" spans="1:4" ht="13" x14ac:dyDescent="0.15">
      <c r="A601" s="10"/>
      <c r="B601" s="13"/>
      <c r="C601" s="13"/>
      <c r="D601" s="13"/>
    </row>
    <row r="602" spans="1:4" ht="13" x14ac:dyDescent="0.15">
      <c r="A602" s="10"/>
      <c r="B602" s="13"/>
      <c r="C602" s="13"/>
      <c r="D602" s="13"/>
    </row>
    <row r="603" spans="1:4" ht="13" x14ac:dyDescent="0.15">
      <c r="A603" s="10"/>
      <c r="B603" s="13"/>
      <c r="C603" s="13"/>
      <c r="D603" s="13"/>
    </row>
    <row r="604" spans="1:4" ht="13" x14ac:dyDescent="0.15">
      <c r="A604" s="10"/>
      <c r="B604" s="13"/>
      <c r="C604" s="13"/>
      <c r="D604" s="13"/>
    </row>
    <row r="605" spans="1:4" ht="13" x14ac:dyDescent="0.15">
      <c r="A605" s="10"/>
      <c r="B605" s="13"/>
      <c r="C605" s="13"/>
      <c r="D605" s="13"/>
    </row>
    <row r="606" spans="1:4" ht="13" x14ac:dyDescent="0.15">
      <c r="A606" s="10"/>
      <c r="B606" s="13"/>
      <c r="C606" s="13"/>
      <c r="D606" s="13"/>
    </row>
    <row r="607" spans="1:4" ht="13" x14ac:dyDescent="0.15">
      <c r="A607" s="10"/>
      <c r="B607" s="13"/>
      <c r="C607" s="13"/>
      <c r="D607" s="13"/>
    </row>
    <row r="608" spans="1:4" ht="13" x14ac:dyDescent="0.15">
      <c r="A608" s="10"/>
      <c r="B608" s="13"/>
      <c r="C608" s="13"/>
      <c r="D608" s="13"/>
    </row>
    <row r="609" spans="1:4" ht="13" x14ac:dyDescent="0.15">
      <c r="A609" s="10"/>
      <c r="B609" s="13"/>
      <c r="C609" s="13"/>
      <c r="D609" s="13"/>
    </row>
    <row r="610" spans="1:4" ht="13" x14ac:dyDescent="0.15">
      <c r="A610" s="10"/>
      <c r="B610" s="13"/>
      <c r="C610" s="13"/>
      <c r="D610" s="13"/>
    </row>
    <row r="611" spans="1:4" ht="13" x14ac:dyDescent="0.15">
      <c r="A611" s="10"/>
      <c r="B611" s="13"/>
      <c r="C611" s="13"/>
      <c r="D611" s="13"/>
    </row>
    <row r="612" spans="1:4" ht="13" x14ac:dyDescent="0.15">
      <c r="A612" s="10"/>
      <c r="B612" s="13"/>
      <c r="C612" s="13"/>
      <c r="D612" s="13"/>
    </row>
    <row r="613" spans="1:4" ht="13" x14ac:dyDescent="0.15">
      <c r="A613" s="10"/>
      <c r="B613" s="13"/>
      <c r="C613" s="13"/>
      <c r="D613" s="13"/>
    </row>
    <row r="614" spans="1:4" ht="13" x14ac:dyDescent="0.15">
      <c r="A614" s="10"/>
      <c r="B614" s="13"/>
      <c r="C614" s="13"/>
      <c r="D614" s="13"/>
    </row>
    <row r="615" spans="1:4" ht="13" x14ac:dyDescent="0.15">
      <c r="A615" s="10"/>
      <c r="B615" s="13"/>
      <c r="C615" s="13"/>
      <c r="D615" s="13"/>
    </row>
    <row r="616" spans="1:4" ht="13" x14ac:dyDescent="0.15">
      <c r="A616" s="10"/>
      <c r="B616" s="13"/>
      <c r="C616" s="13"/>
      <c r="D616" s="13"/>
    </row>
    <row r="617" spans="1:4" ht="13" x14ac:dyDescent="0.15">
      <c r="A617" s="10"/>
      <c r="B617" s="13"/>
      <c r="C617" s="13"/>
      <c r="D617" s="13"/>
    </row>
    <row r="618" spans="1:4" ht="13" x14ac:dyDescent="0.15">
      <c r="A618" s="10"/>
      <c r="B618" s="13"/>
      <c r="C618" s="13"/>
      <c r="D618" s="13"/>
    </row>
    <row r="619" spans="1:4" ht="13" x14ac:dyDescent="0.15">
      <c r="A619" s="10"/>
      <c r="B619" s="13"/>
      <c r="C619" s="13"/>
      <c r="D619" s="13"/>
    </row>
    <row r="620" spans="1:4" ht="13" x14ac:dyDescent="0.15">
      <c r="A620" s="10"/>
      <c r="B620" s="13"/>
      <c r="C620" s="13"/>
      <c r="D620" s="13"/>
    </row>
    <row r="621" spans="1:4" ht="13" x14ac:dyDescent="0.15">
      <c r="A621" s="10"/>
      <c r="B621" s="13"/>
      <c r="C621" s="13"/>
      <c r="D621" s="13"/>
    </row>
    <row r="622" spans="1:4" ht="13" x14ac:dyDescent="0.15">
      <c r="A622" s="10"/>
      <c r="B622" s="13"/>
      <c r="C622" s="13"/>
      <c r="D622" s="13"/>
    </row>
    <row r="623" spans="1:4" ht="13" x14ac:dyDescent="0.15">
      <c r="A623" s="10"/>
      <c r="B623" s="13"/>
      <c r="C623" s="13"/>
      <c r="D623" s="13"/>
    </row>
    <row r="624" spans="1:4" ht="13" x14ac:dyDescent="0.15">
      <c r="A624" s="10"/>
      <c r="B624" s="13"/>
      <c r="C624" s="13"/>
      <c r="D624" s="13"/>
    </row>
    <row r="625" spans="1:4" ht="13" x14ac:dyDescent="0.15">
      <c r="A625" s="10"/>
      <c r="B625" s="13"/>
      <c r="C625" s="13"/>
      <c r="D625" s="13"/>
    </row>
    <row r="626" spans="1:4" ht="13" x14ac:dyDescent="0.15">
      <c r="A626" s="10"/>
      <c r="B626" s="13"/>
      <c r="C626" s="13"/>
      <c r="D626" s="13"/>
    </row>
    <row r="627" spans="1:4" ht="13" x14ac:dyDescent="0.15">
      <c r="A627" s="10"/>
      <c r="B627" s="13"/>
      <c r="C627" s="13"/>
      <c r="D627" s="13"/>
    </row>
    <row r="628" spans="1:4" ht="13" x14ac:dyDescent="0.15">
      <c r="A628" s="10"/>
      <c r="B628" s="13"/>
      <c r="C628" s="13"/>
      <c r="D628" s="13"/>
    </row>
    <row r="629" spans="1:4" ht="13" x14ac:dyDescent="0.15">
      <c r="A629" s="10"/>
      <c r="B629" s="13"/>
      <c r="C629" s="13"/>
      <c r="D629" s="13"/>
    </row>
    <row r="630" spans="1:4" ht="13" x14ac:dyDescent="0.15">
      <c r="A630" s="10"/>
      <c r="B630" s="13"/>
      <c r="C630" s="13"/>
      <c r="D630" s="13"/>
    </row>
    <row r="631" spans="1:4" ht="13" x14ac:dyDescent="0.15">
      <c r="A631" s="10"/>
      <c r="B631" s="13"/>
      <c r="C631" s="13"/>
      <c r="D631" s="13"/>
    </row>
    <row r="632" spans="1:4" ht="13" x14ac:dyDescent="0.15">
      <c r="A632" s="10"/>
      <c r="B632" s="13"/>
      <c r="C632" s="13"/>
      <c r="D632" s="13"/>
    </row>
    <row r="633" spans="1:4" ht="13" x14ac:dyDescent="0.15">
      <c r="A633" s="10"/>
      <c r="B633" s="13"/>
      <c r="C633" s="13"/>
      <c r="D633" s="13"/>
    </row>
    <row r="634" spans="1:4" ht="13" x14ac:dyDescent="0.15">
      <c r="A634" s="10"/>
      <c r="B634" s="13"/>
      <c r="C634" s="13"/>
      <c r="D634" s="13"/>
    </row>
    <row r="635" spans="1:4" ht="13" x14ac:dyDescent="0.15">
      <c r="A635" s="10"/>
      <c r="B635" s="13"/>
      <c r="C635" s="13"/>
      <c r="D635" s="13"/>
    </row>
    <row r="636" spans="1:4" ht="13" x14ac:dyDescent="0.15">
      <c r="A636" s="10"/>
      <c r="B636" s="13"/>
      <c r="C636" s="13"/>
      <c r="D636" s="13"/>
    </row>
    <row r="637" spans="1:4" ht="13" x14ac:dyDescent="0.15">
      <c r="A637" s="10"/>
      <c r="B637" s="13"/>
      <c r="C637" s="13"/>
      <c r="D637" s="13"/>
    </row>
    <row r="638" spans="1:4" ht="13" x14ac:dyDescent="0.15">
      <c r="A638" s="10"/>
      <c r="B638" s="13"/>
      <c r="C638" s="13"/>
      <c r="D638" s="13"/>
    </row>
    <row r="639" spans="1:4" ht="13" x14ac:dyDescent="0.15">
      <c r="A639" s="10"/>
      <c r="B639" s="13"/>
      <c r="C639" s="13"/>
      <c r="D639" s="13"/>
    </row>
    <row r="640" spans="1:4" ht="13" x14ac:dyDescent="0.15">
      <c r="A640" s="10"/>
      <c r="B640" s="13"/>
      <c r="C640" s="13"/>
      <c r="D640" s="13"/>
    </row>
    <row r="641" spans="1:4" ht="13" x14ac:dyDescent="0.15">
      <c r="A641" s="10"/>
      <c r="B641" s="13"/>
      <c r="C641" s="13"/>
      <c r="D641" s="13"/>
    </row>
    <row r="642" spans="1:4" ht="13" x14ac:dyDescent="0.15">
      <c r="A642" s="10"/>
      <c r="B642" s="13"/>
      <c r="C642" s="13"/>
      <c r="D642" s="13"/>
    </row>
    <row r="643" spans="1:4" ht="13" x14ac:dyDescent="0.15">
      <c r="A643" s="10"/>
      <c r="B643" s="13"/>
      <c r="C643" s="13"/>
      <c r="D643" s="13"/>
    </row>
    <row r="644" spans="1:4" ht="13" x14ac:dyDescent="0.15">
      <c r="A644" s="10"/>
      <c r="B644" s="13"/>
      <c r="C644" s="13"/>
      <c r="D644" s="13"/>
    </row>
    <row r="645" spans="1:4" ht="13" x14ac:dyDescent="0.15">
      <c r="A645" s="10"/>
      <c r="B645" s="13"/>
      <c r="C645" s="13"/>
      <c r="D645" s="13"/>
    </row>
    <row r="646" spans="1:4" ht="13" x14ac:dyDescent="0.15">
      <c r="A646" s="10"/>
      <c r="B646" s="13"/>
      <c r="C646" s="13"/>
      <c r="D646" s="13"/>
    </row>
    <row r="647" spans="1:4" ht="13" x14ac:dyDescent="0.15">
      <c r="A647" s="10"/>
      <c r="B647" s="13"/>
      <c r="C647" s="13"/>
      <c r="D647" s="13"/>
    </row>
    <row r="648" spans="1:4" ht="13" x14ac:dyDescent="0.15">
      <c r="A648" s="10"/>
      <c r="B648" s="13"/>
      <c r="C648" s="13"/>
      <c r="D648" s="13"/>
    </row>
    <row r="649" spans="1:4" ht="13" x14ac:dyDescent="0.15">
      <c r="A649" s="10"/>
      <c r="B649" s="13"/>
      <c r="C649" s="13"/>
      <c r="D649" s="13"/>
    </row>
    <row r="650" spans="1:4" ht="13" x14ac:dyDescent="0.15">
      <c r="A650" s="10"/>
      <c r="B650" s="13"/>
      <c r="C650" s="13"/>
      <c r="D650" s="13"/>
    </row>
    <row r="651" spans="1:4" ht="13" x14ac:dyDescent="0.15">
      <c r="A651" s="10"/>
      <c r="B651" s="13"/>
      <c r="C651" s="13"/>
      <c r="D651" s="13"/>
    </row>
    <row r="652" spans="1:4" ht="13" x14ac:dyDescent="0.15">
      <c r="A652" s="10"/>
      <c r="B652" s="13"/>
      <c r="C652" s="13"/>
      <c r="D652" s="13"/>
    </row>
    <row r="653" spans="1:4" ht="13" x14ac:dyDescent="0.15">
      <c r="A653" s="10"/>
      <c r="B653" s="13"/>
      <c r="C653" s="13"/>
      <c r="D653" s="13"/>
    </row>
    <row r="654" spans="1:4" ht="13" x14ac:dyDescent="0.15">
      <c r="A654" s="10"/>
      <c r="B654" s="13"/>
      <c r="C654" s="13"/>
      <c r="D654" s="13"/>
    </row>
    <row r="655" spans="1:4" ht="13" x14ac:dyDescent="0.15">
      <c r="A655" s="10"/>
      <c r="B655" s="13"/>
      <c r="C655" s="13"/>
      <c r="D655" s="13"/>
    </row>
    <row r="656" spans="1:4" ht="13" x14ac:dyDescent="0.15">
      <c r="A656" s="10"/>
      <c r="B656" s="13"/>
      <c r="C656" s="13"/>
      <c r="D656" s="13"/>
    </row>
    <row r="657" spans="1:4" ht="13" x14ac:dyDescent="0.15">
      <c r="A657" s="10"/>
      <c r="B657" s="13"/>
      <c r="C657" s="13"/>
      <c r="D657" s="13"/>
    </row>
    <row r="658" spans="1:4" ht="13" x14ac:dyDescent="0.15">
      <c r="A658" s="10"/>
      <c r="B658" s="13"/>
      <c r="C658" s="13"/>
      <c r="D658" s="13"/>
    </row>
    <row r="659" spans="1:4" ht="13" x14ac:dyDescent="0.15">
      <c r="A659" s="10"/>
      <c r="B659" s="13"/>
      <c r="C659" s="13"/>
      <c r="D659" s="13"/>
    </row>
    <row r="660" spans="1:4" ht="13" x14ac:dyDescent="0.15">
      <c r="A660" s="10"/>
      <c r="B660" s="13"/>
      <c r="C660" s="13"/>
      <c r="D660" s="13"/>
    </row>
    <row r="661" spans="1:4" ht="13" x14ac:dyDescent="0.15">
      <c r="A661" s="10"/>
      <c r="B661" s="13"/>
      <c r="C661" s="13"/>
      <c r="D661" s="13"/>
    </row>
    <row r="662" spans="1:4" ht="13" x14ac:dyDescent="0.15">
      <c r="A662" s="10"/>
      <c r="B662" s="13"/>
      <c r="C662" s="13"/>
      <c r="D662" s="13"/>
    </row>
    <row r="663" spans="1:4" ht="13" x14ac:dyDescent="0.15">
      <c r="A663" s="10"/>
      <c r="B663" s="13"/>
      <c r="C663" s="13"/>
      <c r="D663" s="13"/>
    </row>
    <row r="664" spans="1:4" ht="13" x14ac:dyDescent="0.15">
      <c r="A664" s="10"/>
      <c r="B664" s="13"/>
      <c r="C664" s="13"/>
      <c r="D664" s="13"/>
    </row>
    <row r="665" spans="1:4" ht="13" x14ac:dyDescent="0.15">
      <c r="A665" s="10"/>
      <c r="B665" s="13"/>
      <c r="C665" s="13"/>
      <c r="D665" s="13"/>
    </row>
    <row r="666" spans="1:4" ht="13" x14ac:dyDescent="0.15">
      <c r="A666" s="10"/>
      <c r="B666" s="13"/>
      <c r="C666" s="13"/>
      <c r="D666" s="13"/>
    </row>
    <row r="667" spans="1:4" ht="13" x14ac:dyDescent="0.15">
      <c r="A667" s="10"/>
      <c r="B667" s="13"/>
      <c r="C667" s="13"/>
      <c r="D667" s="13"/>
    </row>
    <row r="668" spans="1:4" ht="13" x14ac:dyDescent="0.15">
      <c r="A668" s="10"/>
      <c r="B668" s="13"/>
      <c r="C668" s="13"/>
      <c r="D668" s="13"/>
    </row>
    <row r="669" spans="1:4" ht="13" x14ac:dyDescent="0.15">
      <c r="A669" s="10"/>
      <c r="B669" s="13"/>
      <c r="C669" s="13"/>
      <c r="D669" s="13"/>
    </row>
    <row r="670" spans="1:4" ht="13" x14ac:dyDescent="0.15">
      <c r="A670" s="10"/>
      <c r="B670" s="13"/>
      <c r="C670" s="13"/>
      <c r="D670" s="13"/>
    </row>
    <row r="671" spans="1:4" ht="13" x14ac:dyDescent="0.15">
      <c r="A671" s="10"/>
      <c r="B671" s="13"/>
      <c r="C671" s="13"/>
      <c r="D671" s="13"/>
    </row>
    <row r="672" spans="1:4" ht="13" x14ac:dyDescent="0.15">
      <c r="A672" s="10"/>
      <c r="B672" s="13"/>
      <c r="C672" s="13"/>
      <c r="D672" s="13"/>
    </row>
    <row r="673" spans="1:4" ht="13" x14ac:dyDescent="0.15">
      <c r="A673" s="10"/>
      <c r="B673" s="13"/>
      <c r="C673" s="13"/>
      <c r="D673" s="13"/>
    </row>
    <row r="674" spans="1:4" ht="13" x14ac:dyDescent="0.15">
      <c r="A674" s="10"/>
      <c r="B674" s="13"/>
      <c r="C674" s="13"/>
      <c r="D674" s="13"/>
    </row>
    <row r="675" spans="1:4" ht="13" x14ac:dyDescent="0.15">
      <c r="A675" s="10"/>
      <c r="B675" s="13"/>
      <c r="C675" s="13"/>
      <c r="D675" s="13"/>
    </row>
    <row r="676" spans="1:4" ht="13" x14ac:dyDescent="0.15">
      <c r="A676" s="10"/>
      <c r="B676" s="13"/>
      <c r="C676" s="13"/>
      <c r="D676" s="13"/>
    </row>
    <row r="677" spans="1:4" ht="13" x14ac:dyDescent="0.15">
      <c r="A677" s="10"/>
      <c r="B677" s="13"/>
      <c r="C677" s="13"/>
      <c r="D677" s="13"/>
    </row>
    <row r="678" spans="1:4" ht="13" x14ac:dyDescent="0.15">
      <c r="A678" s="10"/>
      <c r="B678" s="13"/>
      <c r="C678" s="13"/>
      <c r="D678" s="13"/>
    </row>
    <row r="679" spans="1:4" ht="13" x14ac:dyDescent="0.15">
      <c r="A679" s="10"/>
      <c r="B679" s="13"/>
      <c r="C679" s="13"/>
      <c r="D679" s="13"/>
    </row>
    <row r="680" spans="1:4" ht="13" x14ac:dyDescent="0.15">
      <c r="A680" s="10"/>
      <c r="B680" s="13"/>
      <c r="C680" s="13"/>
      <c r="D680" s="13"/>
    </row>
    <row r="681" spans="1:4" ht="13" x14ac:dyDescent="0.15">
      <c r="A681" s="10"/>
      <c r="B681" s="13"/>
      <c r="C681" s="13"/>
      <c r="D681" s="13"/>
    </row>
    <row r="682" spans="1:4" ht="13" x14ac:dyDescent="0.15">
      <c r="A682" s="10"/>
      <c r="B682" s="13"/>
      <c r="C682" s="13"/>
      <c r="D682" s="13"/>
    </row>
    <row r="683" spans="1:4" ht="13" x14ac:dyDescent="0.15">
      <c r="A683" s="10"/>
      <c r="B683" s="13"/>
      <c r="C683" s="13"/>
      <c r="D683" s="13"/>
    </row>
    <row r="684" spans="1:4" ht="13" x14ac:dyDescent="0.15">
      <c r="A684" s="10"/>
      <c r="B684" s="13"/>
      <c r="C684" s="13"/>
      <c r="D684" s="13"/>
    </row>
    <row r="685" spans="1:4" ht="13" x14ac:dyDescent="0.15">
      <c r="A685" s="10"/>
      <c r="B685" s="13"/>
      <c r="C685" s="13"/>
      <c r="D685" s="13"/>
    </row>
    <row r="686" spans="1:4" ht="13" x14ac:dyDescent="0.15">
      <c r="A686" s="10"/>
      <c r="B686" s="13"/>
      <c r="C686" s="13"/>
      <c r="D686" s="13"/>
    </row>
    <row r="687" spans="1:4" ht="13" x14ac:dyDescent="0.15">
      <c r="A687" s="10"/>
      <c r="B687" s="13"/>
      <c r="C687" s="13"/>
      <c r="D687" s="13"/>
    </row>
    <row r="688" spans="1:4" ht="13" x14ac:dyDescent="0.15">
      <c r="A688" s="10"/>
      <c r="B688" s="13"/>
      <c r="C688" s="13"/>
      <c r="D688" s="13"/>
    </row>
    <row r="689" spans="1:4" ht="13" x14ac:dyDescent="0.15">
      <c r="A689" s="10"/>
      <c r="B689" s="13"/>
      <c r="C689" s="13"/>
      <c r="D689" s="13"/>
    </row>
    <row r="690" spans="1:4" ht="13" x14ac:dyDescent="0.15">
      <c r="A690" s="10"/>
      <c r="B690" s="13"/>
      <c r="C690" s="13"/>
      <c r="D690" s="13"/>
    </row>
    <row r="691" spans="1:4" ht="13" x14ac:dyDescent="0.15">
      <c r="A691" s="10"/>
      <c r="B691" s="13"/>
      <c r="C691" s="13"/>
      <c r="D691" s="13"/>
    </row>
    <row r="692" spans="1:4" ht="13" x14ac:dyDescent="0.15">
      <c r="A692" s="10"/>
      <c r="B692" s="13"/>
      <c r="C692" s="13"/>
      <c r="D692" s="13"/>
    </row>
    <row r="693" spans="1:4" ht="13" x14ac:dyDescent="0.15">
      <c r="A693" s="10"/>
      <c r="B693" s="13"/>
      <c r="C693" s="13"/>
      <c r="D693" s="13"/>
    </row>
    <row r="694" spans="1:4" ht="13" x14ac:dyDescent="0.15">
      <c r="A694" s="10"/>
      <c r="B694" s="13"/>
      <c r="C694" s="13"/>
      <c r="D694" s="13"/>
    </row>
    <row r="695" spans="1:4" ht="13" x14ac:dyDescent="0.15">
      <c r="A695" s="10"/>
      <c r="B695" s="13"/>
      <c r="C695" s="13"/>
      <c r="D695" s="13"/>
    </row>
    <row r="696" spans="1:4" ht="13" x14ac:dyDescent="0.15">
      <c r="A696" s="10"/>
      <c r="B696" s="13"/>
      <c r="C696" s="13"/>
      <c r="D696" s="13"/>
    </row>
    <row r="697" spans="1:4" ht="13" x14ac:dyDescent="0.15">
      <c r="A697" s="10"/>
      <c r="B697" s="13"/>
      <c r="C697" s="13"/>
      <c r="D697" s="13"/>
    </row>
    <row r="698" spans="1:4" ht="13" x14ac:dyDescent="0.15">
      <c r="A698" s="10"/>
      <c r="B698" s="13"/>
      <c r="C698" s="13"/>
      <c r="D698" s="13"/>
    </row>
    <row r="699" spans="1:4" ht="13" x14ac:dyDescent="0.15">
      <c r="A699" s="10"/>
      <c r="B699" s="13"/>
      <c r="C699" s="13"/>
      <c r="D699" s="13"/>
    </row>
    <row r="700" spans="1:4" ht="13" x14ac:dyDescent="0.15">
      <c r="A700" s="10"/>
      <c r="B700" s="13"/>
      <c r="C700" s="13"/>
      <c r="D700" s="13"/>
    </row>
    <row r="701" spans="1:4" ht="13" x14ac:dyDescent="0.15">
      <c r="A701" s="10"/>
      <c r="B701" s="13"/>
      <c r="C701" s="13"/>
      <c r="D701" s="13"/>
    </row>
    <row r="702" spans="1:4" ht="13" x14ac:dyDescent="0.15">
      <c r="A702" s="10"/>
      <c r="B702" s="13"/>
      <c r="C702" s="13"/>
      <c r="D702" s="13"/>
    </row>
    <row r="703" spans="1:4" ht="13" x14ac:dyDescent="0.15">
      <c r="A703" s="10"/>
      <c r="B703" s="13"/>
      <c r="C703" s="13"/>
      <c r="D703" s="13"/>
    </row>
    <row r="704" spans="1:4" ht="13" x14ac:dyDescent="0.15">
      <c r="A704" s="10"/>
      <c r="B704" s="13"/>
      <c r="C704" s="13"/>
      <c r="D704" s="13"/>
    </row>
    <row r="705" spans="1:4" ht="13" x14ac:dyDescent="0.15">
      <c r="A705" s="10"/>
      <c r="B705" s="13"/>
      <c r="C705" s="13"/>
      <c r="D705" s="13"/>
    </row>
    <row r="706" spans="1:4" ht="13" x14ac:dyDescent="0.15">
      <c r="A706" s="10"/>
      <c r="B706" s="13"/>
      <c r="C706" s="13"/>
      <c r="D706" s="13"/>
    </row>
    <row r="707" spans="1:4" ht="13" x14ac:dyDescent="0.15">
      <c r="A707" s="10"/>
      <c r="B707" s="13"/>
      <c r="C707" s="13"/>
      <c r="D707" s="13"/>
    </row>
    <row r="708" spans="1:4" ht="13" x14ac:dyDescent="0.15">
      <c r="A708" s="10"/>
      <c r="B708" s="13"/>
      <c r="C708" s="13"/>
      <c r="D708" s="13"/>
    </row>
    <row r="709" spans="1:4" ht="13" x14ac:dyDescent="0.15">
      <c r="A709" s="10"/>
      <c r="B709" s="13"/>
      <c r="C709" s="13"/>
      <c r="D709" s="13"/>
    </row>
    <row r="710" spans="1:4" ht="13" x14ac:dyDescent="0.15">
      <c r="A710" s="10"/>
      <c r="B710" s="13"/>
      <c r="C710" s="13"/>
      <c r="D710" s="13"/>
    </row>
    <row r="711" spans="1:4" ht="13" x14ac:dyDescent="0.15">
      <c r="A711" s="10"/>
      <c r="B711" s="13"/>
      <c r="C711" s="13"/>
      <c r="D711" s="13"/>
    </row>
    <row r="712" spans="1:4" ht="13" x14ac:dyDescent="0.15">
      <c r="A712" s="10"/>
      <c r="B712" s="13"/>
      <c r="C712" s="13"/>
      <c r="D712" s="13"/>
    </row>
    <row r="713" spans="1:4" ht="13" x14ac:dyDescent="0.15">
      <c r="A713" s="10"/>
      <c r="B713" s="13"/>
      <c r="C713" s="13"/>
      <c r="D713" s="13"/>
    </row>
    <row r="714" spans="1:4" ht="13" x14ac:dyDescent="0.15">
      <c r="A714" s="10"/>
      <c r="B714" s="13"/>
      <c r="C714" s="13"/>
      <c r="D714" s="13"/>
    </row>
    <row r="715" spans="1:4" ht="13" x14ac:dyDescent="0.15">
      <c r="A715" s="10"/>
      <c r="B715" s="13"/>
      <c r="C715" s="13"/>
      <c r="D715" s="13"/>
    </row>
    <row r="716" spans="1:4" ht="13" x14ac:dyDescent="0.15">
      <c r="A716" s="10"/>
      <c r="B716" s="13"/>
      <c r="C716" s="13"/>
      <c r="D716" s="13"/>
    </row>
    <row r="717" spans="1:4" ht="13" x14ac:dyDescent="0.15">
      <c r="A717" s="10"/>
      <c r="B717" s="13"/>
      <c r="C717" s="13"/>
      <c r="D717" s="13"/>
    </row>
    <row r="718" spans="1:4" ht="13" x14ac:dyDescent="0.15">
      <c r="A718" s="10"/>
      <c r="B718" s="13"/>
      <c r="C718" s="13"/>
      <c r="D718" s="13"/>
    </row>
    <row r="719" spans="1:4" ht="13" x14ac:dyDescent="0.15">
      <c r="A719" s="10"/>
      <c r="B719" s="13"/>
      <c r="C719" s="13"/>
      <c r="D719" s="13"/>
    </row>
    <row r="720" spans="1:4" ht="13" x14ac:dyDescent="0.15">
      <c r="A720" s="10"/>
      <c r="B720" s="13"/>
      <c r="C720" s="13"/>
      <c r="D720" s="13"/>
    </row>
    <row r="721" spans="1:4" ht="13" x14ac:dyDescent="0.15">
      <c r="A721" s="10"/>
      <c r="B721" s="13"/>
      <c r="C721" s="13"/>
      <c r="D721" s="13"/>
    </row>
    <row r="722" spans="1:4" ht="13" x14ac:dyDescent="0.15">
      <c r="A722" s="10"/>
      <c r="B722" s="13"/>
      <c r="C722" s="13"/>
      <c r="D722" s="13"/>
    </row>
    <row r="723" spans="1:4" ht="13" x14ac:dyDescent="0.15">
      <c r="A723" s="10"/>
      <c r="B723" s="13"/>
      <c r="C723" s="13"/>
      <c r="D723" s="13"/>
    </row>
    <row r="724" spans="1:4" ht="13" x14ac:dyDescent="0.15">
      <c r="A724" s="10"/>
      <c r="B724" s="13"/>
      <c r="C724" s="13"/>
      <c r="D724" s="13"/>
    </row>
    <row r="725" spans="1:4" ht="13" x14ac:dyDescent="0.15">
      <c r="A725" s="10"/>
      <c r="B725" s="13"/>
      <c r="C725" s="13"/>
      <c r="D725" s="13"/>
    </row>
    <row r="726" spans="1:4" ht="13" x14ac:dyDescent="0.15">
      <c r="A726" s="10"/>
      <c r="B726" s="13"/>
      <c r="C726" s="13"/>
      <c r="D726" s="13"/>
    </row>
    <row r="727" spans="1:4" ht="13" x14ac:dyDescent="0.15">
      <c r="A727" s="10"/>
      <c r="B727" s="13"/>
      <c r="C727" s="13"/>
      <c r="D727" s="13"/>
    </row>
    <row r="728" spans="1:4" ht="13" x14ac:dyDescent="0.15">
      <c r="A728" s="10"/>
      <c r="B728" s="13"/>
      <c r="C728" s="13"/>
      <c r="D728" s="13"/>
    </row>
    <row r="729" spans="1:4" ht="13" x14ac:dyDescent="0.15">
      <c r="A729" s="10"/>
      <c r="B729" s="13"/>
      <c r="C729" s="13"/>
      <c r="D729" s="13"/>
    </row>
    <row r="730" spans="1:4" ht="13" x14ac:dyDescent="0.15">
      <c r="A730" s="10"/>
      <c r="B730" s="13"/>
      <c r="C730" s="13"/>
      <c r="D730" s="13"/>
    </row>
    <row r="731" spans="1:4" ht="13" x14ac:dyDescent="0.15">
      <c r="A731" s="10"/>
      <c r="B731" s="13"/>
      <c r="C731" s="13"/>
      <c r="D731" s="13"/>
    </row>
    <row r="732" spans="1:4" ht="13" x14ac:dyDescent="0.15">
      <c r="A732" s="10"/>
      <c r="B732" s="13"/>
      <c r="C732" s="13"/>
      <c r="D732" s="13"/>
    </row>
    <row r="733" spans="1:4" ht="13" x14ac:dyDescent="0.15">
      <c r="A733" s="10"/>
      <c r="B733" s="13"/>
      <c r="C733" s="13"/>
      <c r="D733" s="13"/>
    </row>
    <row r="734" spans="1:4" ht="13" x14ac:dyDescent="0.15">
      <c r="A734" s="10"/>
      <c r="B734" s="13"/>
      <c r="C734" s="13"/>
      <c r="D734" s="13"/>
    </row>
    <row r="735" spans="1:4" ht="13" x14ac:dyDescent="0.15">
      <c r="A735" s="10"/>
      <c r="B735" s="13"/>
      <c r="C735" s="13"/>
      <c r="D735" s="13"/>
    </row>
    <row r="736" spans="1:4" ht="13" x14ac:dyDescent="0.15">
      <c r="A736" s="10"/>
      <c r="B736" s="13"/>
      <c r="C736" s="13"/>
      <c r="D736" s="13"/>
    </row>
    <row r="737" spans="1:4" ht="13" x14ac:dyDescent="0.15">
      <c r="A737" s="10"/>
      <c r="B737" s="13"/>
      <c r="C737" s="13"/>
      <c r="D737" s="13"/>
    </row>
    <row r="738" spans="1:4" ht="13" x14ac:dyDescent="0.15">
      <c r="A738" s="10"/>
      <c r="B738" s="13"/>
      <c r="C738" s="13"/>
      <c r="D738" s="13"/>
    </row>
    <row r="739" spans="1:4" ht="13" x14ac:dyDescent="0.15">
      <c r="A739" s="10"/>
      <c r="B739" s="13"/>
      <c r="C739" s="13"/>
      <c r="D739" s="13"/>
    </row>
    <row r="740" spans="1:4" ht="13" x14ac:dyDescent="0.15">
      <c r="A740" s="10"/>
      <c r="B740" s="13"/>
      <c r="C740" s="13"/>
      <c r="D740" s="13"/>
    </row>
    <row r="741" spans="1:4" ht="13" x14ac:dyDescent="0.15">
      <c r="A741" s="10"/>
      <c r="B741" s="13"/>
      <c r="C741" s="13"/>
      <c r="D741" s="13"/>
    </row>
    <row r="742" spans="1:4" ht="13" x14ac:dyDescent="0.15">
      <c r="A742" s="10"/>
      <c r="B742" s="13"/>
      <c r="C742" s="13"/>
      <c r="D742" s="13"/>
    </row>
    <row r="743" spans="1:4" ht="13" x14ac:dyDescent="0.15">
      <c r="A743" s="10"/>
      <c r="B743" s="13"/>
      <c r="C743" s="13"/>
      <c r="D743" s="13"/>
    </row>
    <row r="744" spans="1:4" ht="13" x14ac:dyDescent="0.15">
      <c r="A744" s="10"/>
      <c r="B744" s="13"/>
      <c r="C744" s="13"/>
      <c r="D744" s="13"/>
    </row>
    <row r="745" spans="1:4" ht="13" x14ac:dyDescent="0.15">
      <c r="A745" s="10"/>
      <c r="B745" s="13"/>
      <c r="C745" s="13"/>
      <c r="D745" s="13"/>
    </row>
    <row r="746" spans="1:4" ht="13" x14ac:dyDescent="0.15">
      <c r="A746" s="10"/>
      <c r="B746" s="13"/>
      <c r="C746" s="13"/>
      <c r="D746" s="13"/>
    </row>
    <row r="747" spans="1:4" ht="13" x14ac:dyDescent="0.15">
      <c r="A747" s="10"/>
      <c r="B747" s="13"/>
      <c r="C747" s="13"/>
      <c r="D747" s="13"/>
    </row>
    <row r="748" spans="1:4" ht="13" x14ac:dyDescent="0.15">
      <c r="A748" s="10"/>
      <c r="B748" s="13"/>
      <c r="C748" s="13"/>
      <c r="D748" s="13"/>
    </row>
    <row r="749" spans="1:4" ht="13" x14ac:dyDescent="0.15">
      <c r="A749" s="10"/>
      <c r="B749" s="13"/>
      <c r="C749" s="13"/>
      <c r="D749" s="13"/>
    </row>
    <row r="750" spans="1:4" ht="13" x14ac:dyDescent="0.15">
      <c r="A750" s="10"/>
      <c r="B750" s="13"/>
      <c r="C750" s="13"/>
      <c r="D750" s="13"/>
    </row>
    <row r="751" spans="1:4" ht="13" x14ac:dyDescent="0.15">
      <c r="A751" s="10"/>
      <c r="B751" s="13"/>
      <c r="C751" s="13"/>
      <c r="D751" s="13"/>
    </row>
    <row r="752" spans="1:4" ht="13" x14ac:dyDescent="0.15">
      <c r="A752" s="10"/>
      <c r="B752" s="13"/>
      <c r="C752" s="13"/>
      <c r="D752" s="13"/>
    </row>
    <row r="753" spans="1:4" ht="13" x14ac:dyDescent="0.15">
      <c r="A753" s="10"/>
      <c r="B753" s="13"/>
      <c r="C753" s="13"/>
      <c r="D753" s="13"/>
    </row>
    <row r="754" spans="1:4" ht="13" x14ac:dyDescent="0.15">
      <c r="A754" s="10"/>
      <c r="B754" s="13"/>
      <c r="C754" s="13"/>
      <c r="D754" s="13"/>
    </row>
    <row r="755" spans="1:4" ht="13" x14ac:dyDescent="0.15">
      <c r="A755" s="10"/>
      <c r="B755" s="13"/>
      <c r="C755" s="13"/>
      <c r="D755" s="13"/>
    </row>
    <row r="756" spans="1:4" ht="13" x14ac:dyDescent="0.15">
      <c r="A756" s="10"/>
      <c r="B756" s="13"/>
      <c r="C756" s="13"/>
      <c r="D756" s="13"/>
    </row>
    <row r="757" spans="1:4" ht="13" x14ac:dyDescent="0.15">
      <c r="A757" s="10"/>
      <c r="B757" s="13"/>
      <c r="C757" s="13"/>
      <c r="D757" s="13"/>
    </row>
    <row r="758" spans="1:4" ht="13" x14ac:dyDescent="0.15">
      <c r="A758" s="10"/>
      <c r="B758" s="13"/>
      <c r="C758" s="13"/>
      <c r="D758" s="13"/>
    </row>
    <row r="759" spans="1:4" ht="13" x14ac:dyDescent="0.15">
      <c r="A759" s="10"/>
      <c r="B759" s="13"/>
      <c r="C759" s="13"/>
      <c r="D759" s="13"/>
    </row>
    <row r="760" spans="1:4" ht="13" x14ac:dyDescent="0.15">
      <c r="A760" s="10"/>
      <c r="B760" s="13"/>
      <c r="C760" s="13"/>
      <c r="D760" s="13"/>
    </row>
    <row r="761" spans="1:4" ht="13" x14ac:dyDescent="0.15">
      <c r="A761" s="10"/>
      <c r="B761" s="13"/>
      <c r="C761" s="13"/>
      <c r="D761" s="13"/>
    </row>
    <row r="762" spans="1:4" ht="13" x14ac:dyDescent="0.15">
      <c r="A762" s="10"/>
      <c r="B762" s="13"/>
      <c r="C762" s="13"/>
      <c r="D762" s="13"/>
    </row>
    <row r="763" spans="1:4" ht="13" x14ac:dyDescent="0.15">
      <c r="A763" s="10"/>
      <c r="B763" s="13"/>
      <c r="C763" s="13"/>
      <c r="D763" s="13"/>
    </row>
    <row r="764" spans="1:4" ht="13" x14ac:dyDescent="0.15">
      <c r="A764" s="10"/>
      <c r="B764" s="13"/>
      <c r="C764" s="13"/>
      <c r="D764" s="13"/>
    </row>
    <row r="765" spans="1:4" ht="13" x14ac:dyDescent="0.15">
      <c r="A765" s="10"/>
      <c r="B765" s="13"/>
      <c r="C765" s="13"/>
      <c r="D765" s="13"/>
    </row>
    <row r="766" spans="1:4" ht="13" x14ac:dyDescent="0.15">
      <c r="A766" s="10"/>
      <c r="B766" s="13"/>
      <c r="C766" s="13"/>
      <c r="D766" s="13"/>
    </row>
    <row r="767" spans="1:4" ht="13" x14ac:dyDescent="0.15">
      <c r="A767" s="10"/>
      <c r="B767" s="13"/>
      <c r="C767" s="13"/>
      <c r="D767" s="13"/>
    </row>
    <row r="768" spans="1:4" ht="13" x14ac:dyDescent="0.15">
      <c r="A768" s="10"/>
      <c r="B768" s="13"/>
      <c r="C768" s="13"/>
      <c r="D768" s="13"/>
    </row>
    <row r="769" spans="1:4" ht="13" x14ac:dyDescent="0.15">
      <c r="A769" s="10"/>
      <c r="B769" s="13"/>
      <c r="C769" s="13"/>
      <c r="D769" s="13"/>
    </row>
    <row r="770" spans="1:4" ht="13" x14ac:dyDescent="0.15">
      <c r="A770" s="10"/>
      <c r="B770" s="13"/>
      <c r="C770" s="13"/>
      <c r="D770" s="13"/>
    </row>
    <row r="771" spans="1:4" ht="13" x14ac:dyDescent="0.15">
      <c r="A771" s="10"/>
      <c r="B771" s="13"/>
      <c r="C771" s="13"/>
      <c r="D771" s="13"/>
    </row>
    <row r="772" spans="1:4" ht="13" x14ac:dyDescent="0.15">
      <c r="A772" s="10"/>
      <c r="B772" s="13"/>
      <c r="C772" s="13"/>
      <c r="D772" s="13"/>
    </row>
    <row r="773" spans="1:4" ht="13" x14ac:dyDescent="0.15">
      <c r="A773" s="10"/>
      <c r="B773" s="13"/>
      <c r="C773" s="13"/>
      <c r="D773" s="13"/>
    </row>
    <row r="774" spans="1:4" ht="13" x14ac:dyDescent="0.15">
      <c r="A774" s="10"/>
      <c r="B774" s="13"/>
      <c r="C774" s="13"/>
      <c r="D774" s="13"/>
    </row>
    <row r="775" spans="1:4" ht="13" x14ac:dyDescent="0.15">
      <c r="A775" s="10"/>
      <c r="B775" s="13"/>
      <c r="C775" s="13"/>
      <c r="D775" s="13"/>
    </row>
    <row r="776" spans="1:4" ht="13" x14ac:dyDescent="0.15">
      <c r="A776" s="10"/>
      <c r="B776" s="13"/>
      <c r="C776" s="13"/>
      <c r="D776" s="13"/>
    </row>
    <row r="777" spans="1:4" ht="13" x14ac:dyDescent="0.15">
      <c r="A777" s="10"/>
      <c r="B777" s="13"/>
      <c r="C777" s="13"/>
      <c r="D777" s="13"/>
    </row>
    <row r="778" spans="1:4" ht="13" x14ac:dyDescent="0.15">
      <c r="A778" s="10"/>
      <c r="B778" s="13"/>
      <c r="C778" s="13"/>
      <c r="D778" s="13"/>
    </row>
    <row r="779" spans="1:4" ht="13" x14ac:dyDescent="0.15">
      <c r="A779" s="10"/>
      <c r="B779" s="13"/>
      <c r="C779" s="13"/>
      <c r="D779" s="13"/>
    </row>
    <row r="780" spans="1:4" ht="13" x14ac:dyDescent="0.15">
      <c r="A780" s="10"/>
      <c r="B780" s="13"/>
      <c r="C780" s="13"/>
      <c r="D780" s="13"/>
    </row>
    <row r="781" spans="1:4" ht="13" x14ac:dyDescent="0.15">
      <c r="A781" s="10"/>
      <c r="B781" s="13"/>
      <c r="C781" s="13"/>
      <c r="D781" s="13"/>
    </row>
    <row r="782" spans="1:4" ht="13" x14ac:dyDescent="0.15">
      <c r="A782" s="10"/>
      <c r="B782" s="13"/>
      <c r="C782" s="13"/>
      <c r="D782" s="13"/>
    </row>
    <row r="783" spans="1:4" ht="13" x14ac:dyDescent="0.15">
      <c r="A783" s="10"/>
      <c r="B783" s="13"/>
      <c r="C783" s="13"/>
      <c r="D783" s="13"/>
    </row>
    <row r="784" spans="1:4" ht="13" x14ac:dyDescent="0.15">
      <c r="A784" s="10"/>
      <c r="B784" s="13"/>
      <c r="C784" s="13"/>
      <c r="D784" s="13"/>
    </row>
    <row r="785" spans="1:4" ht="13" x14ac:dyDescent="0.15">
      <c r="A785" s="10"/>
      <c r="B785" s="13"/>
      <c r="C785" s="13"/>
      <c r="D785" s="13"/>
    </row>
    <row r="786" spans="1:4" ht="13" x14ac:dyDescent="0.15">
      <c r="A786" s="10"/>
      <c r="B786" s="13"/>
      <c r="C786" s="13"/>
      <c r="D786" s="13"/>
    </row>
    <row r="787" spans="1:4" ht="13" x14ac:dyDescent="0.15">
      <c r="A787" s="10"/>
      <c r="B787" s="13"/>
      <c r="C787" s="13"/>
      <c r="D787" s="13"/>
    </row>
    <row r="788" spans="1:4" ht="13" x14ac:dyDescent="0.15">
      <c r="A788" s="10"/>
      <c r="B788" s="13"/>
      <c r="C788" s="13"/>
      <c r="D788" s="13"/>
    </row>
    <row r="789" spans="1:4" ht="13" x14ac:dyDescent="0.15">
      <c r="A789" s="10"/>
      <c r="B789" s="13"/>
      <c r="C789" s="13"/>
      <c r="D789" s="13"/>
    </row>
    <row r="790" spans="1:4" ht="13" x14ac:dyDescent="0.15">
      <c r="A790" s="10"/>
      <c r="B790" s="13"/>
      <c r="C790" s="13"/>
      <c r="D790" s="13"/>
    </row>
    <row r="791" spans="1:4" ht="13" x14ac:dyDescent="0.15">
      <c r="A791" s="10"/>
      <c r="B791" s="13"/>
      <c r="C791" s="13"/>
      <c r="D791" s="13"/>
    </row>
    <row r="792" spans="1:4" ht="13" x14ac:dyDescent="0.15">
      <c r="A792" s="10"/>
      <c r="B792" s="13"/>
      <c r="C792" s="13"/>
      <c r="D792" s="13"/>
    </row>
    <row r="793" spans="1:4" ht="13" x14ac:dyDescent="0.15">
      <c r="A793" s="10"/>
      <c r="B793" s="13"/>
      <c r="C793" s="13"/>
      <c r="D793" s="13"/>
    </row>
    <row r="794" spans="1:4" ht="13" x14ac:dyDescent="0.15">
      <c r="A794" s="10"/>
      <c r="B794" s="13"/>
      <c r="C794" s="13"/>
      <c r="D794" s="13"/>
    </row>
    <row r="795" spans="1:4" ht="13" x14ac:dyDescent="0.15">
      <c r="A795" s="10"/>
      <c r="B795" s="13"/>
      <c r="C795" s="13"/>
      <c r="D795" s="13"/>
    </row>
    <row r="796" spans="1:4" ht="13" x14ac:dyDescent="0.15">
      <c r="A796" s="10"/>
      <c r="B796" s="13"/>
      <c r="C796" s="13"/>
      <c r="D796" s="13"/>
    </row>
    <row r="797" spans="1:4" ht="13" x14ac:dyDescent="0.15">
      <c r="A797" s="10"/>
      <c r="B797" s="13"/>
      <c r="C797" s="13"/>
      <c r="D797" s="13"/>
    </row>
    <row r="798" spans="1:4" ht="13" x14ac:dyDescent="0.15">
      <c r="A798" s="10"/>
      <c r="B798" s="13"/>
      <c r="C798" s="13"/>
      <c r="D798" s="13"/>
    </row>
    <row r="799" spans="1:4" ht="13" x14ac:dyDescent="0.15">
      <c r="A799" s="10"/>
      <c r="B799" s="13"/>
      <c r="C799" s="13"/>
      <c r="D799" s="13"/>
    </row>
    <row r="800" spans="1:4" ht="13" x14ac:dyDescent="0.15">
      <c r="A800" s="10"/>
      <c r="B800" s="13"/>
      <c r="C800" s="13"/>
      <c r="D800" s="13"/>
    </row>
    <row r="801" spans="1:4" ht="13" x14ac:dyDescent="0.15">
      <c r="A801" s="10"/>
      <c r="B801" s="13"/>
      <c r="C801" s="13"/>
      <c r="D801" s="13"/>
    </row>
    <row r="802" spans="1:4" ht="13" x14ac:dyDescent="0.15">
      <c r="A802" s="10"/>
      <c r="B802" s="13"/>
      <c r="C802" s="13"/>
      <c r="D802" s="13"/>
    </row>
    <row r="803" spans="1:4" ht="13" x14ac:dyDescent="0.15">
      <c r="A803" s="10"/>
      <c r="B803" s="13"/>
      <c r="C803" s="13"/>
      <c r="D803" s="13"/>
    </row>
    <row r="804" spans="1:4" ht="13" x14ac:dyDescent="0.15">
      <c r="A804" s="10"/>
      <c r="B804" s="13"/>
      <c r="C804" s="13"/>
      <c r="D804" s="13"/>
    </row>
    <row r="805" spans="1:4" ht="13" x14ac:dyDescent="0.15">
      <c r="A805" s="10"/>
      <c r="B805" s="13"/>
      <c r="C805" s="13"/>
      <c r="D805" s="13"/>
    </row>
    <row r="806" spans="1:4" ht="13" x14ac:dyDescent="0.15">
      <c r="A806" s="10"/>
      <c r="B806" s="13"/>
      <c r="C806" s="13"/>
      <c r="D806" s="13"/>
    </row>
    <row r="807" spans="1:4" ht="13" x14ac:dyDescent="0.15">
      <c r="A807" s="10"/>
      <c r="B807" s="13"/>
      <c r="C807" s="13"/>
      <c r="D807" s="13"/>
    </row>
    <row r="808" spans="1:4" ht="13" x14ac:dyDescent="0.15">
      <c r="A808" s="10"/>
      <c r="B808" s="13"/>
      <c r="C808" s="13"/>
      <c r="D808" s="13"/>
    </row>
    <row r="809" spans="1:4" ht="13" x14ac:dyDescent="0.15">
      <c r="A809" s="10"/>
      <c r="B809" s="13"/>
      <c r="C809" s="13"/>
      <c r="D809" s="13"/>
    </row>
    <row r="810" spans="1:4" ht="13" x14ac:dyDescent="0.15">
      <c r="A810" s="10"/>
      <c r="B810" s="13"/>
      <c r="C810" s="13"/>
      <c r="D810" s="13"/>
    </row>
    <row r="811" spans="1:4" ht="13" x14ac:dyDescent="0.15">
      <c r="A811" s="10"/>
      <c r="B811" s="13"/>
      <c r="C811" s="13"/>
      <c r="D811" s="13"/>
    </row>
    <row r="812" spans="1:4" ht="13" x14ac:dyDescent="0.15">
      <c r="A812" s="10"/>
      <c r="B812" s="13"/>
      <c r="C812" s="13"/>
      <c r="D812" s="13"/>
    </row>
    <row r="813" spans="1:4" ht="13" x14ac:dyDescent="0.15">
      <c r="A813" s="10"/>
      <c r="B813" s="13"/>
      <c r="C813" s="13"/>
      <c r="D813" s="13"/>
    </row>
    <row r="814" spans="1:4" ht="13" x14ac:dyDescent="0.15">
      <c r="A814" s="10"/>
      <c r="B814" s="13"/>
      <c r="C814" s="13"/>
      <c r="D814" s="13"/>
    </row>
    <row r="815" spans="1:4" ht="13" x14ac:dyDescent="0.15">
      <c r="A815" s="10"/>
      <c r="B815" s="13"/>
      <c r="C815" s="13"/>
      <c r="D815" s="13"/>
    </row>
    <row r="816" spans="1:4" ht="13" x14ac:dyDescent="0.15">
      <c r="A816" s="10"/>
      <c r="B816" s="13"/>
      <c r="C816" s="13"/>
      <c r="D816" s="13"/>
    </row>
    <row r="817" spans="1:4" ht="13" x14ac:dyDescent="0.15">
      <c r="A817" s="10"/>
      <c r="B817" s="13"/>
      <c r="C817" s="13"/>
      <c r="D817" s="13"/>
    </row>
    <row r="818" spans="1:4" ht="13" x14ac:dyDescent="0.15">
      <c r="A818" s="10"/>
      <c r="B818" s="13"/>
      <c r="C818" s="13"/>
      <c r="D818" s="13"/>
    </row>
    <row r="819" spans="1:4" ht="13" x14ac:dyDescent="0.15">
      <c r="A819" s="10"/>
      <c r="B819" s="13"/>
      <c r="C819" s="13"/>
      <c r="D819" s="13"/>
    </row>
    <row r="820" spans="1:4" ht="13" x14ac:dyDescent="0.15">
      <c r="A820" s="10"/>
      <c r="B820" s="13"/>
      <c r="C820" s="13"/>
      <c r="D820" s="13"/>
    </row>
    <row r="821" spans="1:4" ht="13" x14ac:dyDescent="0.15">
      <c r="A821" s="10"/>
      <c r="B821" s="13"/>
      <c r="C821" s="13"/>
      <c r="D821" s="13"/>
    </row>
    <row r="822" spans="1:4" ht="13" x14ac:dyDescent="0.15">
      <c r="A822" s="10"/>
      <c r="B822" s="13"/>
      <c r="C822" s="13"/>
      <c r="D822" s="13"/>
    </row>
    <row r="823" spans="1:4" ht="13" x14ac:dyDescent="0.15">
      <c r="A823" s="10"/>
      <c r="B823" s="13"/>
      <c r="C823" s="13"/>
      <c r="D823" s="13"/>
    </row>
    <row r="824" spans="1:4" ht="13" x14ac:dyDescent="0.15">
      <c r="A824" s="10"/>
      <c r="B824" s="13"/>
      <c r="C824" s="13"/>
      <c r="D824" s="13"/>
    </row>
    <row r="825" spans="1:4" ht="13" x14ac:dyDescent="0.15">
      <c r="A825" s="10"/>
      <c r="B825" s="13"/>
      <c r="C825" s="13"/>
      <c r="D825" s="13"/>
    </row>
    <row r="826" spans="1:4" ht="13" x14ac:dyDescent="0.15">
      <c r="A826" s="10"/>
      <c r="B826" s="13"/>
      <c r="C826" s="13"/>
      <c r="D826" s="13"/>
    </row>
    <row r="827" spans="1:4" ht="13" x14ac:dyDescent="0.15">
      <c r="A827" s="10"/>
      <c r="B827" s="13"/>
      <c r="C827" s="13"/>
      <c r="D827" s="13"/>
    </row>
    <row r="828" spans="1:4" ht="13" x14ac:dyDescent="0.15">
      <c r="A828" s="10"/>
      <c r="B828" s="13"/>
      <c r="C828" s="13"/>
      <c r="D828" s="13"/>
    </row>
    <row r="829" spans="1:4" ht="13" x14ac:dyDescent="0.15">
      <c r="A829" s="10"/>
      <c r="B829" s="13"/>
      <c r="C829" s="13"/>
      <c r="D829" s="13"/>
    </row>
    <row r="830" spans="1:4" ht="13" x14ac:dyDescent="0.15">
      <c r="A830" s="10"/>
      <c r="B830" s="13"/>
      <c r="C830" s="13"/>
      <c r="D830" s="13"/>
    </row>
    <row r="831" spans="1:4" ht="13" x14ac:dyDescent="0.15">
      <c r="A831" s="10"/>
      <c r="B831" s="13"/>
      <c r="C831" s="13"/>
      <c r="D831" s="13"/>
    </row>
    <row r="832" spans="1:4" ht="13" x14ac:dyDescent="0.15">
      <c r="A832" s="10"/>
      <c r="B832" s="13"/>
      <c r="C832" s="13"/>
      <c r="D832" s="13"/>
    </row>
    <row r="833" spans="1:4" ht="13" x14ac:dyDescent="0.15">
      <c r="A833" s="10"/>
      <c r="B833" s="13"/>
      <c r="C833" s="13"/>
      <c r="D833" s="13"/>
    </row>
    <row r="834" spans="1:4" ht="13" x14ac:dyDescent="0.15">
      <c r="A834" s="10"/>
      <c r="B834" s="13"/>
      <c r="C834" s="13"/>
      <c r="D834" s="13"/>
    </row>
    <row r="835" spans="1:4" ht="13" x14ac:dyDescent="0.15">
      <c r="A835" s="10"/>
      <c r="B835" s="13"/>
      <c r="C835" s="13"/>
      <c r="D835" s="13"/>
    </row>
    <row r="836" spans="1:4" ht="13" x14ac:dyDescent="0.15">
      <c r="A836" s="10"/>
      <c r="B836" s="13"/>
      <c r="C836" s="13"/>
      <c r="D836" s="13"/>
    </row>
    <row r="837" spans="1:4" ht="13" x14ac:dyDescent="0.15">
      <c r="A837" s="10"/>
      <c r="B837" s="13"/>
      <c r="C837" s="13"/>
      <c r="D837" s="13"/>
    </row>
    <row r="838" spans="1:4" ht="13" x14ac:dyDescent="0.15">
      <c r="A838" s="10"/>
      <c r="B838" s="13"/>
      <c r="C838" s="13"/>
      <c r="D838" s="13"/>
    </row>
    <row r="839" spans="1:4" ht="13" x14ac:dyDescent="0.15">
      <c r="A839" s="10"/>
      <c r="B839" s="13"/>
      <c r="C839" s="13"/>
      <c r="D839" s="13"/>
    </row>
    <row r="840" spans="1:4" ht="13" x14ac:dyDescent="0.15">
      <c r="A840" s="10"/>
      <c r="B840" s="13"/>
      <c r="C840" s="13"/>
      <c r="D840" s="13"/>
    </row>
    <row r="841" spans="1:4" ht="13" x14ac:dyDescent="0.15">
      <c r="A841" s="10"/>
      <c r="B841" s="13"/>
      <c r="C841" s="13"/>
      <c r="D841" s="13"/>
    </row>
    <row r="842" spans="1:4" ht="13" x14ac:dyDescent="0.15">
      <c r="A842" s="10"/>
      <c r="B842" s="13"/>
      <c r="C842" s="13"/>
      <c r="D842" s="13"/>
    </row>
    <row r="843" spans="1:4" ht="13" x14ac:dyDescent="0.15">
      <c r="A843" s="10"/>
      <c r="B843" s="13"/>
      <c r="C843" s="13"/>
      <c r="D843" s="13"/>
    </row>
    <row r="844" spans="1:4" ht="13" x14ac:dyDescent="0.15">
      <c r="A844" s="10"/>
      <c r="B844" s="13"/>
      <c r="C844" s="13"/>
      <c r="D844" s="13"/>
    </row>
    <row r="845" spans="1:4" ht="13" x14ac:dyDescent="0.15">
      <c r="A845" s="10"/>
      <c r="B845" s="13"/>
      <c r="C845" s="13"/>
      <c r="D845" s="13"/>
    </row>
    <row r="846" spans="1:4" ht="13" x14ac:dyDescent="0.15">
      <c r="A846" s="10"/>
      <c r="B846" s="13"/>
      <c r="C846" s="13"/>
      <c r="D846" s="13"/>
    </row>
    <row r="847" spans="1:4" ht="13" x14ac:dyDescent="0.15">
      <c r="A847" s="10"/>
      <c r="B847" s="13"/>
      <c r="C847" s="13"/>
      <c r="D847" s="13"/>
    </row>
    <row r="848" spans="1:4" ht="13" x14ac:dyDescent="0.15">
      <c r="A848" s="10"/>
      <c r="B848" s="13"/>
      <c r="C848" s="13"/>
      <c r="D848" s="13"/>
    </row>
    <row r="849" spans="1:4" ht="13" x14ac:dyDescent="0.15">
      <c r="A849" s="10"/>
      <c r="B849" s="13"/>
      <c r="C849" s="13"/>
      <c r="D849" s="13"/>
    </row>
    <row r="850" spans="1:4" ht="13" x14ac:dyDescent="0.15">
      <c r="A850" s="10"/>
      <c r="B850" s="13"/>
      <c r="C850" s="13"/>
      <c r="D850" s="13"/>
    </row>
    <row r="851" spans="1:4" ht="13" x14ac:dyDescent="0.15">
      <c r="A851" s="10"/>
      <c r="B851" s="13"/>
      <c r="C851" s="13"/>
      <c r="D851" s="13"/>
    </row>
    <row r="852" spans="1:4" ht="13" x14ac:dyDescent="0.15">
      <c r="A852" s="10"/>
      <c r="B852" s="13"/>
      <c r="C852" s="13"/>
      <c r="D852" s="13"/>
    </row>
    <row r="853" spans="1:4" ht="13" x14ac:dyDescent="0.15">
      <c r="A853" s="10"/>
      <c r="B853" s="13"/>
      <c r="C853" s="13"/>
      <c r="D853" s="13"/>
    </row>
    <row r="854" spans="1:4" ht="13" x14ac:dyDescent="0.15">
      <c r="A854" s="10"/>
      <c r="B854" s="13"/>
      <c r="C854" s="13"/>
      <c r="D854" s="13"/>
    </row>
    <row r="855" spans="1:4" ht="13" x14ac:dyDescent="0.15">
      <c r="A855" s="10"/>
      <c r="B855" s="13"/>
      <c r="C855" s="13"/>
      <c r="D855" s="13"/>
    </row>
    <row r="856" spans="1:4" ht="13" x14ac:dyDescent="0.15">
      <c r="A856" s="10"/>
      <c r="B856" s="13"/>
      <c r="C856" s="13"/>
      <c r="D856" s="13"/>
    </row>
    <row r="857" spans="1:4" ht="13" x14ac:dyDescent="0.15">
      <c r="A857" s="10"/>
      <c r="B857" s="13"/>
      <c r="C857" s="13"/>
      <c r="D857" s="13"/>
    </row>
    <row r="858" spans="1:4" ht="13" x14ac:dyDescent="0.15">
      <c r="A858" s="10"/>
      <c r="B858" s="13"/>
      <c r="C858" s="13"/>
      <c r="D858" s="13"/>
    </row>
    <row r="859" spans="1:4" ht="13" x14ac:dyDescent="0.15">
      <c r="A859" s="10"/>
      <c r="B859" s="13"/>
      <c r="C859" s="13"/>
      <c r="D859" s="13"/>
    </row>
    <row r="860" spans="1:4" ht="13" x14ac:dyDescent="0.15">
      <c r="A860" s="10"/>
      <c r="B860" s="13"/>
      <c r="C860" s="13"/>
      <c r="D860" s="13"/>
    </row>
    <row r="861" spans="1:4" ht="13" x14ac:dyDescent="0.15">
      <c r="A861" s="10"/>
      <c r="B861" s="13"/>
      <c r="C861" s="13"/>
      <c r="D861" s="13"/>
    </row>
    <row r="862" spans="1:4" ht="13" x14ac:dyDescent="0.15">
      <c r="A862" s="10"/>
      <c r="B862" s="13"/>
      <c r="C862" s="13"/>
      <c r="D862" s="13"/>
    </row>
    <row r="863" spans="1:4" ht="13" x14ac:dyDescent="0.15">
      <c r="A863" s="10"/>
      <c r="B863" s="13"/>
      <c r="C863" s="13"/>
      <c r="D863" s="13"/>
    </row>
    <row r="864" spans="1:4" ht="13" x14ac:dyDescent="0.15">
      <c r="A864" s="10"/>
      <c r="B864" s="13"/>
      <c r="C864" s="13"/>
      <c r="D864" s="13"/>
    </row>
    <row r="865" spans="1:4" ht="13" x14ac:dyDescent="0.15">
      <c r="A865" s="10"/>
      <c r="B865" s="13"/>
      <c r="C865" s="13"/>
      <c r="D865" s="13"/>
    </row>
    <row r="866" spans="1:4" ht="13" x14ac:dyDescent="0.15">
      <c r="A866" s="10"/>
      <c r="B866" s="13"/>
      <c r="C866" s="13"/>
      <c r="D866" s="13"/>
    </row>
    <row r="867" spans="1:4" ht="13" x14ac:dyDescent="0.15">
      <c r="A867" s="10"/>
      <c r="B867" s="13"/>
      <c r="C867" s="13"/>
      <c r="D867" s="13"/>
    </row>
    <row r="868" spans="1:4" ht="13" x14ac:dyDescent="0.15">
      <c r="A868" s="10"/>
      <c r="B868" s="13"/>
      <c r="C868" s="13"/>
      <c r="D868" s="13"/>
    </row>
    <row r="869" spans="1:4" ht="13" x14ac:dyDescent="0.15">
      <c r="A869" s="10"/>
      <c r="B869" s="13"/>
      <c r="C869" s="13"/>
      <c r="D869" s="13"/>
    </row>
    <row r="870" spans="1:4" ht="13" x14ac:dyDescent="0.15">
      <c r="A870" s="10"/>
      <c r="B870" s="13"/>
      <c r="C870" s="13"/>
      <c r="D870" s="13"/>
    </row>
    <row r="871" spans="1:4" ht="13" x14ac:dyDescent="0.15">
      <c r="A871" s="10"/>
      <c r="B871" s="13"/>
      <c r="C871" s="13"/>
      <c r="D871" s="13"/>
    </row>
    <row r="872" spans="1:4" ht="13" x14ac:dyDescent="0.15">
      <c r="A872" s="10"/>
      <c r="B872" s="13"/>
      <c r="C872" s="13"/>
      <c r="D872" s="13"/>
    </row>
    <row r="873" spans="1:4" ht="13" x14ac:dyDescent="0.15">
      <c r="A873" s="10"/>
      <c r="B873" s="13"/>
      <c r="C873" s="13"/>
      <c r="D873" s="13"/>
    </row>
    <row r="874" spans="1:4" ht="13" x14ac:dyDescent="0.15">
      <c r="A874" s="10"/>
      <c r="B874" s="13"/>
      <c r="C874" s="13"/>
      <c r="D874" s="13"/>
    </row>
    <row r="875" spans="1:4" ht="13" x14ac:dyDescent="0.15">
      <c r="A875" s="10"/>
      <c r="B875" s="13"/>
      <c r="C875" s="13"/>
      <c r="D875" s="13"/>
    </row>
    <row r="876" spans="1:4" ht="13" x14ac:dyDescent="0.15">
      <c r="A876" s="10"/>
      <c r="B876" s="13"/>
      <c r="C876" s="13"/>
      <c r="D876" s="13"/>
    </row>
    <row r="877" spans="1:4" ht="13" x14ac:dyDescent="0.15">
      <c r="A877" s="10"/>
      <c r="B877" s="13"/>
      <c r="C877" s="13"/>
      <c r="D877" s="13"/>
    </row>
    <row r="878" spans="1:4" ht="13" x14ac:dyDescent="0.15">
      <c r="A878" s="10"/>
      <c r="B878" s="13"/>
      <c r="C878" s="13"/>
      <c r="D878" s="13"/>
    </row>
    <row r="879" spans="1:4" ht="13" x14ac:dyDescent="0.15">
      <c r="A879" s="10"/>
      <c r="B879" s="13"/>
      <c r="C879" s="13"/>
      <c r="D879" s="13"/>
    </row>
    <row r="880" spans="1:4" ht="13" x14ac:dyDescent="0.15">
      <c r="A880" s="10"/>
      <c r="B880" s="13"/>
      <c r="C880" s="13"/>
      <c r="D880" s="13"/>
    </row>
    <row r="881" spans="1:4" ht="13" x14ac:dyDescent="0.15">
      <c r="A881" s="10"/>
      <c r="B881" s="13"/>
      <c r="C881" s="13"/>
      <c r="D881" s="13"/>
    </row>
    <row r="882" spans="1:4" ht="13" x14ac:dyDescent="0.15">
      <c r="A882" s="10"/>
      <c r="B882" s="13"/>
      <c r="C882" s="13"/>
      <c r="D882" s="13"/>
    </row>
    <row r="883" spans="1:4" ht="13" x14ac:dyDescent="0.15">
      <c r="A883" s="10"/>
      <c r="B883" s="13"/>
      <c r="C883" s="13"/>
      <c r="D883" s="13"/>
    </row>
    <row r="884" spans="1:4" ht="13" x14ac:dyDescent="0.15">
      <c r="A884" s="10"/>
      <c r="B884" s="13"/>
      <c r="C884" s="13"/>
      <c r="D884" s="13"/>
    </row>
    <row r="885" spans="1:4" ht="13" x14ac:dyDescent="0.15">
      <c r="A885" s="10"/>
      <c r="B885" s="13"/>
      <c r="C885" s="13"/>
      <c r="D885" s="13"/>
    </row>
    <row r="886" spans="1:4" ht="13" x14ac:dyDescent="0.15">
      <c r="A886" s="10"/>
      <c r="B886" s="13"/>
      <c r="C886" s="13"/>
      <c r="D886" s="13"/>
    </row>
    <row r="887" spans="1:4" ht="13" x14ac:dyDescent="0.15">
      <c r="A887" s="10"/>
      <c r="B887" s="13"/>
      <c r="C887" s="13"/>
      <c r="D887" s="13"/>
    </row>
    <row r="888" spans="1:4" ht="13" x14ac:dyDescent="0.15">
      <c r="A888" s="10"/>
      <c r="B888" s="13"/>
      <c r="C888" s="13"/>
      <c r="D888" s="13"/>
    </row>
    <row r="889" spans="1:4" ht="13" x14ac:dyDescent="0.15">
      <c r="A889" s="10"/>
      <c r="B889" s="13"/>
      <c r="C889" s="13"/>
      <c r="D889" s="13"/>
    </row>
    <row r="890" spans="1:4" ht="13" x14ac:dyDescent="0.15">
      <c r="A890" s="10"/>
      <c r="B890" s="13"/>
      <c r="C890" s="13"/>
      <c r="D890" s="13"/>
    </row>
    <row r="891" spans="1:4" ht="13" x14ac:dyDescent="0.15">
      <c r="A891" s="10"/>
      <c r="B891" s="13"/>
      <c r="C891" s="13"/>
      <c r="D891" s="13"/>
    </row>
    <row r="892" spans="1:4" ht="13" x14ac:dyDescent="0.15">
      <c r="A892" s="10"/>
      <c r="B892" s="13"/>
      <c r="C892" s="13"/>
      <c r="D892" s="13"/>
    </row>
    <row r="893" spans="1:4" ht="13" x14ac:dyDescent="0.15">
      <c r="A893" s="10"/>
      <c r="B893" s="13"/>
      <c r="C893" s="13"/>
      <c r="D893" s="13"/>
    </row>
    <row r="894" spans="1:4" ht="13" x14ac:dyDescent="0.15">
      <c r="A894" s="10"/>
      <c r="B894" s="13"/>
      <c r="C894" s="13"/>
      <c r="D894" s="13"/>
    </row>
    <row r="895" spans="1:4" ht="13" x14ac:dyDescent="0.15">
      <c r="A895" s="10"/>
      <c r="B895" s="13"/>
      <c r="C895" s="13"/>
      <c r="D895" s="13"/>
    </row>
    <row r="896" spans="1:4" ht="13" x14ac:dyDescent="0.15">
      <c r="A896" s="10"/>
      <c r="B896" s="13"/>
      <c r="C896" s="13"/>
      <c r="D896" s="13"/>
    </row>
    <row r="897" spans="1:4" ht="13" x14ac:dyDescent="0.15">
      <c r="A897" s="10"/>
      <c r="B897" s="13"/>
      <c r="C897" s="13"/>
      <c r="D897" s="13"/>
    </row>
    <row r="898" spans="1:4" ht="13" x14ac:dyDescent="0.15">
      <c r="A898" s="10"/>
      <c r="B898" s="13"/>
      <c r="C898" s="13"/>
      <c r="D898" s="13"/>
    </row>
    <row r="899" spans="1:4" ht="13" x14ac:dyDescent="0.15">
      <c r="A899" s="10"/>
      <c r="B899" s="13"/>
      <c r="C899" s="13"/>
      <c r="D899" s="13"/>
    </row>
    <row r="900" spans="1:4" ht="13" x14ac:dyDescent="0.15">
      <c r="A900" s="10"/>
      <c r="B900" s="13"/>
      <c r="C900" s="13"/>
      <c r="D900" s="13"/>
    </row>
    <row r="901" spans="1:4" ht="13" x14ac:dyDescent="0.15">
      <c r="A901" s="10"/>
      <c r="B901" s="13"/>
      <c r="C901" s="13"/>
      <c r="D901" s="13"/>
    </row>
    <row r="902" spans="1:4" ht="13" x14ac:dyDescent="0.15">
      <c r="A902" s="10"/>
      <c r="B902" s="13"/>
      <c r="C902" s="13"/>
      <c r="D902" s="13"/>
    </row>
    <row r="903" spans="1:4" ht="13" x14ac:dyDescent="0.15">
      <c r="A903" s="10"/>
      <c r="B903" s="13"/>
      <c r="C903" s="13"/>
      <c r="D903" s="13"/>
    </row>
    <row r="904" spans="1:4" ht="13" x14ac:dyDescent="0.15">
      <c r="A904" s="10"/>
      <c r="B904" s="13"/>
      <c r="C904" s="13"/>
      <c r="D904" s="13"/>
    </row>
    <row r="905" spans="1:4" ht="13" x14ac:dyDescent="0.15">
      <c r="A905" s="10"/>
      <c r="B905" s="13"/>
      <c r="C905" s="13"/>
      <c r="D905" s="13"/>
    </row>
    <row r="906" spans="1:4" ht="13" x14ac:dyDescent="0.15">
      <c r="A906" s="10"/>
      <c r="B906" s="13"/>
      <c r="C906" s="13"/>
      <c r="D906" s="13"/>
    </row>
    <row r="907" spans="1:4" ht="13" x14ac:dyDescent="0.15">
      <c r="A907" s="10"/>
      <c r="B907" s="13"/>
      <c r="C907" s="13"/>
      <c r="D907" s="13"/>
    </row>
    <row r="908" spans="1:4" ht="13" x14ac:dyDescent="0.15">
      <c r="A908" s="10"/>
      <c r="B908" s="13"/>
      <c r="C908" s="13"/>
      <c r="D908" s="13"/>
    </row>
    <row r="909" spans="1:4" ht="13" x14ac:dyDescent="0.15">
      <c r="A909" s="10"/>
      <c r="B909" s="13"/>
      <c r="C909" s="13"/>
      <c r="D909" s="13"/>
    </row>
    <row r="910" spans="1:4" ht="13" x14ac:dyDescent="0.15">
      <c r="A910" s="10"/>
      <c r="B910" s="13"/>
      <c r="C910" s="13"/>
      <c r="D910" s="13"/>
    </row>
    <row r="911" spans="1:4" ht="13" x14ac:dyDescent="0.15">
      <c r="A911" s="10"/>
      <c r="B911" s="13"/>
      <c r="C911" s="13"/>
      <c r="D911" s="13"/>
    </row>
    <row r="912" spans="1:4" ht="13" x14ac:dyDescent="0.15">
      <c r="A912" s="10"/>
      <c r="B912" s="13"/>
      <c r="C912" s="13"/>
      <c r="D912" s="13"/>
    </row>
    <row r="913" spans="1:4" ht="13" x14ac:dyDescent="0.15">
      <c r="A913" s="10"/>
      <c r="B913" s="13"/>
      <c r="C913" s="13"/>
      <c r="D913" s="13"/>
    </row>
    <row r="914" spans="1:4" ht="13" x14ac:dyDescent="0.15">
      <c r="A914" s="10"/>
      <c r="B914" s="13"/>
      <c r="C914" s="13"/>
      <c r="D914" s="13"/>
    </row>
    <row r="915" spans="1:4" ht="13" x14ac:dyDescent="0.15">
      <c r="A915" s="10"/>
      <c r="B915" s="13"/>
      <c r="C915" s="13"/>
      <c r="D915" s="13"/>
    </row>
    <row r="916" spans="1:4" ht="13" x14ac:dyDescent="0.15">
      <c r="A916" s="10"/>
      <c r="B916" s="13"/>
      <c r="C916" s="13"/>
      <c r="D916" s="13"/>
    </row>
    <row r="917" spans="1:4" ht="13" x14ac:dyDescent="0.15">
      <c r="A917" s="10"/>
      <c r="B917" s="13"/>
      <c r="C917" s="13"/>
      <c r="D917" s="13"/>
    </row>
    <row r="918" spans="1:4" ht="13" x14ac:dyDescent="0.15">
      <c r="A918" s="10"/>
      <c r="B918" s="13"/>
      <c r="C918" s="13"/>
      <c r="D918" s="13"/>
    </row>
    <row r="919" spans="1:4" ht="13" x14ac:dyDescent="0.15">
      <c r="A919" s="10"/>
      <c r="B919" s="13"/>
      <c r="C919" s="13"/>
      <c r="D919" s="13"/>
    </row>
    <row r="920" spans="1:4" ht="13" x14ac:dyDescent="0.15">
      <c r="A920" s="10"/>
      <c r="B920" s="13"/>
      <c r="C920" s="13"/>
      <c r="D920" s="13"/>
    </row>
    <row r="921" spans="1:4" ht="13" x14ac:dyDescent="0.15">
      <c r="A921" s="10"/>
      <c r="B921" s="13"/>
      <c r="C921" s="13"/>
      <c r="D921" s="13"/>
    </row>
    <row r="922" spans="1:4" ht="13" x14ac:dyDescent="0.15">
      <c r="A922" s="10"/>
      <c r="B922" s="13"/>
      <c r="C922" s="13"/>
      <c r="D922" s="13"/>
    </row>
    <row r="923" spans="1:4" ht="13" x14ac:dyDescent="0.15">
      <c r="A923" s="10"/>
      <c r="B923" s="13"/>
      <c r="C923" s="13"/>
      <c r="D923" s="13"/>
    </row>
    <row r="924" spans="1:4" ht="13" x14ac:dyDescent="0.15">
      <c r="A924" s="10"/>
      <c r="B924" s="13"/>
      <c r="C924" s="13"/>
      <c r="D924" s="13"/>
    </row>
    <row r="925" spans="1:4" ht="13" x14ac:dyDescent="0.15">
      <c r="A925" s="10"/>
      <c r="B925" s="13"/>
      <c r="C925" s="13"/>
      <c r="D925" s="13"/>
    </row>
    <row r="926" spans="1:4" ht="13" x14ac:dyDescent="0.15">
      <c r="A926" s="10"/>
      <c r="B926" s="13"/>
      <c r="C926" s="13"/>
      <c r="D926" s="13"/>
    </row>
    <row r="927" spans="1:4" ht="13" x14ac:dyDescent="0.15">
      <c r="A927" s="10"/>
      <c r="B927" s="13"/>
      <c r="C927" s="13"/>
      <c r="D927" s="13"/>
    </row>
    <row r="928" spans="1:4" ht="13" x14ac:dyDescent="0.15">
      <c r="A928" s="10"/>
      <c r="B928" s="13"/>
      <c r="C928" s="13"/>
      <c r="D928" s="13"/>
    </row>
    <row r="929" spans="1:4" ht="13" x14ac:dyDescent="0.15">
      <c r="A929" s="10"/>
      <c r="B929" s="13"/>
      <c r="C929" s="13"/>
      <c r="D929" s="13"/>
    </row>
    <row r="930" spans="1:4" ht="13" x14ac:dyDescent="0.15">
      <c r="A930" s="10"/>
      <c r="B930" s="13"/>
      <c r="C930" s="13"/>
      <c r="D930" s="13"/>
    </row>
    <row r="931" spans="1:4" ht="13" x14ac:dyDescent="0.15">
      <c r="A931" s="10"/>
      <c r="B931" s="13"/>
      <c r="C931" s="13"/>
      <c r="D931" s="13"/>
    </row>
    <row r="932" spans="1:4" ht="13" x14ac:dyDescent="0.15">
      <c r="A932" s="10"/>
      <c r="B932" s="13"/>
      <c r="C932" s="13"/>
      <c r="D932" s="13"/>
    </row>
    <row r="933" spans="1:4" ht="13" x14ac:dyDescent="0.15">
      <c r="A933" s="10"/>
      <c r="B933" s="13"/>
      <c r="C933" s="13"/>
      <c r="D933" s="13"/>
    </row>
    <row r="934" spans="1:4" ht="13" x14ac:dyDescent="0.15">
      <c r="A934" s="10"/>
      <c r="B934" s="13"/>
      <c r="C934" s="13"/>
      <c r="D934" s="13"/>
    </row>
    <row r="935" spans="1:4" ht="13" x14ac:dyDescent="0.15">
      <c r="A935" s="10"/>
      <c r="B935" s="13"/>
      <c r="C935" s="13"/>
      <c r="D935" s="13"/>
    </row>
    <row r="936" spans="1:4" ht="13" x14ac:dyDescent="0.15">
      <c r="A936" s="10"/>
      <c r="B936" s="13"/>
      <c r="C936" s="13"/>
      <c r="D936" s="13"/>
    </row>
    <row r="937" spans="1:4" ht="13" x14ac:dyDescent="0.15">
      <c r="A937" s="10"/>
      <c r="B937" s="13"/>
      <c r="C937" s="13"/>
      <c r="D937" s="13"/>
    </row>
    <row r="938" spans="1:4" ht="13" x14ac:dyDescent="0.15">
      <c r="A938" s="10"/>
      <c r="B938" s="13"/>
      <c r="C938" s="13"/>
      <c r="D938" s="13"/>
    </row>
    <row r="939" spans="1:4" ht="13" x14ac:dyDescent="0.15">
      <c r="A939" s="10"/>
      <c r="B939" s="13"/>
      <c r="C939" s="13"/>
      <c r="D939" s="13"/>
    </row>
    <row r="940" spans="1:4" ht="13" x14ac:dyDescent="0.15">
      <c r="A940" s="10"/>
      <c r="B940" s="13"/>
      <c r="C940" s="13"/>
      <c r="D940" s="13"/>
    </row>
    <row r="941" spans="1:4" ht="13" x14ac:dyDescent="0.15">
      <c r="A941" s="10"/>
      <c r="B941" s="13"/>
      <c r="C941" s="13"/>
      <c r="D941" s="13"/>
    </row>
    <row r="942" spans="1:4" ht="13" x14ac:dyDescent="0.15">
      <c r="A942" s="10"/>
      <c r="B942" s="13"/>
      <c r="C942" s="13"/>
      <c r="D942" s="13"/>
    </row>
    <row r="943" spans="1:4" ht="13" x14ac:dyDescent="0.15">
      <c r="A943" s="10"/>
      <c r="B943" s="13"/>
      <c r="C943" s="13"/>
      <c r="D943" s="13"/>
    </row>
    <row r="944" spans="1:4" ht="13" x14ac:dyDescent="0.15">
      <c r="A944" s="10"/>
      <c r="B944" s="13"/>
      <c r="C944" s="13"/>
      <c r="D944" s="13"/>
    </row>
    <row r="945" spans="1:4" ht="13" x14ac:dyDescent="0.15">
      <c r="A945" s="10"/>
      <c r="B945" s="13"/>
      <c r="C945" s="13"/>
      <c r="D945" s="13"/>
    </row>
    <row r="946" spans="1:4" ht="13" x14ac:dyDescent="0.15">
      <c r="A946" s="10"/>
      <c r="B946" s="13"/>
      <c r="C946" s="13"/>
      <c r="D946" s="13"/>
    </row>
    <row r="947" spans="1:4" ht="13" x14ac:dyDescent="0.15">
      <c r="A947" s="10"/>
      <c r="B947" s="13"/>
      <c r="C947" s="13"/>
      <c r="D947" s="13"/>
    </row>
    <row r="948" spans="1:4" ht="13" x14ac:dyDescent="0.15">
      <c r="A948" s="10"/>
      <c r="B948" s="13"/>
      <c r="C948" s="13"/>
      <c r="D948" s="13"/>
    </row>
    <row r="949" spans="1:4" ht="13" x14ac:dyDescent="0.15">
      <c r="A949" s="10"/>
      <c r="B949" s="13"/>
      <c r="C949" s="13"/>
      <c r="D949" s="13"/>
    </row>
    <row r="950" spans="1:4" ht="13" x14ac:dyDescent="0.15">
      <c r="A950" s="10"/>
      <c r="B950" s="13"/>
      <c r="C950" s="13"/>
      <c r="D950" s="13"/>
    </row>
    <row r="951" spans="1:4" ht="13" x14ac:dyDescent="0.15">
      <c r="A951" s="10"/>
      <c r="B951" s="13"/>
      <c r="C951" s="13"/>
      <c r="D951" s="13"/>
    </row>
    <row r="952" spans="1:4" ht="13" x14ac:dyDescent="0.15">
      <c r="A952" s="10"/>
      <c r="B952" s="13"/>
      <c r="C952" s="13"/>
      <c r="D952" s="13"/>
    </row>
    <row r="953" spans="1:4" ht="13" x14ac:dyDescent="0.15">
      <c r="A953" s="10"/>
      <c r="B953" s="13"/>
      <c r="C953" s="13"/>
      <c r="D953" s="13"/>
    </row>
    <row r="954" spans="1:4" ht="13" x14ac:dyDescent="0.15">
      <c r="A954" s="10"/>
      <c r="B954" s="13"/>
      <c r="C954" s="13"/>
      <c r="D954" s="13"/>
    </row>
    <row r="955" spans="1:4" ht="13" x14ac:dyDescent="0.15">
      <c r="A955" s="10"/>
      <c r="B955" s="13"/>
      <c r="C955" s="13"/>
      <c r="D955" s="13"/>
    </row>
    <row r="956" spans="1:4" ht="13" x14ac:dyDescent="0.15">
      <c r="A956" s="10"/>
      <c r="B956" s="13"/>
      <c r="C956" s="13"/>
      <c r="D956" s="13"/>
    </row>
    <row r="957" spans="1:4" ht="13" x14ac:dyDescent="0.15">
      <c r="A957" s="10"/>
      <c r="B957" s="13"/>
      <c r="C957" s="13"/>
      <c r="D957" s="13"/>
    </row>
    <row r="958" spans="1:4" ht="13" x14ac:dyDescent="0.15">
      <c r="A958" s="10"/>
      <c r="B958" s="13"/>
      <c r="C958" s="13"/>
      <c r="D958" s="13"/>
    </row>
    <row r="959" spans="1:4" ht="13" x14ac:dyDescent="0.15">
      <c r="A959" s="10"/>
      <c r="B959" s="13"/>
      <c r="C959" s="13"/>
      <c r="D959" s="13"/>
    </row>
    <row r="960" spans="1:4" ht="13" x14ac:dyDescent="0.15">
      <c r="A960" s="10"/>
      <c r="B960" s="13"/>
      <c r="C960" s="13"/>
      <c r="D960" s="13"/>
    </row>
    <row r="961" spans="1:4" ht="13" x14ac:dyDescent="0.15">
      <c r="A961" s="10"/>
      <c r="B961" s="13"/>
      <c r="C961" s="13"/>
      <c r="D961" s="13"/>
    </row>
    <row r="962" spans="1:4" ht="13" x14ac:dyDescent="0.15">
      <c r="A962" s="10"/>
      <c r="B962" s="13"/>
      <c r="C962" s="13"/>
      <c r="D962" s="13"/>
    </row>
    <row r="963" spans="1:4" ht="13" x14ac:dyDescent="0.15">
      <c r="A963" s="10"/>
      <c r="B963" s="13"/>
      <c r="C963" s="13"/>
      <c r="D963" s="13"/>
    </row>
    <row r="964" spans="1:4" ht="13" x14ac:dyDescent="0.15">
      <c r="A964" s="10"/>
      <c r="B964" s="13"/>
      <c r="C964" s="13"/>
      <c r="D964" s="13"/>
    </row>
    <row r="965" spans="1:4" ht="13" x14ac:dyDescent="0.15">
      <c r="A965" s="10"/>
      <c r="B965" s="13"/>
      <c r="C965" s="13"/>
      <c r="D965" s="13"/>
    </row>
    <row r="966" spans="1:4" ht="13" x14ac:dyDescent="0.15">
      <c r="A966" s="10"/>
      <c r="B966" s="13"/>
      <c r="C966" s="13"/>
      <c r="D966" s="13"/>
    </row>
    <row r="967" spans="1:4" ht="13" x14ac:dyDescent="0.15">
      <c r="A967" s="10"/>
      <c r="B967" s="13"/>
      <c r="C967" s="13"/>
      <c r="D967" s="13"/>
    </row>
    <row r="968" spans="1:4" ht="13" x14ac:dyDescent="0.15">
      <c r="A968" s="10"/>
      <c r="B968" s="13"/>
      <c r="C968" s="13"/>
      <c r="D968" s="13"/>
    </row>
    <row r="969" spans="1:4" ht="13" x14ac:dyDescent="0.15">
      <c r="A969" s="10"/>
      <c r="B969" s="13"/>
      <c r="C969" s="13"/>
      <c r="D969" s="13"/>
    </row>
    <row r="970" spans="1:4" ht="13" x14ac:dyDescent="0.15">
      <c r="A970" s="10"/>
      <c r="B970" s="13"/>
      <c r="C970" s="13"/>
      <c r="D970" s="13"/>
    </row>
    <row r="971" spans="1:4" ht="13" x14ac:dyDescent="0.15">
      <c r="A971" s="10"/>
      <c r="B971" s="13"/>
      <c r="C971" s="13"/>
      <c r="D971" s="13"/>
    </row>
    <row r="972" spans="1:4" ht="13" x14ac:dyDescent="0.15">
      <c r="A972" s="10"/>
      <c r="B972" s="13"/>
      <c r="C972" s="13"/>
      <c r="D972" s="13"/>
    </row>
    <row r="973" spans="1:4" ht="13" x14ac:dyDescent="0.15">
      <c r="A973" s="10"/>
      <c r="B973" s="13"/>
      <c r="C973" s="13"/>
      <c r="D973" s="13"/>
    </row>
    <row r="974" spans="1:4" ht="13" x14ac:dyDescent="0.15">
      <c r="A974" s="10"/>
      <c r="B974" s="13"/>
      <c r="C974" s="13"/>
      <c r="D974" s="13"/>
    </row>
    <row r="975" spans="1:4" ht="13" x14ac:dyDescent="0.15">
      <c r="A975" s="10"/>
      <c r="B975" s="13"/>
      <c r="C975" s="13"/>
      <c r="D975" s="13"/>
    </row>
    <row r="976" spans="1:4" ht="13" x14ac:dyDescent="0.15">
      <c r="A976" s="10"/>
      <c r="B976" s="13"/>
      <c r="C976" s="13"/>
      <c r="D976" s="13"/>
    </row>
    <row r="977" spans="1:4" ht="13" x14ac:dyDescent="0.15">
      <c r="A977" s="10"/>
      <c r="B977" s="13"/>
      <c r="C977" s="13"/>
      <c r="D977" s="13"/>
    </row>
    <row r="978" spans="1:4" ht="13" x14ac:dyDescent="0.15">
      <c r="A978" s="10"/>
      <c r="B978" s="13"/>
      <c r="C978" s="13"/>
      <c r="D978" s="13"/>
    </row>
    <row r="979" spans="1:4" ht="13" x14ac:dyDescent="0.15">
      <c r="A979" s="10"/>
      <c r="B979" s="13"/>
      <c r="C979" s="13"/>
      <c r="D979" s="13"/>
    </row>
    <row r="980" spans="1:4" ht="13" x14ac:dyDescent="0.15">
      <c r="A980" s="10"/>
      <c r="B980" s="13"/>
      <c r="C980" s="13"/>
      <c r="D980" s="13"/>
    </row>
    <row r="981" spans="1:4" ht="13" x14ac:dyDescent="0.15">
      <c r="A981" s="10"/>
      <c r="B981" s="13"/>
      <c r="C981" s="13"/>
      <c r="D981" s="13"/>
    </row>
    <row r="982" spans="1:4" ht="13" x14ac:dyDescent="0.15">
      <c r="A982" s="10"/>
      <c r="B982" s="13"/>
      <c r="C982" s="13"/>
      <c r="D982" s="13"/>
    </row>
    <row r="983" spans="1:4" ht="13" x14ac:dyDescent="0.15">
      <c r="A983" s="10"/>
      <c r="B983" s="13"/>
      <c r="C983" s="13"/>
      <c r="D983" s="13"/>
    </row>
    <row r="984" spans="1:4" ht="13" x14ac:dyDescent="0.15">
      <c r="A984" s="10"/>
      <c r="B984" s="13"/>
      <c r="C984" s="13"/>
      <c r="D984" s="13"/>
    </row>
    <row r="985" spans="1:4" ht="13" x14ac:dyDescent="0.15">
      <c r="A985" s="10"/>
      <c r="B985" s="13"/>
      <c r="C985" s="13"/>
      <c r="D985" s="13"/>
    </row>
    <row r="986" spans="1:4" ht="13" x14ac:dyDescent="0.15">
      <c r="A986" s="10"/>
      <c r="B986" s="13"/>
      <c r="C986" s="13"/>
      <c r="D986" s="13"/>
    </row>
    <row r="987" spans="1:4" ht="13" x14ac:dyDescent="0.15">
      <c r="A987" s="10"/>
      <c r="B987" s="13"/>
      <c r="C987" s="13"/>
      <c r="D987" s="13"/>
    </row>
    <row r="988" spans="1:4" ht="13" x14ac:dyDescent="0.15">
      <c r="A988" s="10"/>
      <c r="B988" s="13"/>
      <c r="C988" s="13"/>
      <c r="D988" s="13"/>
    </row>
    <row r="989" spans="1:4" ht="13" x14ac:dyDescent="0.15">
      <c r="A989" s="10"/>
      <c r="B989" s="13"/>
      <c r="C989" s="13"/>
      <c r="D989" s="13"/>
    </row>
    <row r="990" spans="1:4" ht="13" x14ac:dyDescent="0.15">
      <c r="A990" s="10"/>
      <c r="B990" s="13"/>
      <c r="C990" s="13"/>
      <c r="D990" s="13"/>
    </row>
    <row r="991" spans="1:4" ht="13" x14ac:dyDescent="0.15">
      <c r="A991" s="10"/>
      <c r="B991" s="13"/>
      <c r="C991" s="13"/>
      <c r="D991" s="13"/>
    </row>
    <row r="992" spans="1:4" ht="13" x14ac:dyDescent="0.15">
      <c r="A992" s="10"/>
      <c r="B992" s="13"/>
      <c r="C992" s="13"/>
      <c r="D992" s="13"/>
    </row>
    <row r="993" spans="1:4" ht="13" x14ac:dyDescent="0.15">
      <c r="A993" s="10"/>
      <c r="B993" s="13"/>
      <c r="C993" s="13"/>
      <c r="D993" s="13"/>
    </row>
    <row r="994" spans="1:4" ht="13" x14ac:dyDescent="0.15">
      <c r="A994" s="10"/>
      <c r="B994" s="13"/>
      <c r="C994" s="13"/>
      <c r="D994" s="13"/>
    </row>
    <row r="995" spans="1:4" ht="13" x14ac:dyDescent="0.15">
      <c r="A995" s="10"/>
      <c r="B995" s="13"/>
      <c r="C995" s="13"/>
      <c r="D995" s="13"/>
    </row>
    <row r="996" spans="1:4" ht="13" x14ac:dyDescent="0.15">
      <c r="A996" s="10"/>
      <c r="B996" s="13"/>
      <c r="C996" s="13"/>
      <c r="D996" s="13"/>
    </row>
    <row r="997" spans="1:4" ht="13" x14ac:dyDescent="0.15">
      <c r="A997" s="10"/>
      <c r="B997" s="13"/>
      <c r="C997" s="13"/>
      <c r="D997" s="13"/>
    </row>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outlinePr summaryBelow="0" summaryRight="0"/>
  </sheetPr>
  <dimension ref="A1:D997"/>
  <sheetViews>
    <sheetView workbookViewId="0"/>
  </sheetViews>
  <sheetFormatPr baseColWidth="10" defaultColWidth="12.6640625" defaultRowHeight="15.75" customHeight="1" x14ac:dyDescent="0.15"/>
  <cols>
    <col min="1" max="1" width="71.5" customWidth="1"/>
    <col min="2" max="4" width="37.6640625" customWidth="1"/>
  </cols>
  <sheetData>
    <row r="1" spans="1:4" x14ac:dyDescent="0.2">
      <c r="A1" s="1"/>
      <c r="B1" s="22" t="str">
        <f ca="1">IFERROR(__xludf.DUMMYFUNCTION("IMPORTRANGE(""https://docs.google.com/spreadsheets/u/0/d/1_NcUY7_L0-VKMwwoDwesshr7eGsHFBVPNg4YI6jkjhk"", ""A69!B1:B22"")"),"Noelle Labadens")</f>
        <v>Noelle Labadens</v>
      </c>
      <c r="C1" s="10" t="str">
        <f ca="1">IFERROR(__xludf.DUMMYFUNCTION("IMPORTRANGE(""https://docs.google.com/spreadsheets/u/0/d/1Rfwd61p8X8kU1VBE4PFTeYG7-2eZzi6BYhKfon6XtRs"", ""A69!B1:B22"")"),"Korie Hall")</f>
        <v>Korie Hall</v>
      </c>
      <c r="D1" s="2" t="s">
        <v>1</v>
      </c>
    </row>
    <row r="2" spans="1:4" ht="15.75" customHeight="1" x14ac:dyDescent="0.15">
      <c r="A2" s="3" t="s">
        <v>2</v>
      </c>
      <c r="B2" s="15" t="str">
        <f ca="1">IFERROR(__xludf.DUMMYFUNCTION("""COMPUTED_VALUE"""),"42442-43596 FOR")</f>
        <v>42442-43596 FOR</v>
      </c>
      <c r="C2" s="15" t="str">
        <f ca="1">IFERROR(__xludf.DUMMYFUNCTION("""COMPUTED_VALUE"""),"Start: 42442 / Stop: 43596")</f>
        <v>Start: 42442 / Stop: 43596</v>
      </c>
      <c r="D2" s="4"/>
    </row>
    <row r="3" spans="1:4" ht="15.75" customHeight="1" x14ac:dyDescent="0.15">
      <c r="A3" s="5" t="s">
        <v>3</v>
      </c>
      <c r="B3" s="17" t="str">
        <f ca="1">IFERROR(__xludf.DUMMYFUNCTION("""COMPUTED_VALUE"""),"DNA Master: 68; Phamerator: 69")</f>
        <v>DNA Master: 68; Phamerator: 69</v>
      </c>
      <c r="C3" s="17" t="str">
        <f ca="1">IFERROR(__xludf.DUMMYFUNCTION("""COMPUTED_VALUE"""),"DNA Master: 68 / Phamerator: 69")</f>
        <v>DNA Master: 68 / Phamerator: 69</v>
      </c>
      <c r="D3" s="6"/>
    </row>
    <row r="4" spans="1:4" ht="15.75" customHeight="1" x14ac:dyDescent="0.15">
      <c r="A4" s="5" t="s">
        <v>4</v>
      </c>
      <c r="B4" s="17" t="str">
        <f ca="1">IFERROR(__xludf.DUMMYFUNCTION("""COMPUTED_VALUE"""),"pham 217745")</f>
        <v>pham 217745</v>
      </c>
      <c r="C4" s="17">
        <f ca="1">IFERROR(__xludf.DUMMYFUNCTION("""COMPUTED_VALUE"""),217745)</f>
        <v>217745</v>
      </c>
      <c r="D4" s="6"/>
    </row>
    <row r="5" spans="1:4" ht="15.75" customHeight="1" x14ac:dyDescent="0.15">
      <c r="A5" s="5" t="s">
        <v>5</v>
      </c>
      <c r="B5" s="17"/>
      <c r="C5" s="17" t="str">
        <f ca="1">IFERROR(__xludf.DUMMYFUNCTION("""COMPUTED_VALUE"""),"Kovu_67")</f>
        <v>Kovu_67</v>
      </c>
      <c r="D5" s="6"/>
    </row>
    <row r="6" spans="1:4" ht="15.75" customHeight="1" x14ac:dyDescent="0.15">
      <c r="A6" s="5" t="s">
        <v>6</v>
      </c>
      <c r="B6" s="17" t="str">
        <f ca="1">IFERROR(__xludf.DUMMYFUNCTION("""COMPUTED_VALUE"""),"Glimmer call. GeneMark called 42421")</f>
        <v>Glimmer call. GeneMark called 42421</v>
      </c>
      <c r="C6" s="17" t="str">
        <f ca="1">IFERROR(__xludf.DUMMYFUNCTION("""COMPUTED_VALUE"""),"Glimmer calls at 42442 / GeneMark calls at 42421")</f>
        <v>Glimmer calls at 42442 / GeneMark calls at 42421</v>
      </c>
      <c r="D6" s="6"/>
    </row>
    <row r="7" spans="1:4" ht="15.75" customHeight="1" x14ac:dyDescent="0.15">
      <c r="A7" s="5" t="s">
        <v>7</v>
      </c>
      <c r="B7" s="17" t="str">
        <f ca="1">IFERROR(__xludf.DUMMYFUNCTION("""COMPUTED_VALUE"""),"good coding potential, captures all potential")</f>
        <v>good coding potential, captures all potential</v>
      </c>
      <c r="C7" s="17" t="str">
        <f ca="1">IFERROR(__xludf.DUMMYFUNCTION("""COMPUTED_VALUE"""),"The start codon called by GeneMark catches all of the coding potential of the gene. The one called by Glimmer loses a small amount")</f>
        <v>The start codon called by GeneMark catches all of the coding potential of the gene. The one called by Glimmer loses a small amount</v>
      </c>
      <c r="D7" s="6"/>
    </row>
    <row r="8" spans="1:4" ht="15.75" customHeight="1" x14ac:dyDescent="0.15">
      <c r="A8" s="5" t="s">
        <v>8</v>
      </c>
      <c r="B8" s="17" t="str">
        <f ca="1">IFERROR(__xludf.DUMMYFUNCTION("""COMPUTED_VALUE"""),"no. one before it with a slightly better z score (genemark's call)")</f>
        <v>no. one before it with a slightly better z score (genemark's call)</v>
      </c>
      <c r="C8" s="17" t="str">
        <f ca="1">IFERROR(__xludf.DUMMYFUNCTION("""COMPUTED_VALUE"""),"No - there is one other possible start, which is the one GeneMark calls ")</f>
        <v xml:space="preserve">No - there is one other possible start, which is the one GeneMark calls </v>
      </c>
      <c r="D8" s="6"/>
    </row>
    <row r="9" spans="1:4" ht="15.75" customHeight="1" x14ac:dyDescent="0.15">
      <c r="A9" s="5" t="s">
        <v>9</v>
      </c>
      <c r="B9" s="17" t="str">
        <f ca="1">IFERROR(__xludf.DUMMYFUNCTION("""COMPUTED_VALUE"""),"21 nt gap")</f>
        <v>21 nt gap</v>
      </c>
      <c r="C9" s="17" t="str">
        <f ca="1">IFERROR(__xludf.DUMMYFUNCTION("""COMPUTED_VALUE"""),"21 gap between geen 68 and gene 69")</f>
        <v>21 gap between geen 68 and gene 69</v>
      </c>
      <c r="D9" s="6"/>
    </row>
    <row r="10" spans="1:4" ht="15.75" customHeight="1" x14ac:dyDescent="0.15">
      <c r="A10" s="5" t="s">
        <v>10</v>
      </c>
      <c r="B10" s="17" t="str">
        <f ca="1">IFERROR(__xludf.DUMMYFUNCTION("""COMPUTED_VALUE"""),"SD:  -5.082, Z: 1.407. best and closest z score is at start 4 (2.472)")</f>
        <v>SD:  -5.082, Z: 1.407. best and closest z score is at start 4 (2.472)</v>
      </c>
      <c r="C10" s="17" t="str">
        <f ca="1">IFERROR(__xludf.DUMMYFUNCTION("""COMPUTED_VALUE"""),"Z-score: 1.407 / Final score: -6.128")</f>
        <v>Z-score: 1.407 / Final score: -6.128</v>
      </c>
      <c r="D10" s="6"/>
    </row>
    <row r="11" spans="1:4" ht="15.75" customHeight="1" x14ac:dyDescent="0.15">
      <c r="A11" s="5" t="s">
        <v>11</v>
      </c>
      <c r="B11" s="17" t="str">
        <f ca="1">IFERROR(__xludf.DUMMYFUNCTION("""COMPUTED_VALUE"""),"Kovu_67, 95%, e=0.0, q:1 s:8. s not alligned")</f>
        <v>Kovu_67, 95%, e=0.0, q:1 s:8. s not alligned</v>
      </c>
      <c r="C11" s="17" t="str">
        <f ca="1">IFERROR(__xludf.DUMMYFUNCTION("""COMPUTED_VALUE"""),"Kovu_67 - % identity: 100% / e-value: 0.0 / q1:s8")</f>
        <v>Kovu_67 - % identity: 100% / e-value: 0.0 / q1:s8</v>
      </c>
      <c r="D11" s="6"/>
    </row>
    <row r="12" spans="1:4" ht="15.75" customHeight="1" x14ac:dyDescent="0.15">
      <c r="A12" s="5" t="s">
        <v>12</v>
      </c>
      <c r="B12" s="17" t="str">
        <f ca="1">IFERROR(__xludf.DUMMYFUNCTION("""COMPUTED_VALUE"""),"no, only found in about 8 percent of genes. called about 9 percent of the time when present. Kovu calls most annotated staret 23, which ApoKipo has. it's the one with the better z score")</f>
        <v>no, only found in about 8 percent of genes. called about 9 percent of the time when present. Kovu calls most annotated staret 23, which ApoKipo has. it's the one with the better z score</v>
      </c>
      <c r="C12" s="17" t="str">
        <f ca="1">IFERROR(__xludf.DUMMYFUNCTION("""COMPUTED_VALUE"""),"Found in 11 of 125 of genes in pham / Called 9.1% of the time ")</f>
        <v xml:space="preserve">Found in 11 of 125 of genes in pham / Called 9.1% of the time </v>
      </c>
      <c r="D12" s="6"/>
    </row>
    <row r="13" spans="1:4" ht="15.75" customHeight="1" x14ac:dyDescent="0.15">
      <c r="A13" s="5" t="s">
        <v>13</v>
      </c>
      <c r="B13" s="17" t="str">
        <f ca="1">IFERROR(__xludf.DUMMYFUNCTION("""COMPUTED_VALUE"""),"change to GeneMark's start, the one before glimmer's call. it has a better z score and lines up with Kovu and the other most annotated starts.")</f>
        <v>change to GeneMark's start, the one before glimmer's call. it has a better z score and lines up with Kovu and the other most annotated starts.</v>
      </c>
      <c r="C13" s="17" t="str">
        <f ca="1">IFERROR(__xludf.DUMMYFUNCTION("""COMPUTED_VALUE"""),"Start codom should be moved earlier. The new start has a better Z-score and Final score, catches all of the genetic potential, and has better hits in the other members of the pham")</f>
        <v>Start codom should be moved earlier. The new start has a better Z-score and Final score, catches all of the genetic potential, and has better hits in the other members of the pham</v>
      </c>
      <c r="D13" s="6"/>
    </row>
    <row r="14" spans="1:4" ht="15.75" customHeight="1" x14ac:dyDescent="0.15">
      <c r="A14" s="5" t="s">
        <v>14</v>
      </c>
      <c r="B14" s="17" t="str">
        <f ca="1">IFERROR(__xludf.DUMMYFUNCTION("""COMPUTED_VALUE"""),"Kovu_67 e=0.0")</f>
        <v>Kovu_67 e=0.0</v>
      </c>
      <c r="C14" s="17" t="str">
        <f ca="1">IFERROR(__xludf.DUMMYFUNCTION("""COMPUTED_VALUE"""),"Kovu_67 - e-value: 0.0")</f>
        <v>Kovu_67 - e-value: 0.0</v>
      </c>
      <c r="D14" s="6"/>
    </row>
    <row r="15" spans="1:4" ht="15.75" customHeight="1" x14ac:dyDescent="0.15">
      <c r="A15" s="5" t="s">
        <v>15</v>
      </c>
      <c r="B15" s="17" t="str">
        <f ca="1">IFERROR(__xludf.DUMMYFUNCTION("""COMPUTED_VALUE"""),"minor tail protein Kovu_67")</f>
        <v>minor tail protein Kovu_67</v>
      </c>
      <c r="C15" s="17" t="str">
        <f ca="1">IFERROR(__xludf.DUMMYFUNCTION("""COMPUTED_VALUE"""),"Kovu_67 - Minor tail protein")</f>
        <v>Kovu_67 - Minor tail protein</v>
      </c>
      <c r="D15" s="6"/>
    </row>
    <row r="16" spans="1:4" ht="15.75" customHeight="1" x14ac:dyDescent="0.15">
      <c r="A16" s="5" t="s">
        <v>16</v>
      </c>
      <c r="B16" s="17" t="str">
        <f ca="1">IFERROR(__xludf.DUMMYFUNCTION("""COMPUTED_VALUE"""),"good synteny, kind of hard to tell bc of the angle. all genes surrounded are to be expected.")</f>
        <v>good synteny, kind of hard to tell bc of the angle. all genes surrounded are to be expected.</v>
      </c>
      <c r="C16" s="17" t="str">
        <f ca="1">IFERROR(__xludf.DUMMYFUNCTION("""COMPUTED_VALUE"""),"Function is all expected in its place in the genome / adjacent to Kovu_67")</f>
        <v>Function is all expected in its place in the genome / adjacent to Kovu_67</v>
      </c>
      <c r="D16" s="6"/>
    </row>
    <row r="17" spans="1:4" ht="15.75" customHeight="1" x14ac:dyDescent="0.15">
      <c r="A17" s="5" t="s">
        <v>17</v>
      </c>
      <c r="B17" s="17" t="str">
        <f ca="1">IFERROR(__xludf.DUMMYFUNCTION("""COMPUTED_VALUE"""),"VGRG1, VALINE-GLYCINE REPEAT PROTEIN G1; STRUCTURAL PROTEIN, VGRG1, VIRULENCE, TOXIN, EFFECTOR, PUNCTURING DEVICE, SPIKE, T6SS, P. AERUGINOSA; HET: MSE, CL, NA; 2.0A {PSEUDOMONAS AERUGINOSA}, 99.75%, Q:83.59, T: 49.31%; yes; no")</f>
        <v>VGRG1, VALINE-GLYCINE REPEAT PROTEIN G1; STRUCTURAL PROTEIN, VGRG1, VIRULENCE, TOXIN, EFFECTOR, PUNCTURING DEVICE, SPIKE, T6SS, P. AERUGINOSA; HET: MSE, CL, NA; 2.0A {PSEUDOMONAS AERUGINOSA}, 99.75%, Q:83.59, T: 49.31%; yes; no</v>
      </c>
      <c r="C17" s="17" t="str">
        <f ca="1">IFERROR(__xludf.DUMMYFUNCTION("""COMPUTED_VALUE"""),"Prophage MuSo2, 43 kDa tail protein; MuSo2, Shewanella oneidensis MR-1, Structural Genomics, PSI-2, Protein Structure In / Probability: 99.95% / % alignment of query: 82% / % alignment of target: 87%")</f>
        <v>Prophage MuSo2, 43 kDa tail protein; MuSo2, Shewanella oneidensis MR-1, Structural Genomics, PSI-2, Protein Structure In / Probability: 99.95% / % alignment of query: 82% / % alignment of target: 87%</v>
      </c>
      <c r="D17" s="6"/>
    </row>
    <row r="18" spans="1:4" ht="15.75" customHeight="1" x14ac:dyDescent="0.15">
      <c r="A18" s="5" t="s">
        <v>18</v>
      </c>
      <c r="B18" s="17" t="str">
        <f ca="1">IFERROR(__xludf.DUMMYFUNCTION("""COMPUTED_VALUE"""),"none")</f>
        <v>none</v>
      </c>
      <c r="C18" s="17" t="str">
        <f ca="1">IFERROR(__xludf.DUMMYFUNCTION("""COMPUTED_VALUE"""),"No conserved domain identified")</f>
        <v>No conserved domain identified</v>
      </c>
      <c r="D18" s="6"/>
    </row>
    <row r="19" spans="1:4" ht="15.75" customHeight="1" x14ac:dyDescent="0.15">
      <c r="A19" s="5" t="s">
        <v>19</v>
      </c>
      <c r="B19" s="17" t="str">
        <f ca="1">IFERROR(__xludf.DUMMYFUNCTION("""COMPUTED_VALUE"""),"none")</f>
        <v>none</v>
      </c>
      <c r="C19" s="17" t="str">
        <f ca="1">IFERROR(__xludf.DUMMYFUNCTION("""COMPUTED_VALUE"""),"No membrane protein identified")</f>
        <v>No membrane protein identified</v>
      </c>
      <c r="D19" s="6"/>
    </row>
    <row r="20" spans="1:4" ht="15.75" customHeight="1" x14ac:dyDescent="0.15">
      <c r="A20" s="5" t="s">
        <v>20</v>
      </c>
      <c r="B20" s="17" t="str">
        <f ca="1">IFERROR(__xludf.DUMMYFUNCTION("""COMPUTED_VALUE"""),"minor tail protein. in order to call it this you need to match with collagen/glycogen rich proteins. the one listed in hhpred is glycogen rich. minor tail protien alligns with Kovu and is frequently called in this pham.")</f>
        <v>minor tail protein. in order to call it this you need to match with collagen/glycogen rich proteins. the one listed in hhpred is glycogen rich. minor tail protien alligns with Kovu and is frequently called in this pham.</v>
      </c>
      <c r="C20" s="17" t="str">
        <f ca="1">IFERROR(__xludf.DUMMYFUNCTION("""COMPUTED_VALUE"""),"Minor tail protein ( Rationale All identified members of the pham have a function of minor tail protein. Reliable hits and matches can be used to confirm this. )")</f>
        <v>Minor tail protein ( Rationale All identified members of the pham have a function of minor tail protein. Reliable hits and matches can be used to confirm this. )</v>
      </c>
      <c r="D20" s="6"/>
    </row>
    <row r="21" spans="1:4" x14ac:dyDescent="0.2">
      <c r="A21" s="7"/>
      <c r="B21" s="19"/>
      <c r="C21" s="19"/>
      <c r="D21" s="8"/>
    </row>
    <row r="22" spans="1:4" ht="15.75" customHeight="1" x14ac:dyDescent="0.15">
      <c r="A22" s="9" t="s">
        <v>21</v>
      </c>
      <c r="B22" s="19"/>
      <c r="C22" s="19"/>
      <c r="D22" s="8"/>
    </row>
    <row r="23" spans="1:4" ht="15.75" customHeight="1" x14ac:dyDescent="0.15">
      <c r="A23" s="10"/>
      <c r="B23" s="13"/>
      <c r="C23" s="13"/>
    </row>
    <row r="24" spans="1:4" ht="15.75" customHeight="1" x14ac:dyDescent="0.15">
      <c r="A24" s="10"/>
      <c r="B24" s="13"/>
      <c r="C24" s="13"/>
    </row>
    <row r="25" spans="1:4" ht="15.75" customHeight="1" x14ac:dyDescent="0.15">
      <c r="A25" s="10"/>
      <c r="B25" s="13"/>
      <c r="C25" s="13"/>
    </row>
    <row r="26" spans="1:4" ht="15.75" customHeight="1" x14ac:dyDescent="0.15">
      <c r="A26" s="10"/>
      <c r="B26" s="13"/>
      <c r="C26" s="13"/>
    </row>
    <row r="27" spans="1:4" ht="15.75" customHeight="1" x14ac:dyDescent="0.15">
      <c r="A27" s="10"/>
      <c r="B27" s="13"/>
      <c r="C27" s="13"/>
    </row>
    <row r="28" spans="1:4" ht="15.75" customHeight="1" x14ac:dyDescent="0.15">
      <c r="A28" s="10"/>
      <c r="B28" s="13"/>
      <c r="C28" s="13"/>
    </row>
    <row r="29" spans="1:4" ht="15.75" customHeight="1" x14ac:dyDescent="0.15">
      <c r="A29" s="10"/>
      <c r="B29" s="13"/>
      <c r="C29" s="13"/>
    </row>
    <row r="30" spans="1:4" ht="15.75" customHeight="1" x14ac:dyDescent="0.15">
      <c r="A30" s="10"/>
      <c r="B30" s="13"/>
      <c r="C30" s="13"/>
    </row>
    <row r="31" spans="1:4" ht="15.75" customHeight="1" x14ac:dyDescent="0.15">
      <c r="A31" s="10"/>
      <c r="B31" s="13"/>
      <c r="C31" s="13"/>
    </row>
    <row r="32" spans="1:4" ht="15.75" customHeight="1" x14ac:dyDescent="0.15">
      <c r="A32" s="10"/>
      <c r="B32" s="13"/>
      <c r="C32" s="13"/>
    </row>
    <row r="33" spans="1:3" ht="15.75" customHeight="1" x14ac:dyDescent="0.15">
      <c r="A33" s="10"/>
      <c r="B33" s="13"/>
      <c r="C33" s="13"/>
    </row>
    <row r="34" spans="1:3" ht="15.75" customHeight="1" x14ac:dyDescent="0.15">
      <c r="A34" s="10"/>
      <c r="B34" s="13"/>
      <c r="C34" s="13"/>
    </row>
    <row r="35" spans="1:3" ht="15.75" customHeight="1" x14ac:dyDescent="0.15">
      <c r="A35" s="10"/>
      <c r="B35" s="13"/>
      <c r="C35" s="13"/>
    </row>
    <row r="36" spans="1:3" ht="15.75" customHeight="1" x14ac:dyDescent="0.15">
      <c r="A36" s="10"/>
      <c r="B36" s="13"/>
      <c r="C36" s="13"/>
    </row>
    <row r="37" spans="1:3" ht="15.75" customHeight="1" x14ac:dyDescent="0.15">
      <c r="A37" s="10"/>
      <c r="B37" s="13"/>
      <c r="C37" s="13"/>
    </row>
    <row r="38" spans="1:3" ht="15.75" customHeight="1" x14ac:dyDescent="0.15">
      <c r="A38" s="10"/>
      <c r="B38" s="13"/>
      <c r="C38" s="13"/>
    </row>
    <row r="39" spans="1:3" ht="13" x14ac:dyDescent="0.15">
      <c r="A39" s="10"/>
      <c r="B39" s="13"/>
      <c r="C39" s="13"/>
    </row>
    <row r="40" spans="1:3" ht="13" x14ac:dyDescent="0.15">
      <c r="A40" s="10"/>
      <c r="B40" s="13"/>
      <c r="C40" s="13"/>
    </row>
    <row r="41" spans="1:3" ht="13" x14ac:dyDescent="0.15">
      <c r="A41" s="10"/>
      <c r="B41" s="13"/>
      <c r="C41" s="13"/>
    </row>
    <row r="42" spans="1:3" ht="13" x14ac:dyDescent="0.15">
      <c r="A42" s="10"/>
      <c r="B42" s="13"/>
      <c r="C42" s="13"/>
    </row>
    <row r="43" spans="1:3" ht="13" x14ac:dyDescent="0.15">
      <c r="A43" s="10"/>
      <c r="B43" s="13"/>
      <c r="C43" s="13"/>
    </row>
    <row r="44" spans="1:3" ht="13" x14ac:dyDescent="0.15">
      <c r="A44" s="10"/>
      <c r="B44" s="13"/>
      <c r="C44" s="13"/>
    </row>
    <row r="45" spans="1:3" ht="13" x14ac:dyDescent="0.15">
      <c r="A45" s="10"/>
      <c r="B45" s="13"/>
      <c r="C45" s="13"/>
    </row>
    <row r="46" spans="1:3" ht="13" x14ac:dyDescent="0.15">
      <c r="A46" s="10"/>
      <c r="B46" s="13"/>
      <c r="C46" s="13"/>
    </row>
    <row r="47" spans="1:3" ht="13" x14ac:dyDescent="0.15">
      <c r="A47" s="10"/>
      <c r="B47" s="13"/>
      <c r="C47" s="13"/>
    </row>
    <row r="48" spans="1:3" ht="13" x14ac:dyDescent="0.15">
      <c r="A48" s="10"/>
      <c r="B48" s="13"/>
      <c r="C48" s="13"/>
    </row>
    <row r="49" spans="1:3" ht="13" x14ac:dyDescent="0.15">
      <c r="A49" s="10"/>
      <c r="B49" s="13"/>
      <c r="C49" s="13"/>
    </row>
    <row r="50" spans="1:3" ht="13" x14ac:dyDescent="0.15">
      <c r="A50" s="10"/>
      <c r="B50" s="13"/>
      <c r="C50" s="13"/>
    </row>
    <row r="51" spans="1:3" ht="13" x14ac:dyDescent="0.15">
      <c r="A51" s="10"/>
      <c r="B51" s="13"/>
      <c r="C51" s="13"/>
    </row>
    <row r="52" spans="1:3" ht="13" x14ac:dyDescent="0.15">
      <c r="A52" s="10"/>
      <c r="B52" s="13"/>
      <c r="C52" s="13"/>
    </row>
    <row r="53" spans="1:3" ht="13" x14ac:dyDescent="0.15">
      <c r="A53" s="10"/>
      <c r="B53" s="13"/>
      <c r="C53" s="13"/>
    </row>
    <row r="54" spans="1:3" ht="13" x14ac:dyDescent="0.15">
      <c r="A54" s="10"/>
      <c r="B54" s="13"/>
      <c r="C54" s="13"/>
    </row>
    <row r="55" spans="1:3" ht="13" x14ac:dyDescent="0.15">
      <c r="A55" s="10"/>
      <c r="B55" s="13"/>
      <c r="C55" s="13"/>
    </row>
    <row r="56" spans="1:3" ht="13" x14ac:dyDescent="0.15">
      <c r="A56" s="10"/>
      <c r="B56" s="13"/>
      <c r="C56" s="13"/>
    </row>
    <row r="57" spans="1:3" ht="13" x14ac:dyDescent="0.15">
      <c r="A57" s="10"/>
      <c r="B57" s="13"/>
      <c r="C57" s="13"/>
    </row>
    <row r="58" spans="1:3" ht="13" x14ac:dyDescent="0.15">
      <c r="A58" s="10"/>
      <c r="B58" s="13"/>
      <c r="C58" s="13"/>
    </row>
    <row r="59" spans="1:3" ht="13" x14ac:dyDescent="0.15">
      <c r="A59" s="10"/>
      <c r="B59" s="13"/>
      <c r="C59" s="13"/>
    </row>
    <row r="60" spans="1:3" ht="13" x14ac:dyDescent="0.15">
      <c r="A60" s="10"/>
      <c r="B60" s="13"/>
      <c r="C60" s="13"/>
    </row>
    <row r="61" spans="1:3" ht="13" x14ac:dyDescent="0.15">
      <c r="A61" s="10"/>
      <c r="B61" s="13"/>
      <c r="C61" s="13"/>
    </row>
    <row r="62" spans="1:3" ht="13" x14ac:dyDescent="0.15">
      <c r="A62" s="10"/>
      <c r="B62" s="13"/>
      <c r="C62" s="13"/>
    </row>
    <row r="63" spans="1:3" ht="13" x14ac:dyDescent="0.15">
      <c r="A63" s="10"/>
      <c r="B63" s="13"/>
      <c r="C63" s="13"/>
    </row>
    <row r="64" spans="1:3" ht="13" x14ac:dyDescent="0.15">
      <c r="A64" s="10"/>
      <c r="B64" s="13"/>
      <c r="C64" s="13"/>
    </row>
    <row r="65" spans="1:3" ht="13" x14ac:dyDescent="0.15">
      <c r="A65" s="10"/>
      <c r="B65" s="13"/>
      <c r="C65" s="13"/>
    </row>
    <row r="66" spans="1:3" ht="13" x14ac:dyDescent="0.15">
      <c r="A66" s="10"/>
      <c r="B66" s="13"/>
      <c r="C66" s="13"/>
    </row>
    <row r="67" spans="1:3" ht="13" x14ac:dyDescent="0.15">
      <c r="A67" s="10"/>
      <c r="B67" s="13"/>
      <c r="C67" s="13"/>
    </row>
    <row r="68" spans="1:3" ht="13" x14ac:dyDescent="0.15">
      <c r="A68" s="10"/>
      <c r="B68" s="13"/>
      <c r="C68" s="13"/>
    </row>
    <row r="69" spans="1:3" ht="13" x14ac:dyDescent="0.15">
      <c r="A69" s="10"/>
      <c r="B69" s="13"/>
      <c r="C69" s="13"/>
    </row>
    <row r="70" spans="1:3" ht="13" x14ac:dyDescent="0.15">
      <c r="A70" s="10"/>
      <c r="B70" s="13"/>
      <c r="C70" s="13"/>
    </row>
    <row r="71" spans="1:3" ht="13" x14ac:dyDescent="0.15">
      <c r="A71" s="10"/>
      <c r="B71" s="13"/>
      <c r="C71" s="13"/>
    </row>
    <row r="72" spans="1:3" ht="13" x14ac:dyDescent="0.15">
      <c r="A72" s="10"/>
      <c r="B72" s="13"/>
      <c r="C72" s="13"/>
    </row>
    <row r="73" spans="1:3" ht="13" x14ac:dyDescent="0.15">
      <c r="A73" s="10"/>
      <c r="B73" s="13"/>
      <c r="C73" s="13"/>
    </row>
    <row r="74" spans="1:3" ht="13" x14ac:dyDescent="0.15">
      <c r="A74" s="10"/>
      <c r="B74" s="13"/>
      <c r="C74" s="13"/>
    </row>
    <row r="75" spans="1:3" ht="13" x14ac:dyDescent="0.15">
      <c r="A75" s="10"/>
      <c r="B75" s="13"/>
      <c r="C75" s="13"/>
    </row>
    <row r="76" spans="1:3" ht="13" x14ac:dyDescent="0.15">
      <c r="A76" s="10"/>
      <c r="B76" s="13"/>
      <c r="C76" s="13"/>
    </row>
    <row r="77" spans="1:3" ht="13" x14ac:dyDescent="0.15">
      <c r="A77" s="10"/>
      <c r="B77" s="13"/>
      <c r="C77" s="13"/>
    </row>
    <row r="78" spans="1:3" ht="13" x14ac:dyDescent="0.15">
      <c r="A78" s="10"/>
      <c r="B78" s="13"/>
      <c r="C78" s="13"/>
    </row>
    <row r="79" spans="1:3" ht="13" x14ac:dyDescent="0.15">
      <c r="A79" s="10"/>
      <c r="B79" s="13"/>
      <c r="C79" s="13"/>
    </row>
    <row r="80" spans="1:3" ht="13" x14ac:dyDescent="0.15">
      <c r="A80" s="10"/>
      <c r="B80" s="13"/>
      <c r="C80" s="13"/>
    </row>
    <row r="81" spans="1:3" ht="13" x14ac:dyDescent="0.15">
      <c r="A81" s="10"/>
      <c r="B81" s="13"/>
      <c r="C81" s="13"/>
    </row>
    <row r="82" spans="1:3" ht="13" x14ac:dyDescent="0.15">
      <c r="A82" s="10"/>
      <c r="B82" s="13"/>
      <c r="C82" s="13"/>
    </row>
    <row r="83" spans="1:3" ht="13" x14ac:dyDescent="0.15">
      <c r="A83" s="10"/>
      <c r="B83" s="13"/>
      <c r="C83" s="13"/>
    </row>
    <row r="84" spans="1:3" ht="13" x14ac:dyDescent="0.15">
      <c r="A84" s="10"/>
      <c r="B84" s="13"/>
      <c r="C84" s="13"/>
    </row>
    <row r="85" spans="1:3" ht="13" x14ac:dyDescent="0.15">
      <c r="A85" s="10"/>
      <c r="B85" s="13"/>
      <c r="C85" s="13"/>
    </row>
    <row r="86" spans="1:3" ht="13" x14ac:dyDescent="0.15">
      <c r="A86" s="10"/>
      <c r="B86" s="13"/>
      <c r="C86" s="13"/>
    </row>
    <row r="87" spans="1:3" ht="13" x14ac:dyDescent="0.15">
      <c r="A87" s="10"/>
      <c r="B87" s="13"/>
      <c r="C87" s="13"/>
    </row>
    <row r="88" spans="1:3" ht="13" x14ac:dyDescent="0.15">
      <c r="A88" s="10"/>
      <c r="B88" s="13"/>
      <c r="C88" s="13"/>
    </row>
    <row r="89" spans="1:3" ht="13" x14ac:dyDescent="0.15">
      <c r="A89" s="10"/>
      <c r="B89" s="13"/>
      <c r="C89" s="13"/>
    </row>
    <row r="90" spans="1:3" ht="13" x14ac:dyDescent="0.15">
      <c r="A90" s="10"/>
      <c r="B90" s="13"/>
      <c r="C90" s="13"/>
    </row>
    <row r="91" spans="1:3" ht="13" x14ac:dyDescent="0.15">
      <c r="A91" s="10"/>
      <c r="B91" s="13"/>
      <c r="C91" s="13"/>
    </row>
    <row r="92" spans="1:3" ht="13" x14ac:dyDescent="0.15">
      <c r="A92" s="10"/>
      <c r="B92" s="13"/>
      <c r="C92" s="13"/>
    </row>
    <row r="93" spans="1:3" ht="13" x14ac:dyDescent="0.15">
      <c r="A93" s="10"/>
      <c r="B93" s="13"/>
      <c r="C93" s="13"/>
    </row>
    <row r="94" spans="1:3" ht="13" x14ac:dyDescent="0.15">
      <c r="A94" s="10"/>
      <c r="B94" s="13"/>
      <c r="C94" s="13"/>
    </row>
    <row r="95" spans="1:3" ht="13" x14ac:dyDescent="0.15">
      <c r="A95" s="10"/>
      <c r="B95" s="13"/>
      <c r="C95" s="13"/>
    </row>
    <row r="96" spans="1:3" ht="13" x14ac:dyDescent="0.15">
      <c r="A96" s="10"/>
      <c r="B96" s="13"/>
      <c r="C96" s="13"/>
    </row>
    <row r="97" spans="1:3" ht="13" x14ac:dyDescent="0.15">
      <c r="A97" s="10"/>
      <c r="B97" s="13"/>
      <c r="C97" s="13"/>
    </row>
    <row r="98" spans="1:3" ht="13" x14ac:dyDescent="0.15">
      <c r="A98" s="10"/>
      <c r="B98" s="13"/>
      <c r="C98" s="13"/>
    </row>
    <row r="99" spans="1:3" ht="13" x14ac:dyDescent="0.15">
      <c r="A99" s="10"/>
      <c r="B99" s="13"/>
      <c r="C99" s="13"/>
    </row>
    <row r="100" spans="1:3" ht="13" x14ac:dyDescent="0.15">
      <c r="A100" s="10"/>
      <c r="B100" s="13"/>
      <c r="C100" s="13"/>
    </row>
    <row r="101" spans="1:3" ht="13" x14ac:dyDescent="0.15">
      <c r="A101" s="10"/>
      <c r="B101" s="13"/>
      <c r="C101" s="13"/>
    </row>
    <row r="102" spans="1:3" ht="13" x14ac:dyDescent="0.15">
      <c r="A102" s="10"/>
      <c r="B102" s="13"/>
      <c r="C102" s="13"/>
    </row>
    <row r="103" spans="1:3" ht="13" x14ac:dyDescent="0.15">
      <c r="A103" s="10"/>
      <c r="B103" s="13"/>
      <c r="C103" s="13"/>
    </row>
    <row r="104" spans="1:3" ht="13" x14ac:dyDescent="0.15">
      <c r="A104" s="10"/>
      <c r="B104" s="13"/>
      <c r="C104" s="13"/>
    </row>
    <row r="105" spans="1:3" ht="13" x14ac:dyDescent="0.15">
      <c r="A105" s="10"/>
      <c r="B105" s="13"/>
      <c r="C105" s="13"/>
    </row>
    <row r="106" spans="1:3" ht="13" x14ac:dyDescent="0.15">
      <c r="A106" s="10"/>
      <c r="B106" s="13"/>
      <c r="C106" s="13"/>
    </row>
    <row r="107" spans="1:3" ht="13" x14ac:dyDescent="0.15">
      <c r="A107" s="10"/>
      <c r="B107" s="13"/>
      <c r="C107" s="13"/>
    </row>
    <row r="108" spans="1:3" ht="13" x14ac:dyDescent="0.15">
      <c r="A108" s="10"/>
      <c r="B108" s="13"/>
      <c r="C108" s="13"/>
    </row>
    <row r="109" spans="1:3" ht="13" x14ac:dyDescent="0.15">
      <c r="A109" s="10"/>
      <c r="B109" s="13"/>
      <c r="C109" s="13"/>
    </row>
    <row r="110" spans="1:3" ht="13" x14ac:dyDescent="0.15">
      <c r="A110" s="10"/>
      <c r="B110" s="13"/>
      <c r="C110" s="13"/>
    </row>
    <row r="111" spans="1:3" ht="13" x14ac:dyDescent="0.15">
      <c r="A111" s="10"/>
      <c r="B111" s="13"/>
      <c r="C111" s="13"/>
    </row>
    <row r="112" spans="1:3" ht="13" x14ac:dyDescent="0.15">
      <c r="A112" s="10"/>
      <c r="B112" s="13"/>
      <c r="C112" s="13"/>
    </row>
    <row r="113" spans="1:3" ht="13" x14ac:dyDescent="0.15">
      <c r="A113" s="10"/>
      <c r="B113" s="13"/>
      <c r="C113" s="13"/>
    </row>
    <row r="114" spans="1:3" ht="13" x14ac:dyDescent="0.15">
      <c r="A114" s="10"/>
      <c r="B114" s="13"/>
      <c r="C114" s="13"/>
    </row>
    <row r="115" spans="1:3" ht="13" x14ac:dyDescent="0.15">
      <c r="A115" s="10"/>
      <c r="B115" s="13"/>
      <c r="C115" s="13"/>
    </row>
    <row r="116" spans="1:3" ht="13" x14ac:dyDescent="0.15">
      <c r="A116" s="10"/>
      <c r="B116" s="13"/>
      <c r="C116" s="13"/>
    </row>
    <row r="117" spans="1:3" ht="13" x14ac:dyDescent="0.15">
      <c r="A117" s="10"/>
      <c r="B117" s="13"/>
      <c r="C117" s="13"/>
    </row>
    <row r="118" spans="1:3" ht="13" x14ac:dyDescent="0.15">
      <c r="A118" s="10"/>
      <c r="B118" s="13"/>
      <c r="C118" s="13"/>
    </row>
    <row r="119" spans="1:3" ht="13" x14ac:dyDescent="0.15">
      <c r="A119" s="10"/>
      <c r="B119" s="13"/>
      <c r="C119" s="13"/>
    </row>
    <row r="120" spans="1:3" ht="13" x14ac:dyDescent="0.15">
      <c r="A120" s="10"/>
      <c r="B120" s="13"/>
      <c r="C120" s="13"/>
    </row>
    <row r="121" spans="1:3" ht="13" x14ac:dyDescent="0.15">
      <c r="A121" s="10"/>
      <c r="B121" s="13"/>
      <c r="C121" s="13"/>
    </row>
    <row r="122" spans="1:3" ht="13" x14ac:dyDescent="0.15">
      <c r="A122" s="10"/>
      <c r="B122" s="13"/>
      <c r="C122" s="13"/>
    </row>
    <row r="123" spans="1:3" ht="13" x14ac:dyDescent="0.15">
      <c r="A123" s="10"/>
      <c r="B123" s="13"/>
      <c r="C123" s="13"/>
    </row>
    <row r="124" spans="1:3" ht="13" x14ac:dyDescent="0.15">
      <c r="A124" s="10"/>
      <c r="B124" s="13"/>
      <c r="C124" s="13"/>
    </row>
    <row r="125" spans="1:3" ht="13" x14ac:dyDescent="0.15">
      <c r="A125" s="10"/>
      <c r="B125" s="13"/>
      <c r="C125" s="13"/>
    </row>
    <row r="126" spans="1:3" ht="13" x14ac:dyDescent="0.15">
      <c r="A126" s="10"/>
      <c r="B126" s="13"/>
      <c r="C126" s="13"/>
    </row>
    <row r="127" spans="1:3" ht="13" x14ac:dyDescent="0.15">
      <c r="A127" s="10"/>
      <c r="B127" s="13"/>
      <c r="C127" s="13"/>
    </row>
    <row r="128" spans="1:3" ht="13" x14ac:dyDescent="0.15">
      <c r="A128" s="10"/>
      <c r="B128" s="13"/>
      <c r="C128" s="13"/>
    </row>
    <row r="129" spans="1:3" ht="13" x14ac:dyDescent="0.15">
      <c r="A129" s="10"/>
      <c r="B129" s="13"/>
      <c r="C129" s="13"/>
    </row>
    <row r="130" spans="1:3" ht="13" x14ac:dyDescent="0.15">
      <c r="A130" s="10"/>
      <c r="B130" s="13"/>
      <c r="C130" s="13"/>
    </row>
    <row r="131" spans="1:3" ht="13" x14ac:dyDescent="0.15">
      <c r="A131" s="10"/>
      <c r="B131" s="13"/>
      <c r="C131" s="13"/>
    </row>
    <row r="132" spans="1:3" ht="13" x14ac:dyDescent="0.15">
      <c r="A132" s="10"/>
      <c r="B132" s="13"/>
      <c r="C132" s="13"/>
    </row>
    <row r="133" spans="1:3" ht="13" x14ac:dyDescent="0.15">
      <c r="A133" s="10"/>
      <c r="B133" s="13"/>
      <c r="C133" s="13"/>
    </row>
    <row r="134" spans="1:3" ht="13" x14ac:dyDescent="0.15">
      <c r="A134" s="10"/>
      <c r="B134" s="13"/>
      <c r="C134" s="13"/>
    </row>
    <row r="135" spans="1:3" ht="13" x14ac:dyDescent="0.15">
      <c r="A135" s="10"/>
      <c r="B135" s="13"/>
      <c r="C135" s="13"/>
    </row>
    <row r="136" spans="1:3" ht="13" x14ac:dyDescent="0.15">
      <c r="A136" s="10"/>
      <c r="B136" s="13"/>
      <c r="C136" s="13"/>
    </row>
    <row r="137" spans="1:3" ht="13" x14ac:dyDescent="0.15">
      <c r="A137" s="10"/>
      <c r="B137" s="13"/>
      <c r="C137" s="13"/>
    </row>
    <row r="138" spans="1:3" ht="13" x14ac:dyDescent="0.15">
      <c r="A138" s="10"/>
      <c r="B138" s="13"/>
      <c r="C138" s="13"/>
    </row>
    <row r="139" spans="1:3" ht="13" x14ac:dyDescent="0.15">
      <c r="A139" s="10"/>
      <c r="B139" s="13"/>
      <c r="C139" s="13"/>
    </row>
    <row r="140" spans="1:3" ht="13" x14ac:dyDescent="0.15">
      <c r="A140" s="10"/>
      <c r="B140" s="13"/>
      <c r="C140" s="13"/>
    </row>
    <row r="141" spans="1:3" ht="13" x14ac:dyDescent="0.15">
      <c r="A141" s="10"/>
      <c r="B141" s="13"/>
      <c r="C141" s="13"/>
    </row>
    <row r="142" spans="1:3" ht="13" x14ac:dyDescent="0.15">
      <c r="A142" s="10"/>
      <c r="B142" s="13"/>
      <c r="C142" s="13"/>
    </row>
    <row r="143" spans="1:3" ht="13" x14ac:dyDescent="0.15">
      <c r="A143" s="10"/>
      <c r="B143" s="13"/>
      <c r="C143" s="13"/>
    </row>
    <row r="144" spans="1:3" ht="13" x14ac:dyDescent="0.15">
      <c r="A144" s="10"/>
      <c r="B144" s="13"/>
      <c r="C144" s="13"/>
    </row>
    <row r="145" spans="1:3" ht="13" x14ac:dyDescent="0.15">
      <c r="A145" s="10"/>
      <c r="B145" s="13"/>
      <c r="C145" s="13"/>
    </row>
    <row r="146" spans="1:3" ht="13" x14ac:dyDescent="0.15">
      <c r="A146" s="10"/>
      <c r="B146" s="13"/>
      <c r="C146" s="13"/>
    </row>
    <row r="147" spans="1:3" ht="13" x14ac:dyDescent="0.15">
      <c r="A147" s="10"/>
      <c r="B147" s="13"/>
      <c r="C147" s="13"/>
    </row>
    <row r="148" spans="1:3" ht="13" x14ac:dyDescent="0.15">
      <c r="A148" s="10"/>
      <c r="B148" s="13"/>
      <c r="C148" s="13"/>
    </row>
    <row r="149" spans="1:3" ht="13" x14ac:dyDescent="0.15">
      <c r="A149" s="10"/>
      <c r="B149" s="13"/>
      <c r="C149" s="13"/>
    </row>
    <row r="150" spans="1:3" ht="13" x14ac:dyDescent="0.15">
      <c r="A150" s="10"/>
      <c r="B150" s="13"/>
      <c r="C150" s="13"/>
    </row>
    <row r="151" spans="1:3" ht="13" x14ac:dyDescent="0.15">
      <c r="A151" s="10"/>
      <c r="B151" s="13"/>
      <c r="C151" s="13"/>
    </row>
    <row r="152" spans="1:3" ht="13" x14ac:dyDescent="0.15">
      <c r="A152" s="10"/>
      <c r="B152" s="13"/>
      <c r="C152" s="13"/>
    </row>
    <row r="153" spans="1:3" ht="13" x14ac:dyDescent="0.15">
      <c r="A153" s="10"/>
      <c r="B153" s="13"/>
      <c r="C153" s="13"/>
    </row>
    <row r="154" spans="1:3" ht="13" x14ac:dyDescent="0.15">
      <c r="A154" s="10"/>
      <c r="B154" s="13"/>
      <c r="C154" s="13"/>
    </row>
    <row r="155" spans="1:3" ht="13" x14ac:dyDescent="0.15">
      <c r="A155" s="10"/>
      <c r="B155" s="13"/>
      <c r="C155" s="13"/>
    </row>
    <row r="156" spans="1:3" ht="13" x14ac:dyDescent="0.15">
      <c r="A156" s="10"/>
      <c r="B156" s="13"/>
      <c r="C156" s="13"/>
    </row>
    <row r="157" spans="1:3" ht="13" x14ac:dyDescent="0.15">
      <c r="A157" s="10"/>
      <c r="B157" s="13"/>
      <c r="C157" s="13"/>
    </row>
    <row r="158" spans="1:3" ht="13" x14ac:dyDescent="0.15">
      <c r="A158" s="10"/>
      <c r="B158" s="13"/>
      <c r="C158" s="13"/>
    </row>
    <row r="159" spans="1:3" ht="13" x14ac:dyDescent="0.15">
      <c r="A159" s="10"/>
      <c r="B159" s="13"/>
      <c r="C159" s="13"/>
    </row>
    <row r="160" spans="1:3" ht="13" x14ac:dyDescent="0.15">
      <c r="A160" s="10"/>
      <c r="B160" s="13"/>
      <c r="C160" s="13"/>
    </row>
    <row r="161" spans="1:3" ht="13" x14ac:dyDescent="0.15">
      <c r="A161" s="10"/>
      <c r="B161" s="13"/>
      <c r="C161" s="13"/>
    </row>
    <row r="162" spans="1:3" ht="13" x14ac:dyDescent="0.15">
      <c r="A162" s="10"/>
      <c r="B162" s="13"/>
      <c r="C162" s="13"/>
    </row>
    <row r="163" spans="1:3" ht="13" x14ac:dyDescent="0.15">
      <c r="A163" s="10"/>
      <c r="B163" s="13"/>
      <c r="C163" s="13"/>
    </row>
    <row r="164" spans="1:3" ht="13" x14ac:dyDescent="0.15">
      <c r="A164" s="10"/>
      <c r="B164" s="13"/>
      <c r="C164" s="13"/>
    </row>
    <row r="165" spans="1:3" ht="13" x14ac:dyDescent="0.15">
      <c r="A165" s="10"/>
      <c r="B165" s="13"/>
      <c r="C165" s="13"/>
    </row>
    <row r="166" spans="1:3" ht="13" x14ac:dyDescent="0.15">
      <c r="A166" s="10"/>
      <c r="B166" s="13"/>
      <c r="C166" s="13"/>
    </row>
    <row r="167" spans="1:3" ht="13" x14ac:dyDescent="0.15">
      <c r="A167" s="10"/>
      <c r="B167" s="13"/>
      <c r="C167" s="13"/>
    </row>
    <row r="168" spans="1:3" ht="13" x14ac:dyDescent="0.15">
      <c r="A168" s="10"/>
      <c r="B168" s="13"/>
      <c r="C168" s="13"/>
    </row>
    <row r="169" spans="1:3" ht="13" x14ac:dyDescent="0.15">
      <c r="A169" s="10"/>
      <c r="B169" s="13"/>
      <c r="C169" s="13"/>
    </row>
    <row r="170" spans="1:3" ht="13" x14ac:dyDescent="0.15">
      <c r="A170" s="10"/>
      <c r="B170" s="13"/>
      <c r="C170" s="13"/>
    </row>
    <row r="171" spans="1:3" ht="13" x14ac:dyDescent="0.15">
      <c r="A171" s="10"/>
      <c r="B171" s="13"/>
      <c r="C171" s="13"/>
    </row>
    <row r="172" spans="1:3" ht="13" x14ac:dyDescent="0.15">
      <c r="A172" s="10"/>
      <c r="B172" s="13"/>
      <c r="C172" s="13"/>
    </row>
    <row r="173" spans="1:3" ht="13" x14ac:dyDescent="0.15">
      <c r="A173" s="10"/>
      <c r="B173" s="13"/>
      <c r="C173" s="13"/>
    </row>
    <row r="174" spans="1:3" ht="13" x14ac:dyDescent="0.15">
      <c r="A174" s="10"/>
      <c r="B174" s="13"/>
      <c r="C174" s="13"/>
    </row>
    <row r="175" spans="1:3" ht="13" x14ac:dyDescent="0.15">
      <c r="A175" s="10"/>
      <c r="B175" s="13"/>
      <c r="C175" s="13"/>
    </row>
    <row r="176" spans="1:3" ht="13" x14ac:dyDescent="0.15">
      <c r="A176" s="10"/>
      <c r="B176" s="13"/>
      <c r="C176" s="13"/>
    </row>
    <row r="177" spans="1:3" ht="13" x14ac:dyDescent="0.15">
      <c r="A177" s="10"/>
      <c r="B177" s="13"/>
      <c r="C177" s="13"/>
    </row>
    <row r="178" spans="1:3" ht="13" x14ac:dyDescent="0.15">
      <c r="A178" s="10"/>
      <c r="B178" s="13"/>
      <c r="C178" s="13"/>
    </row>
    <row r="179" spans="1:3" ht="13" x14ac:dyDescent="0.15">
      <c r="A179" s="10"/>
      <c r="B179" s="13"/>
      <c r="C179" s="13"/>
    </row>
    <row r="180" spans="1:3" ht="13" x14ac:dyDescent="0.15">
      <c r="A180" s="10"/>
      <c r="B180" s="13"/>
      <c r="C180" s="13"/>
    </row>
    <row r="181" spans="1:3" ht="13" x14ac:dyDescent="0.15">
      <c r="A181" s="10"/>
      <c r="B181" s="13"/>
      <c r="C181" s="13"/>
    </row>
    <row r="182" spans="1:3" ht="13" x14ac:dyDescent="0.15">
      <c r="A182" s="10"/>
      <c r="B182" s="13"/>
      <c r="C182" s="13"/>
    </row>
    <row r="183" spans="1:3" ht="13" x14ac:dyDescent="0.15">
      <c r="A183" s="10"/>
      <c r="B183" s="13"/>
      <c r="C183" s="13"/>
    </row>
    <row r="184" spans="1:3" ht="13" x14ac:dyDescent="0.15">
      <c r="A184" s="10"/>
      <c r="B184" s="13"/>
      <c r="C184" s="13"/>
    </row>
    <row r="185" spans="1:3" ht="13" x14ac:dyDescent="0.15">
      <c r="A185" s="10"/>
      <c r="B185" s="13"/>
      <c r="C185" s="13"/>
    </row>
    <row r="186" spans="1:3" ht="13" x14ac:dyDescent="0.15">
      <c r="A186" s="10"/>
      <c r="B186" s="13"/>
      <c r="C186" s="13"/>
    </row>
    <row r="187" spans="1:3" ht="13" x14ac:dyDescent="0.15">
      <c r="A187" s="10"/>
      <c r="B187" s="13"/>
      <c r="C187" s="13"/>
    </row>
    <row r="188" spans="1:3" ht="13" x14ac:dyDescent="0.15">
      <c r="A188" s="10"/>
      <c r="B188" s="13"/>
      <c r="C188" s="13"/>
    </row>
    <row r="189" spans="1:3" ht="13" x14ac:dyDescent="0.15">
      <c r="A189" s="10"/>
      <c r="B189" s="13"/>
      <c r="C189" s="13"/>
    </row>
    <row r="190" spans="1:3" ht="13" x14ac:dyDescent="0.15">
      <c r="A190" s="10"/>
      <c r="B190" s="13"/>
      <c r="C190" s="13"/>
    </row>
    <row r="191" spans="1:3" ht="13" x14ac:dyDescent="0.15">
      <c r="A191" s="10"/>
      <c r="B191" s="13"/>
      <c r="C191" s="13"/>
    </row>
    <row r="192" spans="1:3" ht="13" x14ac:dyDescent="0.15">
      <c r="A192" s="10"/>
      <c r="B192" s="13"/>
      <c r="C192" s="13"/>
    </row>
    <row r="193" spans="1:3" ht="13" x14ac:dyDescent="0.15">
      <c r="A193" s="10"/>
      <c r="B193" s="13"/>
      <c r="C193" s="13"/>
    </row>
    <row r="194" spans="1:3" ht="13" x14ac:dyDescent="0.15">
      <c r="A194" s="10"/>
      <c r="B194" s="13"/>
      <c r="C194" s="13"/>
    </row>
    <row r="195" spans="1:3" ht="13" x14ac:dyDescent="0.15">
      <c r="A195" s="10"/>
      <c r="B195" s="13"/>
      <c r="C195" s="13"/>
    </row>
    <row r="196" spans="1:3" ht="13" x14ac:dyDescent="0.15">
      <c r="A196" s="10"/>
      <c r="B196" s="13"/>
      <c r="C196" s="13"/>
    </row>
    <row r="197" spans="1:3" ht="13" x14ac:dyDescent="0.15">
      <c r="A197" s="10"/>
      <c r="B197" s="13"/>
      <c r="C197" s="13"/>
    </row>
    <row r="198" spans="1:3" ht="13" x14ac:dyDescent="0.15">
      <c r="A198" s="10"/>
      <c r="B198" s="13"/>
      <c r="C198" s="13"/>
    </row>
    <row r="199" spans="1:3" ht="13" x14ac:dyDescent="0.15">
      <c r="A199" s="10"/>
      <c r="B199" s="13"/>
      <c r="C199" s="13"/>
    </row>
    <row r="200" spans="1:3" ht="13" x14ac:dyDescent="0.15">
      <c r="A200" s="10"/>
      <c r="B200" s="13"/>
      <c r="C200" s="13"/>
    </row>
    <row r="201" spans="1:3" ht="13" x14ac:dyDescent="0.15">
      <c r="A201" s="10"/>
      <c r="B201" s="13"/>
      <c r="C201" s="13"/>
    </row>
    <row r="202" spans="1:3" ht="13" x14ac:dyDescent="0.15">
      <c r="A202" s="10"/>
      <c r="B202" s="13"/>
      <c r="C202" s="13"/>
    </row>
    <row r="203" spans="1:3" ht="13" x14ac:dyDescent="0.15">
      <c r="A203" s="10"/>
      <c r="B203" s="13"/>
      <c r="C203" s="13"/>
    </row>
    <row r="204" spans="1:3" ht="13" x14ac:dyDescent="0.15">
      <c r="A204" s="10"/>
      <c r="B204" s="13"/>
      <c r="C204" s="13"/>
    </row>
    <row r="205" spans="1:3" ht="13" x14ac:dyDescent="0.15">
      <c r="A205" s="10"/>
      <c r="B205" s="13"/>
      <c r="C205" s="13"/>
    </row>
    <row r="206" spans="1:3" ht="13" x14ac:dyDescent="0.15">
      <c r="A206" s="10"/>
      <c r="B206" s="13"/>
      <c r="C206" s="13"/>
    </row>
    <row r="207" spans="1:3" ht="13" x14ac:dyDescent="0.15">
      <c r="A207" s="10"/>
      <c r="B207" s="13"/>
      <c r="C207" s="13"/>
    </row>
    <row r="208" spans="1:3" ht="13" x14ac:dyDescent="0.15">
      <c r="A208" s="10"/>
      <c r="B208" s="13"/>
      <c r="C208" s="13"/>
    </row>
    <row r="209" spans="1:3" ht="13" x14ac:dyDescent="0.15">
      <c r="A209" s="10"/>
      <c r="B209" s="13"/>
      <c r="C209" s="13"/>
    </row>
    <row r="210" spans="1:3" ht="13" x14ac:dyDescent="0.15">
      <c r="A210" s="10"/>
      <c r="B210" s="13"/>
      <c r="C210" s="13"/>
    </row>
    <row r="211" spans="1:3" ht="13" x14ac:dyDescent="0.15">
      <c r="A211" s="10"/>
      <c r="B211" s="13"/>
      <c r="C211" s="13"/>
    </row>
    <row r="212" spans="1:3" ht="13" x14ac:dyDescent="0.15">
      <c r="A212" s="10"/>
      <c r="B212" s="13"/>
      <c r="C212" s="13"/>
    </row>
    <row r="213" spans="1:3" ht="13" x14ac:dyDescent="0.15">
      <c r="A213" s="10"/>
      <c r="B213" s="13"/>
      <c r="C213" s="13"/>
    </row>
    <row r="214" spans="1:3" ht="13" x14ac:dyDescent="0.15">
      <c r="A214" s="10"/>
      <c r="B214" s="13"/>
      <c r="C214" s="13"/>
    </row>
    <row r="215" spans="1:3" ht="13" x14ac:dyDescent="0.15">
      <c r="A215" s="10"/>
      <c r="B215" s="13"/>
      <c r="C215" s="13"/>
    </row>
    <row r="216" spans="1:3" ht="13" x14ac:dyDescent="0.15">
      <c r="A216" s="10"/>
      <c r="B216" s="13"/>
      <c r="C216" s="13"/>
    </row>
    <row r="217" spans="1:3" ht="13" x14ac:dyDescent="0.15">
      <c r="A217" s="10"/>
      <c r="B217" s="13"/>
      <c r="C217" s="13"/>
    </row>
    <row r="218" spans="1:3" ht="13" x14ac:dyDescent="0.15">
      <c r="A218" s="10"/>
      <c r="B218" s="13"/>
      <c r="C218" s="13"/>
    </row>
    <row r="219" spans="1:3" ht="13" x14ac:dyDescent="0.15">
      <c r="A219" s="10"/>
      <c r="B219" s="13"/>
      <c r="C219" s="13"/>
    </row>
    <row r="220" spans="1:3" ht="13" x14ac:dyDescent="0.15">
      <c r="A220" s="10"/>
      <c r="B220" s="13"/>
      <c r="C220" s="13"/>
    </row>
    <row r="221" spans="1:3" ht="13" x14ac:dyDescent="0.15">
      <c r="A221" s="10"/>
      <c r="B221" s="13"/>
      <c r="C221" s="13"/>
    </row>
    <row r="222" spans="1:3" ht="13" x14ac:dyDescent="0.15">
      <c r="A222" s="10"/>
      <c r="B222" s="13"/>
      <c r="C222" s="13"/>
    </row>
    <row r="223" spans="1:3" ht="13" x14ac:dyDescent="0.15">
      <c r="A223" s="10"/>
      <c r="B223" s="13"/>
      <c r="C223" s="13"/>
    </row>
    <row r="224" spans="1:3" ht="13" x14ac:dyDescent="0.15">
      <c r="A224" s="10"/>
      <c r="B224" s="13"/>
      <c r="C224" s="13"/>
    </row>
    <row r="225" spans="1:3" ht="13" x14ac:dyDescent="0.15">
      <c r="A225" s="10"/>
      <c r="B225" s="13"/>
      <c r="C225" s="13"/>
    </row>
    <row r="226" spans="1:3" ht="13" x14ac:dyDescent="0.15">
      <c r="A226" s="10"/>
      <c r="B226" s="13"/>
      <c r="C226" s="13"/>
    </row>
    <row r="227" spans="1:3" ht="13" x14ac:dyDescent="0.15">
      <c r="A227" s="10"/>
      <c r="B227" s="13"/>
      <c r="C227" s="13"/>
    </row>
    <row r="228" spans="1:3" ht="13" x14ac:dyDescent="0.15">
      <c r="A228" s="10"/>
      <c r="B228" s="13"/>
      <c r="C228" s="13"/>
    </row>
    <row r="229" spans="1:3" ht="13" x14ac:dyDescent="0.15">
      <c r="A229" s="10"/>
      <c r="B229" s="13"/>
      <c r="C229" s="13"/>
    </row>
    <row r="230" spans="1:3" ht="13" x14ac:dyDescent="0.15">
      <c r="A230" s="10"/>
      <c r="B230" s="13"/>
      <c r="C230" s="13"/>
    </row>
    <row r="231" spans="1:3" ht="13" x14ac:dyDescent="0.15">
      <c r="A231" s="10"/>
      <c r="B231" s="13"/>
      <c r="C231" s="13"/>
    </row>
    <row r="232" spans="1:3" ht="13" x14ac:dyDescent="0.15">
      <c r="A232" s="10"/>
      <c r="B232" s="13"/>
      <c r="C232" s="13"/>
    </row>
    <row r="233" spans="1:3" ht="13" x14ac:dyDescent="0.15">
      <c r="A233" s="10"/>
      <c r="B233" s="13"/>
      <c r="C233" s="13"/>
    </row>
    <row r="234" spans="1:3" ht="13" x14ac:dyDescent="0.15">
      <c r="A234" s="10"/>
      <c r="B234" s="13"/>
      <c r="C234" s="13"/>
    </row>
    <row r="235" spans="1:3" ht="13" x14ac:dyDescent="0.15">
      <c r="A235" s="10"/>
      <c r="B235" s="13"/>
      <c r="C235" s="13"/>
    </row>
    <row r="236" spans="1:3" ht="13" x14ac:dyDescent="0.15">
      <c r="A236" s="10"/>
      <c r="B236" s="13"/>
      <c r="C236" s="13"/>
    </row>
    <row r="237" spans="1:3" ht="13" x14ac:dyDescent="0.15">
      <c r="A237" s="10"/>
      <c r="B237" s="13"/>
      <c r="C237" s="13"/>
    </row>
    <row r="238" spans="1:3" ht="13" x14ac:dyDescent="0.15">
      <c r="A238" s="10"/>
      <c r="B238" s="13"/>
      <c r="C238" s="13"/>
    </row>
    <row r="239" spans="1:3" ht="13" x14ac:dyDescent="0.15">
      <c r="A239" s="10"/>
      <c r="B239" s="13"/>
      <c r="C239" s="13"/>
    </row>
    <row r="240" spans="1:3" ht="13" x14ac:dyDescent="0.15">
      <c r="A240" s="10"/>
      <c r="B240" s="13"/>
      <c r="C240" s="13"/>
    </row>
    <row r="241" spans="1:3" ht="13" x14ac:dyDescent="0.15">
      <c r="A241" s="10"/>
      <c r="B241" s="13"/>
      <c r="C241" s="13"/>
    </row>
    <row r="242" spans="1:3" ht="13" x14ac:dyDescent="0.15">
      <c r="A242" s="10"/>
      <c r="B242" s="13"/>
      <c r="C242" s="13"/>
    </row>
    <row r="243" spans="1:3" ht="13" x14ac:dyDescent="0.15">
      <c r="A243" s="10"/>
      <c r="B243" s="13"/>
      <c r="C243" s="13"/>
    </row>
    <row r="244" spans="1:3" ht="13" x14ac:dyDescent="0.15">
      <c r="A244" s="10"/>
      <c r="B244" s="13"/>
      <c r="C244" s="13"/>
    </row>
    <row r="245" spans="1:3" ht="13" x14ac:dyDescent="0.15">
      <c r="A245" s="10"/>
      <c r="B245" s="13"/>
      <c r="C245" s="13"/>
    </row>
    <row r="246" spans="1:3" ht="13" x14ac:dyDescent="0.15">
      <c r="A246" s="10"/>
      <c r="B246" s="13"/>
      <c r="C246" s="13"/>
    </row>
    <row r="247" spans="1:3" ht="13" x14ac:dyDescent="0.15">
      <c r="A247" s="10"/>
      <c r="B247" s="13"/>
      <c r="C247" s="13"/>
    </row>
    <row r="248" spans="1:3" ht="13" x14ac:dyDescent="0.15">
      <c r="A248" s="10"/>
      <c r="B248" s="13"/>
      <c r="C248" s="13"/>
    </row>
    <row r="249" spans="1:3" ht="13" x14ac:dyDescent="0.15">
      <c r="A249" s="10"/>
      <c r="B249" s="13"/>
      <c r="C249" s="13"/>
    </row>
    <row r="250" spans="1:3" ht="13" x14ac:dyDescent="0.15">
      <c r="A250" s="10"/>
      <c r="B250" s="13"/>
      <c r="C250" s="13"/>
    </row>
    <row r="251" spans="1:3" ht="13" x14ac:dyDescent="0.15">
      <c r="A251" s="10"/>
      <c r="B251" s="13"/>
      <c r="C251" s="13"/>
    </row>
    <row r="252" spans="1:3" ht="13" x14ac:dyDescent="0.15">
      <c r="A252" s="10"/>
      <c r="B252" s="13"/>
      <c r="C252" s="13"/>
    </row>
    <row r="253" spans="1:3" ht="13" x14ac:dyDescent="0.15">
      <c r="A253" s="10"/>
      <c r="B253" s="13"/>
      <c r="C253" s="13"/>
    </row>
    <row r="254" spans="1:3" ht="13" x14ac:dyDescent="0.15">
      <c r="A254" s="10"/>
      <c r="B254" s="13"/>
      <c r="C254" s="13"/>
    </row>
    <row r="255" spans="1:3" ht="13" x14ac:dyDescent="0.15">
      <c r="A255" s="10"/>
      <c r="B255" s="13"/>
      <c r="C255" s="13"/>
    </row>
    <row r="256" spans="1:3" ht="13" x14ac:dyDescent="0.15">
      <c r="A256" s="10"/>
      <c r="B256" s="13"/>
      <c r="C256" s="13"/>
    </row>
    <row r="257" spans="1:3" ht="13" x14ac:dyDescent="0.15">
      <c r="A257" s="10"/>
      <c r="B257" s="13"/>
      <c r="C257" s="13"/>
    </row>
    <row r="258" spans="1:3" ht="13" x14ac:dyDescent="0.15">
      <c r="A258" s="10"/>
      <c r="B258" s="13"/>
      <c r="C258" s="13"/>
    </row>
    <row r="259" spans="1:3" ht="13" x14ac:dyDescent="0.15">
      <c r="A259" s="10"/>
      <c r="B259" s="13"/>
      <c r="C259" s="13"/>
    </row>
    <row r="260" spans="1:3" ht="13" x14ac:dyDescent="0.15">
      <c r="A260" s="10"/>
      <c r="B260" s="13"/>
      <c r="C260" s="13"/>
    </row>
    <row r="261" spans="1:3" ht="13" x14ac:dyDescent="0.15">
      <c r="A261" s="10"/>
      <c r="B261" s="13"/>
      <c r="C261" s="13"/>
    </row>
    <row r="262" spans="1:3" ht="13" x14ac:dyDescent="0.15">
      <c r="A262" s="10"/>
      <c r="B262" s="13"/>
      <c r="C262" s="13"/>
    </row>
    <row r="263" spans="1:3" ht="13" x14ac:dyDescent="0.15">
      <c r="A263" s="10"/>
      <c r="B263" s="13"/>
      <c r="C263" s="13"/>
    </row>
    <row r="264" spans="1:3" ht="13" x14ac:dyDescent="0.15">
      <c r="A264" s="10"/>
      <c r="B264" s="13"/>
      <c r="C264" s="13"/>
    </row>
    <row r="265" spans="1:3" ht="13" x14ac:dyDescent="0.15">
      <c r="A265" s="10"/>
      <c r="B265" s="13"/>
      <c r="C265" s="13"/>
    </row>
    <row r="266" spans="1:3" ht="13" x14ac:dyDescent="0.15">
      <c r="A266" s="10"/>
      <c r="B266" s="13"/>
      <c r="C266" s="13"/>
    </row>
    <row r="267" spans="1:3" ht="13" x14ac:dyDescent="0.15">
      <c r="A267" s="10"/>
      <c r="B267" s="13"/>
      <c r="C267" s="13"/>
    </row>
    <row r="268" spans="1:3" ht="13" x14ac:dyDescent="0.15">
      <c r="A268" s="10"/>
      <c r="B268" s="13"/>
      <c r="C268" s="13"/>
    </row>
    <row r="269" spans="1:3" ht="13" x14ac:dyDescent="0.15">
      <c r="A269" s="10"/>
      <c r="B269" s="13"/>
      <c r="C269" s="13"/>
    </row>
    <row r="270" spans="1:3" ht="13" x14ac:dyDescent="0.15">
      <c r="A270" s="10"/>
      <c r="B270" s="13"/>
      <c r="C270" s="13"/>
    </row>
    <row r="271" spans="1:3" ht="13" x14ac:dyDescent="0.15">
      <c r="A271" s="10"/>
      <c r="B271" s="13"/>
      <c r="C271" s="13"/>
    </row>
    <row r="272" spans="1:3" ht="13" x14ac:dyDescent="0.15">
      <c r="A272" s="10"/>
      <c r="B272" s="13"/>
      <c r="C272" s="13"/>
    </row>
    <row r="273" spans="1:3" ht="13" x14ac:dyDescent="0.15">
      <c r="A273" s="10"/>
      <c r="B273" s="13"/>
      <c r="C273" s="13"/>
    </row>
    <row r="274" spans="1:3" ht="13" x14ac:dyDescent="0.15">
      <c r="A274" s="10"/>
      <c r="B274" s="13"/>
      <c r="C274" s="13"/>
    </row>
    <row r="275" spans="1:3" ht="13" x14ac:dyDescent="0.15">
      <c r="A275" s="10"/>
      <c r="B275" s="13"/>
      <c r="C275" s="13"/>
    </row>
    <row r="276" spans="1:3" ht="13" x14ac:dyDescent="0.15">
      <c r="A276" s="10"/>
      <c r="B276" s="13"/>
      <c r="C276" s="13"/>
    </row>
    <row r="277" spans="1:3" ht="13" x14ac:dyDescent="0.15">
      <c r="A277" s="10"/>
      <c r="B277" s="13"/>
      <c r="C277" s="13"/>
    </row>
    <row r="278" spans="1:3" ht="13" x14ac:dyDescent="0.15">
      <c r="A278" s="10"/>
      <c r="B278" s="13"/>
      <c r="C278" s="13"/>
    </row>
    <row r="279" spans="1:3" ht="13" x14ac:dyDescent="0.15">
      <c r="A279" s="10"/>
      <c r="B279" s="13"/>
      <c r="C279" s="13"/>
    </row>
    <row r="280" spans="1:3" ht="13" x14ac:dyDescent="0.15">
      <c r="A280" s="10"/>
      <c r="B280" s="13"/>
      <c r="C280" s="13"/>
    </row>
    <row r="281" spans="1:3" ht="13" x14ac:dyDescent="0.15">
      <c r="A281" s="10"/>
      <c r="B281" s="13"/>
      <c r="C281" s="13"/>
    </row>
    <row r="282" spans="1:3" ht="13" x14ac:dyDescent="0.15">
      <c r="A282" s="10"/>
      <c r="B282" s="13"/>
      <c r="C282" s="13"/>
    </row>
    <row r="283" spans="1:3" ht="13" x14ac:dyDescent="0.15">
      <c r="A283" s="10"/>
      <c r="B283" s="13"/>
      <c r="C283" s="13"/>
    </row>
    <row r="284" spans="1:3" ht="13" x14ac:dyDescent="0.15">
      <c r="A284" s="10"/>
      <c r="B284" s="13"/>
      <c r="C284" s="13"/>
    </row>
    <row r="285" spans="1:3" ht="13" x14ac:dyDescent="0.15">
      <c r="A285" s="10"/>
      <c r="B285" s="13"/>
      <c r="C285" s="13"/>
    </row>
    <row r="286" spans="1:3" ht="13" x14ac:dyDescent="0.15">
      <c r="A286" s="10"/>
      <c r="B286" s="13"/>
      <c r="C286" s="13"/>
    </row>
    <row r="287" spans="1:3" ht="13" x14ac:dyDescent="0.15">
      <c r="A287" s="10"/>
      <c r="B287" s="13"/>
      <c r="C287" s="13"/>
    </row>
    <row r="288" spans="1:3" ht="13" x14ac:dyDescent="0.15">
      <c r="A288" s="10"/>
      <c r="B288" s="13"/>
      <c r="C288" s="13"/>
    </row>
    <row r="289" spans="1:3" ht="13" x14ac:dyDescent="0.15">
      <c r="A289" s="10"/>
      <c r="B289" s="13"/>
      <c r="C289" s="13"/>
    </row>
    <row r="290" spans="1:3" ht="13" x14ac:dyDescent="0.15">
      <c r="A290" s="10"/>
      <c r="B290" s="13"/>
      <c r="C290" s="13"/>
    </row>
    <row r="291" spans="1:3" ht="13" x14ac:dyDescent="0.15">
      <c r="A291" s="10"/>
      <c r="B291" s="13"/>
      <c r="C291" s="13"/>
    </row>
    <row r="292" spans="1:3" ht="13" x14ac:dyDescent="0.15">
      <c r="A292" s="10"/>
      <c r="B292" s="13"/>
      <c r="C292" s="13"/>
    </row>
    <row r="293" spans="1:3" ht="13" x14ac:dyDescent="0.15">
      <c r="A293" s="10"/>
      <c r="B293" s="13"/>
      <c r="C293" s="13"/>
    </row>
    <row r="294" spans="1:3" ht="13" x14ac:dyDescent="0.15">
      <c r="A294" s="10"/>
      <c r="B294" s="13"/>
      <c r="C294" s="13"/>
    </row>
    <row r="295" spans="1:3" ht="13" x14ac:dyDescent="0.15">
      <c r="A295" s="10"/>
      <c r="B295" s="13"/>
      <c r="C295" s="13"/>
    </row>
    <row r="296" spans="1:3" ht="13" x14ac:dyDescent="0.15">
      <c r="A296" s="10"/>
      <c r="B296" s="13"/>
      <c r="C296" s="13"/>
    </row>
    <row r="297" spans="1:3" ht="13" x14ac:dyDescent="0.15">
      <c r="A297" s="10"/>
      <c r="B297" s="13"/>
      <c r="C297" s="13"/>
    </row>
    <row r="298" spans="1:3" ht="13" x14ac:dyDescent="0.15">
      <c r="A298" s="10"/>
      <c r="B298" s="13"/>
      <c r="C298" s="13"/>
    </row>
    <row r="299" spans="1:3" ht="13" x14ac:dyDescent="0.15">
      <c r="A299" s="10"/>
      <c r="B299" s="13"/>
      <c r="C299" s="13"/>
    </row>
    <row r="300" spans="1:3" ht="13" x14ac:dyDescent="0.15">
      <c r="A300" s="10"/>
      <c r="B300" s="13"/>
      <c r="C300" s="13"/>
    </row>
    <row r="301" spans="1:3" ht="13" x14ac:dyDescent="0.15">
      <c r="A301" s="10"/>
      <c r="B301" s="13"/>
      <c r="C301" s="13"/>
    </row>
    <row r="302" spans="1:3" ht="13" x14ac:dyDescent="0.15">
      <c r="A302" s="10"/>
      <c r="B302" s="13"/>
      <c r="C302" s="13"/>
    </row>
    <row r="303" spans="1:3" ht="13" x14ac:dyDescent="0.15">
      <c r="A303" s="10"/>
      <c r="B303" s="13"/>
      <c r="C303" s="13"/>
    </row>
    <row r="304" spans="1:3" ht="13" x14ac:dyDescent="0.15">
      <c r="A304" s="10"/>
      <c r="B304" s="13"/>
      <c r="C304" s="13"/>
    </row>
    <row r="305" spans="1:3" ht="13" x14ac:dyDescent="0.15">
      <c r="A305" s="10"/>
      <c r="B305" s="13"/>
      <c r="C305" s="13"/>
    </row>
    <row r="306" spans="1:3" ht="13" x14ac:dyDescent="0.15">
      <c r="A306" s="10"/>
      <c r="B306" s="13"/>
      <c r="C306" s="13"/>
    </row>
    <row r="307" spans="1:3" ht="13" x14ac:dyDescent="0.15">
      <c r="A307" s="10"/>
      <c r="B307" s="13"/>
      <c r="C307" s="13"/>
    </row>
    <row r="308" spans="1:3" ht="13" x14ac:dyDescent="0.15">
      <c r="A308" s="10"/>
      <c r="B308" s="13"/>
      <c r="C308" s="13"/>
    </row>
    <row r="309" spans="1:3" ht="13" x14ac:dyDescent="0.15">
      <c r="A309" s="10"/>
      <c r="B309" s="13"/>
      <c r="C309" s="13"/>
    </row>
    <row r="310" spans="1:3" ht="13" x14ac:dyDescent="0.15">
      <c r="A310" s="10"/>
      <c r="B310" s="13"/>
      <c r="C310" s="13"/>
    </row>
    <row r="311" spans="1:3" ht="13" x14ac:dyDescent="0.15">
      <c r="A311" s="10"/>
      <c r="B311" s="13"/>
      <c r="C311" s="13"/>
    </row>
    <row r="312" spans="1:3" ht="13" x14ac:dyDescent="0.15">
      <c r="A312" s="10"/>
      <c r="B312" s="13"/>
      <c r="C312" s="13"/>
    </row>
    <row r="313" spans="1:3" ht="13" x14ac:dyDescent="0.15">
      <c r="A313" s="10"/>
      <c r="B313" s="13"/>
      <c r="C313" s="13"/>
    </row>
    <row r="314" spans="1:3" ht="13" x14ac:dyDescent="0.15">
      <c r="A314" s="10"/>
      <c r="B314" s="13"/>
      <c r="C314" s="13"/>
    </row>
    <row r="315" spans="1:3" ht="13" x14ac:dyDescent="0.15">
      <c r="A315" s="10"/>
      <c r="B315" s="13"/>
      <c r="C315" s="13"/>
    </row>
    <row r="316" spans="1:3" ht="13" x14ac:dyDescent="0.15">
      <c r="A316" s="10"/>
      <c r="B316" s="13"/>
      <c r="C316" s="13"/>
    </row>
    <row r="317" spans="1:3" ht="13" x14ac:dyDescent="0.15">
      <c r="A317" s="10"/>
      <c r="B317" s="13"/>
      <c r="C317" s="13"/>
    </row>
    <row r="318" spans="1:3" ht="13" x14ac:dyDescent="0.15">
      <c r="A318" s="10"/>
      <c r="B318" s="13"/>
      <c r="C318" s="13"/>
    </row>
    <row r="319" spans="1:3" ht="13" x14ac:dyDescent="0.15">
      <c r="A319" s="10"/>
      <c r="B319" s="13"/>
      <c r="C319" s="13"/>
    </row>
    <row r="320" spans="1:3" ht="13" x14ac:dyDescent="0.15">
      <c r="A320" s="10"/>
      <c r="B320" s="13"/>
      <c r="C320" s="13"/>
    </row>
    <row r="321" spans="1:3" ht="13" x14ac:dyDescent="0.15">
      <c r="A321" s="10"/>
      <c r="B321" s="13"/>
      <c r="C321" s="13"/>
    </row>
    <row r="322" spans="1:3" ht="13" x14ac:dyDescent="0.15">
      <c r="A322" s="10"/>
      <c r="B322" s="13"/>
      <c r="C322" s="13"/>
    </row>
    <row r="323" spans="1:3" ht="13" x14ac:dyDescent="0.15">
      <c r="A323" s="10"/>
      <c r="B323" s="13"/>
      <c r="C323" s="13"/>
    </row>
    <row r="324" spans="1:3" ht="13" x14ac:dyDescent="0.15">
      <c r="A324" s="10"/>
      <c r="B324" s="13"/>
      <c r="C324" s="13"/>
    </row>
    <row r="325" spans="1:3" ht="13" x14ac:dyDescent="0.15">
      <c r="A325" s="10"/>
      <c r="B325" s="13"/>
      <c r="C325" s="13"/>
    </row>
    <row r="326" spans="1:3" ht="13" x14ac:dyDescent="0.15">
      <c r="A326" s="10"/>
      <c r="B326" s="13"/>
      <c r="C326" s="13"/>
    </row>
    <row r="327" spans="1:3" ht="13" x14ac:dyDescent="0.15">
      <c r="A327" s="10"/>
      <c r="B327" s="13"/>
      <c r="C327" s="13"/>
    </row>
    <row r="328" spans="1:3" ht="13" x14ac:dyDescent="0.15">
      <c r="A328" s="10"/>
      <c r="B328" s="13"/>
      <c r="C328" s="13"/>
    </row>
    <row r="329" spans="1:3" ht="13" x14ac:dyDescent="0.15">
      <c r="A329" s="10"/>
      <c r="B329" s="13"/>
      <c r="C329" s="13"/>
    </row>
    <row r="330" spans="1:3" ht="13" x14ac:dyDescent="0.15">
      <c r="A330" s="10"/>
      <c r="B330" s="13"/>
      <c r="C330" s="13"/>
    </row>
    <row r="331" spans="1:3" ht="13" x14ac:dyDescent="0.15">
      <c r="A331" s="10"/>
      <c r="B331" s="13"/>
      <c r="C331" s="13"/>
    </row>
    <row r="332" spans="1:3" ht="13" x14ac:dyDescent="0.15">
      <c r="A332" s="10"/>
      <c r="B332" s="13"/>
      <c r="C332" s="13"/>
    </row>
    <row r="333" spans="1:3" ht="13" x14ac:dyDescent="0.15">
      <c r="A333" s="10"/>
      <c r="B333" s="13"/>
      <c r="C333" s="13"/>
    </row>
    <row r="334" spans="1:3" ht="13" x14ac:dyDescent="0.15">
      <c r="A334" s="10"/>
      <c r="B334" s="13"/>
      <c r="C334" s="13"/>
    </row>
    <row r="335" spans="1:3" ht="13" x14ac:dyDescent="0.15">
      <c r="A335" s="10"/>
      <c r="B335" s="13"/>
      <c r="C335" s="13"/>
    </row>
    <row r="336" spans="1:3" ht="13" x14ac:dyDescent="0.15">
      <c r="A336" s="10"/>
      <c r="B336" s="13"/>
      <c r="C336" s="13"/>
    </row>
    <row r="337" spans="1:3" ht="13" x14ac:dyDescent="0.15">
      <c r="A337" s="10"/>
      <c r="B337" s="13"/>
      <c r="C337" s="13"/>
    </row>
    <row r="338" spans="1:3" ht="13" x14ac:dyDescent="0.15">
      <c r="A338" s="10"/>
      <c r="B338" s="13"/>
      <c r="C338" s="13"/>
    </row>
    <row r="339" spans="1:3" ht="13" x14ac:dyDescent="0.15">
      <c r="A339" s="10"/>
      <c r="B339" s="13"/>
      <c r="C339" s="13"/>
    </row>
    <row r="340" spans="1:3" ht="13" x14ac:dyDescent="0.15">
      <c r="A340" s="10"/>
      <c r="B340" s="13"/>
      <c r="C340" s="13"/>
    </row>
    <row r="341" spans="1:3" ht="13" x14ac:dyDescent="0.15">
      <c r="A341" s="10"/>
      <c r="B341" s="13"/>
      <c r="C341" s="13"/>
    </row>
    <row r="342" spans="1:3" ht="13" x14ac:dyDescent="0.15">
      <c r="A342" s="10"/>
      <c r="B342" s="13"/>
      <c r="C342" s="13"/>
    </row>
    <row r="343" spans="1:3" ht="13" x14ac:dyDescent="0.15">
      <c r="A343" s="10"/>
      <c r="B343" s="13"/>
      <c r="C343" s="13"/>
    </row>
    <row r="344" spans="1:3" ht="13" x14ac:dyDescent="0.15">
      <c r="A344" s="10"/>
      <c r="B344" s="13"/>
      <c r="C344" s="13"/>
    </row>
    <row r="345" spans="1:3" ht="13" x14ac:dyDescent="0.15">
      <c r="A345" s="10"/>
      <c r="B345" s="13"/>
      <c r="C345" s="13"/>
    </row>
    <row r="346" spans="1:3" ht="13" x14ac:dyDescent="0.15">
      <c r="A346" s="10"/>
      <c r="B346" s="13"/>
      <c r="C346" s="13"/>
    </row>
    <row r="347" spans="1:3" ht="13" x14ac:dyDescent="0.15">
      <c r="A347" s="10"/>
      <c r="B347" s="13"/>
      <c r="C347" s="13"/>
    </row>
    <row r="348" spans="1:3" ht="13" x14ac:dyDescent="0.15">
      <c r="A348" s="10"/>
      <c r="B348" s="13"/>
      <c r="C348" s="13"/>
    </row>
    <row r="349" spans="1:3" ht="13" x14ac:dyDescent="0.15">
      <c r="A349" s="10"/>
      <c r="B349" s="13"/>
      <c r="C349" s="13"/>
    </row>
    <row r="350" spans="1:3" ht="13" x14ac:dyDescent="0.15">
      <c r="A350" s="10"/>
      <c r="B350" s="13"/>
      <c r="C350" s="13"/>
    </row>
    <row r="351" spans="1:3" ht="13" x14ac:dyDescent="0.15">
      <c r="A351" s="10"/>
      <c r="B351" s="13"/>
      <c r="C351" s="13"/>
    </row>
    <row r="352" spans="1:3" ht="13" x14ac:dyDescent="0.15">
      <c r="A352" s="10"/>
      <c r="B352" s="13"/>
      <c r="C352" s="13"/>
    </row>
    <row r="353" spans="1:3" ht="13" x14ac:dyDescent="0.15">
      <c r="A353" s="10"/>
      <c r="B353" s="13"/>
      <c r="C353" s="13"/>
    </row>
    <row r="354" spans="1:3" ht="13" x14ac:dyDescent="0.15">
      <c r="A354" s="10"/>
      <c r="B354" s="13"/>
      <c r="C354" s="13"/>
    </row>
    <row r="355" spans="1:3" ht="13" x14ac:dyDescent="0.15">
      <c r="A355" s="10"/>
      <c r="B355" s="13"/>
      <c r="C355" s="13"/>
    </row>
    <row r="356" spans="1:3" ht="13" x14ac:dyDescent="0.15">
      <c r="A356" s="10"/>
      <c r="B356" s="13"/>
      <c r="C356" s="13"/>
    </row>
    <row r="357" spans="1:3" ht="13" x14ac:dyDescent="0.15">
      <c r="A357" s="10"/>
      <c r="B357" s="13"/>
      <c r="C357" s="13"/>
    </row>
    <row r="358" spans="1:3" ht="13" x14ac:dyDescent="0.15">
      <c r="A358" s="10"/>
      <c r="B358" s="13"/>
      <c r="C358" s="13"/>
    </row>
    <row r="359" spans="1:3" ht="13" x14ac:dyDescent="0.15">
      <c r="A359" s="10"/>
      <c r="B359" s="13"/>
      <c r="C359" s="13"/>
    </row>
    <row r="360" spans="1:3" ht="13" x14ac:dyDescent="0.15">
      <c r="A360" s="10"/>
      <c r="B360" s="13"/>
      <c r="C360" s="13"/>
    </row>
    <row r="361" spans="1:3" ht="13" x14ac:dyDescent="0.15">
      <c r="A361" s="10"/>
      <c r="B361" s="13"/>
      <c r="C361" s="13"/>
    </row>
    <row r="362" spans="1:3" ht="13" x14ac:dyDescent="0.15">
      <c r="A362" s="10"/>
      <c r="B362" s="13"/>
      <c r="C362" s="13"/>
    </row>
    <row r="363" spans="1:3" ht="13" x14ac:dyDescent="0.15">
      <c r="A363" s="10"/>
      <c r="B363" s="13"/>
      <c r="C363" s="13"/>
    </row>
    <row r="364" spans="1:3" ht="13" x14ac:dyDescent="0.15">
      <c r="A364" s="10"/>
      <c r="B364" s="13"/>
      <c r="C364" s="13"/>
    </row>
    <row r="365" spans="1:3" ht="13" x14ac:dyDescent="0.15">
      <c r="A365" s="10"/>
      <c r="B365" s="13"/>
      <c r="C365" s="13"/>
    </row>
    <row r="366" spans="1:3" ht="13" x14ac:dyDescent="0.15">
      <c r="A366" s="10"/>
      <c r="B366" s="13"/>
      <c r="C366" s="13"/>
    </row>
    <row r="367" spans="1:3" ht="13" x14ac:dyDescent="0.15">
      <c r="A367" s="10"/>
      <c r="B367" s="13"/>
      <c r="C367" s="13"/>
    </row>
    <row r="368" spans="1:3" ht="13" x14ac:dyDescent="0.15">
      <c r="A368" s="10"/>
      <c r="B368" s="13"/>
      <c r="C368" s="13"/>
    </row>
    <row r="369" spans="1:3" ht="13" x14ac:dyDescent="0.15">
      <c r="A369" s="10"/>
      <c r="B369" s="13"/>
      <c r="C369" s="13"/>
    </row>
    <row r="370" spans="1:3" ht="13" x14ac:dyDescent="0.15">
      <c r="A370" s="10"/>
      <c r="B370" s="13"/>
      <c r="C370" s="13"/>
    </row>
    <row r="371" spans="1:3" ht="13" x14ac:dyDescent="0.15">
      <c r="A371" s="10"/>
      <c r="B371" s="13"/>
      <c r="C371" s="13"/>
    </row>
    <row r="372" spans="1:3" ht="13" x14ac:dyDescent="0.15">
      <c r="A372" s="10"/>
      <c r="B372" s="13"/>
      <c r="C372" s="13"/>
    </row>
    <row r="373" spans="1:3" ht="13" x14ac:dyDescent="0.15">
      <c r="A373" s="10"/>
      <c r="B373" s="13"/>
      <c r="C373" s="13"/>
    </row>
    <row r="374" spans="1:3" ht="13" x14ac:dyDescent="0.15">
      <c r="A374" s="10"/>
      <c r="B374" s="13"/>
      <c r="C374" s="13"/>
    </row>
    <row r="375" spans="1:3" ht="13" x14ac:dyDescent="0.15">
      <c r="A375" s="10"/>
      <c r="B375" s="13"/>
      <c r="C375" s="13"/>
    </row>
    <row r="376" spans="1:3" ht="13" x14ac:dyDescent="0.15">
      <c r="A376" s="10"/>
      <c r="B376" s="13"/>
      <c r="C376" s="13"/>
    </row>
    <row r="377" spans="1:3" ht="13" x14ac:dyDescent="0.15">
      <c r="A377" s="10"/>
      <c r="B377" s="13"/>
      <c r="C377" s="13"/>
    </row>
    <row r="378" spans="1:3" ht="13" x14ac:dyDescent="0.15">
      <c r="A378" s="10"/>
      <c r="B378" s="13"/>
      <c r="C378" s="13"/>
    </row>
    <row r="379" spans="1:3" ht="13" x14ac:dyDescent="0.15">
      <c r="A379" s="10"/>
      <c r="B379" s="13"/>
      <c r="C379" s="13"/>
    </row>
    <row r="380" spans="1:3" ht="13" x14ac:dyDescent="0.15">
      <c r="A380" s="10"/>
      <c r="B380" s="13"/>
      <c r="C380" s="13"/>
    </row>
    <row r="381" spans="1:3" ht="13" x14ac:dyDescent="0.15">
      <c r="A381" s="10"/>
      <c r="B381" s="13"/>
      <c r="C381" s="13"/>
    </row>
    <row r="382" spans="1:3" ht="13" x14ac:dyDescent="0.15">
      <c r="A382" s="10"/>
      <c r="B382" s="13"/>
      <c r="C382" s="13"/>
    </row>
    <row r="383" spans="1:3" ht="13" x14ac:dyDescent="0.15">
      <c r="A383" s="10"/>
      <c r="B383" s="13"/>
      <c r="C383" s="13"/>
    </row>
    <row r="384" spans="1:3" ht="13" x14ac:dyDescent="0.15">
      <c r="A384" s="10"/>
      <c r="B384" s="13"/>
      <c r="C384" s="13"/>
    </row>
    <row r="385" spans="1:3" ht="13" x14ac:dyDescent="0.15">
      <c r="A385" s="10"/>
      <c r="B385" s="13"/>
      <c r="C385" s="13"/>
    </row>
    <row r="386" spans="1:3" ht="13" x14ac:dyDescent="0.15">
      <c r="A386" s="10"/>
      <c r="B386" s="13"/>
      <c r="C386" s="13"/>
    </row>
    <row r="387" spans="1:3" ht="13" x14ac:dyDescent="0.15">
      <c r="A387" s="10"/>
      <c r="B387" s="13"/>
      <c r="C387" s="13"/>
    </row>
    <row r="388" spans="1:3" ht="13" x14ac:dyDescent="0.15">
      <c r="A388" s="10"/>
      <c r="B388" s="13"/>
      <c r="C388" s="13"/>
    </row>
    <row r="389" spans="1:3" ht="13" x14ac:dyDescent="0.15">
      <c r="A389" s="10"/>
      <c r="B389" s="13"/>
      <c r="C389" s="13"/>
    </row>
    <row r="390" spans="1:3" ht="13" x14ac:dyDescent="0.15">
      <c r="A390" s="10"/>
      <c r="B390" s="13"/>
      <c r="C390" s="13"/>
    </row>
    <row r="391" spans="1:3" ht="13" x14ac:dyDescent="0.15">
      <c r="A391" s="10"/>
      <c r="B391" s="13"/>
      <c r="C391" s="13"/>
    </row>
    <row r="392" spans="1:3" ht="13" x14ac:dyDescent="0.15">
      <c r="A392" s="10"/>
      <c r="B392" s="13"/>
      <c r="C392" s="13"/>
    </row>
    <row r="393" spans="1:3" ht="13" x14ac:dyDescent="0.15">
      <c r="A393" s="10"/>
      <c r="B393" s="13"/>
      <c r="C393" s="13"/>
    </row>
    <row r="394" spans="1:3" ht="13" x14ac:dyDescent="0.15">
      <c r="A394" s="10"/>
      <c r="B394" s="13"/>
      <c r="C394" s="13"/>
    </row>
    <row r="395" spans="1:3" ht="13" x14ac:dyDescent="0.15">
      <c r="A395" s="10"/>
      <c r="B395" s="13"/>
      <c r="C395" s="13"/>
    </row>
    <row r="396" spans="1:3" ht="13" x14ac:dyDescent="0.15">
      <c r="A396" s="10"/>
      <c r="B396" s="13"/>
      <c r="C396" s="13"/>
    </row>
    <row r="397" spans="1:3" ht="13" x14ac:dyDescent="0.15">
      <c r="A397" s="10"/>
      <c r="B397" s="13"/>
      <c r="C397" s="13"/>
    </row>
    <row r="398" spans="1:3" ht="13" x14ac:dyDescent="0.15">
      <c r="A398" s="10"/>
      <c r="B398" s="13"/>
      <c r="C398" s="13"/>
    </row>
    <row r="399" spans="1:3" ht="13" x14ac:dyDescent="0.15">
      <c r="A399" s="10"/>
      <c r="B399" s="13"/>
      <c r="C399" s="13"/>
    </row>
    <row r="400" spans="1:3" ht="13" x14ac:dyDescent="0.15">
      <c r="A400" s="10"/>
      <c r="B400" s="13"/>
      <c r="C400" s="13"/>
    </row>
    <row r="401" spans="1:3" ht="13" x14ac:dyDescent="0.15">
      <c r="A401" s="10"/>
      <c r="B401" s="13"/>
      <c r="C401" s="13"/>
    </row>
    <row r="402" spans="1:3" ht="13" x14ac:dyDescent="0.15">
      <c r="A402" s="10"/>
      <c r="B402" s="13"/>
      <c r="C402" s="13"/>
    </row>
    <row r="403" spans="1:3" ht="13" x14ac:dyDescent="0.15">
      <c r="A403" s="10"/>
      <c r="B403" s="13"/>
      <c r="C403" s="13"/>
    </row>
    <row r="404" spans="1:3" ht="13" x14ac:dyDescent="0.15">
      <c r="A404" s="10"/>
      <c r="B404" s="13"/>
      <c r="C404" s="13"/>
    </row>
    <row r="405" spans="1:3" ht="13" x14ac:dyDescent="0.15">
      <c r="A405" s="10"/>
      <c r="B405" s="13"/>
      <c r="C405" s="13"/>
    </row>
    <row r="406" spans="1:3" ht="13" x14ac:dyDescent="0.15">
      <c r="A406" s="10"/>
      <c r="B406" s="13"/>
      <c r="C406" s="13"/>
    </row>
    <row r="407" spans="1:3" ht="13" x14ac:dyDescent="0.15">
      <c r="A407" s="10"/>
      <c r="B407" s="13"/>
      <c r="C407" s="13"/>
    </row>
    <row r="408" spans="1:3" ht="13" x14ac:dyDescent="0.15">
      <c r="A408" s="10"/>
      <c r="B408" s="13"/>
      <c r="C408" s="13"/>
    </row>
    <row r="409" spans="1:3" ht="13" x14ac:dyDescent="0.15">
      <c r="A409" s="10"/>
      <c r="B409" s="13"/>
      <c r="C409" s="13"/>
    </row>
    <row r="410" spans="1:3" ht="13" x14ac:dyDescent="0.15">
      <c r="A410" s="10"/>
      <c r="B410" s="13"/>
      <c r="C410" s="13"/>
    </row>
    <row r="411" spans="1:3" ht="13" x14ac:dyDescent="0.15">
      <c r="A411" s="10"/>
      <c r="B411" s="13"/>
      <c r="C411" s="13"/>
    </row>
    <row r="412" spans="1:3" ht="13" x14ac:dyDescent="0.15">
      <c r="A412" s="10"/>
      <c r="B412" s="13"/>
      <c r="C412" s="13"/>
    </row>
    <row r="413" spans="1:3" ht="13" x14ac:dyDescent="0.15">
      <c r="A413" s="10"/>
      <c r="B413" s="13"/>
      <c r="C413" s="13"/>
    </row>
    <row r="414" spans="1:3" ht="13" x14ac:dyDescent="0.15">
      <c r="A414" s="10"/>
      <c r="B414" s="13"/>
      <c r="C414" s="13"/>
    </row>
    <row r="415" spans="1:3" ht="13" x14ac:dyDescent="0.15">
      <c r="A415" s="10"/>
      <c r="B415" s="13"/>
      <c r="C415" s="13"/>
    </row>
    <row r="416" spans="1:3" ht="13" x14ac:dyDescent="0.15">
      <c r="A416" s="10"/>
      <c r="B416" s="13"/>
      <c r="C416" s="13"/>
    </row>
    <row r="417" spans="1:3" ht="13" x14ac:dyDescent="0.15">
      <c r="A417" s="10"/>
      <c r="B417" s="13"/>
      <c r="C417" s="13"/>
    </row>
    <row r="418" spans="1:3" ht="13" x14ac:dyDescent="0.15">
      <c r="A418" s="10"/>
      <c r="B418" s="13"/>
      <c r="C418" s="13"/>
    </row>
    <row r="419" spans="1:3" ht="13" x14ac:dyDescent="0.15">
      <c r="A419" s="10"/>
      <c r="B419" s="13"/>
      <c r="C419" s="13"/>
    </row>
    <row r="420" spans="1:3" ht="13" x14ac:dyDescent="0.15">
      <c r="A420" s="10"/>
      <c r="B420" s="13"/>
      <c r="C420" s="13"/>
    </row>
    <row r="421" spans="1:3" ht="13" x14ac:dyDescent="0.15">
      <c r="A421" s="10"/>
      <c r="B421" s="13"/>
      <c r="C421" s="13"/>
    </row>
    <row r="422" spans="1:3" ht="13" x14ac:dyDescent="0.15">
      <c r="A422" s="10"/>
      <c r="B422" s="13"/>
      <c r="C422" s="13"/>
    </row>
    <row r="423" spans="1:3" ht="13" x14ac:dyDescent="0.15">
      <c r="A423" s="10"/>
      <c r="B423" s="13"/>
      <c r="C423" s="13"/>
    </row>
    <row r="424" spans="1:3" ht="13" x14ac:dyDescent="0.15">
      <c r="A424" s="10"/>
      <c r="B424" s="13"/>
      <c r="C424" s="13"/>
    </row>
    <row r="425" spans="1:3" ht="13" x14ac:dyDescent="0.15">
      <c r="A425" s="10"/>
      <c r="B425" s="13"/>
      <c r="C425" s="13"/>
    </row>
    <row r="426" spans="1:3" ht="13" x14ac:dyDescent="0.15">
      <c r="A426" s="10"/>
      <c r="B426" s="13"/>
      <c r="C426" s="13"/>
    </row>
    <row r="427" spans="1:3" ht="13" x14ac:dyDescent="0.15">
      <c r="A427" s="10"/>
      <c r="B427" s="13"/>
      <c r="C427" s="13"/>
    </row>
    <row r="428" spans="1:3" ht="13" x14ac:dyDescent="0.15">
      <c r="A428" s="10"/>
      <c r="B428" s="13"/>
      <c r="C428" s="13"/>
    </row>
    <row r="429" spans="1:3" ht="13" x14ac:dyDescent="0.15">
      <c r="A429" s="10"/>
      <c r="B429" s="13"/>
      <c r="C429" s="13"/>
    </row>
    <row r="430" spans="1:3" ht="13" x14ac:dyDescent="0.15">
      <c r="A430" s="10"/>
      <c r="B430" s="13"/>
      <c r="C430" s="13"/>
    </row>
    <row r="431" spans="1:3" ht="13" x14ac:dyDescent="0.15">
      <c r="A431" s="10"/>
      <c r="B431" s="13"/>
      <c r="C431" s="13"/>
    </row>
    <row r="432" spans="1:3" ht="13" x14ac:dyDescent="0.15">
      <c r="A432" s="10"/>
      <c r="B432" s="13"/>
      <c r="C432" s="13"/>
    </row>
    <row r="433" spans="1:3" ht="13" x14ac:dyDescent="0.15">
      <c r="A433" s="10"/>
      <c r="B433" s="13"/>
      <c r="C433" s="13"/>
    </row>
    <row r="434" spans="1:3" ht="13" x14ac:dyDescent="0.15">
      <c r="A434" s="10"/>
      <c r="B434" s="13"/>
      <c r="C434" s="13"/>
    </row>
    <row r="435" spans="1:3" ht="13" x14ac:dyDescent="0.15">
      <c r="A435" s="10"/>
      <c r="B435" s="13"/>
      <c r="C435" s="13"/>
    </row>
    <row r="436" spans="1:3" ht="13" x14ac:dyDescent="0.15">
      <c r="A436" s="10"/>
      <c r="B436" s="13"/>
      <c r="C436" s="13"/>
    </row>
    <row r="437" spans="1:3" ht="13" x14ac:dyDescent="0.15">
      <c r="A437" s="10"/>
      <c r="B437" s="13"/>
      <c r="C437" s="13"/>
    </row>
    <row r="438" spans="1:3" ht="13" x14ac:dyDescent="0.15">
      <c r="A438" s="10"/>
      <c r="B438" s="13"/>
      <c r="C438" s="13"/>
    </row>
    <row r="439" spans="1:3" ht="13" x14ac:dyDescent="0.15">
      <c r="A439" s="10"/>
      <c r="B439" s="13"/>
      <c r="C439" s="13"/>
    </row>
    <row r="440" spans="1:3" ht="13" x14ac:dyDescent="0.15">
      <c r="A440" s="10"/>
      <c r="B440" s="13"/>
      <c r="C440" s="13"/>
    </row>
    <row r="441" spans="1:3" ht="13" x14ac:dyDescent="0.15">
      <c r="A441" s="10"/>
      <c r="B441" s="13"/>
      <c r="C441" s="13"/>
    </row>
    <row r="442" spans="1:3" ht="13" x14ac:dyDescent="0.15">
      <c r="A442" s="10"/>
      <c r="B442" s="13"/>
      <c r="C442" s="13"/>
    </row>
    <row r="443" spans="1:3" ht="13" x14ac:dyDescent="0.15">
      <c r="A443" s="10"/>
      <c r="B443" s="13"/>
      <c r="C443" s="13"/>
    </row>
    <row r="444" spans="1:3" ht="13" x14ac:dyDescent="0.15">
      <c r="A444" s="10"/>
      <c r="B444" s="13"/>
      <c r="C444" s="13"/>
    </row>
    <row r="445" spans="1:3" ht="13" x14ac:dyDescent="0.15">
      <c r="A445" s="10"/>
      <c r="B445" s="13"/>
      <c r="C445" s="13"/>
    </row>
    <row r="446" spans="1:3" ht="13" x14ac:dyDescent="0.15">
      <c r="A446" s="10"/>
      <c r="B446" s="13"/>
      <c r="C446" s="13"/>
    </row>
    <row r="447" spans="1:3" ht="13" x14ac:dyDescent="0.15">
      <c r="A447" s="10"/>
      <c r="B447" s="13"/>
      <c r="C447" s="13"/>
    </row>
    <row r="448" spans="1:3" ht="13" x14ac:dyDescent="0.15">
      <c r="A448" s="10"/>
      <c r="B448" s="13"/>
      <c r="C448" s="13"/>
    </row>
    <row r="449" spans="1:3" ht="13" x14ac:dyDescent="0.15">
      <c r="A449" s="10"/>
      <c r="B449" s="13"/>
      <c r="C449" s="13"/>
    </row>
    <row r="450" spans="1:3" ht="13" x14ac:dyDescent="0.15">
      <c r="A450" s="10"/>
      <c r="B450" s="13"/>
      <c r="C450" s="13"/>
    </row>
    <row r="451" spans="1:3" ht="13" x14ac:dyDescent="0.15">
      <c r="A451" s="10"/>
      <c r="B451" s="13"/>
      <c r="C451" s="13"/>
    </row>
    <row r="452" spans="1:3" ht="13" x14ac:dyDescent="0.15">
      <c r="A452" s="10"/>
      <c r="B452" s="13"/>
      <c r="C452" s="13"/>
    </row>
    <row r="453" spans="1:3" ht="13" x14ac:dyDescent="0.15">
      <c r="A453" s="10"/>
      <c r="B453" s="13"/>
      <c r="C453" s="13"/>
    </row>
    <row r="454" spans="1:3" ht="13" x14ac:dyDescent="0.15">
      <c r="A454" s="10"/>
      <c r="B454" s="13"/>
      <c r="C454" s="13"/>
    </row>
    <row r="455" spans="1:3" ht="13" x14ac:dyDescent="0.15">
      <c r="A455" s="10"/>
      <c r="B455" s="13"/>
      <c r="C455" s="13"/>
    </row>
    <row r="456" spans="1:3" ht="13" x14ac:dyDescent="0.15">
      <c r="A456" s="10"/>
      <c r="B456" s="13"/>
      <c r="C456" s="13"/>
    </row>
    <row r="457" spans="1:3" ht="13" x14ac:dyDescent="0.15">
      <c r="A457" s="10"/>
      <c r="B457" s="13"/>
      <c r="C457" s="13"/>
    </row>
    <row r="458" spans="1:3" ht="13" x14ac:dyDescent="0.15">
      <c r="A458" s="10"/>
      <c r="B458" s="13"/>
      <c r="C458" s="13"/>
    </row>
    <row r="459" spans="1:3" ht="13" x14ac:dyDescent="0.15">
      <c r="A459" s="10"/>
      <c r="B459" s="13"/>
      <c r="C459" s="13"/>
    </row>
    <row r="460" spans="1:3" ht="13" x14ac:dyDescent="0.15">
      <c r="A460" s="10"/>
      <c r="B460" s="13"/>
      <c r="C460" s="13"/>
    </row>
    <row r="461" spans="1:3" ht="13" x14ac:dyDescent="0.15">
      <c r="A461" s="10"/>
      <c r="B461" s="13"/>
      <c r="C461" s="13"/>
    </row>
    <row r="462" spans="1:3" ht="13" x14ac:dyDescent="0.15">
      <c r="A462" s="10"/>
      <c r="B462" s="13"/>
      <c r="C462" s="13"/>
    </row>
    <row r="463" spans="1:3" ht="13" x14ac:dyDescent="0.15">
      <c r="A463" s="10"/>
      <c r="B463" s="13"/>
      <c r="C463" s="13"/>
    </row>
    <row r="464" spans="1:3" ht="13" x14ac:dyDescent="0.15">
      <c r="A464" s="10"/>
      <c r="B464" s="13"/>
      <c r="C464" s="13"/>
    </row>
    <row r="465" spans="1:3" ht="13" x14ac:dyDescent="0.15">
      <c r="A465" s="10"/>
      <c r="B465" s="13"/>
      <c r="C465" s="13"/>
    </row>
    <row r="466" spans="1:3" ht="13" x14ac:dyDescent="0.15">
      <c r="A466" s="10"/>
      <c r="B466" s="13"/>
      <c r="C466" s="13"/>
    </row>
    <row r="467" spans="1:3" ht="13" x14ac:dyDescent="0.15">
      <c r="A467" s="10"/>
      <c r="B467" s="13"/>
      <c r="C467" s="13"/>
    </row>
    <row r="468" spans="1:3" ht="13" x14ac:dyDescent="0.15">
      <c r="A468" s="10"/>
      <c r="B468" s="13"/>
      <c r="C468" s="13"/>
    </row>
    <row r="469" spans="1:3" ht="13" x14ac:dyDescent="0.15">
      <c r="A469" s="10"/>
      <c r="B469" s="13"/>
      <c r="C469" s="13"/>
    </row>
    <row r="470" spans="1:3" ht="13" x14ac:dyDescent="0.15">
      <c r="A470" s="10"/>
      <c r="B470" s="13"/>
      <c r="C470" s="13"/>
    </row>
    <row r="471" spans="1:3" ht="13" x14ac:dyDescent="0.15">
      <c r="A471" s="10"/>
      <c r="B471" s="13"/>
      <c r="C471" s="13"/>
    </row>
    <row r="472" spans="1:3" ht="13" x14ac:dyDescent="0.15">
      <c r="A472" s="10"/>
      <c r="B472" s="13"/>
      <c r="C472" s="13"/>
    </row>
    <row r="473" spans="1:3" ht="13" x14ac:dyDescent="0.15">
      <c r="A473" s="10"/>
      <c r="B473" s="13"/>
      <c r="C473" s="13"/>
    </row>
    <row r="474" spans="1:3" ht="13" x14ac:dyDescent="0.15">
      <c r="A474" s="10"/>
      <c r="B474" s="13"/>
      <c r="C474" s="13"/>
    </row>
    <row r="475" spans="1:3" ht="13" x14ac:dyDescent="0.15">
      <c r="A475" s="10"/>
      <c r="B475" s="13"/>
      <c r="C475" s="13"/>
    </row>
    <row r="476" spans="1:3" ht="13" x14ac:dyDescent="0.15">
      <c r="A476" s="10"/>
      <c r="B476" s="13"/>
      <c r="C476" s="13"/>
    </row>
    <row r="477" spans="1:3" ht="13" x14ac:dyDescent="0.15">
      <c r="A477" s="10"/>
      <c r="B477" s="13"/>
      <c r="C477" s="13"/>
    </row>
    <row r="478" spans="1:3" ht="13" x14ac:dyDescent="0.15">
      <c r="A478" s="10"/>
      <c r="B478" s="13"/>
      <c r="C478" s="13"/>
    </row>
    <row r="479" spans="1:3" ht="13" x14ac:dyDescent="0.15">
      <c r="A479" s="10"/>
      <c r="B479" s="13"/>
      <c r="C479" s="13"/>
    </row>
    <row r="480" spans="1:3" ht="13" x14ac:dyDescent="0.15">
      <c r="A480" s="10"/>
      <c r="B480" s="13"/>
      <c r="C480" s="13"/>
    </row>
    <row r="481" spans="1:3" ht="13" x14ac:dyDescent="0.15">
      <c r="A481" s="10"/>
      <c r="B481" s="13"/>
      <c r="C481" s="13"/>
    </row>
    <row r="482" spans="1:3" ht="13" x14ac:dyDescent="0.15">
      <c r="A482" s="10"/>
      <c r="B482" s="13"/>
      <c r="C482" s="13"/>
    </row>
    <row r="483" spans="1:3" ht="13" x14ac:dyDescent="0.15">
      <c r="A483" s="10"/>
      <c r="B483" s="13"/>
      <c r="C483" s="13"/>
    </row>
    <row r="484" spans="1:3" ht="13" x14ac:dyDescent="0.15">
      <c r="A484" s="10"/>
      <c r="B484" s="13"/>
      <c r="C484" s="13"/>
    </row>
    <row r="485" spans="1:3" ht="13" x14ac:dyDescent="0.15">
      <c r="A485" s="10"/>
      <c r="B485" s="13"/>
      <c r="C485" s="13"/>
    </row>
    <row r="486" spans="1:3" ht="13" x14ac:dyDescent="0.15">
      <c r="A486" s="10"/>
      <c r="B486" s="13"/>
      <c r="C486" s="13"/>
    </row>
    <row r="487" spans="1:3" ht="13" x14ac:dyDescent="0.15">
      <c r="A487" s="10"/>
      <c r="B487" s="13"/>
      <c r="C487" s="13"/>
    </row>
    <row r="488" spans="1:3" ht="13" x14ac:dyDescent="0.15">
      <c r="A488" s="10"/>
      <c r="B488" s="13"/>
      <c r="C488" s="13"/>
    </row>
    <row r="489" spans="1:3" ht="13" x14ac:dyDescent="0.15">
      <c r="A489" s="10"/>
      <c r="B489" s="13"/>
      <c r="C489" s="13"/>
    </row>
    <row r="490" spans="1:3" ht="13" x14ac:dyDescent="0.15">
      <c r="A490" s="10"/>
      <c r="B490" s="13"/>
      <c r="C490" s="13"/>
    </row>
    <row r="491" spans="1:3" ht="13" x14ac:dyDescent="0.15">
      <c r="A491" s="10"/>
      <c r="B491" s="13"/>
      <c r="C491" s="13"/>
    </row>
    <row r="492" spans="1:3" ht="13" x14ac:dyDescent="0.15">
      <c r="A492" s="10"/>
      <c r="B492" s="13"/>
      <c r="C492" s="13"/>
    </row>
    <row r="493" spans="1:3" ht="13" x14ac:dyDescent="0.15">
      <c r="A493" s="10"/>
      <c r="B493" s="13"/>
      <c r="C493" s="13"/>
    </row>
    <row r="494" spans="1:3" ht="13" x14ac:dyDescent="0.15">
      <c r="A494" s="10"/>
      <c r="B494" s="13"/>
      <c r="C494" s="13"/>
    </row>
    <row r="495" spans="1:3" ht="13" x14ac:dyDescent="0.15">
      <c r="A495" s="10"/>
      <c r="B495" s="13"/>
      <c r="C495" s="13"/>
    </row>
    <row r="496" spans="1:3" ht="13" x14ac:dyDescent="0.15">
      <c r="A496" s="10"/>
      <c r="B496" s="13"/>
      <c r="C496" s="13"/>
    </row>
    <row r="497" spans="1:3" ht="13" x14ac:dyDescent="0.15">
      <c r="A497" s="10"/>
      <c r="B497" s="13"/>
      <c r="C497" s="13"/>
    </row>
    <row r="498" spans="1:3" ht="13" x14ac:dyDescent="0.15">
      <c r="A498" s="10"/>
      <c r="B498" s="13"/>
      <c r="C498" s="13"/>
    </row>
    <row r="499" spans="1:3" ht="13" x14ac:dyDescent="0.15">
      <c r="A499" s="10"/>
      <c r="B499" s="13"/>
      <c r="C499" s="13"/>
    </row>
    <row r="500" spans="1:3" ht="13" x14ac:dyDescent="0.15">
      <c r="A500" s="10"/>
      <c r="B500" s="13"/>
      <c r="C500" s="13"/>
    </row>
    <row r="501" spans="1:3" ht="13" x14ac:dyDescent="0.15">
      <c r="A501" s="10"/>
      <c r="B501" s="13"/>
      <c r="C501" s="13"/>
    </row>
    <row r="502" spans="1:3" ht="13" x14ac:dyDescent="0.15">
      <c r="A502" s="10"/>
      <c r="B502" s="13"/>
      <c r="C502" s="13"/>
    </row>
    <row r="503" spans="1:3" ht="13" x14ac:dyDescent="0.15">
      <c r="A503" s="10"/>
      <c r="B503" s="13"/>
      <c r="C503" s="13"/>
    </row>
    <row r="504" spans="1:3" ht="13" x14ac:dyDescent="0.15">
      <c r="A504" s="10"/>
      <c r="B504" s="13"/>
      <c r="C504" s="13"/>
    </row>
    <row r="505" spans="1:3" ht="13" x14ac:dyDescent="0.15">
      <c r="A505" s="10"/>
      <c r="B505" s="13"/>
      <c r="C505" s="13"/>
    </row>
    <row r="506" spans="1:3" ht="13" x14ac:dyDescent="0.15">
      <c r="A506" s="10"/>
      <c r="B506" s="13"/>
      <c r="C506" s="13"/>
    </row>
    <row r="507" spans="1:3" ht="13" x14ac:dyDescent="0.15">
      <c r="A507" s="10"/>
      <c r="B507" s="13"/>
      <c r="C507" s="13"/>
    </row>
    <row r="508" spans="1:3" ht="13" x14ac:dyDescent="0.15">
      <c r="A508" s="10"/>
      <c r="B508" s="13"/>
      <c r="C508" s="13"/>
    </row>
    <row r="509" spans="1:3" ht="13" x14ac:dyDescent="0.15">
      <c r="A509" s="10"/>
      <c r="B509" s="13"/>
      <c r="C509" s="13"/>
    </row>
    <row r="510" spans="1:3" ht="13" x14ac:dyDescent="0.15">
      <c r="A510" s="10"/>
      <c r="B510" s="13"/>
      <c r="C510" s="13"/>
    </row>
    <row r="511" spans="1:3" ht="13" x14ac:dyDescent="0.15">
      <c r="A511" s="10"/>
      <c r="B511" s="13"/>
      <c r="C511" s="13"/>
    </row>
    <row r="512" spans="1:3" ht="13" x14ac:dyDescent="0.15">
      <c r="A512" s="10"/>
      <c r="B512" s="13"/>
      <c r="C512" s="13"/>
    </row>
    <row r="513" spans="1:3" ht="13" x14ac:dyDescent="0.15">
      <c r="A513" s="10"/>
      <c r="B513" s="13"/>
      <c r="C513" s="13"/>
    </row>
    <row r="514" spans="1:3" ht="13" x14ac:dyDescent="0.15">
      <c r="A514" s="10"/>
      <c r="B514" s="13"/>
      <c r="C514" s="13"/>
    </row>
    <row r="515" spans="1:3" ht="13" x14ac:dyDescent="0.15">
      <c r="A515" s="10"/>
      <c r="B515" s="13"/>
      <c r="C515" s="13"/>
    </row>
    <row r="516" spans="1:3" ht="13" x14ac:dyDescent="0.15">
      <c r="A516" s="10"/>
      <c r="B516" s="13"/>
      <c r="C516" s="13"/>
    </row>
    <row r="517" spans="1:3" ht="13" x14ac:dyDescent="0.15">
      <c r="A517" s="10"/>
      <c r="B517" s="13"/>
      <c r="C517" s="13"/>
    </row>
    <row r="518" spans="1:3" ht="13" x14ac:dyDescent="0.15">
      <c r="A518" s="10"/>
      <c r="B518" s="13"/>
      <c r="C518" s="13"/>
    </row>
    <row r="519" spans="1:3" ht="13" x14ac:dyDescent="0.15">
      <c r="A519" s="10"/>
      <c r="B519" s="13"/>
      <c r="C519" s="13"/>
    </row>
    <row r="520" spans="1:3" ht="13" x14ac:dyDescent="0.15">
      <c r="A520" s="10"/>
      <c r="B520" s="13"/>
      <c r="C520" s="13"/>
    </row>
    <row r="521" spans="1:3" ht="13" x14ac:dyDescent="0.15">
      <c r="A521" s="10"/>
      <c r="B521" s="13"/>
      <c r="C521" s="13"/>
    </row>
    <row r="522" spans="1:3" ht="13" x14ac:dyDescent="0.15">
      <c r="A522" s="10"/>
      <c r="B522" s="13"/>
      <c r="C522" s="13"/>
    </row>
    <row r="523" spans="1:3" ht="13" x14ac:dyDescent="0.15">
      <c r="A523" s="10"/>
      <c r="B523" s="13"/>
      <c r="C523" s="13"/>
    </row>
    <row r="524" spans="1:3" ht="13" x14ac:dyDescent="0.15">
      <c r="A524" s="10"/>
      <c r="B524" s="13"/>
      <c r="C524" s="13"/>
    </row>
    <row r="525" spans="1:3" ht="13" x14ac:dyDescent="0.15">
      <c r="A525" s="10"/>
      <c r="B525" s="13"/>
      <c r="C525" s="13"/>
    </row>
    <row r="526" spans="1:3" ht="13" x14ac:dyDescent="0.15">
      <c r="A526" s="10"/>
      <c r="B526" s="13"/>
      <c r="C526" s="13"/>
    </row>
    <row r="527" spans="1:3" ht="13" x14ac:dyDescent="0.15">
      <c r="A527" s="10"/>
      <c r="B527" s="13"/>
      <c r="C527" s="13"/>
    </row>
    <row r="528" spans="1:3" ht="13" x14ac:dyDescent="0.15">
      <c r="A528" s="10"/>
      <c r="B528" s="13"/>
      <c r="C528" s="13"/>
    </row>
    <row r="529" spans="1:3" ht="13" x14ac:dyDescent="0.15">
      <c r="A529" s="10"/>
      <c r="B529" s="13"/>
      <c r="C529" s="13"/>
    </row>
    <row r="530" spans="1:3" ht="13" x14ac:dyDescent="0.15">
      <c r="A530" s="10"/>
      <c r="B530" s="13"/>
      <c r="C530" s="13"/>
    </row>
    <row r="531" spans="1:3" ht="13" x14ac:dyDescent="0.15">
      <c r="A531" s="10"/>
      <c r="B531" s="13"/>
      <c r="C531" s="13"/>
    </row>
    <row r="532" spans="1:3" ht="13" x14ac:dyDescent="0.15">
      <c r="A532" s="10"/>
      <c r="B532" s="13"/>
      <c r="C532" s="13"/>
    </row>
    <row r="533" spans="1:3" ht="13" x14ac:dyDescent="0.15">
      <c r="A533" s="10"/>
      <c r="B533" s="13"/>
      <c r="C533" s="13"/>
    </row>
    <row r="534" spans="1:3" ht="13" x14ac:dyDescent="0.15">
      <c r="A534" s="10"/>
      <c r="B534" s="13"/>
      <c r="C534" s="13"/>
    </row>
    <row r="535" spans="1:3" ht="13" x14ac:dyDescent="0.15">
      <c r="A535" s="10"/>
      <c r="B535" s="13"/>
      <c r="C535" s="13"/>
    </row>
    <row r="536" spans="1:3" ht="13" x14ac:dyDescent="0.15">
      <c r="A536" s="10"/>
      <c r="B536" s="13"/>
      <c r="C536" s="13"/>
    </row>
    <row r="537" spans="1:3" ht="13" x14ac:dyDescent="0.15">
      <c r="A537" s="10"/>
      <c r="B537" s="13"/>
      <c r="C537" s="13"/>
    </row>
    <row r="538" spans="1:3" ht="13" x14ac:dyDescent="0.15">
      <c r="A538" s="10"/>
      <c r="B538" s="13"/>
      <c r="C538" s="13"/>
    </row>
    <row r="539" spans="1:3" ht="13" x14ac:dyDescent="0.15">
      <c r="A539" s="10"/>
      <c r="B539" s="13"/>
      <c r="C539" s="13"/>
    </row>
    <row r="540" spans="1:3" ht="13" x14ac:dyDescent="0.15">
      <c r="A540" s="10"/>
      <c r="B540" s="13"/>
      <c r="C540" s="13"/>
    </row>
    <row r="541" spans="1:3" ht="13" x14ac:dyDescent="0.15">
      <c r="A541" s="10"/>
      <c r="B541" s="13"/>
      <c r="C541" s="13"/>
    </row>
    <row r="542" spans="1:3" ht="13" x14ac:dyDescent="0.15">
      <c r="A542" s="10"/>
      <c r="B542" s="13"/>
      <c r="C542" s="13"/>
    </row>
    <row r="543" spans="1:3" ht="13" x14ac:dyDescent="0.15">
      <c r="A543" s="10"/>
      <c r="B543" s="13"/>
      <c r="C543" s="13"/>
    </row>
    <row r="544" spans="1:3" ht="13" x14ac:dyDescent="0.15">
      <c r="A544" s="10"/>
      <c r="B544" s="13"/>
      <c r="C544" s="13"/>
    </row>
    <row r="545" spans="1:3" ht="13" x14ac:dyDescent="0.15">
      <c r="A545" s="10"/>
      <c r="B545" s="13"/>
      <c r="C545" s="13"/>
    </row>
    <row r="546" spans="1:3" ht="13" x14ac:dyDescent="0.15">
      <c r="A546" s="10"/>
      <c r="B546" s="13"/>
      <c r="C546" s="13"/>
    </row>
    <row r="547" spans="1:3" ht="13" x14ac:dyDescent="0.15">
      <c r="A547" s="10"/>
      <c r="B547" s="13"/>
      <c r="C547" s="13"/>
    </row>
    <row r="548" spans="1:3" ht="13" x14ac:dyDescent="0.15">
      <c r="A548" s="10"/>
      <c r="B548" s="13"/>
      <c r="C548" s="13"/>
    </row>
    <row r="549" spans="1:3" ht="13" x14ac:dyDescent="0.15">
      <c r="A549" s="10"/>
      <c r="B549" s="13"/>
      <c r="C549" s="13"/>
    </row>
    <row r="550" spans="1:3" ht="13" x14ac:dyDescent="0.15">
      <c r="A550" s="10"/>
      <c r="B550" s="13"/>
      <c r="C550" s="13"/>
    </row>
    <row r="551" spans="1:3" ht="13" x14ac:dyDescent="0.15">
      <c r="A551" s="10"/>
      <c r="B551" s="13"/>
      <c r="C551" s="13"/>
    </row>
    <row r="552" spans="1:3" ht="13" x14ac:dyDescent="0.15">
      <c r="A552" s="10"/>
      <c r="B552" s="13"/>
      <c r="C552" s="13"/>
    </row>
    <row r="553" spans="1:3" ht="13" x14ac:dyDescent="0.15">
      <c r="A553" s="10"/>
      <c r="B553" s="13"/>
      <c r="C553" s="13"/>
    </row>
    <row r="554" spans="1:3" ht="13" x14ac:dyDescent="0.15">
      <c r="A554" s="10"/>
      <c r="B554" s="13"/>
      <c r="C554" s="13"/>
    </row>
    <row r="555" spans="1:3" ht="13" x14ac:dyDescent="0.15">
      <c r="A555" s="10"/>
      <c r="B555" s="13"/>
      <c r="C555" s="13"/>
    </row>
    <row r="556" spans="1:3" ht="13" x14ac:dyDescent="0.15">
      <c r="A556" s="10"/>
      <c r="B556" s="13"/>
      <c r="C556" s="13"/>
    </row>
    <row r="557" spans="1:3" ht="13" x14ac:dyDescent="0.15">
      <c r="A557" s="10"/>
      <c r="B557" s="13"/>
      <c r="C557" s="13"/>
    </row>
    <row r="558" spans="1:3" ht="13" x14ac:dyDescent="0.15">
      <c r="A558" s="10"/>
      <c r="B558" s="13"/>
      <c r="C558" s="13"/>
    </row>
    <row r="559" spans="1:3" ht="13" x14ac:dyDescent="0.15">
      <c r="A559" s="10"/>
      <c r="B559" s="13"/>
      <c r="C559" s="13"/>
    </row>
    <row r="560" spans="1:3" ht="13" x14ac:dyDescent="0.15">
      <c r="A560" s="10"/>
      <c r="B560" s="13"/>
      <c r="C560" s="13"/>
    </row>
    <row r="561" spans="1:3" ht="13" x14ac:dyDescent="0.15">
      <c r="A561" s="10"/>
      <c r="B561" s="13"/>
      <c r="C561" s="13"/>
    </row>
    <row r="562" spans="1:3" ht="13" x14ac:dyDescent="0.15">
      <c r="A562" s="10"/>
      <c r="B562" s="13"/>
      <c r="C562" s="13"/>
    </row>
    <row r="563" spans="1:3" ht="13" x14ac:dyDescent="0.15">
      <c r="A563" s="10"/>
      <c r="B563" s="13"/>
      <c r="C563" s="13"/>
    </row>
    <row r="564" spans="1:3" ht="13" x14ac:dyDescent="0.15">
      <c r="A564" s="10"/>
      <c r="B564" s="13"/>
      <c r="C564" s="13"/>
    </row>
    <row r="565" spans="1:3" ht="13" x14ac:dyDescent="0.15">
      <c r="A565" s="10"/>
      <c r="B565" s="13"/>
      <c r="C565" s="13"/>
    </row>
    <row r="566" spans="1:3" ht="13" x14ac:dyDescent="0.15">
      <c r="A566" s="10"/>
      <c r="B566" s="13"/>
      <c r="C566" s="13"/>
    </row>
    <row r="567" spans="1:3" ht="13" x14ac:dyDescent="0.15">
      <c r="A567" s="10"/>
      <c r="B567" s="13"/>
      <c r="C567" s="13"/>
    </row>
    <row r="568" spans="1:3" ht="13" x14ac:dyDescent="0.15">
      <c r="A568" s="10"/>
      <c r="B568" s="13"/>
      <c r="C568" s="13"/>
    </row>
    <row r="569" spans="1:3" ht="13" x14ac:dyDescent="0.15">
      <c r="A569" s="10"/>
      <c r="B569" s="13"/>
      <c r="C569" s="13"/>
    </row>
    <row r="570" spans="1:3" ht="13" x14ac:dyDescent="0.15">
      <c r="A570" s="10"/>
      <c r="B570" s="13"/>
      <c r="C570" s="13"/>
    </row>
    <row r="571" spans="1:3" ht="13" x14ac:dyDescent="0.15">
      <c r="A571" s="10"/>
      <c r="B571" s="13"/>
      <c r="C571" s="13"/>
    </row>
    <row r="572" spans="1:3" ht="13" x14ac:dyDescent="0.15">
      <c r="A572" s="10"/>
      <c r="B572" s="13"/>
      <c r="C572" s="13"/>
    </row>
    <row r="573" spans="1:3" ht="13" x14ac:dyDescent="0.15">
      <c r="A573" s="10"/>
      <c r="B573" s="13"/>
      <c r="C573" s="13"/>
    </row>
    <row r="574" spans="1:3" ht="13" x14ac:dyDescent="0.15">
      <c r="A574" s="10"/>
      <c r="B574" s="13"/>
      <c r="C574" s="13"/>
    </row>
    <row r="575" spans="1:3" ht="13" x14ac:dyDescent="0.15">
      <c r="A575" s="10"/>
      <c r="B575" s="13"/>
      <c r="C575" s="13"/>
    </row>
    <row r="576" spans="1:3" ht="13" x14ac:dyDescent="0.15">
      <c r="A576" s="10"/>
      <c r="B576" s="13"/>
      <c r="C576" s="13"/>
    </row>
    <row r="577" spans="1:3" ht="13" x14ac:dyDescent="0.15">
      <c r="A577" s="10"/>
      <c r="B577" s="13"/>
      <c r="C577" s="13"/>
    </row>
    <row r="578" spans="1:3" ht="13" x14ac:dyDescent="0.15">
      <c r="A578" s="10"/>
      <c r="B578" s="13"/>
      <c r="C578" s="13"/>
    </row>
    <row r="579" spans="1:3" ht="13" x14ac:dyDescent="0.15">
      <c r="A579" s="10"/>
      <c r="B579" s="13"/>
      <c r="C579" s="13"/>
    </row>
    <row r="580" spans="1:3" ht="13" x14ac:dyDescent="0.15">
      <c r="A580" s="10"/>
      <c r="B580" s="13"/>
      <c r="C580" s="13"/>
    </row>
    <row r="581" spans="1:3" ht="13" x14ac:dyDescent="0.15">
      <c r="A581" s="10"/>
      <c r="B581" s="13"/>
      <c r="C581" s="13"/>
    </row>
    <row r="582" spans="1:3" ht="13" x14ac:dyDescent="0.15">
      <c r="A582" s="10"/>
      <c r="B582" s="13"/>
      <c r="C582" s="13"/>
    </row>
    <row r="583" spans="1:3" ht="13" x14ac:dyDescent="0.15">
      <c r="A583" s="10"/>
      <c r="B583" s="13"/>
      <c r="C583" s="13"/>
    </row>
    <row r="584" spans="1:3" ht="13" x14ac:dyDescent="0.15">
      <c r="A584" s="10"/>
      <c r="B584" s="13"/>
      <c r="C584" s="13"/>
    </row>
    <row r="585" spans="1:3" ht="13" x14ac:dyDescent="0.15">
      <c r="A585" s="10"/>
      <c r="B585" s="13"/>
      <c r="C585" s="13"/>
    </row>
    <row r="586" spans="1:3" ht="13" x14ac:dyDescent="0.15">
      <c r="A586" s="10"/>
      <c r="B586" s="13"/>
      <c r="C586" s="13"/>
    </row>
    <row r="587" spans="1:3" ht="13" x14ac:dyDescent="0.15">
      <c r="A587" s="10"/>
      <c r="B587" s="13"/>
      <c r="C587" s="13"/>
    </row>
    <row r="588" spans="1:3" ht="13" x14ac:dyDescent="0.15">
      <c r="A588" s="10"/>
      <c r="B588" s="13"/>
      <c r="C588" s="13"/>
    </row>
    <row r="589" spans="1:3" ht="13" x14ac:dyDescent="0.15">
      <c r="A589" s="10"/>
      <c r="B589" s="13"/>
      <c r="C589" s="13"/>
    </row>
    <row r="590" spans="1:3" ht="13" x14ac:dyDescent="0.15">
      <c r="A590" s="10"/>
      <c r="B590" s="13"/>
      <c r="C590" s="13"/>
    </row>
    <row r="591" spans="1:3" ht="13" x14ac:dyDescent="0.15">
      <c r="A591" s="10"/>
      <c r="B591" s="13"/>
      <c r="C591" s="13"/>
    </row>
    <row r="592" spans="1:3" ht="13" x14ac:dyDescent="0.15">
      <c r="A592" s="10"/>
      <c r="B592" s="13"/>
      <c r="C592" s="13"/>
    </row>
    <row r="593" spans="1:3" ht="13" x14ac:dyDescent="0.15">
      <c r="A593" s="10"/>
      <c r="B593" s="13"/>
      <c r="C593" s="13"/>
    </row>
    <row r="594" spans="1:3" ht="13" x14ac:dyDescent="0.15">
      <c r="A594" s="10"/>
      <c r="B594" s="13"/>
      <c r="C594" s="13"/>
    </row>
    <row r="595" spans="1:3" ht="13" x14ac:dyDescent="0.15">
      <c r="A595" s="10"/>
      <c r="B595" s="13"/>
      <c r="C595" s="13"/>
    </row>
    <row r="596" spans="1:3" ht="13" x14ac:dyDescent="0.15">
      <c r="A596" s="10"/>
      <c r="B596" s="13"/>
      <c r="C596" s="13"/>
    </row>
    <row r="597" spans="1:3" ht="13" x14ac:dyDescent="0.15">
      <c r="A597" s="10"/>
      <c r="B597" s="13"/>
      <c r="C597" s="13"/>
    </row>
    <row r="598" spans="1:3" ht="13" x14ac:dyDescent="0.15">
      <c r="A598" s="10"/>
      <c r="B598" s="13"/>
      <c r="C598" s="13"/>
    </row>
    <row r="599" spans="1:3" ht="13" x14ac:dyDescent="0.15">
      <c r="A599" s="10"/>
      <c r="B599" s="13"/>
      <c r="C599" s="13"/>
    </row>
    <row r="600" spans="1:3" ht="13" x14ac:dyDescent="0.15">
      <c r="A600" s="10"/>
      <c r="B600" s="13"/>
      <c r="C600" s="13"/>
    </row>
    <row r="601" spans="1:3" ht="13" x14ac:dyDescent="0.15">
      <c r="A601" s="10"/>
      <c r="B601" s="13"/>
      <c r="C601" s="13"/>
    </row>
    <row r="602" spans="1:3" ht="13" x14ac:dyDescent="0.15">
      <c r="A602" s="10"/>
      <c r="B602" s="13"/>
      <c r="C602" s="13"/>
    </row>
    <row r="603" spans="1:3" ht="13" x14ac:dyDescent="0.15">
      <c r="A603" s="10"/>
      <c r="B603" s="13"/>
      <c r="C603" s="13"/>
    </row>
    <row r="604" spans="1:3" ht="13" x14ac:dyDescent="0.15">
      <c r="A604" s="10"/>
      <c r="B604" s="13"/>
      <c r="C604" s="13"/>
    </row>
    <row r="605" spans="1:3" ht="13" x14ac:dyDescent="0.15">
      <c r="A605" s="10"/>
      <c r="B605" s="13"/>
      <c r="C605" s="13"/>
    </row>
    <row r="606" spans="1:3" ht="13" x14ac:dyDescent="0.15">
      <c r="A606" s="10"/>
      <c r="B606" s="13"/>
      <c r="C606" s="13"/>
    </row>
    <row r="607" spans="1:3" ht="13" x14ac:dyDescent="0.15">
      <c r="A607" s="10"/>
      <c r="B607" s="13"/>
      <c r="C607" s="13"/>
    </row>
    <row r="608" spans="1:3" ht="13" x14ac:dyDescent="0.15">
      <c r="A608" s="10"/>
      <c r="B608" s="13"/>
      <c r="C608" s="13"/>
    </row>
    <row r="609" spans="1:3" ht="13" x14ac:dyDescent="0.15">
      <c r="A609" s="10"/>
      <c r="B609" s="13"/>
      <c r="C609" s="13"/>
    </row>
    <row r="610" spans="1:3" ht="13" x14ac:dyDescent="0.15">
      <c r="A610" s="10"/>
      <c r="B610" s="13"/>
      <c r="C610" s="13"/>
    </row>
    <row r="611" spans="1:3" ht="13" x14ac:dyDescent="0.15">
      <c r="A611" s="10"/>
      <c r="B611" s="13"/>
      <c r="C611" s="13"/>
    </row>
    <row r="612" spans="1:3" ht="13" x14ac:dyDescent="0.15">
      <c r="A612" s="10"/>
      <c r="B612" s="13"/>
      <c r="C612" s="13"/>
    </row>
    <row r="613" spans="1:3" ht="13" x14ac:dyDescent="0.15">
      <c r="A613" s="10"/>
      <c r="B613" s="13"/>
      <c r="C613" s="13"/>
    </row>
    <row r="614" spans="1:3" ht="13" x14ac:dyDescent="0.15">
      <c r="A614" s="10"/>
      <c r="B614" s="13"/>
      <c r="C614" s="13"/>
    </row>
    <row r="615" spans="1:3" ht="13" x14ac:dyDescent="0.15">
      <c r="A615" s="10"/>
      <c r="B615" s="13"/>
      <c r="C615" s="13"/>
    </row>
    <row r="616" spans="1:3" ht="13" x14ac:dyDescent="0.15">
      <c r="A616" s="10"/>
      <c r="B616" s="13"/>
      <c r="C616" s="13"/>
    </row>
    <row r="617" spans="1:3" ht="13" x14ac:dyDescent="0.15">
      <c r="A617" s="10"/>
      <c r="B617" s="13"/>
      <c r="C617" s="13"/>
    </row>
    <row r="618" spans="1:3" ht="13" x14ac:dyDescent="0.15">
      <c r="A618" s="10"/>
      <c r="B618" s="13"/>
      <c r="C618" s="13"/>
    </row>
    <row r="619" spans="1:3" ht="13" x14ac:dyDescent="0.15">
      <c r="A619" s="10"/>
      <c r="B619" s="13"/>
      <c r="C619" s="13"/>
    </row>
    <row r="620" spans="1:3" ht="13" x14ac:dyDescent="0.15">
      <c r="A620" s="10"/>
      <c r="B620" s="13"/>
      <c r="C620" s="13"/>
    </row>
    <row r="621" spans="1:3" ht="13" x14ac:dyDescent="0.15">
      <c r="A621" s="10"/>
      <c r="B621" s="13"/>
      <c r="C621" s="13"/>
    </row>
    <row r="622" spans="1:3" ht="13" x14ac:dyDescent="0.15">
      <c r="A622" s="10"/>
      <c r="B622" s="13"/>
      <c r="C622" s="13"/>
    </row>
    <row r="623" spans="1:3" ht="13" x14ac:dyDescent="0.15">
      <c r="A623" s="10"/>
      <c r="B623" s="13"/>
      <c r="C623" s="13"/>
    </row>
    <row r="624" spans="1:3" ht="13" x14ac:dyDescent="0.15">
      <c r="A624" s="10"/>
      <c r="B624" s="13"/>
      <c r="C624" s="13"/>
    </row>
    <row r="625" spans="1:3" ht="13" x14ac:dyDescent="0.15">
      <c r="A625" s="10"/>
      <c r="B625" s="13"/>
      <c r="C625" s="13"/>
    </row>
    <row r="626" spans="1:3" ht="13" x14ac:dyDescent="0.15">
      <c r="A626" s="10"/>
      <c r="B626" s="13"/>
      <c r="C626" s="13"/>
    </row>
    <row r="627" spans="1:3" ht="13" x14ac:dyDescent="0.15">
      <c r="A627" s="10"/>
      <c r="B627" s="13"/>
      <c r="C627" s="13"/>
    </row>
    <row r="628" spans="1:3" ht="13" x14ac:dyDescent="0.15">
      <c r="A628" s="10"/>
      <c r="B628" s="13"/>
      <c r="C628" s="13"/>
    </row>
    <row r="629" spans="1:3" ht="13" x14ac:dyDescent="0.15">
      <c r="A629" s="10"/>
      <c r="B629" s="13"/>
      <c r="C629" s="13"/>
    </row>
    <row r="630" spans="1:3" ht="13" x14ac:dyDescent="0.15">
      <c r="A630" s="10"/>
      <c r="B630" s="13"/>
      <c r="C630" s="13"/>
    </row>
    <row r="631" spans="1:3" ht="13" x14ac:dyDescent="0.15">
      <c r="A631" s="10"/>
      <c r="B631" s="13"/>
      <c r="C631" s="13"/>
    </row>
    <row r="632" spans="1:3" ht="13" x14ac:dyDescent="0.15">
      <c r="A632" s="10"/>
      <c r="B632" s="13"/>
      <c r="C632" s="13"/>
    </row>
    <row r="633" spans="1:3" ht="13" x14ac:dyDescent="0.15">
      <c r="A633" s="10"/>
      <c r="B633" s="13"/>
      <c r="C633" s="13"/>
    </row>
    <row r="634" spans="1:3" ht="13" x14ac:dyDescent="0.15">
      <c r="A634" s="10"/>
      <c r="B634" s="13"/>
      <c r="C634" s="13"/>
    </row>
    <row r="635" spans="1:3" ht="13" x14ac:dyDescent="0.15">
      <c r="A635" s="10"/>
      <c r="B635" s="13"/>
      <c r="C635" s="13"/>
    </row>
    <row r="636" spans="1:3" ht="13" x14ac:dyDescent="0.15">
      <c r="A636" s="10"/>
      <c r="B636" s="13"/>
      <c r="C636" s="13"/>
    </row>
    <row r="637" spans="1:3" ht="13" x14ac:dyDescent="0.15">
      <c r="A637" s="10"/>
      <c r="B637" s="13"/>
      <c r="C637" s="13"/>
    </row>
    <row r="638" spans="1:3" ht="13" x14ac:dyDescent="0.15">
      <c r="A638" s="10"/>
      <c r="B638" s="13"/>
      <c r="C638" s="13"/>
    </row>
    <row r="639" spans="1:3" ht="13" x14ac:dyDescent="0.15">
      <c r="A639" s="10"/>
      <c r="B639" s="13"/>
      <c r="C639" s="13"/>
    </row>
    <row r="640" spans="1:3" ht="13" x14ac:dyDescent="0.15">
      <c r="A640" s="10"/>
      <c r="B640" s="13"/>
      <c r="C640" s="13"/>
    </row>
    <row r="641" spans="1:3" ht="13" x14ac:dyDescent="0.15">
      <c r="A641" s="10"/>
      <c r="B641" s="13"/>
      <c r="C641" s="13"/>
    </row>
    <row r="642" spans="1:3" ht="13" x14ac:dyDescent="0.15">
      <c r="A642" s="10"/>
      <c r="B642" s="13"/>
      <c r="C642" s="13"/>
    </row>
    <row r="643" spans="1:3" ht="13" x14ac:dyDescent="0.15">
      <c r="A643" s="10"/>
      <c r="B643" s="13"/>
      <c r="C643" s="13"/>
    </row>
    <row r="644" spans="1:3" ht="13" x14ac:dyDescent="0.15">
      <c r="A644" s="10"/>
      <c r="B644" s="13"/>
      <c r="C644" s="13"/>
    </row>
    <row r="645" spans="1:3" ht="13" x14ac:dyDescent="0.15">
      <c r="A645" s="10"/>
      <c r="B645" s="13"/>
      <c r="C645" s="13"/>
    </row>
    <row r="646" spans="1:3" ht="13" x14ac:dyDescent="0.15">
      <c r="A646" s="10"/>
      <c r="B646" s="13"/>
      <c r="C646" s="13"/>
    </row>
    <row r="647" spans="1:3" ht="13" x14ac:dyDescent="0.15">
      <c r="A647" s="10"/>
      <c r="B647" s="13"/>
      <c r="C647" s="13"/>
    </row>
    <row r="648" spans="1:3" ht="13" x14ac:dyDescent="0.15">
      <c r="A648" s="10"/>
      <c r="B648" s="13"/>
      <c r="C648" s="13"/>
    </row>
    <row r="649" spans="1:3" ht="13" x14ac:dyDescent="0.15">
      <c r="A649" s="10"/>
      <c r="B649" s="13"/>
      <c r="C649" s="13"/>
    </row>
    <row r="650" spans="1:3" ht="13" x14ac:dyDescent="0.15">
      <c r="A650" s="10"/>
      <c r="B650" s="13"/>
      <c r="C650" s="13"/>
    </row>
    <row r="651" spans="1:3" ht="13" x14ac:dyDescent="0.15">
      <c r="A651" s="10"/>
      <c r="B651" s="13"/>
      <c r="C651" s="13"/>
    </row>
    <row r="652" spans="1:3" ht="13" x14ac:dyDescent="0.15">
      <c r="A652" s="10"/>
      <c r="B652" s="13"/>
      <c r="C652" s="13"/>
    </row>
    <row r="653" spans="1:3" ht="13" x14ac:dyDescent="0.15">
      <c r="A653" s="10"/>
      <c r="B653" s="13"/>
      <c r="C653" s="13"/>
    </row>
    <row r="654" spans="1:3" ht="13" x14ac:dyDescent="0.15">
      <c r="A654" s="10"/>
      <c r="B654" s="13"/>
      <c r="C654" s="13"/>
    </row>
    <row r="655" spans="1:3" ht="13" x14ac:dyDescent="0.15">
      <c r="A655" s="10"/>
      <c r="B655" s="13"/>
      <c r="C655" s="13"/>
    </row>
    <row r="656" spans="1:3" ht="13" x14ac:dyDescent="0.15">
      <c r="A656" s="10"/>
      <c r="B656" s="13"/>
      <c r="C656" s="13"/>
    </row>
    <row r="657" spans="1:3" ht="13" x14ac:dyDescent="0.15">
      <c r="A657" s="10"/>
      <c r="B657" s="13"/>
      <c r="C657" s="13"/>
    </row>
    <row r="658" spans="1:3" ht="13" x14ac:dyDescent="0.15">
      <c r="A658" s="10"/>
      <c r="B658" s="13"/>
      <c r="C658" s="13"/>
    </row>
    <row r="659" spans="1:3" ht="13" x14ac:dyDescent="0.15">
      <c r="A659" s="10"/>
      <c r="B659" s="13"/>
      <c r="C659" s="13"/>
    </row>
    <row r="660" spans="1:3" ht="13" x14ac:dyDescent="0.15">
      <c r="A660" s="10"/>
      <c r="B660" s="13"/>
      <c r="C660" s="13"/>
    </row>
    <row r="661" spans="1:3" ht="13" x14ac:dyDescent="0.15">
      <c r="A661" s="10"/>
      <c r="B661" s="13"/>
      <c r="C661" s="13"/>
    </row>
    <row r="662" spans="1:3" ht="13" x14ac:dyDescent="0.15">
      <c r="A662" s="10"/>
      <c r="B662" s="13"/>
      <c r="C662" s="13"/>
    </row>
    <row r="663" spans="1:3" ht="13" x14ac:dyDescent="0.15">
      <c r="A663" s="10"/>
      <c r="B663" s="13"/>
      <c r="C663" s="13"/>
    </row>
    <row r="664" spans="1:3" ht="13" x14ac:dyDescent="0.15">
      <c r="A664" s="10"/>
      <c r="B664" s="13"/>
      <c r="C664" s="13"/>
    </row>
    <row r="665" spans="1:3" ht="13" x14ac:dyDescent="0.15">
      <c r="A665" s="10"/>
      <c r="B665" s="13"/>
      <c r="C665" s="13"/>
    </row>
    <row r="666" spans="1:3" ht="13" x14ac:dyDescent="0.15">
      <c r="A666" s="10"/>
      <c r="B666" s="13"/>
      <c r="C666" s="13"/>
    </row>
    <row r="667" spans="1:3" ht="13" x14ac:dyDescent="0.15">
      <c r="A667" s="10"/>
      <c r="B667" s="13"/>
      <c r="C667" s="13"/>
    </row>
    <row r="668" spans="1:3" ht="13" x14ac:dyDescent="0.15">
      <c r="A668" s="10"/>
      <c r="B668" s="13"/>
      <c r="C668" s="13"/>
    </row>
    <row r="669" spans="1:3" ht="13" x14ac:dyDescent="0.15">
      <c r="A669" s="10"/>
      <c r="B669" s="13"/>
      <c r="C669" s="13"/>
    </row>
    <row r="670" spans="1:3" ht="13" x14ac:dyDescent="0.15">
      <c r="A670" s="10"/>
      <c r="B670" s="13"/>
      <c r="C670" s="13"/>
    </row>
    <row r="671" spans="1:3" ht="13" x14ac:dyDescent="0.15">
      <c r="A671" s="10"/>
      <c r="B671" s="13"/>
      <c r="C671" s="13"/>
    </row>
    <row r="672" spans="1:3" ht="13" x14ac:dyDescent="0.15">
      <c r="A672" s="10"/>
      <c r="B672" s="13"/>
      <c r="C672" s="13"/>
    </row>
    <row r="673" spans="1:3" ht="13" x14ac:dyDescent="0.15">
      <c r="A673" s="10"/>
      <c r="B673" s="13"/>
      <c r="C673" s="13"/>
    </row>
    <row r="674" spans="1:3" ht="13" x14ac:dyDescent="0.15">
      <c r="A674" s="10"/>
      <c r="B674" s="13"/>
      <c r="C674" s="13"/>
    </row>
    <row r="675" spans="1:3" ht="13" x14ac:dyDescent="0.15">
      <c r="A675" s="10"/>
      <c r="B675" s="13"/>
      <c r="C675" s="13"/>
    </row>
    <row r="676" spans="1:3" ht="13" x14ac:dyDescent="0.15">
      <c r="A676" s="10"/>
      <c r="B676" s="13"/>
      <c r="C676" s="13"/>
    </row>
    <row r="677" spans="1:3" ht="13" x14ac:dyDescent="0.15">
      <c r="A677" s="10"/>
      <c r="B677" s="13"/>
      <c r="C677" s="13"/>
    </row>
    <row r="678" spans="1:3" ht="13" x14ac:dyDescent="0.15">
      <c r="A678" s="10"/>
      <c r="B678" s="13"/>
      <c r="C678" s="13"/>
    </row>
    <row r="679" spans="1:3" ht="13" x14ac:dyDescent="0.15">
      <c r="A679" s="10"/>
      <c r="B679" s="13"/>
      <c r="C679" s="13"/>
    </row>
    <row r="680" spans="1:3" ht="13" x14ac:dyDescent="0.15">
      <c r="A680" s="10"/>
      <c r="B680" s="13"/>
      <c r="C680" s="13"/>
    </row>
    <row r="681" spans="1:3" ht="13" x14ac:dyDescent="0.15">
      <c r="A681" s="10"/>
      <c r="B681" s="13"/>
      <c r="C681" s="13"/>
    </row>
    <row r="682" spans="1:3" ht="13" x14ac:dyDescent="0.15">
      <c r="A682" s="10"/>
      <c r="B682" s="13"/>
      <c r="C682" s="13"/>
    </row>
    <row r="683" spans="1:3" ht="13" x14ac:dyDescent="0.15">
      <c r="A683" s="10"/>
      <c r="B683" s="13"/>
      <c r="C683" s="13"/>
    </row>
    <row r="684" spans="1:3" ht="13" x14ac:dyDescent="0.15">
      <c r="A684" s="10"/>
      <c r="B684" s="13"/>
      <c r="C684" s="13"/>
    </row>
    <row r="685" spans="1:3" ht="13" x14ac:dyDescent="0.15">
      <c r="A685" s="10"/>
      <c r="B685" s="13"/>
      <c r="C685" s="13"/>
    </row>
    <row r="686" spans="1:3" ht="13" x14ac:dyDescent="0.15">
      <c r="A686" s="10"/>
      <c r="B686" s="13"/>
      <c r="C686" s="13"/>
    </row>
    <row r="687" spans="1:3" ht="13" x14ac:dyDescent="0.15">
      <c r="A687" s="10"/>
      <c r="B687" s="13"/>
      <c r="C687" s="13"/>
    </row>
    <row r="688" spans="1:3" ht="13" x14ac:dyDescent="0.15">
      <c r="A688" s="10"/>
      <c r="B688" s="13"/>
      <c r="C688" s="13"/>
    </row>
    <row r="689" spans="1:3" ht="13" x14ac:dyDescent="0.15">
      <c r="A689" s="10"/>
      <c r="B689" s="13"/>
      <c r="C689" s="13"/>
    </row>
    <row r="690" spans="1:3" ht="13" x14ac:dyDescent="0.15">
      <c r="A690" s="10"/>
      <c r="B690" s="13"/>
      <c r="C690" s="13"/>
    </row>
    <row r="691" spans="1:3" ht="13" x14ac:dyDescent="0.15">
      <c r="A691" s="10"/>
      <c r="B691" s="13"/>
      <c r="C691" s="13"/>
    </row>
    <row r="692" spans="1:3" ht="13" x14ac:dyDescent="0.15">
      <c r="A692" s="10"/>
      <c r="B692" s="13"/>
      <c r="C692" s="13"/>
    </row>
    <row r="693" spans="1:3" ht="13" x14ac:dyDescent="0.15">
      <c r="A693" s="10"/>
      <c r="B693" s="13"/>
      <c r="C693" s="13"/>
    </row>
    <row r="694" spans="1:3" ht="13" x14ac:dyDescent="0.15">
      <c r="A694" s="10"/>
      <c r="B694" s="13"/>
      <c r="C694" s="13"/>
    </row>
    <row r="695" spans="1:3" ht="13" x14ac:dyDescent="0.15">
      <c r="A695" s="10"/>
      <c r="B695" s="13"/>
      <c r="C695" s="13"/>
    </row>
    <row r="696" spans="1:3" ht="13" x14ac:dyDescent="0.15">
      <c r="A696" s="10"/>
      <c r="B696" s="13"/>
      <c r="C696" s="13"/>
    </row>
    <row r="697" spans="1:3" ht="13" x14ac:dyDescent="0.15">
      <c r="A697" s="10"/>
      <c r="B697" s="13"/>
      <c r="C697" s="13"/>
    </row>
    <row r="698" spans="1:3" ht="13" x14ac:dyDescent="0.15">
      <c r="A698" s="10"/>
      <c r="B698" s="13"/>
      <c r="C698" s="13"/>
    </row>
    <row r="699" spans="1:3" ht="13" x14ac:dyDescent="0.15">
      <c r="A699" s="10"/>
      <c r="B699" s="13"/>
      <c r="C699" s="13"/>
    </row>
    <row r="700" spans="1:3" ht="13" x14ac:dyDescent="0.15">
      <c r="A700" s="10"/>
      <c r="B700" s="13"/>
      <c r="C700" s="13"/>
    </row>
    <row r="701" spans="1:3" ht="13" x14ac:dyDescent="0.15">
      <c r="A701" s="10"/>
      <c r="B701" s="13"/>
      <c r="C701" s="13"/>
    </row>
    <row r="702" spans="1:3" ht="13" x14ac:dyDescent="0.15">
      <c r="A702" s="10"/>
      <c r="B702" s="13"/>
      <c r="C702" s="13"/>
    </row>
    <row r="703" spans="1:3" ht="13" x14ac:dyDescent="0.15">
      <c r="A703" s="10"/>
      <c r="B703" s="13"/>
      <c r="C703" s="13"/>
    </row>
    <row r="704" spans="1:3" ht="13" x14ac:dyDescent="0.15">
      <c r="A704" s="10"/>
      <c r="B704" s="13"/>
      <c r="C704" s="13"/>
    </row>
    <row r="705" spans="1:3" ht="13" x14ac:dyDescent="0.15">
      <c r="A705" s="10"/>
      <c r="B705" s="13"/>
      <c r="C705" s="13"/>
    </row>
    <row r="706" spans="1:3" ht="13" x14ac:dyDescent="0.15">
      <c r="A706" s="10"/>
      <c r="B706" s="13"/>
      <c r="C706" s="13"/>
    </row>
    <row r="707" spans="1:3" ht="13" x14ac:dyDescent="0.15">
      <c r="A707" s="10"/>
      <c r="B707" s="13"/>
      <c r="C707" s="13"/>
    </row>
    <row r="708" spans="1:3" ht="13" x14ac:dyDescent="0.15">
      <c r="A708" s="10"/>
      <c r="B708" s="13"/>
      <c r="C708" s="13"/>
    </row>
    <row r="709" spans="1:3" ht="13" x14ac:dyDescent="0.15">
      <c r="A709" s="10"/>
      <c r="B709" s="13"/>
      <c r="C709" s="13"/>
    </row>
    <row r="710" spans="1:3" ht="13" x14ac:dyDescent="0.15">
      <c r="A710" s="10"/>
      <c r="B710" s="13"/>
      <c r="C710" s="13"/>
    </row>
    <row r="711" spans="1:3" ht="13" x14ac:dyDescent="0.15">
      <c r="A711" s="10"/>
      <c r="B711" s="13"/>
      <c r="C711" s="13"/>
    </row>
    <row r="712" spans="1:3" ht="13" x14ac:dyDescent="0.15">
      <c r="A712" s="10"/>
      <c r="B712" s="13"/>
      <c r="C712" s="13"/>
    </row>
    <row r="713" spans="1:3" ht="13" x14ac:dyDescent="0.15">
      <c r="A713" s="10"/>
      <c r="B713" s="13"/>
      <c r="C713" s="13"/>
    </row>
    <row r="714" spans="1:3" ht="13" x14ac:dyDescent="0.15">
      <c r="A714" s="10"/>
      <c r="B714" s="13"/>
      <c r="C714" s="13"/>
    </row>
    <row r="715" spans="1:3" ht="13" x14ac:dyDescent="0.15">
      <c r="A715" s="10"/>
      <c r="B715" s="13"/>
      <c r="C715" s="13"/>
    </row>
    <row r="716" spans="1:3" ht="13" x14ac:dyDescent="0.15">
      <c r="A716" s="10"/>
      <c r="B716" s="13"/>
      <c r="C716" s="13"/>
    </row>
    <row r="717" spans="1:3" ht="13" x14ac:dyDescent="0.15">
      <c r="A717" s="10"/>
      <c r="B717" s="13"/>
      <c r="C717" s="13"/>
    </row>
    <row r="718" spans="1:3" ht="13" x14ac:dyDescent="0.15">
      <c r="A718" s="10"/>
      <c r="B718" s="13"/>
      <c r="C718" s="13"/>
    </row>
    <row r="719" spans="1:3" ht="13" x14ac:dyDescent="0.15">
      <c r="A719" s="10"/>
      <c r="B719" s="13"/>
      <c r="C719" s="13"/>
    </row>
    <row r="720" spans="1:3" ht="13" x14ac:dyDescent="0.15">
      <c r="A720" s="10"/>
      <c r="B720" s="13"/>
      <c r="C720" s="13"/>
    </row>
    <row r="721" spans="1:3" ht="13" x14ac:dyDescent="0.15">
      <c r="A721" s="10"/>
      <c r="B721" s="13"/>
      <c r="C721" s="13"/>
    </row>
    <row r="722" spans="1:3" ht="13" x14ac:dyDescent="0.15">
      <c r="A722" s="10"/>
      <c r="B722" s="13"/>
      <c r="C722" s="13"/>
    </row>
    <row r="723" spans="1:3" ht="13" x14ac:dyDescent="0.15">
      <c r="A723" s="10"/>
      <c r="B723" s="13"/>
      <c r="C723" s="13"/>
    </row>
    <row r="724" spans="1:3" ht="13" x14ac:dyDescent="0.15">
      <c r="A724" s="10"/>
      <c r="B724" s="13"/>
      <c r="C724" s="13"/>
    </row>
    <row r="725" spans="1:3" ht="13" x14ac:dyDescent="0.15">
      <c r="A725" s="10"/>
      <c r="B725" s="13"/>
      <c r="C725" s="13"/>
    </row>
    <row r="726" spans="1:3" ht="13" x14ac:dyDescent="0.15">
      <c r="A726" s="10"/>
      <c r="B726" s="13"/>
      <c r="C726" s="13"/>
    </row>
    <row r="727" spans="1:3" ht="13" x14ac:dyDescent="0.15">
      <c r="A727" s="10"/>
      <c r="B727" s="13"/>
      <c r="C727" s="13"/>
    </row>
    <row r="728" spans="1:3" ht="13" x14ac:dyDescent="0.15">
      <c r="A728" s="10"/>
      <c r="B728" s="13"/>
      <c r="C728" s="13"/>
    </row>
    <row r="729" spans="1:3" ht="13" x14ac:dyDescent="0.15">
      <c r="A729" s="10"/>
      <c r="B729" s="13"/>
      <c r="C729" s="13"/>
    </row>
    <row r="730" spans="1:3" ht="13" x14ac:dyDescent="0.15">
      <c r="A730" s="10"/>
      <c r="B730" s="13"/>
      <c r="C730" s="13"/>
    </row>
    <row r="731" spans="1:3" ht="13" x14ac:dyDescent="0.15">
      <c r="A731" s="10"/>
      <c r="B731" s="13"/>
      <c r="C731" s="13"/>
    </row>
    <row r="732" spans="1:3" ht="13" x14ac:dyDescent="0.15">
      <c r="A732" s="10"/>
      <c r="B732" s="13"/>
      <c r="C732" s="13"/>
    </row>
    <row r="733" spans="1:3" ht="13" x14ac:dyDescent="0.15">
      <c r="A733" s="10"/>
      <c r="B733" s="13"/>
      <c r="C733" s="13"/>
    </row>
    <row r="734" spans="1:3" ht="13" x14ac:dyDescent="0.15">
      <c r="A734" s="10"/>
      <c r="B734" s="13"/>
      <c r="C734" s="13"/>
    </row>
    <row r="735" spans="1:3" ht="13" x14ac:dyDescent="0.15">
      <c r="A735" s="10"/>
      <c r="B735" s="13"/>
      <c r="C735" s="13"/>
    </row>
    <row r="736" spans="1:3" ht="13" x14ac:dyDescent="0.15">
      <c r="A736" s="10"/>
      <c r="B736" s="13"/>
      <c r="C736" s="13"/>
    </row>
    <row r="737" spans="1:3" ht="13" x14ac:dyDescent="0.15">
      <c r="A737" s="10"/>
      <c r="B737" s="13"/>
      <c r="C737" s="13"/>
    </row>
    <row r="738" spans="1:3" ht="13" x14ac:dyDescent="0.15">
      <c r="A738" s="10"/>
      <c r="B738" s="13"/>
      <c r="C738" s="13"/>
    </row>
    <row r="739" spans="1:3" ht="13" x14ac:dyDescent="0.15">
      <c r="A739" s="10"/>
      <c r="B739" s="13"/>
      <c r="C739" s="13"/>
    </row>
    <row r="740" spans="1:3" ht="13" x14ac:dyDescent="0.15">
      <c r="A740" s="10"/>
      <c r="B740" s="13"/>
      <c r="C740" s="13"/>
    </row>
    <row r="741" spans="1:3" ht="13" x14ac:dyDescent="0.15">
      <c r="A741" s="10"/>
      <c r="B741" s="13"/>
      <c r="C741" s="13"/>
    </row>
    <row r="742" spans="1:3" ht="13" x14ac:dyDescent="0.15">
      <c r="A742" s="10"/>
      <c r="B742" s="13"/>
      <c r="C742" s="13"/>
    </row>
    <row r="743" spans="1:3" ht="13" x14ac:dyDescent="0.15">
      <c r="A743" s="10"/>
      <c r="B743" s="13"/>
      <c r="C743" s="13"/>
    </row>
    <row r="744" spans="1:3" ht="13" x14ac:dyDescent="0.15">
      <c r="A744" s="10"/>
      <c r="B744" s="13"/>
      <c r="C744" s="13"/>
    </row>
    <row r="745" spans="1:3" ht="13" x14ac:dyDescent="0.15">
      <c r="A745" s="10"/>
      <c r="B745" s="13"/>
      <c r="C745" s="13"/>
    </row>
    <row r="746" spans="1:3" ht="13" x14ac:dyDescent="0.15">
      <c r="A746" s="10"/>
      <c r="B746" s="13"/>
      <c r="C746" s="13"/>
    </row>
    <row r="747" spans="1:3" ht="13" x14ac:dyDescent="0.15">
      <c r="A747" s="10"/>
      <c r="B747" s="13"/>
      <c r="C747" s="13"/>
    </row>
    <row r="748" spans="1:3" ht="13" x14ac:dyDescent="0.15">
      <c r="A748" s="10"/>
      <c r="B748" s="13"/>
      <c r="C748" s="13"/>
    </row>
    <row r="749" spans="1:3" ht="13" x14ac:dyDescent="0.15">
      <c r="A749" s="10"/>
      <c r="B749" s="13"/>
      <c r="C749" s="13"/>
    </row>
    <row r="750" spans="1:3" ht="13" x14ac:dyDescent="0.15">
      <c r="A750" s="10"/>
      <c r="B750" s="13"/>
      <c r="C750" s="13"/>
    </row>
    <row r="751" spans="1:3" ht="13" x14ac:dyDescent="0.15">
      <c r="A751" s="10"/>
      <c r="B751" s="13"/>
      <c r="C751" s="13"/>
    </row>
    <row r="752" spans="1:3" ht="13" x14ac:dyDescent="0.15">
      <c r="A752" s="10"/>
      <c r="B752" s="13"/>
      <c r="C752" s="13"/>
    </row>
    <row r="753" spans="1:3" ht="13" x14ac:dyDescent="0.15">
      <c r="A753" s="10"/>
      <c r="B753" s="13"/>
      <c r="C753" s="13"/>
    </row>
    <row r="754" spans="1:3" ht="13" x14ac:dyDescent="0.15">
      <c r="A754" s="10"/>
      <c r="B754" s="13"/>
      <c r="C754" s="13"/>
    </row>
    <row r="755" spans="1:3" ht="13" x14ac:dyDescent="0.15">
      <c r="A755" s="10"/>
      <c r="B755" s="13"/>
      <c r="C755" s="13"/>
    </row>
    <row r="756" spans="1:3" ht="13" x14ac:dyDescent="0.15">
      <c r="A756" s="10"/>
      <c r="B756" s="13"/>
      <c r="C756" s="13"/>
    </row>
    <row r="757" spans="1:3" ht="13" x14ac:dyDescent="0.15">
      <c r="A757" s="10"/>
      <c r="B757" s="13"/>
      <c r="C757" s="13"/>
    </row>
    <row r="758" spans="1:3" ht="13" x14ac:dyDescent="0.15">
      <c r="A758" s="10"/>
      <c r="B758" s="13"/>
      <c r="C758" s="13"/>
    </row>
    <row r="759" spans="1:3" ht="13" x14ac:dyDescent="0.15">
      <c r="A759" s="10"/>
      <c r="B759" s="13"/>
      <c r="C759" s="13"/>
    </row>
    <row r="760" spans="1:3" ht="13" x14ac:dyDescent="0.15">
      <c r="A760" s="10"/>
      <c r="B760" s="13"/>
      <c r="C760" s="13"/>
    </row>
    <row r="761" spans="1:3" ht="13" x14ac:dyDescent="0.15">
      <c r="A761" s="10"/>
      <c r="B761" s="13"/>
      <c r="C761" s="13"/>
    </row>
    <row r="762" spans="1:3" ht="13" x14ac:dyDescent="0.15">
      <c r="A762" s="10"/>
      <c r="B762" s="13"/>
      <c r="C762" s="13"/>
    </row>
    <row r="763" spans="1:3" ht="13" x14ac:dyDescent="0.15">
      <c r="A763" s="10"/>
      <c r="B763" s="13"/>
      <c r="C763" s="13"/>
    </row>
    <row r="764" spans="1:3" ht="13" x14ac:dyDescent="0.15">
      <c r="A764" s="10"/>
      <c r="B764" s="13"/>
      <c r="C764" s="13"/>
    </row>
    <row r="765" spans="1:3" ht="13" x14ac:dyDescent="0.15">
      <c r="A765" s="10"/>
      <c r="B765" s="13"/>
      <c r="C765" s="13"/>
    </row>
    <row r="766" spans="1:3" ht="13" x14ac:dyDescent="0.15">
      <c r="A766" s="10"/>
      <c r="B766" s="13"/>
      <c r="C766" s="13"/>
    </row>
    <row r="767" spans="1:3" ht="13" x14ac:dyDescent="0.15">
      <c r="A767" s="10"/>
      <c r="B767" s="13"/>
      <c r="C767" s="13"/>
    </row>
    <row r="768" spans="1:3" ht="13" x14ac:dyDescent="0.15">
      <c r="A768" s="10"/>
      <c r="B768" s="13"/>
      <c r="C768" s="13"/>
    </row>
    <row r="769" spans="1:3" ht="13" x14ac:dyDescent="0.15">
      <c r="A769" s="10"/>
      <c r="B769" s="13"/>
      <c r="C769" s="13"/>
    </row>
    <row r="770" spans="1:3" ht="13" x14ac:dyDescent="0.15">
      <c r="A770" s="10"/>
      <c r="B770" s="13"/>
      <c r="C770" s="13"/>
    </row>
    <row r="771" spans="1:3" ht="13" x14ac:dyDescent="0.15">
      <c r="A771" s="10"/>
      <c r="B771" s="13"/>
      <c r="C771" s="13"/>
    </row>
    <row r="772" spans="1:3" ht="13" x14ac:dyDescent="0.15">
      <c r="A772" s="10"/>
      <c r="B772" s="13"/>
      <c r="C772" s="13"/>
    </row>
    <row r="773" spans="1:3" ht="13" x14ac:dyDescent="0.15">
      <c r="A773" s="10"/>
      <c r="B773" s="13"/>
      <c r="C773" s="13"/>
    </row>
    <row r="774" spans="1:3" ht="13" x14ac:dyDescent="0.15">
      <c r="A774" s="10"/>
      <c r="B774" s="13"/>
      <c r="C774" s="13"/>
    </row>
    <row r="775" spans="1:3" ht="13" x14ac:dyDescent="0.15">
      <c r="A775" s="10"/>
      <c r="B775" s="13"/>
      <c r="C775" s="13"/>
    </row>
    <row r="776" spans="1:3" ht="13" x14ac:dyDescent="0.15">
      <c r="A776" s="10"/>
      <c r="B776" s="13"/>
      <c r="C776" s="13"/>
    </row>
    <row r="777" spans="1:3" ht="13" x14ac:dyDescent="0.15">
      <c r="A777" s="10"/>
      <c r="B777" s="13"/>
      <c r="C777" s="13"/>
    </row>
    <row r="778" spans="1:3" ht="13" x14ac:dyDescent="0.15">
      <c r="A778" s="10"/>
      <c r="B778" s="13"/>
      <c r="C778" s="13"/>
    </row>
    <row r="779" spans="1:3" ht="13" x14ac:dyDescent="0.15">
      <c r="A779" s="10"/>
      <c r="B779" s="13"/>
      <c r="C779" s="13"/>
    </row>
    <row r="780" spans="1:3" ht="13" x14ac:dyDescent="0.15">
      <c r="A780" s="10"/>
      <c r="B780" s="13"/>
      <c r="C780" s="13"/>
    </row>
    <row r="781" spans="1:3" ht="13" x14ac:dyDescent="0.15">
      <c r="A781" s="10"/>
      <c r="B781" s="13"/>
      <c r="C781" s="13"/>
    </row>
    <row r="782" spans="1:3" ht="13" x14ac:dyDescent="0.15">
      <c r="A782" s="10"/>
      <c r="B782" s="13"/>
      <c r="C782" s="13"/>
    </row>
    <row r="783" spans="1:3" ht="13" x14ac:dyDescent="0.15">
      <c r="A783" s="10"/>
      <c r="B783" s="13"/>
      <c r="C783" s="13"/>
    </row>
    <row r="784" spans="1:3" ht="13" x14ac:dyDescent="0.15">
      <c r="A784" s="10"/>
      <c r="B784" s="13"/>
      <c r="C784" s="13"/>
    </row>
    <row r="785" spans="1:3" ht="13" x14ac:dyDescent="0.15">
      <c r="A785" s="10"/>
      <c r="B785" s="13"/>
      <c r="C785" s="13"/>
    </row>
    <row r="786" spans="1:3" ht="13" x14ac:dyDescent="0.15">
      <c r="A786" s="10"/>
      <c r="B786" s="13"/>
      <c r="C786" s="13"/>
    </row>
    <row r="787" spans="1:3" ht="13" x14ac:dyDescent="0.15">
      <c r="A787" s="10"/>
      <c r="B787" s="13"/>
      <c r="C787" s="13"/>
    </row>
    <row r="788" spans="1:3" ht="13" x14ac:dyDescent="0.15">
      <c r="A788" s="10"/>
      <c r="B788" s="13"/>
      <c r="C788" s="13"/>
    </row>
    <row r="789" spans="1:3" ht="13" x14ac:dyDescent="0.15">
      <c r="A789" s="10"/>
      <c r="B789" s="13"/>
      <c r="C789" s="13"/>
    </row>
    <row r="790" spans="1:3" ht="13" x14ac:dyDescent="0.15">
      <c r="A790" s="10"/>
      <c r="B790" s="13"/>
      <c r="C790" s="13"/>
    </row>
    <row r="791" spans="1:3" ht="13" x14ac:dyDescent="0.15">
      <c r="A791" s="10"/>
      <c r="B791" s="13"/>
      <c r="C791" s="13"/>
    </row>
    <row r="792" spans="1:3" ht="13" x14ac:dyDescent="0.15">
      <c r="A792" s="10"/>
      <c r="B792" s="13"/>
      <c r="C792" s="13"/>
    </row>
    <row r="793" spans="1:3" ht="13" x14ac:dyDescent="0.15">
      <c r="A793" s="10"/>
      <c r="B793" s="13"/>
      <c r="C793" s="13"/>
    </row>
    <row r="794" spans="1:3" ht="13" x14ac:dyDescent="0.15">
      <c r="A794" s="10"/>
      <c r="B794" s="13"/>
      <c r="C794" s="13"/>
    </row>
    <row r="795" spans="1:3" ht="13" x14ac:dyDescent="0.15">
      <c r="A795" s="10"/>
      <c r="B795" s="13"/>
      <c r="C795" s="13"/>
    </row>
    <row r="796" spans="1:3" ht="13" x14ac:dyDescent="0.15">
      <c r="A796" s="10"/>
      <c r="B796" s="13"/>
      <c r="C796" s="13"/>
    </row>
    <row r="797" spans="1:3" ht="13" x14ac:dyDescent="0.15">
      <c r="A797" s="10"/>
      <c r="B797" s="13"/>
      <c r="C797" s="13"/>
    </row>
    <row r="798" spans="1:3" ht="13" x14ac:dyDescent="0.15">
      <c r="A798" s="10"/>
      <c r="B798" s="13"/>
      <c r="C798" s="13"/>
    </row>
    <row r="799" spans="1:3" ht="13" x14ac:dyDescent="0.15">
      <c r="A799" s="10"/>
      <c r="B799" s="13"/>
      <c r="C799" s="13"/>
    </row>
    <row r="800" spans="1:3" ht="13" x14ac:dyDescent="0.15">
      <c r="A800" s="10"/>
      <c r="B800" s="13"/>
      <c r="C800" s="13"/>
    </row>
    <row r="801" spans="1:3" ht="13" x14ac:dyDescent="0.15">
      <c r="A801" s="10"/>
      <c r="B801" s="13"/>
      <c r="C801" s="13"/>
    </row>
    <row r="802" spans="1:3" ht="13" x14ac:dyDescent="0.15">
      <c r="A802" s="10"/>
      <c r="B802" s="13"/>
      <c r="C802" s="13"/>
    </row>
    <row r="803" spans="1:3" ht="13" x14ac:dyDescent="0.15">
      <c r="A803" s="10"/>
      <c r="B803" s="13"/>
      <c r="C803" s="13"/>
    </row>
    <row r="804" spans="1:3" ht="13" x14ac:dyDescent="0.15">
      <c r="A804" s="10"/>
      <c r="B804" s="13"/>
      <c r="C804" s="13"/>
    </row>
    <row r="805" spans="1:3" ht="13" x14ac:dyDescent="0.15">
      <c r="A805" s="10"/>
      <c r="B805" s="13"/>
      <c r="C805" s="13"/>
    </row>
    <row r="806" spans="1:3" ht="13" x14ac:dyDescent="0.15">
      <c r="A806" s="10"/>
      <c r="B806" s="13"/>
      <c r="C806" s="13"/>
    </row>
    <row r="807" spans="1:3" ht="13" x14ac:dyDescent="0.15">
      <c r="A807" s="10"/>
      <c r="B807" s="13"/>
      <c r="C807" s="13"/>
    </row>
    <row r="808" spans="1:3" ht="13" x14ac:dyDescent="0.15">
      <c r="A808" s="10"/>
      <c r="B808" s="13"/>
      <c r="C808" s="13"/>
    </row>
    <row r="809" spans="1:3" ht="13" x14ac:dyDescent="0.15">
      <c r="A809" s="10"/>
      <c r="B809" s="13"/>
      <c r="C809" s="13"/>
    </row>
    <row r="810" spans="1:3" ht="13" x14ac:dyDescent="0.15">
      <c r="A810" s="10"/>
      <c r="B810" s="13"/>
      <c r="C810" s="13"/>
    </row>
    <row r="811" spans="1:3" ht="13" x14ac:dyDescent="0.15">
      <c r="A811" s="10"/>
      <c r="B811" s="13"/>
      <c r="C811" s="13"/>
    </row>
    <row r="812" spans="1:3" ht="13" x14ac:dyDescent="0.15">
      <c r="A812" s="10"/>
      <c r="B812" s="13"/>
      <c r="C812" s="13"/>
    </row>
    <row r="813" spans="1:3" ht="13" x14ac:dyDescent="0.15">
      <c r="A813" s="10"/>
      <c r="B813" s="13"/>
      <c r="C813" s="13"/>
    </row>
    <row r="814" spans="1:3" ht="13" x14ac:dyDescent="0.15">
      <c r="A814" s="10"/>
      <c r="B814" s="13"/>
      <c r="C814" s="13"/>
    </row>
    <row r="815" spans="1:3" ht="13" x14ac:dyDescent="0.15">
      <c r="A815" s="10"/>
      <c r="B815" s="13"/>
      <c r="C815" s="13"/>
    </row>
    <row r="816" spans="1:3" ht="13" x14ac:dyDescent="0.15">
      <c r="A816" s="10"/>
      <c r="B816" s="13"/>
      <c r="C816" s="13"/>
    </row>
    <row r="817" spans="1:3" ht="13" x14ac:dyDescent="0.15">
      <c r="A817" s="10"/>
      <c r="B817" s="13"/>
      <c r="C817" s="13"/>
    </row>
    <row r="818" spans="1:3" ht="13" x14ac:dyDescent="0.15">
      <c r="A818" s="10"/>
      <c r="B818" s="13"/>
      <c r="C818" s="13"/>
    </row>
    <row r="819" spans="1:3" ht="13" x14ac:dyDescent="0.15">
      <c r="A819" s="10"/>
      <c r="B819" s="13"/>
      <c r="C819" s="13"/>
    </row>
    <row r="820" spans="1:3" ht="13" x14ac:dyDescent="0.15">
      <c r="A820" s="10"/>
      <c r="B820" s="13"/>
      <c r="C820" s="13"/>
    </row>
    <row r="821" spans="1:3" ht="13" x14ac:dyDescent="0.15">
      <c r="A821" s="10"/>
      <c r="B821" s="13"/>
      <c r="C821" s="13"/>
    </row>
    <row r="822" spans="1:3" ht="13" x14ac:dyDescent="0.15">
      <c r="A822" s="10"/>
      <c r="B822" s="13"/>
      <c r="C822" s="13"/>
    </row>
    <row r="823" spans="1:3" ht="13" x14ac:dyDescent="0.15">
      <c r="A823" s="10"/>
      <c r="B823" s="13"/>
      <c r="C823" s="13"/>
    </row>
    <row r="824" spans="1:3" ht="13" x14ac:dyDescent="0.15">
      <c r="A824" s="10"/>
      <c r="B824" s="13"/>
      <c r="C824" s="13"/>
    </row>
    <row r="825" spans="1:3" ht="13" x14ac:dyDescent="0.15">
      <c r="A825" s="10"/>
      <c r="B825" s="13"/>
      <c r="C825" s="13"/>
    </row>
    <row r="826" spans="1:3" ht="13" x14ac:dyDescent="0.15">
      <c r="A826" s="10"/>
      <c r="B826" s="13"/>
      <c r="C826" s="13"/>
    </row>
    <row r="827" spans="1:3" ht="13" x14ac:dyDescent="0.15">
      <c r="A827" s="10"/>
      <c r="B827" s="13"/>
      <c r="C827" s="13"/>
    </row>
    <row r="828" spans="1:3" ht="13" x14ac:dyDescent="0.15">
      <c r="A828" s="10"/>
      <c r="B828" s="13"/>
      <c r="C828" s="13"/>
    </row>
    <row r="829" spans="1:3" ht="13" x14ac:dyDescent="0.15">
      <c r="A829" s="10"/>
      <c r="B829" s="13"/>
      <c r="C829" s="13"/>
    </row>
    <row r="830" spans="1:3" ht="13" x14ac:dyDescent="0.15">
      <c r="A830" s="10"/>
      <c r="B830" s="13"/>
      <c r="C830" s="13"/>
    </row>
    <row r="831" spans="1:3" ht="13" x14ac:dyDescent="0.15">
      <c r="A831" s="10"/>
      <c r="B831" s="13"/>
      <c r="C831" s="13"/>
    </row>
    <row r="832" spans="1:3" ht="13" x14ac:dyDescent="0.15">
      <c r="A832" s="10"/>
      <c r="B832" s="13"/>
      <c r="C832" s="13"/>
    </row>
    <row r="833" spans="1:3" ht="13" x14ac:dyDescent="0.15">
      <c r="A833" s="10"/>
      <c r="B833" s="13"/>
      <c r="C833" s="13"/>
    </row>
    <row r="834" spans="1:3" ht="13" x14ac:dyDescent="0.15">
      <c r="A834" s="10"/>
      <c r="B834" s="13"/>
      <c r="C834" s="13"/>
    </row>
    <row r="835" spans="1:3" ht="13" x14ac:dyDescent="0.15">
      <c r="A835" s="10"/>
      <c r="B835" s="13"/>
      <c r="C835" s="13"/>
    </row>
    <row r="836" spans="1:3" ht="13" x14ac:dyDescent="0.15">
      <c r="A836" s="10"/>
      <c r="B836" s="13"/>
      <c r="C836" s="13"/>
    </row>
    <row r="837" spans="1:3" ht="13" x14ac:dyDescent="0.15">
      <c r="A837" s="10"/>
      <c r="B837" s="13"/>
      <c r="C837" s="13"/>
    </row>
    <row r="838" spans="1:3" ht="13" x14ac:dyDescent="0.15">
      <c r="A838" s="10"/>
      <c r="B838" s="13"/>
      <c r="C838" s="13"/>
    </row>
    <row r="839" spans="1:3" ht="13" x14ac:dyDescent="0.15">
      <c r="A839" s="10"/>
      <c r="B839" s="13"/>
      <c r="C839" s="13"/>
    </row>
    <row r="840" spans="1:3" ht="13" x14ac:dyDescent="0.15">
      <c r="A840" s="10"/>
      <c r="B840" s="13"/>
      <c r="C840" s="13"/>
    </row>
    <row r="841" spans="1:3" ht="13" x14ac:dyDescent="0.15">
      <c r="A841" s="10"/>
      <c r="B841" s="13"/>
      <c r="C841" s="13"/>
    </row>
    <row r="842" spans="1:3" ht="13" x14ac:dyDescent="0.15">
      <c r="A842" s="10"/>
      <c r="B842" s="13"/>
      <c r="C842" s="13"/>
    </row>
    <row r="843" spans="1:3" ht="13" x14ac:dyDescent="0.15">
      <c r="A843" s="10"/>
      <c r="B843" s="13"/>
      <c r="C843" s="13"/>
    </row>
    <row r="844" spans="1:3" ht="13" x14ac:dyDescent="0.15">
      <c r="A844" s="10"/>
      <c r="B844" s="13"/>
      <c r="C844" s="13"/>
    </row>
    <row r="845" spans="1:3" ht="13" x14ac:dyDescent="0.15">
      <c r="A845" s="10"/>
      <c r="B845" s="13"/>
      <c r="C845" s="13"/>
    </row>
    <row r="846" spans="1:3" ht="13" x14ac:dyDescent="0.15">
      <c r="A846" s="10"/>
      <c r="B846" s="13"/>
      <c r="C846" s="13"/>
    </row>
    <row r="847" spans="1:3" ht="13" x14ac:dyDescent="0.15">
      <c r="A847" s="10"/>
      <c r="B847" s="13"/>
      <c r="C847" s="13"/>
    </row>
    <row r="848" spans="1:3" ht="13" x14ac:dyDescent="0.15">
      <c r="A848" s="10"/>
      <c r="B848" s="13"/>
      <c r="C848" s="13"/>
    </row>
    <row r="849" spans="1:3" ht="13" x14ac:dyDescent="0.15">
      <c r="A849" s="10"/>
      <c r="B849" s="13"/>
      <c r="C849" s="13"/>
    </row>
    <row r="850" spans="1:3" ht="13" x14ac:dyDescent="0.15">
      <c r="A850" s="10"/>
      <c r="B850" s="13"/>
      <c r="C850" s="13"/>
    </row>
    <row r="851" spans="1:3" ht="13" x14ac:dyDescent="0.15">
      <c r="A851" s="10"/>
      <c r="B851" s="13"/>
      <c r="C851" s="13"/>
    </row>
    <row r="852" spans="1:3" ht="13" x14ac:dyDescent="0.15">
      <c r="A852" s="10"/>
      <c r="B852" s="13"/>
      <c r="C852" s="13"/>
    </row>
    <row r="853" spans="1:3" ht="13" x14ac:dyDescent="0.15">
      <c r="A853" s="10"/>
      <c r="B853" s="13"/>
      <c r="C853" s="13"/>
    </row>
    <row r="854" spans="1:3" ht="13" x14ac:dyDescent="0.15">
      <c r="A854" s="10"/>
      <c r="B854" s="13"/>
      <c r="C854" s="13"/>
    </row>
    <row r="855" spans="1:3" ht="13" x14ac:dyDescent="0.15">
      <c r="A855" s="10"/>
      <c r="B855" s="13"/>
      <c r="C855" s="13"/>
    </row>
    <row r="856" spans="1:3" ht="13" x14ac:dyDescent="0.15">
      <c r="A856" s="10"/>
      <c r="B856" s="13"/>
      <c r="C856" s="13"/>
    </row>
    <row r="857" spans="1:3" ht="13" x14ac:dyDescent="0.15">
      <c r="A857" s="10"/>
      <c r="B857" s="13"/>
      <c r="C857" s="13"/>
    </row>
    <row r="858" spans="1:3" ht="13" x14ac:dyDescent="0.15">
      <c r="A858" s="10"/>
      <c r="B858" s="13"/>
      <c r="C858" s="13"/>
    </row>
    <row r="859" spans="1:3" ht="13" x14ac:dyDescent="0.15">
      <c r="A859" s="10"/>
      <c r="B859" s="13"/>
      <c r="C859" s="13"/>
    </row>
    <row r="860" spans="1:3" ht="13" x14ac:dyDescent="0.15">
      <c r="A860" s="10"/>
      <c r="B860" s="13"/>
      <c r="C860" s="13"/>
    </row>
    <row r="861" spans="1:3" ht="13" x14ac:dyDescent="0.15">
      <c r="A861" s="10"/>
      <c r="B861" s="13"/>
      <c r="C861" s="13"/>
    </row>
    <row r="862" spans="1:3" ht="13" x14ac:dyDescent="0.15">
      <c r="A862" s="10"/>
      <c r="B862" s="13"/>
      <c r="C862" s="13"/>
    </row>
    <row r="863" spans="1:3" ht="13" x14ac:dyDescent="0.15">
      <c r="A863" s="10"/>
      <c r="B863" s="13"/>
      <c r="C863" s="13"/>
    </row>
    <row r="864" spans="1:3" ht="13" x14ac:dyDescent="0.15">
      <c r="A864" s="10"/>
      <c r="B864" s="13"/>
      <c r="C864" s="13"/>
    </row>
    <row r="865" spans="1:3" ht="13" x14ac:dyDescent="0.15">
      <c r="A865" s="10"/>
      <c r="B865" s="13"/>
      <c r="C865" s="13"/>
    </row>
    <row r="866" spans="1:3" ht="13" x14ac:dyDescent="0.15">
      <c r="A866" s="10"/>
      <c r="B866" s="13"/>
      <c r="C866" s="13"/>
    </row>
    <row r="867" spans="1:3" ht="13" x14ac:dyDescent="0.15">
      <c r="A867" s="10"/>
      <c r="B867" s="13"/>
      <c r="C867" s="13"/>
    </row>
    <row r="868" spans="1:3" ht="13" x14ac:dyDescent="0.15">
      <c r="A868" s="10"/>
      <c r="B868" s="13"/>
      <c r="C868" s="13"/>
    </row>
    <row r="869" spans="1:3" ht="13" x14ac:dyDescent="0.15">
      <c r="A869" s="10"/>
      <c r="B869" s="13"/>
      <c r="C869" s="13"/>
    </row>
    <row r="870" spans="1:3" ht="13" x14ac:dyDescent="0.15">
      <c r="A870" s="10"/>
      <c r="B870" s="13"/>
      <c r="C870" s="13"/>
    </row>
    <row r="871" spans="1:3" ht="13" x14ac:dyDescent="0.15">
      <c r="A871" s="10"/>
      <c r="B871" s="13"/>
      <c r="C871" s="13"/>
    </row>
    <row r="872" spans="1:3" ht="13" x14ac:dyDescent="0.15">
      <c r="A872" s="10"/>
      <c r="B872" s="13"/>
      <c r="C872" s="13"/>
    </row>
    <row r="873" spans="1:3" ht="13" x14ac:dyDescent="0.15">
      <c r="A873" s="10"/>
      <c r="B873" s="13"/>
      <c r="C873" s="13"/>
    </row>
    <row r="874" spans="1:3" ht="13" x14ac:dyDescent="0.15">
      <c r="A874" s="10"/>
      <c r="B874" s="13"/>
      <c r="C874" s="13"/>
    </row>
    <row r="875" spans="1:3" ht="13" x14ac:dyDescent="0.15">
      <c r="A875" s="10"/>
      <c r="B875" s="13"/>
      <c r="C875" s="13"/>
    </row>
    <row r="876" spans="1:3" ht="13" x14ac:dyDescent="0.15">
      <c r="A876" s="10"/>
      <c r="B876" s="13"/>
      <c r="C876" s="13"/>
    </row>
    <row r="877" spans="1:3" ht="13" x14ac:dyDescent="0.15">
      <c r="A877" s="10"/>
      <c r="B877" s="13"/>
      <c r="C877" s="13"/>
    </row>
    <row r="878" spans="1:3" ht="13" x14ac:dyDescent="0.15">
      <c r="A878" s="10"/>
      <c r="B878" s="13"/>
      <c r="C878" s="13"/>
    </row>
    <row r="879" spans="1:3" ht="13" x14ac:dyDescent="0.15">
      <c r="A879" s="10"/>
      <c r="B879" s="13"/>
      <c r="C879" s="13"/>
    </row>
    <row r="880" spans="1:3" ht="13" x14ac:dyDescent="0.15">
      <c r="A880" s="10"/>
      <c r="B880" s="13"/>
      <c r="C880" s="13"/>
    </row>
    <row r="881" spans="1:3" ht="13" x14ac:dyDescent="0.15">
      <c r="A881" s="10"/>
      <c r="B881" s="13"/>
      <c r="C881" s="13"/>
    </row>
    <row r="882" spans="1:3" ht="13" x14ac:dyDescent="0.15">
      <c r="A882" s="10"/>
      <c r="B882" s="13"/>
      <c r="C882" s="13"/>
    </row>
    <row r="883" spans="1:3" ht="13" x14ac:dyDescent="0.15">
      <c r="A883" s="10"/>
      <c r="B883" s="13"/>
      <c r="C883" s="13"/>
    </row>
    <row r="884" spans="1:3" ht="13" x14ac:dyDescent="0.15">
      <c r="A884" s="10"/>
      <c r="B884" s="13"/>
      <c r="C884" s="13"/>
    </row>
    <row r="885" spans="1:3" ht="13" x14ac:dyDescent="0.15">
      <c r="A885" s="10"/>
      <c r="B885" s="13"/>
      <c r="C885" s="13"/>
    </row>
    <row r="886" spans="1:3" ht="13" x14ac:dyDescent="0.15">
      <c r="A886" s="10"/>
      <c r="B886" s="13"/>
      <c r="C886" s="13"/>
    </row>
    <row r="887" spans="1:3" ht="13" x14ac:dyDescent="0.15">
      <c r="A887" s="10"/>
      <c r="B887" s="13"/>
      <c r="C887" s="13"/>
    </row>
    <row r="888" spans="1:3" ht="13" x14ac:dyDescent="0.15">
      <c r="A888" s="10"/>
      <c r="B888" s="13"/>
      <c r="C888" s="13"/>
    </row>
    <row r="889" spans="1:3" ht="13" x14ac:dyDescent="0.15">
      <c r="A889" s="10"/>
      <c r="B889" s="13"/>
      <c r="C889" s="13"/>
    </row>
    <row r="890" spans="1:3" ht="13" x14ac:dyDescent="0.15">
      <c r="A890" s="10"/>
      <c r="B890" s="13"/>
      <c r="C890" s="13"/>
    </row>
    <row r="891" spans="1:3" ht="13" x14ac:dyDescent="0.15">
      <c r="A891" s="10"/>
      <c r="B891" s="13"/>
      <c r="C891" s="13"/>
    </row>
    <row r="892" spans="1:3" ht="13" x14ac:dyDescent="0.15">
      <c r="A892" s="10"/>
      <c r="B892" s="13"/>
      <c r="C892" s="13"/>
    </row>
    <row r="893" spans="1:3" ht="13" x14ac:dyDescent="0.15">
      <c r="A893" s="10"/>
      <c r="B893" s="13"/>
      <c r="C893" s="13"/>
    </row>
    <row r="894" spans="1:3" ht="13" x14ac:dyDescent="0.15">
      <c r="A894" s="10"/>
      <c r="B894" s="13"/>
      <c r="C894" s="13"/>
    </row>
    <row r="895" spans="1:3" ht="13" x14ac:dyDescent="0.15">
      <c r="A895" s="10"/>
      <c r="B895" s="13"/>
      <c r="C895" s="13"/>
    </row>
    <row r="896" spans="1:3" ht="13" x14ac:dyDescent="0.15">
      <c r="A896" s="10"/>
      <c r="B896" s="13"/>
      <c r="C896" s="13"/>
    </row>
    <row r="897" spans="1:3" ht="13" x14ac:dyDescent="0.15">
      <c r="A897" s="10"/>
      <c r="B897" s="13"/>
      <c r="C897" s="13"/>
    </row>
    <row r="898" spans="1:3" ht="13" x14ac:dyDescent="0.15">
      <c r="A898" s="10"/>
      <c r="B898" s="13"/>
      <c r="C898" s="13"/>
    </row>
    <row r="899" spans="1:3" ht="13" x14ac:dyDescent="0.15">
      <c r="A899" s="10"/>
      <c r="B899" s="13"/>
      <c r="C899" s="13"/>
    </row>
    <row r="900" spans="1:3" ht="13" x14ac:dyDescent="0.15">
      <c r="A900" s="10"/>
      <c r="B900" s="13"/>
      <c r="C900" s="13"/>
    </row>
    <row r="901" spans="1:3" ht="13" x14ac:dyDescent="0.15">
      <c r="A901" s="10"/>
      <c r="B901" s="13"/>
      <c r="C901" s="13"/>
    </row>
    <row r="902" spans="1:3" ht="13" x14ac:dyDescent="0.15">
      <c r="A902" s="10"/>
      <c r="B902" s="13"/>
      <c r="C902" s="13"/>
    </row>
    <row r="903" spans="1:3" ht="13" x14ac:dyDescent="0.15">
      <c r="A903" s="10"/>
      <c r="B903" s="13"/>
      <c r="C903" s="13"/>
    </row>
    <row r="904" spans="1:3" ht="13" x14ac:dyDescent="0.15">
      <c r="A904" s="10"/>
      <c r="B904" s="13"/>
      <c r="C904" s="13"/>
    </row>
    <row r="905" spans="1:3" ht="13" x14ac:dyDescent="0.15">
      <c r="A905" s="10"/>
      <c r="B905" s="13"/>
      <c r="C905" s="13"/>
    </row>
    <row r="906" spans="1:3" ht="13" x14ac:dyDescent="0.15">
      <c r="A906" s="10"/>
      <c r="B906" s="13"/>
      <c r="C906" s="13"/>
    </row>
    <row r="907" spans="1:3" ht="13" x14ac:dyDescent="0.15">
      <c r="A907" s="10"/>
      <c r="B907" s="13"/>
      <c r="C907" s="13"/>
    </row>
    <row r="908" spans="1:3" ht="13" x14ac:dyDescent="0.15">
      <c r="A908" s="10"/>
      <c r="B908" s="13"/>
      <c r="C908" s="13"/>
    </row>
    <row r="909" spans="1:3" ht="13" x14ac:dyDescent="0.15">
      <c r="A909" s="10"/>
      <c r="B909" s="13"/>
      <c r="C909" s="13"/>
    </row>
    <row r="910" spans="1:3" ht="13" x14ac:dyDescent="0.15">
      <c r="A910" s="10"/>
      <c r="B910" s="13"/>
      <c r="C910" s="13"/>
    </row>
    <row r="911" spans="1:3" ht="13" x14ac:dyDescent="0.15">
      <c r="A911" s="10"/>
      <c r="B911" s="13"/>
      <c r="C911" s="13"/>
    </row>
    <row r="912" spans="1:3" ht="13" x14ac:dyDescent="0.15">
      <c r="A912" s="10"/>
      <c r="B912" s="13"/>
      <c r="C912" s="13"/>
    </row>
    <row r="913" spans="1:3" ht="13" x14ac:dyDescent="0.15">
      <c r="A913" s="10"/>
      <c r="B913" s="13"/>
      <c r="C913" s="13"/>
    </row>
    <row r="914" spans="1:3" ht="13" x14ac:dyDescent="0.15">
      <c r="A914" s="10"/>
      <c r="B914" s="13"/>
      <c r="C914" s="13"/>
    </row>
    <row r="915" spans="1:3" ht="13" x14ac:dyDescent="0.15">
      <c r="A915" s="10"/>
      <c r="B915" s="13"/>
      <c r="C915" s="13"/>
    </row>
    <row r="916" spans="1:3" ht="13" x14ac:dyDescent="0.15">
      <c r="A916" s="10"/>
      <c r="B916" s="13"/>
      <c r="C916" s="13"/>
    </row>
    <row r="917" spans="1:3" ht="13" x14ac:dyDescent="0.15">
      <c r="A917" s="10"/>
      <c r="B917" s="13"/>
      <c r="C917" s="13"/>
    </row>
    <row r="918" spans="1:3" ht="13" x14ac:dyDescent="0.15">
      <c r="A918" s="10"/>
      <c r="B918" s="13"/>
      <c r="C918" s="13"/>
    </row>
    <row r="919" spans="1:3" ht="13" x14ac:dyDescent="0.15">
      <c r="A919" s="10"/>
      <c r="B919" s="13"/>
      <c r="C919" s="13"/>
    </row>
    <row r="920" spans="1:3" ht="13" x14ac:dyDescent="0.15">
      <c r="A920" s="10"/>
      <c r="B920" s="13"/>
      <c r="C920" s="13"/>
    </row>
    <row r="921" spans="1:3" ht="13" x14ac:dyDescent="0.15">
      <c r="A921" s="10"/>
      <c r="B921" s="13"/>
      <c r="C921" s="13"/>
    </row>
    <row r="922" spans="1:3" ht="13" x14ac:dyDescent="0.15">
      <c r="A922" s="10"/>
      <c r="B922" s="13"/>
      <c r="C922" s="13"/>
    </row>
    <row r="923" spans="1:3" ht="13" x14ac:dyDescent="0.15">
      <c r="A923" s="10"/>
      <c r="B923" s="13"/>
      <c r="C923" s="13"/>
    </row>
    <row r="924" spans="1:3" ht="13" x14ac:dyDescent="0.15">
      <c r="A924" s="10"/>
      <c r="B924" s="13"/>
      <c r="C924" s="13"/>
    </row>
    <row r="925" spans="1:3" ht="13" x14ac:dyDescent="0.15">
      <c r="A925" s="10"/>
      <c r="B925" s="13"/>
      <c r="C925" s="13"/>
    </row>
    <row r="926" spans="1:3" ht="13" x14ac:dyDescent="0.15">
      <c r="A926" s="10"/>
      <c r="B926" s="13"/>
      <c r="C926" s="13"/>
    </row>
    <row r="927" spans="1:3" ht="13" x14ac:dyDescent="0.15">
      <c r="A927" s="10"/>
      <c r="B927" s="13"/>
      <c r="C927" s="13"/>
    </row>
    <row r="928" spans="1:3" ht="13" x14ac:dyDescent="0.15">
      <c r="A928" s="10"/>
      <c r="B928" s="13"/>
      <c r="C928" s="13"/>
    </row>
    <row r="929" spans="1:3" ht="13" x14ac:dyDescent="0.15">
      <c r="A929" s="10"/>
      <c r="B929" s="13"/>
      <c r="C929" s="13"/>
    </row>
    <row r="930" spans="1:3" ht="13" x14ac:dyDescent="0.15">
      <c r="A930" s="10"/>
      <c r="B930" s="13"/>
      <c r="C930" s="13"/>
    </row>
    <row r="931" spans="1:3" ht="13" x14ac:dyDescent="0.15">
      <c r="A931" s="10"/>
      <c r="B931" s="13"/>
      <c r="C931" s="13"/>
    </row>
    <row r="932" spans="1:3" ht="13" x14ac:dyDescent="0.15">
      <c r="A932" s="10"/>
      <c r="B932" s="13"/>
      <c r="C932" s="13"/>
    </row>
    <row r="933" spans="1:3" ht="13" x14ac:dyDescent="0.15">
      <c r="A933" s="10"/>
      <c r="B933" s="13"/>
      <c r="C933" s="13"/>
    </row>
    <row r="934" spans="1:3" ht="13" x14ac:dyDescent="0.15">
      <c r="A934" s="10"/>
      <c r="B934" s="13"/>
      <c r="C934" s="13"/>
    </row>
    <row r="935" spans="1:3" ht="13" x14ac:dyDescent="0.15">
      <c r="A935" s="10"/>
      <c r="B935" s="13"/>
      <c r="C935" s="13"/>
    </row>
    <row r="936" spans="1:3" ht="13" x14ac:dyDescent="0.15">
      <c r="A936" s="10"/>
      <c r="B936" s="13"/>
      <c r="C936" s="13"/>
    </row>
    <row r="937" spans="1:3" ht="13" x14ac:dyDescent="0.15">
      <c r="A937" s="10"/>
      <c r="B937" s="13"/>
      <c r="C937" s="13"/>
    </row>
    <row r="938" spans="1:3" ht="13" x14ac:dyDescent="0.15">
      <c r="A938" s="10"/>
      <c r="B938" s="13"/>
      <c r="C938" s="13"/>
    </row>
    <row r="939" spans="1:3" ht="13" x14ac:dyDescent="0.15">
      <c r="A939" s="10"/>
      <c r="B939" s="13"/>
      <c r="C939" s="13"/>
    </row>
    <row r="940" spans="1:3" ht="13" x14ac:dyDescent="0.15">
      <c r="A940" s="10"/>
      <c r="B940" s="13"/>
      <c r="C940" s="13"/>
    </row>
    <row r="941" spans="1:3" ht="13" x14ac:dyDescent="0.15">
      <c r="A941" s="10"/>
      <c r="B941" s="13"/>
      <c r="C941" s="13"/>
    </row>
    <row r="942" spans="1:3" ht="13" x14ac:dyDescent="0.15">
      <c r="A942" s="10"/>
      <c r="B942" s="13"/>
      <c r="C942" s="13"/>
    </row>
    <row r="943" spans="1:3" ht="13" x14ac:dyDescent="0.15">
      <c r="A943" s="10"/>
      <c r="B943" s="13"/>
      <c r="C943" s="13"/>
    </row>
    <row r="944" spans="1:3" ht="13" x14ac:dyDescent="0.15">
      <c r="A944" s="10"/>
      <c r="B944" s="13"/>
      <c r="C944" s="13"/>
    </row>
    <row r="945" spans="1:3" ht="13" x14ac:dyDescent="0.15">
      <c r="A945" s="10"/>
      <c r="B945" s="13"/>
      <c r="C945" s="13"/>
    </row>
    <row r="946" spans="1:3" ht="13" x14ac:dyDescent="0.15">
      <c r="A946" s="10"/>
      <c r="B946" s="13"/>
      <c r="C946" s="13"/>
    </row>
    <row r="947" spans="1:3" ht="13" x14ac:dyDescent="0.15">
      <c r="A947" s="10"/>
      <c r="B947" s="13"/>
      <c r="C947" s="13"/>
    </row>
    <row r="948" spans="1:3" ht="13" x14ac:dyDescent="0.15">
      <c r="A948" s="10"/>
      <c r="B948" s="13"/>
      <c r="C948" s="13"/>
    </row>
    <row r="949" spans="1:3" ht="13" x14ac:dyDescent="0.15">
      <c r="A949" s="10"/>
      <c r="B949" s="13"/>
      <c r="C949" s="13"/>
    </row>
    <row r="950" spans="1:3" ht="13" x14ac:dyDescent="0.15">
      <c r="A950" s="10"/>
      <c r="B950" s="13"/>
      <c r="C950" s="13"/>
    </row>
    <row r="951" spans="1:3" ht="13" x14ac:dyDescent="0.15">
      <c r="A951" s="10"/>
      <c r="B951" s="13"/>
      <c r="C951" s="13"/>
    </row>
    <row r="952" spans="1:3" ht="13" x14ac:dyDescent="0.15">
      <c r="A952" s="10"/>
      <c r="B952" s="13"/>
      <c r="C952" s="13"/>
    </row>
    <row r="953" spans="1:3" ht="13" x14ac:dyDescent="0.15">
      <c r="A953" s="10"/>
      <c r="B953" s="13"/>
      <c r="C953" s="13"/>
    </row>
    <row r="954" spans="1:3" ht="13" x14ac:dyDescent="0.15">
      <c r="A954" s="10"/>
      <c r="B954" s="13"/>
      <c r="C954" s="13"/>
    </row>
    <row r="955" spans="1:3" ht="13" x14ac:dyDescent="0.15">
      <c r="A955" s="10"/>
      <c r="B955" s="13"/>
      <c r="C955" s="13"/>
    </row>
    <row r="956" spans="1:3" ht="13" x14ac:dyDescent="0.15">
      <c r="A956" s="10"/>
      <c r="B956" s="13"/>
      <c r="C956" s="13"/>
    </row>
    <row r="957" spans="1:3" ht="13" x14ac:dyDescent="0.15">
      <c r="A957" s="10"/>
      <c r="B957" s="13"/>
      <c r="C957" s="13"/>
    </row>
    <row r="958" spans="1:3" ht="13" x14ac:dyDescent="0.15">
      <c r="A958" s="10"/>
      <c r="B958" s="13"/>
      <c r="C958" s="13"/>
    </row>
    <row r="959" spans="1:3" ht="13" x14ac:dyDescent="0.15">
      <c r="A959" s="10"/>
      <c r="B959" s="13"/>
      <c r="C959" s="13"/>
    </row>
    <row r="960" spans="1:3" ht="13" x14ac:dyDescent="0.15">
      <c r="A960" s="10"/>
      <c r="B960" s="13"/>
      <c r="C960" s="13"/>
    </row>
    <row r="961" spans="1:3" ht="13" x14ac:dyDescent="0.15">
      <c r="A961" s="10"/>
      <c r="B961" s="13"/>
      <c r="C961" s="13"/>
    </row>
    <row r="962" spans="1:3" ht="13" x14ac:dyDescent="0.15">
      <c r="A962" s="10"/>
      <c r="B962" s="13"/>
      <c r="C962" s="13"/>
    </row>
    <row r="963" spans="1:3" ht="13" x14ac:dyDescent="0.15">
      <c r="A963" s="10"/>
      <c r="B963" s="13"/>
      <c r="C963" s="13"/>
    </row>
    <row r="964" spans="1:3" ht="13" x14ac:dyDescent="0.15">
      <c r="A964" s="10"/>
      <c r="B964" s="13"/>
      <c r="C964" s="13"/>
    </row>
    <row r="965" spans="1:3" ht="13" x14ac:dyDescent="0.15">
      <c r="A965" s="10"/>
      <c r="B965" s="13"/>
      <c r="C965" s="13"/>
    </row>
    <row r="966" spans="1:3" ht="13" x14ac:dyDescent="0.15">
      <c r="A966" s="10"/>
      <c r="B966" s="13"/>
      <c r="C966" s="13"/>
    </row>
    <row r="967" spans="1:3" ht="13" x14ac:dyDescent="0.15">
      <c r="A967" s="10"/>
      <c r="B967" s="13"/>
      <c r="C967" s="13"/>
    </row>
    <row r="968" spans="1:3" ht="13" x14ac:dyDescent="0.15">
      <c r="A968" s="10"/>
      <c r="B968" s="13"/>
      <c r="C968" s="13"/>
    </row>
    <row r="969" spans="1:3" ht="13" x14ac:dyDescent="0.15">
      <c r="A969" s="10"/>
      <c r="B969" s="13"/>
      <c r="C969" s="13"/>
    </row>
    <row r="970" spans="1:3" ht="13" x14ac:dyDescent="0.15">
      <c r="A970" s="10"/>
      <c r="B970" s="13"/>
      <c r="C970" s="13"/>
    </row>
    <row r="971" spans="1:3" ht="13" x14ac:dyDescent="0.15">
      <c r="A971" s="10"/>
      <c r="B971" s="13"/>
      <c r="C971" s="13"/>
    </row>
    <row r="972" spans="1:3" ht="13" x14ac:dyDescent="0.15">
      <c r="A972" s="10"/>
      <c r="B972" s="13"/>
      <c r="C972" s="13"/>
    </row>
    <row r="973" spans="1:3" ht="13" x14ac:dyDescent="0.15">
      <c r="A973" s="10"/>
      <c r="B973" s="13"/>
      <c r="C973" s="13"/>
    </row>
    <row r="974" spans="1:3" ht="13" x14ac:dyDescent="0.15">
      <c r="A974" s="10"/>
      <c r="B974" s="13"/>
      <c r="C974" s="13"/>
    </row>
    <row r="975" spans="1:3" ht="13" x14ac:dyDescent="0.15">
      <c r="A975" s="10"/>
      <c r="B975" s="13"/>
      <c r="C975" s="13"/>
    </row>
    <row r="976" spans="1:3" ht="13" x14ac:dyDescent="0.15">
      <c r="A976" s="10"/>
      <c r="B976" s="13"/>
      <c r="C976" s="13"/>
    </row>
    <row r="977" spans="1:3" ht="13" x14ac:dyDescent="0.15">
      <c r="A977" s="10"/>
      <c r="B977" s="13"/>
      <c r="C977" s="13"/>
    </row>
    <row r="978" spans="1:3" ht="13" x14ac:dyDescent="0.15">
      <c r="A978" s="10"/>
      <c r="B978" s="13"/>
      <c r="C978" s="13"/>
    </row>
    <row r="979" spans="1:3" ht="13" x14ac:dyDescent="0.15">
      <c r="A979" s="10"/>
      <c r="B979" s="13"/>
      <c r="C979" s="13"/>
    </row>
    <row r="980" spans="1:3" ht="13" x14ac:dyDescent="0.15">
      <c r="A980" s="10"/>
      <c r="B980" s="13"/>
      <c r="C980" s="13"/>
    </row>
    <row r="981" spans="1:3" ht="13" x14ac:dyDescent="0.15">
      <c r="A981" s="10"/>
      <c r="B981" s="13"/>
      <c r="C981" s="13"/>
    </row>
    <row r="982" spans="1:3" ht="13" x14ac:dyDescent="0.15">
      <c r="A982" s="10"/>
      <c r="B982" s="13"/>
      <c r="C982" s="13"/>
    </row>
    <row r="983" spans="1:3" ht="13" x14ac:dyDescent="0.15">
      <c r="A983" s="10"/>
      <c r="B983" s="13"/>
      <c r="C983" s="13"/>
    </row>
    <row r="984" spans="1:3" ht="13" x14ac:dyDescent="0.15">
      <c r="A984" s="10"/>
      <c r="B984" s="13"/>
      <c r="C984" s="13"/>
    </row>
    <row r="985" spans="1:3" ht="13" x14ac:dyDescent="0.15">
      <c r="A985" s="10"/>
      <c r="B985" s="13"/>
      <c r="C985" s="13"/>
    </row>
    <row r="986" spans="1:3" ht="13" x14ac:dyDescent="0.15">
      <c r="A986" s="10"/>
      <c r="B986" s="13"/>
      <c r="C986" s="13"/>
    </row>
    <row r="987" spans="1:3" ht="13" x14ac:dyDescent="0.15">
      <c r="A987" s="10"/>
      <c r="B987" s="13"/>
      <c r="C987" s="13"/>
    </row>
    <row r="988" spans="1:3" ht="13" x14ac:dyDescent="0.15">
      <c r="A988" s="10"/>
      <c r="B988" s="13"/>
      <c r="C988" s="13"/>
    </row>
    <row r="989" spans="1:3" ht="13" x14ac:dyDescent="0.15">
      <c r="A989" s="10"/>
      <c r="B989" s="13"/>
      <c r="C989" s="13"/>
    </row>
    <row r="990" spans="1:3" ht="13" x14ac:dyDescent="0.15">
      <c r="A990" s="10"/>
      <c r="B990" s="13"/>
      <c r="C990" s="13"/>
    </row>
    <row r="991" spans="1:3" ht="13" x14ac:dyDescent="0.15">
      <c r="A991" s="10"/>
      <c r="B991" s="13"/>
      <c r="C991" s="13"/>
    </row>
    <row r="992" spans="1:3" ht="13" x14ac:dyDescent="0.15">
      <c r="A992" s="10"/>
      <c r="B992" s="13"/>
      <c r="C992" s="13"/>
    </row>
    <row r="993" spans="1:3" ht="13" x14ac:dyDescent="0.15">
      <c r="A993" s="10"/>
      <c r="B993" s="13"/>
      <c r="C993" s="13"/>
    </row>
    <row r="994" spans="1:3" ht="13" x14ac:dyDescent="0.15">
      <c r="A994" s="10"/>
      <c r="B994" s="13"/>
      <c r="C994" s="13"/>
    </row>
    <row r="995" spans="1:3" ht="13" x14ac:dyDescent="0.15">
      <c r="A995" s="10"/>
      <c r="B995" s="13"/>
      <c r="C995" s="13"/>
    </row>
    <row r="996" spans="1:3" ht="13" x14ac:dyDescent="0.15">
      <c r="A996" s="10"/>
      <c r="B996" s="13"/>
      <c r="C996" s="13"/>
    </row>
    <row r="997" spans="1:3" ht="13" x14ac:dyDescent="0.15">
      <c r="A997" s="10"/>
      <c r="B997" s="13"/>
      <c r="C997" s="13"/>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1:D997"/>
  <sheetViews>
    <sheetView workbookViewId="0"/>
  </sheetViews>
  <sheetFormatPr baseColWidth="10" defaultColWidth="12.6640625" defaultRowHeight="15.75" customHeight="1" x14ac:dyDescent="0.15"/>
  <cols>
    <col min="1" max="1" width="71.5" customWidth="1"/>
    <col min="2" max="4" width="37.6640625" customWidth="1"/>
  </cols>
  <sheetData>
    <row r="1" spans="1:4" ht="15.75" customHeight="1" x14ac:dyDescent="0.15">
      <c r="A1" s="11"/>
      <c r="B1" s="12" t="str">
        <f ca="1">IFERROR(__xludf.DUMMYFUNCTION("IMPORTRANGE(""https://docs.google.com/spreadsheets/d/13SmE7eku7nG0PwUe_FIOCUfCnXVjPMNZ0Q_x8FW6s5I"",""A7!B1:B22"")"),"Josiah Bolton")</f>
        <v>Josiah Bolton</v>
      </c>
      <c r="C1" s="10" t="str">
        <f ca="1">IFERROR(__xludf.DUMMYFUNCTION("IMPORTRANGE(""https://docs.google.com/spreadsheets/u/0/d/1v3alDV9sI-Ng7OoZouCf4a0CI5tv_Xg2T3WprxxRGRs"", ""A7!B1:B22"")"),"Tyler")</f>
        <v>Tyler</v>
      </c>
      <c r="D1" s="12" t="s">
        <v>1</v>
      </c>
    </row>
    <row r="2" spans="1:4" ht="15.75" customHeight="1" x14ac:dyDescent="0.15">
      <c r="A2" s="14" t="s">
        <v>2</v>
      </c>
      <c r="B2" s="15" t="str">
        <f ca="1">IFERROR(__xludf.DUMMYFUNCTION("""COMPUTED_VALUE"""),"5473-6069 FOR")</f>
        <v>5473-6069 FOR</v>
      </c>
      <c r="C2" s="15" t="str">
        <f ca="1">IFERROR(__xludf.DUMMYFUNCTION("""COMPUTED_VALUE"""),"5473-6069
FOR
")</f>
        <v xml:space="preserve">5473-6069
FOR
</v>
      </c>
      <c r="D2" s="15"/>
    </row>
    <row r="3" spans="1:4" ht="15.75" customHeight="1" x14ac:dyDescent="0.15">
      <c r="A3" s="16" t="s">
        <v>3</v>
      </c>
      <c r="B3" s="17" t="str">
        <f ca="1">IFERROR(__xludf.DUMMYFUNCTION("""COMPUTED_VALUE"""),"DNA Master 7
Phamerator 7")</f>
        <v>DNA Master 7
Phamerator 7</v>
      </c>
      <c r="C3" s="17" t="str">
        <f ca="1">IFERROR(__xludf.DUMMYFUNCTION("""COMPUTED_VALUE"""),"phamarator-7
DNA Master-7
")</f>
        <v xml:space="preserve">phamarator-7
DNA Master-7
</v>
      </c>
      <c r="D3" s="17"/>
    </row>
    <row r="4" spans="1:4" ht="15.75" customHeight="1" x14ac:dyDescent="0.15">
      <c r="A4" s="16" t="s">
        <v>4</v>
      </c>
      <c r="B4" s="17" t="str">
        <f ca="1">IFERROR(__xludf.DUMMYFUNCTION("""COMPUTED_VALUE"""),"6998 3/5/2025")</f>
        <v>6998 3/5/2025</v>
      </c>
      <c r="C4" s="17" t="str">
        <f ca="1">IFERROR(__xludf.DUMMYFUNCTION("""COMPUTED_VALUE"""),"6998 2/24/25")</f>
        <v>6998 2/24/25</v>
      </c>
      <c r="D4" s="17"/>
    </row>
    <row r="5" spans="1:4" ht="15.75" customHeight="1" x14ac:dyDescent="0.15">
      <c r="A5" s="16" t="s">
        <v>5</v>
      </c>
      <c r="B5" s="17" t="str">
        <f ca="1">IFERROR(__xludf.DUMMYFUNCTION("""COMPUTED_VALUE"""),"Laroye 8 and Edmundo 7")</f>
        <v>Laroye 8 and Edmundo 7</v>
      </c>
      <c r="C5" s="17" t="str">
        <f ca="1">IFERROR(__xludf.DUMMYFUNCTION("""COMPUTED_VALUE"""),"Edmundo_7 Laroye_8
")</f>
        <v xml:space="preserve">Edmundo_7 Laroye_8
</v>
      </c>
      <c r="D5" s="17"/>
    </row>
    <row r="6" spans="1:4" ht="15.75" customHeight="1" x14ac:dyDescent="0.15">
      <c r="A6" s="16" t="s">
        <v>6</v>
      </c>
      <c r="B6" s="17" t="str">
        <f ca="1">IFERROR(__xludf.DUMMYFUNCTION("""COMPUTED_VALUE"""),"Glimmer and Genemark both called at 5473.")</f>
        <v>Glimmer and Genemark both called at 5473.</v>
      </c>
      <c r="C6" s="17" t="str">
        <f ca="1">IFERROR(__xludf.DUMMYFUNCTION("""COMPUTED_VALUE"""),"Both called @bp 5473 has strength 13.37")</f>
        <v>Both called @bp 5473 has strength 13.37</v>
      </c>
      <c r="D6" s="17"/>
    </row>
    <row r="7" spans="1:4" ht="15.75" customHeight="1" x14ac:dyDescent="0.15">
      <c r="A7" s="16" t="s">
        <v>7</v>
      </c>
      <c r="B7" s="17" t="str">
        <f ca="1">IFERROR(__xludf.DUMMYFUNCTION("""COMPUTED_VALUE"""),"Gene does have coding potential and includes all.")</f>
        <v>Gene does have coding potential and includes all.</v>
      </c>
      <c r="C7" s="17" t="str">
        <f ca="1">IFERROR(__xludf.DUMMYFUNCTION("""COMPUTED_VALUE"""),"there is good coding potential
all coding potential included
")</f>
        <v xml:space="preserve">there is good coding potential
all coding potential included
</v>
      </c>
      <c r="D7" s="17"/>
    </row>
    <row r="8" spans="1:4" ht="15.75" customHeight="1" x14ac:dyDescent="0.15">
      <c r="A8" s="16" t="s">
        <v>8</v>
      </c>
      <c r="B8" s="17" t="str">
        <f ca="1">IFERROR(__xludf.DUMMYFUNCTION("""COMPUTED_VALUE"""),"Not the longest possible ORF. Little more space.")</f>
        <v>Not the longest possible ORF. Little more space.</v>
      </c>
      <c r="C8" s="17" t="str">
        <f ca="1">IFERROR(__xludf.DUMMYFUNCTION("""COMPUTED_VALUE"""),"yes")</f>
        <v>yes</v>
      </c>
      <c r="D8" s="17"/>
    </row>
    <row r="9" spans="1:4" ht="15.75" customHeight="1" x14ac:dyDescent="0.15">
      <c r="A9" s="16" t="s">
        <v>9</v>
      </c>
      <c r="B9" s="17" t="str">
        <f ca="1">IFERROR(__xludf.DUMMYFUNCTION("""COMPUTED_VALUE"""),"There is an overlap around 20 nucleotides.")</f>
        <v>There is an overlap around 20 nucleotides.</v>
      </c>
      <c r="C9" s="17" t="str">
        <f ca="1">IFERROR(__xludf.DUMMYFUNCTION("""COMPUTED_VALUE"""),"there is a overlap of about 16 nt
moving to next start introduces a large gap
moving to previous start makes gap larger
")</f>
        <v xml:space="preserve">there is a overlap of about 16 nt
moving to next start introduces a large gap
moving to previous start makes gap larger
</v>
      </c>
      <c r="D9" s="17"/>
    </row>
    <row r="10" spans="1:4" ht="15.75" customHeight="1" x14ac:dyDescent="0.15">
      <c r="A10" s="16" t="s">
        <v>10</v>
      </c>
      <c r="B10" s="17" t="str">
        <f ca="1">IFERROR(__xludf.DUMMYFUNCTION("""COMPUTED_VALUE"""),"z score is 2.807 and final score is -3.418. Another start considered is at 5464 with z score 2.807 and final score of -4.071")</f>
        <v>z score is 2.807 and final score is -3.418. Another start considered is at 5464 with z score 2.807 and final score of -4.071</v>
      </c>
      <c r="C10" s="17" t="str">
        <f ca="1">IFERROR(__xludf.DUMMYFUNCTION("""COMPUTED_VALUE"""),"good Z score; 2.807
the 2nd start at 5464 also has a Z score of 2.807
")</f>
        <v xml:space="preserve">good Z score; 2.807
the 2nd start at 5464 also has a Z score of 2.807
</v>
      </c>
      <c r="D10" s="17"/>
    </row>
    <row r="11" spans="1:4" ht="15.75" customHeight="1" x14ac:dyDescent="0.15">
      <c r="A11" s="16" t="s">
        <v>11</v>
      </c>
      <c r="B11" s="17" t="str">
        <f ca="1">IFERROR(__xludf.DUMMYFUNCTION("""COMPUTED_VALUE"""),"Laroye 8 % identity is 59.28% e value is 0e0 q1 - 194: s 1 - 192 and Edmundo 7 %identity 59.28% 0e0 q1 - 194:s 1 - 192")</f>
        <v>Laroye 8 % identity is 59.28% e value is 0e0 q1 - 194: s 1 - 192 and Edmundo 7 %identity 59.28% 0e0 q1 - 194:s 1 - 192</v>
      </c>
      <c r="C11" s="17" t="str">
        <f ca="1">IFERROR(__xludf.DUMMYFUNCTION("""COMPUTED_VALUE"""),"Laroye_8; % identity 59.28; E-value 0.0E0; 
Q-1
T-1
")</f>
        <v xml:space="preserve">Laroye_8; % identity 59.28; E-value 0.0E0; 
Q-1
T-1
</v>
      </c>
      <c r="D11" s="17"/>
    </row>
    <row r="12" spans="1:4" ht="15.75" customHeight="1" x14ac:dyDescent="0.15">
      <c r="A12" s="16" t="s">
        <v>12</v>
      </c>
      <c r="B12" s="17" t="str">
        <f ca="1">IFERROR(__xludf.DUMMYFUNCTION("""COMPUTED_VALUE"""),"Found in all members but Kovu. Called 100% of time when present.")</f>
        <v>Found in all members but Kovu. Called 100% of time when present.</v>
      </c>
      <c r="C12" s="17" t="str">
        <f ca="1">IFERROR(__xludf.DUMMYFUNCTION("""COMPUTED_VALUE"""),"The start is conserved 
it was called 7 times in 7 genes-so every time
")</f>
        <v xml:space="preserve">The start is conserved 
it was called 7 times in 7 genes-so every time
</v>
      </c>
      <c r="D12" s="17"/>
    </row>
    <row r="13" spans="1:4" ht="15.75" customHeight="1" x14ac:dyDescent="0.15">
      <c r="A13" s="16" t="s">
        <v>13</v>
      </c>
      <c r="B13" s="17" t="str">
        <f ca="1">IFERROR(__xludf.DUMMYFUNCTION("""COMPUTED_VALUE"""),"No start change would create bigger overlap")</f>
        <v>No start change would create bigger overlap</v>
      </c>
      <c r="C13" s="17" t="str">
        <f ca="1">IFERROR(__xludf.DUMMYFUNCTION("""COMPUTED_VALUE"""),"No there is good coding potential and Z-score;
starterator calls start every time")</f>
        <v>No there is good coding potential and Z-score;
starterator calls start every time</v>
      </c>
      <c r="D13" s="17"/>
    </row>
    <row r="14" spans="1:4" ht="15.75" customHeight="1" x14ac:dyDescent="0.15">
      <c r="A14" s="16" t="s">
        <v>14</v>
      </c>
      <c r="B14" s="17" t="str">
        <f ca="1">IFERROR(__xludf.DUMMYFUNCTION("""COMPUTED_VALUE"""),"Salgado 8 e value is 9e-61 and Lisara 8 e value is 9e-61")</f>
        <v>Salgado 8 e value is 9e-61 and Lisara 8 e value is 9e-61</v>
      </c>
      <c r="C14" s="17" t="str">
        <f ca="1">IFERROR(__xludf.DUMMYFUNCTION("""COMPUTED_VALUE"""),"Laroye_8; E-Value 0.0E0, Edmundo_7; E-Value 0.0E0")</f>
        <v>Laroye_8; E-Value 0.0E0, Edmundo_7; E-Value 0.0E0</v>
      </c>
      <c r="D14" s="17"/>
    </row>
    <row r="15" spans="1:4" ht="15.75" customHeight="1" x14ac:dyDescent="0.15">
      <c r="A15" s="16" t="s">
        <v>15</v>
      </c>
      <c r="B15" s="17" t="str">
        <f ca="1">IFERROR(__xludf.DUMMYFUNCTION("""COMPUTED_VALUE"""),"Methyltransferace in salgado 8 and Lisara 8.")</f>
        <v>Methyltransferace in salgado 8 and Lisara 8.</v>
      </c>
      <c r="C15" s="17" t="str">
        <f ca="1">IFERROR(__xludf.DUMMYFUNCTION("""COMPUTED_VALUE"""),"Laroye_8 (methyltransferase); Edmundo_7 (methyltransferase)")</f>
        <v>Laroye_8 (methyltransferase); Edmundo_7 (methyltransferase)</v>
      </c>
      <c r="D15" s="17"/>
    </row>
    <row r="16" spans="1:4" ht="15.75" customHeight="1" x14ac:dyDescent="0.15">
      <c r="A16" s="16" t="s">
        <v>16</v>
      </c>
      <c r="B16" s="17" t="str">
        <f ca="1">IFERROR(__xludf.DUMMYFUNCTION("""COMPUTED_VALUE"""),"Yes.")</f>
        <v>Yes.</v>
      </c>
      <c r="C16" s="17" t="str">
        <f ca="1">IFERROR(__xludf.DUMMYFUNCTION("""COMPUTED_VALUE"""),"Found in the same environment as Edmundo and Laroye")</f>
        <v>Found in the same environment as Edmundo and Laroye</v>
      </c>
      <c r="D16" s="17"/>
    </row>
    <row r="17" spans="1:4" ht="15.75" customHeight="1" x14ac:dyDescent="0.15">
      <c r="A17" s="16" t="s">
        <v>17</v>
      </c>
      <c r="B17" s="17" t="str">
        <f ca="1">IFERROR(__xludf.DUMMYFUNCTION("""COMPUTED_VALUE"""),"LMAJ004091AAA; SGPP, STRUCTURAL GENOMICS, PSI, PROTEIN STRUCTURE INITIATIVE, SAM-DEPENDENT METHYLTRANSFERASE, Structural Genomics of Pathogenic Protozoa Consortium, transferase; HET: SAI, MSE; 1.94A {Leishmania major} SCOP: c.66.1.42, l.1.1.1probability 9"&amp;"9.58% % alignment of query 57.29% % alignment of target 44.88% Functional domain is in target part.")</f>
        <v>LMAJ004091AAA; SGPP, STRUCTURAL GENOMICS, PSI, PROTEIN STRUCTURE INITIATIVE, SAM-DEPENDENT METHYLTRANSFERASE, Structural Genomics of Pathogenic Protozoa Consortium, transferase; HET: SAI, MSE; 1.94A {Leishmania major} SCOP: c.66.1.42, l.1.1.1probability 99.58% % alignment of query 57.29% % alignment of target 44.88% Functional domain is in target part.</v>
      </c>
      <c r="C17" s="17" t="str">
        <f ca="1">IFERROR(__xludf.DUMMYFUNCTION("""COMPUTED_VALUE"""),"SAM-dependent methyltransferase of the DUF858/Pfam05891 family
Probability: 99.59
% alignment T- 55%
% alignment Q- 43%
")</f>
        <v xml:space="preserve">SAM-dependent methyltransferase of the DUF858/Pfam05891 family
Probability: 99.59
% alignment T- 55%
% alignment Q- 43%
</v>
      </c>
      <c r="D17" s="17"/>
    </row>
    <row r="18" spans="1:4" ht="15.75" customHeight="1" x14ac:dyDescent="0.15">
      <c r="A18" s="16" t="s">
        <v>18</v>
      </c>
      <c r="B18" s="17" t="str">
        <f ca="1">IFERROR(__xludf.DUMMYFUNCTION("""COMPUTED_VALUE"""),"None.")</f>
        <v>None.</v>
      </c>
      <c r="C18" s="17" t="str">
        <f ca="1">IFERROR(__xludf.DUMMYFUNCTION("""COMPUTED_VALUE"""),"no ")</f>
        <v xml:space="preserve">no </v>
      </c>
      <c r="D18" s="17"/>
    </row>
    <row r="19" spans="1:4" ht="15.75" customHeight="1" x14ac:dyDescent="0.15">
      <c r="A19" s="16" t="s">
        <v>19</v>
      </c>
      <c r="B19" s="17" t="str">
        <f ca="1">IFERROR(__xludf.DUMMYFUNCTION("""COMPUTED_VALUE"""),"None.")</f>
        <v>None.</v>
      </c>
      <c r="C19" s="17" t="str">
        <f ca="1">IFERROR(__xludf.DUMMYFUNCTION("""COMPUTED_VALUE"""),"no")</f>
        <v>no</v>
      </c>
      <c r="D19" s="17"/>
    </row>
    <row r="20" spans="1:4" ht="15.75" customHeight="1" x14ac:dyDescent="0.15">
      <c r="A20" s="16" t="s">
        <v>20</v>
      </c>
      <c r="B20" s="17" t="str">
        <f ca="1">IFERROR(__xludf.DUMMYFUNCTION("""COMPUTED_VALUE"""),"methyltransferase based off of all the info from Phamerator DNA Master and HHPred.")</f>
        <v>methyltransferase based off of all the info from Phamerator DNA Master and HHPred.</v>
      </c>
      <c r="C20" s="17" t="str">
        <f ca="1">IFERROR(__xludf.DUMMYFUNCTION("""COMPUTED_VALUE"""),"methyltransferase
support from Blast, HHpred
")</f>
        <v xml:space="preserve">methyltransferase
support from Blast, HHpred
</v>
      </c>
      <c r="D20" s="17"/>
    </row>
    <row r="21" spans="1:4" x14ac:dyDescent="0.2">
      <c r="A21" s="7"/>
      <c r="B21" s="8"/>
      <c r="C21" s="19"/>
      <c r="D21" s="8"/>
    </row>
    <row r="22" spans="1:4" ht="15.75" customHeight="1" x14ac:dyDescent="0.15">
      <c r="A22" s="9" t="s">
        <v>21</v>
      </c>
      <c r="B22" s="8"/>
      <c r="C22" s="19"/>
      <c r="D22" s="8"/>
    </row>
    <row r="23" spans="1:4" ht="15.75" customHeight="1" x14ac:dyDescent="0.15">
      <c r="A23" s="10"/>
      <c r="C23" s="13"/>
    </row>
    <row r="24" spans="1:4" ht="15.75" customHeight="1" x14ac:dyDescent="0.15">
      <c r="A24" s="10"/>
      <c r="C24" s="13"/>
    </row>
    <row r="25" spans="1:4" ht="15.75" customHeight="1" x14ac:dyDescent="0.15">
      <c r="A25" s="10"/>
      <c r="C25" s="13"/>
    </row>
    <row r="26" spans="1:4" ht="15.75" customHeight="1" x14ac:dyDescent="0.15">
      <c r="A26" s="10"/>
      <c r="C26" s="13"/>
    </row>
    <row r="27" spans="1:4" ht="15.75" customHeight="1" x14ac:dyDescent="0.15">
      <c r="A27" s="10"/>
      <c r="C27" s="13"/>
    </row>
    <row r="28" spans="1:4" ht="15.75" customHeight="1" x14ac:dyDescent="0.15">
      <c r="A28" s="10"/>
      <c r="C28" s="13"/>
    </row>
    <row r="29" spans="1:4" ht="15.75" customHeight="1" x14ac:dyDescent="0.15">
      <c r="A29" s="10"/>
      <c r="C29" s="13"/>
    </row>
    <row r="30" spans="1:4" ht="15.75" customHeight="1" x14ac:dyDescent="0.15">
      <c r="A30" s="10"/>
      <c r="C30" s="13"/>
    </row>
    <row r="31" spans="1:4" ht="15.75" customHeight="1" x14ac:dyDescent="0.15">
      <c r="A31" s="10"/>
      <c r="C31" s="13"/>
    </row>
    <row r="32" spans="1:4" ht="15.75" customHeight="1" x14ac:dyDescent="0.15">
      <c r="A32" s="10"/>
      <c r="C32" s="13"/>
    </row>
    <row r="33" spans="1:3" ht="15.75" customHeight="1" x14ac:dyDescent="0.15">
      <c r="A33" s="10"/>
      <c r="C33" s="13"/>
    </row>
    <row r="34" spans="1:3" ht="15.75" customHeight="1" x14ac:dyDescent="0.15">
      <c r="A34" s="10"/>
      <c r="C34" s="13"/>
    </row>
    <row r="35" spans="1:3" ht="15.75" customHeight="1" x14ac:dyDescent="0.15">
      <c r="A35" s="10"/>
      <c r="C35" s="13"/>
    </row>
    <row r="36" spans="1:3" ht="15.75" customHeight="1" x14ac:dyDescent="0.15">
      <c r="A36" s="10"/>
      <c r="C36" s="13"/>
    </row>
    <row r="37" spans="1:3" ht="15.75" customHeight="1" x14ac:dyDescent="0.15">
      <c r="A37" s="10"/>
      <c r="C37" s="13"/>
    </row>
    <row r="38" spans="1:3" ht="15.75" customHeight="1" x14ac:dyDescent="0.15">
      <c r="A38" s="10"/>
      <c r="C38" s="13"/>
    </row>
    <row r="39" spans="1:3" ht="13" x14ac:dyDescent="0.15">
      <c r="A39" s="10"/>
      <c r="C39" s="13"/>
    </row>
    <row r="40" spans="1:3" ht="13" x14ac:dyDescent="0.15">
      <c r="A40" s="10"/>
      <c r="C40" s="13"/>
    </row>
    <row r="41" spans="1:3" ht="13" x14ac:dyDescent="0.15">
      <c r="A41" s="10"/>
      <c r="C41" s="13"/>
    </row>
    <row r="42" spans="1:3" ht="13" x14ac:dyDescent="0.15">
      <c r="A42" s="10"/>
      <c r="C42" s="13"/>
    </row>
    <row r="43" spans="1:3" ht="13" x14ac:dyDescent="0.15">
      <c r="A43" s="10"/>
      <c r="C43" s="13"/>
    </row>
    <row r="44" spans="1:3" ht="13" x14ac:dyDescent="0.15">
      <c r="A44" s="10"/>
      <c r="C44" s="13"/>
    </row>
    <row r="45" spans="1:3" ht="13" x14ac:dyDescent="0.15">
      <c r="A45" s="10"/>
      <c r="C45" s="13"/>
    </row>
    <row r="46" spans="1:3" ht="13" x14ac:dyDescent="0.15">
      <c r="A46" s="10"/>
      <c r="C46" s="13"/>
    </row>
    <row r="47" spans="1:3" ht="13" x14ac:dyDescent="0.15">
      <c r="A47" s="10"/>
      <c r="C47" s="13"/>
    </row>
    <row r="48" spans="1:3" ht="13" x14ac:dyDescent="0.15">
      <c r="A48" s="10"/>
      <c r="C48" s="13"/>
    </row>
    <row r="49" spans="1:3" ht="13" x14ac:dyDescent="0.15">
      <c r="A49" s="10"/>
      <c r="C49" s="13"/>
    </row>
    <row r="50" spans="1:3" ht="13" x14ac:dyDescent="0.15">
      <c r="A50" s="10"/>
      <c r="C50" s="13"/>
    </row>
    <row r="51" spans="1:3" ht="13" x14ac:dyDescent="0.15">
      <c r="A51" s="10"/>
      <c r="C51" s="13"/>
    </row>
    <row r="52" spans="1:3" ht="13" x14ac:dyDescent="0.15">
      <c r="A52" s="10"/>
      <c r="C52" s="13"/>
    </row>
    <row r="53" spans="1:3" ht="13" x14ac:dyDescent="0.15">
      <c r="A53" s="10"/>
      <c r="C53" s="13"/>
    </row>
    <row r="54" spans="1:3" ht="13" x14ac:dyDescent="0.15">
      <c r="A54" s="10"/>
      <c r="C54" s="13"/>
    </row>
    <row r="55" spans="1:3" ht="13" x14ac:dyDescent="0.15">
      <c r="A55" s="10"/>
      <c r="C55" s="13"/>
    </row>
    <row r="56" spans="1:3" ht="13" x14ac:dyDescent="0.15">
      <c r="A56" s="10"/>
      <c r="C56" s="13"/>
    </row>
    <row r="57" spans="1:3" ht="13" x14ac:dyDescent="0.15">
      <c r="A57" s="10"/>
      <c r="C57" s="13"/>
    </row>
    <row r="58" spans="1:3" ht="13" x14ac:dyDescent="0.15">
      <c r="A58" s="10"/>
      <c r="C58" s="13"/>
    </row>
    <row r="59" spans="1:3" ht="13" x14ac:dyDescent="0.15">
      <c r="A59" s="10"/>
      <c r="C59" s="13"/>
    </row>
    <row r="60" spans="1:3" ht="13" x14ac:dyDescent="0.15">
      <c r="A60" s="10"/>
      <c r="C60" s="13"/>
    </row>
    <row r="61" spans="1:3" ht="13" x14ac:dyDescent="0.15">
      <c r="A61" s="10"/>
      <c r="C61" s="13"/>
    </row>
    <row r="62" spans="1:3" ht="13" x14ac:dyDescent="0.15">
      <c r="A62" s="10"/>
      <c r="C62" s="13"/>
    </row>
    <row r="63" spans="1:3" ht="13" x14ac:dyDescent="0.15">
      <c r="A63" s="10"/>
      <c r="C63" s="13"/>
    </row>
    <row r="64" spans="1:3" ht="13" x14ac:dyDescent="0.15">
      <c r="A64" s="10"/>
      <c r="C64" s="13"/>
    </row>
    <row r="65" spans="1:3" ht="13" x14ac:dyDescent="0.15">
      <c r="A65" s="10"/>
      <c r="C65" s="13"/>
    </row>
    <row r="66" spans="1:3" ht="13" x14ac:dyDescent="0.15">
      <c r="A66" s="10"/>
      <c r="C66" s="13"/>
    </row>
    <row r="67" spans="1:3" ht="13" x14ac:dyDescent="0.15">
      <c r="A67" s="10"/>
      <c r="C67" s="13"/>
    </row>
    <row r="68" spans="1:3" ht="13" x14ac:dyDescent="0.15">
      <c r="A68" s="10"/>
      <c r="C68" s="13"/>
    </row>
    <row r="69" spans="1:3" ht="13" x14ac:dyDescent="0.15">
      <c r="A69" s="10"/>
      <c r="C69" s="13"/>
    </row>
    <row r="70" spans="1:3" ht="13" x14ac:dyDescent="0.15">
      <c r="A70" s="10"/>
      <c r="C70" s="13"/>
    </row>
    <row r="71" spans="1:3" ht="13" x14ac:dyDescent="0.15">
      <c r="A71" s="10"/>
      <c r="C71" s="13"/>
    </row>
    <row r="72" spans="1:3" ht="13" x14ac:dyDescent="0.15">
      <c r="A72" s="10"/>
      <c r="C72" s="13"/>
    </row>
    <row r="73" spans="1:3" ht="13" x14ac:dyDescent="0.15">
      <c r="A73" s="10"/>
      <c r="C73" s="13"/>
    </row>
    <row r="74" spans="1:3" ht="13" x14ac:dyDescent="0.15">
      <c r="A74" s="10"/>
      <c r="C74" s="13"/>
    </row>
    <row r="75" spans="1:3" ht="13" x14ac:dyDescent="0.15">
      <c r="A75" s="10"/>
      <c r="C75" s="13"/>
    </row>
    <row r="76" spans="1:3" ht="13" x14ac:dyDescent="0.15">
      <c r="A76" s="10"/>
      <c r="C76" s="13"/>
    </row>
    <row r="77" spans="1:3" ht="13" x14ac:dyDescent="0.15">
      <c r="A77" s="10"/>
      <c r="C77" s="13"/>
    </row>
    <row r="78" spans="1:3" ht="13" x14ac:dyDescent="0.15">
      <c r="A78" s="10"/>
      <c r="C78" s="13"/>
    </row>
    <row r="79" spans="1:3" ht="13" x14ac:dyDescent="0.15">
      <c r="A79" s="10"/>
      <c r="C79" s="13"/>
    </row>
    <row r="80" spans="1:3" ht="13" x14ac:dyDescent="0.15">
      <c r="A80" s="10"/>
      <c r="C80" s="13"/>
    </row>
    <row r="81" spans="1:3" ht="13" x14ac:dyDescent="0.15">
      <c r="A81" s="10"/>
      <c r="C81" s="13"/>
    </row>
    <row r="82" spans="1:3" ht="13" x14ac:dyDescent="0.15">
      <c r="A82" s="10"/>
      <c r="C82" s="13"/>
    </row>
    <row r="83" spans="1:3" ht="13" x14ac:dyDescent="0.15">
      <c r="A83" s="10"/>
      <c r="C83" s="13"/>
    </row>
    <row r="84" spans="1:3" ht="13" x14ac:dyDescent="0.15">
      <c r="A84" s="10"/>
      <c r="C84" s="13"/>
    </row>
    <row r="85" spans="1:3" ht="13" x14ac:dyDescent="0.15">
      <c r="A85" s="10"/>
      <c r="C85" s="13"/>
    </row>
    <row r="86" spans="1:3" ht="13" x14ac:dyDescent="0.15">
      <c r="A86" s="10"/>
      <c r="C86" s="13"/>
    </row>
    <row r="87" spans="1:3" ht="13" x14ac:dyDescent="0.15">
      <c r="A87" s="10"/>
      <c r="C87" s="13"/>
    </row>
    <row r="88" spans="1:3" ht="13" x14ac:dyDescent="0.15">
      <c r="A88" s="10"/>
      <c r="C88" s="13"/>
    </row>
    <row r="89" spans="1:3" ht="13" x14ac:dyDescent="0.15">
      <c r="A89" s="10"/>
      <c r="C89" s="13"/>
    </row>
    <row r="90" spans="1:3" ht="13" x14ac:dyDescent="0.15">
      <c r="A90" s="10"/>
      <c r="C90" s="13"/>
    </row>
    <row r="91" spans="1:3" ht="13" x14ac:dyDescent="0.15">
      <c r="A91" s="10"/>
      <c r="C91" s="13"/>
    </row>
    <row r="92" spans="1:3" ht="13" x14ac:dyDescent="0.15">
      <c r="A92" s="10"/>
      <c r="C92" s="13"/>
    </row>
    <row r="93" spans="1:3" ht="13" x14ac:dyDescent="0.15">
      <c r="A93" s="10"/>
      <c r="C93" s="13"/>
    </row>
    <row r="94" spans="1:3" ht="13" x14ac:dyDescent="0.15">
      <c r="A94" s="10"/>
      <c r="C94" s="13"/>
    </row>
    <row r="95" spans="1:3" ht="13" x14ac:dyDescent="0.15">
      <c r="A95" s="10"/>
      <c r="C95" s="13"/>
    </row>
    <row r="96" spans="1:3" ht="13" x14ac:dyDescent="0.15">
      <c r="A96" s="10"/>
      <c r="C96" s="13"/>
    </row>
    <row r="97" spans="1:3" ht="13" x14ac:dyDescent="0.15">
      <c r="A97" s="10"/>
      <c r="C97" s="13"/>
    </row>
    <row r="98" spans="1:3" ht="13" x14ac:dyDescent="0.15">
      <c r="A98" s="10"/>
      <c r="C98" s="13"/>
    </row>
    <row r="99" spans="1:3" ht="13" x14ac:dyDescent="0.15">
      <c r="A99" s="10"/>
      <c r="C99" s="13"/>
    </row>
    <row r="100" spans="1:3" ht="13" x14ac:dyDescent="0.15">
      <c r="A100" s="10"/>
      <c r="C100" s="13"/>
    </row>
    <row r="101" spans="1:3" ht="13" x14ac:dyDescent="0.15">
      <c r="A101" s="10"/>
      <c r="C101" s="13"/>
    </row>
    <row r="102" spans="1:3" ht="13" x14ac:dyDescent="0.15">
      <c r="A102" s="10"/>
      <c r="C102" s="13"/>
    </row>
    <row r="103" spans="1:3" ht="13" x14ac:dyDescent="0.15">
      <c r="A103" s="10"/>
      <c r="C103" s="13"/>
    </row>
    <row r="104" spans="1:3" ht="13" x14ac:dyDescent="0.15">
      <c r="A104" s="10"/>
      <c r="C104" s="13"/>
    </row>
    <row r="105" spans="1:3" ht="13" x14ac:dyDescent="0.15">
      <c r="A105" s="10"/>
      <c r="C105" s="13"/>
    </row>
    <row r="106" spans="1:3" ht="13" x14ac:dyDescent="0.15">
      <c r="A106" s="10"/>
      <c r="C106" s="13"/>
    </row>
    <row r="107" spans="1:3" ht="13" x14ac:dyDescent="0.15">
      <c r="A107" s="10"/>
      <c r="C107" s="13"/>
    </row>
    <row r="108" spans="1:3" ht="13" x14ac:dyDescent="0.15">
      <c r="A108" s="10"/>
      <c r="C108" s="13"/>
    </row>
    <row r="109" spans="1:3" ht="13" x14ac:dyDescent="0.15">
      <c r="A109" s="10"/>
      <c r="C109" s="13"/>
    </row>
    <row r="110" spans="1:3" ht="13" x14ac:dyDescent="0.15">
      <c r="A110" s="10"/>
      <c r="C110" s="13"/>
    </row>
    <row r="111" spans="1:3" ht="13" x14ac:dyDescent="0.15">
      <c r="A111" s="10"/>
      <c r="C111" s="13"/>
    </row>
    <row r="112" spans="1:3" ht="13" x14ac:dyDescent="0.15">
      <c r="A112" s="10"/>
      <c r="C112" s="13"/>
    </row>
    <row r="113" spans="1:3" ht="13" x14ac:dyDescent="0.15">
      <c r="A113" s="10"/>
      <c r="C113" s="13"/>
    </row>
    <row r="114" spans="1:3" ht="13" x14ac:dyDescent="0.15">
      <c r="A114" s="10"/>
      <c r="C114" s="13"/>
    </row>
    <row r="115" spans="1:3" ht="13" x14ac:dyDescent="0.15">
      <c r="A115" s="10"/>
      <c r="C115" s="13"/>
    </row>
    <row r="116" spans="1:3" ht="13" x14ac:dyDescent="0.15">
      <c r="A116" s="10"/>
      <c r="C116" s="13"/>
    </row>
    <row r="117" spans="1:3" ht="13" x14ac:dyDescent="0.15">
      <c r="A117" s="10"/>
      <c r="C117" s="13"/>
    </row>
    <row r="118" spans="1:3" ht="13" x14ac:dyDescent="0.15">
      <c r="A118" s="10"/>
      <c r="C118" s="13"/>
    </row>
    <row r="119" spans="1:3" ht="13" x14ac:dyDescent="0.15">
      <c r="A119" s="10"/>
      <c r="C119" s="13"/>
    </row>
    <row r="120" spans="1:3" ht="13" x14ac:dyDescent="0.15">
      <c r="A120" s="10"/>
      <c r="C120" s="13"/>
    </row>
    <row r="121" spans="1:3" ht="13" x14ac:dyDescent="0.15">
      <c r="A121" s="10"/>
      <c r="C121" s="13"/>
    </row>
    <row r="122" spans="1:3" ht="13" x14ac:dyDescent="0.15">
      <c r="A122" s="10"/>
      <c r="C122" s="13"/>
    </row>
    <row r="123" spans="1:3" ht="13" x14ac:dyDescent="0.15">
      <c r="A123" s="10"/>
      <c r="C123" s="13"/>
    </row>
    <row r="124" spans="1:3" ht="13" x14ac:dyDescent="0.15">
      <c r="A124" s="10"/>
      <c r="C124" s="13"/>
    </row>
    <row r="125" spans="1:3" ht="13" x14ac:dyDescent="0.15">
      <c r="A125" s="10"/>
      <c r="C125" s="13"/>
    </row>
    <row r="126" spans="1:3" ht="13" x14ac:dyDescent="0.15">
      <c r="A126" s="10"/>
      <c r="C126" s="13"/>
    </row>
    <row r="127" spans="1:3" ht="13" x14ac:dyDescent="0.15">
      <c r="A127" s="10"/>
      <c r="C127" s="13"/>
    </row>
    <row r="128" spans="1:3" ht="13" x14ac:dyDescent="0.15">
      <c r="A128" s="10"/>
      <c r="C128" s="13"/>
    </row>
    <row r="129" spans="1:3" ht="13" x14ac:dyDescent="0.15">
      <c r="A129" s="10"/>
      <c r="C129" s="13"/>
    </row>
    <row r="130" spans="1:3" ht="13" x14ac:dyDescent="0.15">
      <c r="A130" s="10"/>
      <c r="C130" s="13"/>
    </row>
    <row r="131" spans="1:3" ht="13" x14ac:dyDescent="0.15">
      <c r="A131" s="10"/>
      <c r="C131" s="13"/>
    </row>
    <row r="132" spans="1:3" ht="13" x14ac:dyDescent="0.15">
      <c r="A132" s="10"/>
      <c r="C132" s="13"/>
    </row>
    <row r="133" spans="1:3" ht="13" x14ac:dyDescent="0.15">
      <c r="A133" s="10"/>
      <c r="C133" s="13"/>
    </row>
    <row r="134" spans="1:3" ht="13" x14ac:dyDescent="0.15">
      <c r="A134" s="10"/>
      <c r="C134" s="13"/>
    </row>
    <row r="135" spans="1:3" ht="13" x14ac:dyDescent="0.15">
      <c r="A135" s="10"/>
      <c r="C135" s="13"/>
    </row>
    <row r="136" spans="1:3" ht="13" x14ac:dyDescent="0.15">
      <c r="A136" s="10"/>
      <c r="C136" s="13"/>
    </row>
    <row r="137" spans="1:3" ht="13" x14ac:dyDescent="0.15">
      <c r="A137" s="10"/>
      <c r="C137" s="13"/>
    </row>
    <row r="138" spans="1:3" ht="13" x14ac:dyDescent="0.15">
      <c r="A138" s="10"/>
      <c r="C138" s="13"/>
    </row>
    <row r="139" spans="1:3" ht="13" x14ac:dyDescent="0.15">
      <c r="A139" s="10"/>
      <c r="C139" s="13"/>
    </row>
    <row r="140" spans="1:3" ht="13" x14ac:dyDescent="0.15">
      <c r="A140" s="10"/>
      <c r="C140" s="13"/>
    </row>
    <row r="141" spans="1:3" ht="13" x14ac:dyDescent="0.15">
      <c r="A141" s="10"/>
      <c r="C141" s="13"/>
    </row>
    <row r="142" spans="1:3" ht="13" x14ac:dyDescent="0.15">
      <c r="A142" s="10"/>
      <c r="C142" s="13"/>
    </row>
    <row r="143" spans="1:3" ht="13" x14ac:dyDescent="0.15">
      <c r="A143" s="10"/>
      <c r="C143" s="13"/>
    </row>
    <row r="144" spans="1:3" ht="13" x14ac:dyDescent="0.15">
      <c r="A144" s="10"/>
      <c r="C144" s="13"/>
    </row>
    <row r="145" spans="1:3" ht="13" x14ac:dyDescent="0.15">
      <c r="A145" s="10"/>
      <c r="C145" s="13"/>
    </row>
    <row r="146" spans="1:3" ht="13" x14ac:dyDescent="0.15">
      <c r="A146" s="10"/>
      <c r="C146" s="13"/>
    </row>
    <row r="147" spans="1:3" ht="13" x14ac:dyDescent="0.15">
      <c r="A147" s="10"/>
      <c r="C147" s="13"/>
    </row>
    <row r="148" spans="1:3" ht="13" x14ac:dyDescent="0.15">
      <c r="A148" s="10"/>
      <c r="C148" s="13"/>
    </row>
    <row r="149" spans="1:3" ht="13" x14ac:dyDescent="0.15">
      <c r="A149" s="10"/>
      <c r="C149" s="13"/>
    </row>
    <row r="150" spans="1:3" ht="13" x14ac:dyDescent="0.15">
      <c r="A150" s="10"/>
      <c r="C150" s="13"/>
    </row>
    <row r="151" spans="1:3" ht="13" x14ac:dyDescent="0.15">
      <c r="A151" s="10"/>
      <c r="C151" s="13"/>
    </row>
    <row r="152" spans="1:3" ht="13" x14ac:dyDescent="0.15">
      <c r="A152" s="10"/>
      <c r="C152" s="13"/>
    </row>
    <row r="153" spans="1:3" ht="13" x14ac:dyDescent="0.15">
      <c r="A153" s="10"/>
      <c r="C153" s="13"/>
    </row>
    <row r="154" spans="1:3" ht="13" x14ac:dyDescent="0.15">
      <c r="A154" s="10"/>
      <c r="C154" s="13"/>
    </row>
    <row r="155" spans="1:3" ht="13" x14ac:dyDescent="0.15">
      <c r="A155" s="10"/>
      <c r="C155" s="13"/>
    </row>
    <row r="156" spans="1:3" ht="13" x14ac:dyDescent="0.15">
      <c r="A156" s="10"/>
      <c r="C156" s="13"/>
    </row>
    <row r="157" spans="1:3" ht="13" x14ac:dyDescent="0.15">
      <c r="A157" s="10"/>
      <c r="C157" s="13"/>
    </row>
    <row r="158" spans="1:3" ht="13" x14ac:dyDescent="0.15">
      <c r="A158" s="10"/>
      <c r="C158" s="13"/>
    </row>
    <row r="159" spans="1:3" ht="13" x14ac:dyDescent="0.15">
      <c r="A159" s="10"/>
      <c r="C159" s="13"/>
    </row>
    <row r="160" spans="1:3" ht="13" x14ac:dyDescent="0.15">
      <c r="A160" s="10"/>
      <c r="C160" s="13"/>
    </row>
    <row r="161" spans="1:3" ht="13" x14ac:dyDescent="0.15">
      <c r="A161" s="10"/>
      <c r="C161" s="13"/>
    </row>
    <row r="162" spans="1:3" ht="13" x14ac:dyDescent="0.15">
      <c r="A162" s="10"/>
      <c r="C162" s="13"/>
    </row>
    <row r="163" spans="1:3" ht="13" x14ac:dyDescent="0.15">
      <c r="A163" s="10"/>
      <c r="C163" s="13"/>
    </row>
    <row r="164" spans="1:3" ht="13" x14ac:dyDescent="0.15">
      <c r="A164" s="10"/>
      <c r="C164" s="13"/>
    </row>
    <row r="165" spans="1:3" ht="13" x14ac:dyDescent="0.15">
      <c r="A165" s="10"/>
      <c r="C165" s="13"/>
    </row>
    <row r="166" spans="1:3" ht="13" x14ac:dyDescent="0.15">
      <c r="A166" s="10"/>
      <c r="C166" s="13"/>
    </row>
    <row r="167" spans="1:3" ht="13" x14ac:dyDescent="0.15">
      <c r="A167" s="10"/>
      <c r="C167" s="13"/>
    </row>
    <row r="168" spans="1:3" ht="13" x14ac:dyDescent="0.15">
      <c r="A168" s="10"/>
      <c r="C168" s="13"/>
    </row>
    <row r="169" spans="1:3" ht="13" x14ac:dyDescent="0.15">
      <c r="A169" s="10"/>
      <c r="C169" s="13"/>
    </row>
    <row r="170" spans="1:3" ht="13" x14ac:dyDescent="0.15">
      <c r="A170" s="10"/>
      <c r="C170" s="13"/>
    </row>
    <row r="171" spans="1:3" ht="13" x14ac:dyDescent="0.15">
      <c r="A171" s="10"/>
      <c r="C171" s="13"/>
    </row>
    <row r="172" spans="1:3" ht="13" x14ac:dyDescent="0.15">
      <c r="A172" s="10"/>
      <c r="C172" s="13"/>
    </row>
    <row r="173" spans="1:3" ht="13" x14ac:dyDescent="0.15">
      <c r="A173" s="10"/>
      <c r="C173" s="13"/>
    </row>
    <row r="174" spans="1:3" ht="13" x14ac:dyDescent="0.15">
      <c r="A174" s="10"/>
      <c r="C174" s="13"/>
    </row>
    <row r="175" spans="1:3" ht="13" x14ac:dyDescent="0.15">
      <c r="A175" s="10"/>
      <c r="C175" s="13"/>
    </row>
    <row r="176" spans="1:3" ht="13" x14ac:dyDescent="0.15">
      <c r="A176" s="10"/>
      <c r="C176" s="13"/>
    </row>
    <row r="177" spans="1:3" ht="13" x14ac:dyDescent="0.15">
      <c r="A177" s="10"/>
      <c r="C177" s="13"/>
    </row>
    <row r="178" spans="1:3" ht="13" x14ac:dyDescent="0.15">
      <c r="A178" s="10"/>
      <c r="C178" s="13"/>
    </row>
    <row r="179" spans="1:3" ht="13" x14ac:dyDescent="0.15">
      <c r="A179" s="10"/>
      <c r="C179" s="13"/>
    </row>
    <row r="180" spans="1:3" ht="13" x14ac:dyDescent="0.15">
      <c r="A180" s="10"/>
      <c r="C180" s="13"/>
    </row>
    <row r="181" spans="1:3" ht="13" x14ac:dyDescent="0.15">
      <c r="A181" s="10"/>
      <c r="C181" s="13"/>
    </row>
    <row r="182" spans="1:3" ht="13" x14ac:dyDescent="0.15">
      <c r="A182" s="10"/>
      <c r="C182" s="13"/>
    </row>
    <row r="183" spans="1:3" ht="13" x14ac:dyDescent="0.15">
      <c r="A183" s="10"/>
      <c r="C183" s="13"/>
    </row>
    <row r="184" spans="1:3" ht="13" x14ac:dyDescent="0.15">
      <c r="A184" s="10"/>
      <c r="C184" s="13"/>
    </row>
    <row r="185" spans="1:3" ht="13" x14ac:dyDescent="0.15">
      <c r="A185" s="10"/>
      <c r="C185" s="13"/>
    </row>
    <row r="186" spans="1:3" ht="13" x14ac:dyDescent="0.15">
      <c r="A186" s="10"/>
      <c r="C186" s="13"/>
    </row>
    <row r="187" spans="1:3" ht="13" x14ac:dyDescent="0.15">
      <c r="A187" s="10"/>
      <c r="C187" s="13"/>
    </row>
    <row r="188" spans="1:3" ht="13" x14ac:dyDescent="0.15">
      <c r="A188" s="10"/>
      <c r="C188" s="13"/>
    </row>
    <row r="189" spans="1:3" ht="13" x14ac:dyDescent="0.15">
      <c r="A189" s="10"/>
      <c r="C189" s="13"/>
    </row>
    <row r="190" spans="1:3" ht="13" x14ac:dyDescent="0.15">
      <c r="A190" s="10"/>
      <c r="C190" s="13"/>
    </row>
    <row r="191" spans="1:3" ht="13" x14ac:dyDescent="0.15">
      <c r="A191" s="10"/>
      <c r="C191" s="13"/>
    </row>
    <row r="192" spans="1:3" ht="13" x14ac:dyDescent="0.15">
      <c r="A192" s="10"/>
      <c r="C192" s="13"/>
    </row>
    <row r="193" spans="1:3" ht="13" x14ac:dyDescent="0.15">
      <c r="A193" s="10"/>
      <c r="C193" s="13"/>
    </row>
    <row r="194" spans="1:3" ht="13" x14ac:dyDescent="0.15">
      <c r="A194" s="10"/>
      <c r="C194" s="13"/>
    </row>
    <row r="195" spans="1:3" ht="13" x14ac:dyDescent="0.15">
      <c r="A195" s="10"/>
      <c r="C195" s="13"/>
    </row>
    <row r="196" spans="1:3" ht="13" x14ac:dyDescent="0.15">
      <c r="A196" s="10"/>
      <c r="C196" s="13"/>
    </row>
    <row r="197" spans="1:3" ht="13" x14ac:dyDescent="0.15">
      <c r="A197" s="10"/>
      <c r="C197" s="13"/>
    </row>
    <row r="198" spans="1:3" ht="13" x14ac:dyDescent="0.15">
      <c r="A198" s="10"/>
      <c r="C198" s="13"/>
    </row>
    <row r="199" spans="1:3" ht="13" x14ac:dyDescent="0.15">
      <c r="A199" s="10"/>
      <c r="C199" s="13"/>
    </row>
    <row r="200" spans="1:3" ht="13" x14ac:dyDescent="0.15">
      <c r="A200" s="10"/>
      <c r="C200" s="13"/>
    </row>
    <row r="201" spans="1:3" ht="13" x14ac:dyDescent="0.15">
      <c r="A201" s="10"/>
      <c r="C201" s="13"/>
    </row>
    <row r="202" spans="1:3" ht="13" x14ac:dyDescent="0.15">
      <c r="A202" s="10"/>
      <c r="C202" s="13"/>
    </row>
    <row r="203" spans="1:3" ht="13" x14ac:dyDescent="0.15">
      <c r="A203" s="10"/>
      <c r="C203" s="13"/>
    </row>
    <row r="204" spans="1:3" ht="13" x14ac:dyDescent="0.15">
      <c r="A204" s="10"/>
      <c r="C204" s="13"/>
    </row>
    <row r="205" spans="1:3" ht="13" x14ac:dyDescent="0.15">
      <c r="A205" s="10"/>
      <c r="C205" s="13"/>
    </row>
    <row r="206" spans="1:3" ht="13" x14ac:dyDescent="0.15">
      <c r="A206" s="10"/>
      <c r="C206" s="13"/>
    </row>
    <row r="207" spans="1:3" ht="13" x14ac:dyDescent="0.15">
      <c r="A207" s="10"/>
      <c r="C207" s="13"/>
    </row>
    <row r="208" spans="1:3" ht="13" x14ac:dyDescent="0.15">
      <c r="A208" s="10"/>
      <c r="C208" s="13"/>
    </row>
    <row r="209" spans="1:3" ht="13" x14ac:dyDescent="0.15">
      <c r="A209" s="10"/>
      <c r="C209" s="13"/>
    </row>
    <row r="210" spans="1:3" ht="13" x14ac:dyDescent="0.15">
      <c r="A210" s="10"/>
      <c r="C210" s="13"/>
    </row>
    <row r="211" spans="1:3" ht="13" x14ac:dyDescent="0.15">
      <c r="A211" s="10"/>
      <c r="C211" s="13"/>
    </row>
    <row r="212" spans="1:3" ht="13" x14ac:dyDescent="0.15">
      <c r="A212" s="10"/>
      <c r="C212" s="13"/>
    </row>
    <row r="213" spans="1:3" ht="13" x14ac:dyDescent="0.15">
      <c r="A213" s="10"/>
      <c r="C213" s="13"/>
    </row>
    <row r="214" spans="1:3" ht="13" x14ac:dyDescent="0.15">
      <c r="A214" s="10"/>
      <c r="C214" s="13"/>
    </row>
    <row r="215" spans="1:3" ht="13" x14ac:dyDescent="0.15">
      <c r="A215" s="10"/>
      <c r="C215" s="13"/>
    </row>
    <row r="216" spans="1:3" ht="13" x14ac:dyDescent="0.15">
      <c r="A216" s="10"/>
      <c r="C216" s="13"/>
    </row>
    <row r="217" spans="1:3" ht="13" x14ac:dyDescent="0.15">
      <c r="A217" s="10"/>
      <c r="C217" s="13"/>
    </row>
    <row r="218" spans="1:3" ht="13" x14ac:dyDescent="0.15">
      <c r="A218" s="10"/>
      <c r="C218" s="13"/>
    </row>
    <row r="219" spans="1:3" ht="13" x14ac:dyDescent="0.15">
      <c r="A219" s="10"/>
      <c r="C219" s="13"/>
    </row>
    <row r="220" spans="1:3" ht="13" x14ac:dyDescent="0.15">
      <c r="A220" s="10"/>
      <c r="C220" s="13"/>
    </row>
    <row r="221" spans="1:3" ht="13" x14ac:dyDescent="0.15">
      <c r="A221" s="10"/>
      <c r="C221" s="13"/>
    </row>
    <row r="222" spans="1:3" ht="13" x14ac:dyDescent="0.15">
      <c r="A222" s="10"/>
      <c r="C222" s="13"/>
    </row>
    <row r="223" spans="1:3" ht="13" x14ac:dyDescent="0.15">
      <c r="A223" s="10"/>
      <c r="C223" s="13"/>
    </row>
    <row r="224" spans="1:3" ht="13" x14ac:dyDescent="0.15">
      <c r="A224" s="10"/>
      <c r="C224" s="13"/>
    </row>
    <row r="225" spans="1:3" ht="13" x14ac:dyDescent="0.15">
      <c r="A225" s="10"/>
      <c r="C225" s="13"/>
    </row>
    <row r="226" spans="1:3" ht="13" x14ac:dyDescent="0.15">
      <c r="A226" s="10"/>
      <c r="C226" s="13"/>
    </row>
    <row r="227" spans="1:3" ht="13" x14ac:dyDescent="0.15">
      <c r="A227" s="10"/>
      <c r="C227" s="13"/>
    </row>
    <row r="228" spans="1:3" ht="13" x14ac:dyDescent="0.15">
      <c r="A228" s="10"/>
      <c r="C228" s="13"/>
    </row>
    <row r="229" spans="1:3" ht="13" x14ac:dyDescent="0.15">
      <c r="A229" s="10"/>
      <c r="C229" s="13"/>
    </row>
    <row r="230" spans="1:3" ht="13" x14ac:dyDescent="0.15">
      <c r="A230" s="10"/>
      <c r="C230" s="13"/>
    </row>
    <row r="231" spans="1:3" ht="13" x14ac:dyDescent="0.15">
      <c r="A231" s="10"/>
      <c r="C231" s="13"/>
    </row>
    <row r="232" spans="1:3" ht="13" x14ac:dyDescent="0.15">
      <c r="A232" s="10"/>
      <c r="C232" s="13"/>
    </row>
    <row r="233" spans="1:3" ht="13" x14ac:dyDescent="0.15">
      <c r="A233" s="10"/>
      <c r="C233" s="13"/>
    </row>
    <row r="234" spans="1:3" ht="13" x14ac:dyDescent="0.15">
      <c r="A234" s="10"/>
      <c r="C234" s="13"/>
    </row>
    <row r="235" spans="1:3" ht="13" x14ac:dyDescent="0.15">
      <c r="A235" s="10"/>
      <c r="C235" s="13"/>
    </row>
    <row r="236" spans="1:3" ht="13" x14ac:dyDescent="0.15">
      <c r="A236" s="10"/>
      <c r="C236" s="13"/>
    </row>
    <row r="237" spans="1:3" ht="13" x14ac:dyDescent="0.15">
      <c r="A237" s="10"/>
      <c r="C237" s="13"/>
    </row>
    <row r="238" spans="1:3" ht="13" x14ac:dyDescent="0.15">
      <c r="A238" s="10"/>
      <c r="C238" s="13"/>
    </row>
    <row r="239" spans="1:3" ht="13" x14ac:dyDescent="0.15">
      <c r="A239" s="10"/>
      <c r="C239" s="13"/>
    </row>
    <row r="240" spans="1:3" ht="13" x14ac:dyDescent="0.15">
      <c r="A240" s="10"/>
      <c r="C240" s="13"/>
    </row>
    <row r="241" spans="1:3" ht="13" x14ac:dyDescent="0.15">
      <c r="A241" s="10"/>
      <c r="C241" s="13"/>
    </row>
    <row r="242" spans="1:3" ht="13" x14ac:dyDescent="0.15">
      <c r="A242" s="10"/>
      <c r="C242" s="13"/>
    </row>
    <row r="243" spans="1:3" ht="13" x14ac:dyDescent="0.15">
      <c r="A243" s="10"/>
      <c r="C243" s="13"/>
    </row>
    <row r="244" spans="1:3" ht="13" x14ac:dyDescent="0.15">
      <c r="A244" s="10"/>
      <c r="C244" s="13"/>
    </row>
    <row r="245" spans="1:3" ht="13" x14ac:dyDescent="0.15">
      <c r="A245" s="10"/>
      <c r="C245" s="13"/>
    </row>
    <row r="246" spans="1:3" ht="13" x14ac:dyDescent="0.15">
      <c r="A246" s="10"/>
      <c r="C246" s="13"/>
    </row>
    <row r="247" spans="1:3" ht="13" x14ac:dyDescent="0.15">
      <c r="A247" s="10"/>
      <c r="C247" s="13"/>
    </row>
    <row r="248" spans="1:3" ht="13" x14ac:dyDescent="0.15">
      <c r="A248" s="10"/>
      <c r="C248" s="13"/>
    </row>
    <row r="249" spans="1:3" ht="13" x14ac:dyDescent="0.15">
      <c r="A249" s="10"/>
      <c r="C249" s="13"/>
    </row>
    <row r="250" spans="1:3" ht="13" x14ac:dyDescent="0.15">
      <c r="A250" s="10"/>
      <c r="C250" s="13"/>
    </row>
    <row r="251" spans="1:3" ht="13" x14ac:dyDescent="0.15">
      <c r="A251" s="10"/>
      <c r="C251" s="13"/>
    </row>
    <row r="252" spans="1:3" ht="13" x14ac:dyDescent="0.15">
      <c r="A252" s="10"/>
      <c r="C252" s="13"/>
    </row>
    <row r="253" spans="1:3" ht="13" x14ac:dyDescent="0.15">
      <c r="A253" s="10"/>
      <c r="C253" s="13"/>
    </row>
    <row r="254" spans="1:3" ht="13" x14ac:dyDescent="0.15">
      <c r="A254" s="10"/>
      <c r="C254" s="13"/>
    </row>
    <row r="255" spans="1:3" ht="13" x14ac:dyDescent="0.15">
      <c r="A255" s="10"/>
      <c r="C255" s="13"/>
    </row>
    <row r="256" spans="1:3" ht="13" x14ac:dyDescent="0.15">
      <c r="A256" s="10"/>
      <c r="C256" s="13"/>
    </row>
    <row r="257" spans="1:3" ht="13" x14ac:dyDescent="0.15">
      <c r="A257" s="10"/>
      <c r="C257" s="13"/>
    </row>
    <row r="258" spans="1:3" ht="13" x14ac:dyDescent="0.15">
      <c r="A258" s="10"/>
      <c r="C258" s="13"/>
    </row>
    <row r="259" spans="1:3" ht="13" x14ac:dyDescent="0.15">
      <c r="A259" s="10"/>
      <c r="C259" s="13"/>
    </row>
    <row r="260" spans="1:3" ht="13" x14ac:dyDescent="0.15">
      <c r="A260" s="10"/>
      <c r="C260" s="13"/>
    </row>
    <row r="261" spans="1:3" ht="13" x14ac:dyDescent="0.15">
      <c r="A261" s="10"/>
      <c r="C261" s="13"/>
    </row>
    <row r="262" spans="1:3" ht="13" x14ac:dyDescent="0.15">
      <c r="A262" s="10"/>
      <c r="C262" s="13"/>
    </row>
    <row r="263" spans="1:3" ht="13" x14ac:dyDescent="0.15">
      <c r="A263" s="10"/>
      <c r="C263" s="13"/>
    </row>
    <row r="264" spans="1:3" ht="13" x14ac:dyDescent="0.15">
      <c r="A264" s="10"/>
      <c r="C264" s="13"/>
    </row>
    <row r="265" spans="1:3" ht="13" x14ac:dyDescent="0.15">
      <c r="A265" s="10"/>
      <c r="C265" s="13"/>
    </row>
    <row r="266" spans="1:3" ht="13" x14ac:dyDescent="0.15">
      <c r="A266" s="10"/>
      <c r="C266" s="13"/>
    </row>
    <row r="267" spans="1:3" ht="13" x14ac:dyDescent="0.15">
      <c r="A267" s="10"/>
      <c r="C267" s="13"/>
    </row>
    <row r="268" spans="1:3" ht="13" x14ac:dyDescent="0.15">
      <c r="A268" s="10"/>
      <c r="C268" s="13"/>
    </row>
    <row r="269" spans="1:3" ht="13" x14ac:dyDescent="0.15">
      <c r="A269" s="10"/>
      <c r="C269" s="13"/>
    </row>
    <row r="270" spans="1:3" ht="13" x14ac:dyDescent="0.15">
      <c r="A270" s="10"/>
      <c r="C270" s="13"/>
    </row>
    <row r="271" spans="1:3" ht="13" x14ac:dyDescent="0.15">
      <c r="A271" s="10"/>
      <c r="C271" s="13"/>
    </row>
    <row r="272" spans="1:3" ht="13" x14ac:dyDescent="0.15">
      <c r="A272" s="10"/>
      <c r="C272" s="13"/>
    </row>
    <row r="273" spans="1:3" ht="13" x14ac:dyDescent="0.15">
      <c r="A273" s="10"/>
      <c r="C273" s="13"/>
    </row>
    <row r="274" spans="1:3" ht="13" x14ac:dyDescent="0.15">
      <c r="A274" s="10"/>
      <c r="C274" s="13"/>
    </row>
    <row r="275" spans="1:3" ht="13" x14ac:dyDescent="0.15">
      <c r="A275" s="10"/>
      <c r="C275" s="13"/>
    </row>
    <row r="276" spans="1:3" ht="13" x14ac:dyDescent="0.15">
      <c r="A276" s="10"/>
      <c r="C276" s="13"/>
    </row>
    <row r="277" spans="1:3" ht="13" x14ac:dyDescent="0.15">
      <c r="A277" s="10"/>
      <c r="C277" s="13"/>
    </row>
    <row r="278" spans="1:3" ht="13" x14ac:dyDescent="0.15">
      <c r="A278" s="10"/>
      <c r="C278" s="13"/>
    </row>
    <row r="279" spans="1:3" ht="13" x14ac:dyDescent="0.15">
      <c r="A279" s="10"/>
      <c r="C279" s="13"/>
    </row>
    <row r="280" spans="1:3" ht="13" x14ac:dyDescent="0.15">
      <c r="A280" s="10"/>
      <c r="C280" s="13"/>
    </row>
    <row r="281" spans="1:3" ht="13" x14ac:dyDescent="0.15">
      <c r="A281" s="10"/>
      <c r="C281" s="13"/>
    </row>
    <row r="282" spans="1:3" ht="13" x14ac:dyDescent="0.15">
      <c r="A282" s="10"/>
      <c r="C282" s="13"/>
    </row>
    <row r="283" spans="1:3" ht="13" x14ac:dyDescent="0.15">
      <c r="A283" s="10"/>
      <c r="C283" s="13"/>
    </row>
    <row r="284" spans="1:3" ht="13" x14ac:dyDescent="0.15">
      <c r="A284" s="10"/>
      <c r="C284" s="13"/>
    </row>
    <row r="285" spans="1:3" ht="13" x14ac:dyDescent="0.15">
      <c r="A285" s="10"/>
      <c r="C285" s="13"/>
    </row>
    <row r="286" spans="1:3" ht="13" x14ac:dyDescent="0.15">
      <c r="A286" s="10"/>
      <c r="C286" s="13"/>
    </row>
    <row r="287" spans="1:3" ht="13" x14ac:dyDescent="0.15">
      <c r="A287" s="10"/>
      <c r="C287" s="13"/>
    </row>
    <row r="288" spans="1:3" ht="13" x14ac:dyDescent="0.15">
      <c r="A288" s="10"/>
      <c r="C288" s="13"/>
    </row>
    <row r="289" spans="1:3" ht="13" x14ac:dyDescent="0.15">
      <c r="A289" s="10"/>
      <c r="C289" s="13"/>
    </row>
    <row r="290" spans="1:3" ht="13" x14ac:dyDescent="0.15">
      <c r="A290" s="10"/>
      <c r="C290" s="13"/>
    </row>
    <row r="291" spans="1:3" ht="13" x14ac:dyDescent="0.15">
      <c r="A291" s="10"/>
      <c r="C291" s="13"/>
    </row>
    <row r="292" spans="1:3" ht="13" x14ac:dyDescent="0.15">
      <c r="A292" s="10"/>
      <c r="C292" s="13"/>
    </row>
    <row r="293" spans="1:3" ht="13" x14ac:dyDescent="0.15">
      <c r="A293" s="10"/>
      <c r="C293" s="13"/>
    </row>
    <row r="294" spans="1:3" ht="13" x14ac:dyDescent="0.15">
      <c r="A294" s="10"/>
      <c r="C294" s="13"/>
    </row>
    <row r="295" spans="1:3" ht="13" x14ac:dyDescent="0.15">
      <c r="A295" s="10"/>
      <c r="C295" s="13"/>
    </row>
    <row r="296" spans="1:3" ht="13" x14ac:dyDescent="0.15">
      <c r="A296" s="10"/>
      <c r="C296" s="13"/>
    </row>
    <row r="297" spans="1:3" ht="13" x14ac:dyDescent="0.15">
      <c r="A297" s="10"/>
      <c r="C297" s="13"/>
    </row>
    <row r="298" spans="1:3" ht="13" x14ac:dyDescent="0.15">
      <c r="A298" s="10"/>
      <c r="C298" s="13"/>
    </row>
    <row r="299" spans="1:3" ht="13" x14ac:dyDescent="0.15">
      <c r="A299" s="10"/>
      <c r="C299" s="13"/>
    </row>
    <row r="300" spans="1:3" ht="13" x14ac:dyDescent="0.15">
      <c r="A300" s="10"/>
      <c r="C300" s="13"/>
    </row>
    <row r="301" spans="1:3" ht="13" x14ac:dyDescent="0.15">
      <c r="A301" s="10"/>
      <c r="C301" s="13"/>
    </row>
    <row r="302" spans="1:3" ht="13" x14ac:dyDescent="0.15">
      <c r="A302" s="10"/>
      <c r="C302" s="13"/>
    </row>
    <row r="303" spans="1:3" ht="13" x14ac:dyDescent="0.15">
      <c r="A303" s="10"/>
      <c r="C303" s="13"/>
    </row>
    <row r="304" spans="1:3" ht="13" x14ac:dyDescent="0.15">
      <c r="A304" s="10"/>
      <c r="C304" s="13"/>
    </row>
    <row r="305" spans="1:3" ht="13" x14ac:dyDescent="0.15">
      <c r="A305" s="10"/>
      <c r="C305" s="13"/>
    </row>
    <row r="306" spans="1:3" ht="13" x14ac:dyDescent="0.15">
      <c r="A306" s="10"/>
      <c r="C306" s="13"/>
    </row>
    <row r="307" spans="1:3" ht="13" x14ac:dyDescent="0.15">
      <c r="A307" s="10"/>
      <c r="C307" s="13"/>
    </row>
    <row r="308" spans="1:3" ht="13" x14ac:dyDescent="0.15">
      <c r="A308" s="10"/>
      <c r="C308" s="13"/>
    </row>
    <row r="309" spans="1:3" ht="13" x14ac:dyDescent="0.15">
      <c r="A309" s="10"/>
      <c r="C309" s="13"/>
    </row>
    <row r="310" spans="1:3" ht="13" x14ac:dyDescent="0.15">
      <c r="A310" s="10"/>
      <c r="C310" s="13"/>
    </row>
    <row r="311" spans="1:3" ht="13" x14ac:dyDescent="0.15">
      <c r="A311" s="10"/>
      <c r="C311" s="13"/>
    </row>
    <row r="312" spans="1:3" ht="13" x14ac:dyDescent="0.15">
      <c r="A312" s="10"/>
      <c r="C312" s="13"/>
    </row>
    <row r="313" spans="1:3" ht="13" x14ac:dyDescent="0.15">
      <c r="A313" s="10"/>
      <c r="C313" s="13"/>
    </row>
    <row r="314" spans="1:3" ht="13" x14ac:dyDescent="0.15">
      <c r="A314" s="10"/>
      <c r="C314" s="13"/>
    </row>
    <row r="315" spans="1:3" ht="13" x14ac:dyDescent="0.15">
      <c r="A315" s="10"/>
      <c r="C315" s="13"/>
    </row>
    <row r="316" spans="1:3" ht="13" x14ac:dyDescent="0.15">
      <c r="A316" s="10"/>
      <c r="C316" s="13"/>
    </row>
    <row r="317" spans="1:3" ht="13" x14ac:dyDescent="0.15">
      <c r="A317" s="10"/>
      <c r="C317" s="13"/>
    </row>
    <row r="318" spans="1:3" ht="13" x14ac:dyDescent="0.15">
      <c r="A318" s="10"/>
      <c r="C318" s="13"/>
    </row>
    <row r="319" spans="1:3" ht="13" x14ac:dyDescent="0.15">
      <c r="A319" s="10"/>
      <c r="C319" s="13"/>
    </row>
    <row r="320" spans="1:3" ht="13" x14ac:dyDescent="0.15">
      <c r="A320" s="10"/>
      <c r="C320" s="13"/>
    </row>
    <row r="321" spans="1:3" ht="13" x14ac:dyDescent="0.15">
      <c r="A321" s="10"/>
      <c r="C321" s="13"/>
    </row>
    <row r="322" spans="1:3" ht="13" x14ac:dyDescent="0.15">
      <c r="A322" s="10"/>
      <c r="C322" s="13"/>
    </row>
    <row r="323" spans="1:3" ht="13" x14ac:dyDescent="0.15">
      <c r="A323" s="10"/>
      <c r="C323" s="13"/>
    </row>
    <row r="324" spans="1:3" ht="13" x14ac:dyDescent="0.15">
      <c r="A324" s="10"/>
      <c r="C324" s="13"/>
    </row>
    <row r="325" spans="1:3" ht="13" x14ac:dyDescent="0.15">
      <c r="A325" s="10"/>
      <c r="C325" s="13"/>
    </row>
    <row r="326" spans="1:3" ht="13" x14ac:dyDescent="0.15">
      <c r="A326" s="10"/>
      <c r="C326" s="13"/>
    </row>
    <row r="327" spans="1:3" ht="13" x14ac:dyDescent="0.15">
      <c r="A327" s="10"/>
      <c r="C327" s="13"/>
    </row>
    <row r="328" spans="1:3" ht="13" x14ac:dyDescent="0.15">
      <c r="A328" s="10"/>
      <c r="C328" s="13"/>
    </row>
    <row r="329" spans="1:3" ht="13" x14ac:dyDescent="0.15">
      <c r="A329" s="10"/>
      <c r="C329" s="13"/>
    </row>
    <row r="330" spans="1:3" ht="13" x14ac:dyDescent="0.15">
      <c r="A330" s="10"/>
      <c r="C330" s="13"/>
    </row>
    <row r="331" spans="1:3" ht="13" x14ac:dyDescent="0.15">
      <c r="A331" s="10"/>
      <c r="C331" s="13"/>
    </row>
    <row r="332" spans="1:3" ht="13" x14ac:dyDescent="0.15">
      <c r="A332" s="10"/>
      <c r="C332" s="13"/>
    </row>
    <row r="333" spans="1:3" ht="13" x14ac:dyDescent="0.15">
      <c r="A333" s="10"/>
      <c r="C333" s="13"/>
    </row>
    <row r="334" spans="1:3" ht="13" x14ac:dyDescent="0.15">
      <c r="A334" s="10"/>
      <c r="C334" s="13"/>
    </row>
    <row r="335" spans="1:3" ht="13" x14ac:dyDescent="0.15">
      <c r="A335" s="10"/>
      <c r="C335" s="13"/>
    </row>
    <row r="336" spans="1:3" ht="13" x14ac:dyDescent="0.15">
      <c r="A336" s="10"/>
      <c r="C336" s="13"/>
    </row>
    <row r="337" spans="1:3" ht="13" x14ac:dyDescent="0.15">
      <c r="A337" s="10"/>
      <c r="C337" s="13"/>
    </row>
    <row r="338" spans="1:3" ht="13" x14ac:dyDescent="0.15">
      <c r="A338" s="10"/>
      <c r="C338" s="13"/>
    </row>
    <row r="339" spans="1:3" ht="13" x14ac:dyDescent="0.15">
      <c r="A339" s="10"/>
      <c r="C339" s="13"/>
    </row>
    <row r="340" spans="1:3" ht="13" x14ac:dyDescent="0.15">
      <c r="A340" s="10"/>
      <c r="C340" s="13"/>
    </row>
    <row r="341" spans="1:3" ht="13" x14ac:dyDescent="0.15">
      <c r="A341" s="10"/>
      <c r="C341" s="13"/>
    </row>
    <row r="342" spans="1:3" ht="13" x14ac:dyDescent="0.15">
      <c r="A342" s="10"/>
      <c r="C342" s="13"/>
    </row>
    <row r="343" spans="1:3" ht="13" x14ac:dyDescent="0.15">
      <c r="A343" s="10"/>
      <c r="C343" s="13"/>
    </row>
    <row r="344" spans="1:3" ht="13" x14ac:dyDescent="0.15">
      <c r="A344" s="10"/>
      <c r="C344" s="13"/>
    </row>
    <row r="345" spans="1:3" ht="13" x14ac:dyDescent="0.15">
      <c r="A345" s="10"/>
      <c r="C345" s="13"/>
    </row>
    <row r="346" spans="1:3" ht="13" x14ac:dyDescent="0.15">
      <c r="A346" s="10"/>
      <c r="C346" s="13"/>
    </row>
    <row r="347" spans="1:3" ht="13" x14ac:dyDescent="0.15">
      <c r="A347" s="10"/>
      <c r="C347" s="13"/>
    </row>
    <row r="348" spans="1:3" ht="13" x14ac:dyDescent="0.15">
      <c r="A348" s="10"/>
      <c r="C348" s="13"/>
    </row>
    <row r="349" spans="1:3" ht="13" x14ac:dyDescent="0.15">
      <c r="A349" s="10"/>
      <c r="C349" s="13"/>
    </row>
    <row r="350" spans="1:3" ht="13" x14ac:dyDescent="0.15">
      <c r="A350" s="10"/>
      <c r="C350" s="13"/>
    </row>
    <row r="351" spans="1:3" ht="13" x14ac:dyDescent="0.15">
      <c r="A351" s="10"/>
      <c r="C351" s="13"/>
    </row>
    <row r="352" spans="1:3" ht="13" x14ac:dyDescent="0.15">
      <c r="A352" s="10"/>
      <c r="C352" s="13"/>
    </row>
    <row r="353" spans="1:3" ht="13" x14ac:dyDescent="0.15">
      <c r="A353" s="10"/>
      <c r="C353" s="13"/>
    </row>
    <row r="354" spans="1:3" ht="13" x14ac:dyDescent="0.15">
      <c r="A354" s="10"/>
      <c r="C354" s="13"/>
    </row>
    <row r="355" spans="1:3" ht="13" x14ac:dyDescent="0.15">
      <c r="A355" s="10"/>
      <c r="C355" s="13"/>
    </row>
    <row r="356" spans="1:3" ht="13" x14ac:dyDescent="0.15">
      <c r="A356" s="10"/>
      <c r="C356" s="13"/>
    </row>
    <row r="357" spans="1:3" ht="13" x14ac:dyDescent="0.15">
      <c r="A357" s="10"/>
      <c r="C357" s="13"/>
    </row>
    <row r="358" spans="1:3" ht="13" x14ac:dyDescent="0.15">
      <c r="A358" s="10"/>
      <c r="C358" s="13"/>
    </row>
    <row r="359" spans="1:3" ht="13" x14ac:dyDescent="0.15">
      <c r="A359" s="10"/>
      <c r="C359" s="13"/>
    </row>
    <row r="360" spans="1:3" ht="13" x14ac:dyDescent="0.15">
      <c r="A360" s="10"/>
      <c r="C360" s="13"/>
    </row>
    <row r="361" spans="1:3" ht="13" x14ac:dyDescent="0.15">
      <c r="A361" s="10"/>
      <c r="C361" s="13"/>
    </row>
    <row r="362" spans="1:3" ht="13" x14ac:dyDescent="0.15">
      <c r="A362" s="10"/>
      <c r="C362" s="13"/>
    </row>
    <row r="363" spans="1:3" ht="13" x14ac:dyDescent="0.15">
      <c r="A363" s="10"/>
      <c r="C363" s="13"/>
    </row>
    <row r="364" spans="1:3" ht="13" x14ac:dyDescent="0.15">
      <c r="A364" s="10"/>
      <c r="C364" s="13"/>
    </row>
    <row r="365" spans="1:3" ht="13" x14ac:dyDescent="0.15">
      <c r="A365" s="10"/>
      <c r="C365" s="13"/>
    </row>
    <row r="366" spans="1:3" ht="13" x14ac:dyDescent="0.15">
      <c r="A366" s="10"/>
      <c r="C366" s="13"/>
    </row>
    <row r="367" spans="1:3" ht="13" x14ac:dyDescent="0.15">
      <c r="A367" s="10"/>
      <c r="C367" s="13"/>
    </row>
    <row r="368" spans="1:3" ht="13" x14ac:dyDescent="0.15">
      <c r="A368" s="10"/>
      <c r="C368" s="13"/>
    </row>
    <row r="369" spans="1:3" ht="13" x14ac:dyDescent="0.15">
      <c r="A369" s="10"/>
      <c r="C369" s="13"/>
    </row>
    <row r="370" spans="1:3" ht="13" x14ac:dyDescent="0.15">
      <c r="A370" s="10"/>
      <c r="C370" s="13"/>
    </row>
    <row r="371" spans="1:3" ht="13" x14ac:dyDescent="0.15">
      <c r="A371" s="10"/>
      <c r="C371" s="13"/>
    </row>
    <row r="372" spans="1:3" ht="13" x14ac:dyDescent="0.15">
      <c r="A372" s="10"/>
      <c r="C372" s="13"/>
    </row>
    <row r="373" spans="1:3" ht="13" x14ac:dyDescent="0.15">
      <c r="A373" s="10"/>
      <c r="C373" s="13"/>
    </row>
    <row r="374" spans="1:3" ht="13" x14ac:dyDescent="0.15">
      <c r="A374" s="10"/>
      <c r="C374" s="13"/>
    </row>
    <row r="375" spans="1:3" ht="13" x14ac:dyDescent="0.15">
      <c r="A375" s="10"/>
      <c r="C375" s="13"/>
    </row>
    <row r="376" spans="1:3" ht="13" x14ac:dyDescent="0.15">
      <c r="A376" s="10"/>
      <c r="C376" s="13"/>
    </row>
    <row r="377" spans="1:3" ht="13" x14ac:dyDescent="0.15">
      <c r="A377" s="10"/>
      <c r="C377" s="13"/>
    </row>
    <row r="378" spans="1:3" ht="13" x14ac:dyDescent="0.15">
      <c r="A378" s="10"/>
      <c r="C378" s="13"/>
    </row>
    <row r="379" spans="1:3" ht="13" x14ac:dyDescent="0.15">
      <c r="A379" s="10"/>
      <c r="C379" s="13"/>
    </row>
    <row r="380" spans="1:3" ht="13" x14ac:dyDescent="0.15">
      <c r="A380" s="10"/>
      <c r="C380" s="13"/>
    </row>
    <row r="381" spans="1:3" ht="13" x14ac:dyDescent="0.15">
      <c r="A381" s="10"/>
      <c r="C381" s="13"/>
    </row>
    <row r="382" spans="1:3" ht="13" x14ac:dyDescent="0.15">
      <c r="A382" s="10"/>
      <c r="C382" s="13"/>
    </row>
    <row r="383" spans="1:3" ht="13" x14ac:dyDescent="0.15">
      <c r="A383" s="10"/>
      <c r="C383" s="13"/>
    </row>
    <row r="384" spans="1:3" ht="13" x14ac:dyDescent="0.15">
      <c r="A384" s="10"/>
      <c r="C384" s="13"/>
    </row>
    <row r="385" spans="1:3" ht="13" x14ac:dyDescent="0.15">
      <c r="A385" s="10"/>
      <c r="C385" s="13"/>
    </row>
    <row r="386" spans="1:3" ht="13" x14ac:dyDescent="0.15">
      <c r="A386" s="10"/>
      <c r="C386" s="13"/>
    </row>
    <row r="387" spans="1:3" ht="13" x14ac:dyDescent="0.15">
      <c r="A387" s="10"/>
      <c r="C387" s="13"/>
    </row>
    <row r="388" spans="1:3" ht="13" x14ac:dyDescent="0.15">
      <c r="A388" s="10"/>
      <c r="C388" s="13"/>
    </row>
    <row r="389" spans="1:3" ht="13" x14ac:dyDescent="0.15">
      <c r="A389" s="10"/>
      <c r="C389" s="13"/>
    </row>
    <row r="390" spans="1:3" ht="13" x14ac:dyDescent="0.15">
      <c r="A390" s="10"/>
      <c r="C390" s="13"/>
    </row>
    <row r="391" spans="1:3" ht="13" x14ac:dyDescent="0.15">
      <c r="A391" s="10"/>
      <c r="C391" s="13"/>
    </row>
    <row r="392" spans="1:3" ht="13" x14ac:dyDescent="0.15">
      <c r="A392" s="10"/>
      <c r="C392" s="13"/>
    </row>
    <row r="393" spans="1:3" ht="13" x14ac:dyDescent="0.15">
      <c r="A393" s="10"/>
      <c r="C393" s="13"/>
    </row>
    <row r="394" spans="1:3" ht="13" x14ac:dyDescent="0.15">
      <c r="A394" s="10"/>
      <c r="C394" s="13"/>
    </row>
    <row r="395" spans="1:3" ht="13" x14ac:dyDescent="0.15">
      <c r="A395" s="10"/>
      <c r="C395" s="13"/>
    </row>
    <row r="396" spans="1:3" ht="13" x14ac:dyDescent="0.15">
      <c r="A396" s="10"/>
      <c r="C396" s="13"/>
    </row>
    <row r="397" spans="1:3" ht="13" x14ac:dyDescent="0.15">
      <c r="A397" s="10"/>
      <c r="C397" s="13"/>
    </row>
    <row r="398" spans="1:3" ht="13" x14ac:dyDescent="0.15">
      <c r="A398" s="10"/>
      <c r="C398" s="13"/>
    </row>
    <row r="399" spans="1:3" ht="13" x14ac:dyDescent="0.15">
      <c r="A399" s="10"/>
      <c r="C399" s="13"/>
    </row>
    <row r="400" spans="1:3" ht="13" x14ac:dyDescent="0.15">
      <c r="A400" s="10"/>
      <c r="C400" s="13"/>
    </row>
    <row r="401" spans="1:3" ht="13" x14ac:dyDescent="0.15">
      <c r="A401" s="10"/>
      <c r="C401" s="13"/>
    </row>
    <row r="402" spans="1:3" ht="13" x14ac:dyDescent="0.15">
      <c r="A402" s="10"/>
      <c r="C402" s="13"/>
    </row>
    <row r="403" spans="1:3" ht="13" x14ac:dyDescent="0.15">
      <c r="A403" s="10"/>
      <c r="C403" s="13"/>
    </row>
    <row r="404" spans="1:3" ht="13" x14ac:dyDescent="0.15">
      <c r="A404" s="10"/>
      <c r="C404" s="13"/>
    </row>
    <row r="405" spans="1:3" ht="13" x14ac:dyDescent="0.15">
      <c r="A405" s="10"/>
      <c r="C405" s="13"/>
    </row>
    <row r="406" spans="1:3" ht="13" x14ac:dyDescent="0.15">
      <c r="A406" s="10"/>
      <c r="C406" s="13"/>
    </row>
    <row r="407" spans="1:3" ht="13" x14ac:dyDescent="0.15">
      <c r="A407" s="10"/>
      <c r="C407" s="13"/>
    </row>
    <row r="408" spans="1:3" ht="13" x14ac:dyDescent="0.15">
      <c r="A408" s="10"/>
      <c r="C408" s="13"/>
    </row>
    <row r="409" spans="1:3" ht="13" x14ac:dyDescent="0.15">
      <c r="A409" s="10"/>
      <c r="C409" s="13"/>
    </row>
    <row r="410" spans="1:3" ht="13" x14ac:dyDescent="0.15">
      <c r="A410" s="10"/>
      <c r="C410" s="13"/>
    </row>
    <row r="411" spans="1:3" ht="13" x14ac:dyDescent="0.15">
      <c r="A411" s="10"/>
      <c r="C411" s="13"/>
    </row>
    <row r="412" spans="1:3" ht="13" x14ac:dyDescent="0.15">
      <c r="A412" s="10"/>
      <c r="C412" s="13"/>
    </row>
    <row r="413" spans="1:3" ht="13" x14ac:dyDescent="0.15">
      <c r="A413" s="10"/>
      <c r="C413" s="13"/>
    </row>
    <row r="414" spans="1:3" ht="13" x14ac:dyDescent="0.15">
      <c r="A414" s="10"/>
      <c r="C414" s="13"/>
    </row>
    <row r="415" spans="1:3" ht="13" x14ac:dyDescent="0.15">
      <c r="A415" s="10"/>
      <c r="C415" s="13"/>
    </row>
    <row r="416" spans="1:3" ht="13" x14ac:dyDescent="0.15">
      <c r="A416" s="10"/>
      <c r="C416" s="13"/>
    </row>
    <row r="417" spans="1:3" ht="13" x14ac:dyDescent="0.15">
      <c r="A417" s="10"/>
      <c r="C417" s="13"/>
    </row>
    <row r="418" spans="1:3" ht="13" x14ac:dyDescent="0.15">
      <c r="A418" s="10"/>
      <c r="C418" s="13"/>
    </row>
    <row r="419" spans="1:3" ht="13" x14ac:dyDescent="0.15">
      <c r="A419" s="10"/>
      <c r="C419" s="13"/>
    </row>
    <row r="420" spans="1:3" ht="13" x14ac:dyDescent="0.15">
      <c r="A420" s="10"/>
      <c r="C420" s="13"/>
    </row>
    <row r="421" spans="1:3" ht="13" x14ac:dyDescent="0.15">
      <c r="A421" s="10"/>
      <c r="C421" s="13"/>
    </row>
    <row r="422" spans="1:3" ht="13" x14ac:dyDescent="0.15">
      <c r="A422" s="10"/>
      <c r="C422" s="13"/>
    </row>
    <row r="423" spans="1:3" ht="13" x14ac:dyDescent="0.15">
      <c r="A423" s="10"/>
      <c r="C423" s="13"/>
    </row>
    <row r="424" spans="1:3" ht="13" x14ac:dyDescent="0.15">
      <c r="A424" s="10"/>
      <c r="C424" s="13"/>
    </row>
    <row r="425" spans="1:3" ht="13" x14ac:dyDescent="0.15">
      <c r="A425" s="10"/>
      <c r="C425" s="13"/>
    </row>
    <row r="426" spans="1:3" ht="13" x14ac:dyDescent="0.15">
      <c r="A426" s="10"/>
      <c r="C426" s="13"/>
    </row>
    <row r="427" spans="1:3" ht="13" x14ac:dyDescent="0.15">
      <c r="A427" s="10"/>
      <c r="C427" s="13"/>
    </row>
    <row r="428" spans="1:3" ht="13" x14ac:dyDescent="0.15">
      <c r="A428" s="10"/>
      <c r="C428" s="13"/>
    </row>
    <row r="429" spans="1:3" ht="13" x14ac:dyDescent="0.15">
      <c r="A429" s="10"/>
      <c r="C429" s="13"/>
    </row>
    <row r="430" spans="1:3" ht="13" x14ac:dyDescent="0.15">
      <c r="A430" s="10"/>
      <c r="C430" s="13"/>
    </row>
    <row r="431" spans="1:3" ht="13" x14ac:dyDescent="0.15">
      <c r="A431" s="10"/>
      <c r="C431" s="13"/>
    </row>
    <row r="432" spans="1:3" ht="13" x14ac:dyDescent="0.15">
      <c r="A432" s="10"/>
      <c r="C432" s="13"/>
    </row>
    <row r="433" spans="1:3" ht="13" x14ac:dyDescent="0.15">
      <c r="A433" s="10"/>
      <c r="C433" s="13"/>
    </row>
    <row r="434" spans="1:3" ht="13" x14ac:dyDescent="0.15">
      <c r="A434" s="10"/>
      <c r="C434" s="13"/>
    </row>
    <row r="435" spans="1:3" ht="13" x14ac:dyDescent="0.15">
      <c r="A435" s="10"/>
      <c r="C435" s="13"/>
    </row>
    <row r="436" spans="1:3" ht="13" x14ac:dyDescent="0.15">
      <c r="A436" s="10"/>
      <c r="C436" s="13"/>
    </row>
    <row r="437" spans="1:3" ht="13" x14ac:dyDescent="0.15">
      <c r="A437" s="10"/>
      <c r="C437" s="13"/>
    </row>
    <row r="438" spans="1:3" ht="13" x14ac:dyDescent="0.15">
      <c r="A438" s="10"/>
      <c r="C438" s="13"/>
    </row>
    <row r="439" spans="1:3" ht="13" x14ac:dyDescent="0.15">
      <c r="A439" s="10"/>
      <c r="C439" s="13"/>
    </row>
    <row r="440" spans="1:3" ht="13" x14ac:dyDescent="0.15">
      <c r="A440" s="10"/>
      <c r="C440" s="13"/>
    </row>
    <row r="441" spans="1:3" ht="13" x14ac:dyDescent="0.15">
      <c r="A441" s="10"/>
      <c r="C441" s="13"/>
    </row>
    <row r="442" spans="1:3" ht="13" x14ac:dyDescent="0.15">
      <c r="A442" s="10"/>
      <c r="C442" s="13"/>
    </row>
    <row r="443" spans="1:3" ht="13" x14ac:dyDescent="0.15">
      <c r="A443" s="10"/>
      <c r="C443" s="13"/>
    </row>
    <row r="444" spans="1:3" ht="13" x14ac:dyDescent="0.15">
      <c r="A444" s="10"/>
      <c r="C444" s="13"/>
    </row>
    <row r="445" spans="1:3" ht="13" x14ac:dyDescent="0.15">
      <c r="A445" s="10"/>
      <c r="C445" s="13"/>
    </row>
    <row r="446" spans="1:3" ht="13" x14ac:dyDescent="0.15">
      <c r="A446" s="10"/>
      <c r="C446" s="13"/>
    </row>
    <row r="447" spans="1:3" ht="13" x14ac:dyDescent="0.15">
      <c r="A447" s="10"/>
      <c r="C447" s="13"/>
    </row>
    <row r="448" spans="1:3" ht="13" x14ac:dyDescent="0.15">
      <c r="A448" s="10"/>
      <c r="C448" s="13"/>
    </row>
    <row r="449" spans="1:3" ht="13" x14ac:dyDescent="0.15">
      <c r="A449" s="10"/>
      <c r="C449" s="13"/>
    </row>
    <row r="450" spans="1:3" ht="13" x14ac:dyDescent="0.15">
      <c r="A450" s="10"/>
      <c r="C450" s="13"/>
    </row>
    <row r="451" spans="1:3" ht="13" x14ac:dyDescent="0.15">
      <c r="A451" s="10"/>
      <c r="C451" s="13"/>
    </row>
    <row r="452" spans="1:3" ht="13" x14ac:dyDescent="0.15">
      <c r="A452" s="10"/>
      <c r="C452" s="13"/>
    </row>
    <row r="453" spans="1:3" ht="13" x14ac:dyDescent="0.15">
      <c r="A453" s="10"/>
      <c r="C453" s="13"/>
    </row>
    <row r="454" spans="1:3" ht="13" x14ac:dyDescent="0.15">
      <c r="A454" s="10"/>
      <c r="C454" s="13"/>
    </row>
    <row r="455" spans="1:3" ht="13" x14ac:dyDescent="0.15">
      <c r="A455" s="10"/>
      <c r="C455" s="13"/>
    </row>
    <row r="456" spans="1:3" ht="13" x14ac:dyDescent="0.15">
      <c r="A456" s="10"/>
      <c r="C456" s="13"/>
    </row>
    <row r="457" spans="1:3" ht="13" x14ac:dyDescent="0.15">
      <c r="A457" s="10"/>
      <c r="C457" s="13"/>
    </row>
    <row r="458" spans="1:3" ht="13" x14ac:dyDescent="0.15">
      <c r="A458" s="10"/>
      <c r="C458" s="13"/>
    </row>
    <row r="459" spans="1:3" ht="13" x14ac:dyDescent="0.15">
      <c r="A459" s="10"/>
      <c r="C459" s="13"/>
    </row>
    <row r="460" spans="1:3" ht="13" x14ac:dyDescent="0.15">
      <c r="A460" s="10"/>
      <c r="C460" s="13"/>
    </row>
    <row r="461" spans="1:3" ht="13" x14ac:dyDescent="0.15">
      <c r="A461" s="10"/>
      <c r="C461" s="13"/>
    </row>
    <row r="462" spans="1:3" ht="13" x14ac:dyDescent="0.15">
      <c r="A462" s="10"/>
      <c r="C462" s="13"/>
    </row>
    <row r="463" spans="1:3" ht="13" x14ac:dyDescent="0.15">
      <c r="A463" s="10"/>
      <c r="C463" s="13"/>
    </row>
    <row r="464" spans="1:3" ht="13" x14ac:dyDescent="0.15">
      <c r="A464" s="10"/>
      <c r="C464" s="13"/>
    </row>
    <row r="465" spans="1:3" ht="13" x14ac:dyDescent="0.15">
      <c r="A465" s="10"/>
      <c r="C465" s="13"/>
    </row>
    <row r="466" spans="1:3" ht="13" x14ac:dyDescent="0.15">
      <c r="A466" s="10"/>
      <c r="C466" s="13"/>
    </row>
    <row r="467" spans="1:3" ht="13" x14ac:dyDescent="0.15">
      <c r="A467" s="10"/>
      <c r="C467" s="13"/>
    </row>
    <row r="468" spans="1:3" ht="13" x14ac:dyDescent="0.15">
      <c r="A468" s="10"/>
      <c r="C468" s="13"/>
    </row>
    <row r="469" spans="1:3" ht="13" x14ac:dyDescent="0.15">
      <c r="A469" s="10"/>
      <c r="C469" s="13"/>
    </row>
    <row r="470" spans="1:3" ht="13" x14ac:dyDescent="0.15">
      <c r="A470" s="10"/>
      <c r="C470" s="13"/>
    </row>
    <row r="471" spans="1:3" ht="13" x14ac:dyDescent="0.15">
      <c r="A471" s="10"/>
      <c r="C471" s="13"/>
    </row>
    <row r="472" spans="1:3" ht="13" x14ac:dyDescent="0.15">
      <c r="A472" s="10"/>
      <c r="C472" s="13"/>
    </row>
    <row r="473" spans="1:3" ht="13" x14ac:dyDescent="0.15">
      <c r="A473" s="10"/>
      <c r="C473" s="13"/>
    </row>
    <row r="474" spans="1:3" ht="13" x14ac:dyDescent="0.15">
      <c r="A474" s="10"/>
      <c r="C474" s="13"/>
    </row>
    <row r="475" spans="1:3" ht="13" x14ac:dyDescent="0.15">
      <c r="A475" s="10"/>
      <c r="C475" s="13"/>
    </row>
    <row r="476" spans="1:3" ht="13" x14ac:dyDescent="0.15">
      <c r="A476" s="10"/>
      <c r="C476" s="13"/>
    </row>
    <row r="477" spans="1:3" ht="13" x14ac:dyDescent="0.15">
      <c r="A477" s="10"/>
      <c r="C477" s="13"/>
    </row>
    <row r="478" spans="1:3" ht="13" x14ac:dyDescent="0.15">
      <c r="A478" s="10"/>
      <c r="C478" s="13"/>
    </row>
    <row r="479" spans="1:3" ht="13" x14ac:dyDescent="0.15">
      <c r="A479" s="10"/>
      <c r="C479" s="13"/>
    </row>
    <row r="480" spans="1:3" ht="13" x14ac:dyDescent="0.15">
      <c r="A480" s="10"/>
      <c r="C480" s="13"/>
    </row>
    <row r="481" spans="1:3" ht="13" x14ac:dyDescent="0.15">
      <c r="A481" s="10"/>
      <c r="C481" s="13"/>
    </row>
    <row r="482" spans="1:3" ht="13" x14ac:dyDescent="0.15">
      <c r="A482" s="10"/>
      <c r="C482" s="13"/>
    </row>
    <row r="483" spans="1:3" ht="13" x14ac:dyDescent="0.15">
      <c r="A483" s="10"/>
      <c r="C483" s="13"/>
    </row>
    <row r="484" spans="1:3" ht="13" x14ac:dyDescent="0.15">
      <c r="A484" s="10"/>
      <c r="C484" s="13"/>
    </row>
    <row r="485" spans="1:3" ht="13" x14ac:dyDescent="0.15">
      <c r="A485" s="10"/>
      <c r="C485" s="13"/>
    </row>
    <row r="486" spans="1:3" ht="13" x14ac:dyDescent="0.15">
      <c r="A486" s="10"/>
      <c r="C486" s="13"/>
    </row>
    <row r="487" spans="1:3" ht="13" x14ac:dyDescent="0.15">
      <c r="A487" s="10"/>
      <c r="C487" s="13"/>
    </row>
    <row r="488" spans="1:3" ht="13" x14ac:dyDescent="0.15">
      <c r="A488" s="10"/>
      <c r="C488" s="13"/>
    </row>
    <row r="489" spans="1:3" ht="13" x14ac:dyDescent="0.15">
      <c r="A489" s="10"/>
      <c r="C489" s="13"/>
    </row>
    <row r="490" spans="1:3" ht="13" x14ac:dyDescent="0.15">
      <c r="A490" s="10"/>
      <c r="C490" s="13"/>
    </row>
    <row r="491" spans="1:3" ht="13" x14ac:dyDescent="0.15">
      <c r="A491" s="10"/>
      <c r="C491" s="13"/>
    </row>
    <row r="492" spans="1:3" ht="13" x14ac:dyDescent="0.15">
      <c r="A492" s="10"/>
      <c r="C492" s="13"/>
    </row>
    <row r="493" spans="1:3" ht="13" x14ac:dyDescent="0.15">
      <c r="A493" s="10"/>
      <c r="C493" s="13"/>
    </row>
    <row r="494" spans="1:3" ht="13" x14ac:dyDescent="0.15">
      <c r="A494" s="10"/>
      <c r="C494" s="13"/>
    </row>
    <row r="495" spans="1:3" ht="13" x14ac:dyDescent="0.15">
      <c r="A495" s="10"/>
      <c r="C495" s="13"/>
    </row>
    <row r="496" spans="1:3" ht="13" x14ac:dyDescent="0.15">
      <c r="A496" s="10"/>
      <c r="C496" s="13"/>
    </row>
    <row r="497" spans="1:3" ht="13" x14ac:dyDescent="0.15">
      <c r="A497" s="10"/>
      <c r="C497" s="13"/>
    </row>
    <row r="498" spans="1:3" ht="13" x14ac:dyDescent="0.15">
      <c r="A498" s="10"/>
      <c r="C498" s="13"/>
    </row>
    <row r="499" spans="1:3" ht="13" x14ac:dyDescent="0.15">
      <c r="A499" s="10"/>
      <c r="C499" s="13"/>
    </row>
    <row r="500" spans="1:3" ht="13" x14ac:dyDescent="0.15">
      <c r="A500" s="10"/>
      <c r="C500" s="13"/>
    </row>
    <row r="501" spans="1:3" ht="13" x14ac:dyDescent="0.15">
      <c r="A501" s="10"/>
      <c r="C501" s="13"/>
    </row>
    <row r="502" spans="1:3" ht="13" x14ac:dyDescent="0.15">
      <c r="A502" s="10"/>
      <c r="C502" s="13"/>
    </row>
    <row r="503" spans="1:3" ht="13" x14ac:dyDescent="0.15">
      <c r="A503" s="10"/>
      <c r="C503" s="13"/>
    </row>
    <row r="504" spans="1:3" ht="13" x14ac:dyDescent="0.15">
      <c r="A504" s="10"/>
      <c r="C504" s="13"/>
    </row>
    <row r="505" spans="1:3" ht="13" x14ac:dyDescent="0.15">
      <c r="A505" s="10"/>
      <c r="C505" s="13"/>
    </row>
    <row r="506" spans="1:3" ht="13" x14ac:dyDescent="0.15">
      <c r="A506" s="10"/>
      <c r="C506" s="13"/>
    </row>
    <row r="507" spans="1:3" ht="13" x14ac:dyDescent="0.15">
      <c r="A507" s="10"/>
      <c r="C507" s="13"/>
    </row>
    <row r="508" spans="1:3" ht="13" x14ac:dyDescent="0.15">
      <c r="A508" s="10"/>
      <c r="C508" s="13"/>
    </row>
    <row r="509" spans="1:3" ht="13" x14ac:dyDescent="0.15">
      <c r="A509" s="10"/>
      <c r="C509" s="13"/>
    </row>
    <row r="510" spans="1:3" ht="13" x14ac:dyDescent="0.15">
      <c r="A510" s="10"/>
      <c r="C510" s="13"/>
    </row>
    <row r="511" spans="1:3" ht="13" x14ac:dyDescent="0.15">
      <c r="A511" s="10"/>
      <c r="C511" s="13"/>
    </row>
    <row r="512" spans="1:3" ht="13" x14ac:dyDescent="0.15">
      <c r="A512" s="10"/>
      <c r="C512" s="13"/>
    </row>
    <row r="513" spans="1:3" ht="13" x14ac:dyDescent="0.15">
      <c r="A513" s="10"/>
      <c r="C513" s="13"/>
    </row>
    <row r="514" spans="1:3" ht="13" x14ac:dyDescent="0.15">
      <c r="A514" s="10"/>
      <c r="C514" s="13"/>
    </row>
    <row r="515" spans="1:3" ht="13" x14ac:dyDescent="0.15">
      <c r="A515" s="10"/>
      <c r="C515" s="13"/>
    </row>
    <row r="516" spans="1:3" ht="13" x14ac:dyDescent="0.15">
      <c r="A516" s="10"/>
      <c r="C516" s="13"/>
    </row>
    <row r="517" spans="1:3" ht="13" x14ac:dyDescent="0.15">
      <c r="A517" s="10"/>
      <c r="C517" s="13"/>
    </row>
    <row r="518" spans="1:3" ht="13" x14ac:dyDescent="0.15">
      <c r="A518" s="10"/>
      <c r="C518" s="13"/>
    </row>
    <row r="519" spans="1:3" ht="13" x14ac:dyDescent="0.15">
      <c r="A519" s="10"/>
      <c r="C519" s="13"/>
    </row>
    <row r="520" spans="1:3" ht="13" x14ac:dyDescent="0.15">
      <c r="A520" s="10"/>
      <c r="C520" s="13"/>
    </row>
    <row r="521" spans="1:3" ht="13" x14ac:dyDescent="0.15">
      <c r="A521" s="10"/>
      <c r="C521" s="13"/>
    </row>
    <row r="522" spans="1:3" ht="13" x14ac:dyDescent="0.15">
      <c r="A522" s="10"/>
      <c r="C522" s="13"/>
    </row>
    <row r="523" spans="1:3" ht="13" x14ac:dyDescent="0.15">
      <c r="A523" s="10"/>
      <c r="C523" s="13"/>
    </row>
    <row r="524" spans="1:3" ht="13" x14ac:dyDescent="0.15">
      <c r="A524" s="10"/>
      <c r="C524" s="13"/>
    </row>
    <row r="525" spans="1:3" ht="13" x14ac:dyDescent="0.15">
      <c r="A525" s="10"/>
      <c r="C525" s="13"/>
    </row>
    <row r="526" spans="1:3" ht="13" x14ac:dyDescent="0.15">
      <c r="A526" s="10"/>
      <c r="C526" s="13"/>
    </row>
    <row r="527" spans="1:3" ht="13" x14ac:dyDescent="0.15">
      <c r="A527" s="10"/>
      <c r="C527" s="13"/>
    </row>
    <row r="528" spans="1:3" ht="13" x14ac:dyDescent="0.15">
      <c r="A528" s="10"/>
      <c r="C528" s="13"/>
    </row>
    <row r="529" spans="1:3" ht="13" x14ac:dyDescent="0.15">
      <c r="A529" s="10"/>
      <c r="C529" s="13"/>
    </row>
    <row r="530" spans="1:3" ht="13" x14ac:dyDescent="0.15">
      <c r="A530" s="10"/>
      <c r="C530" s="13"/>
    </row>
    <row r="531" spans="1:3" ht="13" x14ac:dyDescent="0.15">
      <c r="A531" s="10"/>
      <c r="C531" s="13"/>
    </row>
    <row r="532" spans="1:3" ht="13" x14ac:dyDescent="0.15">
      <c r="A532" s="10"/>
      <c r="C532" s="13"/>
    </row>
    <row r="533" spans="1:3" ht="13" x14ac:dyDescent="0.15">
      <c r="A533" s="10"/>
      <c r="C533" s="13"/>
    </row>
    <row r="534" spans="1:3" ht="13" x14ac:dyDescent="0.15">
      <c r="A534" s="10"/>
      <c r="C534" s="13"/>
    </row>
    <row r="535" spans="1:3" ht="13" x14ac:dyDescent="0.15">
      <c r="A535" s="10"/>
      <c r="C535" s="13"/>
    </row>
    <row r="536" spans="1:3" ht="13" x14ac:dyDescent="0.15">
      <c r="A536" s="10"/>
      <c r="C536" s="13"/>
    </row>
    <row r="537" spans="1:3" ht="13" x14ac:dyDescent="0.15">
      <c r="A537" s="10"/>
      <c r="C537" s="13"/>
    </row>
    <row r="538" spans="1:3" ht="13" x14ac:dyDescent="0.15">
      <c r="A538" s="10"/>
      <c r="C538" s="13"/>
    </row>
    <row r="539" spans="1:3" ht="13" x14ac:dyDescent="0.15">
      <c r="A539" s="10"/>
      <c r="C539" s="13"/>
    </row>
    <row r="540" spans="1:3" ht="13" x14ac:dyDescent="0.15">
      <c r="A540" s="10"/>
      <c r="C540" s="13"/>
    </row>
    <row r="541" spans="1:3" ht="13" x14ac:dyDescent="0.15">
      <c r="A541" s="10"/>
      <c r="C541" s="13"/>
    </row>
    <row r="542" spans="1:3" ht="13" x14ac:dyDescent="0.15">
      <c r="A542" s="10"/>
      <c r="C542" s="13"/>
    </row>
    <row r="543" spans="1:3" ht="13" x14ac:dyDescent="0.15">
      <c r="A543" s="10"/>
      <c r="C543" s="13"/>
    </row>
    <row r="544" spans="1:3" ht="13" x14ac:dyDescent="0.15">
      <c r="A544" s="10"/>
      <c r="C544" s="13"/>
    </row>
    <row r="545" spans="1:3" ht="13" x14ac:dyDescent="0.15">
      <c r="A545" s="10"/>
      <c r="C545" s="13"/>
    </row>
    <row r="546" spans="1:3" ht="13" x14ac:dyDescent="0.15">
      <c r="A546" s="10"/>
      <c r="C546" s="13"/>
    </row>
    <row r="547" spans="1:3" ht="13" x14ac:dyDescent="0.15">
      <c r="A547" s="10"/>
      <c r="C547" s="13"/>
    </row>
    <row r="548" spans="1:3" ht="13" x14ac:dyDescent="0.15">
      <c r="A548" s="10"/>
      <c r="C548" s="13"/>
    </row>
    <row r="549" spans="1:3" ht="13" x14ac:dyDescent="0.15">
      <c r="A549" s="10"/>
      <c r="C549" s="13"/>
    </row>
    <row r="550" spans="1:3" ht="13" x14ac:dyDescent="0.15">
      <c r="A550" s="10"/>
      <c r="C550" s="13"/>
    </row>
    <row r="551" spans="1:3" ht="13" x14ac:dyDescent="0.15">
      <c r="A551" s="10"/>
      <c r="C551" s="13"/>
    </row>
    <row r="552" spans="1:3" ht="13" x14ac:dyDescent="0.15">
      <c r="A552" s="10"/>
      <c r="C552" s="13"/>
    </row>
    <row r="553" spans="1:3" ht="13" x14ac:dyDescent="0.15">
      <c r="A553" s="10"/>
      <c r="C553" s="13"/>
    </row>
    <row r="554" spans="1:3" ht="13" x14ac:dyDescent="0.15">
      <c r="A554" s="10"/>
      <c r="C554" s="13"/>
    </row>
    <row r="555" spans="1:3" ht="13" x14ac:dyDescent="0.15">
      <c r="A555" s="10"/>
      <c r="C555" s="13"/>
    </row>
    <row r="556" spans="1:3" ht="13" x14ac:dyDescent="0.15">
      <c r="A556" s="10"/>
      <c r="C556" s="13"/>
    </row>
    <row r="557" spans="1:3" ht="13" x14ac:dyDescent="0.15">
      <c r="A557" s="10"/>
      <c r="C557" s="13"/>
    </row>
    <row r="558" spans="1:3" ht="13" x14ac:dyDescent="0.15">
      <c r="A558" s="10"/>
      <c r="C558" s="13"/>
    </row>
    <row r="559" spans="1:3" ht="13" x14ac:dyDescent="0.15">
      <c r="A559" s="10"/>
      <c r="C559" s="13"/>
    </row>
    <row r="560" spans="1:3" ht="13" x14ac:dyDescent="0.15">
      <c r="A560" s="10"/>
      <c r="C560" s="13"/>
    </row>
    <row r="561" spans="1:3" ht="13" x14ac:dyDescent="0.15">
      <c r="A561" s="10"/>
      <c r="C561" s="13"/>
    </row>
    <row r="562" spans="1:3" ht="13" x14ac:dyDescent="0.15">
      <c r="A562" s="10"/>
      <c r="C562" s="13"/>
    </row>
    <row r="563" spans="1:3" ht="13" x14ac:dyDescent="0.15">
      <c r="A563" s="10"/>
      <c r="C563" s="13"/>
    </row>
    <row r="564" spans="1:3" ht="13" x14ac:dyDescent="0.15">
      <c r="A564" s="10"/>
      <c r="C564" s="13"/>
    </row>
    <row r="565" spans="1:3" ht="13" x14ac:dyDescent="0.15">
      <c r="A565" s="10"/>
      <c r="C565" s="13"/>
    </row>
    <row r="566" spans="1:3" ht="13" x14ac:dyDescent="0.15">
      <c r="A566" s="10"/>
      <c r="C566" s="13"/>
    </row>
    <row r="567" spans="1:3" ht="13" x14ac:dyDescent="0.15">
      <c r="A567" s="10"/>
      <c r="C567" s="13"/>
    </row>
    <row r="568" spans="1:3" ht="13" x14ac:dyDescent="0.15">
      <c r="A568" s="10"/>
      <c r="C568" s="13"/>
    </row>
    <row r="569" spans="1:3" ht="13" x14ac:dyDescent="0.15">
      <c r="A569" s="10"/>
      <c r="C569" s="13"/>
    </row>
    <row r="570" spans="1:3" ht="13" x14ac:dyDescent="0.15">
      <c r="A570" s="10"/>
      <c r="C570" s="13"/>
    </row>
    <row r="571" spans="1:3" ht="13" x14ac:dyDescent="0.15">
      <c r="A571" s="10"/>
      <c r="C571" s="13"/>
    </row>
    <row r="572" spans="1:3" ht="13" x14ac:dyDescent="0.15">
      <c r="A572" s="10"/>
      <c r="C572" s="13"/>
    </row>
    <row r="573" spans="1:3" ht="13" x14ac:dyDescent="0.15">
      <c r="A573" s="10"/>
      <c r="C573" s="13"/>
    </row>
    <row r="574" spans="1:3" ht="13" x14ac:dyDescent="0.15">
      <c r="A574" s="10"/>
      <c r="C574" s="13"/>
    </row>
    <row r="575" spans="1:3" ht="13" x14ac:dyDescent="0.15">
      <c r="A575" s="10"/>
      <c r="C575" s="13"/>
    </row>
    <row r="576" spans="1:3" ht="13" x14ac:dyDescent="0.15">
      <c r="A576" s="10"/>
      <c r="C576" s="13"/>
    </row>
    <row r="577" spans="1:3" ht="13" x14ac:dyDescent="0.15">
      <c r="A577" s="10"/>
      <c r="C577" s="13"/>
    </row>
    <row r="578" spans="1:3" ht="13" x14ac:dyDescent="0.15">
      <c r="A578" s="10"/>
      <c r="C578" s="13"/>
    </row>
    <row r="579" spans="1:3" ht="13" x14ac:dyDescent="0.15">
      <c r="A579" s="10"/>
      <c r="C579" s="13"/>
    </row>
    <row r="580" spans="1:3" ht="13" x14ac:dyDescent="0.15">
      <c r="A580" s="10"/>
      <c r="C580" s="13"/>
    </row>
    <row r="581" spans="1:3" ht="13" x14ac:dyDescent="0.15">
      <c r="A581" s="10"/>
      <c r="C581" s="13"/>
    </row>
    <row r="582" spans="1:3" ht="13" x14ac:dyDescent="0.15">
      <c r="A582" s="10"/>
      <c r="C582" s="13"/>
    </row>
    <row r="583" spans="1:3" ht="13" x14ac:dyDescent="0.15">
      <c r="A583" s="10"/>
      <c r="C583" s="13"/>
    </row>
    <row r="584" spans="1:3" ht="13" x14ac:dyDescent="0.15">
      <c r="A584" s="10"/>
      <c r="C584" s="13"/>
    </row>
    <row r="585" spans="1:3" ht="13" x14ac:dyDescent="0.15">
      <c r="A585" s="10"/>
      <c r="C585" s="13"/>
    </row>
    <row r="586" spans="1:3" ht="13" x14ac:dyDescent="0.15">
      <c r="A586" s="10"/>
      <c r="C586" s="13"/>
    </row>
    <row r="587" spans="1:3" ht="13" x14ac:dyDescent="0.15">
      <c r="A587" s="10"/>
      <c r="C587" s="13"/>
    </row>
    <row r="588" spans="1:3" ht="13" x14ac:dyDescent="0.15">
      <c r="A588" s="10"/>
      <c r="C588" s="13"/>
    </row>
    <row r="589" spans="1:3" ht="13" x14ac:dyDescent="0.15">
      <c r="A589" s="10"/>
      <c r="C589" s="13"/>
    </row>
    <row r="590" spans="1:3" ht="13" x14ac:dyDescent="0.15">
      <c r="A590" s="10"/>
      <c r="C590" s="13"/>
    </row>
    <row r="591" spans="1:3" ht="13" x14ac:dyDescent="0.15">
      <c r="A591" s="10"/>
      <c r="C591" s="13"/>
    </row>
    <row r="592" spans="1:3" ht="13" x14ac:dyDescent="0.15">
      <c r="A592" s="10"/>
      <c r="C592" s="13"/>
    </row>
    <row r="593" spans="1:3" ht="13" x14ac:dyDescent="0.15">
      <c r="A593" s="10"/>
      <c r="C593" s="13"/>
    </row>
    <row r="594" spans="1:3" ht="13" x14ac:dyDescent="0.15">
      <c r="A594" s="10"/>
      <c r="C594" s="13"/>
    </row>
    <row r="595" spans="1:3" ht="13" x14ac:dyDescent="0.15">
      <c r="A595" s="10"/>
      <c r="C595" s="13"/>
    </row>
    <row r="596" spans="1:3" ht="13" x14ac:dyDescent="0.15">
      <c r="A596" s="10"/>
      <c r="C596" s="13"/>
    </row>
    <row r="597" spans="1:3" ht="13" x14ac:dyDescent="0.15">
      <c r="A597" s="10"/>
      <c r="C597" s="13"/>
    </row>
    <row r="598" spans="1:3" ht="13" x14ac:dyDescent="0.15">
      <c r="A598" s="10"/>
      <c r="C598" s="13"/>
    </row>
    <row r="599" spans="1:3" ht="13" x14ac:dyDescent="0.15">
      <c r="A599" s="10"/>
      <c r="C599" s="13"/>
    </row>
    <row r="600" spans="1:3" ht="13" x14ac:dyDescent="0.15">
      <c r="A600" s="10"/>
      <c r="C600" s="13"/>
    </row>
    <row r="601" spans="1:3" ht="13" x14ac:dyDescent="0.15">
      <c r="A601" s="10"/>
      <c r="C601" s="13"/>
    </row>
    <row r="602" spans="1:3" ht="13" x14ac:dyDescent="0.15">
      <c r="A602" s="10"/>
      <c r="C602" s="13"/>
    </row>
    <row r="603" spans="1:3" ht="13" x14ac:dyDescent="0.15">
      <c r="A603" s="10"/>
      <c r="C603" s="13"/>
    </row>
    <row r="604" spans="1:3" ht="13" x14ac:dyDescent="0.15">
      <c r="A604" s="10"/>
      <c r="C604" s="13"/>
    </row>
    <row r="605" spans="1:3" ht="13" x14ac:dyDescent="0.15">
      <c r="A605" s="10"/>
      <c r="C605" s="13"/>
    </row>
    <row r="606" spans="1:3" ht="13" x14ac:dyDescent="0.15">
      <c r="A606" s="10"/>
      <c r="C606" s="13"/>
    </row>
    <row r="607" spans="1:3" ht="13" x14ac:dyDescent="0.15">
      <c r="A607" s="10"/>
      <c r="C607" s="13"/>
    </row>
    <row r="608" spans="1:3" ht="13" x14ac:dyDescent="0.15">
      <c r="A608" s="10"/>
      <c r="C608" s="13"/>
    </row>
    <row r="609" spans="1:3" ht="13" x14ac:dyDescent="0.15">
      <c r="A609" s="10"/>
      <c r="C609" s="13"/>
    </row>
    <row r="610" spans="1:3" ht="13" x14ac:dyDescent="0.15">
      <c r="A610" s="10"/>
      <c r="C610" s="13"/>
    </row>
    <row r="611" spans="1:3" ht="13" x14ac:dyDescent="0.15">
      <c r="A611" s="10"/>
      <c r="C611" s="13"/>
    </row>
    <row r="612" spans="1:3" ht="13" x14ac:dyDescent="0.15">
      <c r="A612" s="10"/>
      <c r="C612" s="13"/>
    </row>
    <row r="613" spans="1:3" ht="13" x14ac:dyDescent="0.15">
      <c r="A613" s="10"/>
      <c r="C613" s="13"/>
    </row>
    <row r="614" spans="1:3" ht="13" x14ac:dyDescent="0.15">
      <c r="A614" s="10"/>
      <c r="C614" s="13"/>
    </row>
    <row r="615" spans="1:3" ht="13" x14ac:dyDescent="0.15">
      <c r="A615" s="10"/>
      <c r="C615" s="13"/>
    </row>
    <row r="616" spans="1:3" ht="13" x14ac:dyDescent="0.15">
      <c r="A616" s="10"/>
      <c r="C616" s="13"/>
    </row>
    <row r="617" spans="1:3" ht="13" x14ac:dyDescent="0.15">
      <c r="A617" s="10"/>
      <c r="C617" s="13"/>
    </row>
    <row r="618" spans="1:3" ht="13" x14ac:dyDescent="0.15">
      <c r="A618" s="10"/>
      <c r="C618" s="13"/>
    </row>
    <row r="619" spans="1:3" ht="13" x14ac:dyDescent="0.15">
      <c r="A619" s="10"/>
      <c r="C619" s="13"/>
    </row>
    <row r="620" spans="1:3" ht="13" x14ac:dyDescent="0.15">
      <c r="A620" s="10"/>
      <c r="C620" s="13"/>
    </row>
    <row r="621" spans="1:3" ht="13" x14ac:dyDescent="0.15">
      <c r="A621" s="10"/>
      <c r="C621" s="13"/>
    </row>
    <row r="622" spans="1:3" ht="13" x14ac:dyDescent="0.15">
      <c r="A622" s="10"/>
      <c r="C622" s="13"/>
    </row>
    <row r="623" spans="1:3" ht="13" x14ac:dyDescent="0.15">
      <c r="A623" s="10"/>
      <c r="C623" s="13"/>
    </row>
    <row r="624" spans="1:3" ht="13" x14ac:dyDescent="0.15">
      <c r="A624" s="10"/>
      <c r="C624" s="13"/>
    </row>
    <row r="625" spans="1:3" ht="13" x14ac:dyDescent="0.15">
      <c r="A625" s="10"/>
      <c r="C625" s="13"/>
    </row>
    <row r="626" spans="1:3" ht="13" x14ac:dyDescent="0.15">
      <c r="A626" s="10"/>
      <c r="C626" s="13"/>
    </row>
    <row r="627" spans="1:3" ht="13" x14ac:dyDescent="0.15">
      <c r="A627" s="10"/>
      <c r="C627" s="13"/>
    </row>
    <row r="628" spans="1:3" ht="13" x14ac:dyDescent="0.15">
      <c r="A628" s="10"/>
      <c r="C628" s="13"/>
    </row>
    <row r="629" spans="1:3" ht="13" x14ac:dyDescent="0.15">
      <c r="A629" s="10"/>
      <c r="C629" s="13"/>
    </row>
    <row r="630" spans="1:3" ht="13" x14ac:dyDescent="0.15">
      <c r="A630" s="10"/>
      <c r="C630" s="13"/>
    </row>
    <row r="631" spans="1:3" ht="13" x14ac:dyDescent="0.15">
      <c r="A631" s="10"/>
      <c r="C631" s="13"/>
    </row>
    <row r="632" spans="1:3" ht="13" x14ac:dyDescent="0.15">
      <c r="A632" s="10"/>
      <c r="C632" s="13"/>
    </row>
    <row r="633" spans="1:3" ht="13" x14ac:dyDescent="0.15">
      <c r="A633" s="10"/>
      <c r="C633" s="13"/>
    </row>
    <row r="634" spans="1:3" ht="13" x14ac:dyDescent="0.15">
      <c r="A634" s="10"/>
      <c r="C634" s="13"/>
    </row>
    <row r="635" spans="1:3" ht="13" x14ac:dyDescent="0.15">
      <c r="A635" s="10"/>
      <c r="C635" s="13"/>
    </row>
    <row r="636" spans="1:3" ht="13" x14ac:dyDescent="0.15">
      <c r="A636" s="10"/>
      <c r="C636" s="13"/>
    </row>
    <row r="637" spans="1:3" ht="13" x14ac:dyDescent="0.15">
      <c r="A637" s="10"/>
      <c r="C637" s="13"/>
    </row>
    <row r="638" spans="1:3" ht="13" x14ac:dyDescent="0.15">
      <c r="A638" s="10"/>
      <c r="C638" s="13"/>
    </row>
    <row r="639" spans="1:3" ht="13" x14ac:dyDescent="0.15">
      <c r="A639" s="10"/>
      <c r="C639" s="13"/>
    </row>
    <row r="640" spans="1:3" ht="13" x14ac:dyDescent="0.15">
      <c r="A640" s="10"/>
      <c r="C640" s="13"/>
    </row>
    <row r="641" spans="1:3" ht="13" x14ac:dyDescent="0.15">
      <c r="A641" s="10"/>
      <c r="C641" s="13"/>
    </row>
    <row r="642" spans="1:3" ht="13" x14ac:dyDescent="0.15">
      <c r="A642" s="10"/>
      <c r="C642" s="13"/>
    </row>
    <row r="643" spans="1:3" ht="13" x14ac:dyDescent="0.15">
      <c r="A643" s="10"/>
      <c r="C643" s="13"/>
    </row>
    <row r="644" spans="1:3" ht="13" x14ac:dyDescent="0.15">
      <c r="A644" s="10"/>
      <c r="C644" s="13"/>
    </row>
    <row r="645" spans="1:3" ht="13" x14ac:dyDescent="0.15">
      <c r="A645" s="10"/>
      <c r="C645" s="13"/>
    </row>
    <row r="646" spans="1:3" ht="13" x14ac:dyDescent="0.15">
      <c r="A646" s="10"/>
      <c r="C646" s="13"/>
    </row>
    <row r="647" spans="1:3" ht="13" x14ac:dyDescent="0.15">
      <c r="A647" s="10"/>
      <c r="C647" s="13"/>
    </row>
    <row r="648" spans="1:3" ht="13" x14ac:dyDescent="0.15">
      <c r="A648" s="10"/>
      <c r="C648" s="13"/>
    </row>
    <row r="649" spans="1:3" ht="13" x14ac:dyDescent="0.15">
      <c r="A649" s="10"/>
      <c r="C649" s="13"/>
    </row>
    <row r="650" spans="1:3" ht="13" x14ac:dyDescent="0.15">
      <c r="A650" s="10"/>
      <c r="C650" s="13"/>
    </row>
    <row r="651" spans="1:3" ht="13" x14ac:dyDescent="0.15">
      <c r="A651" s="10"/>
      <c r="C651" s="13"/>
    </row>
    <row r="652" spans="1:3" ht="13" x14ac:dyDescent="0.15">
      <c r="A652" s="10"/>
      <c r="C652" s="13"/>
    </row>
    <row r="653" spans="1:3" ht="13" x14ac:dyDescent="0.15">
      <c r="A653" s="10"/>
      <c r="C653" s="13"/>
    </row>
    <row r="654" spans="1:3" ht="13" x14ac:dyDescent="0.15">
      <c r="A654" s="10"/>
      <c r="C654" s="13"/>
    </row>
    <row r="655" spans="1:3" ht="13" x14ac:dyDescent="0.15">
      <c r="A655" s="10"/>
      <c r="C655" s="13"/>
    </row>
    <row r="656" spans="1:3" ht="13" x14ac:dyDescent="0.15">
      <c r="A656" s="10"/>
      <c r="C656" s="13"/>
    </row>
    <row r="657" spans="1:3" ht="13" x14ac:dyDescent="0.15">
      <c r="A657" s="10"/>
      <c r="C657" s="13"/>
    </row>
    <row r="658" spans="1:3" ht="13" x14ac:dyDescent="0.15">
      <c r="A658" s="10"/>
      <c r="C658" s="13"/>
    </row>
    <row r="659" spans="1:3" ht="13" x14ac:dyDescent="0.15">
      <c r="A659" s="10"/>
      <c r="C659" s="13"/>
    </row>
    <row r="660" spans="1:3" ht="13" x14ac:dyDescent="0.15">
      <c r="A660" s="10"/>
      <c r="C660" s="13"/>
    </row>
    <row r="661" spans="1:3" ht="13" x14ac:dyDescent="0.15">
      <c r="A661" s="10"/>
      <c r="C661" s="13"/>
    </row>
    <row r="662" spans="1:3" ht="13" x14ac:dyDescent="0.15">
      <c r="A662" s="10"/>
      <c r="C662" s="13"/>
    </row>
    <row r="663" spans="1:3" ht="13" x14ac:dyDescent="0.15">
      <c r="A663" s="10"/>
      <c r="C663" s="13"/>
    </row>
    <row r="664" spans="1:3" ht="13" x14ac:dyDescent="0.15">
      <c r="A664" s="10"/>
      <c r="C664" s="13"/>
    </row>
    <row r="665" spans="1:3" ht="13" x14ac:dyDescent="0.15">
      <c r="A665" s="10"/>
      <c r="C665" s="13"/>
    </row>
    <row r="666" spans="1:3" ht="13" x14ac:dyDescent="0.15">
      <c r="A666" s="10"/>
      <c r="C666" s="13"/>
    </row>
    <row r="667" spans="1:3" ht="13" x14ac:dyDescent="0.15">
      <c r="A667" s="10"/>
      <c r="C667" s="13"/>
    </row>
    <row r="668" spans="1:3" ht="13" x14ac:dyDescent="0.15">
      <c r="A668" s="10"/>
      <c r="C668" s="13"/>
    </row>
    <row r="669" spans="1:3" ht="13" x14ac:dyDescent="0.15">
      <c r="A669" s="10"/>
      <c r="C669" s="13"/>
    </row>
    <row r="670" spans="1:3" ht="13" x14ac:dyDescent="0.15">
      <c r="A670" s="10"/>
      <c r="C670" s="13"/>
    </row>
    <row r="671" spans="1:3" ht="13" x14ac:dyDescent="0.15">
      <c r="A671" s="10"/>
      <c r="C671" s="13"/>
    </row>
    <row r="672" spans="1:3" ht="13" x14ac:dyDescent="0.15">
      <c r="A672" s="10"/>
      <c r="C672" s="13"/>
    </row>
    <row r="673" spans="1:3" ht="13" x14ac:dyDescent="0.15">
      <c r="A673" s="10"/>
      <c r="C673" s="13"/>
    </row>
    <row r="674" spans="1:3" ht="13" x14ac:dyDescent="0.15">
      <c r="A674" s="10"/>
      <c r="C674" s="13"/>
    </row>
    <row r="675" spans="1:3" ht="13" x14ac:dyDescent="0.15">
      <c r="A675" s="10"/>
      <c r="C675" s="13"/>
    </row>
    <row r="676" spans="1:3" ht="13" x14ac:dyDescent="0.15">
      <c r="A676" s="10"/>
      <c r="C676" s="13"/>
    </row>
    <row r="677" spans="1:3" ht="13" x14ac:dyDescent="0.15">
      <c r="A677" s="10"/>
      <c r="C677" s="13"/>
    </row>
    <row r="678" spans="1:3" ht="13" x14ac:dyDescent="0.15">
      <c r="A678" s="10"/>
      <c r="C678" s="13"/>
    </row>
    <row r="679" spans="1:3" ht="13" x14ac:dyDescent="0.15">
      <c r="A679" s="10"/>
      <c r="C679" s="13"/>
    </row>
    <row r="680" spans="1:3" ht="13" x14ac:dyDescent="0.15">
      <c r="A680" s="10"/>
      <c r="C680" s="13"/>
    </row>
    <row r="681" spans="1:3" ht="13" x14ac:dyDescent="0.15">
      <c r="A681" s="10"/>
      <c r="C681" s="13"/>
    </row>
    <row r="682" spans="1:3" ht="13" x14ac:dyDescent="0.15">
      <c r="A682" s="10"/>
      <c r="C682" s="13"/>
    </row>
    <row r="683" spans="1:3" ht="13" x14ac:dyDescent="0.15">
      <c r="A683" s="10"/>
      <c r="C683" s="13"/>
    </row>
    <row r="684" spans="1:3" ht="13" x14ac:dyDescent="0.15">
      <c r="A684" s="10"/>
      <c r="C684" s="13"/>
    </row>
    <row r="685" spans="1:3" ht="13" x14ac:dyDescent="0.15">
      <c r="A685" s="10"/>
      <c r="C685" s="13"/>
    </row>
    <row r="686" spans="1:3" ht="13" x14ac:dyDescent="0.15">
      <c r="A686" s="10"/>
      <c r="C686" s="13"/>
    </row>
    <row r="687" spans="1:3" ht="13" x14ac:dyDescent="0.15">
      <c r="A687" s="10"/>
      <c r="C687" s="13"/>
    </row>
    <row r="688" spans="1:3" ht="13" x14ac:dyDescent="0.15">
      <c r="A688" s="10"/>
      <c r="C688" s="13"/>
    </row>
    <row r="689" spans="1:3" ht="13" x14ac:dyDescent="0.15">
      <c r="A689" s="10"/>
      <c r="C689" s="13"/>
    </row>
    <row r="690" spans="1:3" ht="13" x14ac:dyDescent="0.15">
      <c r="A690" s="10"/>
      <c r="C690" s="13"/>
    </row>
    <row r="691" spans="1:3" ht="13" x14ac:dyDescent="0.15">
      <c r="A691" s="10"/>
      <c r="C691" s="13"/>
    </row>
    <row r="692" spans="1:3" ht="13" x14ac:dyDescent="0.15">
      <c r="A692" s="10"/>
      <c r="C692" s="13"/>
    </row>
    <row r="693" spans="1:3" ht="13" x14ac:dyDescent="0.15">
      <c r="A693" s="10"/>
      <c r="C693" s="13"/>
    </row>
    <row r="694" spans="1:3" ht="13" x14ac:dyDescent="0.15">
      <c r="A694" s="10"/>
      <c r="C694" s="13"/>
    </row>
    <row r="695" spans="1:3" ht="13" x14ac:dyDescent="0.15">
      <c r="A695" s="10"/>
      <c r="C695" s="13"/>
    </row>
    <row r="696" spans="1:3" ht="13" x14ac:dyDescent="0.15">
      <c r="A696" s="10"/>
      <c r="C696" s="13"/>
    </row>
    <row r="697" spans="1:3" ht="13" x14ac:dyDescent="0.15">
      <c r="A697" s="10"/>
      <c r="C697" s="13"/>
    </row>
    <row r="698" spans="1:3" ht="13" x14ac:dyDescent="0.15">
      <c r="A698" s="10"/>
      <c r="C698" s="13"/>
    </row>
    <row r="699" spans="1:3" ht="13" x14ac:dyDescent="0.15">
      <c r="A699" s="10"/>
      <c r="C699" s="13"/>
    </row>
    <row r="700" spans="1:3" ht="13" x14ac:dyDescent="0.15">
      <c r="A700" s="10"/>
      <c r="C700" s="13"/>
    </row>
    <row r="701" spans="1:3" ht="13" x14ac:dyDescent="0.15">
      <c r="A701" s="10"/>
      <c r="C701" s="13"/>
    </row>
    <row r="702" spans="1:3" ht="13" x14ac:dyDescent="0.15">
      <c r="A702" s="10"/>
      <c r="C702" s="13"/>
    </row>
    <row r="703" spans="1:3" ht="13" x14ac:dyDescent="0.15">
      <c r="A703" s="10"/>
      <c r="C703" s="13"/>
    </row>
    <row r="704" spans="1:3" ht="13" x14ac:dyDescent="0.15">
      <c r="A704" s="10"/>
      <c r="C704" s="13"/>
    </row>
    <row r="705" spans="1:3" ht="13" x14ac:dyDescent="0.15">
      <c r="A705" s="10"/>
      <c r="C705" s="13"/>
    </row>
    <row r="706" spans="1:3" ht="13" x14ac:dyDescent="0.15">
      <c r="A706" s="10"/>
      <c r="C706" s="13"/>
    </row>
    <row r="707" spans="1:3" ht="13" x14ac:dyDescent="0.15">
      <c r="A707" s="10"/>
      <c r="C707" s="13"/>
    </row>
    <row r="708" spans="1:3" ht="13" x14ac:dyDescent="0.15">
      <c r="A708" s="10"/>
      <c r="C708" s="13"/>
    </row>
    <row r="709" spans="1:3" ht="13" x14ac:dyDescent="0.15">
      <c r="A709" s="10"/>
      <c r="C709" s="13"/>
    </row>
    <row r="710" spans="1:3" ht="13" x14ac:dyDescent="0.15">
      <c r="A710" s="10"/>
      <c r="C710" s="13"/>
    </row>
    <row r="711" spans="1:3" ht="13" x14ac:dyDescent="0.15">
      <c r="A711" s="10"/>
      <c r="C711" s="13"/>
    </row>
    <row r="712" spans="1:3" ht="13" x14ac:dyDescent="0.15">
      <c r="A712" s="10"/>
      <c r="C712" s="13"/>
    </row>
    <row r="713" spans="1:3" ht="13" x14ac:dyDescent="0.15">
      <c r="A713" s="10"/>
      <c r="C713" s="13"/>
    </row>
    <row r="714" spans="1:3" ht="13" x14ac:dyDescent="0.15">
      <c r="A714" s="10"/>
      <c r="C714" s="13"/>
    </row>
    <row r="715" spans="1:3" ht="13" x14ac:dyDescent="0.15">
      <c r="A715" s="10"/>
      <c r="C715" s="13"/>
    </row>
    <row r="716" spans="1:3" ht="13" x14ac:dyDescent="0.15">
      <c r="A716" s="10"/>
      <c r="C716" s="13"/>
    </row>
    <row r="717" spans="1:3" ht="13" x14ac:dyDescent="0.15">
      <c r="A717" s="10"/>
      <c r="C717" s="13"/>
    </row>
    <row r="718" spans="1:3" ht="13" x14ac:dyDescent="0.15">
      <c r="A718" s="10"/>
      <c r="C718" s="13"/>
    </row>
    <row r="719" spans="1:3" ht="13" x14ac:dyDescent="0.15">
      <c r="A719" s="10"/>
      <c r="C719" s="13"/>
    </row>
    <row r="720" spans="1:3" ht="13" x14ac:dyDescent="0.15">
      <c r="A720" s="10"/>
      <c r="C720" s="13"/>
    </row>
    <row r="721" spans="1:3" ht="13" x14ac:dyDescent="0.15">
      <c r="A721" s="10"/>
      <c r="C721" s="13"/>
    </row>
    <row r="722" spans="1:3" ht="13" x14ac:dyDescent="0.15">
      <c r="A722" s="10"/>
      <c r="C722" s="13"/>
    </row>
    <row r="723" spans="1:3" ht="13" x14ac:dyDescent="0.15">
      <c r="A723" s="10"/>
      <c r="C723" s="13"/>
    </row>
    <row r="724" spans="1:3" ht="13" x14ac:dyDescent="0.15">
      <c r="A724" s="10"/>
      <c r="C724" s="13"/>
    </row>
    <row r="725" spans="1:3" ht="13" x14ac:dyDescent="0.15">
      <c r="A725" s="10"/>
      <c r="C725" s="13"/>
    </row>
    <row r="726" spans="1:3" ht="13" x14ac:dyDescent="0.15">
      <c r="A726" s="10"/>
      <c r="C726" s="13"/>
    </row>
    <row r="727" spans="1:3" ht="13" x14ac:dyDescent="0.15">
      <c r="A727" s="10"/>
      <c r="C727" s="13"/>
    </row>
    <row r="728" spans="1:3" ht="13" x14ac:dyDescent="0.15">
      <c r="A728" s="10"/>
      <c r="C728" s="13"/>
    </row>
    <row r="729" spans="1:3" ht="13" x14ac:dyDescent="0.15">
      <c r="A729" s="10"/>
      <c r="C729" s="13"/>
    </row>
    <row r="730" spans="1:3" ht="13" x14ac:dyDescent="0.15">
      <c r="A730" s="10"/>
      <c r="C730" s="13"/>
    </row>
    <row r="731" spans="1:3" ht="13" x14ac:dyDescent="0.15">
      <c r="A731" s="10"/>
      <c r="C731" s="13"/>
    </row>
    <row r="732" spans="1:3" ht="13" x14ac:dyDescent="0.15">
      <c r="A732" s="10"/>
      <c r="C732" s="13"/>
    </row>
    <row r="733" spans="1:3" ht="13" x14ac:dyDescent="0.15">
      <c r="A733" s="10"/>
      <c r="C733" s="13"/>
    </row>
    <row r="734" spans="1:3" ht="13" x14ac:dyDescent="0.15">
      <c r="A734" s="10"/>
      <c r="C734" s="13"/>
    </row>
    <row r="735" spans="1:3" ht="13" x14ac:dyDescent="0.15">
      <c r="A735" s="10"/>
      <c r="C735" s="13"/>
    </row>
    <row r="736" spans="1:3" ht="13" x14ac:dyDescent="0.15">
      <c r="A736" s="10"/>
      <c r="C736" s="13"/>
    </row>
    <row r="737" spans="1:3" ht="13" x14ac:dyDescent="0.15">
      <c r="A737" s="10"/>
      <c r="C737" s="13"/>
    </row>
    <row r="738" spans="1:3" ht="13" x14ac:dyDescent="0.15">
      <c r="A738" s="10"/>
      <c r="C738" s="13"/>
    </row>
    <row r="739" spans="1:3" ht="13" x14ac:dyDescent="0.15">
      <c r="A739" s="10"/>
      <c r="C739" s="13"/>
    </row>
    <row r="740" spans="1:3" ht="13" x14ac:dyDescent="0.15">
      <c r="A740" s="10"/>
      <c r="C740" s="13"/>
    </row>
    <row r="741" spans="1:3" ht="13" x14ac:dyDescent="0.15">
      <c r="A741" s="10"/>
      <c r="C741" s="13"/>
    </row>
    <row r="742" spans="1:3" ht="13" x14ac:dyDescent="0.15">
      <c r="A742" s="10"/>
      <c r="C742" s="13"/>
    </row>
    <row r="743" spans="1:3" ht="13" x14ac:dyDescent="0.15">
      <c r="A743" s="10"/>
      <c r="C743" s="13"/>
    </row>
    <row r="744" spans="1:3" ht="13" x14ac:dyDescent="0.15">
      <c r="A744" s="10"/>
      <c r="C744" s="13"/>
    </row>
    <row r="745" spans="1:3" ht="13" x14ac:dyDescent="0.15">
      <c r="A745" s="10"/>
      <c r="C745" s="13"/>
    </row>
    <row r="746" spans="1:3" ht="13" x14ac:dyDescent="0.15">
      <c r="A746" s="10"/>
      <c r="C746" s="13"/>
    </row>
    <row r="747" spans="1:3" ht="13" x14ac:dyDescent="0.15">
      <c r="A747" s="10"/>
      <c r="C747" s="13"/>
    </row>
    <row r="748" spans="1:3" ht="13" x14ac:dyDescent="0.15">
      <c r="A748" s="10"/>
      <c r="C748" s="13"/>
    </row>
    <row r="749" spans="1:3" ht="13" x14ac:dyDescent="0.15">
      <c r="A749" s="10"/>
      <c r="C749" s="13"/>
    </row>
    <row r="750" spans="1:3" ht="13" x14ac:dyDescent="0.15">
      <c r="A750" s="10"/>
      <c r="C750" s="13"/>
    </row>
    <row r="751" spans="1:3" ht="13" x14ac:dyDescent="0.15">
      <c r="A751" s="10"/>
      <c r="C751" s="13"/>
    </row>
    <row r="752" spans="1:3" ht="13" x14ac:dyDescent="0.15">
      <c r="A752" s="10"/>
      <c r="C752" s="13"/>
    </row>
    <row r="753" spans="1:3" ht="13" x14ac:dyDescent="0.15">
      <c r="A753" s="10"/>
      <c r="C753" s="13"/>
    </row>
    <row r="754" spans="1:3" ht="13" x14ac:dyDescent="0.15">
      <c r="A754" s="10"/>
      <c r="C754" s="13"/>
    </row>
    <row r="755" spans="1:3" ht="13" x14ac:dyDescent="0.15">
      <c r="A755" s="10"/>
      <c r="C755" s="13"/>
    </row>
    <row r="756" spans="1:3" ht="13" x14ac:dyDescent="0.15">
      <c r="A756" s="10"/>
      <c r="C756" s="13"/>
    </row>
    <row r="757" spans="1:3" ht="13" x14ac:dyDescent="0.15">
      <c r="A757" s="10"/>
      <c r="C757" s="13"/>
    </row>
    <row r="758" spans="1:3" ht="13" x14ac:dyDescent="0.15">
      <c r="A758" s="10"/>
      <c r="C758" s="13"/>
    </row>
    <row r="759" spans="1:3" ht="13" x14ac:dyDescent="0.15">
      <c r="A759" s="10"/>
      <c r="C759" s="13"/>
    </row>
    <row r="760" spans="1:3" ht="13" x14ac:dyDescent="0.15">
      <c r="A760" s="10"/>
      <c r="C760" s="13"/>
    </row>
    <row r="761" spans="1:3" ht="13" x14ac:dyDescent="0.15">
      <c r="A761" s="10"/>
      <c r="C761" s="13"/>
    </row>
    <row r="762" spans="1:3" ht="13" x14ac:dyDescent="0.15">
      <c r="A762" s="10"/>
      <c r="C762" s="13"/>
    </row>
    <row r="763" spans="1:3" ht="13" x14ac:dyDescent="0.15">
      <c r="A763" s="10"/>
      <c r="C763" s="13"/>
    </row>
    <row r="764" spans="1:3" ht="13" x14ac:dyDescent="0.15">
      <c r="A764" s="10"/>
      <c r="C764" s="13"/>
    </row>
    <row r="765" spans="1:3" ht="13" x14ac:dyDescent="0.15">
      <c r="A765" s="10"/>
      <c r="C765" s="13"/>
    </row>
    <row r="766" spans="1:3" ht="13" x14ac:dyDescent="0.15">
      <c r="A766" s="10"/>
      <c r="C766" s="13"/>
    </row>
    <row r="767" spans="1:3" ht="13" x14ac:dyDescent="0.15">
      <c r="A767" s="10"/>
      <c r="C767" s="13"/>
    </row>
    <row r="768" spans="1:3" ht="13" x14ac:dyDescent="0.15">
      <c r="A768" s="10"/>
      <c r="C768" s="13"/>
    </row>
    <row r="769" spans="1:3" ht="13" x14ac:dyDescent="0.15">
      <c r="A769" s="10"/>
      <c r="C769" s="13"/>
    </row>
    <row r="770" spans="1:3" ht="13" x14ac:dyDescent="0.15">
      <c r="A770" s="10"/>
      <c r="C770" s="13"/>
    </row>
    <row r="771" spans="1:3" ht="13" x14ac:dyDescent="0.15">
      <c r="A771" s="10"/>
      <c r="C771" s="13"/>
    </row>
    <row r="772" spans="1:3" ht="13" x14ac:dyDescent="0.15">
      <c r="A772" s="10"/>
      <c r="C772" s="13"/>
    </row>
    <row r="773" spans="1:3" ht="13" x14ac:dyDescent="0.15">
      <c r="A773" s="10"/>
      <c r="C773" s="13"/>
    </row>
    <row r="774" spans="1:3" ht="13" x14ac:dyDescent="0.15">
      <c r="A774" s="10"/>
      <c r="C774" s="13"/>
    </row>
    <row r="775" spans="1:3" ht="13" x14ac:dyDescent="0.15">
      <c r="A775" s="10"/>
      <c r="C775" s="13"/>
    </row>
    <row r="776" spans="1:3" ht="13" x14ac:dyDescent="0.15">
      <c r="A776" s="10"/>
      <c r="C776" s="13"/>
    </row>
    <row r="777" spans="1:3" ht="13" x14ac:dyDescent="0.15">
      <c r="A777" s="10"/>
      <c r="C777" s="13"/>
    </row>
    <row r="778" spans="1:3" ht="13" x14ac:dyDescent="0.15">
      <c r="A778" s="10"/>
      <c r="C778" s="13"/>
    </row>
    <row r="779" spans="1:3" ht="13" x14ac:dyDescent="0.15">
      <c r="A779" s="10"/>
      <c r="C779" s="13"/>
    </row>
    <row r="780" spans="1:3" ht="13" x14ac:dyDescent="0.15">
      <c r="A780" s="10"/>
      <c r="C780" s="13"/>
    </row>
    <row r="781" spans="1:3" ht="13" x14ac:dyDescent="0.15">
      <c r="A781" s="10"/>
      <c r="C781" s="13"/>
    </row>
    <row r="782" spans="1:3" ht="13" x14ac:dyDescent="0.15">
      <c r="A782" s="10"/>
      <c r="C782" s="13"/>
    </row>
    <row r="783" spans="1:3" ht="13" x14ac:dyDescent="0.15">
      <c r="A783" s="10"/>
      <c r="C783" s="13"/>
    </row>
    <row r="784" spans="1:3" ht="13" x14ac:dyDescent="0.15">
      <c r="A784" s="10"/>
      <c r="C784" s="13"/>
    </row>
    <row r="785" spans="1:3" ht="13" x14ac:dyDescent="0.15">
      <c r="A785" s="10"/>
      <c r="C785" s="13"/>
    </row>
    <row r="786" spans="1:3" ht="13" x14ac:dyDescent="0.15">
      <c r="A786" s="10"/>
      <c r="C786" s="13"/>
    </row>
    <row r="787" spans="1:3" ht="13" x14ac:dyDescent="0.15">
      <c r="A787" s="10"/>
      <c r="C787" s="13"/>
    </row>
    <row r="788" spans="1:3" ht="13" x14ac:dyDescent="0.15">
      <c r="A788" s="10"/>
      <c r="C788" s="13"/>
    </row>
    <row r="789" spans="1:3" ht="13" x14ac:dyDescent="0.15">
      <c r="A789" s="10"/>
      <c r="C789" s="13"/>
    </row>
    <row r="790" spans="1:3" ht="13" x14ac:dyDescent="0.15">
      <c r="A790" s="10"/>
      <c r="C790" s="13"/>
    </row>
    <row r="791" spans="1:3" ht="13" x14ac:dyDescent="0.15">
      <c r="A791" s="10"/>
      <c r="C791" s="13"/>
    </row>
    <row r="792" spans="1:3" ht="13" x14ac:dyDescent="0.15">
      <c r="A792" s="10"/>
      <c r="C792" s="13"/>
    </row>
    <row r="793" spans="1:3" ht="13" x14ac:dyDescent="0.15">
      <c r="A793" s="10"/>
      <c r="C793" s="13"/>
    </row>
    <row r="794" spans="1:3" ht="13" x14ac:dyDescent="0.15">
      <c r="A794" s="10"/>
      <c r="C794" s="13"/>
    </row>
    <row r="795" spans="1:3" ht="13" x14ac:dyDescent="0.15">
      <c r="A795" s="10"/>
      <c r="C795" s="13"/>
    </row>
    <row r="796" spans="1:3" ht="13" x14ac:dyDescent="0.15">
      <c r="A796" s="10"/>
      <c r="C796" s="13"/>
    </row>
    <row r="797" spans="1:3" ht="13" x14ac:dyDescent="0.15">
      <c r="A797" s="10"/>
      <c r="C797" s="13"/>
    </row>
    <row r="798" spans="1:3" ht="13" x14ac:dyDescent="0.15">
      <c r="A798" s="10"/>
      <c r="C798" s="13"/>
    </row>
    <row r="799" spans="1:3" ht="13" x14ac:dyDescent="0.15">
      <c r="A799" s="10"/>
      <c r="C799" s="13"/>
    </row>
    <row r="800" spans="1:3" ht="13" x14ac:dyDescent="0.15">
      <c r="A800" s="10"/>
      <c r="C800" s="13"/>
    </row>
    <row r="801" spans="1:3" ht="13" x14ac:dyDescent="0.15">
      <c r="A801" s="10"/>
      <c r="C801" s="13"/>
    </row>
    <row r="802" spans="1:3" ht="13" x14ac:dyDescent="0.15">
      <c r="A802" s="10"/>
      <c r="C802" s="13"/>
    </row>
    <row r="803" spans="1:3" ht="13" x14ac:dyDescent="0.15">
      <c r="A803" s="10"/>
      <c r="C803" s="13"/>
    </row>
    <row r="804" spans="1:3" ht="13" x14ac:dyDescent="0.15">
      <c r="A804" s="10"/>
      <c r="C804" s="13"/>
    </row>
    <row r="805" spans="1:3" ht="13" x14ac:dyDescent="0.15">
      <c r="A805" s="10"/>
      <c r="C805" s="13"/>
    </row>
    <row r="806" spans="1:3" ht="13" x14ac:dyDescent="0.15">
      <c r="A806" s="10"/>
      <c r="C806" s="13"/>
    </row>
    <row r="807" spans="1:3" ht="13" x14ac:dyDescent="0.15">
      <c r="A807" s="10"/>
      <c r="C807" s="13"/>
    </row>
    <row r="808" spans="1:3" ht="13" x14ac:dyDescent="0.15">
      <c r="A808" s="10"/>
      <c r="C808" s="13"/>
    </row>
    <row r="809" spans="1:3" ht="13" x14ac:dyDescent="0.15">
      <c r="A809" s="10"/>
      <c r="C809" s="13"/>
    </row>
    <row r="810" spans="1:3" ht="13" x14ac:dyDescent="0.15">
      <c r="A810" s="10"/>
      <c r="C810" s="13"/>
    </row>
    <row r="811" spans="1:3" ht="13" x14ac:dyDescent="0.15">
      <c r="A811" s="10"/>
      <c r="C811" s="13"/>
    </row>
    <row r="812" spans="1:3" ht="13" x14ac:dyDescent="0.15">
      <c r="A812" s="10"/>
      <c r="C812" s="13"/>
    </row>
    <row r="813" spans="1:3" ht="13" x14ac:dyDescent="0.15">
      <c r="A813" s="10"/>
      <c r="C813" s="13"/>
    </row>
    <row r="814" spans="1:3" ht="13" x14ac:dyDescent="0.15">
      <c r="A814" s="10"/>
      <c r="C814" s="13"/>
    </row>
    <row r="815" spans="1:3" ht="13" x14ac:dyDescent="0.15">
      <c r="A815" s="10"/>
      <c r="C815" s="13"/>
    </row>
    <row r="816" spans="1:3" ht="13" x14ac:dyDescent="0.15">
      <c r="A816" s="10"/>
      <c r="C816" s="13"/>
    </row>
    <row r="817" spans="1:3" ht="13" x14ac:dyDescent="0.15">
      <c r="A817" s="10"/>
      <c r="C817" s="13"/>
    </row>
    <row r="818" spans="1:3" ht="13" x14ac:dyDescent="0.15">
      <c r="A818" s="10"/>
      <c r="C818" s="13"/>
    </row>
    <row r="819" spans="1:3" ht="13" x14ac:dyDescent="0.15">
      <c r="A819" s="10"/>
      <c r="C819" s="13"/>
    </row>
    <row r="820" spans="1:3" ht="13" x14ac:dyDescent="0.15">
      <c r="A820" s="10"/>
      <c r="C820" s="13"/>
    </row>
    <row r="821" spans="1:3" ht="13" x14ac:dyDescent="0.15">
      <c r="A821" s="10"/>
      <c r="C821" s="13"/>
    </row>
    <row r="822" spans="1:3" ht="13" x14ac:dyDescent="0.15">
      <c r="A822" s="10"/>
      <c r="C822" s="13"/>
    </row>
    <row r="823" spans="1:3" ht="13" x14ac:dyDescent="0.15">
      <c r="A823" s="10"/>
      <c r="C823" s="13"/>
    </row>
    <row r="824" spans="1:3" ht="13" x14ac:dyDescent="0.15">
      <c r="A824" s="10"/>
      <c r="C824" s="13"/>
    </row>
    <row r="825" spans="1:3" ht="13" x14ac:dyDescent="0.15">
      <c r="A825" s="10"/>
      <c r="C825" s="13"/>
    </row>
    <row r="826" spans="1:3" ht="13" x14ac:dyDescent="0.15">
      <c r="A826" s="10"/>
      <c r="C826" s="13"/>
    </row>
    <row r="827" spans="1:3" ht="13" x14ac:dyDescent="0.15">
      <c r="A827" s="10"/>
      <c r="C827" s="13"/>
    </row>
    <row r="828" spans="1:3" ht="13" x14ac:dyDescent="0.15">
      <c r="A828" s="10"/>
      <c r="C828" s="13"/>
    </row>
    <row r="829" spans="1:3" ht="13" x14ac:dyDescent="0.15">
      <c r="A829" s="10"/>
      <c r="C829" s="13"/>
    </row>
    <row r="830" spans="1:3" ht="13" x14ac:dyDescent="0.15">
      <c r="A830" s="10"/>
      <c r="C830" s="13"/>
    </row>
    <row r="831" spans="1:3" ht="13" x14ac:dyDescent="0.15">
      <c r="A831" s="10"/>
      <c r="C831" s="13"/>
    </row>
    <row r="832" spans="1:3" ht="13" x14ac:dyDescent="0.15">
      <c r="A832" s="10"/>
      <c r="C832" s="13"/>
    </row>
    <row r="833" spans="1:3" ht="13" x14ac:dyDescent="0.15">
      <c r="A833" s="10"/>
      <c r="C833" s="13"/>
    </row>
    <row r="834" spans="1:3" ht="13" x14ac:dyDescent="0.15">
      <c r="A834" s="10"/>
      <c r="C834" s="13"/>
    </row>
    <row r="835" spans="1:3" ht="13" x14ac:dyDescent="0.15">
      <c r="A835" s="10"/>
      <c r="C835" s="13"/>
    </row>
    <row r="836" spans="1:3" ht="13" x14ac:dyDescent="0.15">
      <c r="A836" s="10"/>
      <c r="C836" s="13"/>
    </row>
    <row r="837" spans="1:3" ht="13" x14ac:dyDescent="0.15">
      <c r="A837" s="10"/>
      <c r="C837" s="13"/>
    </row>
    <row r="838" spans="1:3" ht="13" x14ac:dyDescent="0.15">
      <c r="A838" s="10"/>
      <c r="C838" s="13"/>
    </row>
    <row r="839" spans="1:3" ht="13" x14ac:dyDescent="0.15">
      <c r="A839" s="10"/>
      <c r="C839" s="13"/>
    </row>
    <row r="840" spans="1:3" ht="13" x14ac:dyDescent="0.15">
      <c r="A840" s="10"/>
      <c r="C840" s="13"/>
    </row>
    <row r="841" spans="1:3" ht="13" x14ac:dyDescent="0.15">
      <c r="A841" s="10"/>
      <c r="C841" s="13"/>
    </row>
    <row r="842" spans="1:3" ht="13" x14ac:dyDescent="0.15">
      <c r="A842" s="10"/>
      <c r="C842" s="13"/>
    </row>
    <row r="843" spans="1:3" ht="13" x14ac:dyDescent="0.15">
      <c r="A843" s="10"/>
      <c r="C843" s="13"/>
    </row>
    <row r="844" spans="1:3" ht="13" x14ac:dyDescent="0.15">
      <c r="A844" s="10"/>
      <c r="C844" s="13"/>
    </row>
    <row r="845" spans="1:3" ht="13" x14ac:dyDescent="0.15">
      <c r="A845" s="10"/>
      <c r="C845" s="13"/>
    </row>
    <row r="846" spans="1:3" ht="13" x14ac:dyDescent="0.15">
      <c r="A846" s="10"/>
      <c r="C846" s="13"/>
    </row>
    <row r="847" spans="1:3" ht="13" x14ac:dyDescent="0.15">
      <c r="A847" s="10"/>
      <c r="C847" s="13"/>
    </row>
    <row r="848" spans="1:3" ht="13" x14ac:dyDescent="0.15">
      <c r="A848" s="10"/>
      <c r="C848" s="13"/>
    </row>
    <row r="849" spans="1:3" ht="13" x14ac:dyDescent="0.15">
      <c r="A849" s="10"/>
      <c r="C849" s="13"/>
    </row>
    <row r="850" spans="1:3" ht="13" x14ac:dyDescent="0.15">
      <c r="A850" s="10"/>
      <c r="C850" s="13"/>
    </row>
    <row r="851" spans="1:3" ht="13" x14ac:dyDescent="0.15">
      <c r="A851" s="10"/>
      <c r="C851" s="13"/>
    </row>
    <row r="852" spans="1:3" ht="13" x14ac:dyDescent="0.15">
      <c r="A852" s="10"/>
      <c r="C852" s="13"/>
    </row>
    <row r="853" spans="1:3" ht="13" x14ac:dyDescent="0.15">
      <c r="A853" s="10"/>
      <c r="C853" s="13"/>
    </row>
    <row r="854" spans="1:3" ht="13" x14ac:dyDescent="0.15">
      <c r="A854" s="10"/>
      <c r="C854" s="13"/>
    </row>
    <row r="855" spans="1:3" ht="13" x14ac:dyDescent="0.15">
      <c r="A855" s="10"/>
      <c r="C855" s="13"/>
    </row>
    <row r="856" spans="1:3" ht="13" x14ac:dyDescent="0.15">
      <c r="A856" s="10"/>
      <c r="C856" s="13"/>
    </row>
    <row r="857" spans="1:3" ht="13" x14ac:dyDescent="0.15">
      <c r="A857" s="10"/>
      <c r="C857" s="13"/>
    </row>
    <row r="858" spans="1:3" ht="13" x14ac:dyDescent="0.15">
      <c r="A858" s="10"/>
      <c r="C858" s="13"/>
    </row>
    <row r="859" spans="1:3" ht="13" x14ac:dyDescent="0.15">
      <c r="A859" s="10"/>
      <c r="C859" s="13"/>
    </row>
    <row r="860" spans="1:3" ht="13" x14ac:dyDescent="0.15">
      <c r="A860" s="10"/>
      <c r="C860" s="13"/>
    </row>
    <row r="861" spans="1:3" ht="13" x14ac:dyDescent="0.15">
      <c r="A861" s="10"/>
      <c r="C861" s="13"/>
    </row>
    <row r="862" spans="1:3" ht="13" x14ac:dyDescent="0.15">
      <c r="A862" s="10"/>
      <c r="C862" s="13"/>
    </row>
    <row r="863" spans="1:3" ht="13" x14ac:dyDescent="0.15">
      <c r="A863" s="10"/>
      <c r="C863" s="13"/>
    </row>
    <row r="864" spans="1:3" ht="13" x14ac:dyDescent="0.15">
      <c r="A864" s="10"/>
      <c r="C864" s="13"/>
    </row>
    <row r="865" spans="1:3" ht="13" x14ac:dyDescent="0.15">
      <c r="A865" s="10"/>
      <c r="C865" s="13"/>
    </row>
    <row r="866" spans="1:3" ht="13" x14ac:dyDescent="0.15">
      <c r="A866" s="10"/>
      <c r="C866" s="13"/>
    </row>
    <row r="867" spans="1:3" ht="13" x14ac:dyDescent="0.15">
      <c r="A867" s="10"/>
      <c r="C867" s="13"/>
    </row>
    <row r="868" spans="1:3" ht="13" x14ac:dyDescent="0.15">
      <c r="A868" s="10"/>
      <c r="C868" s="13"/>
    </row>
    <row r="869" spans="1:3" ht="13" x14ac:dyDescent="0.15">
      <c r="A869" s="10"/>
      <c r="C869" s="13"/>
    </row>
    <row r="870" spans="1:3" ht="13" x14ac:dyDescent="0.15">
      <c r="A870" s="10"/>
      <c r="C870" s="13"/>
    </row>
    <row r="871" spans="1:3" ht="13" x14ac:dyDescent="0.15">
      <c r="A871" s="10"/>
      <c r="C871" s="13"/>
    </row>
    <row r="872" spans="1:3" ht="13" x14ac:dyDescent="0.15">
      <c r="A872" s="10"/>
      <c r="C872" s="13"/>
    </row>
    <row r="873" spans="1:3" ht="13" x14ac:dyDescent="0.15">
      <c r="A873" s="10"/>
      <c r="C873" s="13"/>
    </row>
    <row r="874" spans="1:3" ht="13" x14ac:dyDescent="0.15">
      <c r="A874" s="10"/>
      <c r="C874" s="13"/>
    </row>
    <row r="875" spans="1:3" ht="13" x14ac:dyDescent="0.15">
      <c r="A875" s="10"/>
      <c r="C875" s="13"/>
    </row>
    <row r="876" spans="1:3" ht="13" x14ac:dyDescent="0.15">
      <c r="A876" s="10"/>
      <c r="C876" s="13"/>
    </row>
    <row r="877" spans="1:3" ht="13" x14ac:dyDescent="0.15">
      <c r="A877" s="10"/>
      <c r="C877" s="13"/>
    </row>
    <row r="878" spans="1:3" ht="13" x14ac:dyDescent="0.15">
      <c r="A878" s="10"/>
      <c r="C878" s="13"/>
    </row>
    <row r="879" spans="1:3" ht="13" x14ac:dyDescent="0.15">
      <c r="A879" s="10"/>
      <c r="C879" s="13"/>
    </row>
    <row r="880" spans="1:3" ht="13" x14ac:dyDescent="0.15">
      <c r="A880" s="10"/>
      <c r="C880" s="13"/>
    </row>
    <row r="881" spans="1:3" ht="13" x14ac:dyDescent="0.15">
      <c r="A881" s="10"/>
      <c r="C881" s="13"/>
    </row>
    <row r="882" spans="1:3" ht="13" x14ac:dyDescent="0.15">
      <c r="A882" s="10"/>
      <c r="C882" s="13"/>
    </row>
    <row r="883" spans="1:3" ht="13" x14ac:dyDescent="0.15">
      <c r="A883" s="10"/>
      <c r="C883" s="13"/>
    </row>
    <row r="884" spans="1:3" ht="13" x14ac:dyDescent="0.15">
      <c r="A884" s="10"/>
      <c r="C884" s="13"/>
    </row>
    <row r="885" spans="1:3" ht="13" x14ac:dyDescent="0.15">
      <c r="A885" s="10"/>
      <c r="C885" s="13"/>
    </row>
    <row r="886" spans="1:3" ht="13" x14ac:dyDescent="0.15">
      <c r="A886" s="10"/>
      <c r="C886" s="13"/>
    </row>
    <row r="887" spans="1:3" ht="13" x14ac:dyDescent="0.15">
      <c r="A887" s="10"/>
      <c r="C887" s="13"/>
    </row>
    <row r="888" spans="1:3" ht="13" x14ac:dyDescent="0.15">
      <c r="A888" s="10"/>
      <c r="C888" s="13"/>
    </row>
    <row r="889" spans="1:3" ht="13" x14ac:dyDescent="0.15">
      <c r="A889" s="10"/>
      <c r="C889" s="13"/>
    </row>
    <row r="890" spans="1:3" ht="13" x14ac:dyDescent="0.15">
      <c r="A890" s="10"/>
      <c r="C890" s="13"/>
    </row>
    <row r="891" spans="1:3" ht="13" x14ac:dyDescent="0.15">
      <c r="A891" s="10"/>
      <c r="C891" s="13"/>
    </row>
    <row r="892" spans="1:3" ht="13" x14ac:dyDescent="0.15">
      <c r="A892" s="10"/>
      <c r="C892" s="13"/>
    </row>
    <row r="893" spans="1:3" ht="13" x14ac:dyDescent="0.15">
      <c r="A893" s="10"/>
      <c r="C893" s="13"/>
    </row>
    <row r="894" spans="1:3" ht="13" x14ac:dyDescent="0.15">
      <c r="A894" s="10"/>
      <c r="C894" s="13"/>
    </row>
    <row r="895" spans="1:3" ht="13" x14ac:dyDescent="0.15">
      <c r="A895" s="10"/>
      <c r="C895" s="13"/>
    </row>
    <row r="896" spans="1:3" ht="13" x14ac:dyDescent="0.15">
      <c r="A896" s="10"/>
      <c r="C896" s="13"/>
    </row>
    <row r="897" spans="1:3" ht="13" x14ac:dyDescent="0.15">
      <c r="A897" s="10"/>
      <c r="C897" s="13"/>
    </row>
    <row r="898" spans="1:3" ht="13" x14ac:dyDescent="0.15">
      <c r="A898" s="10"/>
      <c r="C898" s="13"/>
    </row>
    <row r="899" spans="1:3" ht="13" x14ac:dyDescent="0.15">
      <c r="A899" s="10"/>
      <c r="C899" s="13"/>
    </row>
    <row r="900" spans="1:3" ht="13" x14ac:dyDescent="0.15">
      <c r="A900" s="10"/>
      <c r="C900" s="13"/>
    </row>
    <row r="901" spans="1:3" ht="13" x14ac:dyDescent="0.15">
      <c r="A901" s="10"/>
      <c r="C901" s="13"/>
    </row>
    <row r="902" spans="1:3" ht="13" x14ac:dyDescent="0.15">
      <c r="A902" s="10"/>
      <c r="C902" s="13"/>
    </row>
    <row r="903" spans="1:3" ht="13" x14ac:dyDescent="0.15">
      <c r="A903" s="10"/>
      <c r="C903" s="13"/>
    </row>
    <row r="904" spans="1:3" ht="13" x14ac:dyDescent="0.15">
      <c r="A904" s="10"/>
      <c r="C904" s="13"/>
    </row>
    <row r="905" spans="1:3" ht="13" x14ac:dyDescent="0.15">
      <c r="A905" s="10"/>
      <c r="C905" s="13"/>
    </row>
    <row r="906" spans="1:3" ht="13" x14ac:dyDescent="0.15">
      <c r="A906" s="10"/>
      <c r="C906" s="13"/>
    </row>
    <row r="907" spans="1:3" ht="13" x14ac:dyDescent="0.15">
      <c r="A907" s="10"/>
      <c r="C907" s="13"/>
    </row>
    <row r="908" spans="1:3" ht="13" x14ac:dyDescent="0.15">
      <c r="A908" s="10"/>
      <c r="C908" s="13"/>
    </row>
    <row r="909" spans="1:3" ht="13" x14ac:dyDescent="0.15">
      <c r="A909" s="10"/>
      <c r="C909" s="13"/>
    </row>
    <row r="910" spans="1:3" ht="13" x14ac:dyDescent="0.15">
      <c r="A910" s="10"/>
      <c r="C910" s="13"/>
    </row>
    <row r="911" spans="1:3" ht="13" x14ac:dyDescent="0.15">
      <c r="A911" s="10"/>
      <c r="C911" s="13"/>
    </row>
    <row r="912" spans="1:3" ht="13" x14ac:dyDescent="0.15">
      <c r="A912" s="10"/>
      <c r="C912" s="13"/>
    </row>
    <row r="913" spans="1:3" ht="13" x14ac:dyDescent="0.15">
      <c r="A913" s="10"/>
      <c r="C913" s="13"/>
    </row>
    <row r="914" spans="1:3" ht="13" x14ac:dyDescent="0.15">
      <c r="A914" s="10"/>
      <c r="C914" s="13"/>
    </row>
    <row r="915" spans="1:3" ht="13" x14ac:dyDescent="0.15">
      <c r="A915" s="10"/>
      <c r="C915" s="13"/>
    </row>
    <row r="916" spans="1:3" ht="13" x14ac:dyDescent="0.15">
      <c r="A916" s="10"/>
      <c r="C916" s="13"/>
    </row>
    <row r="917" spans="1:3" ht="13" x14ac:dyDescent="0.15">
      <c r="A917" s="10"/>
      <c r="C917" s="13"/>
    </row>
    <row r="918" spans="1:3" ht="13" x14ac:dyDescent="0.15">
      <c r="A918" s="10"/>
      <c r="C918" s="13"/>
    </row>
    <row r="919" spans="1:3" ht="13" x14ac:dyDescent="0.15">
      <c r="A919" s="10"/>
      <c r="C919" s="13"/>
    </row>
    <row r="920" spans="1:3" ht="13" x14ac:dyDescent="0.15">
      <c r="A920" s="10"/>
      <c r="C920" s="13"/>
    </row>
    <row r="921" spans="1:3" ht="13" x14ac:dyDescent="0.15">
      <c r="A921" s="10"/>
      <c r="C921" s="13"/>
    </row>
    <row r="922" spans="1:3" ht="13" x14ac:dyDescent="0.15">
      <c r="A922" s="10"/>
      <c r="C922" s="13"/>
    </row>
    <row r="923" spans="1:3" ht="13" x14ac:dyDescent="0.15">
      <c r="A923" s="10"/>
      <c r="C923" s="13"/>
    </row>
    <row r="924" spans="1:3" ht="13" x14ac:dyDescent="0.15">
      <c r="A924" s="10"/>
      <c r="C924" s="13"/>
    </row>
    <row r="925" spans="1:3" ht="13" x14ac:dyDescent="0.15">
      <c r="A925" s="10"/>
      <c r="C925" s="13"/>
    </row>
    <row r="926" spans="1:3" ht="13" x14ac:dyDescent="0.15">
      <c r="A926" s="10"/>
      <c r="C926" s="13"/>
    </row>
    <row r="927" spans="1:3" ht="13" x14ac:dyDescent="0.15">
      <c r="A927" s="10"/>
      <c r="C927" s="13"/>
    </row>
    <row r="928" spans="1:3" ht="13" x14ac:dyDescent="0.15">
      <c r="A928" s="10"/>
      <c r="C928" s="13"/>
    </row>
    <row r="929" spans="1:3" ht="13" x14ac:dyDescent="0.15">
      <c r="A929" s="10"/>
      <c r="C929" s="13"/>
    </row>
    <row r="930" spans="1:3" ht="13" x14ac:dyDescent="0.15">
      <c r="A930" s="10"/>
      <c r="C930" s="13"/>
    </row>
    <row r="931" spans="1:3" ht="13" x14ac:dyDescent="0.15">
      <c r="A931" s="10"/>
      <c r="C931" s="13"/>
    </row>
    <row r="932" spans="1:3" ht="13" x14ac:dyDescent="0.15">
      <c r="A932" s="10"/>
      <c r="C932" s="13"/>
    </row>
    <row r="933" spans="1:3" ht="13" x14ac:dyDescent="0.15">
      <c r="A933" s="10"/>
      <c r="C933" s="13"/>
    </row>
    <row r="934" spans="1:3" ht="13" x14ac:dyDescent="0.15">
      <c r="A934" s="10"/>
      <c r="C934" s="13"/>
    </row>
    <row r="935" spans="1:3" ht="13" x14ac:dyDescent="0.15">
      <c r="A935" s="10"/>
      <c r="C935" s="13"/>
    </row>
    <row r="936" spans="1:3" ht="13" x14ac:dyDescent="0.15">
      <c r="A936" s="10"/>
      <c r="C936" s="13"/>
    </row>
    <row r="937" spans="1:3" ht="13" x14ac:dyDescent="0.15">
      <c r="A937" s="10"/>
      <c r="C937" s="13"/>
    </row>
    <row r="938" spans="1:3" ht="13" x14ac:dyDescent="0.15">
      <c r="A938" s="10"/>
      <c r="C938" s="13"/>
    </row>
    <row r="939" spans="1:3" ht="13" x14ac:dyDescent="0.15">
      <c r="A939" s="10"/>
      <c r="C939" s="13"/>
    </row>
    <row r="940" spans="1:3" ht="13" x14ac:dyDescent="0.15">
      <c r="A940" s="10"/>
      <c r="C940" s="13"/>
    </row>
    <row r="941" spans="1:3" ht="13" x14ac:dyDescent="0.15">
      <c r="A941" s="10"/>
      <c r="C941" s="13"/>
    </row>
    <row r="942" spans="1:3" ht="13" x14ac:dyDescent="0.15">
      <c r="A942" s="10"/>
      <c r="C942" s="13"/>
    </row>
    <row r="943" spans="1:3" ht="13" x14ac:dyDescent="0.15">
      <c r="A943" s="10"/>
      <c r="C943" s="13"/>
    </row>
    <row r="944" spans="1:3" ht="13" x14ac:dyDescent="0.15">
      <c r="A944" s="10"/>
      <c r="C944" s="13"/>
    </row>
    <row r="945" spans="1:3" ht="13" x14ac:dyDescent="0.15">
      <c r="A945" s="10"/>
      <c r="C945" s="13"/>
    </row>
    <row r="946" spans="1:3" ht="13" x14ac:dyDescent="0.15">
      <c r="A946" s="10"/>
      <c r="C946" s="13"/>
    </row>
    <row r="947" spans="1:3" ht="13" x14ac:dyDescent="0.15">
      <c r="A947" s="10"/>
      <c r="C947" s="13"/>
    </row>
    <row r="948" spans="1:3" ht="13" x14ac:dyDescent="0.15">
      <c r="A948" s="10"/>
      <c r="C948" s="13"/>
    </row>
    <row r="949" spans="1:3" ht="13" x14ac:dyDescent="0.15">
      <c r="A949" s="10"/>
      <c r="C949" s="13"/>
    </row>
    <row r="950" spans="1:3" ht="13" x14ac:dyDescent="0.15">
      <c r="A950" s="10"/>
      <c r="C950" s="13"/>
    </row>
    <row r="951" spans="1:3" ht="13" x14ac:dyDescent="0.15">
      <c r="A951" s="10"/>
      <c r="C951" s="13"/>
    </row>
    <row r="952" spans="1:3" ht="13" x14ac:dyDescent="0.15">
      <c r="A952" s="10"/>
      <c r="C952" s="13"/>
    </row>
    <row r="953" spans="1:3" ht="13" x14ac:dyDescent="0.15">
      <c r="A953" s="10"/>
      <c r="C953" s="13"/>
    </row>
    <row r="954" spans="1:3" ht="13" x14ac:dyDescent="0.15">
      <c r="A954" s="10"/>
      <c r="C954" s="13"/>
    </row>
    <row r="955" spans="1:3" ht="13" x14ac:dyDescent="0.15">
      <c r="A955" s="10"/>
      <c r="C955" s="13"/>
    </row>
    <row r="956" spans="1:3" ht="13" x14ac:dyDescent="0.15">
      <c r="A956" s="10"/>
      <c r="C956" s="13"/>
    </row>
    <row r="957" spans="1:3" ht="13" x14ac:dyDescent="0.15">
      <c r="A957" s="10"/>
      <c r="C957" s="13"/>
    </row>
    <row r="958" spans="1:3" ht="13" x14ac:dyDescent="0.15">
      <c r="A958" s="10"/>
      <c r="C958" s="13"/>
    </row>
    <row r="959" spans="1:3" ht="13" x14ac:dyDescent="0.15">
      <c r="A959" s="10"/>
      <c r="C959" s="13"/>
    </row>
    <row r="960" spans="1:3" ht="13" x14ac:dyDescent="0.15">
      <c r="A960" s="10"/>
      <c r="C960" s="13"/>
    </row>
    <row r="961" spans="1:3" ht="13" x14ac:dyDescent="0.15">
      <c r="A961" s="10"/>
      <c r="C961" s="13"/>
    </row>
    <row r="962" spans="1:3" ht="13" x14ac:dyDescent="0.15">
      <c r="A962" s="10"/>
      <c r="C962" s="13"/>
    </row>
    <row r="963" spans="1:3" ht="13" x14ac:dyDescent="0.15">
      <c r="A963" s="10"/>
      <c r="C963" s="13"/>
    </row>
    <row r="964" spans="1:3" ht="13" x14ac:dyDescent="0.15">
      <c r="A964" s="10"/>
      <c r="C964" s="13"/>
    </row>
    <row r="965" spans="1:3" ht="13" x14ac:dyDescent="0.15">
      <c r="A965" s="10"/>
      <c r="C965" s="13"/>
    </row>
    <row r="966" spans="1:3" ht="13" x14ac:dyDescent="0.15">
      <c r="A966" s="10"/>
      <c r="C966" s="13"/>
    </row>
    <row r="967" spans="1:3" ht="13" x14ac:dyDescent="0.15">
      <c r="A967" s="10"/>
      <c r="C967" s="13"/>
    </row>
    <row r="968" spans="1:3" ht="13" x14ac:dyDescent="0.15">
      <c r="A968" s="10"/>
      <c r="C968" s="13"/>
    </row>
    <row r="969" spans="1:3" ht="13" x14ac:dyDescent="0.15">
      <c r="A969" s="10"/>
      <c r="C969" s="13"/>
    </row>
    <row r="970" spans="1:3" ht="13" x14ac:dyDescent="0.15">
      <c r="A970" s="10"/>
      <c r="C970" s="13"/>
    </row>
    <row r="971" spans="1:3" ht="13" x14ac:dyDescent="0.15">
      <c r="A971" s="10"/>
      <c r="C971" s="13"/>
    </row>
    <row r="972" spans="1:3" ht="13" x14ac:dyDescent="0.15">
      <c r="A972" s="10"/>
      <c r="C972" s="13"/>
    </row>
    <row r="973" spans="1:3" ht="13" x14ac:dyDescent="0.15">
      <c r="A973" s="10"/>
      <c r="C973" s="13"/>
    </row>
    <row r="974" spans="1:3" ht="13" x14ac:dyDescent="0.15">
      <c r="A974" s="10"/>
      <c r="C974" s="13"/>
    </row>
    <row r="975" spans="1:3" ht="13" x14ac:dyDescent="0.15">
      <c r="A975" s="10"/>
      <c r="C975" s="13"/>
    </row>
    <row r="976" spans="1:3" ht="13" x14ac:dyDescent="0.15">
      <c r="A976" s="10"/>
      <c r="C976" s="13"/>
    </row>
    <row r="977" spans="1:3" ht="13" x14ac:dyDescent="0.15">
      <c r="A977" s="10"/>
      <c r="C977" s="13"/>
    </row>
    <row r="978" spans="1:3" ht="13" x14ac:dyDescent="0.15">
      <c r="A978" s="10"/>
      <c r="C978" s="13"/>
    </row>
    <row r="979" spans="1:3" ht="13" x14ac:dyDescent="0.15">
      <c r="A979" s="10"/>
      <c r="C979" s="13"/>
    </row>
    <row r="980" spans="1:3" ht="13" x14ac:dyDescent="0.15">
      <c r="A980" s="10"/>
      <c r="C980" s="13"/>
    </row>
    <row r="981" spans="1:3" ht="13" x14ac:dyDescent="0.15">
      <c r="A981" s="10"/>
      <c r="C981" s="13"/>
    </row>
    <row r="982" spans="1:3" ht="13" x14ac:dyDescent="0.15">
      <c r="A982" s="10"/>
      <c r="C982" s="13"/>
    </row>
    <row r="983" spans="1:3" ht="13" x14ac:dyDescent="0.15">
      <c r="A983" s="10"/>
      <c r="C983" s="13"/>
    </row>
    <row r="984" spans="1:3" ht="13" x14ac:dyDescent="0.15">
      <c r="A984" s="10"/>
      <c r="C984" s="13"/>
    </row>
    <row r="985" spans="1:3" ht="13" x14ac:dyDescent="0.15">
      <c r="A985" s="10"/>
      <c r="C985" s="13"/>
    </row>
    <row r="986" spans="1:3" ht="13" x14ac:dyDescent="0.15">
      <c r="A986" s="10"/>
      <c r="C986" s="13"/>
    </row>
    <row r="987" spans="1:3" ht="13" x14ac:dyDescent="0.15">
      <c r="A987" s="10"/>
      <c r="C987" s="13"/>
    </row>
    <row r="988" spans="1:3" ht="13" x14ac:dyDescent="0.15">
      <c r="A988" s="10"/>
      <c r="C988" s="13"/>
    </row>
    <row r="989" spans="1:3" ht="13" x14ac:dyDescent="0.15">
      <c r="A989" s="10"/>
      <c r="C989" s="13"/>
    </row>
    <row r="990" spans="1:3" ht="13" x14ac:dyDescent="0.15">
      <c r="A990" s="10"/>
      <c r="C990" s="13"/>
    </row>
    <row r="991" spans="1:3" ht="13" x14ac:dyDescent="0.15">
      <c r="A991" s="10"/>
      <c r="C991" s="13"/>
    </row>
    <row r="992" spans="1:3" ht="13" x14ac:dyDescent="0.15">
      <c r="A992" s="10"/>
      <c r="C992" s="13"/>
    </row>
    <row r="993" spans="1:3" ht="13" x14ac:dyDescent="0.15">
      <c r="A993" s="10"/>
      <c r="C993" s="13"/>
    </row>
    <row r="994" spans="1:3" ht="13" x14ac:dyDescent="0.15">
      <c r="A994" s="10"/>
      <c r="C994" s="13"/>
    </row>
    <row r="995" spans="1:3" ht="13" x14ac:dyDescent="0.15">
      <c r="A995" s="10"/>
      <c r="C995" s="13"/>
    </row>
    <row r="996" spans="1:3" ht="13" x14ac:dyDescent="0.15">
      <c r="A996" s="10"/>
      <c r="C996" s="13"/>
    </row>
    <row r="997" spans="1:3" ht="13" x14ac:dyDescent="0.15">
      <c r="A997" s="10"/>
      <c r="C997" s="13"/>
    </row>
  </sheetData>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outlinePr summaryBelow="0" summaryRight="0"/>
  </sheetPr>
  <dimension ref="A1:D997"/>
  <sheetViews>
    <sheetView workbookViewId="0"/>
  </sheetViews>
  <sheetFormatPr baseColWidth="10" defaultColWidth="12.6640625" defaultRowHeight="15.75" customHeight="1" x14ac:dyDescent="0.15"/>
  <cols>
    <col min="1" max="1" width="71.5" customWidth="1"/>
    <col min="2" max="4" width="37.6640625" customWidth="1"/>
  </cols>
  <sheetData>
    <row r="1" spans="1:4" ht="15.75" customHeight="1" x14ac:dyDescent="0.15">
      <c r="A1" s="1"/>
      <c r="B1" s="10" t="str">
        <f ca="1">IFERROR(__xludf.DUMMYFUNCTION("IMPORTRANGE(""https://docs.google.com/spreadsheets/u/0/d/1tjgC5crHxYL6PIwdjQvl-Lz18xb2WRifl2-5aQ8KGT8"", ""A70!B1:B22"")"),"Jake Stafford")</f>
        <v>Jake Stafford</v>
      </c>
      <c r="C1" s="10" t="str">
        <f ca="1">IFERROR(__xludf.DUMMYFUNCTION("IMPORTRANGE(""https://docs.google.com/spreadsheets/u/0/d/1etLQb97lMSNWG4ebq9e4mMf5V6Y_IPpBxMswZpIG47E"", ""A70!B1:B22"")"),"Put your name here")</f>
        <v>Put your name here</v>
      </c>
      <c r="D1" s="2" t="s">
        <v>1</v>
      </c>
    </row>
    <row r="2" spans="1:4" ht="15.75" customHeight="1" x14ac:dyDescent="0.15">
      <c r="A2" s="3" t="s">
        <v>2</v>
      </c>
      <c r="B2" s="15" t="str">
        <f ca="1">IFERROR(__xludf.DUMMYFUNCTION("""COMPUTED_VALUE"""),"Start: 43581 Stop:44564")</f>
        <v>Start: 43581 Stop:44564</v>
      </c>
      <c r="C2" s="15"/>
      <c r="D2" s="4"/>
    </row>
    <row r="3" spans="1:4" ht="15.75" customHeight="1" x14ac:dyDescent="0.15">
      <c r="A3" s="5" t="s">
        <v>3</v>
      </c>
      <c r="B3" s="17" t="str">
        <f ca="1">IFERROR(__xludf.DUMMYFUNCTION("""COMPUTED_VALUE"""),"70 in PHAM, 69 in DNAM")</f>
        <v>70 in PHAM, 69 in DNAM</v>
      </c>
      <c r="C3" s="17"/>
      <c r="D3" s="6"/>
    </row>
    <row r="4" spans="1:4" ht="15.75" customHeight="1" x14ac:dyDescent="0.15">
      <c r="A4" s="5" t="s">
        <v>4</v>
      </c>
      <c r="B4" s="17" t="str">
        <f ca="1">IFERROR(__xludf.DUMMYFUNCTION("""COMPUTED_VALUE"""),"214143 3/12/25")</f>
        <v>214143 3/12/25</v>
      </c>
      <c r="C4" s="17"/>
      <c r="D4" s="6"/>
    </row>
    <row r="5" spans="1:4" ht="15.75" customHeight="1" x14ac:dyDescent="0.15">
      <c r="A5" s="5" t="s">
        <v>5</v>
      </c>
      <c r="B5" s="17" t="str">
        <f ca="1">IFERROR(__xludf.DUMMYFUNCTION("""COMPUTED_VALUE"""),"Kovu_68, Edmundo_70")</f>
        <v>Kovu_68, Edmundo_70</v>
      </c>
      <c r="C5" s="17"/>
      <c r="D5" s="6"/>
    </row>
    <row r="6" spans="1:4" ht="15.75" customHeight="1" x14ac:dyDescent="0.15">
      <c r="A6" s="5" t="s">
        <v>6</v>
      </c>
      <c r="B6" s="17" t="str">
        <f ca="1">IFERROR(__xludf.DUMMYFUNCTION("""COMPUTED_VALUE"""),"Both called 43581")</f>
        <v>Both called 43581</v>
      </c>
      <c r="C6" s="17"/>
      <c r="D6" s="6"/>
    </row>
    <row r="7" spans="1:4" ht="15.75" customHeight="1" x14ac:dyDescent="0.15">
      <c r="A7" s="5" t="s">
        <v>7</v>
      </c>
      <c r="B7" s="17" t="str">
        <f ca="1">IFERROR(__xludf.DUMMYFUNCTION("""COMPUTED_VALUE"""),"Good coding potential, all is included")</f>
        <v>Good coding potential, all is included</v>
      </c>
      <c r="C7" s="17"/>
      <c r="D7" s="6"/>
    </row>
    <row r="8" spans="1:4" ht="15.75" customHeight="1" x14ac:dyDescent="0.15">
      <c r="A8" s="5" t="s">
        <v>8</v>
      </c>
      <c r="B8" s="17" t="str">
        <f ca="1">IFERROR(__xludf.DUMMYFUNCTION("""COMPUTED_VALUE"""),"longest posible ORF")</f>
        <v>longest posible ORF</v>
      </c>
      <c r="C8" s="17"/>
      <c r="D8" s="6"/>
    </row>
    <row r="9" spans="1:4" ht="15.75" customHeight="1" x14ac:dyDescent="0.15">
      <c r="A9" s="5" t="s">
        <v>9</v>
      </c>
      <c r="B9" s="17" t="str">
        <f ca="1">IFERROR(__xludf.DUMMYFUNCTION("""COMPUTED_VALUE"""),"small gap of 15 nucleotides")</f>
        <v>small gap of 15 nucleotides</v>
      </c>
      <c r="C9" s="17"/>
      <c r="D9" s="6"/>
    </row>
    <row r="10" spans="1:4" ht="15.75" customHeight="1" x14ac:dyDescent="0.15">
      <c r="A10" s="5" t="s">
        <v>10</v>
      </c>
      <c r="B10" s="17" t="str">
        <f ca="1">IFERROR(__xludf.DUMMYFUNCTION("""COMPUTED_VALUE"""),"z-score: 2.451, best score")</f>
        <v>z-score: 2.451, best score</v>
      </c>
      <c r="C10" s="17"/>
      <c r="D10" s="6"/>
    </row>
    <row r="11" spans="1:4" ht="15.75" customHeight="1" x14ac:dyDescent="0.15">
      <c r="A11" s="5" t="s">
        <v>11</v>
      </c>
      <c r="B11" s="17" t="str">
        <f ca="1">IFERROR(__xludf.DUMMYFUNCTION("""COMPUTED_VALUE"""),"kovu_68, 94.8% Identity, eval= 0")</f>
        <v>kovu_68, 94.8% Identity, eval= 0</v>
      </c>
      <c r="C11" s="17"/>
      <c r="D11" s="6"/>
    </row>
    <row r="12" spans="1:4" ht="15.75" customHeight="1" x14ac:dyDescent="0.15">
      <c r="A12" s="5" t="s">
        <v>12</v>
      </c>
      <c r="B12" s="17" t="str">
        <f ca="1">IFERROR(__xludf.DUMMYFUNCTION("""COMPUTED_VALUE"""),"Not conserved in all members of this pham. conserved 22.6% of the time")</f>
        <v>Not conserved in all members of this pham. conserved 22.6% of the time</v>
      </c>
      <c r="C12" s="17"/>
      <c r="D12" s="6"/>
    </row>
    <row r="13" spans="1:4" ht="15.75" customHeight="1" x14ac:dyDescent="0.15">
      <c r="A13" s="5" t="s">
        <v>13</v>
      </c>
      <c r="B13" s="17" t="str">
        <f ca="1">IFERROR(__xludf.DUMMYFUNCTION("""COMPUTED_VALUE"""),"No, good score, coding potential and evalue")</f>
        <v>No, good score, coding potential and evalue</v>
      </c>
      <c r="C13" s="17"/>
      <c r="D13" s="6"/>
    </row>
    <row r="14" spans="1:4" ht="15.75" customHeight="1" x14ac:dyDescent="0.15">
      <c r="A14" s="5" t="s">
        <v>14</v>
      </c>
      <c r="B14" s="17" t="str">
        <f ca="1">IFERROR(__xludf.DUMMYFUNCTION("""COMPUTED_VALUE"""),"Kovu_68 eval: 0, Kharcho_46 eval: 2e-121")</f>
        <v>Kovu_68 eval: 0, Kharcho_46 eval: 2e-121</v>
      </c>
      <c r="C14" s="17"/>
      <c r="D14" s="6"/>
    </row>
    <row r="15" spans="1:4" ht="15.75" customHeight="1" x14ac:dyDescent="0.15">
      <c r="A15" s="5" t="s">
        <v>15</v>
      </c>
      <c r="B15" s="17" t="str">
        <f ca="1">IFERROR(__xludf.DUMMYFUNCTION("""COMPUTED_VALUE"""),"Kovu, Kharcho, both minor tail protiens")</f>
        <v>Kovu, Kharcho, both minor tail protiens</v>
      </c>
      <c r="C15" s="17"/>
      <c r="D15" s="6"/>
    </row>
    <row r="16" spans="1:4" ht="15.75" customHeight="1" x14ac:dyDescent="0.15">
      <c r="A16" s="5" t="s">
        <v>16</v>
      </c>
      <c r="B16" s="17" t="str">
        <f ca="1">IFERROR(__xludf.DUMMYFUNCTION("""COMPUTED_VALUE"""),"Would be expected, genes 67-75 are very similar to kovu's 65-73 genes ")</f>
        <v xml:space="preserve">Would be expected, genes 67-75 are very similar to kovu's 65-73 genes </v>
      </c>
      <c r="C16" s="17"/>
      <c r="D16" s="6"/>
    </row>
    <row r="17" spans="1:4" ht="15.75" customHeight="1" x14ac:dyDescent="0.15">
      <c r="A17" s="5" t="s">
        <v>17</v>
      </c>
      <c r="B17" s="17" t="str">
        <f ca="1">IFERROR(__xludf.DUMMYFUNCTION("""COMPUTED_VALUE"""),"Baseplate assembly protein V; Beta-Helix, OB-Fold, Phage Baseplate, Iron-Binding, Cell membrane piercing, Tail spike, VI, prob: 93.47%, allQ: 37.3%, allT: 57.82%. Functional domain is in the target part of the allignment but only covers around 32%")</f>
        <v>Baseplate assembly protein V; Beta-Helix, OB-Fold, Phage Baseplate, Iron-Binding, Cell membrane piercing, Tail spike, VI, prob: 93.47%, allQ: 37.3%, allT: 57.82%. Functional domain is in the target part of the allignment but only covers around 32%</v>
      </c>
      <c r="C17" s="17"/>
      <c r="D17" s="6"/>
    </row>
    <row r="18" spans="1:4" ht="15.75" customHeight="1" x14ac:dyDescent="0.15">
      <c r="A18" s="5" t="s">
        <v>18</v>
      </c>
      <c r="B18" s="17" t="str">
        <f ca="1">IFERROR(__xludf.DUMMYFUNCTION("""COMPUTED_VALUE"""),"none")</f>
        <v>none</v>
      </c>
      <c r="C18" s="17"/>
      <c r="D18" s="6"/>
    </row>
    <row r="19" spans="1:4" ht="15.75" customHeight="1" x14ac:dyDescent="0.15">
      <c r="A19" s="5" t="s">
        <v>19</v>
      </c>
      <c r="B19" s="17" t="str">
        <f ca="1">IFERROR(__xludf.DUMMYFUNCTION("""COMPUTED_VALUE"""),"yes, ")</f>
        <v xml:space="preserve">yes, </v>
      </c>
      <c r="C19" s="17"/>
      <c r="D19" s="6"/>
    </row>
    <row r="20" spans="1:4" ht="15.75" customHeight="1" x14ac:dyDescent="0.15">
      <c r="A20" s="5" t="s">
        <v>20</v>
      </c>
      <c r="B20" s="17" t="str">
        <f ca="1">IFERROR(__xludf.DUMMYFUNCTION("""COMPUTED_VALUE"""),"HHpred's most likely proteins are tail or spike related. Homologous genes either have no function or minor tail protiens. I think this is a tail spike protien.")</f>
        <v>HHpred's most likely proteins are tail or spike related. Homologous genes either have no function or minor tail protiens. I think this is a tail spike protien.</v>
      </c>
      <c r="C20" s="17"/>
      <c r="D20" s="6"/>
    </row>
    <row r="21" spans="1:4" x14ac:dyDescent="0.2">
      <c r="A21" s="7"/>
      <c r="B21" s="19"/>
      <c r="C21" s="19"/>
      <c r="D21" s="8"/>
    </row>
    <row r="22" spans="1:4" ht="15.75" customHeight="1" x14ac:dyDescent="0.15">
      <c r="A22" s="9" t="s">
        <v>21</v>
      </c>
      <c r="B22" s="19"/>
      <c r="C22" s="19"/>
      <c r="D22" s="8"/>
    </row>
    <row r="23" spans="1:4" ht="15.75" customHeight="1" x14ac:dyDescent="0.15">
      <c r="A23" s="10"/>
      <c r="B23" s="13"/>
      <c r="C23" s="13"/>
    </row>
    <row r="24" spans="1:4" ht="15.75" customHeight="1" x14ac:dyDescent="0.15">
      <c r="A24" s="10"/>
      <c r="B24" s="13"/>
      <c r="C24" s="13"/>
    </row>
    <row r="25" spans="1:4" ht="15.75" customHeight="1" x14ac:dyDescent="0.15">
      <c r="A25" s="10"/>
      <c r="B25" s="13"/>
      <c r="C25" s="13"/>
    </row>
    <row r="26" spans="1:4" ht="15.75" customHeight="1" x14ac:dyDescent="0.15">
      <c r="A26" s="10"/>
      <c r="B26" s="13"/>
      <c r="C26" s="13"/>
    </row>
    <row r="27" spans="1:4" ht="15.75" customHeight="1" x14ac:dyDescent="0.15">
      <c r="A27" s="10"/>
      <c r="B27" s="13"/>
      <c r="C27" s="13"/>
    </row>
    <row r="28" spans="1:4" ht="15.75" customHeight="1" x14ac:dyDescent="0.15">
      <c r="A28" s="10"/>
      <c r="B28" s="13"/>
      <c r="C28" s="13"/>
    </row>
    <row r="29" spans="1:4" ht="15.75" customHeight="1" x14ac:dyDescent="0.15">
      <c r="A29" s="10"/>
      <c r="B29" s="13"/>
      <c r="C29" s="13"/>
    </row>
    <row r="30" spans="1:4" ht="15.75" customHeight="1" x14ac:dyDescent="0.15">
      <c r="A30" s="10"/>
      <c r="B30" s="13"/>
      <c r="C30" s="13"/>
    </row>
    <row r="31" spans="1:4" ht="15.75" customHeight="1" x14ac:dyDescent="0.15">
      <c r="A31" s="10"/>
      <c r="B31" s="13"/>
      <c r="C31" s="13"/>
    </row>
    <row r="32" spans="1:4" ht="15.75" customHeight="1" x14ac:dyDescent="0.15">
      <c r="A32" s="10"/>
      <c r="B32" s="13"/>
      <c r="C32" s="13"/>
    </row>
    <row r="33" spans="1:3" ht="15.75" customHeight="1" x14ac:dyDescent="0.15">
      <c r="A33" s="10"/>
      <c r="B33" s="13"/>
      <c r="C33" s="13"/>
    </row>
    <row r="34" spans="1:3" ht="15.75" customHeight="1" x14ac:dyDescent="0.15">
      <c r="A34" s="10"/>
      <c r="B34" s="13"/>
      <c r="C34" s="13"/>
    </row>
    <row r="35" spans="1:3" ht="15.75" customHeight="1" x14ac:dyDescent="0.15">
      <c r="A35" s="10"/>
      <c r="B35" s="13"/>
      <c r="C35" s="13"/>
    </row>
    <row r="36" spans="1:3" ht="15.75" customHeight="1" x14ac:dyDescent="0.15">
      <c r="A36" s="10"/>
      <c r="B36" s="13"/>
      <c r="C36" s="13"/>
    </row>
    <row r="37" spans="1:3" ht="15.75" customHeight="1" x14ac:dyDescent="0.15">
      <c r="A37" s="10"/>
      <c r="B37" s="13"/>
      <c r="C37" s="13"/>
    </row>
    <row r="38" spans="1:3" ht="15.75" customHeight="1" x14ac:dyDescent="0.15">
      <c r="A38" s="10"/>
      <c r="B38" s="13"/>
      <c r="C38" s="13"/>
    </row>
    <row r="39" spans="1:3" ht="13" x14ac:dyDescent="0.15">
      <c r="A39" s="10"/>
      <c r="B39" s="13"/>
      <c r="C39" s="13"/>
    </row>
    <row r="40" spans="1:3" ht="13" x14ac:dyDescent="0.15">
      <c r="A40" s="10"/>
      <c r="B40" s="13"/>
      <c r="C40" s="13"/>
    </row>
    <row r="41" spans="1:3" ht="13" x14ac:dyDescent="0.15">
      <c r="A41" s="10"/>
      <c r="B41" s="13"/>
      <c r="C41" s="13"/>
    </row>
    <row r="42" spans="1:3" ht="13" x14ac:dyDescent="0.15">
      <c r="A42" s="10"/>
      <c r="B42" s="13"/>
      <c r="C42" s="13"/>
    </row>
    <row r="43" spans="1:3" ht="13" x14ac:dyDescent="0.15">
      <c r="A43" s="10"/>
      <c r="B43" s="13"/>
      <c r="C43" s="13"/>
    </row>
    <row r="44" spans="1:3" ht="13" x14ac:dyDescent="0.15">
      <c r="A44" s="10"/>
      <c r="B44" s="13"/>
      <c r="C44" s="13"/>
    </row>
    <row r="45" spans="1:3" ht="13" x14ac:dyDescent="0.15">
      <c r="A45" s="10"/>
      <c r="B45" s="13"/>
      <c r="C45" s="13"/>
    </row>
    <row r="46" spans="1:3" ht="13" x14ac:dyDescent="0.15">
      <c r="A46" s="10"/>
      <c r="B46" s="13"/>
      <c r="C46" s="13"/>
    </row>
    <row r="47" spans="1:3" ht="13" x14ac:dyDescent="0.15">
      <c r="A47" s="10"/>
      <c r="B47" s="13"/>
      <c r="C47" s="13"/>
    </row>
    <row r="48" spans="1:3" ht="13" x14ac:dyDescent="0.15">
      <c r="A48" s="10"/>
      <c r="B48" s="13"/>
      <c r="C48" s="13"/>
    </row>
    <row r="49" spans="1:3" ht="13" x14ac:dyDescent="0.15">
      <c r="A49" s="10"/>
      <c r="B49" s="13"/>
      <c r="C49" s="13"/>
    </row>
    <row r="50" spans="1:3" ht="13" x14ac:dyDescent="0.15">
      <c r="A50" s="10"/>
      <c r="B50" s="13"/>
      <c r="C50" s="13"/>
    </row>
    <row r="51" spans="1:3" ht="13" x14ac:dyDescent="0.15">
      <c r="A51" s="10"/>
      <c r="B51" s="13"/>
      <c r="C51" s="13"/>
    </row>
    <row r="52" spans="1:3" ht="13" x14ac:dyDescent="0.15">
      <c r="A52" s="10"/>
      <c r="B52" s="13"/>
      <c r="C52" s="13"/>
    </row>
    <row r="53" spans="1:3" ht="13" x14ac:dyDescent="0.15">
      <c r="A53" s="10"/>
      <c r="B53" s="13"/>
      <c r="C53" s="13"/>
    </row>
    <row r="54" spans="1:3" ht="13" x14ac:dyDescent="0.15">
      <c r="A54" s="10"/>
      <c r="B54" s="13"/>
      <c r="C54" s="13"/>
    </row>
    <row r="55" spans="1:3" ht="13" x14ac:dyDescent="0.15">
      <c r="A55" s="10"/>
      <c r="B55" s="13"/>
      <c r="C55" s="13"/>
    </row>
    <row r="56" spans="1:3" ht="13" x14ac:dyDescent="0.15">
      <c r="A56" s="10"/>
      <c r="B56" s="13"/>
      <c r="C56" s="13"/>
    </row>
    <row r="57" spans="1:3" ht="13" x14ac:dyDescent="0.15">
      <c r="A57" s="10"/>
      <c r="B57" s="13"/>
      <c r="C57" s="13"/>
    </row>
    <row r="58" spans="1:3" ht="13" x14ac:dyDescent="0.15">
      <c r="A58" s="10"/>
      <c r="B58" s="13"/>
      <c r="C58" s="13"/>
    </row>
    <row r="59" spans="1:3" ht="13" x14ac:dyDescent="0.15">
      <c r="A59" s="10"/>
      <c r="B59" s="13"/>
      <c r="C59" s="13"/>
    </row>
    <row r="60" spans="1:3" ht="13" x14ac:dyDescent="0.15">
      <c r="A60" s="10"/>
      <c r="B60" s="13"/>
      <c r="C60" s="13"/>
    </row>
    <row r="61" spans="1:3" ht="13" x14ac:dyDescent="0.15">
      <c r="A61" s="10"/>
      <c r="B61" s="13"/>
      <c r="C61" s="13"/>
    </row>
    <row r="62" spans="1:3" ht="13" x14ac:dyDescent="0.15">
      <c r="A62" s="10"/>
      <c r="B62" s="13"/>
      <c r="C62" s="13"/>
    </row>
    <row r="63" spans="1:3" ht="13" x14ac:dyDescent="0.15">
      <c r="A63" s="10"/>
      <c r="B63" s="13"/>
      <c r="C63" s="13"/>
    </row>
    <row r="64" spans="1:3" ht="13" x14ac:dyDescent="0.15">
      <c r="A64" s="10"/>
      <c r="B64" s="13"/>
      <c r="C64" s="13"/>
    </row>
    <row r="65" spans="1:3" ht="13" x14ac:dyDescent="0.15">
      <c r="A65" s="10"/>
      <c r="B65" s="13"/>
      <c r="C65" s="13"/>
    </row>
    <row r="66" spans="1:3" ht="13" x14ac:dyDescent="0.15">
      <c r="A66" s="10"/>
      <c r="B66" s="13"/>
      <c r="C66" s="13"/>
    </row>
    <row r="67" spans="1:3" ht="13" x14ac:dyDescent="0.15">
      <c r="A67" s="10"/>
      <c r="B67" s="13"/>
      <c r="C67" s="13"/>
    </row>
    <row r="68" spans="1:3" ht="13" x14ac:dyDescent="0.15">
      <c r="A68" s="10"/>
      <c r="B68" s="13"/>
      <c r="C68" s="13"/>
    </row>
    <row r="69" spans="1:3" ht="13" x14ac:dyDescent="0.15">
      <c r="A69" s="10"/>
      <c r="B69" s="13"/>
      <c r="C69" s="13"/>
    </row>
    <row r="70" spans="1:3" ht="13" x14ac:dyDescent="0.15">
      <c r="A70" s="10"/>
      <c r="B70" s="13"/>
      <c r="C70" s="13"/>
    </row>
    <row r="71" spans="1:3" ht="13" x14ac:dyDescent="0.15">
      <c r="A71" s="10"/>
      <c r="B71" s="13"/>
      <c r="C71" s="13"/>
    </row>
    <row r="72" spans="1:3" ht="13" x14ac:dyDescent="0.15">
      <c r="A72" s="10"/>
      <c r="B72" s="13"/>
      <c r="C72" s="13"/>
    </row>
    <row r="73" spans="1:3" ht="13" x14ac:dyDescent="0.15">
      <c r="A73" s="10"/>
      <c r="B73" s="13"/>
      <c r="C73" s="13"/>
    </row>
    <row r="74" spans="1:3" ht="13" x14ac:dyDescent="0.15">
      <c r="A74" s="10"/>
      <c r="B74" s="13"/>
      <c r="C74" s="13"/>
    </row>
    <row r="75" spans="1:3" ht="13" x14ac:dyDescent="0.15">
      <c r="A75" s="10"/>
      <c r="B75" s="13"/>
      <c r="C75" s="13"/>
    </row>
    <row r="76" spans="1:3" ht="13" x14ac:dyDescent="0.15">
      <c r="A76" s="10"/>
      <c r="B76" s="13"/>
      <c r="C76" s="13"/>
    </row>
    <row r="77" spans="1:3" ht="13" x14ac:dyDescent="0.15">
      <c r="A77" s="10"/>
      <c r="B77" s="13"/>
      <c r="C77" s="13"/>
    </row>
    <row r="78" spans="1:3" ht="13" x14ac:dyDescent="0.15">
      <c r="A78" s="10"/>
      <c r="B78" s="13"/>
      <c r="C78" s="13"/>
    </row>
    <row r="79" spans="1:3" ht="13" x14ac:dyDescent="0.15">
      <c r="A79" s="10"/>
      <c r="B79" s="13"/>
      <c r="C79" s="13"/>
    </row>
    <row r="80" spans="1:3" ht="13" x14ac:dyDescent="0.15">
      <c r="A80" s="10"/>
      <c r="B80" s="13"/>
      <c r="C80" s="13"/>
    </row>
    <row r="81" spans="1:3" ht="13" x14ac:dyDescent="0.15">
      <c r="A81" s="10"/>
      <c r="B81" s="13"/>
      <c r="C81" s="13"/>
    </row>
    <row r="82" spans="1:3" ht="13" x14ac:dyDescent="0.15">
      <c r="A82" s="10"/>
      <c r="B82" s="13"/>
      <c r="C82" s="13"/>
    </row>
    <row r="83" spans="1:3" ht="13" x14ac:dyDescent="0.15">
      <c r="A83" s="10"/>
      <c r="B83" s="13"/>
      <c r="C83" s="13"/>
    </row>
    <row r="84" spans="1:3" ht="13" x14ac:dyDescent="0.15">
      <c r="A84" s="10"/>
      <c r="B84" s="13"/>
      <c r="C84" s="13"/>
    </row>
    <row r="85" spans="1:3" ht="13" x14ac:dyDescent="0.15">
      <c r="A85" s="10"/>
      <c r="B85" s="13"/>
      <c r="C85" s="13"/>
    </row>
    <row r="86" spans="1:3" ht="13" x14ac:dyDescent="0.15">
      <c r="A86" s="10"/>
      <c r="B86" s="13"/>
      <c r="C86" s="13"/>
    </row>
    <row r="87" spans="1:3" ht="13" x14ac:dyDescent="0.15">
      <c r="A87" s="10"/>
      <c r="B87" s="13"/>
      <c r="C87" s="13"/>
    </row>
    <row r="88" spans="1:3" ht="13" x14ac:dyDescent="0.15">
      <c r="A88" s="10"/>
      <c r="B88" s="13"/>
      <c r="C88" s="13"/>
    </row>
    <row r="89" spans="1:3" ht="13" x14ac:dyDescent="0.15">
      <c r="A89" s="10"/>
      <c r="B89" s="13"/>
      <c r="C89" s="13"/>
    </row>
    <row r="90" spans="1:3" ht="13" x14ac:dyDescent="0.15">
      <c r="A90" s="10"/>
      <c r="B90" s="13"/>
      <c r="C90" s="13"/>
    </row>
    <row r="91" spans="1:3" ht="13" x14ac:dyDescent="0.15">
      <c r="A91" s="10"/>
      <c r="B91" s="13"/>
      <c r="C91" s="13"/>
    </row>
    <row r="92" spans="1:3" ht="13" x14ac:dyDescent="0.15">
      <c r="A92" s="10"/>
      <c r="B92" s="13"/>
      <c r="C92" s="13"/>
    </row>
    <row r="93" spans="1:3" ht="13" x14ac:dyDescent="0.15">
      <c r="A93" s="10"/>
      <c r="B93" s="13"/>
      <c r="C93" s="13"/>
    </row>
    <row r="94" spans="1:3" ht="13" x14ac:dyDescent="0.15">
      <c r="A94" s="10"/>
      <c r="B94" s="13"/>
      <c r="C94" s="13"/>
    </row>
    <row r="95" spans="1:3" ht="13" x14ac:dyDescent="0.15">
      <c r="A95" s="10"/>
      <c r="B95" s="13"/>
      <c r="C95" s="13"/>
    </row>
    <row r="96" spans="1:3" ht="13" x14ac:dyDescent="0.15">
      <c r="A96" s="10"/>
      <c r="B96" s="13"/>
      <c r="C96" s="13"/>
    </row>
    <row r="97" spans="1:3" ht="13" x14ac:dyDescent="0.15">
      <c r="A97" s="10"/>
      <c r="B97" s="13"/>
      <c r="C97" s="13"/>
    </row>
    <row r="98" spans="1:3" ht="13" x14ac:dyDescent="0.15">
      <c r="A98" s="10"/>
      <c r="B98" s="13"/>
      <c r="C98" s="13"/>
    </row>
    <row r="99" spans="1:3" ht="13" x14ac:dyDescent="0.15">
      <c r="A99" s="10"/>
      <c r="B99" s="13"/>
      <c r="C99" s="13"/>
    </row>
    <row r="100" spans="1:3" ht="13" x14ac:dyDescent="0.15">
      <c r="A100" s="10"/>
      <c r="B100" s="13"/>
      <c r="C100" s="13"/>
    </row>
    <row r="101" spans="1:3" ht="13" x14ac:dyDescent="0.15">
      <c r="A101" s="10"/>
      <c r="B101" s="13"/>
      <c r="C101" s="13"/>
    </row>
    <row r="102" spans="1:3" ht="13" x14ac:dyDescent="0.15">
      <c r="A102" s="10"/>
      <c r="B102" s="13"/>
      <c r="C102" s="13"/>
    </row>
    <row r="103" spans="1:3" ht="13" x14ac:dyDescent="0.15">
      <c r="A103" s="10"/>
      <c r="B103" s="13"/>
      <c r="C103" s="13"/>
    </row>
    <row r="104" spans="1:3" ht="13" x14ac:dyDescent="0.15">
      <c r="A104" s="10"/>
      <c r="B104" s="13"/>
      <c r="C104" s="13"/>
    </row>
    <row r="105" spans="1:3" ht="13" x14ac:dyDescent="0.15">
      <c r="A105" s="10"/>
      <c r="B105" s="13"/>
      <c r="C105" s="13"/>
    </row>
    <row r="106" spans="1:3" ht="13" x14ac:dyDescent="0.15">
      <c r="A106" s="10"/>
      <c r="B106" s="13"/>
      <c r="C106" s="13"/>
    </row>
    <row r="107" spans="1:3" ht="13" x14ac:dyDescent="0.15">
      <c r="A107" s="10"/>
      <c r="B107" s="13"/>
      <c r="C107" s="13"/>
    </row>
    <row r="108" spans="1:3" ht="13" x14ac:dyDescent="0.15">
      <c r="A108" s="10"/>
      <c r="B108" s="13"/>
      <c r="C108" s="13"/>
    </row>
    <row r="109" spans="1:3" ht="13" x14ac:dyDescent="0.15">
      <c r="A109" s="10"/>
      <c r="B109" s="13"/>
      <c r="C109" s="13"/>
    </row>
    <row r="110" spans="1:3" ht="13" x14ac:dyDescent="0.15">
      <c r="A110" s="10"/>
      <c r="B110" s="13"/>
      <c r="C110" s="13"/>
    </row>
    <row r="111" spans="1:3" ht="13" x14ac:dyDescent="0.15">
      <c r="A111" s="10"/>
      <c r="B111" s="13"/>
      <c r="C111" s="13"/>
    </row>
    <row r="112" spans="1:3" ht="13" x14ac:dyDescent="0.15">
      <c r="A112" s="10"/>
      <c r="B112" s="13"/>
      <c r="C112" s="13"/>
    </row>
    <row r="113" spans="1:3" ht="13" x14ac:dyDescent="0.15">
      <c r="A113" s="10"/>
      <c r="B113" s="13"/>
      <c r="C113" s="13"/>
    </row>
    <row r="114" spans="1:3" ht="13" x14ac:dyDescent="0.15">
      <c r="A114" s="10"/>
      <c r="B114" s="13"/>
      <c r="C114" s="13"/>
    </row>
    <row r="115" spans="1:3" ht="13" x14ac:dyDescent="0.15">
      <c r="A115" s="10"/>
      <c r="B115" s="13"/>
      <c r="C115" s="13"/>
    </row>
    <row r="116" spans="1:3" ht="13" x14ac:dyDescent="0.15">
      <c r="A116" s="10"/>
      <c r="B116" s="13"/>
      <c r="C116" s="13"/>
    </row>
    <row r="117" spans="1:3" ht="13" x14ac:dyDescent="0.15">
      <c r="A117" s="10"/>
      <c r="B117" s="13"/>
      <c r="C117" s="13"/>
    </row>
    <row r="118" spans="1:3" ht="13" x14ac:dyDescent="0.15">
      <c r="A118" s="10"/>
      <c r="B118" s="13"/>
      <c r="C118" s="13"/>
    </row>
    <row r="119" spans="1:3" ht="13" x14ac:dyDescent="0.15">
      <c r="A119" s="10"/>
      <c r="B119" s="13"/>
      <c r="C119" s="13"/>
    </row>
    <row r="120" spans="1:3" ht="13" x14ac:dyDescent="0.15">
      <c r="A120" s="10"/>
      <c r="B120" s="13"/>
      <c r="C120" s="13"/>
    </row>
    <row r="121" spans="1:3" ht="13" x14ac:dyDescent="0.15">
      <c r="A121" s="10"/>
      <c r="B121" s="13"/>
      <c r="C121" s="13"/>
    </row>
    <row r="122" spans="1:3" ht="13" x14ac:dyDescent="0.15">
      <c r="A122" s="10"/>
      <c r="B122" s="13"/>
      <c r="C122" s="13"/>
    </row>
    <row r="123" spans="1:3" ht="13" x14ac:dyDescent="0.15">
      <c r="A123" s="10"/>
      <c r="B123" s="13"/>
      <c r="C123" s="13"/>
    </row>
    <row r="124" spans="1:3" ht="13" x14ac:dyDescent="0.15">
      <c r="A124" s="10"/>
      <c r="B124" s="13"/>
      <c r="C124" s="13"/>
    </row>
    <row r="125" spans="1:3" ht="13" x14ac:dyDescent="0.15">
      <c r="A125" s="10"/>
      <c r="B125" s="13"/>
      <c r="C125" s="13"/>
    </row>
    <row r="126" spans="1:3" ht="13" x14ac:dyDescent="0.15">
      <c r="A126" s="10"/>
      <c r="B126" s="13"/>
      <c r="C126" s="13"/>
    </row>
    <row r="127" spans="1:3" ht="13" x14ac:dyDescent="0.15">
      <c r="A127" s="10"/>
      <c r="B127" s="13"/>
      <c r="C127" s="13"/>
    </row>
    <row r="128" spans="1:3" ht="13" x14ac:dyDescent="0.15">
      <c r="A128" s="10"/>
      <c r="B128" s="13"/>
      <c r="C128" s="13"/>
    </row>
    <row r="129" spans="1:3" ht="13" x14ac:dyDescent="0.15">
      <c r="A129" s="10"/>
      <c r="B129" s="13"/>
      <c r="C129" s="13"/>
    </row>
    <row r="130" spans="1:3" ht="13" x14ac:dyDescent="0.15">
      <c r="A130" s="10"/>
      <c r="B130" s="13"/>
      <c r="C130" s="13"/>
    </row>
    <row r="131" spans="1:3" ht="13" x14ac:dyDescent="0.15">
      <c r="A131" s="10"/>
      <c r="B131" s="13"/>
      <c r="C131" s="13"/>
    </row>
    <row r="132" spans="1:3" ht="13" x14ac:dyDescent="0.15">
      <c r="A132" s="10"/>
      <c r="B132" s="13"/>
      <c r="C132" s="13"/>
    </row>
    <row r="133" spans="1:3" ht="13" x14ac:dyDescent="0.15">
      <c r="A133" s="10"/>
      <c r="B133" s="13"/>
      <c r="C133" s="13"/>
    </row>
    <row r="134" spans="1:3" ht="13" x14ac:dyDescent="0.15">
      <c r="A134" s="10"/>
      <c r="B134" s="13"/>
      <c r="C134" s="13"/>
    </row>
    <row r="135" spans="1:3" ht="13" x14ac:dyDescent="0.15">
      <c r="A135" s="10"/>
      <c r="B135" s="13"/>
      <c r="C135" s="13"/>
    </row>
    <row r="136" spans="1:3" ht="13" x14ac:dyDescent="0.15">
      <c r="A136" s="10"/>
      <c r="B136" s="13"/>
      <c r="C136" s="13"/>
    </row>
    <row r="137" spans="1:3" ht="13" x14ac:dyDescent="0.15">
      <c r="A137" s="10"/>
      <c r="B137" s="13"/>
      <c r="C137" s="13"/>
    </row>
    <row r="138" spans="1:3" ht="13" x14ac:dyDescent="0.15">
      <c r="A138" s="10"/>
      <c r="B138" s="13"/>
      <c r="C138" s="13"/>
    </row>
    <row r="139" spans="1:3" ht="13" x14ac:dyDescent="0.15">
      <c r="A139" s="10"/>
      <c r="B139" s="13"/>
      <c r="C139" s="13"/>
    </row>
    <row r="140" spans="1:3" ht="13" x14ac:dyDescent="0.15">
      <c r="A140" s="10"/>
      <c r="B140" s="13"/>
      <c r="C140" s="13"/>
    </row>
    <row r="141" spans="1:3" ht="13" x14ac:dyDescent="0.15">
      <c r="A141" s="10"/>
      <c r="B141" s="13"/>
      <c r="C141" s="13"/>
    </row>
    <row r="142" spans="1:3" ht="13" x14ac:dyDescent="0.15">
      <c r="A142" s="10"/>
      <c r="B142" s="13"/>
      <c r="C142" s="13"/>
    </row>
    <row r="143" spans="1:3" ht="13" x14ac:dyDescent="0.15">
      <c r="A143" s="10"/>
      <c r="B143" s="13"/>
      <c r="C143" s="13"/>
    </row>
    <row r="144" spans="1:3" ht="13" x14ac:dyDescent="0.15">
      <c r="A144" s="10"/>
      <c r="B144" s="13"/>
      <c r="C144" s="13"/>
    </row>
    <row r="145" spans="1:3" ht="13" x14ac:dyDescent="0.15">
      <c r="A145" s="10"/>
      <c r="B145" s="13"/>
      <c r="C145" s="13"/>
    </row>
    <row r="146" spans="1:3" ht="13" x14ac:dyDescent="0.15">
      <c r="A146" s="10"/>
      <c r="B146" s="13"/>
      <c r="C146" s="13"/>
    </row>
    <row r="147" spans="1:3" ht="13" x14ac:dyDescent="0.15">
      <c r="A147" s="10"/>
      <c r="B147" s="13"/>
      <c r="C147" s="13"/>
    </row>
    <row r="148" spans="1:3" ht="13" x14ac:dyDescent="0.15">
      <c r="A148" s="10"/>
      <c r="B148" s="13"/>
      <c r="C148" s="13"/>
    </row>
    <row r="149" spans="1:3" ht="13" x14ac:dyDescent="0.15">
      <c r="A149" s="10"/>
      <c r="B149" s="13"/>
      <c r="C149" s="13"/>
    </row>
    <row r="150" spans="1:3" ht="13" x14ac:dyDescent="0.15">
      <c r="A150" s="10"/>
      <c r="B150" s="13"/>
      <c r="C150" s="13"/>
    </row>
    <row r="151" spans="1:3" ht="13" x14ac:dyDescent="0.15">
      <c r="A151" s="10"/>
      <c r="B151" s="13"/>
      <c r="C151" s="13"/>
    </row>
    <row r="152" spans="1:3" ht="13" x14ac:dyDescent="0.15">
      <c r="A152" s="10"/>
      <c r="B152" s="13"/>
      <c r="C152" s="13"/>
    </row>
    <row r="153" spans="1:3" ht="13" x14ac:dyDescent="0.15">
      <c r="A153" s="10"/>
      <c r="B153" s="13"/>
      <c r="C153" s="13"/>
    </row>
    <row r="154" spans="1:3" ht="13" x14ac:dyDescent="0.15">
      <c r="A154" s="10"/>
      <c r="B154" s="13"/>
      <c r="C154" s="13"/>
    </row>
    <row r="155" spans="1:3" ht="13" x14ac:dyDescent="0.15">
      <c r="A155" s="10"/>
      <c r="B155" s="13"/>
      <c r="C155" s="13"/>
    </row>
    <row r="156" spans="1:3" ht="13" x14ac:dyDescent="0.15">
      <c r="A156" s="10"/>
      <c r="B156" s="13"/>
      <c r="C156" s="13"/>
    </row>
    <row r="157" spans="1:3" ht="13" x14ac:dyDescent="0.15">
      <c r="A157" s="10"/>
      <c r="B157" s="13"/>
      <c r="C157" s="13"/>
    </row>
    <row r="158" spans="1:3" ht="13" x14ac:dyDescent="0.15">
      <c r="A158" s="10"/>
      <c r="B158" s="13"/>
      <c r="C158" s="13"/>
    </row>
    <row r="159" spans="1:3" ht="13" x14ac:dyDescent="0.15">
      <c r="A159" s="10"/>
      <c r="B159" s="13"/>
      <c r="C159" s="13"/>
    </row>
    <row r="160" spans="1:3" ht="13" x14ac:dyDescent="0.15">
      <c r="A160" s="10"/>
      <c r="B160" s="13"/>
      <c r="C160" s="13"/>
    </row>
    <row r="161" spans="1:3" ht="13" x14ac:dyDescent="0.15">
      <c r="A161" s="10"/>
      <c r="B161" s="13"/>
      <c r="C161" s="13"/>
    </row>
    <row r="162" spans="1:3" ht="13" x14ac:dyDescent="0.15">
      <c r="A162" s="10"/>
      <c r="B162" s="13"/>
      <c r="C162" s="13"/>
    </row>
    <row r="163" spans="1:3" ht="13" x14ac:dyDescent="0.15">
      <c r="A163" s="10"/>
      <c r="B163" s="13"/>
      <c r="C163" s="13"/>
    </row>
    <row r="164" spans="1:3" ht="13" x14ac:dyDescent="0.15">
      <c r="A164" s="10"/>
      <c r="B164" s="13"/>
      <c r="C164" s="13"/>
    </row>
    <row r="165" spans="1:3" ht="13" x14ac:dyDescent="0.15">
      <c r="A165" s="10"/>
      <c r="B165" s="13"/>
      <c r="C165" s="13"/>
    </row>
    <row r="166" spans="1:3" ht="13" x14ac:dyDescent="0.15">
      <c r="A166" s="10"/>
      <c r="B166" s="13"/>
      <c r="C166" s="13"/>
    </row>
    <row r="167" spans="1:3" ht="13" x14ac:dyDescent="0.15">
      <c r="A167" s="10"/>
      <c r="B167" s="13"/>
      <c r="C167" s="13"/>
    </row>
    <row r="168" spans="1:3" ht="13" x14ac:dyDescent="0.15">
      <c r="A168" s="10"/>
      <c r="B168" s="13"/>
      <c r="C168" s="13"/>
    </row>
    <row r="169" spans="1:3" ht="13" x14ac:dyDescent="0.15">
      <c r="A169" s="10"/>
      <c r="B169" s="13"/>
      <c r="C169" s="13"/>
    </row>
    <row r="170" spans="1:3" ht="13" x14ac:dyDescent="0.15">
      <c r="A170" s="10"/>
      <c r="B170" s="13"/>
      <c r="C170" s="13"/>
    </row>
    <row r="171" spans="1:3" ht="13" x14ac:dyDescent="0.15">
      <c r="A171" s="10"/>
      <c r="B171" s="13"/>
      <c r="C171" s="13"/>
    </row>
    <row r="172" spans="1:3" ht="13" x14ac:dyDescent="0.15">
      <c r="A172" s="10"/>
      <c r="B172" s="13"/>
      <c r="C172" s="13"/>
    </row>
    <row r="173" spans="1:3" ht="13" x14ac:dyDescent="0.15">
      <c r="A173" s="10"/>
      <c r="B173" s="13"/>
      <c r="C173" s="13"/>
    </row>
    <row r="174" spans="1:3" ht="13" x14ac:dyDescent="0.15">
      <c r="A174" s="10"/>
      <c r="B174" s="13"/>
      <c r="C174" s="13"/>
    </row>
    <row r="175" spans="1:3" ht="13" x14ac:dyDescent="0.15">
      <c r="A175" s="10"/>
      <c r="B175" s="13"/>
      <c r="C175" s="13"/>
    </row>
    <row r="176" spans="1:3" ht="13" x14ac:dyDescent="0.15">
      <c r="A176" s="10"/>
      <c r="B176" s="13"/>
      <c r="C176" s="13"/>
    </row>
    <row r="177" spans="1:3" ht="13" x14ac:dyDescent="0.15">
      <c r="A177" s="10"/>
      <c r="B177" s="13"/>
      <c r="C177" s="13"/>
    </row>
    <row r="178" spans="1:3" ht="13" x14ac:dyDescent="0.15">
      <c r="A178" s="10"/>
      <c r="B178" s="13"/>
      <c r="C178" s="13"/>
    </row>
    <row r="179" spans="1:3" ht="13" x14ac:dyDescent="0.15">
      <c r="A179" s="10"/>
      <c r="B179" s="13"/>
      <c r="C179" s="13"/>
    </row>
    <row r="180" spans="1:3" ht="13" x14ac:dyDescent="0.15">
      <c r="A180" s="10"/>
      <c r="B180" s="13"/>
      <c r="C180" s="13"/>
    </row>
    <row r="181" spans="1:3" ht="13" x14ac:dyDescent="0.15">
      <c r="A181" s="10"/>
      <c r="B181" s="13"/>
      <c r="C181" s="13"/>
    </row>
    <row r="182" spans="1:3" ht="13" x14ac:dyDescent="0.15">
      <c r="A182" s="10"/>
      <c r="B182" s="13"/>
      <c r="C182" s="13"/>
    </row>
    <row r="183" spans="1:3" ht="13" x14ac:dyDescent="0.15">
      <c r="A183" s="10"/>
      <c r="B183" s="13"/>
      <c r="C183" s="13"/>
    </row>
    <row r="184" spans="1:3" ht="13" x14ac:dyDescent="0.15">
      <c r="A184" s="10"/>
      <c r="B184" s="13"/>
      <c r="C184" s="13"/>
    </row>
    <row r="185" spans="1:3" ht="13" x14ac:dyDescent="0.15">
      <c r="A185" s="10"/>
      <c r="B185" s="13"/>
      <c r="C185" s="13"/>
    </row>
    <row r="186" spans="1:3" ht="13" x14ac:dyDescent="0.15">
      <c r="A186" s="10"/>
      <c r="B186" s="13"/>
      <c r="C186" s="13"/>
    </row>
    <row r="187" spans="1:3" ht="13" x14ac:dyDescent="0.15">
      <c r="A187" s="10"/>
      <c r="B187" s="13"/>
      <c r="C187" s="13"/>
    </row>
    <row r="188" spans="1:3" ht="13" x14ac:dyDescent="0.15">
      <c r="A188" s="10"/>
      <c r="B188" s="13"/>
      <c r="C188" s="13"/>
    </row>
    <row r="189" spans="1:3" ht="13" x14ac:dyDescent="0.15">
      <c r="A189" s="10"/>
      <c r="B189" s="13"/>
      <c r="C189" s="13"/>
    </row>
    <row r="190" spans="1:3" ht="13" x14ac:dyDescent="0.15">
      <c r="A190" s="10"/>
      <c r="B190" s="13"/>
      <c r="C190" s="13"/>
    </row>
    <row r="191" spans="1:3" ht="13" x14ac:dyDescent="0.15">
      <c r="A191" s="10"/>
      <c r="B191" s="13"/>
      <c r="C191" s="13"/>
    </row>
    <row r="192" spans="1:3" ht="13" x14ac:dyDescent="0.15">
      <c r="A192" s="10"/>
      <c r="B192" s="13"/>
      <c r="C192" s="13"/>
    </row>
    <row r="193" spans="1:3" ht="13" x14ac:dyDescent="0.15">
      <c r="A193" s="10"/>
      <c r="B193" s="13"/>
      <c r="C193" s="13"/>
    </row>
    <row r="194" spans="1:3" ht="13" x14ac:dyDescent="0.15">
      <c r="A194" s="10"/>
      <c r="B194" s="13"/>
      <c r="C194" s="13"/>
    </row>
    <row r="195" spans="1:3" ht="13" x14ac:dyDescent="0.15">
      <c r="A195" s="10"/>
      <c r="B195" s="13"/>
      <c r="C195" s="13"/>
    </row>
    <row r="196" spans="1:3" ht="13" x14ac:dyDescent="0.15">
      <c r="A196" s="10"/>
      <c r="B196" s="13"/>
      <c r="C196" s="13"/>
    </row>
    <row r="197" spans="1:3" ht="13" x14ac:dyDescent="0.15">
      <c r="A197" s="10"/>
      <c r="B197" s="13"/>
      <c r="C197" s="13"/>
    </row>
    <row r="198" spans="1:3" ht="13" x14ac:dyDescent="0.15">
      <c r="A198" s="10"/>
      <c r="B198" s="13"/>
      <c r="C198" s="13"/>
    </row>
    <row r="199" spans="1:3" ht="13" x14ac:dyDescent="0.15">
      <c r="A199" s="10"/>
      <c r="B199" s="13"/>
      <c r="C199" s="13"/>
    </row>
    <row r="200" spans="1:3" ht="13" x14ac:dyDescent="0.15">
      <c r="A200" s="10"/>
      <c r="B200" s="13"/>
      <c r="C200" s="13"/>
    </row>
    <row r="201" spans="1:3" ht="13" x14ac:dyDescent="0.15">
      <c r="A201" s="10"/>
      <c r="B201" s="13"/>
      <c r="C201" s="13"/>
    </row>
    <row r="202" spans="1:3" ht="13" x14ac:dyDescent="0.15">
      <c r="A202" s="10"/>
      <c r="B202" s="13"/>
      <c r="C202" s="13"/>
    </row>
    <row r="203" spans="1:3" ht="13" x14ac:dyDescent="0.15">
      <c r="A203" s="10"/>
      <c r="B203" s="13"/>
      <c r="C203" s="13"/>
    </row>
    <row r="204" spans="1:3" ht="13" x14ac:dyDescent="0.15">
      <c r="A204" s="10"/>
      <c r="B204" s="13"/>
      <c r="C204" s="13"/>
    </row>
    <row r="205" spans="1:3" ht="13" x14ac:dyDescent="0.15">
      <c r="A205" s="10"/>
      <c r="B205" s="13"/>
      <c r="C205" s="13"/>
    </row>
    <row r="206" spans="1:3" ht="13" x14ac:dyDescent="0.15">
      <c r="A206" s="10"/>
      <c r="B206" s="13"/>
      <c r="C206" s="13"/>
    </row>
    <row r="207" spans="1:3" ht="13" x14ac:dyDescent="0.15">
      <c r="A207" s="10"/>
      <c r="B207" s="13"/>
      <c r="C207" s="13"/>
    </row>
    <row r="208" spans="1:3" ht="13" x14ac:dyDescent="0.15">
      <c r="A208" s="10"/>
      <c r="B208" s="13"/>
      <c r="C208" s="13"/>
    </row>
    <row r="209" spans="1:3" ht="13" x14ac:dyDescent="0.15">
      <c r="A209" s="10"/>
      <c r="B209" s="13"/>
      <c r="C209" s="13"/>
    </row>
    <row r="210" spans="1:3" ht="13" x14ac:dyDescent="0.15">
      <c r="A210" s="10"/>
      <c r="B210" s="13"/>
      <c r="C210" s="13"/>
    </row>
    <row r="211" spans="1:3" ht="13" x14ac:dyDescent="0.15">
      <c r="A211" s="10"/>
      <c r="B211" s="13"/>
      <c r="C211" s="13"/>
    </row>
    <row r="212" spans="1:3" ht="13" x14ac:dyDescent="0.15">
      <c r="A212" s="10"/>
      <c r="B212" s="13"/>
      <c r="C212" s="13"/>
    </row>
    <row r="213" spans="1:3" ht="13" x14ac:dyDescent="0.15">
      <c r="A213" s="10"/>
      <c r="B213" s="13"/>
      <c r="C213" s="13"/>
    </row>
    <row r="214" spans="1:3" ht="13" x14ac:dyDescent="0.15">
      <c r="A214" s="10"/>
      <c r="B214" s="13"/>
      <c r="C214" s="13"/>
    </row>
    <row r="215" spans="1:3" ht="13" x14ac:dyDescent="0.15">
      <c r="A215" s="10"/>
      <c r="B215" s="13"/>
      <c r="C215" s="13"/>
    </row>
    <row r="216" spans="1:3" ht="13" x14ac:dyDescent="0.15">
      <c r="A216" s="10"/>
      <c r="B216" s="13"/>
      <c r="C216" s="13"/>
    </row>
    <row r="217" spans="1:3" ht="13" x14ac:dyDescent="0.15">
      <c r="A217" s="10"/>
      <c r="B217" s="13"/>
      <c r="C217" s="13"/>
    </row>
    <row r="218" spans="1:3" ht="13" x14ac:dyDescent="0.15">
      <c r="A218" s="10"/>
      <c r="B218" s="13"/>
      <c r="C218" s="13"/>
    </row>
    <row r="219" spans="1:3" ht="13" x14ac:dyDescent="0.15">
      <c r="A219" s="10"/>
      <c r="B219" s="13"/>
      <c r="C219" s="13"/>
    </row>
    <row r="220" spans="1:3" ht="13" x14ac:dyDescent="0.15">
      <c r="A220" s="10"/>
      <c r="B220" s="13"/>
      <c r="C220" s="13"/>
    </row>
    <row r="221" spans="1:3" ht="13" x14ac:dyDescent="0.15">
      <c r="A221" s="10"/>
      <c r="B221" s="13"/>
      <c r="C221" s="13"/>
    </row>
    <row r="222" spans="1:3" ht="13" x14ac:dyDescent="0.15">
      <c r="A222" s="10"/>
      <c r="B222" s="13"/>
      <c r="C222" s="13"/>
    </row>
    <row r="223" spans="1:3" ht="13" x14ac:dyDescent="0.15">
      <c r="A223" s="10"/>
      <c r="B223" s="13"/>
      <c r="C223" s="13"/>
    </row>
    <row r="224" spans="1:3" ht="13" x14ac:dyDescent="0.15">
      <c r="A224" s="10"/>
      <c r="B224" s="13"/>
      <c r="C224" s="13"/>
    </row>
    <row r="225" spans="1:3" ht="13" x14ac:dyDescent="0.15">
      <c r="A225" s="10"/>
      <c r="B225" s="13"/>
      <c r="C225" s="13"/>
    </row>
    <row r="226" spans="1:3" ht="13" x14ac:dyDescent="0.15">
      <c r="A226" s="10"/>
      <c r="B226" s="13"/>
      <c r="C226" s="13"/>
    </row>
    <row r="227" spans="1:3" ht="13" x14ac:dyDescent="0.15">
      <c r="A227" s="10"/>
      <c r="B227" s="13"/>
      <c r="C227" s="13"/>
    </row>
    <row r="228" spans="1:3" ht="13" x14ac:dyDescent="0.15">
      <c r="A228" s="10"/>
      <c r="B228" s="13"/>
      <c r="C228" s="13"/>
    </row>
    <row r="229" spans="1:3" ht="13" x14ac:dyDescent="0.15">
      <c r="A229" s="10"/>
      <c r="B229" s="13"/>
      <c r="C229" s="13"/>
    </row>
    <row r="230" spans="1:3" ht="13" x14ac:dyDescent="0.15">
      <c r="A230" s="10"/>
      <c r="B230" s="13"/>
      <c r="C230" s="13"/>
    </row>
    <row r="231" spans="1:3" ht="13" x14ac:dyDescent="0.15">
      <c r="A231" s="10"/>
      <c r="B231" s="13"/>
      <c r="C231" s="13"/>
    </row>
    <row r="232" spans="1:3" ht="13" x14ac:dyDescent="0.15">
      <c r="A232" s="10"/>
      <c r="B232" s="13"/>
      <c r="C232" s="13"/>
    </row>
    <row r="233" spans="1:3" ht="13" x14ac:dyDescent="0.15">
      <c r="A233" s="10"/>
      <c r="B233" s="13"/>
      <c r="C233" s="13"/>
    </row>
    <row r="234" spans="1:3" ht="13" x14ac:dyDescent="0.15">
      <c r="A234" s="10"/>
      <c r="B234" s="13"/>
      <c r="C234" s="13"/>
    </row>
    <row r="235" spans="1:3" ht="13" x14ac:dyDescent="0.15">
      <c r="A235" s="10"/>
      <c r="B235" s="13"/>
      <c r="C235" s="13"/>
    </row>
    <row r="236" spans="1:3" ht="13" x14ac:dyDescent="0.15">
      <c r="A236" s="10"/>
      <c r="B236" s="13"/>
      <c r="C236" s="13"/>
    </row>
    <row r="237" spans="1:3" ht="13" x14ac:dyDescent="0.15">
      <c r="A237" s="10"/>
      <c r="B237" s="13"/>
      <c r="C237" s="13"/>
    </row>
    <row r="238" spans="1:3" ht="13" x14ac:dyDescent="0.15">
      <c r="A238" s="10"/>
      <c r="B238" s="13"/>
      <c r="C238" s="13"/>
    </row>
    <row r="239" spans="1:3" ht="13" x14ac:dyDescent="0.15">
      <c r="A239" s="10"/>
      <c r="B239" s="13"/>
      <c r="C239" s="13"/>
    </row>
    <row r="240" spans="1:3" ht="13" x14ac:dyDescent="0.15">
      <c r="A240" s="10"/>
      <c r="B240" s="13"/>
      <c r="C240" s="13"/>
    </row>
    <row r="241" spans="1:3" ht="13" x14ac:dyDescent="0.15">
      <c r="A241" s="10"/>
      <c r="B241" s="13"/>
      <c r="C241" s="13"/>
    </row>
    <row r="242" spans="1:3" ht="13" x14ac:dyDescent="0.15">
      <c r="A242" s="10"/>
      <c r="B242" s="13"/>
      <c r="C242" s="13"/>
    </row>
    <row r="243" spans="1:3" ht="13" x14ac:dyDescent="0.15">
      <c r="A243" s="10"/>
      <c r="B243" s="13"/>
      <c r="C243" s="13"/>
    </row>
    <row r="244" spans="1:3" ht="13" x14ac:dyDescent="0.15">
      <c r="A244" s="10"/>
      <c r="B244" s="13"/>
      <c r="C244" s="13"/>
    </row>
    <row r="245" spans="1:3" ht="13" x14ac:dyDescent="0.15">
      <c r="A245" s="10"/>
      <c r="B245" s="13"/>
      <c r="C245" s="13"/>
    </row>
    <row r="246" spans="1:3" ht="13" x14ac:dyDescent="0.15">
      <c r="A246" s="10"/>
      <c r="B246" s="13"/>
      <c r="C246" s="13"/>
    </row>
    <row r="247" spans="1:3" ht="13" x14ac:dyDescent="0.15">
      <c r="A247" s="10"/>
      <c r="B247" s="13"/>
      <c r="C247" s="13"/>
    </row>
    <row r="248" spans="1:3" ht="13" x14ac:dyDescent="0.15">
      <c r="A248" s="10"/>
      <c r="B248" s="13"/>
      <c r="C248" s="13"/>
    </row>
    <row r="249" spans="1:3" ht="13" x14ac:dyDescent="0.15">
      <c r="A249" s="10"/>
      <c r="B249" s="13"/>
      <c r="C249" s="13"/>
    </row>
    <row r="250" spans="1:3" ht="13" x14ac:dyDescent="0.15">
      <c r="A250" s="10"/>
      <c r="B250" s="13"/>
      <c r="C250" s="13"/>
    </row>
    <row r="251" spans="1:3" ht="13" x14ac:dyDescent="0.15">
      <c r="A251" s="10"/>
      <c r="B251" s="13"/>
      <c r="C251" s="13"/>
    </row>
    <row r="252" spans="1:3" ht="13" x14ac:dyDescent="0.15">
      <c r="A252" s="10"/>
      <c r="B252" s="13"/>
      <c r="C252" s="13"/>
    </row>
    <row r="253" spans="1:3" ht="13" x14ac:dyDescent="0.15">
      <c r="A253" s="10"/>
      <c r="B253" s="13"/>
      <c r="C253" s="13"/>
    </row>
    <row r="254" spans="1:3" ht="13" x14ac:dyDescent="0.15">
      <c r="A254" s="10"/>
      <c r="B254" s="13"/>
      <c r="C254" s="13"/>
    </row>
    <row r="255" spans="1:3" ht="13" x14ac:dyDescent="0.15">
      <c r="A255" s="10"/>
      <c r="B255" s="13"/>
      <c r="C255" s="13"/>
    </row>
    <row r="256" spans="1:3" ht="13" x14ac:dyDescent="0.15">
      <c r="A256" s="10"/>
      <c r="B256" s="13"/>
      <c r="C256" s="13"/>
    </row>
    <row r="257" spans="1:3" ht="13" x14ac:dyDescent="0.15">
      <c r="A257" s="10"/>
      <c r="B257" s="13"/>
      <c r="C257" s="13"/>
    </row>
    <row r="258" spans="1:3" ht="13" x14ac:dyDescent="0.15">
      <c r="A258" s="10"/>
      <c r="B258" s="13"/>
      <c r="C258" s="13"/>
    </row>
    <row r="259" spans="1:3" ht="13" x14ac:dyDescent="0.15">
      <c r="A259" s="10"/>
      <c r="B259" s="13"/>
      <c r="C259" s="13"/>
    </row>
    <row r="260" spans="1:3" ht="13" x14ac:dyDescent="0.15">
      <c r="A260" s="10"/>
      <c r="B260" s="13"/>
      <c r="C260" s="13"/>
    </row>
    <row r="261" spans="1:3" ht="13" x14ac:dyDescent="0.15">
      <c r="A261" s="10"/>
      <c r="B261" s="13"/>
      <c r="C261" s="13"/>
    </row>
    <row r="262" spans="1:3" ht="13" x14ac:dyDescent="0.15">
      <c r="A262" s="10"/>
      <c r="B262" s="13"/>
      <c r="C262" s="13"/>
    </row>
    <row r="263" spans="1:3" ht="13" x14ac:dyDescent="0.15">
      <c r="A263" s="10"/>
      <c r="B263" s="13"/>
      <c r="C263" s="13"/>
    </row>
    <row r="264" spans="1:3" ht="13" x14ac:dyDescent="0.15">
      <c r="A264" s="10"/>
      <c r="B264" s="13"/>
      <c r="C264" s="13"/>
    </row>
    <row r="265" spans="1:3" ht="13" x14ac:dyDescent="0.15">
      <c r="A265" s="10"/>
      <c r="B265" s="13"/>
      <c r="C265" s="13"/>
    </row>
    <row r="266" spans="1:3" ht="13" x14ac:dyDescent="0.15">
      <c r="A266" s="10"/>
      <c r="B266" s="13"/>
      <c r="C266" s="13"/>
    </row>
    <row r="267" spans="1:3" ht="13" x14ac:dyDescent="0.15">
      <c r="A267" s="10"/>
      <c r="B267" s="13"/>
      <c r="C267" s="13"/>
    </row>
    <row r="268" spans="1:3" ht="13" x14ac:dyDescent="0.15">
      <c r="A268" s="10"/>
      <c r="B268" s="13"/>
      <c r="C268" s="13"/>
    </row>
    <row r="269" spans="1:3" ht="13" x14ac:dyDescent="0.15">
      <c r="A269" s="10"/>
      <c r="B269" s="13"/>
      <c r="C269" s="13"/>
    </row>
    <row r="270" spans="1:3" ht="13" x14ac:dyDescent="0.15">
      <c r="A270" s="10"/>
      <c r="B270" s="13"/>
      <c r="C270" s="13"/>
    </row>
    <row r="271" spans="1:3" ht="13" x14ac:dyDescent="0.15">
      <c r="A271" s="10"/>
      <c r="B271" s="13"/>
      <c r="C271" s="13"/>
    </row>
    <row r="272" spans="1:3" ht="13" x14ac:dyDescent="0.15">
      <c r="A272" s="10"/>
      <c r="B272" s="13"/>
      <c r="C272" s="13"/>
    </row>
    <row r="273" spans="1:3" ht="13" x14ac:dyDescent="0.15">
      <c r="A273" s="10"/>
      <c r="B273" s="13"/>
      <c r="C273" s="13"/>
    </row>
    <row r="274" spans="1:3" ht="13" x14ac:dyDescent="0.15">
      <c r="A274" s="10"/>
      <c r="B274" s="13"/>
      <c r="C274" s="13"/>
    </row>
    <row r="275" spans="1:3" ht="13" x14ac:dyDescent="0.15">
      <c r="A275" s="10"/>
      <c r="B275" s="13"/>
      <c r="C275" s="13"/>
    </row>
    <row r="276" spans="1:3" ht="13" x14ac:dyDescent="0.15">
      <c r="A276" s="10"/>
      <c r="B276" s="13"/>
      <c r="C276" s="13"/>
    </row>
    <row r="277" spans="1:3" ht="13" x14ac:dyDescent="0.15">
      <c r="A277" s="10"/>
      <c r="B277" s="13"/>
      <c r="C277" s="13"/>
    </row>
    <row r="278" spans="1:3" ht="13" x14ac:dyDescent="0.15">
      <c r="A278" s="10"/>
      <c r="B278" s="13"/>
      <c r="C278" s="13"/>
    </row>
    <row r="279" spans="1:3" ht="13" x14ac:dyDescent="0.15">
      <c r="A279" s="10"/>
      <c r="B279" s="13"/>
      <c r="C279" s="13"/>
    </row>
    <row r="280" spans="1:3" ht="13" x14ac:dyDescent="0.15">
      <c r="A280" s="10"/>
      <c r="B280" s="13"/>
      <c r="C280" s="13"/>
    </row>
    <row r="281" spans="1:3" ht="13" x14ac:dyDescent="0.15">
      <c r="A281" s="10"/>
      <c r="B281" s="13"/>
      <c r="C281" s="13"/>
    </row>
    <row r="282" spans="1:3" ht="13" x14ac:dyDescent="0.15">
      <c r="A282" s="10"/>
      <c r="B282" s="13"/>
      <c r="C282" s="13"/>
    </row>
    <row r="283" spans="1:3" ht="13" x14ac:dyDescent="0.15">
      <c r="A283" s="10"/>
      <c r="B283" s="13"/>
      <c r="C283" s="13"/>
    </row>
    <row r="284" spans="1:3" ht="13" x14ac:dyDescent="0.15">
      <c r="A284" s="10"/>
      <c r="B284" s="13"/>
      <c r="C284" s="13"/>
    </row>
    <row r="285" spans="1:3" ht="13" x14ac:dyDescent="0.15">
      <c r="A285" s="10"/>
      <c r="B285" s="13"/>
      <c r="C285" s="13"/>
    </row>
    <row r="286" spans="1:3" ht="13" x14ac:dyDescent="0.15">
      <c r="A286" s="10"/>
      <c r="B286" s="13"/>
      <c r="C286" s="13"/>
    </row>
    <row r="287" spans="1:3" ht="13" x14ac:dyDescent="0.15">
      <c r="A287" s="10"/>
      <c r="B287" s="13"/>
      <c r="C287" s="13"/>
    </row>
    <row r="288" spans="1:3" ht="13" x14ac:dyDescent="0.15">
      <c r="A288" s="10"/>
      <c r="B288" s="13"/>
      <c r="C288" s="13"/>
    </row>
    <row r="289" spans="1:3" ht="13" x14ac:dyDescent="0.15">
      <c r="A289" s="10"/>
      <c r="B289" s="13"/>
      <c r="C289" s="13"/>
    </row>
    <row r="290" spans="1:3" ht="13" x14ac:dyDescent="0.15">
      <c r="A290" s="10"/>
      <c r="B290" s="13"/>
      <c r="C290" s="13"/>
    </row>
    <row r="291" spans="1:3" ht="13" x14ac:dyDescent="0.15">
      <c r="A291" s="10"/>
      <c r="B291" s="13"/>
      <c r="C291" s="13"/>
    </row>
    <row r="292" spans="1:3" ht="13" x14ac:dyDescent="0.15">
      <c r="A292" s="10"/>
      <c r="B292" s="13"/>
      <c r="C292" s="13"/>
    </row>
    <row r="293" spans="1:3" ht="13" x14ac:dyDescent="0.15">
      <c r="A293" s="10"/>
      <c r="B293" s="13"/>
      <c r="C293" s="13"/>
    </row>
    <row r="294" spans="1:3" ht="13" x14ac:dyDescent="0.15">
      <c r="A294" s="10"/>
      <c r="B294" s="13"/>
      <c r="C294" s="13"/>
    </row>
    <row r="295" spans="1:3" ht="13" x14ac:dyDescent="0.15">
      <c r="A295" s="10"/>
      <c r="B295" s="13"/>
      <c r="C295" s="13"/>
    </row>
    <row r="296" spans="1:3" ht="13" x14ac:dyDescent="0.15">
      <c r="A296" s="10"/>
      <c r="B296" s="13"/>
      <c r="C296" s="13"/>
    </row>
    <row r="297" spans="1:3" ht="13" x14ac:dyDescent="0.15">
      <c r="A297" s="10"/>
      <c r="B297" s="13"/>
      <c r="C297" s="13"/>
    </row>
    <row r="298" spans="1:3" ht="13" x14ac:dyDescent="0.15">
      <c r="A298" s="10"/>
      <c r="B298" s="13"/>
      <c r="C298" s="13"/>
    </row>
    <row r="299" spans="1:3" ht="13" x14ac:dyDescent="0.15">
      <c r="A299" s="10"/>
      <c r="B299" s="13"/>
      <c r="C299" s="13"/>
    </row>
    <row r="300" spans="1:3" ht="13" x14ac:dyDescent="0.15">
      <c r="A300" s="10"/>
      <c r="B300" s="13"/>
      <c r="C300" s="13"/>
    </row>
    <row r="301" spans="1:3" ht="13" x14ac:dyDescent="0.15">
      <c r="A301" s="10"/>
      <c r="B301" s="13"/>
      <c r="C301" s="13"/>
    </row>
    <row r="302" spans="1:3" ht="13" x14ac:dyDescent="0.15">
      <c r="A302" s="10"/>
      <c r="B302" s="13"/>
      <c r="C302" s="13"/>
    </row>
    <row r="303" spans="1:3" ht="13" x14ac:dyDescent="0.15">
      <c r="A303" s="10"/>
      <c r="B303" s="13"/>
      <c r="C303" s="13"/>
    </row>
    <row r="304" spans="1:3" ht="13" x14ac:dyDescent="0.15">
      <c r="A304" s="10"/>
      <c r="B304" s="13"/>
      <c r="C304" s="13"/>
    </row>
    <row r="305" spans="1:3" ht="13" x14ac:dyDescent="0.15">
      <c r="A305" s="10"/>
      <c r="B305" s="13"/>
      <c r="C305" s="13"/>
    </row>
    <row r="306" spans="1:3" ht="13" x14ac:dyDescent="0.15">
      <c r="A306" s="10"/>
      <c r="B306" s="13"/>
      <c r="C306" s="13"/>
    </row>
    <row r="307" spans="1:3" ht="13" x14ac:dyDescent="0.15">
      <c r="A307" s="10"/>
      <c r="B307" s="13"/>
      <c r="C307" s="13"/>
    </row>
    <row r="308" spans="1:3" ht="13" x14ac:dyDescent="0.15">
      <c r="A308" s="10"/>
      <c r="B308" s="13"/>
      <c r="C308" s="13"/>
    </row>
    <row r="309" spans="1:3" ht="13" x14ac:dyDescent="0.15">
      <c r="A309" s="10"/>
      <c r="B309" s="13"/>
      <c r="C309" s="13"/>
    </row>
    <row r="310" spans="1:3" ht="13" x14ac:dyDescent="0.15">
      <c r="A310" s="10"/>
      <c r="B310" s="13"/>
      <c r="C310" s="13"/>
    </row>
    <row r="311" spans="1:3" ht="13" x14ac:dyDescent="0.15">
      <c r="A311" s="10"/>
      <c r="B311" s="13"/>
      <c r="C311" s="13"/>
    </row>
    <row r="312" spans="1:3" ht="13" x14ac:dyDescent="0.15">
      <c r="A312" s="10"/>
      <c r="B312" s="13"/>
      <c r="C312" s="13"/>
    </row>
    <row r="313" spans="1:3" ht="13" x14ac:dyDescent="0.15">
      <c r="A313" s="10"/>
      <c r="B313" s="13"/>
      <c r="C313" s="13"/>
    </row>
    <row r="314" spans="1:3" ht="13" x14ac:dyDescent="0.15">
      <c r="A314" s="10"/>
      <c r="B314" s="13"/>
      <c r="C314" s="13"/>
    </row>
    <row r="315" spans="1:3" ht="13" x14ac:dyDescent="0.15">
      <c r="A315" s="10"/>
      <c r="B315" s="13"/>
      <c r="C315" s="13"/>
    </row>
    <row r="316" spans="1:3" ht="13" x14ac:dyDescent="0.15">
      <c r="A316" s="10"/>
      <c r="B316" s="13"/>
      <c r="C316" s="13"/>
    </row>
    <row r="317" spans="1:3" ht="13" x14ac:dyDescent="0.15">
      <c r="A317" s="10"/>
      <c r="B317" s="13"/>
      <c r="C317" s="13"/>
    </row>
    <row r="318" spans="1:3" ht="13" x14ac:dyDescent="0.15">
      <c r="A318" s="10"/>
      <c r="B318" s="13"/>
      <c r="C318" s="13"/>
    </row>
    <row r="319" spans="1:3" ht="13" x14ac:dyDescent="0.15">
      <c r="A319" s="10"/>
      <c r="B319" s="13"/>
      <c r="C319" s="13"/>
    </row>
    <row r="320" spans="1:3" ht="13" x14ac:dyDescent="0.15">
      <c r="A320" s="10"/>
      <c r="B320" s="13"/>
      <c r="C320" s="13"/>
    </row>
    <row r="321" spans="1:3" ht="13" x14ac:dyDescent="0.15">
      <c r="A321" s="10"/>
      <c r="B321" s="13"/>
      <c r="C321" s="13"/>
    </row>
    <row r="322" spans="1:3" ht="13" x14ac:dyDescent="0.15">
      <c r="A322" s="10"/>
      <c r="B322" s="13"/>
      <c r="C322" s="13"/>
    </row>
    <row r="323" spans="1:3" ht="13" x14ac:dyDescent="0.15">
      <c r="A323" s="10"/>
      <c r="B323" s="13"/>
      <c r="C323" s="13"/>
    </row>
    <row r="324" spans="1:3" ht="13" x14ac:dyDescent="0.15">
      <c r="A324" s="10"/>
      <c r="B324" s="13"/>
      <c r="C324" s="13"/>
    </row>
    <row r="325" spans="1:3" ht="13" x14ac:dyDescent="0.15">
      <c r="A325" s="10"/>
      <c r="B325" s="13"/>
      <c r="C325" s="13"/>
    </row>
    <row r="326" spans="1:3" ht="13" x14ac:dyDescent="0.15">
      <c r="A326" s="10"/>
      <c r="B326" s="13"/>
      <c r="C326" s="13"/>
    </row>
    <row r="327" spans="1:3" ht="13" x14ac:dyDescent="0.15">
      <c r="A327" s="10"/>
      <c r="B327" s="13"/>
      <c r="C327" s="13"/>
    </row>
    <row r="328" spans="1:3" ht="13" x14ac:dyDescent="0.15">
      <c r="A328" s="10"/>
      <c r="B328" s="13"/>
      <c r="C328" s="13"/>
    </row>
    <row r="329" spans="1:3" ht="13" x14ac:dyDescent="0.15">
      <c r="A329" s="10"/>
      <c r="B329" s="13"/>
      <c r="C329" s="13"/>
    </row>
    <row r="330" spans="1:3" ht="13" x14ac:dyDescent="0.15">
      <c r="A330" s="10"/>
      <c r="B330" s="13"/>
      <c r="C330" s="13"/>
    </row>
    <row r="331" spans="1:3" ht="13" x14ac:dyDescent="0.15">
      <c r="A331" s="10"/>
      <c r="B331" s="13"/>
      <c r="C331" s="13"/>
    </row>
    <row r="332" spans="1:3" ht="13" x14ac:dyDescent="0.15">
      <c r="A332" s="10"/>
      <c r="B332" s="13"/>
      <c r="C332" s="13"/>
    </row>
    <row r="333" spans="1:3" ht="13" x14ac:dyDescent="0.15">
      <c r="A333" s="10"/>
      <c r="B333" s="13"/>
      <c r="C333" s="13"/>
    </row>
    <row r="334" spans="1:3" ht="13" x14ac:dyDescent="0.15">
      <c r="A334" s="10"/>
      <c r="B334" s="13"/>
      <c r="C334" s="13"/>
    </row>
    <row r="335" spans="1:3" ht="13" x14ac:dyDescent="0.15">
      <c r="A335" s="10"/>
      <c r="B335" s="13"/>
      <c r="C335" s="13"/>
    </row>
    <row r="336" spans="1:3" ht="13" x14ac:dyDescent="0.15">
      <c r="A336" s="10"/>
      <c r="B336" s="13"/>
      <c r="C336" s="13"/>
    </row>
    <row r="337" spans="1:3" ht="13" x14ac:dyDescent="0.15">
      <c r="A337" s="10"/>
      <c r="B337" s="13"/>
      <c r="C337" s="13"/>
    </row>
    <row r="338" spans="1:3" ht="13" x14ac:dyDescent="0.15">
      <c r="A338" s="10"/>
      <c r="B338" s="13"/>
      <c r="C338" s="13"/>
    </row>
    <row r="339" spans="1:3" ht="13" x14ac:dyDescent="0.15">
      <c r="A339" s="10"/>
      <c r="B339" s="13"/>
      <c r="C339" s="13"/>
    </row>
    <row r="340" spans="1:3" ht="13" x14ac:dyDescent="0.15">
      <c r="A340" s="10"/>
      <c r="B340" s="13"/>
      <c r="C340" s="13"/>
    </row>
    <row r="341" spans="1:3" ht="13" x14ac:dyDescent="0.15">
      <c r="A341" s="10"/>
      <c r="B341" s="13"/>
      <c r="C341" s="13"/>
    </row>
    <row r="342" spans="1:3" ht="13" x14ac:dyDescent="0.15">
      <c r="A342" s="10"/>
      <c r="B342" s="13"/>
      <c r="C342" s="13"/>
    </row>
    <row r="343" spans="1:3" ht="13" x14ac:dyDescent="0.15">
      <c r="A343" s="10"/>
      <c r="B343" s="13"/>
      <c r="C343" s="13"/>
    </row>
    <row r="344" spans="1:3" ht="13" x14ac:dyDescent="0.15">
      <c r="A344" s="10"/>
      <c r="B344" s="13"/>
      <c r="C344" s="13"/>
    </row>
    <row r="345" spans="1:3" ht="13" x14ac:dyDescent="0.15">
      <c r="A345" s="10"/>
      <c r="B345" s="13"/>
      <c r="C345" s="13"/>
    </row>
    <row r="346" spans="1:3" ht="13" x14ac:dyDescent="0.15">
      <c r="A346" s="10"/>
      <c r="B346" s="13"/>
      <c r="C346" s="13"/>
    </row>
    <row r="347" spans="1:3" ht="13" x14ac:dyDescent="0.15">
      <c r="A347" s="10"/>
      <c r="B347" s="13"/>
      <c r="C347" s="13"/>
    </row>
    <row r="348" spans="1:3" ht="13" x14ac:dyDescent="0.15">
      <c r="A348" s="10"/>
      <c r="B348" s="13"/>
      <c r="C348" s="13"/>
    </row>
    <row r="349" spans="1:3" ht="13" x14ac:dyDescent="0.15">
      <c r="A349" s="10"/>
      <c r="B349" s="13"/>
      <c r="C349" s="13"/>
    </row>
    <row r="350" spans="1:3" ht="13" x14ac:dyDescent="0.15">
      <c r="A350" s="10"/>
      <c r="B350" s="13"/>
      <c r="C350" s="13"/>
    </row>
    <row r="351" spans="1:3" ht="13" x14ac:dyDescent="0.15">
      <c r="A351" s="10"/>
      <c r="B351" s="13"/>
      <c r="C351" s="13"/>
    </row>
    <row r="352" spans="1:3" ht="13" x14ac:dyDescent="0.15">
      <c r="A352" s="10"/>
      <c r="B352" s="13"/>
      <c r="C352" s="13"/>
    </row>
    <row r="353" spans="1:3" ht="13" x14ac:dyDescent="0.15">
      <c r="A353" s="10"/>
      <c r="B353" s="13"/>
      <c r="C353" s="13"/>
    </row>
    <row r="354" spans="1:3" ht="13" x14ac:dyDescent="0.15">
      <c r="A354" s="10"/>
      <c r="B354" s="13"/>
      <c r="C354" s="13"/>
    </row>
    <row r="355" spans="1:3" ht="13" x14ac:dyDescent="0.15">
      <c r="A355" s="10"/>
      <c r="B355" s="13"/>
      <c r="C355" s="13"/>
    </row>
    <row r="356" spans="1:3" ht="13" x14ac:dyDescent="0.15">
      <c r="A356" s="10"/>
      <c r="B356" s="13"/>
      <c r="C356" s="13"/>
    </row>
    <row r="357" spans="1:3" ht="13" x14ac:dyDescent="0.15">
      <c r="A357" s="10"/>
      <c r="B357" s="13"/>
      <c r="C357" s="13"/>
    </row>
    <row r="358" spans="1:3" ht="13" x14ac:dyDescent="0.15">
      <c r="A358" s="10"/>
      <c r="B358" s="13"/>
      <c r="C358" s="13"/>
    </row>
    <row r="359" spans="1:3" ht="13" x14ac:dyDescent="0.15">
      <c r="A359" s="10"/>
      <c r="B359" s="13"/>
      <c r="C359" s="13"/>
    </row>
    <row r="360" spans="1:3" ht="13" x14ac:dyDescent="0.15">
      <c r="A360" s="10"/>
      <c r="B360" s="13"/>
      <c r="C360" s="13"/>
    </row>
    <row r="361" spans="1:3" ht="13" x14ac:dyDescent="0.15">
      <c r="A361" s="10"/>
      <c r="B361" s="13"/>
      <c r="C361" s="13"/>
    </row>
    <row r="362" spans="1:3" ht="13" x14ac:dyDescent="0.15">
      <c r="A362" s="10"/>
      <c r="B362" s="13"/>
      <c r="C362" s="13"/>
    </row>
    <row r="363" spans="1:3" ht="13" x14ac:dyDescent="0.15">
      <c r="A363" s="10"/>
      <c r="B363" s="13"/>
      <c r="C363" s="13"/>
    </row>
    <row r="364" spans="1:3" ht="13" x14ac:dyDescent="0.15">
      <c r="A364" s="10"/>
      <c r="B364" s="13"/>
      <c r="C364" s="13"/>
    </row>
    <row r="365" spans="1:3" ht="13" x14ac:dyDescent="0.15">
      <c r="A365" s="10"/>
      <c r="B365" s="13"/>
      <c r="C365" s="13"/>
    </row>
    <row r="366" spans="1:3" ht="13" x14ac:dyDescent="0.15">
      <c r="A366" s="10"/>
      <c r="B366" s="13"/>
      <c r="C366" s="13"/>
    </row>
    <row r="367" spans="1:3" ht="13" x14ac:dyDescent="0.15">
      <c r="A367" s="10"/>
      <c r="B367" s="13"/>
      <c r="C367" s="13"/>
    </row>
    <row r="368" spans="1:3" ht="13" x14ac:dyDescent="0.15">
      <c r="A368" s="10"/>
      <c r="B368" s="13"/>
      <c r="C368" s="13"/>
    </row>
    <row r="369" spans="1:3" ht="13" x14ac:dyDescent="0.15">
      <c r="A369" s="10"/>
      <c r="B369" s="13"/>
      <c r="C369" s="13"/>
    </row>
    <row r="370" spans="1:3" ht="13" x14ac:dyDescent="0.15">
      <c r="A370" s="10"/>
      <c r="B370" s="13"/>
      <c r="C370" s="13"/>
    </row>
    <row r="371" spans="1:3" ht="13" x14ac:dyDescent="0.15">
      <c r="A371" s="10"/>
      <c r="B371" s="13"/>
      <c r="C371" s="13"/>
    </row>
    <row r="372" spans="1:3" ht="13" x14ac:dyDescent="0.15">
      <c r="A372" s="10"/>
      <c r="B372" s="13"/>
      <c r="C372" s="13"/>
    </row>
    <row r="373" spans="1:3" ht="13" x14ac:dyDescent="0.15">
      <c r="A373" s="10"/>
      <c r="B373" s="13"/>
      <c r="C373" s="13"/>
    </row>
    <row r="374" spans="1:3" ht="13" x14ac:dyDescent="0.15">
      <c r="A374" s="10"/>
      <c r="B374" s="13"/>
      <c r="C374" s="13"/>
    </row>
    <row r="375" spans="1:3" ht="13" x14ac:dyDescent="0.15">
      <c r="A375" s="10"/>
      <c r="B375" s="13"/>
      <c r="C375" s="13"/>
    </row>
    <row r="376" spans="1:3" ht="13" x14ac:dyDescent="0.15">
      <c r="A376" s="10"/>
      <c r="B376" s="13"/>
      <c r="C376" s="13"/>
    </row>
    <row r="377" spans="1:3" ht="13" x14ac:dyDescent="0.15">
      <c r="A377" s="10"/>
      <c r="B377" s="13"/>
      <c r="C377" s="13"/>
    </row>
    <row r="378" spans="1:3" ht="13" x14ac:dyDescent="0.15">
      <c r="A378" s="10"/>
      <c r="B378" s="13"/>
      <c r="C378" s="13"/>
    </row>
    <row r="379" spans="1:3" ht="13" x14ac:dyDescent="0.15">
      <c r="A379" s="10"/>
      <c r="B379" s="13"/>
      <c r="C379" s="13"/>
    </row>
    <row r="380" spans="1:3" ht="13" x14ac:dyDescent="0.15">
      <c r="A380" s="10"/>
      <c r="B380" s="13"/>
      <c r="C380" s="13"/>
    </row>
    <row r="381" spans="1:3" ht="13" x14ac:dyDescent="0.15">
      <c r="A381" s="10"/>
      <c r="B381" s="13"/>
      <c r="C381" s="13"/>
    </row>
    <row r="382" spans="1:3" ht="13" x14ac:dyDescent="0.15">
      <c r="A382" s="10"/>
      <c r="B382" s="13"/>
      <c r="C382" s="13"/>
    </row>
    <row r="383" spans="1:3" ht="13" x14ac:dyDescent="0.15">
      <c r="A383" s="10"/>
      <c r="B383" s="13"/>
      <c r="C383" s="13"/>
    </row>
    <row r="384" spans="1:3" ht="13" x14ac:dyDescent="0.15">
      <c r="A384" s="10"/>
      <c r="B384" s="13"/>
      <c r="C384" s="13"/>
    </row>
    <row r="385" spans="1:3" ht="13" x14ac:dyDescent="0.15">
      <c r="A385" s="10"/>
      <c r="B385" s="13"/>
      <c r="C385" s="13"/>
    </row>
    <row r="386" spans="1:3" ht="13" x14ac:dyDescent="0.15">
      <c r="A386" s="10"/>
      <c r="B386" s="13"/>
      <c r="C386" s="13"/>
    </row>
    <row r="387" spans="1:3" ht="13" x14ac:dyDescent="0.15">
      <c r="A387" s="10"/>
      <c r="B387" s="13"/>
      <c r="C387" s="13"/>
    </row>
    <row r="388" spans="1:3" ht="13" x14ac:dyDescent="0.15">
      <c r="A388" s="10"/>
      <c r="B388" s="13"/>
      <c r="C388" s="13"/>
    </row>
    <row r="389" spans="1:3" ht="13" x14ac:dyDescent="0.15">
      <c r="A389" s="10"/>
      <c r="B389" s="13"/>
      <c r="C389" s="13"/>
    </row>
    <row r="390" spans="1:3" ht="13" x14ac:dyDescent="0.15">
      <c r="A390" s="10"/>
      <c r="B390" s="13"/>
      <c r="C390" s="13"/>
    </row>
    <row r="391" spans="1:3" ht="13" x14ac:dyDescent="0.15">
      <c r="A391" s="10"/>
      <c r="B391" s="13"/>
      <c r="C391" s="13"/>
    </row>
    <row r="392" spans="1:3" ht="13" x14ac:dyDescent="0.15">
      <c r="A392" s="10"/>
      <c r="B392" s="13"/>
      <c r="C392" s="13"/>
    </row>
    <row r="393" spans="1:3" ht="13" x14ac:dyDescent="0.15">
      <c r="A393" s="10"/>
      <c r="B393" s="13"/>
      <c r="C393" s="13"/>
    </row>
    <row r="394" spans="1:3" ht="13" x14ac:dyDescent="0.15">
      <c r="A394" s="10"/>
      <c r="B394" s="13"/>
      <c r="C394" s="13"/>
    </row>
    <row r="395" spans="1:3" ht="13" x14ac:dyDescent="0.15">
      <c r="A395" s="10"/>
      <c r="B395" s="13"/>
      <c r="C395" s="13"/>
    </row>
    <row r="396" spans="1:3" ht="13" x14ac:dyDescent="0.15">
      <c r="A396" s="10"/>
      <c r="B396" s="13"/>
      <c r="C396" s="13"/>
    </row>
    <row r="397" spans="1:3" ht="13" x14ac:dyDescent="0.15">
      <c r="A397" s="10"/>
      <c r="B397" s="13"/>
      <c r="C397" s="13"/>
    </row>
    <row r="398" spans="1:3" ht="13" x14ac:dyDescent="0.15">
      <c r="A398" s="10"/>
      <c r="B398" s="13"/>
      <c r="C398" s="13"/>
    </row>
    <row r="399" spans="1:3" ht="13" x14ac:dyDescent="0.15">
      <c r="A399" s="10"/>
      <c r="B399" s="13"/>
      <c r="C399" s="13"/>
    </row>
    <row r="400" spans="1:3" ht="13" x14ac:dyDescent="0.15">
      <c r="A400" s="10"/>
      <c r="B400" s="13"/>
      <c r="C400" s="13"/>
    </row>
    <row r="401" spans="1:3" ht="13" x14ac:dyDescent="0.15">
      <c r="A401" s="10"/>
      <c r="B401" s="13"/>
      <c r="C401" s="13"/>
    </row>
    <row r="402" spans="1:3" ht="13" x14ac:dyDescent="0.15">
      <c r="A402" s="10"/>
      <c r="B402" s="13"/>
      <c r="C402" s="13"/>
    </row>
    <row r="403" spans="1:3" ht="13" x14ac:dyDescent="0.15">
      <c r="A403" s="10"/>
      <c r="B403" s="13"/>
      <c r="C403" s="13"/>
    </row>
    <row r="404" spans="1:3" ht="13" x14ac:dyDescent="0.15">
      <c r="A404" s="10"/>
      <c r="B404" s="13"/>
      <c r="C404" s="13"/>
    </row>
    <row r="405" spans="1:3" ht="13" x14ac:dyDescent="0.15">
      <c r="A405" s="10"/>
      <c r="B405" s="13"/>
      <c r="C405" s="13"/>
    </row>
    <row r="406" spans="1:3" ht="13" x14ac:dyDescent="0.15">
      <c r="A406" s="10"/>
      <c r="B406" s="13"/>
      <c r="C406" s="13"/>
    </row>
    <row r="407" spans="1:3" ht="13" x14ac:dyDescent="0.15">
      <c r="A407" s="10"/>
      <c r="B407" s="13"/>
      <c r="C407" s="13"/>
    </row>
    <row r="408" spans="1:3" ht="13" x14ac:dyDescent="0.15">
      <c r="A408" s="10"/>
      <c r="B408" s="13"/>
      <c r="C408" s="13"/>
    </row>
    <row r="409" spans="1:3" ht="13" x14ac:dyDescent="0.15">
      <c r="A409" s="10"/>
      <c r="B409" s="13"/>
      <c r="C409" s="13"/>
    </row>
    <row r="410" spans="1:3" ht="13" x14ac:dyDescent="0.15">
      <c r="A410" s="10"/>
      <c r="B410" s="13"/>
      <c r="C410" s="13"/>
    </row>
    <row r="411" spans="1:3" ht="13" x14ac:dyDescent="0.15">
      <c r="A411" s="10"/>
      <c r="B411" s="13"/>
      <c r="C411" s="13"/>
    </row>
    <row r="412" spans="1:3" ht="13" x14ac:dyDescent="0.15">
      <c r="A412" s="10"/>
      <c r="B412" s="13"/>
      <c r="C412" s="13"/>
    </row>
    <row r="413" spans="1:3" ht="13" x14ac:dyDescent="0.15">
      <c r="A413" s="10"/>
      <c r="B413" s="13"/>
      <c r="C413" s="13"/>
    </row>
    <row r="414" spans="1:3" ht="13" x14ac:dyDescent="0.15">
      <c r="A414" s="10"/>
      <c r="B414" s="13"/>
      <c r="C414" s="13"/>
    </row>
    <row r="415" spans="1:3" ht="13" x14ac:dyDescent="0.15">
      <c r="A415" s="10"/>
      <c r="B415" s="13"/>
      <c r="C415" s="13"/>
    </row>
    <row r="416" spans="1:3" ht="13" x14ac:dyDescent="0.15">
      <c r="A416" s="10"/>
      <c r="B416" s="13"/>
      <c r="C416" s="13"/>
    </row>
    <row r="417" spans="1:3" ht="13" x14ac:dyDescent="0.15">
      <c r="A417" s="10"/>
      <c r="B417" s="13"/>
      <c r="C417" s="13"/>
    </row>
    <row r="418" spans="1:3" ht="13" x14ac:dyDescent="0.15">
      <c r="A418" s="10"/>
      <c r="B418" s="13"/>
      <c r="C418" s="13"/>
    </row>
    <row r="419" spans="1:3" ht="13" x14ac:dyDescent="0.15">
      <c r="A419" s="10"/>
      <c r="B419" s="13"/>
      <c r="C419" s="13"/>
    </row>
    <row r="420" spans="1:3" ht="13" x14ac:dyDescent="0.15">
      <c r="A420" s="10"/>
      <c r="B420" s="13"/>
      <c r="C420" s="13"/>
    </row>
    <row r="421" spans="1:3" ht="13" x14ac:dyDescent="0.15">
      <c r="A421" s="10"/>
      <c r="B421" s="13"/>
      <c r="C421" s="13"/>
    </row>
    <row r="422" spans="1:3" ht="13" x14ac:dyDescent="0.15">
      <c r="A422" s="10"/>
      <c r="B422" s="13"/>
      <c r="C422" s="13"/>
    </row>
    <row r="423" spans="1:3" ht="13" x14ac:dyDescent="0.15">
      <c r="A423" s="10"/>
      <c r="B423" s="13"/>
      <c r="C423" s="13"/>
    </row>
    <row r="424" spans="1:3" ht="13" x14ac:dyDescent="0.15">
      <c r="A424" s="10"/>
      <c r="B424" s="13"/>
      <c r="C424" s="13"/>
    </row>
    <row r="425" spans="1:3" ht="13" x14ac:dyDescent="0.15">
      <c r="A425" s="10"/>
      <c r="B425" s="13"/>
      <c r="C425" s="13"/>
    </row>
    <row r="426" spans="1:3" ht="13" x14ac:dyDescent="0.15">
      <c r="A426" s="10"/>
      <c r="B426" s="13"/>
      <c r="C426" s="13"/>
    </row>
    <row r="427" spans="1:3" ht="13" x14ac:dyDescent="0.15">
      <c r="A427" s="10"/>
      <c r="B427" s="13"/>
      <c r="C427" s="13"/>
    </row>
    <row r="428" spans="1:3" ht="13" x14ac:dyDescent="0.15">
      <c r="A428" s="10"/>
      <c r="B428" s="13"/>
      <c r="C428" s="13"/>
    </row>
    <row r="429" spans="1:3" ht="13" x14ac:dyDescent="0.15">
      <c r="A429" s="10"/>
      <c r="B429" s="13"/>
      <c r="C429" s="13"/>
    </row>
    <row r="430" spans="1:3" ht="13" x14ac:dyDescent="0.15">
      <c r="A430" s="10"/>
      <c r="B430" s="13"/>
      <c r="C430" s="13"/>
    </row>
    <row r="431" spans="1:3" ht="13" x14ac:dyDescent="0.15">
      <c r="A431" s="10"/>
      <c r="B431" s="13"/>
      <c r="C431" s="13"/>
    </row>
    <row r="432" spans="1:3" ht="13" x14ac:dyDescent="0.15">
      <c r="A432" s="10"/>
      <c r="B432" s="13"/>
      <c r="C432" s="13"/>
    </row>
    <row r="433" spans="1:3" ht="13" x14ac:dyDescent="0.15">
      <c r="A433" s="10"/>
      <c r="B433" s="13"/>
      <c r="C433" s="13"/>
    </row>
    <row r="434" spans="1:3" ht="13" x14ac:dyDescent="0.15">
      <c r="A434" s="10"/>
      <c r="B434" s="13"/>
      <c r="C434" s="13"/>
    </row>
    <row r="435" spans="1:3" ht="13" x14ac:dyDescent="0.15">
      <c r="A435" s="10"/>
      <c r="B435" s="13"/>
      <c r="C435" s="13"/>
    </row>
    <row r="436" spans="1:3" ht="13" x14ac:dyDescent="0.15">
      <c r="A436" s="10"/>
      <c r="B436" s="13"/>
      <c r="C436" s="13"/>
    </row>
    <row r="437" spans="1:3" ht="13" x14ac:dyDescent="0.15">
      <c r="A437" s="10"/>
      <c r="B437" s="13"/>
      <c r="C437" s="13"/>
    </row>
    <row r="438" spans="1:3" ht="13" x14ac:dyDescent="0.15">
      <c r="A438" s="10"/>
      <c r="B438" s="13"/>
      <c r="C438" s="13"/>
    </row>
    <row r="439" spans="1:3" ht="13" x14ac:dyDescent="0.15">
      <c r="A439" s="10"/>
      <c r="B439" s="13"/>
      <c r="C439" s="13"/>
    </row>
    <row r="440" spans="1:3" ht="13" x14ac:dyDescent="0.15">
      <c r="A440" s="10"/>
      <c r="B440" s="13"/>
      <c r="C440" s="13"/>
    </row>
    <row r="441" spans="1:3" ht="13" x14ac:dyDescent="0.15">
      <c r="A441" s="10"/>
      <c r="B441" s="13"/>
      <c r="C441" s="13"/>
    </row>
    <row r="442" spans="1:3" ht="13" x14ac:dyDescent="0.15">
      <c r="A442" s="10"/>
      <c r="B442" s="13"/>
      <c r="C442" s="13"/>
    </row>
    <row r="443" spans="1:3" ht="13" x14ac:dyDescent="0.15">
      <c r="A443" s="10"/>
      <c r="B443" s="13"/>
      <c r="C443" s="13"/>
    </row>
    <row r="444" spans="1:3" ht="13" x14ac:dyDescent="0.15">
      <c r="A444" s="10"/>
      <c r="B444" s="13"/>
      <c r="C444" s="13"/>
    </row>
    <row r="445" spans="1:3" ht="13" x14ac:dyDescent="0.15">
      <c r="A445" s="10"/>
      <c r="B445" s="13"/>
      <c r="C445" s="13"/>
    </row>
    <row r="446" spans="1:3" ht="13" x14ac:dyDescent="0.15">
      <c r="A446" s="10"/>
      <c r="B446" s="13"/>
      <c r="C446" s="13"/>
    </row>
    <row r="447" spans="1:3" ht="13" x14ac:dyDescent="0.15">
      <c r="A447" s="10"/>
      <c r="B447" s="13"/>
      <c r="C447" s="13"/>
    </row>
    <row r="448" spans="1:3" ht="13" x14ac:dyDescent="0.15">
      <c r="A448" s="10"/>
      <c r="B448" s="13"/>
      <c r="C448" s="13"/>
    </row>
    <row r="449" spans="1:3" ht="13" x14ac:dyDescent="0.15">
      <c r="A449" s="10"/>
      <c r="B449" s="13"/>
      <c r="C449" s="13"/>
    </row>
    <row r="450" spans="1:3" ht="13" x14ac:dyDescent="0.15">
      <c r="A450" s="10"/>
      <c r="B450" s="13"/>
      <c r="C450" s="13"/>
    </row>
    <row r="451" spans="1:3" ht="13" x14ac:dyDescent="0.15">
      <c r="A451" s="10"/>
      <c r="B451" s="13"/>
      <c r="C451" s="13"/>
    </row>
    <row r="452" spans="1:3" ht="13" x14ac:dyDescent="0.15">
      <c r="A452" s="10"/>
      <c r="B452" s="13"/>
      <c r="C452" s="13"/>
    </row>
    <row r="453" spans="1:3" ht="13" x14ac:dyDescent="0.15">
      <c r="A453" s="10"/>
      <c r="B453" s="13"/>
      <c r="C453" s="13"/>
    </row>
    <row r="454" spans="1:3" ht="13" x14ac:dyDescent="0.15">
      <c r="A454" s="10"/>
      <c r="B454" s="13"/>
      <c r="C454" s="13"/>
    </row>
    <row r="455" spans="1:3" ht="13" x14ac:dyDescent="0.15">
      <c r="A455" s="10"/>
      <c r="B455" s="13"/>
      <c r="C455" s="13"/>
    </row>
    <row r="456" spans="1:3" ht="13" x14ac:dyDescent="0.15">
      <c r="A456" s="10"/>
      <c r="B456" s="13"/>
      <c r="C456" s="13"/>
    </row>
    <row r="457" spans="1:3" ht="13" x14ac:dyDescent="0.15">
      <c r="A457" s="10"/>
      <c r="B457" s="13"/>
      <c r="C457" s="13"/>
    </row>
    <row r="458" spans="1:3" ht="13" x14ac:dyDescent="0.15">
      <c r="A458" s="10"/>
      <c r="B458" s="13"/>
      <c r="C458" s="13"/>
    </row>
    <row r="459" spans="1:3" ht="13" x14ac:dyDescent="0.15">
      <c r="A459" s="10"/>
      <c r="B459" s="13"/>
      <c r="C459" s="13"/>
    </row>
    <row r="460" spans="1:3" ht="13" x14ac:dyDescent="0.15">
      <c r="A460" s="10"/>
      <c r="B460" s="13"/>
      <c r="C460" s="13"/>
    </row>
    <row r="461" spans="1:3" ht="13" x14ac:dyDescent="0.15">
      <c r="A461" s="10"/>
      <c r="B461" s="13"/>
      <c r="C461" s="13"/>
    </row>
    <row r="462" spans="1:3" ht="13" x14ac:dyDescent="0.15">
      <c r="A462" s="10"/>
      <c r="B462" s="13"/>
      <c r="C462" s="13"/>
    </row>
    <row r="463" spans="1:3" ht="13" x14ac:dyDescent="0.15">
      <c r="A463" s="10"/>
      <c r="B463" s="13"/>
      <c r="C463" s="13"/>
    </row>
    <row r="464" spans="1:3" ht="13" x14ac:dyDescent="0.15">
      <c r="A464" s="10"/>
      <c r="B464" s="13"/>
      <c r="C464" s="13"/>
    </row>
    <row r="465" spans="1:3" ht="13" x14ac:dyDescent="0.15">
      <c r="A465" s="10"/>
      <c r="B465" s="13"/>
      <c r="C465" s="13"/>
    </row>
    <row r="466" spans="1:3" ht="13" x14ac:dyDescent="0.15">
      <c r="A466" s="10"/>
      <c r="B466" s="13"/>
      <c r="C466" s="13"/>
    </row>
    <row r="467" spans="1:3" ht="13" x14ac:dyDescent="0.15">
      <c r="A467" s="10"/>
      <c r="B467" s="13"/>
      <c r="C467" s="13"/>
    </row>
    <row r="468" spans="1:3" ht="13" x14ac:dyDescent="0.15">
      <c r="A468" s="10"/>
      <c r="B468" s="13"/>
      <c r="C468" s="13"/>
    </row>
    <row r="469" spans="1:3" ht="13" x14ac:dyDescent="0.15">
      <c r="A469" s="10"/>
      <c r="B469" s="13"/>
      <c r="C469" s="13"/>
    </row>
    <row r="470" spans="1:3" ht="13" x14ac:dyDescent="0.15">
      <c r="A470" s="10"/>
      <c r="B470" s="13"/>
      <c r="C470" s="13"/>
    </row>
    <row r="471" spans="1:3" ht="13" x14ac:dyDescent="0.15">
      <c r="A471" s="10"/>
      <c r="B471" s="13"/>
      <c r="C471" s="13"/>
    </row>
    <row r="472" spans="1:3" ht="13" x14ac:dyDescent="0.15">
      <c r="A472" s="10"/>
      <c r="B472" s="13"/>
      <c r="C472" s="13"/>
    </row>
    <row r="473" spans="1:3" ht="13" x14ac:dyDescent="0.15">
      <c r="A473" s="10"/>
      <c r="B473" s="13"/>
      <c r="C473" s="13"/>
    </row>
    <row r="474" spans="1:3" ht="13" x14ac:dyDescent="0.15">
      <c r="A474" s="10"/>
      <c r="B474" s="13"/>
      <c r="C474" s="13"/>
    </row>
    <row r="475" spans="1:3" ht="13" x14ac:dyDescent="0.15">
      <c r="A475" s="10"/>
      <c r="B475" s="13"/>
      <c r="C475" s="13"/>
    </row>
    <row r="476" spans="1:3" ht="13" x14ac:dyDescent="0.15">
      <c r="A476" s="10"/>
      <c r="B476" s="13"/>
      <c r="C476" s="13"/>
    </row>
    <row r="477" spans="1:3" ht="13" x14ac:dyDescent="0.15">
      <c r="A477" s="10"/>
      <c r="B477" s="13"/>
      <c r="C477" s="13"/>
    </row>
    <row r="478" spans="1:3" ht="13" x14ac:dyDescent="0.15">
      <c r="A478" s="10"/>
      <c r="B478" s="13"/>
      <c r="C478" s="13"/>
    </row>
    <row r="479" spans="1:3" ht="13" x14ac:dyDescent="0.15">
      <c r="A479" s="10"/>
      <c r="B479" s="13"/>
      <c r="C479" s="13"/>
    </row>
    <row r="480" spans="1:3" ht="13" x14ac:dyDescent="0.15">
      <c r="A480" s="10"/>
      <c r="B480" s="13"/>
      <c r="C480" s="13"/>
    </row>
    <row r="481" spans="1:3" ht="13" x14ac:dyDescent="0.15">
      <c r="A481" s="10"/>
      <c r="B481" s="13"/>
      <c r="C481" s="13"/>
    </row>
    <row r="482" spans="1:3" ht="13" x14ac:dyDescent="0.15">
      <c r="A482" s="10"/>
      <c r="B482" s="13"/>
      <c r="C482" s="13"/>
    </row>
    <row r="483" spans="1:3" ht="13" x14ac:dyDescent="0.15">
      <c r="A483" s="10"/>
      <c r="B483" s="13"/>
      <c r="C483" s="13"/>
    </row>
    <row r="484" spans="1:3" ht="13" x14ac:dyDescent="0.15">
      <c r="A484" s="10"/>
      <c r="B484" s="13"/>
      <c r="C484" s="13"/>
    </row>
    <row r="485" spans="1:3" ht="13" x14ac:dyDescent="0.15">
      <c r="A485" s="10"/>
      <c r="B485" s="13"/>
      <c r="C485" s="13"/>
    </row>
    <row r="486" spans="1:3" ht="13" x14ac:dyDescent="0.15">
      <c r="A486" s="10"/>
      <c r="B486" s="13"/>
      <c r="C486" s="13"/>
    </row>
    <row r="487" spans="1:3" ht="13" x14ac:dyDescent="0.15">
      <c r="A487" s="10"/>
      <c r="B487" s="13"/>
      <c r="C487" s="13"/>
    </row>
    <row r="488" spans="1:3" ht="13" x14ac:dyDescent="0.15">
      <c r="A488" s="10"/>
      <c r="B488" s="13"/>
      <c r="C488" s="13"/>
    </row>
    <row r="489" spans="1:3" ht="13" x14ac:dyDescent="0.15">
      <c r="A489" s="10"/>
      <c r="B489" s="13"/>
      <c r="C489" s="13"/>
    </row>
    <row r="490" spans="1:3" ht="13" x14ac:dyDescent="0.15">
      <c r="A490" s="10"/>
      <c r="B490" s="13"/>
      <c r="C490" s="13"/>
    </row>
    <row r="491" spans="1:3" ht="13" x14ac:dyDescent="0.15">
      <c r="A491" s="10"/>
      <c r="B491" s="13"/>
      <c r="C491" s="13"/>
    </row>
    <row r="492" spans="1:3" ht="13" x14ac:dyDescent="0.15">
      <c r="A492" s="10"/>
      <c r="B492" s="13"/>
      <c r="C492" s="13"/>
    </row>
    <row r="493" spans="1:3" ht="13" x14ac:dyDescent="0.15">
      <c r="A493" s="10"/>
      <c r="B493" s="13"/>
      <c r="C493" s="13"/>
    </row>
    <row r="494" spans="1:3" ht="13" x14ac:dyDescent="0.15">
      <c r="A494" s="10"/>
      <c r="B494" s="13"/>
      <c r="C494" s="13"/>
    </row>
    <row r="495" spans="1:3" ht="13" x14ac:dyDescent="0.15">
      <c r="A495" s="10"/>
      <c r="B495" s="13"/>
      <c r="C495" s="13"/>
    </row>
    <row r="496" spans="1:3" ht="13" x14ac:dyDescent="0.15">
      <c r="A496" s="10"/>
      <c r="B496" s="13"/>
      <c r="C496" s="13"/>
    </row>
    <row r="497" spans="1:3" ht="13" x14ac:dyDescent="0.15">
      <c r="A497" s="10"/>
      <c r="B497" s="13"/>
      <c r="C497" s="13"/>
    </row>
    <row r="498" spans="1:3" ht="13" x14ac:dyDescent="0.15">
      <c r="A498" s="10"/>
      <c r="B498" s="13"/>
      <c r="C498" s="13"/>
    </row>
    <row r="499" spans="1:3" ht="13" x14ac:dyDescent="0.15">
      <c r="A499" s="10"/>
      <c r="B499" s="13"/>
      <c r="C499" s="13"/>
    </row>
    <row r="500" spans="1:3" ht="13" x14ac:dyDescent="0.15">
      <c r="A500" s="10"/>
      <c r="B500" s="13"/>
      <c r="C500" s="13"/>
    </row>
    <row r="501" spans="1:3" ht="13" x14ac:dyDescent="0.15">
      <c r="A501" s="10"/>
      <c r="B501" s="13"/>
      <c r="C501" s="13"/>
    </row>
    <row r="502" spans="1:3" ht="13" x14ac:dyDescent="0.15">
      <c r="A502" s="10"/>
      <c r="B502" s="13"/>
      <c r="C502" s="13"/>
    </row>
    <row r="503" spans="1:3" ht="13" x14ac:dyDescent="0.15">
      <c r="A503" s="10"/>
      <c r="B503" s="13"/>
      <c r="C503" s="13"/>
    </row>
    <row r="504" spans="1:3" ht="13" x14ac:dyDescent="0.15">
      <c r="A504" s="10"/>
      <c r="B504" s="13"/>
      <c r="C504" s="13"/>
    </row>
    <row r="505" spans="1:3" ht="13" x14ac:dyDescent="0.15">
      <c r="A505" s="10"/>
      <c r="B505" s="13"/>
      <c r="C505" s="13"/>
    </row>
    <row r="506" spans="1:3" ht="13" x14ac:dyDescent="0.15">
      <c r="A506" s="10"/>
      <c r="B506" s="13"/>
      <c r="C506" s="13"/>
    </row>
    <row r="507" spans="1:3" ht="13" x14ac:dyDescent="0.15">
      <c r="A507" s="10"/>
      <c r="B507" s="13"/>
      <c r="C507" s="13"/>
    </row>
    <row r="508" spans="1:3" ht="13" x14ac:dyDescent="0.15">
      <c r="A508" s="10"/>
      <c r="B508" s="13"/>
      <c r="C508" s="13"/>
    </row>
    <row r="509" spans="1:3" ht="13" x14ac:dyDescent="0.15">
      <c r="A509" s="10"/>
      <c r="B509" s="13"/>
      <c r="C509" s="13"/>
    </row>
    <row r="510" spans="1:3" ht="13" x14ac:dyDescent="0.15">
      <c r="A510" s="10"/>
      <c r="B510" s="13"/>
      <c r="C510" s="13"/>
    </row>
    <row r="511" spans="1:3" ht="13" x14ac:dyDescent="0.15">
      <c r="A511" s="10"/>
      <c r="B511" s="13"/>
      <c r="C511" s="13"/>
    </row>
    <row r="512" spans="1:3" ht="13" x14ac:dyDescent="0.15">
      <c r="A512" s="10"/>
      <c r="B512" s="13"/>
      <c r="C512" s="13"/>
    </row>
    <row r="513" spans="1:3" ht="13" x14ac:dyDescent="0.15">
      <c r="A513" s="10"/>
      <c r="B513" s="13"/>
      <c r="C513" s="13"/>
    </row>
    <row r="514" spans="1:3" ht="13" x14ac:dyDescent="0.15">
      <c r="A514" s="10"/>
      <c r="B514" s="13"/>
      <c r="C514" s="13"/>
    </row>
    <row r="515" spans="1:3" ht="13" x14ac:dyDescent="0.15">
      <c r="A515" s="10"/>
      <c r="B515" s="13"/>
      <c r="C515" s="13"/>
    </row>
    <row r="516" spans="1:3" ht="13" x14ac:dyDescent="0.15">
      <c r="A516" s="10"/>
      <c r="B516" s="13"/>
      <c r="C516" s="13"/>
    </row>
    <row r="517" spans="1:3" ht="13" x14ac:dyDescent="0.15">
      <c r="A517" s="10"/>
      <c r="B517" s="13"/>
      <c r="C517" s="13"/>
    </row>
    <row r="518" spans="1:3" ht="13" x14ac:dyDescent="0.15">
      <c r="A518" s="10"/>
      <c r="B518" s="13"/>
      <c r="C518" s="13"/>
    </row>
    <row r="519" spans="1:3" ht="13" x14ac:dyDescent="0.15">
      <c r="A519" s="10"/>
      <c r="B519" s="13"/>
      <c r="C519" s="13"/>
    </row>
    <row r="520" spans="1:3" ht="13" x14ac:dyDescent="0.15">
      <c r="A520" s="10"/>
      <c r="B520" s="13"/>
      <c r="C520" s="13"/>
    </row>
    <row r="521" spans="1:3" ht="13" x14ac:dyDescent="0.15">
      <c r="A521" s="10"/>
      <c r="B521" s="13"/>
      <c r="C521" s="13"/>
    </row>
    <row r="522" spans="1:3" ht="13" x14ac:dyDescent="0.15">
      <c r="A522" s="10"/>
      <c r="B522" s="13"/>
      <c r="C522" s="13"/>
    </row>
    <row r="523" spans="1:3" ht="13" x14ac:dyDescent="0.15">
      <c r="A523" s="10"/>
      <c r="B523" s="13"/>
      <c r="C523" s="13"/>
    </row>
    <row r="524" spans="1:3" ht="13" x14ac:dyDescent="0.15">
      <c r="A524" s="10"/>
      <c r="B524" s="13"/>
      <c r="C524" s="13"/>
    </row>
    <row r="525" spans="1:3" ht="13" x14ac:dyDescent="0.15">
      <c r="A525" s="10"/>
      <c r="B525" s="13"/>
      <c r="C525" s="13"/>
    </row>
    <row r="526" spans="1:3" ht="13" x14ac:dyDescent="0.15">
      <c r="A526" s="10"/>
      <c r="B526" s="13"/>
      <c r="C526" s="13"/>
    </row>
    <row r="527" spans="1:3" ht="13" x14ac:dyDescent="0.15">
      <c r="A527" s="10"/>
      <c r="B527" s="13"/>
      <c r="C527" s="13"/>
    </row>
    <row r="528" spans="1:3" ht="13" x14ac:dyDescent="0.15">
      <c r="A528" s="10"/>
      <c r="B528" s="13"/>
      <c r="C528" s="13"/>
    </row>
    <row r="529" spans="1:3" ht="13" x14ac:dyDescent="0.15">
      <c r="A529" s="10"/>
      <c r="B529" s="13"/>
      <c r="C529" s="13"/>
    </row>
    <row r="530" spans="1:3" ht="13" x14ac:dyDescent="0.15">
      <c r="A530" s="10"/>
      <c r="B530" s="13"/>
      <c r="C530" s="13"/>
    </row>
    <row r="531" spans="1:3" ht="13" x14ac:dyDescent="0.15">
      <c r="A531" s="10"/>
      <c r="B531" s="13"/>
      <c r="C531" s="13"/>
    </row>
    <row r="532" spans="1:3" ht="13" x14ac:dyDescent="0.15">
      <c r="A532" s="10"/>
      <c r="B532" s="13"/>
      <c r="C532" s="13"/>
    </row>
    <row r="533" spans="1:3" ht="13" x14ac:dyDescent="0.15">
      <c r="A533" s="10"/>
      <c r="B533" s="13"/>
      <c r="C533" s="13"/>
    </row>
    <row r="534" spans="1:3" ht="13" x14ac:dyDescent="0.15">
      <c r="A534" s="10"/>
      <c r="B534" s="13"/>
      <c r="C534" s="13"/>
    </row>
    <row r="535" spans="1:3" ht="13" x14ac:dyDescent="0.15">
      <c r="A535" s="10"/>
      <c r="B535" s="13"/>
      <c r="C535" s="13"/>
    </row>
    <row r="536" spans="1:3" ht="13" x14ac:dyDescent="0.15">
      <c r="A536" s="10"/>
      <c r="B536" s="13"/>
      <c r="C536" s="13"/>
    </row>
    <row r="537" spans="1:3" ht="13" x14ac:dyDescent="0.15">
      <c r="A537" s="10"/>
      <c r="B537" s="13"/>
      <c r="C537" s="13"/>
    </row>
    <row r="538" spans="1:3" ht="13" x14ac:dyDescent="0.15">
      <c r="A538" s="10"/>
      <c r="B538" s="13"/>
      <c r="C538" s="13"/>
    </row>
    <row r="539" spans="1:3" ht="13" x14ac:dyDescent="0.15">
      <c r="A539" s="10"/>
      <c r="B539" s="13"/>
      <c r="C539" s="13"/>
    </row>
    <row r="540" spans="1:3" ht="13" x14ac:dyDescent="0.15">
      <c r="A540" s="10"/>
      <c r="B540" s="13"/>
      <c r="C540" s="13"/>
    </row>
    <row r="541" spans="1:3" ht="13" x14ac:dyDescent="0.15">
      <c r="A541" s="10"/>
      <c r="B541" s="13"/>
      <c r="C541" s="13"/>
    </row>
    <row r="542" spans="1:3" ht="13" x14ac:dyDescent="0.15">
      <c r="A542" s="10"/>
      <c r="B542" s="13"/>
      <c r="C542" s="13"/>
    </row>
    <row r="543" spans="1:3" ht="13" x14ac:dyDescent="0.15">
      <c r="A543" s="10"/>
      <c r="B543" s="13"/>
      <c r="C543" s="13"/>
    </row>
    <row r="544" spans="1:3" ht="13" x14ac:dyDescent="0.15">
      <c r="A544" s="10"/>
      <c r="B544" s="13"/>
      <c r="C544" s="13"/>
    </row>
    <row r="545" spans="1:3" ht="13" x14ac:dyDescent="0.15">
      <c r="A545" s="10"/>
      <c r="B545" s="13"/>
      <c r="C545" s="13"/>
    </row>
    <row r="546" spans="1:3" ht="13" x14ac:dyDescent="0.15">
      <c r="A546" s="10"/>
      <c r="B546" s="13"/>
      <c r="C546" s="13"/>
    </row>
    <row r="547" spans="1:3" ht="13" x14ac:dyDescent="0.15">
      <c r="A547" s="10"/>
      <c r="B547" s="13"/>
      <c r="C547" s="13"/>
    </row>
    <row r="548" spans="1:3" ht="13" x14ac:dyDescent="0.15">
      <c r="A548" s="10"/>
      <c r="B548" s="13"/>
      <c r="C548" s="13"/>
    </row>
    <row r="549" spans="1:3" ht="13" x14ac:dyDescent="0.15">
      <c r="A549" s="10"/>
      <c r="B549" s="13"/>
      <c r="C549" s="13"/>
    </row>
    <row r="550" spans="1:3" ht="13" x14ac:dyDescent="0.15">
      <c r="A550" s="10"/>
      <c r="B550" s="13"/>
      <c r="C550" s="13"/>
    </row>
    <row r="551" spans="1:3" ht="13" x14ac:dyDescent="0.15">
      <c r="A551" s="10"/>
      <c r="B551" s="13"/>
      <c r="C551" s="13"/>
    </row>
    <row r="552" spans="1:3" ht="13" x14ac:dyDescent="0.15">
      <c r="A552" s="10"/>
      <c r="B552" s="13"/>
      <c r="C552" s="13"/>
    </row>
    <row r="553" spans="1:3" ht="13" x14ac:dyDescent="0.15">
      <c r="A553" s="10"/>
      <c r="B553" s="13"/>
      <c r="C553" s="13"/>
    </row>
    <row r="554" spans="1:3" ht="13" x14ac:dyDescent="0.15">
      <c r="A554" s="10"/>
      <c r="B554" s="13"/>
      <c r="C554" s="13"/>
    </row>
    <row r="555" spans="1:3" ht="13" x14ac:dyDescent="0.15">
      <c r="A555" s="10"/>
      <c r="B555" s="13"/>
      <c r="C555" s="13"/>
    </row>
    <row r="556" spans="1:3" ht="13" x14ac:dyDescent="0.15">
      <c r="A556" s="10"/>
      <c r="B556" s="13"/>
      <c r="C556" s="13"/>
    </row>
    <row r="557" spans="1:3" ht="13" x14ac:dyDescent="0.15">
      <c r="A557" s="10"/>
      <c r="B557" s="13"/>
      <c r="C557" s="13"/>
    </row>
    <row r="558" spans="1:3" ht="13" x14ac:dyDescent="0.15">
      <c r="A558" s="10"/>
      <c r="B558" s="13"/>
      <c r="C558" s="13"/>
    </row>
    <row r="559" spans="1:3" ht="13" x14ac:dyDescent="0.15">
      <c r="A559" s="10"/>
      <c r="B559" s="13"/>
      <c r="C559" s="13"/>
    </row>
    <row r="560" spans="1:3" ht="13" x14ac:dyDescent="0.15">
      <c r="A560" s="10"/>
      <c r="B560" s="13"/>
      <c r="C560" s="13"/>
    </row>
    <row r="561" spans="1:3" ht="13" x14ac:dyDescent="0.15">
      <c r="A561" s="10"/>
      <c r="B561" s="13"/>
      <c r="C561" s="13"/>
    </row>
    <row r="562" spans="1:3" ht="13" x14ac:dyDescent="0.15">
      <c r="A562" s="10"/>
      <c r="B562" s="13"/>
      <c r="C562" s="13"/>
    </row>
    <row r="563" spans="1:3" ht="13" x14ac:dyDescent="0.15">
      <c r="A563" s="10"/>
      <c r="B563" s="13"/>
      <c r="C563" s="13"/>
    </row>
    <row r="564" spans="1:3" ht="13" x14ac:dyDescent="0.15">
      <c r="A564" s="10"/>
      <c r="B564" s="13"/>
      <c r="C564" s="13"/>
    </row>
    <row r="565" spans="1:3" ht="13" x14ac:dyDescent="0.15">
      <c r="A565" s="10"/>
      <c r="B565" s="13"/>
      <c r="C565" s="13"/>
    </row>
    <row r="566" spans="1:3" ht="13" x14ac:dyDescent="0.15">
      <c r="A566" s="10"/>
      <c r="B566" s="13"/>
      <c r="C566" s="13"/>
    </row>
    <row r="567" spans="1:3" ht="13" x14ac:dyDescent="0.15">
      <c r="A567" s="10"/>
      <c r="B567" s="13"/>
      <c r="C567" s="13"/>
    </row>
    <row r="568" spans="1:3" ht="13" x14ac:dyDescent="0.15">
      <c r="A568" s="10"/>
      <c r="B568" s="13"/>
      <c r="C568" s="13"/>
    </row>
    <row r="569" spans="1:3" ht="13" x14ac:dyDescent="0.15">
      <c r="A569" s="10"/>
      <c r="B569" s="13"/>
      <c r="C569" s="13"/>
    </row>
    <row r="570" spans="1:3" ht="13" x14ac:dyDescent="0.15">
      <c r="A570" s="10"/>
      <c r="B570" s="13"/>
      <c r="C570" s="13"/>
    </row>
    <row r="571" spans="1:3" ht="13" x14ac:dyDescent="0.15">
      <c r="A571" s="10"/>
      <c r="B571" s="13"/>
      <c r="C571" s="13"/>
    </row>
    <row r="572" spans="1:3" ht="13" x14ac:dyDescent="0.15">
      <c r="A572" s="10"/>
      <c r="B572" s="13"/>
      <c r="C572" s="13"/>
    </row>
    <row r="573" spans="1:3" ht="13" x14ac:dyDescent="0.15">
      <c r="A573" s="10"/>
      <c r="B573" s="13"/>
      <c r="C573" s="13"/>
    </row>
    <row r="574" spans="1:3" ht="13" x14ac:dyDescent="0.15">
      <c r="A574" s="10"/>
      <c r="B574" s="13"/>
      <c r="C574" s="13"/>
    </row>
    <row r="575" spans="1:3" ht="13" x14ac:dyDescent="0.15">
      <c r="A575" s="10"/>
      <c r="B575" s="13"/>
      <c r="C575" s="13"/>
    </row>
    <row r="576" spans="1:3" ht="13" x14ac:dyDescent="0.15">
      <c r="A576" s="10"/>
      <c r="B576" s="13"/>
      <c r="C576" s="13"/>
    </row>
    <row r="577" spans="1:3" ht="13" x14ac:dyDescent="0.15">
      <c r="A577" s="10"/>
      <c r="B577" s="13"/>
      <c r="C577" s="13"/>
    </row>
    <row r="578" spans="1:3" ht="13" x14ac:dyDescent="0.15">
      <c r="A578" s="10"/>
      <c r="B578" s="13"/>
      <c r="C578" s="13"/>
    </row>
    <row r="579" spans="1:3" ht="13" x14ac:dyDescent="0.15">
      <c r="A579" s="10"/>
      <c r="B579" s="13"/>
      <c r="C579" s="13"/>
    </row>
    <row r="580" spans="1:3" ht="13" x14ac:dyDescent="0.15">
      <c r="A580" s="10"/>
      <c r="B580" s="13"/>
      <c r="C580" s="13"/>
    </row>
    <row r="581" spans="1:3" ht="13" x14ac:dyDescent="0.15">
      <c r="A581" s="10"/>
      <c r="B581" s="13"/>
      <c r="C581" s="13"/>
    </row>
    <row r="582" spans="1:3" ht="13" x14ac:dyDescent="0.15">
      <c r="A582" s="10"/>
      <c r="B582" s="13"/>
      <c r="C582" s="13"/>
    </row>
    <row r="583" spans="1:3" ht="13" x14ac:dyDescent="0.15">
      <c r="A583" s="10"/>
      <c r="B583" s="13"/>
      <c r="C583" s="13"/>
    </row>
    <row r="584" spans="1:3" ht="13" x14ac:dyDescent="0.15">
      <c r="A584" s="10"/>
      <c r="B584" s="13"/>
      <c r="C584" s="13"/>
    </row>
    <row r="585" spans="1:3" ht="13" x14ac:dyDescent="0.15">
      <c r="A585" s="10"/>
      <c r="B585" s="13"/>
      <c r="C585" s="13"/>
    </row>
    <row r="586" spans="1:3" ht="13" x14ac:dyDescent="0.15">
      <c r="A586" s="10"/>
      <c r="B586" s="13"/>
      <c r="C586" s="13"/>
    </row>
    <row r="587" spans="1:3" ht="13" x14ac:dyDescent="0.15">
      <c r="A587" s="10"/>
      <c r="B587" s="13"/>
      <c r="C587" s="13"/>
    </row>
    <row r="588" spans="1:3" ht="13" x14ac:dyDescent="0.15">
      <c r="A588" s="10"/>
      <c r="B588" s="13"/>
      <c r="C588" s="13"/>
    </row>
    <row r="589" spans="1:3" ht="13" x14ac:dyDescent="0.15">
      <c r="A589" s="10"/>
      <c r="B589" s="13"/>
      <c r="C589" s="13"/>
    </row>
    <row r="590" spans="1:3" ht="13" x14ac:dyDescent="0.15">
      <c r="A590" s="10"/>
      <c r="B590" s="13"/>
      <c r="C590" s="13"/>
    </row>
    <row r="591" spans="1:3" ht="13" x14ac:dyDescent="0.15">
      <c r="A591" s="10"/>
      <c r="B591" s="13"/>
      <c r="C591" s="13"/>
    </row>
    <row r="592" spans="1:3" ht="13" x14ac:dyDescent="0.15">
      <c r="A592" s="10"/>
      <c r="B592" s="13"/>
      <c r="C592" s="13"/>
    </row>
    <row r="593" spans="1:3" ht="13" x14ac:dyDescent="0.15">
      <c r="A593" s="10"/>
      <c r="B593" s="13"/>
      <c r="C593" s="13"/>
    </row>
    <row r="594" spans="1:3" ht="13" x14ac:dyDescent="0.15">
      <c r="A594" s="10"/>
      <c r="B594" s="13"/>
      <c r="C594" s="13"/>
    </row>
    <row r="595" spans="1:3" ht="13" x14ac:dyDescent="0.15">
      <c r="A595" s="10"/>
      <c r="B595" s="13"/>
      <c r="C595" s="13"/>
    </row>
    <row r="596" spans="1:3" ht="13" x14ac:dyDescent="0.15">
      <c r="A596" s="10"/>
      <c r="B596" s="13"/>
      <c r="C596" s="13"/>
    </row>
    <row r="597" spans="1:3" ht="13" x14ac:dyDescent="0.15">
      <c r="A597" s="10"/>
      <c r="B597" s="13"/>
      <c r="C597" s="13"/>
    </row>
    <row r="598" spans="1:3" ht="13" x14ac:dyDescent="0.15">
      <c r="A598" s="10"/>
      <c r="B598" s="13"/>
      <c r="C598" s="13"/>
    </row>
    <row r="599" spans="1:3" ht="13" x14ac:dyDescent="0.15">
      <c r="A599" s="10"/>
      <c r="B599" s="13"/>
      <c r="C599" s="13"/>
    </row>
    <row r="600" spans="1:3" ht="13" x14ac:dyDescent="0.15">
      <c r="A600" s="10"/>
      <c r="B600" s="13"/>
      <c r="C600" s="13"/>
    </row>
    <row r="601" spans="1:3" ht="13" x14ac:dyDescent="0.15">
      <c r="A601" s="10"/>
      <c r="B601" s="13"/>
      <c r="C601" s="13"/>
    </row>
    <row r="602" spans="1:3" ht="13" x14ac:dyDescent="0.15">
      <c r="A602" s="10"/>
      <c r="B602" s="13"/>
      <c r="C602" s="13"/>
    </row>
    <row r="603" spans="1:3" ht="13" x14ac:dyDescent="0.15">
      <c r="A603" s="10"/>
      <c r="B603" s="13"/>
      <c r="C603" s="13"/>
    </row>
    <row r="604" spans="1:3" ht="13" x14ac:dyDescent="0.15">
      <c r="A604" s="10"/>
      <c r="B604" s="13"/>
      <c r="C604" s="13"/>
    </row>
    <row r="605" spans="1:3" ht="13" x14ac:dyDescent="0.15">
      <c r="A605" s="10"/>
      <c r="B605" s="13"/>
      <c r="C605" s="13"/>
    </row>
    <row r="606" spans="1:3" ht="13" x14ac:dyDescent="0.15">
      <c r="A606" s="10"/>
      <c r="B606" s="13"/>
      <c r="C606" s="13"/>
    </row>
    <row r="607" spans="1:3" ht="13" x14ac:dyDescent="0.15">
      <c r="A607" s="10"/>
      <c r="B607" s="13"/>
      <c r="C607" s="13"/>
    </row>
    <row r="608" spans="1:3" ht="13" x14ac:dyDescent="0.15">
      <c r="A608" s="10"/>
      <c r="B608" s="13"/>
      <c r="C608" s="13"/>
    </row>
    <row r="609" spans="1:3" ht="13" x14ac:dyDescent="0.15">
      <c r="A609" s="10"/>
      <c r="B609" s="13"/>
      <c r="C609" s="13"/>
    </row>
    <row r="610" spans="1:3" ht="13" x14ac:dyDescent="0.15">
      <c r="A610" s="10"/>
      <c r="B610" s="13"/>
      <c r="C610" s="13"/>
    </row>
    <row r="611" spans="1:3" ht="13" x14ac:dyDescent="0.15">
      <c r="A611" s="10"/>
      <c r="B611" s="13"/>
      <c r="C611" s="13"/>
    </row>
    <row r="612" spans="1:3" ht="13" x14ac:dyDescent="0.15">
      <c r="A612" s="10"/>
      <c r="B612" s="13"/>
      <c r="C612" s="13"/>
    </row>
    <row r="613" spans="1:3" ht="13" x14ac:dyDescent="0.15">
      <c r="A613" s="10"/>
      <c r="B613" s="13"/>
      <c r="C613" s="13"/>
    </row>
    <row r="614" spans="1:3" ht="13" x14ac:dyDescent="0.15">
      <c r="A614" s="10"/>
      <c r="B614" s="13"/>
      <c r="C614" s="13"/>
    </row>
    <row r="615" spans="1:3" ht="13" x14ac:dyDescent="0.15">
      <c r="A615" s="10"/>
      <c r="B615" s="13"/>
      <c r="C615" s="13"/>
    </row>
    <row r="616" spans="1:3" ht="13" x14ac:dyDescent="0.15">
      <c r="A616" s="10"/>
      <c r="B616" s="13"/>
      <c r="C616" s="13"/>
    </row>
    <row r="617" spans="1:3" ht="13" x14ac:dyDescent="0.15">
      <c r="A617" s="10"/>
      <c r="B617" s="13"/>
      <c r="C617" s="13"/>
    </row>
    <row r="618" spans="1:3" ht="13" x14ac:dyDescent="0.15">
      <c r="A618" s="10"/>
      <c r="B618" s="13"/>
      <c r="C618" s="13"/>
    </row>
    <row r="619" spans="1:3" ht="13" x14ac:dyDescent="0.15">
      <c r="A619" s="10"/>
      <c r="B619" s="13"/>
      <c r="C619" s="13"/>
    </row>
    <row r="620" spans="1:3" ht="13" x14ac:dyDescent="0.15">
      <c r="A620" s="10"/>
      <c r="B620" s="13"/>
      <c r="C620" s="13"/>
    </row>
    <row r="621" spans="1:3" ht="13" x14ac:dyDescent="0.15">
      <c r="A621" s="10"/>
      <c r="B621" s="13"/>
      <c r="C621" s="13"/>
    </row>
    <row r="622" spans="1:3" ht="13" x14ac:dyDescent="0.15">
      <c r="A622" s="10"/>
      <c r="B622" s="13"/>
      <c r="C622" s="13"/>
    </row>
    <row r="623" spans="1:3" ht="13" x14ac:dyDescent="0.15">
      <c r="A623" s="10"/>
      <c r="B623" s="13"/>
      <c r="C623" s="13"/>
    </row>
    <row r="624" spans="1:3" ht="13" x14ac:dyDescent="0.15">
      <c r="A624" s="10"/>
      <c r="B624" s="13"/>
      <c r="C624" s="13"/>
    </row>
    <row r="625" spans="1:3" ht="13" x14ac:dyDescent="0.15">
      <c r="A625" s="10"/>
      <c r="B625" s="13"/>
      <c r="C625" s="13"/>
    </row>
    <row r="626" spans="1:3" ht="13" x14ac:dyDescent="0.15">
      <c r="A626" s="10"/>
      <c r="B626" s="13"/>
      <c r="C626" s="13"/>
    </row>
    <row r="627" spans="1:3" ht="13" x14ac:dyDescent="0.15">
      <c r="A627" s="10"/>
      <c r="B627" s="13"/>
      <c r="C627" s="13"/>
    </row>
    <row r="628" spans="1:3" ht="13" x14ac:dyDescent="0.15">
      <c r="A628" s="10"/>
      <c r="B628" s="13"/>
      <c r="C628" s="13"/>
    </row>
    <row r="629" spans="1:3" ht="13" x14ac:dyDescent="0.15">
      <c r="A629" s="10"/>
      <c r="B629" s="13"/>
      <c r="C629" s="13"/>
    </row>
    <row r="630" spans="1:3" ht="13" x14ac:dyDescent="0.15">
      <c r="A630" s="10"/>
      <c r="B630" s="13"/>
      <c r="C630" s="13"/>
    </row>
    <row r="631" spans="1:3" ht="13" x14ac:dyDescent="0.15">
      <c r="A631" s="10"/>
      <c r="B631" s="13"/>
      <c r="C631" s="13"/>
    </row>
    <row r="632" spans="1:3" ht="13" x14ac:dyDescent="0.15">
      <c r="A632" s="10"/>
      <c r="B632" s="13"/>
      <c r="C632" s="13"/>
    </row>
    <row r="633" spans="1:3" ht="13" x14ac:dyDescent="0.15">
      <c r="A633" s="10"/>
      <c r="B633" s="13"/>
      <c r="C633" s="13"/>
    </row>
    <row r="634" spans="1:3" ht="13" x14ac:dyDescent="0.15">
      <c r="A634" s="10"/>
      <c r="B634" s="13"/>
      <c r="C634" s="13"/>
    </row>
    <row r="635" spans="1:3" ht="13" x14ac:dyDescent="0.15">
      <c r="A635" s="10"/>
      <c r="B635" s="13"/>
      <c r="C635" s="13"/>
    </row>
    <row r="636" spans="1:3" ht="13" x14ac:dyDescent="0.15">
      <c r="A636" s="10"/>
      <c r="B636" s="13"/>
      <c r="C636" s="13"/>
    </row>
    <row r="637" spans="1:3" ht="13" x14ac:dyDescent="0.15">
      <c r="A637" s="10"/>
      <c r="B637" s="13"/>
      <c r="C637" s="13"/>
    </row>
    <row r="638" spans="1:3" ht="13" x14ac:dyDescent="0.15">
      <c r="A638" s="10"/>
      <c r="B638" s="13"/>
      <c r="C638" s="13"/>
    </row>
    <row r="639" spans="1:3" ht="13" x14ac:dyDescent="0.15">
      <c r="A639" s="10"/>
      <c r="B639" s="13"/>
      <c r="C639" s="13"/>
    </row>
    <row r="640" spans="1:3" ht="13" x14ac:dyDescent="0.15">
      <c r="A640" s="10"/>
      <c r="B640" s="13"/>
      <c r="C640" s="13"/>
    </row>
    <row r="641" spans="1:3" ht="13" x14ac:dyDescent="0.15">
      <c r="A641" s="10"/>
      <c r="B641" s="13"/>
      <c r="C641" s="13"/>
    </row>
    <row r="642" spans="1:3" ht="13" x14ac:dyDescent="0.15">
      <c r="A642" s="10"/>
      <c r="B642" s="13"/>
      <c r="C642" s="13"/>
    </row>
    <row r="643" spans="1:3" ht="13" x14ac:dyDescent="0.15">
      <c r="A643" s="10"/>
      <c r="B643" s="13"/>
      <c r="C643" s="13"/>
    </row>
    <row r="644" spans="1:3" ht="13" x14ac:dyDescent="0.15">
      <c r="A644" s="10"/>
      <c r="B644" s="13"/>
      <c r="C644" s="13"/>
    </row>
    <row r="645" spans="1:3" ht="13" x14ac:dyDescent="0.15">
      <c r="A645" s="10"/>
      <c r="B645" s="13"/>
      <c r="C645" s="13"/>
    </row>
    <row r="646" spans="1:3" ht="13" x14ac:dyDescent="0.15">
      <c r="A646" s="10"/>
      <c r="B646" s="13"/>
      <c r="C646" s="13"/>
    </row>
    <row r="647" spans="1:3" ht="13" x14ac:dyDescent="0.15">
      <c r="A647" s="10"/>
      <c r="B647" s="13"/>
      <c r="C647" s="13"/>
    </row>
    <row r="648" spans="1:3" ht="13" x14ac:dyDescent="0.15">
      <c r="A648" s="10"/>
      <c r="B648" s="13"/>
      <c r="C648" s="13"/>
    </row>
    <row r="649" spans="1:3" ht="13" x14ac:dyDescent="0.15">
      <c r="A649" s="10"/>
      <c r="B649" s="13"/>
      <c r="C649" s="13"/>
    </row>
    <row r="650" spans="1:3" ht="13" x14ac:dyDescent="0.15">
      <c r="A650" s="10"/>
      <c r="B650" s="13"/>
      <c r="C650" s="13"/>
    </row>
    <row r="651" spans="1:3" ht="13" x14ac:dyDescent="0.15">
      <c r="A651" s="10"/>
      <c r="B651" s="13"/>
      <c r="C651" s="13"/>
    </row>
    <row r="652" spans="1:3" ht="13" x14ac:dyDescent="0.15">
      <c r="A652" s="10"/>
      <c r="B652" s="13"/>
      <c r="C652" s="13"/>
    </row>
    <row r="653" spans="1:3" ht="13" x14ac:dyDescent="0.15">
      <c r="A653" s="10"/>
      <c r="B653" s="13"/>
      <c r="C653" s="13"/>
    </row>
    <row r="654" spans="1:3" ht="13" x14ac:dyDescent="0.15">
      <c r="A654" s="10"/>
      <c r="B654" s="13"/>
      <c r="C654" s="13"/>
    </row>
    <row r="655" spans="1:3" ht="13" x14ac:dyDescent="0.15">
      <c r="A655" s="10"/>
      <c r="B655" s="13"/>
      <c r="C655" s="13"/>
    </row>
    <row r="656" spans="1:3" ht="13" x14ac:dyDescent="0.15">
      <c r="A656" s="10"/>
      <c r="B656" s="13"/>
      <c r="C656" s="13"/>
    </row>
    <row r="657" spans="1:3" ht="13" x14ac:dyDescent="0.15">
      <c r="A657" s="10"/>
      <c r="B657" s="13"/>
      <c r="C657" s="13"/>
    </row>
    <row r="658" spans="1:3" ht="13" x14ac:dyDescent="0.15">
      <c r="A658" s="10"/>
      <c r="B658" s="13"/>
      <c r="C658" s="13"/>
    </row>
    <row r="659" spans="1:3" ht="13" x14ac:dyDescent="0.15">
      <c r="A659" s="10"/>
      <c r="B659" s="13"/>
      <c r="C659" s="13"/>
    </row>
    <row r="660" spans="1:3" ht="13" x14ac:dyDescent="0.15">
      <c r="A660" s="10"/>
      <c r="B660" s="13"/>
      <c r="C660" s="13"/>
    </row>
    <row r="661" spans="1:3" ht="13" x14ac:dyDescent="0.15">
      <c r="A661" s="10"/>
      <c r="B661" s="13"/>
      <c r="C661" s="13"/>
    </row>
    <row r="662" spans="1:3" ht="13" x14ac:dyDescent="0.15">
      <c r="A662" s="10"/>
      <c r="B662" s="13"/>
      <c r="C662" s="13"/>
    </row>
    <row r="663" spans="1:3" ht="13" x14ac:dyDescent="0.15">
      <c r="A663" s="10"/>
      <c r="B663" s="13"/>
      <c r="C663" s="13"/>
    </row>
    <row r="664" spans="1:3" ht="13" x14ac:dyDescent="0.15">
      <c r="A664" s="10"/>
      <c r="B664" s="13"/>
      <c r="C664" s="13"/>
    </row>
    <row r="665" spans="1:3" ht="13" x14ac:dyDescent="0.15">
      <c r="A665" s="10"/>
      <c r="B665" s="13"/>
      <c r="C665" s="13"/>
    </row>
    <row r="666" spans="1:3" ht="13" x14ac:dyDescent="0.15">
      <c r="A666" s="10"/>
      <c r="B666" s="13"/>
      <c r="C666" s="13"/>
    </row>
    <row r="667" spans="1:3" ht="13" x14ac:dyDescent="0.15">
      <c r="A667" s="10"/>
      <c r="B667" s="13"/>
      <c r="C667" s="13"/>
    </row>
    <row r="668" spans="1:3" ht="13" x14ac:dyDescent="0.15">
      <c r="A668" s="10"/>
      <c r="B668" s="13"/>
      <c r="C668" s="13"/>
    </row>
    <row r="669" spans="1:3" ht="13" x14ac:dyDescent="0.15">
      <c r="A669" s="10"/>
      <c r="B669" s="13"/>
      <c r="C669" s="13"/>
    </row>
    <row r="670" spans="1:3" ht="13" x14ac:dyDescent="0.15">
      <c r="A670" s="10"/>
      <c r="B670" s="13"/>
      <c r="C670" s="13"/>
    </row>
    <row r="671" spans="1:3" ht="13" x14ac:dyDescent="0.15">
      <c r="A671" s="10"/>
      <c r="B671" s="13"/>
      <c r="C671" s="13"/>
    </row>
    <row r="672" spans="1:3" ht="13" x14ac:dyDescent="0.15">
      <c r="A672" s="10"/>
      <c r="B672" s="13"/>
      <c r="C672" s="13"/>
    </row>
    <row r="673" spans="1:3" ht="13" x14ac:dyDescent="0.15">
      <c r="A673" s="10"/>
      <c r="B673" s="13"/>
      <c r="C673" s="13"/>
    </row>
    <row r="674" spans="1:3" ht="13" x14ac:dyDescent="0.15">
      <c r="A674" s="10"/>
      <c r="B674" s="13"/>
      <c r="C674" s="13"/>
    </row>
    <row r="675" spans="1:3" ht="13" x14ac:dyDescent="0.15">
      <c r="A675" s="10"/>
      <c r="B675" s="13"/>
      <c r="C675" s="13"/>
    </row>
    <row r="676" spans="1:3" ht="13" x14ac:dyDescent="0.15">
      <c r="A676" s="10"/>
      <c r="B676" s="13"/>
      <c r="C676" s="13"/>
    </row>
    <row r="677" spans="1:3" ht="13" x14ac:dyDescent="0.15">
      <c r="A677" s="10"/>
      <c r="B677" s="13"/>
      <c r="C677" s="13"/>
    </row>
    <row r="678" spans="1:3" ht="13" x14ac:dyDescent="0.15">
      <c r="A678" s="10"/>
      <c r="B678" s="13"/>
      <c r="C678" s="13"/>
    </row>
    <row r="679" spans="1:3" ht="13" x14ac:dyDescent="0.15">
      <c r="A679" s="10"/>
      <c r="B679" s="13"/>
      <c r="C679" s="13"/>
    </row>
    <row r="680" spans="1:3" ht="13" x14ac:dyDescent="0.15">
      <c r="A680" s="10"/>
      <c r="B680" s="13"/>
      <c r="C680" s="13"/>
    </row>
    <row r="681" spans="1:3" ht="13" x14ac:dyDescent="0.15">
      <c r="A681" s="10"/>
      <c r="B681" s="13"/>
      <c r="C681" s="13"/>
    </row>
    <row r="682" spans="1:3" ht="13" x14ac:dyDescent="0.15">
      <c r="A682" s="10"/>
      <c r="B682" s="13"/>
      <c r="C682" s="13"/>
    </row>
    <row r="683" spans="1:3" ht="13" x14ac:dyDescent="0.15">
      <c r="A683" s="10"/>
      <c r="B683" s="13"/>
      <c r="C683" s="13"/>
    </row>
    <row r="684" spans="1:3" ht="13" x14ac:dyDescent="0.15">
      <c r="A684" s="10"/>
      <c r="B684" s="13"/>
      <c r="C684" s="13"/>
    </row>
    <row r="685" spans="1:3" ht="13" x14ac:dyDescent="0.15">
      <c r="A685" s="10"/>
      <c r="B685" s="13"/>
      <c r="C685" s="13"/>
    </row>
    <row r="686" spans="1:3" ht="13" x14ac:dyDescent="0.15">
      <c r="A686" s="10"/>
      <c r="B686" s="13"/>
      <c r="C686" s="13"/>
    </row>
    <row r="687" spans="1:3" ht="13" x14ac:dyDescent="0.15">
      <c r="A687" s="10"/>
      <c r="B687" s="13"/>
      <c r="C687" s="13"/>
    </row>
    <row r="688" spans="1:3" ht="13" x14ac:dyDescent="0.15">
      <c r="A688" s="10"/>
      <c r="B688" s="13"/>
      <c r="C688" s="13"/>
    </row>
    <row r="689" spans="1:3" ht="13" x14ac:dyDescent="0.15">
      <c r="A689" s="10"/>
      <c r="B689" s="13"/>
      <c r="C689" s="13"/>
    </row>
    <row r="690" spans="1:3" ht="13" x14ac:dyDescent="0.15">
      <c r="A690" s="10"/>
      <c r="B690" s="13"/>
      <c r="C690" s="13"/>
    </row>
    <row r="691" spans="1:3" ht="13" x14ac:dyDescent="0.15">
      <c r="A691" s="10"/>
      <c r="B691" s="13"/>
      <c r="C691" s="13"/>
    </row>
    <row r="692" spans="1:3" ht="13" x14ac:dyDescent="0.15">
      <c r="A692" s="10"/>
      <c r="B692" s="13"/>
      <c r="C692" s="13"/>
    </row>
    <row r="693" spans="1:3" ht="13" x14ac:dyDescent="0.15">
      <c r="A693" s="10"/>
      <c r="B693" s="13"/>
      <c r="C693" s="13"/>
    </row>
    <row r="694" spans="1:3" ht="13" x14ac:dyDescent="0.15">
      <c r="A694" s="10"/>
      <c r="B694" s="13"/>
      <c r="C694" s="13"/>
    </row>
    <row r="695" spans="1:3" ht="13" x14ac:dyDescent="0.15">
      <c r="A695" s="10"/>
      <c r="B695" s="13"/>
      <c r="C695" s="13"/>
    </row>
    <row r="696" spans="1:3" ht="13" x14ac:dyDescent="0.15">
      <c r="A696" s="10"/>
      <c r="B696" s="13"/>
      <c r="C696" s="13"/>
    </row>
    <row r="697" spans="1:3" ht="13" x14ac:dyDescent="0.15">
      <c r="A697" s="10"/>
      <c r="B697" s="13"/>
      <c r="C697" s="13"/>
    </row>
    <row r="698" spans="1:3" ht="13" x14ac:dyDescent="0.15">
      <c r="A698" s="10"/>
      <c r="B698" s="13"/>
      <c r="C698" s="13"/>
    </row>
    <row r="699" spans="1:3" ht="13" x14ac:dyDescent="0.15">
      <c r="A699" s="10"/>
      <c r="B699" s="13"/>
      <c r="C699" s="13"/>
    </row>
    <row r="700" spans="1:3" ht="13" x14ac:dyDescent="0.15">
      <c r="A700" s="10"/>
      <c r="B700" s="13"/>
      <c r="C700" s="13"/>
    </row>
    <row r="701" spans="1:3" ht="13" x14ac:dyDescent="0.15">
      <c r="A701" s="10"/>
      <c r="B701" s="13"/>
      <c r="C701" s="13"/>
    </row>
    <row r="702" spans="1:3" ht="13" x14ac:dyDescent="0.15">
      <c r="A702" s="10"/>
      <c r="B702" s="13"/>
      <c r="C702" s="13"/>
    </row>
    <row r="703" spans="1:3" ht="13" x14ac:dyDescent="0.15">
      <c r="A703" s="10"/>
      <c r="B703" s="13"/>
      <c r="C703" s="13"/>
    </row>
    <row r="704" spans="1:3" ht="13" x14ac:dyDescent="0.15">
      <c r="A704" s="10"/>
      <c r="B704" s="13"/>
      <c r="C704" s="13"/>
    </row>
    <row r="705" spans="1:3" ht="13" x14ac:dyDescent="0.15">
      <c r="A705" s="10"/>
      <c r="B705" s="13"/>
      <c r="C705" s="13"/>
    </row>
    <row r="706" spans="1:3" ht="13" x14ac:dyDescent="0.15">
      <c r="A706" s="10"/>
      <c r="B706" s="13"/>
      <c r="C706" s="13"/>
    </row>
    <row r="707" spans="1:3" ht="13" x14ac:dyDescent="0.15">
      <c r="A707" s="10"/>
      <c r="B707" s="13"/>
      <c r="C707" s="13"/>
    </row>
    <row r="708" spans="1:3" ht="13" x14ac:dyDescent="0.15">
      <c r="A708" s="10"/>
      <c r="B708" s="13"/>
      <c r="C708" s="13"/>
    </row>
    <row r="709" spans="1:3" ht="13" x14ac:dyDescent="0.15">
      <c r="A709" s="10"/>
      <c r="B709" s="13"/>
      <c r="C709" s="13"/>
    </row>
    <row r="710" spans="1:3" ht="13" x14ac:dyDescent="0.15">
      <c r="A710" s="10"/>
      <c r="B710" s="13"/>
      <c r="C710" s="13"/>
    </row>
    <row r="711" spans="1:3" ht="13" x14ac:dyDescent="0.15">
      <c r="A711" s="10"/>
      <c r="B711" s="13"/>
      <c r="C711" s="13"/>
    </row>
    <row r="712" spans="1:3" ht="13" x14ac:dyDescent="0.15">
      <c r="A712" s="10"/>
      <c r="B712" s="13"/>
      <c r="C712" s="13"/>
    </row>
    <row r="713" spans="1:3" ht="13" x14ac:dyDescent="0.15">
      <c r="A713" s="10"/>
      <c r="B713" s="13"/>
      <c r="C713" s="13"/>
    </row>
    <row r="714" spans="1:3" ht="13" x14ac:dyDescent="0.15">
      <c r="A714" s="10"/>
      <c r="B714" s="13"/>
      <c r="C714" s="13"/>
    </row>
    <row r="715" spans="1:3" ht="13" x14ac:dyDescent="0.15">
      <c r="A715" s="10"/>
      <c r="B715" s="13"/>
      <c r="C715" s="13"/>
    </row>
    <row r="716" spans="1:3" ht="13" x14ac:dyDescent="0.15">
      <c r="A716" s="10"/>
      <c r="B716" s="13"/>
      <c r="C716" s="13"/>
    </row>
    <row r="717" spans="1:3" ht="13" x14ac:dyDescent="0.15">
      <c r="A717" s="10"/>
      <c r="B717" s="13"/>
      <c r="C717" s="13"/>
    </row>
    <row r="718" spans="1:3" ht="13" x14ac:dyDescent="0.15">
      <c r="A718" s="10"/>
      <c r="B718" s="13"/>
      <c r="C718" s="13"/>
    </row>
    <row r="719" spans="1:3" ht="13" x14ac:dyDescent="0.15">
      <c r="A719" s="10"/>
      <c r="B719" s="13"/>
      <c r="C719" s="13"/>
    </row>
    <row r="720" spans="1:3" ht="13" x14ac:dyDescent="0.15">
      <c r="A720" s="10"/>
      <c r="B720" s="13"/>
      <c r="C720" s="13"/>
    </row>
    <row r="721" spans="1:3" ht="13" x14ac:dyDescent="0.15">
      <c r="A721" s="10"/>
      <c r="B721" s="13"/>
      <c r="C721" s="13"/>
    </row>
    <row r="722" spans="1:3" ht="13" x14ac:dyDescent="0.15">
      <c r="A722" s="10"/>
      <c r="B722" s="13"/>
      <c r="C722" s="13"/>
    </row>
    <row r="723" spans="1:3" ht="13" x14ac:dyDescent="0.15">
      <c r="A723" s="10"/>
      <c r="B723" s="13"/>
      <c r="C723" s="13"/>
    </row>
    <row r="724" spans="1:3" ht="13" x14ac:dyDescent="0.15">
      <c r="A724" s="10"/>
      <c r="B724" s="13"/>
      <c r="C724" s="13"/>
    </row>
    <row r="725" spans="1:3" ht="13" x14ac:dyDescent="0.15">
      <c r="A725" s="10"/>
      <c r="B725" s="13"/>
      <c r="C725" s="13"/>
    </row>
    <row r="726" spans="1:3" ht="13" x14ac:dyDescent="0.15">
      <c r="A726" s="10"/>
      <c r="B726" s="13"/>
      <c r="C726" s="13"/>
    </row>
    <row r="727" spans="1:3" ht="13" x14ac:dyDescent="0.15">
      <c r="A727" s="10"/>
      <c r="B727" s="13"/>
      <c r="C727" s="13"/>
    </row>
    <row r="728" spans="1:3" ht="13" x14ac:dyDescent="0.15">
      <c r="A728" s="10"/>
      <c r="B728" s="13"/>
      <c r="C728" s="13"/>
    </row>
    <row r="729" spans="1:3" ht="13" x14ac:dyDescent="0.15">
      <c r="A729" s="10"/>
      <c r="B729" s="13"/>
      <c r="C729" s="13"/>
    </row>
    <row r="730" spans="1:3" ht="13" x14ac:dyDescent="0.15">
      <c r="A730" s="10"/>
      <c r="B730" s="13"/>
      <c r="C730" s="13"/>
    </row>
    <row r="731" spans="1:3" ht="13" x14ac:dyDescent="0.15">
      <c r="A731" s="10"/>
      <c r="B731" s="13"/>
      <c r="C731" s="13"/>
    </row>
    <row r="732" spans="1:3" ht="13" x14ac:dyDescent="0.15">
      <c r="A732" s="10"/>
      <c r="B732" s="13"/>
      <c r="C732" s="13"/>
    </row>
    <row r="733" spans="1:3" ht="13" x14ac:dyDescent="0.15">
      <c r="A733" s="10"/>
      <c r="B733" s="13"/>
      <c r="C733" s="13"/>
    </row>
    <row r="734" spans="1:3" ht="13" x14ac:dyDescent="0.15">
      <c r="A734" s="10"/>
      <c r="B734" s="13"/>
      <c r="C734" s="13"/>
    </row>
    <row r="735" spans="1:3" ht="13" x14ac:dyDescent="0.15">
      <c r="A735" s="10"/>
      <c r="B735" s="13"/>
      <c r="C735" s="13"/>
    </row>
    <row r="736" spans="1:3" ht="13" x14ac:dyDescent="0.15">
      <c r="A736" s="10"/>
      <c r="B736" s="13"/>
      <c r="C736" s="13"/>
    </row>
    <row r="737" spans="1:3" ht="13" x14ac:dyDescent="0.15">
      <c r="A737" s="10"/>
      <c r="B737" s="13"/>
      <c r="C737" s="13"/>
    </row>
    <row r="738" spans="1:3" ht="13" x14ac:dyDescent="0.15">
      <c r="A738" s="10"/>
      <c r="B738" s="13"/>
      <c r="C738" s="13"/>
    </row>
    <row r="739" spans="1:3" ht="13" x14ac:dyDescent="0.15">
      <c r="A739" s="10"/>
      <c r="B739" s="13"/>
      <c r="C739" s="13"/>
    </row>
    <row r="740" spans="1:3" ht="13" x14ac:dyDescent="0.15">
      <c r="A740" s="10"/>
      <c r="B740" s="13"/>
      <c r="C740" s="13"/>
    </row>
    <row r="741" spans="1:3" ht="13" x14ac:dyDescent="0.15">
      <c r="A741" s="10"/>
      <c r="B741" s="13"/>
      <c r="C741" s="13"/>
    </row>
    <row r="742" spans="1:3" ht="13" x14ac:dyDescent="0.15">
      <c r="A742" s="10"/>
      <c r="B742" s="13"/>
      <c r="C742" s="13"/>
    </row>
    <row r="743" spans="1:3" ht="13" x14ac:dyDescent="0.15">
      <c r="A743" s="10"/>
      <c r="B743" s="13"/>
      <c r="C743" s="13"/>
    </row>
    <row r="744" spans="1:3" ht="13" x14ac:dyDescent="0.15">
      <c r="A744" s="10"/>
      <c r="B744" s="13"/>
      <c r="C744" s="13"/>
    </row>
    <row r="745" spans="1:3" ht="13" x14ac:dyDescent="0.15">
      <c r="A745" s="10"/>
      <c r="B745" s="13"/>
      <c r="C745" s="13"/>
    </row>
    <row r="746" spans="1:3" ht="13" x14ac:dyDescent="0.15">
      <c r="A746" s="10"/>
      <c r="B746" s="13"/>
      <c r="C746" s="13"/>
    </row>
    <row r="747" spans="1:3" ht="13" x14ac:dyDescent="0.15">
      <c r="A747" s="10"/>
      <c r="B747" s="13"/>
      <c r="C747" s="13"/>
    </row>
    <row r="748" spans="1:3" ht="13" x14ac:dyDescent="0.15">
      <c r="A748" s="10"/>
      <c r="B748" s="13"/>
      <c r="C748" s="13"/>
    </row>
    <row r="749" spans="1:3" ht="13" x14ac:dyDescent="0.15">
      <c r="A749" s="10"/>
      <c r="B749" s="13"/>
      <c r="C749" s="13"/>
    </row>
    <row r="750" spans="1:3" ht="13" x14ac:dyDescent="0.15">
      <c r="A750" s="10"/>
      <c r="B750" s="13"/>
      <c r="C750" s="13"/>
    </row>
    <row r="751" spans="1:3" ht="13" x14ac:dyDescent="0.15">
      <c r="A751" s="10"/>
      <c r="B751" s="13"/>
      <c r="C751" s="13"/>
    </row>
    <row r="752" spans="1:3" ht="13" x14ac:dyDescent="0.15">
      <c r="A752" s="10"/>
      <c r="B752" s="13"/>
      <c r="C752" s="13"/>
    </row>
    <row r="753" spans="1:3" ht="13" x14ac:dyDescent="0.15">
      <c r="A753" s="10"/>
      <c r="B753" s="13"/>
      <c r="C753" s="13"/>
    </row>
    <row r="754" spans="1:3" ht="13" x14ac:dyDescent="0.15">
      <c r="A754" s="10"/>
      <c r="B754" s="13"/>
      <c r="C754" s="13"/>
    </row>
    <row r="755" spans="1:3" ht="13" x14ac:dyDescent="0.15">
      <c r="A755" s="10"/>
      <c r="B755" s="13"/>
      <c r="C755" s="13"/>
    </row>
    <row r="756" spans="1:3" ht="13" x14ac:dyDescent="0.15">
      <c r="A756" s="10"/>
      <c r="B756" s="13"/>
      <c r="C756" s="13"/>
    </row>
    <row r="757" spans="1:3" ht="13" x14ac:dyDescent="0.15">
      <c r="A757" s="10"/>
      <c r="B757" s="13"/>
      <c r="C757" s="13"/>
    </row>
    <row r="758" spans="1:3" ht="13" x14ac:dyDescent="0.15">
      <c r="A758" s="10"/>
      <c r="B758" s="13"/>
      <c r="C758" s="13"/>
    </row>
    <row r="759" spans="1:3" ht="13" x14ac:dyDescent="0.15">
      <c r="A759" s="10"/>
      <c r="B759" s="13"/>
      <c r="C759" s="13"/>
    </row>
    <row r="760" spans="1:3" ht="13" x14ac:dyDescent="0.15">
      <c r="A760" s="10"/>
      <c r="B760" s="13"/>
      <c r="C760" s="13"/>
    </row>
    <row r="761" spans="1:3" ht="13" x14ac:dyDescent="0.15">
      <c r="A761" s="10"/>
      <c r="B761" s="13"/>
      <c r="C761" s="13"/>
    </row>
    <row r="762" spans="1:3" ht="13" x14ac:dyDescent="0.15">
      <c r="A762" s="10"/>
      <c r="B762" s="13"/>
      <c r="C762" s="13"/>
    </row>
    <row r="763" spans="1:3" ht="13" x14ac:dyDescent="0.15">
      <c r="A763" s="10"/>
      <c r="B763" s="13"/>
      <c r="C763" s="13"/>
    </row>
    <row r="764" spans="1:3" ht="13" x14ac:dyDescent="0.15">
      <c r="A764" s="10"/>
      <c r="B764" s="13"/>
      <c r="C764" s="13"/>
    </row>
    <row r="765" spans="1:3" ht="13" x14ac:dyDescent="0.15">
      <c r="A765" s="10"/>
      <c r="B765" s="13"/>
      <c r="C765" s="13"/>
    </row>
    <row r="766" spans="1:3" ht="13" x14ac:dyDescent="0.15">
      <c r="A766" s="10"/>
      <c r="B766" s="13"/>
      <c r="C766" s="13"/>
    </row>
    <row r="767" spans="1:3" ht="13" x14ac:dyDescent="0.15">
      <c r="A767" s="10"/>
      <c r="B767" s="13"/>
      <c r="C767" s="13"/>
    </row>
    <row r="768" spans="1:3" ht="13" x14ac:dyDescent="0.15">
      <c r="A768" s="10"/>
      <c r="B768" s="13"/>
      <c r="C768" s="13"/>
    </row>
    <row r="769" spans="1:3" ht="13" x14ac:dyDescent="0.15">
      <c r="A769" s="10"/>
      <c r="B769" s="13"/>
      <c r="C769" s="13"/>
    </row>
    <row r="770" spans="1:3" ht="13" x14ac:dyDescent="0.15">
      <c r="A770" s="10"/>
      <c r="B770" s="13"/>
      <c r="C770" s="13"/>
    </row>
    <row r="771" spans="1:3" ht="13" x14ac:dyDescent="0.15">
      <c r="A771" s="10"/>
      <c r="B771" s="13"/>
      <c r="C771" s="13"/>
    </row>
    <row r="772" spans="1:3" ht="13" x14ac:dyDescent="0.15">
      <c r="A772" s="10"/>
      <c r="B772" s="13"/>
      <c r="C772" s="13"/>
    </row>
    <row r="773" spans="1:3" ht="13" x14ac:dyDescent="0.15">
      <c r="A773" s="10"/>
      <c r="B773" s="13"/>
      <c r="C773" s="13"/>
    </row>
    <row r="774" spans="1:3" ht="13" x14ac:dyDescent="0.15">
      <c r="A774" s="10"/>
      <c r="B774" s="13"/>
      <c r="C774" s="13"/>
    </row>
    <row r="775" spans="1:3" ht="13" x14ac:dyDescent="0.15">
      <c r="A775" s="10"/>
      <c r="B775" s="13"/>
      <c r="C775" s="13"/>
    </row>
    <row r="776" spans="1:3" ht="13" x14ac:dyDescent="0.15">
      <c r="A776" s="10"/>
      <c r="B776" s="13"/>
      <c r="C776" s="13"/>
    </row>
    <row r="777" spans="1:3" ht="13" x14ac:dyDescent="0.15">
      <c r="A777" s="10"/>
      <c r="B777" s="13"/>
      <c r="C777" s="13"/>
    </row>
    <row r="778" spans="1:3" ht="13" x14ac:dyDescent="0.15">
      <c r="A778" s="10"/>
      <c r="B778" s="13"/>
      <c r="C778" s="13"/>
    </row>
    <row r="779" spans="1:3" ht="13" x14ac:dyDescent="0.15">
      <c r="A779" s="10"/>
      <c r="B779" s="13"/>
      <c r="C779" s="13"/>
    </row>
    <row r="780" spans="1:3" ht="13" x14ac:dyDescent="0.15">
      <c r="A780" s="10"/>
      <c r="B780" s="13"/>
      <c r="C780" s="13"/>
    </row>
    <row r="781" spans="1:3" ht="13" x14ac:dyDescent="0.15">
      <c r="A781" s="10"/>
      <c r="B781" s="13"/>
      <c r="C781" s="13"/>
    </row>
    <row r="782" spans="1:3" ht="13" x14ac:dyDescent="0.15">
      <c r="A782" s="10"/>
      <c r="B782" s="13"/>
      <c r="C782" s="13"/>
    </row>
    <row r="783" spans="1:3" ht="13" x14ac:dyDescent="0.15">
      <c r="A783" s="10"/>
      <c r="B783" s="13"/>
      <c r="C783" s="13"/>
    </row>
    <row r="784" spans="1:3" ht="13" x14ac:dyDescent="0.15">
      <c r="A784" s="10"/>
      <c r="B784" s="13"/>
      <c r="C784" s="13"/>
    </row>
    <row r="785" spans="1:3" ht="13" x14ac:dyDescent="0.15">
      <c r="A785" s="10"/>
      <c r="B785" s="13"/>
      <c r="C785" s="13"/>
    </row>
    <row r="786" spans="1:3" ht="13" x14ac:dyDescent="0.15">
      <c r="A786" s="10"/>
      <c r="B786" s="13"/>
      <c r="C786" s="13"/>
    </row>
    <row r="787" spans="1:3" ht="13" x14ac:dyDescent="0.15">
      <c r="A787" s="10"/>
      <c r="B787" s="13"/>
      <c r="C787" s="13"/>
    </row>
    <row r="788" spans="1:3" ht="13" x14ac:dyDescent="0.15">
      <c r="A788" s="10"/>
      <c r="B788" s="13"/>
      <c r="C788" s="13"/>
    </row>
    <row r="789" spans="1:3" ht="13" x14ac:dyDescent="0.15">
      <c r="A789" s="10"/>
      <c r="B789" s="13"/>
      <c r="C789" s="13"/>
    </row>
    <row r="790" spans="1:3" ht="13" x14ac:dyDescent="0.15">
      <c r="A790" s="10"/>
      <c r="B790" s="13"/>
      <c r="C790" s="13"/>
    </row>
    <row r="791" spans="1:3" ht="13" x14ac:dyDescent="0.15">
      <c r="A791" s="10"/>
      <c r="B791" s="13"/>
      <c r="C791" s="13"/>
    </row>
    <row r="792" spans="1:3" ht="13" x14ac:dyDescent="0.15">
      <c r="A792" s="10"/>
      <c r="B792" s="13"/>
      <c r="C792" s="13"/>
    </row>
    <row r="793" spans="1:3" ht="13" x14ac:dyDescent="0.15">
      <c r="A793" s="10"/>
      <c r="B793" s="13"/>
      <c r="C793" s="13"/>
    </row>
    <row r="794" spans="1:3" ht="13" x14ac:dyDescent="0.15">
      <c r="A794" s="10"/>
      <c r="B794" s="13"/>
      <c r="C794" s="13"/>
    </row>
    <row r="795" spans="1:3" ht="13" x14ac:dyDescent="0.15">
      <c r="A795" s="10"/>
      <c r="B795" s="13"/>
      <c r="C795" s="13"/>
    </row>
    <row r="796" spans="1:3" ht="13" x14ac:dyDescent="0.15">
      <c r="A796" s="10"/>
      <c r="B796" s="13"/>
      <c r="C796" s="13"/>
    </row>
    <row r="797" spans="1:3" ht="13" x14ac:dyDescent="0.15">
      <c r="A797" s="10"/>
      <c r="B797" s="13"/>
      <c r="C797" s="13"/>
    </row>
    <row r="798" spans="1:3" ht="13" x14ac:dyDescent="0.15">
      <c r="A798" s="10"/>
      <c r="B798" s="13"/>
      <c r="C798" s="13"/>
    </row>
    <row r="799" spans="1:3" ht="13" x14ac:dyDescent="0.15">
      <c r="A799" s="10"/>
      <c r="B799" s="13"/>
      <c r="C799" s="13"/>
    </row>
    <row r="800" spans="1:3" ht="13" x14ac:dyDescent="0.15">
      <c r="A800" s="10"/>
      <c r="B800" s="13"/>
      <c r="C800" s="13"/>
    </row>
    <row r="801" spans="1:3" ht="13" x14ac:dyDescent="0.15">
      <c r="A801" s="10"/>
      <c r="B801" s="13"/>
      <c r="C801" s="13"/>
    </row>
    <row r="802" spans="1:3" ht="13" x14ac:dyDescent="0.15">
      <c r="A802" s="10"/>
      <c r="B802" s="13"/>
      <c r="C802" s="13"/>
    </row>
    <row r="803" spans="1:3" ht="13" x14ac:dyDescent="0.15">
      <c r="A803" s="10"/>
      <c r="B803" s="13"/>
      <c r="C803" s="13"/>
    </row>
    <row r="804" spans="1:3" ht="13" x14ac:dyDescent="0.15">
      <c r="A804" s="10"/>
      <c r="B804" s="13"/>
      <c r="C804" s="13"/>
    </row>
    <row r="805" spans="1:3" ht="13" x14ac:dyDescent="0.15">
      <c r="A805" s="10"/>
      <c r="B805" s="13"/>
      <c r="C805" s="13"/>
    </row>
    <row r="806" spans="1:3" ht="13" x14ac:dyDescent="0.15">
      <c r="A806" s="10"/>
      <c r="B806" s="13"/>
      <c r="C806" s="13"/>
    </row>
    <row r="807" spans="1:3" ht="13" x14ac:dyDescent="0.15">
      <c r="A807" s="10"/>
      <c r="B807" s="13"/>
      <c r="C807" s="13"/>
    </row>
    <row r="808" spans="1:3" ht="13" x14ac:dyDescent="0.15">
      <c r="A808" s="10"/>
      <c r="B808" s="13"/>
      <c r="C808" s="13"/>
    </row>
    <row r="809" spans="1:3" ht="13" x14ac:dyDescent="0.15">
      <c r="A809" s="10"/>
      <c r="B809" s="13"/>
      <c r="C809" s="13"/>
    </row>
    <row r="810" spans="1:3" ht="13" x14ac:dyDescent="0.15">
      <c r="A810" s="10"/>
      <c r="B810" s="13"/>
      <c r="C810" s="13"/>
    </row>
    <row r="811" spans="1:3" ht="13" x14ac:dyDescent="0.15">
      <c r="A811" s="10"/>
      <c r="B811" s="13"/>
      <c r="C811" s="13"/>
    </row>
    <row r="812" spans="1:3" ht="13" x14ac:dyDescent="0.15">
      <c r="A812" s="10"/>
      <c r="B812" s="13"/>
      <c r="C812" s="13"/>
    </row>
    <row r="813" spans="1:3" ht="13" x14ac:dyDescent="0.15">
      <c r="A813" s="10"/>
      <c r="B813" s="13"/>
      <c r="C813" s="13"/>
    </row>
    <row r="814" spans="1:3" ht="13" x14ac:dyDescent="0.15">
      <c r="A814" s="10"/>
      <c r="B814" s="13"/>
      <c r="C814" s="13"/>
    </row>
    <row r="815" spans="1:3" ht="13" x14ac:dyDescent="0.15">
      <c r="A815" s="10"/>
      <c r="B815" s="13"/>
      <c r="C815" s="13"/>
    </row>
    <row r="816" spans="1:3" ht="13" x14ac:dyDescent="0.15">
      <c r="A816" s="10"/>
      <c r="B816" s="13"/>
      <c r="C816" s="13"/>
    </row>
    <row r="817" spans="1:3" ht="13" x14ac:dyDescent="0.15">
      <c r="A817" s="10"/>
      <c r="B817" s="13"/>
      <c r="C817" s="13"/>
    </row>
    <row r="818" spans="1:3" ht="13" x14ac:dyDescent="0.15">
      <c r="A818" s="10"/>
      <c r="B818" s="13"/>
      <c r="C818" s="13"/>
    </row>
    <row r="819" spans="1:3" ht="13" x14ac:dyDescent="0.15">
      <c r="A819" s="10"/>
      <c r="B819" s="13"/>
      <c r="C819" s="13"/>
    </row>
    <row r="820" spans="1:3" ht="13" x14ac:dyDescent="0.15">
      <c r="A820" s="10"/>
      <c r="B820" s="13"/>
      <c r="C820" s="13"/>
    </row>
    <row r="821" spans="1:3" ht="13" x14ac:dyDescent="0.15">
      <c r="A821" s="10"/>
      <c r="B821" s="13"/>
      <c r="C821" s="13"/>
    </row>
    <row r="822" spans="1:3" ht="13" x14ac:dyDescent="0.15">
      <c r="A822" s="10"/>
      <c r="B822" s="13"/>
      <c r="C822" s="13"/>
    </row>
    <row r="823" spans="1:3" ht="13" x14ac:dyDescent="0.15">
      <c r="A823" s="10"/>
      <c r="B823" s="13"/>
      <c r="C823" s="13"/>
    </row>
    <row r="824" spans="1:3" ht="13" x14ac:dyDescent="0.15">
      <c r="A824" s="10"/>
      <c r="B824" s="13"/>
      <c r="C824" s="13"/>
    </row>
    <row r="825" spans="1:3" ht="13" x14ac:dyDescent="0.15">
      <c r="A825" s="10"/>
      <c r="B825" s="13"/>
      <c r="C825" s="13"/>
    </row>
    <row r="826" spans="1:3" ht="13" x14ac:dyDescent="0.15">
      <c r="A826" s="10"/>
      <c r="B826" s="13"/>
      <c r="C826" s="13"/>
    </row>
    <row r="827" spans="1:3" ht="13" x14ac:dyDescent="0.15">
      <c r="A827" s="10"/>
      <c r="B827" s="13"/>
      <c r="C827" s="13"/>
    </row>
    <row r="828" spans="1:3" ht="13" x14ac:dyDescent="0.15">
      <c r="A828" s="10"/>
      <c r="B828" s="13"/>
      <c r="C828" s="13"/>
    </row>
    <row r="829" spans="1:3" ht="13" x14ac:dyDescent="0.15">
      <c r="A829" s="10"/>
      <c r="B829" s="13"/>
      <c r="C829" s="13"/>
    </row>
    <row r="830" spans="1:3" ht="13" x14ac:dyDescent="0.15">
      <c r="A830" s="10"/>
      <c r="B830" s="13"/>
      <c r="C830" s="13"/>
    </row>
    <row r="831" spans="1:3" ht="13" x14ac:dyDescent="0.15">
      <c r="A831" s="10"/>
      <c r="B831" s="13"/>
      <c r="C831" s="13"/>
    </row>
    <row r="832" spans="1:3" ht="13" x14ac:dyDescent="0.15">
      <c r="A832" s="10"/>
      <c r="B832" s="13"/>
      <c r="C832" s="13"/>
    </row>
    <row r="833" spans="1:3" ht="13" x14ac:dyDescent="0.15">
      <c r="A833" s="10"/>
      <c r="B833" s="13"/>
      <c r="C833" s="13"/>
    </row>
    <row r="834" spans="1:3" ht="13" x14ac:dyDescent="0.15">
      <c r="A834" s="10"/>
      <c r="B834" s="13"/>
      <c r="C834" s="13"/>
    </row>
    <row r="835" spans="1:3" ht="13" x14ac:dyDescent="0.15">
      <c r="A835" s="10"/>
      <c r="B835" s="13"/>
      <c r="C835" s="13"/>
    </row>
    <row r="836" spans="1:3" ht="13" x14ac:dyDescent="0.15">
      <c r="A836" s="10"/>
      <c r="B836" s="13"/>
      <c r="C836" s="13"/>
    </row>
    <row r="837" spans="1:3" ht="13" x14ac:dyDescent="0.15">
      <c r="A837" s="10"/>
      <c r="B837" s="13"/>
      <c r="C837" s="13"/>
    </row>
    <row r="838" spans="1:3" ht="13" x14ac:dyDescent="0.15">
      <c r="A838" s="10"/>
      <c r="B838" s="13"/>
      <c r="C838" s="13"/>
    </row>
    <row r="839" spans="1:3" ht="13" x14ac:dyDescent="0.15">
      <c r="A839" s="10"/>
      <c r="B839" s="13"/>
      <c r="C839" s="13"/>
    </row>
    <row r="840" spans="1:3" ht="13" x14ac:dyDescent="0.15">
      <c r="A840" s="10"/>
      <c r="B840" s="13"/>
      <c r="C840" s="13"/>
    </row>
    <row r="841" spans="1:3" ht="13" x14ac:dyDescent="0.15">
      <c r="A841" s="10"/>
      <c r="B841" s="13"/>
      <c r="C841" s="13"/>
    </row>
    <row r="842" spans="1:3" ht="13" x14ac:dyDescent="0.15">
      <c r="A842" s="10"/>
      <c r="B842" s="13"/>
      <c r="C842" s="13"/>
    </row>
    <row r="843" spans="1:3" ht="13" x14ac:dyDescent="0.15">
      <c r="A843" s="10"/>
      <c r="B843" s="13"/>
      <c r="C843" s="13"/>
    </row>
    <row r="844" spans="1:3" ht="13" x14ac:dyDescent="0.15">
      <c r="A844" s="10"/>
      <c r="B844" s="13"/>
      <c r="C844" s="13"/>
    </row>
    <row r="845" spans="1:3" ht="13" x14ac:dyDescent="0.15">
      <c r="A845" s="10"/>
      <c r="B845" s="13"/>
      <c r="C845" s="13"/>
    </row>
    <row r="846" spans="1:3" ht="13" x14ac:dyDescent="0.15">
      <c r="A846" s="10"/>
      <c r="B846" s="13"/>
      <c r="C846" s="13"/>
    </row>
    <row r="847" spans="1:3" ht="13" x14ac:dyDescent="0.15">
      <c r="A847" s="10"/>
      <c r="B847" s="13"/>
      <c r="C847" s="13"/>
    </row>
    <row r="848" spans="1:3" ht="13" x14ac:dyDescent="0.15">
      <c r="A848" s="10"/>
      <c r="B848" s="13"/>
      <c r="C848" s="13"/>
    </row>
    <row r="849" spans="1:3" ht="13" x14ac:dyDescent="0.15">
      <c r="A849" s="10"/>
      <c r="B849" s="13"/>
      <c r="C849" s="13"/>
    </row>
    <row r="850" spans="1:3" ht="13" x14ac:dyDescent="0.15">
      <c r="A850" s="10"/>
      <c r="B850" s="13"/>
      <c r="C850" s="13"/>
    </row>
    <row r="851" spans="1:3" ht="13" x14ac:dyDescent="0.15">
      <c r="A851" s="10"/>
      <c r="B851" s="13"/>
      <c r="C851" s="13"/>
    </row>
    <row r="852" spans="1:3" ht="13" x14ac:dyDescent="0.15">
      <c r="A852" s="10"/>
      <c r="B852" s="13"/>
      <c r="C852" s="13"/>
    </row>
    <row r="853" spans="1:3" ht="13" x14ac:dyDescent="0.15">
      <c r="A853" s="10"/>
      <c r="B853" s="13"/>
      <c r="C853" s="13"/>
    </row>
    <row r="854" spans="1:3" ht="13" x14ac:dyDescent="0.15">
      <c r="A854" s="10"/>
      <c r="B854" s="13"/>
      <c r="C854" s="13"/>
    </row>
    <row r="855" spans="1:3" ht="13" x14ac:dyDescent="0.15">
      <c r="A855" s="10"/>
      <c r="B855" s="13"/>
      <c r="C855" s="13"/>
    </row>
    <row r="856" spans="1:3" ht="13" x14ac:dyDescent="0.15">
      <c r="A856" s="10"/>
      <c r="B856" s="13"/>
      <c r="C856" s="13"/>
    </row>
    <row r="857" spans="1:3" ht="13" x14ac:dyDescent="0.15">
      <c r="A857" s="10"/>
      <c r="B857" s="13"/>
      <c r="C857" s="13"/>
    </row>
    <row r="858" spans="1:3" ht="13" x14ac:dyDescent="0.15">
      <c r="A858" s="10"/>
      <c r="B858" s="13"/>
      <c r="C858" s="13"/>
    </row>
    <row r="859" spans="1:3" ht="13" x14ac:dyDescent="0.15">
      <c r="A859" s="10"/>
      <c r="B859" s="13"/>
      <c r="C859" s="13"/>
    </row>
    <row r="860" spans="1:3" ht="13" x14ac:dyDescent="0.15">
      <c r="A860" s="10"/>
      <c r="B860" s="13"/>
      <c r="C860" s="13"/>
    </row>
    <row r="861" spans="1:3" ht="13" x14ac:dyDescent="0.15">
      <c r="A861" s="10"/>
      <c r="B861" s="13"/>
      <c r="C861" s="13"/>
    </row>
    <row r="862" spans="1:3" ht="13" x14ac:dyDescent="0.15">
      <c r="A862" s="10"/>
      <c r="B862" s="13"/>
      <c r="C862" s="13"/>
    </row>
    <row r="863" spans="1:3" ht="13" x14ac:dyDescent="0.15">
      <c r="A863" s="10"/>
      <c r="B863" s="13"/>
      <c r="C863" s="13"/>
    </row>
    <row r="864" spans="1:3" ht="13" x14ac:dyDescent="0.15">
      <c r="A864" s="10"/>
      <c r="B864" s="13"/>
      <c r="C864" s="13"/>
    </row>
    <row r="865" spans="1:3" ht="13" x14ac:dyDescent="0.15">
      <c r="A865" s="10"/>
      <c r="B865" s="13"/>
      <c r="C865" s="13"/>
    </row>
    <row r="866" spans="1:3" ht="13" x14ac:dyDescent="0.15">
      <c r="A866" s="10"/>
      <c r="B866" s="13"/>
      <c r="C866" s="13"/>
    </row>
    <row r="867" spans="1:3" ht="13" x14ac:dyDescent="0.15">
      <c r="A867" s="10"/>
      <c r="B867" s="13"/>
      <c r="C867" s="13"/>
    </row>
    <row r="868" spans="1:3" ht="13" x14ac:dyDescent="0.15">
      <c r="A868" s="10"/>
      <c r="B868" s="13"/>
      <c r="C868" s="13"/>
    </row>
    <row r="869" spans="1:3" ht="13" x14ac:dyDescent="0.15">
      <c r="A869" s="10"/>
      <c r="B869" s="13"/>
      <c r="C869" s="13"/>
    </row>
    <row r="870" spans="1:3" ht="13" x14ac:dyDescent="0.15">
      <c r="A870" s="10"/>
      <c r="B870" s="13"/>
      <c r="C870" s="13"/>
    </row>
    <row r="871" spans="1:3" ht="13" x14ac:dyDescent="0.15">
      <c r="A871" s="10"/>
      <c r="B871" s="13"/>
      <c r="C871" s="13"/>
    </row>
    <row r="872" spans="1:3" ht="13" x14ac:dyDescent="0.15">
      <c r="A872" s="10"/>
      <c r="B872" s="13"/>
      <c r="C872" s="13"/>
    </row>
    <row r="873" spans="1:3" ht="13" x14ac:dyDescent="0.15">
      <c r="A873" s="10"/>
      <c r="B873" s="13"/>
      <c r="C873" s="13"/>
    </row>
    <row r="874" spans="1:3" ht="13" x14ac:dyDescent="0.15">
      <c r="A874" s="10"/>
      <c r="B874" s="13"/>
      <c r="C874" s="13"/>
    </row>
    <row r="875" spans="1:3" ht="13" x14ac:dyDescent="0.15">
      <c r="A875" s="10"/>
      <c r="B875" s="13"/>
      <c r="C875" s="13"/>
    </row>
    <row r="876" spans="1:3" ht="13" x14ac:dyDescent="0.15">
      <c r="A876" s="10"/>
      <c r="B876" s="13"/>
      <c r="C876" s="13"/>
    </row>
    <row r="877" spans="1:3" ht="13" x14ac:dyDescent="0.15">
      <c r="A877" s="10"/>
      <c r="B877" s="13"/>
      <c r="C877" s="13"/>
    </row>
    <row r="878" spans="1:3" ht="13" x14ac:dyDescent="0.15">
      <c r="A878" s="10"/>
      <c r="B878" s="13"/>
      <c r="C878" s="13"/>
    </row>
    <row r="879" spans="1:3" ht="13" x14ac:dyDescent="0.15">
      <c r="A879" s="10"/>
      <c r="B879" s="13"/>
      <c r="C879" s="13"/>
    </row>
    <row r="880" spans="1:3" ht="13" x14ac:dyDescent="0.15">
      <c r="A880" s="10"/>
      <c r="B880" s="13"/>
      <c r="C880" s="13"/>
    </row>
    <row r="881" spans="1:3" ht="13" x14ac:dyDescent="0.15">
      <c r="A881" s="10"/>
      <c r="B881" s="13"/>
      <c r="C881" s="13"/>
    </row>
    <row r="882" spans="1:3" ht="13" x14ac:dyDescent="0.15">
      <c r="A882" s="10"/>
      <c r="B882" s="13"/>
      <c r="C882" s="13"/>
    </row>
    <row r="883" spans="1:3" ht="13" x14ac:dyDescent="0.15">
      <c r="A883" s="10"/>
      <c r="B883" s="13"/>
      <c r="C883" s="13"/>
    </row>
    <row r="884" spans="1:3" ht="13" x14ac:dyDescent="0.15">
      <c r="A884" s="10"/>
      <c r="B884" s="13"/>
      <c r="C884" s="13"/>
    </row>
    <row r="885" spans="1:3" ht="13" x14ac:dyDescent="0.15">
      <c r="A885" s="10"/>
      <c r="B885" s="13"/>
      <c r="C885" s="13"/>
    </row>
    <row r="886" spans="1:3" ht="13" x14ac:dyDescent="0.15">
      <c r="A886" s="10"/>
      <c r="B886" s="13"/>
      <c r="C886" s="13"/>
    </row>
    <row r="887" spans="1:3" ht="13" x14ac:dyDescent="0.15">
      <c r="A887" s="10"/>
      <c r="B887" s="13"/>
      <c r="C887" s="13"/>
    </row>
    <row r="888" spans="1:3" ht="13" x14ac:dyDescent="0.15">
      <c r="A888" s="10"/>
      <c r="B888" s="13"/>
      <c r="C888" s="13"/>
    </row>
    <row r="889" spans="1:3" ht="13" x14ac:dyDescent="0.15">
      <c r="A889" s="10"/>
      <c r="B889" s="13"/>
      <c r="C889" s="13"/>
    </row>
    <row r="890" spans="1:3" ht="13" x14ac:dyDescent="0.15">
      <c r="A890" s="10"/>
      <c r="B890" s="13"/>
      <c r="C890" s="13"/>
    </row>
    <row r="891" spans="1:3" ht="13" x14ac:dyDescent="0.15">
      <c r="A891" s="10"/>
      <c r="B891" s="13"/>
      <c r="C891" s="13"/>
    </row>
    <row r="892" spans="1:3" ht="13" x14ac:dyDescent="0.15">
      <c r="A892" s="10"/>
      <c r="B892" s="13"/>
      <c r="C892" s="13"/>
    </row>
    <row r="893" spans="1:3" ht="13" x14ac:dyDescent="0.15">
      <c r="A893" s="10"/>
      <c r="B893" s="13"/>
      <c r="C893" s="13"/>
    </row>
    <row r="894" spans="1:3" ht="13" x14ac:dyDescent="0.15">
      <c r="A894" s="10"/>
      <c r="B894" s="13"/>
      <c r="C894" s="13"/>
    </row>
    <row r="895" spans="1:3" ht="13" x14ac:dyDescent="0.15">
      <c r="A895" s="10"/>
      <c r="B895" s="13"/>
      <c r="C895" s="13"/>
    </row>
    <row r="896" spans="1:3" ht="13" x14ac:dyDescent="0.15">
      <c r="A896" s="10"/>
      <c r="B896" s="13"/>
      <c r="C896" s="13"/>
    </row>
    <row r="897" spans="1:3" ht="13" x14ac:dyDescent="0.15">
      <c r="A897" s="10"/>
      <c r="B897" s="13"/>
      <c r="C897" s="13"/>
    </row>
    <row r="898" spans="1:3" ht="13" x14ac:dyDescent="0.15">
      <c r="A898" s="10"/>
      <c r="B898" s="13"/>
      <c r="C898" s="13"/>
    </row>
    <row r="899" spans="1:3" ht="13" x14ac:dyDescent="0.15">
      <c r="A899" s="10"/>
      <c r="B899" s="13"/>
      <c r="C899" s="13"/>
    </row>
    <row r="900" spans="1:3" ht="13" x14ac:dyDescent="0.15">
      <c r="A900" s="10"/>
      <c r="B900" s="13"/>
      <c r="C900" s="13"/>
    </row>
    <row r="901" spans="1:3" ht="13" x14ac:dyDescent="0.15">
      <c r="A901" s="10"/>
      <c r="B901" s="13"/>
      <c r="C901" s="13"/>
    </row>
    <row r="902" spans="1:3" ht="13" x14ac:dyDescent="0.15">
      <c r="A902" s="10"/>
      <c r="B902" s="13"/>
      <c r="C902" s="13"/>
    </row>
    <row r="903" spans="1:3" ht="13" x14ac:dyDescent="0.15">
      <c r="A903" s="10"/>
      <c r="B903" s="13"/>
      <c r="C903" s="13"/>
    </row>
    <row r="904" spans="1:3" ht="13" x14ac:dyDescent="0.15">
      <c r="A904" s="10"/>
      <c r="B904" s="13"/>
      <c r="C904" s="13"/>
    </row>
    <row r="905" spans="1:3" ht="13" x14ac:dyDescent="0.15">
      <c r="A905" s="10"/>
      <c r="B905" s="13"/>
      <c r="C905" s="13"/>
    </row>
    <row r="906" spans="1:3" ht="13" x14ac:dyDescent="0.15">
      <c r="A906" s="10"/>
      <c r="B906" s="13"/>
      <c r="C906" s="13"/>
    </row>
    <row r="907" spans="1:3" ht="13" x14ac:dyDescent="0.15">
      <c r="A907" s="10"/>
      <c r="B907" s="13"/>
      <c r="C907" s="13"/>
    </row>
    <row r="908" spans="1:3" ht="13" x14ac:dyDescent="0.15">
      <c r="A908" s="10"/>
      <c r="B908" s="13"/>
      <c r="C908" s="13"/>
    </row>
    <row r="909" spans="1:3" ht="13" x14ac:dyDescent="0.15">
      <c r="A909" s="10"/>
      <c r="B909" s="13"/>
      <c r="C909" s="13"/>
    </row>
    <row r="910" spans="1:3" ht="13" x14ac:dyDescent="0.15">
      <c r="A910" s="10"/>
      <c r="B910" s="13"/>
      <c r="C910" s="13"/>
    </row>
    <row r="911" spans="1:3" ht="13" x14ac:dyDescent="0.15">
      <c r="A911" s="10"/>
      <c r="B911" s="13"/>
      <c r="C911" s="13"/>
    </row>
    <row r="912" spans="1:3" ht="13" x14ac:dyDescent="0.15">
      <c r="A912" s="10"/>
      <c r="B912" s="13"/>
      <c r="C912" s="13"/>
    </row>
    <row r="913" spans="1:3" ht="13" x14ac:dyDescent="0.15">
      <c r="A913" s="10"/>
      <c r="B913" s="13"/>
      <c r="C913" s="13"/>
    </row>
    <row r="914" spans="1:3" ht="13" x14ac:dyDescent="0.15">
      <c r="A914" s="10"/>
      <c r="B914" s="13"/>
      <c r="C914" s="13"/>
    </row>
    <row r="915" spans="1:3" ht="13" x14ac:dyDescent="0.15">
      <c r="A915" s="10"/>
      <c r="B915" s="13"/>
      <c r="C915" s="13"/>
    </row>
    <row r="916" spans="1:3" ht="13" x14ac:dyDescent="0.15">
      <c r="A916" s="10"/>
      <c r="B916" s="13"/>
      <c r="C916" s="13"/>
    </row>
    <row r="917" spans="1:3" ht="13" x14ac:dyDescent="0.15">
      <c r="A917" s="10"/>
      <c r="B917" s="13"/>
      <c r="C917" s="13"/>
    </row>
    <row r="918" spans="1:3" ht="13" x14ac:dyDescent="0.15">
      <c r="A918" s="10"/>
      <c r="B918" s="13"/>
      <c r="C918" s="13"/>
    </row>
    <row r="919" spans="1:3" ht="13" x14ac:dyDescent="0.15">
      <c r="A919" s="10"/>
      <c r="B919" s="13"/>
      <c r="C919" s="13"/>
    </row>
    <row r="920" spans="1:3" ht="13" x14ac:dyDescent="0.15">
      <c r="A920" s="10"/>
      <c r="B920" s="13"/>
      <c r="C920" s="13"/>
    </row>
    <row r="921" spans="1:3" ht="13" x14ac:dyDescent="0.15">
      <c r="A921" s="10"/>
      <c r="B921" s="13"/>
      <c r="C921" s="13"/>
    </row>
    <row r="922" spans="1:3" ht="13" x14ac:dyDescent="0.15">
      <c r="A922" s="10"/>
      <c r="B922" s="13"/>
      <c r="C922" s="13"/>
    </row>
    <row r="923" spans="1:3" ht="13" x14ac:dyDescent="0.15">
      <c r="A923" s="10"/>
      <c r="B923" s="13"/>
      <c r="C923" s="13"/>
    </row>
    <row r="924" spans="1:3" ht="13" x14ac:dyDescent="0.15">
      <c r="A924" s="10"/>
      <c r="B924" s="13"/>
      <c r="C924" s="13"/>
    </row>
    <row r="925" spans="1:3" ht="13" x14ac:dyDescent="0.15">
      <c r="A925" s="10"/>
      <c r="B925" s="13"/>
      <c r="C925" s="13"/>
    </row>
    <row r="926" spans="1:3" ht="13" x14ac:dyDescent="0.15">
      <c r="A926" s="10"/>
      <c r="B926" s="13"/>
      <c r="C926" s="13"/>
    </row>
    <row r="927" spans="1:3" ht="13" x14ac:dyDescent="0.15">
      <c r="A927" s="10"/>
      <c r="B927" s="13"/>
      <c r="C927" s="13"/>
    </row>
    <row r="928" spans="1:3" ht="13" x14ac:dyDescent="0.15">
      <c r="A928" s="10"/>
      <c r="B928" s="13"/>
      <c r="C928" s="13"/>
    </row>
    <row r="929" spans="1:3" ht="13" x14ac:dyDescent="0.15">
      <c r="A929" s="10"/>
      <c r="B929" s="13"/>
      <c r="C929" s="13"/>
    </row>
    <row r="930" spans="1:3" ht="13" x14ac:dyDescent="0.15">
      <c r="A930" s="10"/>
      <c r="B930" s="13"/>
      <c r="C930" s="13"/>
    </row>
    <row r="931" spans="1:3" ht="13" x14ac:dyDescent="0.15">
      <c r="A931" s="10"/>
      <c r="B931" s="13"/>
      <c r="C931" s="13"/>
    </row>
    <row r="932" spans="1:3" ht="13" x14ac:dyDescent="0.15">
      <c r="A932" s="10"/>
      <c r="B932" s="13"/>
      <c r="C932" s="13"/>
    </row>
    <row r="933" spans="1:3" ht="13" x14ac:dyDescent="0.15">
      <c r="A933" s="10"/>
      <c r="B933" s="13"/>
      <c r="C933" s="13"/>
    </row>
    <row r="934" spans="1:3" ht="13" x14ac:dyDescent="0.15">
      <c r="A934" s="10"/>
      <c r="B934" s="13"/>
      <c r="C934" s="13"/>
    </row>
    <row r="935" spans="1:3" ht="13" x14ac:dyDescent="0.15">
      <c r="A935" s="10"/>
      <c r="B935" s="13"/>
      <c r="C935" s="13"/>
    </row>
    <row r="936" spans="1:3" ht="13" x14ac:dyDescent="0.15">
      <c r="A936" s="10"/>
      <c r="B936" s="13"/>
      <c r="C936" s="13"/>
    </row>
    <row r="937" spans="1:3" ht="13" x14ac:dyDescent="0.15">
      <c r="A937" s="10"/>
      <c r="B937" s="13"/>
      <c r="C937" s="13"/>
    </row>
    <row r="938" spans="1:3" ht="13" x14ac:dyDescent="0.15">
      <c r="A938" s="10"/>
      <c r="B938" s="13"/>
      <c r="C938" s="13"/>
    </row>
    <row r="939" spans="1:3" ht="13" x14ac:dyDescent="0.15">
      <c r="A939" s="10"/>
      <c r="B939" s="13"/>
      <c r="C939" s="13"/>
    </row>
    <row r="940" spans="1:3" ht="13" x14ac:dyDescent="0.15">
      <c r="A940" s="10"/>
      <c r="B940" s="13"/>
      <c r="C940" s="13"/>
    </row>
    <row r="941" spans="1:3" ht="13" x14ac:dyDescent="0.15">
      <c r="A941" s="10"/>
      <c r="B941" s="13"/>
      <c r="C941" s="13"/>
    </row>
    <row r="942" spans="1:3" ht="13" x14ac:dyDescent="0.15">
      <c r="A942" s="10"/>
      <c r="B942" s="13"/>
      <c r="C942" s="13"/>
    </row>
    <row r="943" spans="1:3" ht="13" x14ac:dyDescent="0.15">
      <c r="A943" s="10"/>
      <c r="B943" s="13"/>
      <c r="C943" s="13"/>
    </row>
    <row r="944" spans="1:3" ht="13" x14ac:dyDescent="0.15">
      <c r="A944" s="10"/>
      <c r="B944" s="13"/>
      <c r="C944" s="13"/>
    </row>
    <row r="945" spans="1:3" ht="13" x14ac:dyDescent="0.15">
      <c r="A945" s="10"/>
      <c r="B945" s="13"/>
      <c r="C945" s="13"/>
    </row>
    <row r="946" spans="1:3" ht="13" x14ac:dyDescent="0.15">
      <c r="A946" s="10"/>
      <c r="B946" s="13"/>
      <c r="C946" s="13"/>
    </row>
    <row r="947" spans="1:3" ht="13" x14ac:dyDescent="0.15">
      <c r="A947" s="10"/>
      <c r="B947" s="13"/>
      <c r="C947" s="13"/>
    </row>
    <row r="948" spans="1:3" ht="13" x14ac:dyDescent="0.15">
      <c r="A948" s="10"/>
      <c r="B948" s="13"/>
      <c r="C948" s="13"/>
    </row>
    <row r="949" spans="1:3" ht="13" x14ac:dyDescent="0.15">
      <c r="A949" s="10"/>
      <c r="B949" s="13"/>
      <c r="C949" s="13"/>
    </row>
    <row r="950" spans="1:3" ht="13" x14ac:dyDescent="0.15">
      <c r="A950" s="10"/>
      <c r="B950" s="13"/>
      <c r="C950" s="13"/>
    </row>
    <row r="951" spans="1:3" ht="13" x14ac:dyDescent="0.15">
      <c r="A951" s="10"/>
      <c r="B951" s="13"/>
      <c r="C951" s="13"/>
    </row>
    <row r="952" spans="1:3" ht="13" x14ac:dyDescent="0.15">
      <c r="A952" s="10"/>
      <c r="B952" s="13"/>
      <c r="C952" s="13"/>
    </row>
    <row r="953" spans="1:3" ht="13" x14ac:dyDescent="0.15">
      <c r="A953" s="10"/>
      <c r="B953" s="13"/>
      <c r="C953" s="13"/>
    </row>
    <row r="954" spans="1:3" ht="13" x14ac:dyDescent="0.15">
      <c r="A954" s="10"/>
      <c r="B954" s="13"/>
      <c r="C954" s="13"/>
    </row>
    <row r="955" spans="1:3" ht="13" x14ac:dyDescent="0.15">
      <c r="A955" s="10"/>
      <c r="B955" s="13"/>
      <c r="C955" s="13"/>
    </row>
    <row r="956" spans="1:3" ht="13" x14ac:dyDescent="0.15">
      <c r="A956" s="10"/>
      <c r="B956" s="13"/>
      <c r="C956" s="13"/>
    </row>
    <row r="957" spans="1:3" ht="13" x14ac:dyDescent="0.15">
      <c r="A957" s="10"/>
      <c r="B957" s="13"/>
      <c r="C957" s="13"/>
    </row>
    <row r="958" spans="1:3" ht="13" x14ac:dyDescent="0.15">
      <c r="A958" s="10"/>
      <c r="B958" s="13"/>
      <c r="C958" s="13"/>
    </row>
    <row r="959" spans="1:3" ht="13" x14ac:dyDescent="0.15">
      <c r="A959" s="10"/>
      <c r="B959" s="13"/>
      <c r="C959" s="13"/>
    </row>
    <row r="960" spans="1:3" ht="13" x14ac:dyDescent="0.15">
      <c r="A960" s="10"/>
      <c r="B960" s="13"/>
      <c r="C960" s="13"/>
    </row>
    <row r="961" spans="1:3" ht="13" x14ac:dyDescent="0.15">
      <c r="A961" s="10"/>
      <c r="B961" s="13"/>
      <c r="C961" s="13"/>
    </row>
    <row r="962" spans="1:3" ht="13" x14ac:dyDescent="0.15">
      <c r="A962" s="10"/>
      <c r="B962" s="13"/>
      <c r="C962" s="13"/>
    </row>
    <row r="963" spans="1:3" ht="13" x14ac:dyDescent="0.15">
      <c r="A963" s="10"/>
      <c r="B963" s="13"/>
      <c r="C963" s="13"/>
    </row>
    <row r="964" spans="1:3" ht="13" x14ac:dyDescent="0.15">
      <c r="A964" s="10"/>
      <c r="B964" s="13"/>
      <c r="C964" s="13"/>
    </row>
    <row r="965" spans="1:3" ht="13" x14ac:dyDescent="0.15">
      <c r="A965" s="10"/>
      <c r="B965" s="13"/>
      <c r="C965" s="13"/>
    </row>
    <row r="966" spans="1:3" ht="13" x14ac:dyDescent="0.15">
      <c r="A966" s="10"/>
      <c r="B966" s="13"/>
      <c r="C966" s="13"/>
    </row>
    <row r="967" spans="1:3" ht="13" x14ac:dyDescent="0.15">
      <c r="A967" s="10"/>
      <c r="B967" s="13"/>
      <c r="C967" s="13"/>
    </row>
    <row r="968" spans="1:3" ht="13" x14ac:dyDescent="0.15">
      <c r="A968" s="10"/>
      <c r="B968" s="13"/>
      <c r="C968" s="13"/>
    </row>
    <row r="969" spans="1:3" ht="13" x14ac:dyDescent="0.15">
      <c r="A969" s="10"/>
      <c r="B969" s="13"/>
      <c r="C969" s="13"/>
    </row>
    <row r="970" spans="1:3" ht="13" x14ac:dyDescent="0.15">
      <c r="A970" s="10"/>
      <c r="B970" s="13"/>
      <c r="C970" s="13"/>
    </row>
    <row r="971" spans="1:3" ht="13" x14ac:dyDescent="0.15">
      <c r="A971" s="10"/>
      <c r="B971" s="13"/>
      <c r="C971" s="13"/>
    </row>
    <row r="972" spans="1:3" ht="13" x14ac:dyDescent="0.15">
      <c r="A972" s="10"/>
      <c r="B972" s="13"/>
      <c r="C972" s="13"/>
    </row>
    <row r="973" spans="1:3" ht="13" x14ac:dyDescent="0.15">
      <c r="A973" s="10"/>
      <c r="B973" s="13"/>
      <c r="C973" s="13"/>
    </row>
    <row r="974" spans="1:3" ht="13" x14ac:dyDescent="0.15">
      <c r="A974" s="10"/>
      <c r="B974" s="13"/>
      <c r="C974" s="13"/>
    </row>
    <row r="975" spans="1:3" ht="13" x14ac:dyDescent="0.15">
      <c r="A975" s="10"/>
      <c r="B975" s="13"/>
      <c r="C975" s="13"/>
    </row>
    <row r="976" spans="1:3" ht="13" x14ac:dyDescent="0.15">
      <c r="A976" s="10"/>
      <c r="B976" s="13"/>
      <c r="C976" s="13"/>
    </row>
    <row r="977" spans="1:3" ht="13" x14ac:dyDescent="0.15">
      <c r="A977" s="10"/>
      <c r="B977" s="13"/>
      <c r="C977" s="13"/>
    </row>
    <row r="978" spans="1:3" ht="13" x14ac:dyDescent="0.15">
      <c r="A978" s="10"/>
      <c r="B978" s="13"/>
      <c r="C978" s="13"/>
    </row>
    <row r="979" spans="1:3" ht="13" x14ac:dyDescent="0.15">
      <c r="A979" s="10"/>
      <c r="B979" s="13"/>
      <c r="C979" s="13"/>
    </row>
    <row r="980" spans="1:3" ht="13" x14ac:dyDescent="0.15">
      <c r="A980" s="10"/>
      <c r="B980" s="13"/>
      <c r="C980" s="13"/>
    </row>
    <row r="981" spans="1:3" ht="13" x14ac:dyDescent="0.15">
      <c r="A981" s="10"/>
      <c r="B981" s="13"/>
      <c r="C981" s="13"/>
    </row>
    <row r="982" spans="1:3" ht="13" x14ac:dyDescent="0.15">
      <c r="A982" s="10"/>
      <c r="B982" s="13"/>
      <c r="C982" s="13"/>
    </row>
    <row r="983" spans="1:3" ht="13" x14ac:dyDescent="0.15">
      <c r="A983" s="10"/>
      <c r="B983" s="13"/>
      <c r="C983" s="13"/>
    </row>
    <row r="984" spans="1:3" ht="13" x14ac:dyDescent="0.15">
      <c r="A984" s="10"/>
      <c r="B984" s="13"/>
      <c r="C984" s="13"/>
    </row>
    <row r="985" spans="1:3" ht="13" x14ac:dyDescent="0.15">
      <c r="A985" s="10"/>
      <c r="B985" s="13"/>
      <c r="C985" s="13"/>
    </row>
    <row r="986" spans="1:3" ht="13" x14ac:dyDescent="0.15">
      <c r="A986" s="10"/>
      <c r="B986" s="13"/>
      <c r="C986" s="13"/>
    </row>
    <row r="987" spans="1:3" ht="13" x14ac:dyDescent="0.15">
      <c r="A987" s="10"/>
      <c r="B987" s="13"/>
      <c r="C987" s="13"/>
    </row>
    <row r="988" spans="1:3" ht="13" x14ac:dyDescent="0.15">
      <c r="A988" s="10"/>
      <c r="B988" s="13"/>
      <c r="C988" s="13"/>
    </row>
    <row r="989" spans="1:3" ht="13" x14ac:dyDescent="0.15">
      <c r="A989" s="10"/>
      <c r="B989" s="13"/>
      <c r="C989" s="13"/>
    </row>
    <row r="990" spans="1:3" ht="13" x14ac:dyDescent="0.15">
      <c r="A990" s="10"/>
      <c r="B990" s="13"/>
      <c r="C990" s="13"/>
    </row>
    <row r="991" spans="1:3" ht="13" x14ac:dyDescent="0.15">
      <c r="A991" s="10"/>
      <c r="B991" s="13"/>
      <c r="C991" s="13"/>
    </row>
    <row r="992" spans="1:3" ht="13" x14ac:dyDescent="0.15">
      <c r="A992" s="10"/>
      <c r="B992" s="13"/>
      <c r="C992" s="13"/>
    </row>
    <row r="993" spans="1:3" ht="13" x14ac:dyDescent="0.15">
      <c r="A993" s="10"/>
      <c r="B993" s="13"/>
      <c r="C993" s="13"/>
    </row>
    <row r="994" spans="1:3" ht="13" x14ac:dyDescent="0.15">
      <c r="A994" s="10"/>
      <c r="B994" s="13"/>
      <c r="C994" s="13"/>
    </row>
    <row r="995" spans="1:3" ht="13" x14ac:dyDescent="0.15">
      <c r="A995" s="10"/>
      <c r="B995" s="13"/>
      <c r="C995" s="13"/>
    </row>
    <row r="996" spans="1:3" ht="13" x14ac:dyDescent="0.15">
      <c r="A996" s="10"/>
      <c r="B996" s="13"/>
      <c r="C996" s="13"/>
    </row>
    <row r="997" spans="1:3" ht="13" x14ac:dyDescent="0.15">
      <c r="A997" s="10"/>
      <c r="B997" s="13"/>
      <c r="C997" s="13"/>
    </row>
  </sheetData>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outlinePr summaryBelow="0" summaryRight="0"/>
  </sheetPr>
  <dimension ref="A1:D997"/>
  <sheetViews>
    <sheetView workbookViewId="0"/>
  </sheetViews>
  <sheetFormatPr baseColWidth="10" defaultColWidth="12.6640625" defaultRowHeight="15.75" customHeight="1" x14ac:dyDescent="0.15"/>
  <cols>
    <col min="1" max="1" width="71.5" customWidth="1"/>
    <col min="2" max="4" width="37.6640625" customWidth="1"/>
  </cols>
  <sheetData>
    <row r="1" spans="1:4" ht="15.75" customHeight="1" x14ac:dyDescent="0.15">
      <c r="A1" s="1"/>
      <c r="B1" s="12" t="str">
        <f ca="1">IFERROR(__xludf.DUMMYFUNCTION("IMPORTRANGE(""https://docs.google.com/spreadsheets/d/1C06Vs6H0Eg3__x1-dePLdZcY_bo1r3ReCeWRxqLlaS4"",""A71!B1:B22"")"),"Layla Baldwin")</f>
        <v>Layla Baldwin</v>
      </c>
      <c r="C1" s="10" t="str">
        <f ca="1">IFERROR(__xludf.DUMMYFUNCTION("IMPORTRANGE(""https://docs.google.com/spreadsheets/u/0/d/19yPRVnLV0A_2o92-w6L11RYWj24Qqnerv8i8p-ngiq4"", ""A71!B1:B22"")"),"Jackson Root")</f>
        <v>Jackson Root</v>
      </c>
      <c r="D1" s="2" t="s">
        <v>1</v>
      </c>
    </row>
    <row r="2" spans="1:4" ht="15.75" customHeight="1" x14ac:dyDescent="0.15">
      <c r="A2" s="3" t="s">
        <v>2</v>
      </c>
      <c r="B2" s="15" t="str">
        <f ca="1">IFERROR(__xludf.DUMMYFUNCTION("""COMPUTED_VALUE"""),"44568-45137 forward")</f>
        <v>44568-45137 forward</v>
      </c>
      <c r="C2" s="15" t="str">
        <f ca="1">IFERROR(__xludf.DUMMYFUNCTION("""COMPUTED_VALUE"""),"Stop: 45137  For")</f>
        <v>Stop: 45137  For</v>
      </c>
      <c r="D2" s="4"/>
    </row>
    <row r="3" spans="1:4" ht="15.75" customHeight="1" x14ac:dyDescent="0.15">
      <c r="A3" s="5" t="s">
        <v>3</v>
      </c>
      <c r="B3" s="17" t="str">
        <f ca="1">IFERROR(__xludf.DUMMYFUNCTION("""COMPUTED_VALUE"""),"71 in Pham and PDB, 70 in DNAM")</f>
        <v>71 in Pham and PDB, 70 in DNAM</v>
      </c>
      <c r="C3" s="17" t="str">
        <f ca="1">IFERROR(__xludf.DUMMYFUNCTION("""COMPUTED_VALUE"""),"Pham: 71    DNA: 70")</f>
        <v>Pham: 71    DNA: 70</v>
      </c>
      <c r="D3" s="6"/>
    </row>
    <row r="4" spans="1:4" ht="15.75" customHeight="1" x14ac:dyDescent="0.15">
      <c r="A4" s="5" t="s">
        <v>4</v>
      </c>
      <c r="B4" s="17" t="str">
        <f ca="1">IFERROR(__xludf.DUMMYFUNCTION("""COMPUTED_VALUE"""),"209704 3/14/25")</f>
        <v>209704 3/14/25</v>
      </c>
      <c r="C4" s="17" t="str">
        <f ca="1">IFERROR(__xludf.DUMMYFUNCTION("""COMPUTED_VALUE"""),"pham 100351   03/17/25")</f>
        <v>pham 100351   03/17/25</v>
      </c>
      <c r="D4" s="6"/>
    </row>
    <row r="5" spans="1:4" ht="15.75" customHeight="1" x14ac:dyDescent="0.15">
      <c r="A5" s="5" t="s">
        <v>5</v>
      </c>
      <c r="B5" s="17" t="str">
        <f ca="1">IFERROR(__xludf.DUMMYFUNCTION("""COMPUTED_VALUE"""),"Kovu_69, Kharcho_47, Ottawa_47")</f>
        <v>Kovu_69, Kharcho_47, Ottawa_47</v>
      </c>
      <c r="C5" s="17" t="str">
        <f ca="1">IFERROR(__xludf.DUMMYFUNCTION("""COMPUTED_VALUE"""),"Kovu_69")</f>
        <v>Kovu_69</v>
      </c>
      <c r="D5" s="6"/>
    </row>
    <row r="6" spans="1:4" ht="15.75" customHeight="1" x14ac:dyDescent="0.15">
      <c r="A6" s="5" t="s">
        <v>6</v>
      </c>
      <c r="B6" s="17" t="str">
        <f ca="1">IFERROR(__xludf.DUMMYFUNCTION("""COMPUTED_VALUE"""),"Both call")</f>
        <v>Both call</v>
      </c>
      <c r="C6" s="17" t="str">
        <f ca="1">IFERROR(__xludf.DUMMYFUNCTION("""COMPUTED_VALUE"""),"Both call 44568")</f>
        <v>Both call 44568</v>
      </c>
      <c r="D6" s="6"/>
    </row>
    <row r="7" spans="1:4" ht="15.75" customHeight="1" x14ac:dyDescent="0.15">
      <c r="A7" s="5" t="s">
        <v>7</v>
      </c>
      <c r="B7" s="17" t="str">
        <f ca="1">IFERROR(__xludf.DUMMYFUNCTION("""COMPUTED_VALUE"""),"Overall good potential, start captures all potential")</f>
        <v>Overall good potential, start captures all potential</v>
      </c>
      <c r="C7" s="17" t="str">
        <f ca="1">IFERROR(__xludf.DUMMYFUNCTION("""COMPUTED_VALUE"""),"Good coding potential, all potential captured with current start")</f>
        <v>Good coding potential, all potential captured with current start</v>
      </c>
      <c r="D7" s="6"/>
    </row>
    <row r="8" spans="1:4" ht="15.75" customHeight="1" x14ac:dyDescent="0.15">
      <c r="A8" s="5" t="s">
        <v>8</v>
      </c>
      <c r="B8" s="17" t="str">
        <f ca="1">IFERROR(__xludf.DUMMYFUNCTION("""COMPUTED_VALUE"""),"Yes")</f>
        <v>Yes</v>
      </c>
      <c r="C8" s="17" t="str">
        <f ca="1">IFERROR(__xludf.DUMMYFUNCTION("""COMPUTED_VALUE"""),"Yes this is the longest ORF")</f>
        <v>Yes this is the longest ORF</v>
      </c>
      <c r="D8" s="6"/>
    </row>
    <row r="9" spans="1:4" ht="15.75" customHeight="1" x14ac:dyDescent="0.15">
      <c r="A9" s="5" t="s">
        <v>9</v>
      </c>
      <c r="B9" s="17" t="str">
        <f ca="1">IFERROR(__xludf.DUMMYFUNCTION("""COMPUTED_VALUE"""),"4 bp gap")</f>
        <v>4 bp gap</v>
      </c>
      <c r="C9" s="17" t="str">
        <f ca="1">IFERROR(__xludf.DUMMYFUNCTION("""COMPUTED_VALUE"""),"Gap with previous gene: 6 Bp; Gap with next gene: 42 Bp")</f>
        <v>Gap with previous gene: 6 Bp; Gap with next gene: 42 Bp</v>
      </c>
      <c r="D9" s="6"/>
    </row>
    <row r="10" spans="1:4" ht="15.75" customHeight="1" x14ac:dyDescent="0.15">
      <c r="A10" s="5" t="s">
        <v>10</v>
      </c>
      <c r="B10" s="17" t="str">
        <f ca="1">IFERROR(__xludf.DUMMYFUNCTION("""COMPUTED_VALUE"""),"Z = 2.451, final = -4.192. Best final and second best Z. Second start has best Z score at 2.605")</f>
        <v>Z = 2.451, final = -4.192. Best final and second best Z. Second start has best Z score at 2.605</v>
      </c>
      <c r="C10" s="17" t="str">
        <f ca="1">IFERROR(__xludf.DUMMYFUNCTION("""COMPUTED_VALUE"""),"This has a good RBS score (2.451), but the next start has a slightlky better one (2.605) ")</f>
        <v xml:space="preserve">This has a good RBS score (2.451), but the next start has a slightlky better one (2.605) </v>
      </c>
      <c r="D10" s="6"/>
    </row>
    <row r="11" spans="1:4" ht="15.75" customHeight="1" x14ac:dyDescent="0.15">
      <c r="A11" s="5" t="s">
        <v>11</v>
      </c>
      <c r="B11" s="17" t="str">
        <f ca="1">IFERROR(__xludf.DUMMYFUNCTION("""COMPUTED_VALUE"""),"Kovu, % identity = 90.48, e = 0, Kharcho, 5 identity = 62.96, e = 0. q1:s1 for both")</f>
        <v>Kovu, % identity = 90.48, e = 0, Kharcho, 5 identity = 62.96, e = 0. q1:s1 for both</v>
      </c>
      <c r="C11" s="17" t="str">
        <f ca="1">IFERROR(__xludf.DUMMYFUNCTION("""COMPUTED_VALUE"""),"Kovu_69; % identity: 95.95%; E-val: 4.9e-44; Q:1;T:8")</f>
        <v>Kovu_69; % identity: 95.95%; E-val: 4.9e-44; Q:1;T:8</v>
      </c>
      <c r="D11" s="6"/>
    </row>
    <row r="12" spans="1:4" ht="15.75" customHeight="1" x14ac:dyDescent="0.15">
      <c r="A12" s="5" t="s">
        <v>12</v>
      </c>
      <c r="B12" s="17" t="str">
        <f ca="1">IFERROR(__xludf.DUMMYFUNCTION("""COMPUTED_VALUE"""),"Start found in all members and called 100% of the time. ")</f>
        <v xml:space="preserve">Start found in all members and called 100% of the time. </v>
      </c>
      <c r="C12" s="17" t="str">
        <f ca="1">IFERROR(__xludf.DUMMYFUNCTION("""COMPUTED_VALUE"""),"Start is conserved, called 100% of the time when present")</f>
        <v>Start is conserved, called 100% of the time when present</v>
      </c>
      <c r="D12" s="6"/>
    </row>
    <row r="13" spans="1:4" ht="15.75" customHeight="1" x14ac:dyDescent="0.15">
      <c r="A13" s="5" t="s">
        <v>13</v>
      </c>
      <c r="B13" s="17" t="str">
        <f ca="1">IFERROR(__xludf.DUMMYFUNCTION("""COMPUTED_VALUE"""),"No, no reason too. If you move the start, it would miss out on potential.")</f>
        <v>No, no reason too. If you move the start, it would miss out on potential.</v>
      </c>
      <c r="C13" s="17" t="str">
        <f ca="1">IFERROR(__xludf.DUMMYFUNCTION("""COMPUTED_VALUE"""),"No start change as the start is conserved and still has a great Z-score, and if the start were to move it would create a larger gap and los coding potential ")</f>
        <v xml:space="preserve">No start change as the start is conserved and still has a great Z-score, and if the start were to move it would create a larger gap and los coding potential </v>
      </c>
      <c r="D13" s="6"/>
    </row>
    <row r="14" spans="1:4" ht="15.75" customHeight="1" x14ac:dyDescent="0.15">
      <c r="A14" s="5" t="s">
        <v>14</v>
      </c>
      <c r="B14" s="17" t="str">
        <f ca="1">IFERROR(__xludf.DUMMYFUNCTION("""COMPUTED_VALUE"""),"Kovu_69 e = 7e-79, Kharco_47 e = 1e-68")</f>
        <v>Kovu_69 e = 7e-79, Kharco_47 e = 1e-68</v>
      </c>
      <c r="C14" s="17" t="str">
        <f ca="1">IFERROR(__xludf.DUMMYFUNCTION("""COMPUTED_VALUE"""),"Kovu_69: 7e-97")</f>
        <v>Kovu_69: 7e-97</v>
      </c>
      <c r="D14" s="6"/>
    </row>
    <row r="15" spans="1:4" ht="15.75" customHeight="1" x14ac:dyDescent="0.15">
      <c r="A15" s="5" t="s">
        <v>15</v>
      </c>
      <c r="B15" s="17" t="str">
        <f ca="1">IFERROR(__xludf.DUMMYFUNCTION("""COMPUTED_VALUE"""),"Minor tail protein")</f>
        <v>Minor tail protein</v>
      </c>
      <c r="C15" s="17" t="str">
        <f ca="1">IFERROR(__xludf.DUMMYFUNCTION("""COMPUTED_VALUE"""),"minor tail protien")</f>
        <v>minor tail protien</v>
      </c>
      <c r="D15" s="6"/>
    </row>
    <row r="16" spans="1:4" ht="15.75" customHeight="1" x14ac:dyDescent="0.15">
      <c r="A16" s="5" t="s">
        <v>16</v>
      </c>
      <c r="B16" s="17" t="str">
        <f ca="1">IFERROR(__xludf.DUMMYFUNCTION("""COMPUTED_VALUE"""),"Yes")</f>
        <v>Yes</v>
      </c>
      <c r="C16" s="17" t="str">
        <f ca="1">IFERROR(__xludf.DUMMYFUNCTION("""COMPUTED_VALUE"""),"Gene is found in a similar environment as Kovu")</f>
        <v>Gene is found in a similar environment as Kovu</v>
      </c>
      <c r="D16" s="6"/>
    </row>
    <row r="17" spans="1:4" ht="15.75" customHeight="1" x14ac:dyDescent="0.15">
      <c r="A17" s="5" t="s">
        <v>17</v>
      </c>
      <c r="B17" s="17" t="str">
        <f ca="1">IFERROR(__xludf.DUMMYFUNCTION("""COMPUTED_VALUE"""),"structure of the lactophage p2 receptor binding protein in complex with glycerol, AOQ = 45, AOT = 32, probability = 94.59, functional domain is in target part of alignment.")</f>
        <v>structure of the lactophage p2 receptor binding protein in complex with glycerol, AOQ = 45, AOT = 32, probability = 94.59, functional domain is in target part of alignment.</v>
      </c>
      <c r="C17" s="17" t="str">
        <f ca="1">IFERROR(__xludf.DUMMYFUNCTION("""COMPUTED_VALUE"""),"mostly receptor binding protiens, Prob: 98.1%; % query: 51.9%; % target: 56.6%")</f>
        <v>mostly receptor binding protiens, Prob: 98.1%; % query: 51.9%; % target: 56.6%</v>
      </c>
      <c r="D17" s="6"/>
    </row>
    <row r="18" spans="1:4" ht="15.75" customHeight="1" x14ac:dyDescent="0.15">
      <c r="A18" s="5" t="s">
        <v>18</v>
      </c>
      <c r="B18" s="17" t="str">
        <f ca="1">IFERROR(__xludf.DUMMYFUNCTION("""COMPUTED_VALUE"""),"No")</f>
        <v>No</v>
      </c>
      <c r="C18" s="17" t="str">
        <f ca="1">IFERROR(__xludf.DUMMYFUNCTION("""COMPUTED_VALUE"""),"no conserved domain")</f>
        <v>no conserved domain</v>
      </c>
      <c r="D18" s="6"/>
    </row>
    <row r="19" spans="1:4" ht="15.75" customHeight="1" x14ac:dyDescent="0.15">
      <c r="A19" s="5" t="s">
        <v>19</v>
      </c>
      <c r="B19" s="17" t="str">
        <f ca="1">IFERROR(__xludf.DUMMYFUNCTION("""COMPUTED_VALUE"""),"No")</f>
        <v>No</v>
      </c>
      <c r="C19" s="17" t="str">
        <f ca="1">IFERROR(__xludf.DUMMYFUNCTION("""COMPUTED_VALUE"""),"not a membrane protien, most likely outsode the membrane")</f>
        <v>not a membrane protien, most likely outsode the membrane</v>
      </c>
      <c r="D19" s="6"/>
    </row>
    <row r="20" spans="1:4" ht="15.75" customHeight="1" x14ac:dyDescent="0.15">
      <c r="A20" s="5" t="s">
        <v>20</v>
      </c>
      <c r="B20" s="17" t="str">
        <f ca="1">IFERROR(__xludf.DUMMYFUNCTION("""COMPUTED_VALUE"""),"Minor tail protein based on synteny and HHPred results")</f>
        <v>Minor tail protein based on synteny and HHPred results</v>
      </c>
      <c r="C20" s="17" t="str">
        <f ca="1">IFERROR(__xludf.DUMMYFUNCTION("""COMPUTED_VALUE"""),"Minor tail protien; Since there isnt a binding receptor accepted call, the best hits were from NCBI which were mostly minor tail protiens, which all were good hits")</f>
        <v>Minor tail protien; Since there isnt a binding receptor accepted call, the best hits were from NCBI which were mostly minor tail protiens, which all were good hits</v>
      </c>
      <c r="D20" s="6"/>
    </row>
    <row r="21" spans="1:4" x14ac:dyDescent="0.2">
      <c r="A21" s="7"/>
      <c r="B21" s="19"/>
      <c r="C21" s="19"/>
      <c r="D21" s="8"/>
    </row>
    <row r="22" spans="1:4" ht="15.75" customHeight="1" x14ac:dyDescent="0.15">
      <c r="A22" s="9" t="s">
        <v>21</v>
      </c>
      <c r="B22" s="19"/>
      <c r="C22" s="19"/>
      <c r="D22" s="8"/>
    </row>
    <row r="23" spans="1:4" ht="15.75" customHeight="1" x14ac:dyDescent="0.15">
      <c r="A23" s="10"/>
      <c r="B23" s="13"/>
      <c r="C23" s="13"/>
    </row>
    <row r="24" spans="1:4" ht="15.75" customHeight="1" x14ac:dyDescent="0.15">
      <c r="A24" s="10"/>
      <c r="B24" s="13"/>
      <c r="C24" s="13"/>
    </row>
    <row r="25" spans="1:4" ht="15.75" customHeight="1" x14ac:dyDescent="0.15">
      <c r="A25" s="10"/>
      <c r="B25" s="13"/>
      <c r="C25" s="13"/>
    </row>
    <row r="26" spans="1:4" ht="15.75" customHeight="1" x14ac:dyDescent="0.15">
      <c r="A26" s="10"/>
      <c r="B26" s="13"/>
      <c r="C26" s="13"/>
    </row>
    <row r="27" spans="1:4" ht="15.75" customHeight="1" x14ac:dyDescent="0.15">
      <c r="A27" s="10"/>
      <c r="B27" s="13"/>
      <c r="C27" s="13"/>
    </row>
    <row r="28" spans="1:4" ht="15.75" customHeight="1" x14ac:dyDescent="0.15">
      <c r="A28" s="10"/>
      <c r="B28" s="13"/>
      <c r="C28" s="13"/>
    </row>
    <row r="29" spans="1:4" ht="15.75" customHeight="1" x14ac:dyDescent="0.15">
      <c r="A29" s="10"/>
      <c r="B29" s="13"/>
      <c r="C29" s="13"/>
    </row>
    <row r="30" spans="1:4" ht="15.75" customHeight="1" x14ac:dyDescent="0.15">
      <c r="A30" s="10"/>
      <c r="B30" s="13"/>
      <c r="C30" s="13"/>
    </row>
    <row r="31" spans="1:4" ht="15.75" customHeight="1" x14ac:dyDescent="0.15">
      <c r="A31" s="10"/>
      <c r="B31" s="13"/>
      <c r="C31" s="13"/>
    </row>
    <row r="32" spans="1:4" ht="15.75" customHeight="1" x14ac:dyDescent="0.15">
      <c r="A32" s="10"/>
      <c r="B32" s="13"/>
      <c r="C32" s="13"/>
    </row>
    <row r="33" spans="1:3" ht="15.75" customHeight="1" x14ac:dyDescent="0.15">
      <c r="A33" s="10"/>
      <c r="B33" s="13"/>
      <c r="C33" s="13"/>
    </row>
    <row r="34" spans="1:3" ht="15.75" customHeight="1" x14ac:dyDescent="0.15">
      <c r="A34" s="10"/>
      <c r="B34" s="13"/>
      <c r="C34" s="13"/>
    </row>
    <row r="35" spans="1:3" ht="15.75" customHeight="1" x14ac:dyDescent="0.15">
      <c r="A35" s="10"/>
      <c r="B35" s="13"/>
      <c r="C35" s="13"/>
    </row>
    <row r="36" spans="1:3" ht="15.75" customHeight="1" x14ac:dyDescent="0.15">
      <c r="A36" s="10"/>
      <c r="B36" s="13"/>
      <c r="C36" s="13"/>
    </row>
    <row r="37" spans="1:3" ht="15.75" customHeight="1" x14ac:dyDescent="0.15">
      <c r="A37" s="10"/>
      <c r="B37" s="13"/>
      <c r="C37" s="13"/>
    </row>
    <row r="38" spans="1:3" ht="15.75" customHeight="1" x14ac:dyDescent="0.15">
      <c r="A38" s="10"/>
      <c r="B38" s="13"/>
      <c r="C38" s="13"/>
    </row>
    <row r="39" spans="1:3" ht="13" x14ac:dyDescent="0.15">
      <c r="A39" s="10"/>
      <c r="B39" s="13"/>
      <c r="C39" s="13"/>
    </row>
    <row r="40" spans="1:3" ht="13" x14ac:dyDescent="0.15">
      <c r="A40" s="10"/>
      <c r="B40" s="13"/>
      <c r="C40" s="13"/>
    </row>
    <row r="41" spans="1:3" ht="13" x14ac:dyDescent="0.15">
      <c r="A41" s="10"/>
      <c r="B41" s="13"/>
      <c r="C41" s="13"/>
    </row>
    <row r="42" spans="1:3" ht="13" x14ac:dyDescent="0.15">
      <c r="A42" s="10"/>
      <c r="B42" s="13"/>
      <c r="C42" s="13"/>
    </row>
    <row r="43" spans="1:3" ht="13" x14ac:dyDescent="0.15">
      <c r="A43" s="10"/>
      <c r="B43" s="13"/>
      <c r="C43" s="13"/>
    </row>
    <row r="44" spans="1:3" ht="13" x14ac:dyDescent="0.15">
      <c r="A44" s="10"/>
      <c r="B44" s="13"/>
      <c r="C44" s="13"/>
    </row>
    <row r="45" spans="1:3" ht="13" x14ac:dyDescent="0.15">
      <c r="A45" s="10"/>
      <c r="B45" s="13"/>
      <c r="C45" s="13"/>
    </row>
    <row r="46" spans="1:3" ht="13" x14ac:dyDescent="0.15">
      <c r="A46" s="10"/>
      <c r="B46" s="13"/>
      <c r="C46" s="13"/>
    </row>
    <row r="47" spans="1:3" ht="13" x14ac:dyDescent="0.15">
      <c r="A47" s="10"/>
      <c r="B47" s="13"/>
      <c r="C47" s="13"/>
    </row>
    <row r="48" spans="1:3" ht="13" x14ac:dyDescent="0.15">
      <c r="A48" s="10"/>
      <c r="B48" s="13"/>
      <c r="C48" s="13"/>
    </row>
    <row r="49" spans="1:3" ht="13" x14ac:dyDescent="0.15">
      <c r="A49" s="10"/>
      <c r="B49" s="13"/>
      <c r="C49" s="13"/>
    </row>
    <row r="50" spans="1:3" ht="13" x14ac:dyDescent="0.15">
      <c r="A50" s="10"/>
      <c r="B50" s="13"/>
      <c r="C50" s="13"/>
    </row>
    <row r="51" spans="1:3" ht="13" x14ac:dyDescent="0.15">
      <c r="A51" s="10"/>
      <c r="B51" s="13"/>
      <c r="C51" s="13"/>
    </row>
    <row r="52" spans="1:3" ht="13" x14ac:dyDescent="0.15">
      <c r="A52" s="10"/>
      <c r="B52" s="13"/>
      <c r="C52" s="13"/>
    </row>
    <row r="53" spans="1:3" ht="13" x14ac:dyDescent="0.15">
      <c r="A53" s="10"/>
      <c r="B53" s="13"/>
      <c r="C53" s="13"/>
    </row>
    <row r="54" spans="1:3" ht="13" x14ac:dyDescent="0.15">
      <c r="A54" s="10"/>
      <c r="B54" s="13"/>
      <c r="C54" s="13"/>
    </row>
    <row r="55" spans="1:3" ht="13" x14ac:dyDescent="0.15">
      <c r="A55" s="10"/>
      <c r="B55" s="13"/>
      <c r="C55" s="13"/>
    </row>
    <row r="56" spans="1:3" ht="13" x14ac:dyDescent="0.15">
      <c r="A56" s="10"/>
      <c r="B56" s="13"/>
      <c r="C56" s="13"/>
    </row>
    <row r="57" spans="1:3" ht="13" x14ac:dyDescent="0.15">
      <c r="A57" s="10"/>
      <c r="B57" s="13"/>
      <c r="C57" s="13"/>
    </row>
    <row r="58" spans="1:3" ht="13" x14ac:dyDescent="0.15">
      <c r="A58" s="10"/>
      <c r="B58" s="13"/>
      <c r="C58" s="13"/>
    </row>
    <row r="59" spans="1:3" ht="13" x14ac:dyDescent="0.15">
      <c r="A59" s="10"/>
      <c r="B59" s="13"/>
      <c r="C59" s="13"/>
    </row>
    <row r="60" spans="1:3" ht="13" x14ac:dyDescent="0.15">
      <c r="A60" s="10"/>
      <c r="B60" s="13"/>
      <c r="C60" s="13"/>
    </row>
    <row r="61" spans="1:3" ht="13" x14ac:dyDescent="0.15">
      <c r="A61" s="10"/>
      <c r="B61" s="13"/>
      <c r="C61" s="13"/>
    </row>
    <row r="62" spans="1:3" ht="13" x14ac:dyDescent="0.15">
      <c r="A62" s="10"/>
      <c r="B62" s="13"/>
      <c r="C62" s="13"/>
    </row>
    <row r="63" spans="1:3" ht="13" x14ac:dyDescent="0.15">
      <c r="A63" s="10"/>
      <c r="B63" s="13"/>
      <c r="C63" s="13"/>
    </row>
    <row r="64" spans="1:3" ht="13" x14ac:dyDescent="0.15">
      <c r="A64" s="10"/>
      <c r="B64" s="13"/>
      <c r="C64" s="13"/>
    </row>
    <row r="65" spans="1:3" ht="13" x14ac:dyDescent="0.15">
      <c r="A65" s="10"/>
      <c r="B65" s="13"/>
      <c r="C65" s="13"/>
    </row>
    <row r="66" spans="1:3" ht="13" x14ac:dyDescent="0.15">
      <c r="A66" s="10"/>
      <c r="B66" s="13"/>
      <c r="C66" s="13"/>
    </row>
    <row r="67" spans="1:3" ht="13" x14ac:dyDescent="0.15">
      <c r="A67" s="10"/>
      <c r="B67" s="13"/>
      <c r="C67" s="13"/>
    </row>
    <row r="68" spans="1:3" ht="13" x14ac:dyDescent="0.15">
      <c r="A68" s="10"/>
      <c r="B68" s="13"/>
      <c r="C68" s="13"/>
    </row>
    <row r="69" spans="1:3" ht="13" x14ac:dyDescent="0.15">
      <c r="A69" s="10"/>
      <c r="B69" s="13"/>
      <c r="C69" s="13"/>
    </row>
    <row r="70" spans="1:3" ht="13" x14ac:dyDescent="0.15">
      <c r="A70" s="10"/>
      <c r="B70" s="13"/>
      <c r="C70" s="13"/>
    </row>
    <row r="71" spans="1:3" ht="13" x14ac:dyDescent="0.15">
      <c r="A71" s="10"/>
      <c r="B71" s="13"/>
      <c r="C71" s="13"/>
    </row>
    <row r="72" spans="1:3" ht="13" x14ac:dyDescent="0.15">
      <c r="A72" s="10"/>
      <c r="B72" s="13"/>
      <c r="C72" s="13"/>
    </row>
    <row r="73" spans="1:3" ht="13" x14ac:dyDescent="0.15">
      <c r="A73" s="10"/>
      <c r="B73" s="13"/>
      <c r="C73" s="13"/>
    </row>
    <row r="74" spans="1:3" ht="13" x14ac:dyDescent="0.15">
      <c r="A74" s="10"/>
      <c r="B74" s="13"/>
      <c r="C74" s="13"/>
    </row>
    <row r="75" spans="1:3" ht="13" x14ac:dyDescent="0.15">
      <c r="A75" s="10"/>
      <c r="B75" s="13"/>
      <c r="C75" s="13"/>
    </row>
    <row r="76" spans="1:3" ht="13" x14ac:dyDescent="0.15">
      <c r="A76" s="10"/>
      <c r="B76" s="13"/>
      <c r="C76" s="13"/>
    </row>
    <row r="77" spans="1:3" ht="13" x14ac:dyDescent="0.15">
      <c r="A77" s="10"/>
      <c r="B77" s="13"/>
      <c r="C77" s="13"/>
    </row>
    <row r="78" spans="1:3" ht="13" x14ac:dyDescent="0.15">
      <c r="A78" s="10"/>
      <c r="B78" s="13"/>
      <c r="C78" s="13"/>
    </row>
    <row r="79" spans="1:3" ht="13" x14ac:dyDescent="0.15">
      <c r="A79" s="10"/>
      <c r="B79" s="13"/>
      <c r="C79" s="13"/>
    </row>
    <row r="80" spans="1:3" ht="13" x14ac:dyDescent="0.15">
      <c r="A80" s="10"/>
      <c r="B80" s="13"/>
      <c r="C80" s="13"/>
    </row>
    <row r="81" spans="1:3" ht="13" x14ac:dyDescent="0.15">
      <c r="A81" s="10"/>
      <c r="B81" s="13"/>
      <c r="C81" s="13"/>
    </row>
    <row r="82" spans="1:3" ht="13" x14ac:dyDescent="0.15">
      <c r="A82" s="10"/>
      <c r="B82" s="13"/>
      <c r="C82" s="13"/>
    </row>
    <row r="83" spans="1:3" ht="13" x14ac:dyDescent="0.15">
      <c r="A83" s="10"/>
      <c r="B83" s="13"/>
      <c r="C83" s="13"/>
    </row>
    <row r="84" spans="1:3" ht="13" x14ac:dyDescent="0.15">
      <c r="A84" s="10"/>
      <c r="B84" s="13"/>
      <c r="C84" s="13"/>
    </row>
    <row r="85" spans="1:3" ht="13" x14ac:dyDescent="0.15">
      <c r="A85" s="10"/>
      <c r="B85" s="13"/>
      <c r="C85" s="13"/>
    </row>
    <row r="86" spans="1:3" ht="13" x14ac:dyDescent="0.15">
      <c r="A86" s="10"/>
      <c r="B86" s="13"/>
      <c r="C86" s="13"/>
    </row>
    <row r="87" spans="1:3" ht="13" x14ac:dyDescent="0.15">
      <c r="A87" s="10"/>
      <c r="B87" s="13"/>
      <c r="C87" s="13"/>
    </row>
    <row r="88" spans="1:3" ht="13" x14ac:dyDescent="0.15">
      <c r="A88" s="10"/>
      <c r="B88" s="13"/>
      <c r="C88" s="13"/>
    </row>
    <row r="89" spans="1:3" ht="13" x14ac:dyDescent="0.15">
      <c r="A89" s="10"/>
      <c r="B89" s="13"/>
      <c r="C89" s="13"/>
    </row>
    <row r="90" spans="1:3" ht="13" x14ac:dyDescent="0.15">
      <c r="A90" s="10"/>
      <c r="B90" s="13"/>
      <c r="C90" s="13"/>
    </row>
    <row r="91" spans="1:3" ht="13" x14ac:dyDescent="0.15">
      <c r="A91" s="10"/>
      <c r="B91" s="13"/>
      <c r="C91" s="13"/>
    </row>
    <row r="92" spans="1:3" ht="13" x14ac:dyDescent="0.15">
      <c r="A92" s="10"/>
      <c r="B92" s="13"/>
      <c r="C92" s="13"/>
    </row>
    <row r="93" spans="1:3" ht="13" x14ac:dyDescent="0.15">
      <c r="A93" s="10"/>
      <c r="B93" s="13"/>
      <c r="C93" s="13"/>
    </row>
    <row r="94" spans="1:3" ht="13" x14ac:dyDescent="0.15">
      <c r="A94" s="10"/>
      <c r="B94" s="13"/>
      <c r="C94" s="13"/>
    </row>
    <row r="95" spans="1:3" ht="13" x14ac:dyDescent="0.15">
      <c r="A95" s="10"/>
      <c r="B95" s="13"/>
      <c r="C95" s="13"/>
    </row>
    <row r="96" spans="1:3" ht="13" x14ac:dyDescent="0.15">
      <c r="A96" s="10"/>
      <c r="B96" s="13"/>
      <c r="C96" s="13"/>
    </row>
    <row r="97" spans="1:3" ht="13" x14ac:dyDescent="0.15">
      <c r="A97" s="10"/>
      <c r="B97" s="13"/>
      <c r="C97" s="13"/>
    </row>
    <row r="98" spans="1:3" ht="13" x14ac:dyDescent="0.15">
      <c r="A98" s="10"/>
      <c r="B98" s="13"/>
      <c r="C98" s="13"/>
    </row>
    <row r="99" spans="1:3" ht="13" x14ac:dyDescent="0.15">
      <c r="A99" s="10"/>
      <c r="B99" s="13"/>
      <c r="C99" s="13"/>
    </row>
    <row r="100" spans="1:3" ht="13" x14ac:dyDescent="0.15">
      <c r="A100" s="10"/>
      <c r="B100" s="13"/>
      <c r="C100" s="13"/>
    </row>
    <row r="101" spans="1:3" ht="13" x14ac:dyDescent="0.15">
      <c r="A101" s="10"/>
      <c r="B101" s="13"/>
      <c r="C101" s="13"/>
    </row>
    <row r="102" spans="1:3" ht="13" x14ac:dyDescent="0.15">
      <c r="A102" s="10"/>
      <c r="B102" s="13"/>
      <c r="C102" s="13"/>
    </row>
    <row r="103" spans="1:3" ht="13" x14ac:dyDescent="0.15">
      <c r="A103" s="10"/>
      <c r="B103" s="13"/>
      <c r="C103" s="13"/>
    </row>
    <row r="104" spans="1:3" ht="13" x14ac:dyDescent="0.15">
      <c r="A104" s="10"/>
      <c r="B104" s="13"/>
      <c r="C104" s="13"/>
    </row>
    <row r="105" spans="1:3" ht="13" x14ac:dyDescent="0.15">
      <c r="A105" s="10"/>
      <c r="B105" s="13"/>
      <c r="C105" s="13"/>
    </row>
    <row r="106" spans="1:3" ht="13" x14ac:dyDescent="0.15">
      <c r="A106" s="10"/>
      <c r="B106" s="13"/>
      <c r="C106" s="13"/>
    </row>
    <row r="107" spans="1:3" ht="13" x14ac:dyDescent="0.15">
      <c r="A107" s="10"/>
      <c r="B107" s="13"/>
      <c r="C107" s="13"/>
    </row>
    <row r="108" spans="1:3" ht="13" x14ac:dyDescent="0.15">
      <c r="A108" s="10"/>
      <c r="B108" s="13"/>
      <c r="C108" s="13"/>
    </row>
    <row r="109" spans="1:3" ht="13" x14ac:dyDescent="0.15">
      <c r="A109" s="10"/>
      <c r="B109" s="13"/>
      <c r="C109" s="13"/>
    </row>
    <row r="110" spans="1:3" ht="13" x14ac:dyDescent="0.15">
      <c r="A110" s="10"/>
      <c r="B110" s="13"/>
      <c r="C110" s="13"/>
    </row>
    <row r="111" spans="1:3" ht="13" x14ac:dyDescent="0.15">
      <c r="A111" s="10"/>
      <c r="B111" s="13"/>
      <c r="C111" s="13"/>
    </row>
    <row r="112" spans="1:3" ht="13" x14ac:dyDescent="0.15">
      <c r="A112" s="10"/>
      <c r="B112" s="13"/>
      <c r="C112" s="13"/>
    </row>
    <row r="113" spans="1:3" ht="13" x14ac:dyDescent="0.15">
      <c r="A113" s="10"/>
      <c r="B113" s="13"/>
      <c r="C113" s="13"/>
    </row>
    <row r="114" spans="1:3" ht="13" x14ac:dyDescent="0.15">
      <c r="A114" s="10"/>
      <c r="B114" s="13"/>
      <c r="C114" s="13"/>
    </row>
    <row r="115" spans="1:3" ht="13" x14ac:dyDescent="0.15">
      <c r="A115" s="10"/>
      <c r="B115" s="13"/>
      <c r="C115" s="13"/>
    </row>
    <row r="116" spans="1:3" ht="13" x14ac:dyDescent="0.15">
      <c r="A116" s="10"/>
      <c r="B116" s="13"/>
      <c r="C116" s="13"/>
    </row>
    <row r="117" spans="1:3" ht="13" x14ac:dyDescent="0.15">
      <c r="A117" s="10"/>
      <c r="B117" s="13"/>
      <c r="C117" s="13"/>
    </row>
    <row r="118" spans="1:3" ht="13" x14ac:dyDescent="0.15">
      <c r="A118" s="10"/>
      <c r="B118" s="13"/>
      <c r="C118" s="13"/>
    </row>
    <row r="119" spans="1:3" ht="13" x14ac:dyDescent="0.15">
      <c r="A119" s="10"/>
      <c r="B119" s="13"/>
      <c r="C119" s="13"/>
    </row>
    <row r="120" spans="1:3" ht="13" x14ac:dyDescent="0.15">
      <c r="A120" s="10"/>
      <c r="B120" s="13"/>
      <c r="C120" s="13"/>
    </row>
    <row r="121" spans="1:3" ht="13" x14ac:dyDescent="0.15">
      <c r="A121" s="10"/>
      <c r="B121" s="13"/>
      <c r="C121" s="13"/>
    </row>
    <row r="122" spans="1:3" ht="13" x14ac:dyDescent="0.15">
      <c r="A122" s="10"/>
      <c r="B122" s="13"/>
      <c r="C122" s="13"/>
    </row>
    <row r="123" spans="1:3" ht="13" x14ac:dyDescent="0.15">
      <c r="A123" s="10"/>
      <c r="B123" s="13"/>
      <c r="C123" s="13"/>
    </row>
    <row r="124" spans="1:3" ht="13" x14ac:dyDescent="0.15">
      <c r="A124" s="10"/>
      <c r="B124" s="13"/>
      <c r="C124" s="13"/>
    </row>
    <row r="125" spans="1:3" ht="13" x14ac:dyDescent="0.15">
      <c r="A125" s="10"/>
      <c r="B125" s="13"/>
      <c r="C125" s="13"/>
    </row>
    <row r="126" spans="1:3" ht="13" x14ac:dyDescent="0.15">
      <c r="A126" s="10"/>
      <c r="B126" s="13"/>
      <c r="C126" s="13"/>
    </row>
    <row r="127" spans="1:3" ht="13" x14ac:dyDescent="0.15">
      <c r="A127" s="10"/>
      <c r="B127" s="13"/>
      <c r="C127" s="13"/>
    </row>
    <row r="128" spans="1:3" ht="13" x14ac:dyDescent="0.15">
      <c r="A128" s="10"/>
      <c r="B128" s="13"/>
      <c r="C128" s="13"/>
    </row>
    <row r="129" spans="1:3" ht="13" x14ac:dyDescent="0.15">
      <c r="A129" s="10"/>
      <c r="B129" s="13"/>
      <c r="C129" s="13"/>
    </row>
    <row r="130" spans="1:3" ht="13" x14ac:dyDescent="0.15">
      <c r="A130" s="10"/>
      <c r="B130" s="13"/>
      <c r="C130" s="13"/>
    </row>
    <row r="131" spans="1:3" ht="13" x14ac:dyDescent="0.15">
      <c r="A131" s="10"/>
      <c r="B131" s="13"/>
      <c r="C131" s="13"/>
    </row>
    <row r="132" spans="1:3" ht="13" x14ac:dyDescent="0.15">
      <c r="A132" s="10"/>
      <c r="B132" s="13"/>
      <c r="C132" s="13"/>
    </row>
    <row r="133" spans="1:3" ht="13" x14ac:dyDescent="0.15">
      <c r="A133" s="10"/>
      <c r="B133" s="13"/>
      <c r="C133" s="13"/>
    </row>
    <row r="134" spans="1:3" ht="13" x14ac:dyDescent="0.15">
      <c r="A134" s="10"/>
      <c r="B134" s="13"/>
      <c r="C134" s="13"/>
    </row>
    <row r="135" spans="1:3" ht="13" x14ac:dyDescent="0.15">
      <c r="A135" s="10"/>
      <c r="B135" s="13"/>
      <c r="C135" s="13"/>
    </row>
    <row r="136" spans="1:3" ht="13" x14ac:dyDescent="0.15">
      <c r="A136" s="10"/>
      <c r="B136" s="13"/>
      <c r="C136" s="13"/>
    </row>
    <row r="137" spans="1:3" ht="13" x14ac:dyDescent="0.15">
      <c r="A137" s="10"/>
      <c r="B137" s="13"/>
      <c r="C137" s="13"/>
    </row>
    <row r="138" spans="1:3" ht="13" x14ac:dyDescent="0.15">
      <c r="A138" s="10"/>
      <c r="B138" s="13"/>
      <c r="C138" s="13"/>
    </row>
    <row r="139" spans="1:3" ht="13" x14ac:dyDescent="0.15">
      <c r="A139" s="10"/>
      <c r="B139" s="13"/>
      <c r="C139" s="13"/>
    </row>
    <row r="140" spans="1:3" ht="13" x14ac:dyDescent="0.15">
      <c r="A140" s="10"/>
      <c r="B140" s="13"/>
      <c r="C140" s="13"/>
    </row>
    <row r="141" spans="1:3" ht="13" x14ac:dyDescent="0.15">
      <c r="A141" s="10"/>
      <c r="B141" s="13"/>
      <c r="C141" s="13"/>
    </row>
    <row r="142" spans="1:3" ht="13" x14ac:dyDescent="0.15">
      <c r="A142" s="10"/>
      <c r="B142" s="13"/>
      <c r="C142" s="13"/>
    </row>
    <row r="143" spans="1:3" ht="13" x14ac:dyDescent="0.15">
      <c r="A143" s="10"/>
      <c r="B143" s="13"/>
      <c r="C143" s="13"/>
    </row>
    <row r="144" spans="1:3" ht="13" x14ac:dyDescent="0.15">
      <c r="A144" s="10"/>
      <c r="B144" s="13"/>
      <c r="C144" s="13"/>
    </row>
    <row r="145" spans="1:3" ht="13" x14ac:dyDescent="0.15">
      <c r="A145" s="10"/>
      <c r="B145" s="13"/>
      <c r="C145" s="13"/>
    </row>
    <row r="146" spans="1:3" ht="13" x14ac:dyDescent="0.15">
      <c r="A146" s="10"/>
      <c r="B146" s="13"/>
      <c r="C146" s="13"/>
    </row>
    <row r="147" spans="1:3" ht="13" x14ac:dyDescent="0.15">
      <c r="A147" s="10"/>
      <c r="B147" s="13"/>
      <c r="C147" s="13"/>
    </row>
    <row r="148" spans="1:3" ht="13" x14ac:dyDescent="0.15">
      <c r="A148" s="10"/>
      <c r="B148" s="13"/>
      <c r="C148" s="13"/>
    </row>
    <row r="149" spans="1:3" ht="13" x14ac:dyDescent="0.15">
      <c r="A149" s="10"/>
      <c r="B149" s="13"/>
      <c r="C149" s="13"/>
    </row>
    <row r="150" spans="1:3" ht="13" x14ac:dyDescent="0.15">
      <c r="A150" s="10"/>
      <c r="B150" s="13"/>
      <c r="C150" s="13"/>
    </row>
    <row r="151" spans="1:3" ht="13" x14ac:dyDescent="0.15">
      <c r="A151" s="10"/>
      <c r="B151" s="13"/>
      <c r="C151" s="13"/>
    </row>
    <row r="152" spans="1:3" ht="13" x14ac:dyDescent="0.15">
      <c r="A152" s="10"/>
      <c r="B152" s="13"/>
      <c r="C152" s="13"/>
    </row>
    <row r="153" spans="1:3" ht="13" x14ac:dyDescent="0.15">
      <c r="A153" s="10"/>
      <c r="B153" s="13"/>
      <c r="C153" s="13"/>
    </row>
    <row r="154" spans="1:3" ht="13" x14ac:dyDescent="0.15">
      <c r="A154" s="10"/>
      <c r="B154" s="13"/>
      <c r="C154" s="13"/>
    </row>
    <row r="155" spans="1:3" ht="13" x14ac:dyDescent="0.15">
      <c r="A155" s="10"/>
      <c r="B155" s="13"/>
      <c r="C155" s="13"/>
    </row>
    <row r="156" spans="1:3" ht="13" x14ac:dyDescent="0.15">
      <c r="A156" s="10"/>
      <c r="B156" s="13"/>
      <c r="C156" s="13"/>
    </row>
    <row r="157" spans="1:3" ht="13" x14ac:dyDescent="0.15">
      <c r="A157" s="10"/>
      <c r="B157" s="13"/>
      <c r="C157" s="13"/>
    </row>
    <row r="158" spans="1:3" ht="13" x14ac:dyDescent="0.15">
      <c r="A158" s="10"/>
      <c r="B158" s="13"/>
      <c r="C158" s="13"/>
    </row>
    <row r="159" spans="1:3" ht="13" x14ac:dyDescent="0.15">
      <c r="A159" s="10"/>
      <c r="B159" s="13"/>
      <c r="C159" s="13"/>
    </row>
    <row r="160" spans="1:3" ht="13" x14ac:dyDescent="0.15">
      <c r="A160" s="10"/>
      <c r="B160" s="13"/>
      <c r="C160" s="13"/>
    </row>
    <row r="161" spans="1:3" ht="13" x14ac:dyDescent="0.15">
      <c r="A161" s="10"/>
      <c r="B161" s="13"/>
      <c r="C161" s="13"/>
    </row>
    <row r="162" spans="1:3" ht="13" x14ac:dyDescent="0.15">
      <c r="A162" s="10"/>
      <c r="B162" s="13"/>
      <c r="C162" s="13"/>
    </row>
    <row r="163" spans="1:3" ht="13" x14ac:dyDescent="0.15">
      <c r="A163" s="10"/>
      <c r="B163" s="13"/>
      <c r="C163" s="13"/>
    </row>
    <row r="164" spans="1:3" ht="13" x14ac:dyDescent="0.15">
      <c r="A164" s="10"/>
      <c r="B164" s="13"/>
      <c r="C164" s="13"/>
    </row>
    <row r="165" spans="1:3" ht="13" x14ac:dyDescent="0.15">
      <c r="A165" s="10"/>
      <c r="B165" s="13"/>
      <c r="C165" s="13"/>
    </row>
    <row r="166" spans="1:3" ht="13" x14ac:dyDescent="0.15">
      <c r="A166" s="10"/>
      <c r="B166" s="13"/>
      <c r="C166" s="13"/>
    </row>
    <row r="167" spans="1:3" ht="13" x14ac:dyDescent="0.15">
      <c r="A167" s="10"/>
      <c r="B167" s="13"/>
      <c r="C167" s="13"/>
    </row>
    <row r="168" spans="1:3" ht="13" x14ac:dyDescent="0.15">
      <c r="A168" s="10"/>
      <c r="B168" s="13"/>
      <c r="C168" s="13"/>
    </row>
    <row r="169" spans="1:3" ht="13" x14ac:dyDescent="0.15">
      <c r="A169" s="10"/>
      <c r="B169" s="13"/>
      <c r="C169" s="13"/>
    </row>
    <row r="170" spans="1:3" ht="13" x14ac:dyDescent="0.15">
      <c r="A170" s="10"/>
      <c r="B170" s="13"/>
      <c r="C170" s="13"/>
    </row>
    <row r="171" spans="1:3" ht="13" x14ac:dyDescent="0.15">
      <c r="A171" s="10"/>
      <c r="B171" s="13"/>
      <c r="C171" s="13"/>
    </row>
    <row r="172" spans="1:3" ht="13" x14ac:dyDescent="0.15">
      <c r="A172" s="10"/>
      <c r="B172" s="13"/>
      <c r="C172" s="13"/>
    </row>
    <row r="173" spans="1:3" ht="13" x14ac:dyDescent="0.15">
      <c r="A173" s="10"/>
      <c r="B173" s="13"/>
      <c r="C173" s="13"/>
    </row>
    <row r="174" spans="1:3" ht="13" x14ac:dyDescent="0.15">
      <c r="A174" s="10"/>
      <c r="B174" s="13"/>
      <c r="C174" s="13"/>
    </row>
    <row r="175" spans="1:3" ht="13" x14ac:dyDescent="0.15">
      <c r="A175" s="10"/>
      <c r="B175" s="13"/>
      <c r="C175" s="13"/>
    </row>
    <row r="176" spans="1:3" ht="13" x14ac:dyDescent="0.15">
      <c r="A176" s="10"/>
      <c r="B176" s="13"/>
      <c r="C176" s="13"/>
    </row>
    <row r="177" spans="1:3" ht="13" x14ac:dyDescent="0.15">
      <c r="A177" s="10"/>
      <c r="B177" s="13"/>
      <c r="C177" s="13"/>
    </row>
    <row r="178" spans="1:3" ht="13" x14ac:dyDescent="0.15">
      <c r="A178" s="10"/>
      <c r="B178" s="13"/>
      <c r="C178" s="13"/>
    </row>
    <row r="179" spans="1:3" ht="13" x14ac:dyDescent="0.15">
      <c r="A179" s="10"/>
      <c r="B179" s="13"/>
      <c r="C179" s="13"/>
    </row>
    <row r="180" spans="1:3" ht="13" x14ac:dyDescent="0.15">
      <c r="A180" s="10"/>
      <c r="B180" s="13"/>
      <c r="C180" s="13"/>
    </row>
    <row r="181" spans="1:3" ht="13" x14ac:dyDescent="0.15">
      <c r="A181" s="10"/>
      <c r="B181" s="13"/>
      <c r="C181" s="13"/>
    </row>
    <row r="182" spans="1:3" ht="13" x14ac:dyDescent="0.15">
      <c r="A182" s="10"/>
      <c r="B182" s="13"/>
      <c r="C182" s="13"/>
    </row>
    <row r="183" spans="1:3" ht="13" x14ac:dyDescent="0.15">
      <c r="A183" s="10"/>
      <c r="B183" s="13"/>
      <c r="C183" s="13"/>
    </row>
    <row r="184" spans="1:3" ht="13" x14ac:dyDescent="0.15">
      <c r="A184" s="10"/>
      <c r="B184" s="13"/>
      <c r="C184" s="13"/>
    </row>
    <row r="185" spans="1:3" ht="13" x14ac:dyDescent="0.15">
      <c r="A185" s="10"/>
      <c r="B185" s="13"/>
      <c r="C185" s="13"/>
    </row>
    <row r="186" spans="1:3" ht="13" x14ac:dyDescent="0.15">
      <c r="A186" s="10"/>
      <c r="B186" s="13"/>
      <c r="C186" s="13"/>
    </row>
    <row r="187" spans="1:3" ht="13" x14ac:dyDescent="0.15">
      <c r="A187" s="10"/>
      <c r="B187" s="13"/>
      <c r="C187" s="13"/>
    </row>
    <row r="188" spans="1:3" ht="13" x14ac:dyDescent="0.15">
      <c r="A188" s="10"/>
      <c r="B188" s="13"/>
      <c r="C188" s="13"/>
    </row>
    <row r="189" spans="1:3" ht="13" x14ac:dyDescent="0.15">
      <c r="A189" s="10"/>
      <c r="B189" s="13"/>
      <c r="C189" s="13"/>
    </row>
    <row r="190" spans="1:3" ht="13" x14ac:dyDescent="0.15">
      <c r="A190" s="10"/>
      <c r="B190" s="13"/>
      <c r="C190" s="13"/>
    </row>
    <row r="191" spans="1:3" ht="13" x14ac:dyDescent="0.15">
      <c r="A191" s="10"/>
      <c r="B191" s="13"/>
      <c r="C191" s="13"/>
    </row>
    <row r="192" spans="1:3" ht="13" x14ac:dyDescent="0.15">
      <c r="A192" s="10"/>
      <c r="B192" s="13"/>
      <c r="C192" s="13"/>
    </row>
    <row r="193" spans="1:3" ht="13" x14ac:dyDescent="0.15">
      <c r="A193" s="10"/>
      <c r="B193" s="13"/>
      <c r="C193" s="13"/>
    </row>
    <row r="194" spans="1:3" ht="13" x14ac:dyDescent="0.15">
      <c r="A194" s="10"/>
      <c r="B194" s="13"/>
      <c r="C194" s="13"/>
    </row>
    <row r="195" spans="1:3" ht="13" x14ac:dyDescent="0.15">
      <c r="A195" s="10"/>
      <c r="B195" s="13"/>
      <c r="C195" s="13"/>
    </row>
    <row r="196" spans="1:3" ht="13" x14ac:dyDescent="0.15">
      <c r="A196" s="10"/>
      <c r="B196" s="13"/>
      <c r="C196" s="13"/>
    </row>
    <row r="197" spans="1:3" ht="13" x14ac:dyDescent="0.15">
      <c r="A197" s="10"/>
      <c r="B197" s="13"/>
      <c r="C197" s="13"/>
    </row>
    <row r="198" spans="1:3" ht="13" x14ac:dyDescent="0.15">
      <c r="A198" s="10"/>
      <c r="B198" s="13"/>
      <c r="C198" s="13"/>
    </row>
    <row r="199" spans="1:3" ht="13" x14ac:dyDescent="0.15">
      <c r="A199" s="10"/>
      <c r="B199" s="13"/>
      <c r="C199" s="13"/>
    </row>
    <row r="200" spans="1:3" ht="13" x14ac:dyDescent="0.15">
      <c r="A200" s="10"/>
      <c r="B200" s="13"/>
      <c r="C200" s="13"/>
    </row>
    <row r="201" spans="1:3" ht="13" x14ac:dyDescent="0.15">
      <c r="A201" s="10"/>
      <c r="B201" s="13"/>
      <c r="C201" s="13"/>
    </row>
    <row r="202" spans="1:3" ht="13" x14ac:dyDescent="0.15">
      <c r="A202" s="10"/>
      <c r="B202" s="13"/>
      <c r="C202" s="13"/>
    </row>
    <row r="203" spans="1:3" ht="13" x14ac:dyDescent="0.15">
      <c r="A203" s="10"/>
      <c r="B203" s="13"/>
      <c r="C203" s="13"/>
    </row>
    <row r="204" spans="1:3" ht="13" x14ac:dyDescent="0.15">
      <c r="A204" s="10"/>
      <c r="B204" s="13"/>
      <c r="C204" s="13"/>
    </row>
    <row r="205" spans="1:3" ht="13" x14ac:dyDescent="0.15">
      <c r="A205" s="10"/>
      <c r="B205" s="13"/>
      <c r="C205" s="13"/>
    </row>
    <row r="206" spans="1:3" ht="13" x14ac:dyDescent="0.15">
      <c r="A206" s="10"/>
      <c r="B206" s="13"/>
      <c r="C206" s="13"/>
    </row>
    <row r="207" spans="1:3" ht="13" x14ac:dyDescent="0.15">
      <c r="A207" s="10"/>
      <c r="B207" s="13"/>
      <c r="C207" s="13"/>
    </row>
    <row r="208" spans="1:3" ht="13" x14ac:dyDescent="0.15">
      <c r="A208" s="10"/>
      <c r="B208" s="13"/>
      <c r="C208" s="13"/>
    </row>
    <row r="209" spans="1:3" ht="13" x14ac:dyDescent="0.15">
      <c r="A209" s="10"/>
      <c r="B209" s="13"/>
      <c r="C209" s="13"/>
    </row>
    <row r="210" spans="1:3" ht="13" x14ac:dyDescent="0.15">
      <c r="A210" s="10"/>
      <c r="B210" s="13"/>
      <c r="C210" s="13"/>
    </row>
    <row r="211" spans="1:3" ht="13" x14ac:dyDescent="0.15">
      <c r="A211" s="10"/>
      <c r="B211" s="13"/>
      <c r="C211" s="13"/>
    </row>
    <row r="212" spans="1:3" ht="13" x14ac:dyDescent="0.15">
      <c r="A212" s="10"/>
      <c r="B212" s="13"/>
      <c r="C212" s="13"/>
    </row>
    <row r="213" spans="1:3" ht="13" x14ac:dyDescent="0.15">
      <c r="A213" s="10"/>
      <c r="B213" s="13"/>
      <c r="C213" s="13"/>
    </row>
    <row r="214" spans="1:3" ht="13" x14ac:dyDescent="0.15">
      <c r="A214" s="10"/>
      <c r="B214" s="13"/>
      <c r="C214" s="13"/>
    </row>
    <row r="215" spans="1:3" ht="13" x14ac:dyDescent="0.15">
      <c r="A215" s="10"/>
      <c r="B215" s="13"/>
      <c r="C215" s="13"/>
    </row>
    <row r="216" spans="1:3" ht="13" x14ac:dyDescent="0.15">
      <c r="A216" s="10"/>
      <c r="B216" s="13"/>
      <c r="C216" s="13"/>
    </row>
    <row r="217" spans="1:3" ht="13" x14ac:dyDescent="0.15">
      <c r="A217" s="10"/>
      <c r="B217" s="13"/>
      <c r="C217" s="13"/>
    </row>
    <row r="218" spans="1:3" ht="13" x14ac:dyDescent="0.15">
      <c r="A218" s="10"/>
      <c r="B218" s="13"/>
      <c r="C218" s="13"/>
    </row>
    <row r="219" spans="1:3" ht="13" x14ac:dyDescent="0.15">
      <c r="A219" s="10"/>
      <c r="B219" s="13"/>
      <c r="C219" s="13"/>
    </row>
    <row r="220" spans="1:3" ht="13" x14ac:dyDescent="0.15">
      <c r="A220" s="10"/>
      <c r="B220" s="13"/>
      <c r="C220" s="13"/>
    </row>
    <row r="221" spans="1:3" ht="13" x14ac:dyDescent="0.15">
      <c r="A221" s="10"/>
      <c r="B221" s="13"/>
      <c r="C221" s="13"/>
    </row>
    <row r="222" spans="1:3" ht="13" x14ac:dyDescent="0.15">
      <c r="A222" s="10"/>
      <c r="B222" s="13"/>
      <c r="C222" s="13"/>
    </row>
    <row r="223" spans="1:3" ht="13" x14ac:dyDescent="0.15">
      <c r="A223" s="10"/>
      <c r="B223" s="13"/>
      <c r="C223" s="13"/>
    </row>
    <row r="224" spans="1:3" ht="13" x14ac:dyDescent="0.15">
      <c r="A224" s="10"/>
      <c r="B224" s="13"/>
      <c r="C224" s="13"/>
    </row>
    <row r="225" spans="1:3" ht="13" x14ac:dyDescent="0.15">
      <c r="A225" s="10"/>
      <c r="B225" s="13"/>
      <c r="C225" s="13"/>
    </row>
    <row r="226" spans="1:3" ht="13" x14ac:dyDescent="0.15">
      <c r="A226" s="10"/>
      <c r="B226" s="13"/>
      <c r="C226" s="13"/>
    </row>
    <row r="227" spans="1:3" ht="13" x14ac:dyDescent="0.15">
      <c r="A227" s="10"/>
      <c r="B227" s="13"/>
      <c r="C227" s="13"/>
    </row>
    <row r="228" spans="1:3" ht="13" x14ac:dyDescent="0.15">
      <c r="A228" s="10"/>
      <c r="B228" s="13"/>
      <c r="C228" s="13"/>
    </row>
    <row r="229" spans="1:3" ht="13" x14ac:dyDescent="0.15">
      <c r="A229" s="10"/>
      <c r="B229" s="13"/>
      <c r="C229" s="13"/>
    </row>
    <row r="230" spans="1:3" ht="13" x14ac:dyDescent="0.15">
      <c r="A230" s="10"/>
      <c r="B230" s="13"/>
      <c r="C230" s="13"/>
    </row>
    <row r="231" spans="1:3" ht="13" x14ac:dyDescent="0.15">
      <c r="A231" s="10"/>
      <c r="B231" s="13"/>
      <c r="C231" s="13"/>
    </row>
    <row r="232" spans="1:3" ht="13" x14ac:dyDescent="0.15">
      <c r="A232" s="10"/>
      <c r="B232" s="13"/>
      <c r="C232" s="13"/>
    </row>
    <row r="233" spans="1:3" ht="13" x14ac:dyDescent="0.15">
      <c r="A233" s="10"/>
      <c r="B233" s="13"/>
      <c r="C233" s="13"/>
    </row>
    <row r="234" spans="1:3" ht="13" x14ac:dyDescent="0.15">
      <c r="A234" s="10"/>
      <c r="B234" s="13"/>
      <c r="C234" s="13"/>
    </row>
    <row r="235" spans="1:3" ht="13" x14ac:dyDescent="0.15">
      <c r="A235" s="10"/>
      <c r="B235" s="13"/>
      <c r="C235" s="13"/>
    </row>
    <row r="236" spans="1:3" ht="13" x14ac:dyDescent="0.15">
      <c r="A236" s="10"/>
      <c r="B236" s="13"/>
      <c r="C236" s="13"/>
    </row>
    <row r="237" spans="1:3" ht="13" x14ac:dyDescent="0.15">
      <c r="A237" s="10"/>
      <c r="B237" s="13"/>
      <c r="C237" s="13"/>
    </row>
    <row r="238" spans="1:3" ht="13" x14ac:dyDescent="0.15">
      <c r="A238" s="10"/>
      <c r="B238" s="13"/>
      <c r="C238" s="13"/>
    </row>
    <row r="239" spans="1:3" ht="13" x14ac:dyDescent="0.15">
      <c r="A239" s="10"/>
      <c r="B239" s="13"/>
      <c r="C239" s="13"/>
    </row>
    <row r="240" spans="1:3" ht="13" x14ac:dyDescent="0.15">
      <c r="A240" s="10"/>
      <c r="B240" s="13"/>
      <c r="C240" s="13"/>
    </row>
    <row r="241" spans="1:3" ht="13" x14ac:dyDescent="0.15">
      <c r="A241" s="10"/>
      <c r="B241" s="13"/>
      <c r="C241" s="13"/>
    </row>
    <row r="242" spans="1:3" ht="13" x14ac:dyDescent="0.15">
      <c r="A242" s="10"/>
      <c r="B242" s="13"/>
      <c r="C242" s="13"/>
    </row>
    <row r="243" spans="1:3" ht="13" x14ac:dyDescent="0.15">
      <c r="A243" s="10"/>
      <c r="B243" s="13"/>
      <c r="C243" s="13"/>
    </row>
    <row r="244" spans="1:3" ht="13" x14ac:dyDescent="0.15">
      <c r="A244" s="10"/>
      <c r="B244" s="13"/>
      <c r="C244" s="13"/>
    </row>
    <row r="245" spans="1:3" ht="13" x14ac:dyDescent="0.15">
      <c r="A245" s="10"/>
      <c r="B245" s="13"/>
      <c r="C245" s="13"/>
    </row>
    <row r="246" spans="1:3" ht="13" x14ac:dyDescent="0.15">
      <c r="A246" s="10"/>
      <c r="B246" s="13"/>
      <c r="C246" s="13"/>
    </row>
    <row r="247" spans="1:3" ht="13" x14ac:dyDescent="0.15">
      <c r="A247" s="10"/>
      <c r="B247" s="13"/>
      <c r="C247" s="13"/>
    </row>
    <row r="248" spans="1:3" ht="13" x14ac:dyDescent="0.15">
      <c r="A248" s="10"/>
      <c r="B248" s="13"/>
      <c r="C248" s="13"/>
    </row>
    <row r="249" spans="1:3" ht="13" x14ac:dyDescent="0.15">
      <c r="A249" s="10"/>
      <c r="B249" s="13"/>
      <c r="C249" s="13"/>
    </row>
    <row r="250" spans="1:3" ht="13" x14ac:dyDescent="0.15">
      <c r="A250" s="10"/>
      <c r="B250" s="13"/>
      <c r="C250" s="13"/>
    </row>
    <row r="251" spans="1:3" ht="13" x14ac:dyDescent="0.15">
      <c r="A251" s="10"/>
      <c r="B251" s="13"/>
      <c r="C251" s="13"/>
    </row>
    <row r="252" spans="1:3" ht="13" x14ac:dyDescent="0.15">
      <c r="A252" s="10"/>
      <c r="B252" s="13"/>
      <c r="C252" s="13"/>
    </row>
    <row r="253" spans="1:3" ht="13" x14ac:dyDescent="0.15">
      <c r="A253" s="10"/>
      <c r="B253" s="13"/>
      <c r="C253" s="13"/>
    </row>
    <row r="254" spans="1:3" ht="13" x14ac:dyDescent="0.15">
      <c r="A254" s="10"/>
      <c r="B254" s="13"/>
      <c r="C254" s="13"/>
    </row>
    <row r="255" spans="1:3" ht="13" x14ac:dyDescent="0.15">
      <c r="A255" s="10"/>
      <c r="B255" s="13"/>
      <c r="C255" s="13"/>
    </row>
    <row r="256" spans="1:3" ht="13" x14ac:dyDescent="0.15">
      <c r="A256" s="10"/>
      <c r="B256" s="13"/>
      <c r="C256" s="13"/>
    </row>
    <row r="257" spans="1:3" ht="13" x14ac:dyDescent="0.15">
      <c r="A257" s="10"/>
      <c r="B257" s="13"/>
      <c r="C257" s="13"/>
    </row>
    <row r="258" spans="1:3" ht="13" x14ac:dyDescent="0.15">
      <c r="A258" s="10"/>
      <c r="B258" s="13"/>
      <c r="C258" s="13"/>
    </row>
    <row r="259" spans="1:3" ht="13" x14ac:dyDescent="0.15">
      <c r="A259" s="10"/>
      <c r="B259" s="13"/>
      <c r="C259" s="13"/>
    </row>
    <row r="260" spans="1:3" ht="13" x14ac:dyDescent="0.15">
      <c r="A260" s="10"/>
      <c r="B260" s="13"/>
      <c r="C260" s="13"/>
    </row>
    <row r="261" spans="1:3" ht="13" x14ac:dyDescent="0.15">
      <c r="A261" s="10"/>
      <c r="B261" s="13"/>
      <c r="C261" s="13"/>
    </row>
    <row r="262" spans="1:3" ht="13" x14ac:dyDescent="0.15">
      <c r="A262" s="10"/>
      <c r="B262" s="13"/>
      <c r="C262" s="13"/>
    </row>
    <row r="263" spans="1:3" ht="13" x14ac:dyDescent="0.15">
      <c r="A263" s="10"/>
      <c r="B263" s="13"/>
      <c r="C263" s="13"/>
    </row>
    <row r="264" spans="1:3" ht="13" x14ac:dyDescent="0.15">
      <c r="A264" s="10"/>
      <c r="B264" s="13"/>
      <c r="C264" s="13"/>
    </row>
    <row r="265" spans="1:3" ht="13" x14ac:dyDescent="0.15">
      <c r="A265" s="10"/>
      <c r="B265" s="13"/>
      <c r="C265" s="13"/>
    </row>
    <row r="266" spans="1:3" ht="13" x14ac:dyDescent="0.15">
      <c r="A266" s="10"/>
      <c r="B266" s="13"/>
      <c r="C266" s="13"/>
    </row>
    <row r="267" spans="1:3" ht="13" x14ac:dyDescent="0.15">
      <c r="A267" s="10"/>
      <c r="B267" s="13"/>
      <c r="C267" s="13"/>
    </row>
    <row r="268" spans="1:3" ht="13" x14ac:dyDescent="0.15">
      <c r="A268" s="10"/>
      <c r="B268" s="13"/>
      <c r="C268" s="13"/>
    </row>
    <row r="269" spans="1:3" ht="13" x14ac:dyDescent="0.15">
      <c r="A269" s="10"/>
      <c r="B269" s="13"/>
      <c r="C269" s="13"/>
    </row>
    <row r="270" spans="1:3" ht="13" x14ac:dyDescent="0.15">
      <c r="A270" s="10"/>
      <c r="B270" s="13"/>
      <c r="C270" s="13"/>
    </row>
    <row r="271" spans="1:3" ht="13" x14ac:dyDescent="0.15">
      <c r="A271" s="10"/>
      <c r="B271" s="13"/>
      <c r="C271" s="13"/>
    </row>
    <row r="272" spans="1:3" ht="13" x14ac:dyDescent="0.15">
      <c r="A272" s="10"/>
      <c r="B272" s="13"/>
      <c r="C272" s="13"/>
    </row>
    <row r="273" spans="1:3" ht="13" x14ac:dyDescent="0.15">
      <c r="A273" s="10"/>
      <c r="B273" s="13"/>
      <c r="C273" s="13"/>
    </row>
    <row r="274" spans="1:3" ht="13" x14ac:dyDescent="0.15">
      <c r="A274" s="10"/>
      <c r="B274" s="13"/>
      <c r="C274" s="13"/>
    </row>
    <row r="275" spans="1:3" ht="13" x14ac:dyDescent="0.15">
      <c r="A275" s="10"/>
      <c r="B275" s="13"/>
      <c r="C275" s="13"/>
    </row>
    <row r="276" spans="1:3" ht="13" x14ac:dyDescent="0.15">
      <c r="A276" s="10"/>
      <c r="B276" s="13"/>
      <c r="C276" s="13"/>
    </row>
    <row r="277" spans="1:3" ht="13" x14ac:dyDescent="0.15">
      <c r="A277" s="10"/>
      <c r="B277" s="13"/>
      <c r="C277" s="13"/>
    </row>
    <row r="278" spans="1:3" ht="13" x14ac:dyDescent="0.15">
      <c r="A278" s="10"/>
      <c r="B278" s="13"/>
      <c r="C278" s="13"/>
    </row>
    <row r="279" spans="1:3" ht="13" x14ac:dyDescent="0.15">
      <c r="A279" s="10"/>
      <c r="B279" s="13"/>
      <c r="C279" s="13"/>
    </row>
    <row r="280" spans="1:3" ht="13" x14ac:dyDescent="0.15">
      <c r="A280" s="10"/>
      <c r="B280" s="13"/>
      <c r="C280" s="13"/>
    </row>
    <row r="281" spans="1:3" ht="13" x14ac:dyDescent="0.15">
      <c r="A281" s="10"/>
      <c r="B281" s="13"/>
      <c r="C281" s="13"/>
    </row>
    <row r="282" spans="1:3" ht="13" x14ac:dyDescent="0.15">
      <c r="A282" s="10"/>
      <c r="B282" s="13"/>
      <c r="C282" s="13"/>
    </row>
    <row r="283" spans="1:3" ht="13" x14ac:dyDescent="0.15">
      <c r="A283" s="10"/>
      <c r="B283" s="13"/>
      <c r="C283" s="13"/>
    </row>
    <row r="284" spans="1:3" ht="13" x14ac:dyDescent="0.15">
      <c r="A284" s="10"/>
      <c r="B284" s="13"/>
      <c r="C284" s="13"/>
    </row>
    <row r="285" spans="1:3" ht="13" x14ac:dyDescent="0.15">
      <c r="A285" s="10"/>
      <c r="B285" s="13"/>
      <c r="C285" s="13"/>
    </row>
    <row r="286" spans="1:3" ht="13" x14ac:dyDescent="0.15">
      <c r="A286" s="10"/>
      <c r="B286" s="13"/>
      <c r="C286" s="13"/>
    </row>
    <row r="287" spans="1:3" ht="13" x14ac:dyDescent="0.15">
      <c r="A287" s="10"/>
      <c r="B287" s="13"/>
      <c r="C287" s="13"/>
    </row>
    <row r="288" spans="1:3" ht="13" x14ac:dyDescent="0.15">
      <c r="A288" s="10"/>
      <c r="B288" s="13"/>
      <c r="C288" s="13"/>
    </row>
    <row r="289" spans="1:3" ht="13" x14ac:dyDescent="0.15">
      <c r="A289" s="10"/>
      <c r="B289" s="13"/>
      <c r="C289" s="13"/>
    </row>
    <row r="290" spans="1:3" ht="13" x14ac:dyDescent="0.15">
      <c r="A290" s="10"/>
      <c r="B290" s="13"/>
      <c r="C290" s="13"/>
    </row>
    <row r="291" spans="1:3" ht="13" x14ac:dyDescent="0.15">
      <c r="A291" s="10"/>
      <c r="B291" s="13"/>
      <c r="C291" s="13"/>
    </row>
    <row r="292" spans="1:3" ht="13" x14ac:dyDescent="0.15">
      <c r="A292" s="10"/>
      <c r="B292" s="13"/>
      <c r="C292" s="13"/>
    </row>
    <row r="293" spans="1:3" ht="13" x14ac:dyDescent="0.15">
      <c r="A293" s="10"/>
      <c r="B293" s="13"/>
      <c r="C293" s="13"/>
    </row>
    <row r="294" spans="1:3" ht="13" x14ac:dyDescent="0.15">
      <c r="A294" s="10"/>
      <c r="B294" s="13"/>
      <c r="C294" s="13"/>
    </row>
    <row r="295" spans="1:3" ht="13" x14ac:dyDescent="0.15">
      <c r="A295" s="10"/>
      <c r="B295" s="13"/>
      <c r="C295" s="13"/>
    </row>
    <row r="296" spans="1:3" ht="13" x14ac:dyDescent="0.15">
      <c r="A296" s="10"/>
      <c r="B296" s="13"/>
      <c r="C296" s="13"/>
    </row>
    <row r="297" spans="1:3" ht="13" x14ac:dyDescent="0.15">
      <c r="A297" s="10"/>
      <c r="B297" s="13"/>
      <c r="C297" s="13"/>
    </row>
    <row r="298" spans="1:3" ht="13" x14ac:dyDescent="0.15">
      <c r="A298" s="10"/>
      <c r="B298" s="13"/>
      <c r="C298" s="13"/>
    </row>
    <row r="299" spans="1:3" ht="13" x14ac:dyDescent="0.15">
      <c r="A299" s="10"/>
      <c r="B299" s="13"/>
      <c r="C299" s="13"/>
    </row>
    <row r="300" spans="1:3" ht="13" x14ac:dyDescent="0.15">
      <c r="A300" s="10"/>
      <c r="B300" s="13"/>
      <c r="C300" s="13"/>
    </row>
    <row r="301" spans="1:3" ht="13" x14ac:dyDescent="0.15">
      <c r="A301" s="10"/>
      <c r="B301" s="13"/>
      <c r="C301" s="13"/>
    </row>
    <row r="302" spans="1:3" ht="13" x14ac:dyDescent="0.15">
      <c r="A302" s="10"/>
      <c r="B302" s="13"/>
      <c r="C302" s="13"/>
    </row>
    <row r="303" spans="1:3" ht="13" x14ac:dyDescent="0.15">
      <c r="A303" s="10"/>
      <c r="B303" s="13"/>
      <c r="C303" s="13"/>
    </row>
    <row r="304" spans="1:3" ht="13" x14ac:dyDescent="0.15">
      <c r="A304" s="10"/>
      <c r="B304" s="13"/>
      <c r="C304" s="13"/>
    </row>
    <row r="305" spans="1:3" ht="13" x14ac:dyDescent="0.15">
      <c r="A305" s="10"/>
      <c r="B305" s="13"/>
      <c r="C305" s="13"/>
    </row>
    <row r="306" spans="1:3" ht="13" x14ac:dyDescent="0.15">
      <c r="A306" s="10"/>
      <c r="B306" s="13"/>
      <c r="C306" s="13"/>
    </row>
    <row r="307" spans="1:3" ht="13" x14ac:dyDescent="0.15">
      <c r="A307" s="10"/>
      <c r="B307" s="13"/>
      <c r="C307" s="13"/>
    </row>
    <row r="308" spans="1:3" ht="13" x14ac:dyDescent="0.15">
      <c r="A308" s="10"/>
      <c r="B308" s="13"/>
      <c r="C308" s="13"/>
    </row>
    <row r="309" spans="1:3" ht="13" x14ac:dyDescent="0.15">
      <c r="A309" s="10"/>
      <c r="B309" s="13"/>
      <c r="C309" s="13"/>
    </row>
    <row r="310" spans="1:3" ht="13" x14ac:dyDescent="0.15">
      <c r="A310" s="10"/>
      <c r="B310" s="13"/>
      <c r="C310" s="13"/>
    </row>
    <row r="311" spans="1:3" ht="13" x14ac:dyDescent="0.15">
      <c r="A311" s="10"/>
      <c r="B311" s="13"/>
      <c r="C311" s="13"/>
    </row>
    <row r="312" spans="1:3" ht="13" x14ac:dyDescent="0.15">
      <c r="A312" s="10"/>
      <c r="B312" s="13"/>
      <c r="C312" s="13"/>
    </row>
    <row r="313" spans="1:3" ht="13" x14ac:dyDescent="0.15">
      <c r="A313" s="10"/>
      <c r="B313" s="13"/>
      <c r="C313" s="13"/>
    </row>
    <row r="314" spans="1:3" ht="13" x14ac:dyDescent="0.15">
      <c r="A314" s="10"/>
      <c r="B314" s="13"/>
      <c r="C314" s="13"/>
    </row>
    <row r="315" spans="1:3" ht="13" x14ac:dyDescent="0.15">
      <c r="A315" s="10"/>
      <c r="B315" s="13"/>
      <c r="C315" s="13"/>
    </row>
    <row r="316" spans="1:3" ht="13" x14ac:dyDescent="0.15">
      <c r="A316" s="10"/>
      <c r="B316" s="13"/>
      <c r="C316" s="13"/>
    </row>
    <row r="317" spans="1:3" ht="13" x14ac:dyDescent="0.15">
      <c r="A317" s="10"/>
      <c r="B317" s="13"/>
      <c r="C317" s="13"/>
    </row>
    <row r="318" spans="1:3" ht="13" x14ac:dyDescent="0.15">
      <c r="A318" s="10"/>
      <c r="B318" s="13"/>
      <c r="C318" s="13"/>
    </row>
    <row r="319" spans="1:3" ht="13" x14ac:dyDescent="0.15">
      <c r="A319" s="10"/>
      <c r="B319" s="13"/>
      <c r="C319" s="13"/>
    </row>
    <row r="320" spans="1:3" ht="13" x14ac:dyDescent="0.15">
      <c r="A320" s="10"/>
      <c r="B320" s="13"/>
      <c r="C320" s="13"/>
    </row>
    <row r="321" spans="1:3" ht="13" x14ac:dyDescent="0.15">
      <c r="A321" s="10"/>
      <c r="B321" s="13"/>
      <c r="C321" s="13"/>
    </row>
    <row r="322" spans="1:3" ht="13" x14ac:dyDescent="0.15">
      <c r="A322" s="10"/>
      <c r="B322" s="13"/>
      <c r="C322" s="13"/>
    </row>
    <row r="323" spans="1:3" ht="13" x14ac:dyDescent="0.15">
      <c r="A323" s="10"/>
      <c r="B323" s="13"/>
      <c r="C323" s="13"/>
    </row>
    <row r="324" spans="1:3" ht="13" x14ac:dyDescent="0.15">
      <c r="A324" s="10"/>
      <c r="B324" s="13"/>
      <c r="C324" s="13"/>
    </row>
    <row r="325" spans="1:3" ht="13" x14ac:dyDescent="0.15">
      <c r="A325" s="10"/>
      <c r="B325" s="13"/>
      <c r="C325" s="13"/>
    </row>
    <row r="326" spans="1:3" ht="13" x14ac:dyDescent="0.15">
      <c r="A326" s="10"/>
      <c r="B326" s="13"/>
      <c r="C326" s="13"/>
    </row>
    <row r="327" spans="1:3" ht="13" x14ac:dyDescent="0.15">
      <c r="A327" s="10"/>
      <c r="B327" s="13"/>
      <c r="C327" s="13"/>
    </row>
    <row r="328" spans="1:3" ht="13" x14ac:dyDescent="0.15">
      <c r="A328" s="10"/>
      <c r="B328" s="13"/>
      <c r="C328" s="13"/>
    </row>
    <row r="329" spans="1:3" ht="13" x14ac:dyDescent="0.15">
      <c r="A329" s="10"/>
      <c r="B329" s="13"/>
      <c r="C329" s="13"/>
    </row>
    <row r="330" spans="1:3" ht="13" x14ac:dyDescent="0.15">
      <c r="A330" s="10"/>
      <c r="B330" s="13"/>
      <c r="C330" s="13"/>
    </row>
    <row r="331" spans="1:3" ht="13" x14ac:dyDescent="0.15">
      <c r="A331" s="10"/>
      <c r="B331" s="13"/>
      <c r="C331" s="13"/>
    </row>
    <row r="332" spans="1:3" ht="13" x14ac:dyDescent="0.15">
      <c r="A332" s="10"/>
      <c r="B332" s="13"/>
      <c r="C332" s="13"/>
    </row>
    <row r="333" spans="1:3" ht="13" x14ac:dyDescent="0.15">
      <c r="A333" s="10"/>
      <c r="B333" s="13"/>
      <c r="C333" s="13"/>
    </row>
    <row r="334" spans="1:3" ht="13" x14ac:dyDescent="0.15">
      <c r="A334" s="10"/>
      <c r="B334" s="13"/>
      <c r="C334" s="13"/>
    </row>
    <row r="335" spans="1:3" ht="13" x14ac:dyDescent="0.15">
      <c r="A335" s="10"/>
      <c r="B335" s="13"/>
      <c r="C335" s="13"/>
    </row>
    <row r="336" spans="1:3" ht="13" x14ac:dyDescent="0.15">
      <c r="A336" s="10"/>
      <c r="B336" s="13"/>
      <c r="C336" s="13"/>
    </row>
    <row r="337" spans="1:3" ht="13" x14ac:dyDescent="0.15">
      <c r="A337" s="10"/>
      <c r="B337" s="13"/>
      <c r="C337" s="13"/>
    </row>
    <row r="338" spans="1:3" ht="13" x14ac:dyDescent="0.15">
      <c r="A338" s="10"/>
      <c r="B338" s="13"/>
      <c r="C338" s="13"/>
    </row>
    <row r="339" spans="1:3" ht="13" x14ac:dyDescent="0.15">
      <c r="A339" s="10"/>
      <c r="B339" s="13"/>
      <c r="C339" s="13"/>
    </row>
    <row r="340" spans="1:3" ht="13" x14ac:dyDescent="0.15">
      <c r="A340" s="10"/>
      <c r="B340" s="13"/>
      <c r="C340" s="13"/>
    </row>
    <row r="341" spans="1:3" ht="13" x14ac:dyDescent="0.15">
      <c r="A341" s="10"/>
      <c r="B341" s="13"/>
      <c r="C341" s="13"/>
    </row>
    <row r="342" spans="1:3" ht="13" x14ac:dyDescent="0.15">
      <c r="A342" s="10"/>
      <c r="B342" s="13"/>
      <c r="C342" s="13"/>
    </row>
    <row r="343" spans="1:3" ht="13" x14ac:dyDescent="0.15">
      <c r="A343" s="10"/>
      <c r="B343" s="13"/>
      <c r="C343" s="13"/>
    </row>
    <row r="344" spans="1:3" ht="13" x14ac:dyDescent="0.15">
      <c r="A344" s="10"/>
      <c r="B344" s="13"/>
      <c r="C344" s="13"/>
    </row>
    <row r="345" spans="1:3" ht="13" x14ac:dyDescent="0.15">
      <c r="A345" s="10"/>
      <c r="B345" s="13"/>
      <c r="C345" s="13"/>
    </row>
    <row r="346" spans="1:3" ht="13" x14ac:dyDescent="0.15">
      <c r="A346" s="10"/>
      <c r="B346" s="13"/>
      <c r="C346" s="13"/>
    </row>
    <row r="347" spans="1:3" ht="13" x14ac:dyDescent="0.15">
      <c r="A347" s="10"/>
      <c r="B347" s="13"/>
      <c r="C347" s="13"/>
    </row>
    <row r="348" spans="1:3" ht="13" x14ac:dyDescent="0.15">
      <c r="A348" s="10"/>
      <c r="B348" s="13"/>
      <c r="C348" s="13"/>
    </row>
    <row r="349" spans="1:3" ht="13" x14ac:dyDescent="0.15">
      <c r="A349" s="10"/>
      <c r="B349" s="13"/>
      <c r="C349" s="13"/>
    </row>
    <row r="350" spans="1:3" ht="13" x14ac:dyDescent="0.15">
      <c r="A350" s="10"/>
      <c r="B350" s="13"/>
      <c r="C350" s="13"/>
    </row>
    <row r="351" spans="1:3" ht="13" x14ac:dyDescent="0.15">
      <c r="A351" s="10"/>
      <c r="B351" s="13"/>
      <c r="C351" s="13"/>
    </row>
    <row r="352" spans="1:3" ht="13" x14ac:dyDescent="0.15">
      <c r="A352" s="10"/>
      <c r="B352" s="13"/>
      <c r="C352" s="13"/>
    </row>
    <row r="353" spans="1:3" ht="13" x14ac:dyDescent="0.15">
      <c r="A353" s="10"/>
      <c r="B353" s="13"/>
      <c r="C353" s="13"/>
    </row>
    <row r="354" spans="1:3" ht="13" x14ac:dyDescent="0.15">
      <c r="A354" s="10"/>
      <c r="B354" s="13"/>
      <c r="C354" s="13"/>
    </row>
    <row r="355" spans="1:3" ht="13" x14ac:dyDescent="0.15">
      <c r="A355" s="10"/>
      <c r="B355" s="13"/>
      <c r="C355" s="13"/>
    </row>
    <row r="356" spans="1:3" ht="13" x14ac:dyDescent="0.15">
      <c r="A356" s="10"/>
      <c r="B356" s="13"/>
      <c r="C356" s="13"/>
    </row>
    <row r="357" spans="1:3" ht="13" x14ac:dyDescent="0.15">
      <c r="A357" s="10"/>
      <c r="B357" s="13"/>
      <c r="C357" s="13"/>
    </row>
    <row r="358" spans="1:3" ht="13" x14ac:dyDescent="0.15">
      <c r="A358" s="10"/>
      <c r="B358" s="13"/>
      <c r="C358" s="13"/>
    </row>
    <row r="359" spans="1:3" ht="13" x14ac:dyDescent="0.15">
      <c r="A359" s="10"/>
      <c r="B359" s="13"/>
      <c r="C359" s="13"/>
    </row>
    <row r="360" spans="1:3" ht="13" x14ac:dyDescent="0.15">
      <c r="A360" s="10"/>
      <c r="B360" s="13"/>
      <c r="C360" s="13"/>
    </row>
    <row r="361" spans="1:3" ht="13" x14ac:dyDescent="0.15">
      <c r="A361" s="10"/>
      <c r="B361" s="13"/>
      <c r="C361" s="13"/>
    </row>
    <row r="362" spans="1:3" ht="13" x14ac:dyDescent="0.15">
      <c r="A362" s="10"/>
      <c r="B362" s="13"/>
      <c r="C362" s="13"/>
    </row>
    <row r="363" spans="1:3" ht="13" x14ac:dyDescent="0.15">
      <c r="A363" s="10"/>
      <c r="B363" s="13"/>
      <c r="C363" s="13"/>
    </row>
    <row r="364" spans="1:3" ht="13" x14ac:dyDescent="0.15">
      <c r="A364" s="10"/>
      <c r="B364" s="13"/>
      <c r="C364" s="13"/>
    </row>
    <row r="365" spans="1:3" ht="13" x14ac:dyDescent="0.15">
      <c r="A365" s="10"/>
      <c r="B365" s="13"/>
      <c r="C365" s="13"/>
    </row>
    <row r="366" spans="1:3" ht="13" x14ac:dyDescent="0.15">
      <c r="A366" s="10"/>
      <c r="B366" s="13"/>
      <c r="C366" s="13"/>
    </row>
    <row r="367" spans="1:3" ht="13" x14ac:dyDescent="0.15">
      <c r="A367" s="10"/>
      <c r="B367" s="13"/>
      <c r="C367" s="13"/>
    </row>
    <row r="368" spans="1:3" ht="13" x14ac:dyDescent="0.15">
      <c r="A368" s="10"/>
      <c r="B368" s="13"/>
      <c r="C368" s="13"/>
    </row>
    <row r="369" spans="1:3" ht="13" x14ac:dyDescent="0.15">
      <c r="A369" s="10"/>
      <c r="B369" s="13"/>
      <c r="C369" s="13"/>
    </row>
    <row r="370" spans="1:3" ht="13" x14ac:dyDescent="0.15">
      <c r="A370" s="10"/>
      <c r="B370" s="13"/>
      <c r="C370" s="13"/>
    </row>
    <row r="371" spans="1:3" ht="13" x14ac:dyDescent="0.15">
      <c r="A371" s="10"/>
      <c r="B371" s="13"/>
      <c r="C371" s="13"/>
    </row>
    <row r="372" spans="1:3" ht="13" x14ac:dyDescent="0.15">
      <c r="A372" s="10"/>
      <c r="B372" s="13"/>
      <c r="C372" s="13"/>
    </row>
    <row r="373" spans="1:3" ht="13" x14ac:dyDescent="0.15">
      <c r="A373" s="10"/>
      <c r="B373" s="13"/>
      <c r="C373" s="13"/>
    </row>
    <row r="374" spans="1:3" ht="13" x14ac:dyDescent="0.15">
      <c r="A374" s="10"/>
      <c r="B374" s="13"/>
      <c r="C374" s="13"/>
    </row>
    <row r="375" spans="1:3" ht="13" x14ac:dyDescent="0.15">
      <c r="A375" s="10"/>
      <c r="B375" s="13"/>
      <c r="C375" s="13"/>
    </row>
    <row r="376" spans="1:3" ht="13" x14ac:dyDescent="0.15">
      <c r="A376" s="10"/>
      <c r="B376" s="13"/>
      <c r="C376" s="13"/>
    </row>
    <row r="377" spans="1:3" ht="13" x14ac:dyDescent="0.15">
      <c r="A377" s="10"/>
      <c r="B377" s="13"/>
      <c r="C377" s="13"/>
    </row>
    <row r="378" spans="1:3" ht="13" x14ac:dyDescent="0.15">
      <c r="A378" s="10"/>
      <c r="B378" s="13"/>
      <c r="C378" s="13"/>
    </row>
    <row r="379" spans="1:3" ht="13" x14ac:dyDescent="0.15">
      <c r="A379" s="10"/>
      <c r="B379" s="13"/>
      <c r="C379" s="13"/>
    </row>
    <row r="380" spans="1:3" ht="13" x14ac:dyDescent="0.15">
      <c r="A380" s="10"/>
      <c r="B380" s="13"/>
      <c r="C380" s="13"/>
    </row>
    <row r="381" spans="1:3" ht="13" x14ac:dyDescent="0.15">
      <c r="A381" s="10"/>
      <c r="B381" s="13"/>
      <c r="C381" s="13"/>
    </row>
    <row r="382" spans="1:3" ht="13" x14ac:dyDescent="0.15">
      <c r="A382" s="10"/>
      <c r="B382" s="13"/>
      <c r="C382" s="13"/>
    </row>
    <row r="383" spans="1:3" ht="13" x14ac:dyDescent="0.15">
      <c r="A383" s="10"/>
      <c r="B383" s="13"/>
      <c r="C383" s="13"/>
    </row>
    <row r="384" spans="1:3" ht="13" x14ac:dyDescent="0.15">
      <c r="A384" s="10"/>
      <c r="B384" s="13"/>
      <c r="C384" s="13"/>
    </row>
    <row r="385" spans="1:3" ht="13" x14ac:dyDescent="0.15">
      <c r="A385" s="10"/>
      <c r="B385" s="13"/>
      <c r="C385" s="13"/>
    </row>
    <row r="386" spans="1:3" ht="13" x14ac:dyDescent="0.15">
      <c r="A386" s="10"/>
      <c r="B386" s="13"/>
      <c r="C386" s="13"/>
    </row>
    <row r="387" spans="1:3" ht="13" x14ac:dyDescent="0.15">
      <c r="A387" s="10"/>
      <c r="B387" s="13"/>
      <c r="C387" s="13"/>
    </row>
    <row r="388" spans="1:3" ht="13" x14ac:dyDescent="0.15">
      <c r="A388" s="10"/>
      <c r="B388" s="13"/>
      <c r="C388" s="13"/>
    </row>
    <row r="389" spans="1:3" ht="13" x14ac:dyDescent="0.15">
      <c r="A389" s="10"/>
      <c r="B389" s="13"/>
      <c r="C389" s="13"/>
    </row>
    <row r="390" spans="1:3" ht="13" x14ac:dyDescent="0.15">
      <c r="A390" s="10"/>
      <c r="B390" s="13"/>
      <c r="C390" s="13"/>
    </row>
    <row r="391" spans="1:3" ht="13" x14ac:dyDescent="0.15">
      <c r="A391" s="10"/>
      <c r="B391" s="13"/>
      <c r="C391" s="13"/>
    </row>
    <row r="392" spans="1:3" ht="13" x14ac:dyDescent="0.15">
      <c r="A392" s="10"/>
      <c r="B392" s="13"/>
      <c r="C392" s="13"/>
    </row>
    <row r="393" spans="1:3" ht="13" x14ac:dyDescent="0.15">
      <c r="A393" s="10"/>
      <c r="B393" s="13"/>
      <c r="C393" s="13"/>
    </row>
    <row r="394" spans="1:3" ht="13" x14ac:dyDescent="0.15">
      <c r="A394" s="10"/>
      <c r="B394" s="13"/>
      <c r="C394" s="13"/>
    </row>
    <row r="395" spans="1:3" ht="13" x14ac:dyDescent="0.15">
      <c r="A395" s="10"/>
      <c r="B395" s="13"/>
      <c r="C395" s="13"/>
    </row>
    <row r="396" spans="1:3" ht="13" x14ac:dyDescent="0.15">
      <c r="A396" s="10"/>
      <c r="B396" s="13"/>
      <c r="C396" s="13"/>
    </row>
    <row r="397" spans="1:3" ht="13" x14ac:dyDescent="0.15">
      <c r="A397" s="10"/>
      <c r="B397" s="13"/>
      <c r="C397" s="13"/>
    </row>
    <row r="398" spans="1:3" ht="13" x14ac:dyDescent="0.15">
      <c r="A398" s="10"/>
      <c r="B398" s="13"/>
      <c r="C398" s="13"/>
    </row>
    <row r="399" spans="1:3" ht="13" x14ac:dyDescent="0.15">
      <c r="A399" s="10"/>
      <c r="B399" s="13"/>
      <c r="C399" s="13"/>
    </row>
    <row r="400" spans="1:3" ht="13" x14ac:dyDescent="0.15">
      <c r="A400" s="10"/>
      <c r="B400" s="13"/>
      <c r="C400" s="13"/>
    </row>
    <row r="401" spans="1:3" ht="13" x14ac:dyDescent="0.15">
      <c r="A401" s="10"/>
      <c r="B401" s="13"/>
      <c r="C401" s="13"/>
    </row>
    <row r="402" spans="1:3" ht="13" x14ac:dyDescent="0.15">
      <c r="A402" s="10"/>
      <c r="B402" s="13"/>
      <c r="C402" s="13"/>
    </row>
    <row r="403" spans="1:3" ht="13" x14ac:dyDescent="0.15">
      <c r="A403" s="10"/>
      <c r="B403" s="13"/>
      <c r="C403" s="13"/>
    </row>
    <row r="404" spans="1:3" ht="13" x14ac:dyDescent="0.15">
      <c r="A404" s="10"/>
      <c r="B404" s="13"/>
      <c r="C404" s="13"/>
    </row>
    <row r="405" spans="1:3" ht="13" x14ac:dyDescent="0.15">
      <c r="A405" s="10"/>
      <c r="B405" s="13"/>
      <c r="C405" s="13"/>
    </row>
    <row r="406" spans="1:3" ht="13" x14ac:dyDescent="0.15">
      <c r="A406" s="10"/>
      <c r="B406" s="13"/>
      <c r="C406" s="13"/>
    </row>
    <row r="407" spans="1:3" ht="13" x14ac:dyDescent="0.15">
      <c r="A407" s="10"/>
      <c r="B407" s="13"/>
      <c r="C407" s="13"/>
    </row>
    <row r="408" spans="1:3" ht="13" x14ac:dyDescent="0.15">
      <c r="A408" s="10"/>
      <c r="B408" s="13"/>
      <c r="C408" s="13"/>
    </row>
    <row r="409" spans="1:3" ht="13" x14ac:dyDescent="0.15">
      <c r="A409" s="10"/>
      <c r="B409" s="13"/>
      <c r="C409" s="13"/>
    </row>
    <row r="410" spans="1:3" ht="13" x14ac:dyDescent="0.15">
      <c r="A410" s="10"/>
      <c r="B410" s="13"/>
      <c r="C410" s="13"/>
    </row>
    <row r="411" spans="1:3" ht="13" x14ac:dyDescent="0.15">
      <c r="A411" s="10"/>
      <c r="B411" s="13"/>
      <c r="C411" s="13"/>
    </row>
    <row r="412" spans="1:3" ht="13" x14ac:dyDescent="0.15">
      <c r="A412" s="10"/>
      <c r="B412" s="13"/>
      <c r="C412" s="13"/>
    </row>
    <row r="413" spans="1:3" ht="13" x14ac:dyDescent="0.15">
      <c r="A413" s="10"/>
      <c r="B413" s="13"/>
      <c r="C413" s="13"/>
    </row>
    <row r="414" spans="1:3" ht="13" x14ac:dyDescent="0.15">
      <c r="A414" s="10"/>
      <c r="B414" s="13"/>
      <c r="C414" s="13"/>
    </row>
    <row r="415" spans="1:3" ht="13" x14ac:dyDescent="0.15">
      <c r="A415" s="10"/>
      <c r="B415" s="13"/>
      <c r="C415" s="13"/>
    </row>
    <row r="416" spans="1:3" ht="13" x14ac:dyDescent="0.15">
      <c r="A416" s="10"/>
      <c r="B416" s="13"/>
      <c r="C416" s="13"/>
    </row>
    <row r="417" spans="1:3" ht="13" x14ac:dyDescent="0.15">
      <c r="A417" s="10"/>
      <c r="B417" s="13"/>
      <c r="C417" s="13"/>
    </row>
    <row r="418" spans="1:3" ht="13" x14ac:dyDescent="0.15">
      <c r="A418" s="10"/>
      <c r="B418" s="13"/>
      <c r="C418" s="13"/>
    </row>
    <row r="419" spans="1:3" ht="13" x14ac:dyDescent="0.15">
      <c r="A419" s="10"/>
      <c r="B419" s="13"/>
      <c r="C419" s="13"/>
    </row>
    <row r="420" spans="1:3" ht="13" x14ac:dyDescent="0.15">
      <c r="A420" s="10"/>
      <c r="B420" s="13"/>
      <c r="C420" s="13"/>
    </row>
    <row r="421" spans="1:3" ht="13" x14ac:dyDescent="0.15">
      <c r="A421" s="10"/>
      <c r="B421" s="13"/>
      <c r="C421" s="13"/>
    </row>
    <row r="422" spans="1:3" ht="13" x14ac:dyDescent="0.15">
      <c r="A422" s="10"/>
      <c r="B422" s="13"/>
      <c r="C422" s="13"/>
    </row>
    <row r="423" spans="1:3" ht="13" x14ac:dyDescent="0.15">
      <c r="A423" s="10"/>
      <c r="B423" s="13"/>
      <c r="C423" s="13"/>
    </row>
    <row r="424" spans="1:3" ht="13" x14ac:dyDescent="0.15">
      <c r="A424" s="10"/>
      <c r="B424" s="13"/>
      <c r="C424" s="13"/>
    </row>
    <row r="425" spans="1:3" ht="13" x14ac:dyDescent="0.15">
      <c r="A425" s="10"/>
      <c r="B425" s="13"/>
      <c r="C425" s="13"/>
    </row>
    <row r="426" spans="1:3" ht="13" x14ac:dyDescent="0.15">
      <c r="A426" s="10"/>
      <c r="B426" s="13"/>
      <c r="C426" s="13"/>
    </row>
    <row r="427" spans="1:3" ht="13" x14ac:dyDescent="0.15">
      <c r="A427" s="10"/>
      <c r="B427" s="13"/>
      <c r="C427" s="13"/>
    </row>
    <row r="428" spans="1:3" ht="13" x14ac:dyDescent="0.15">
      <c r="A428" s="10"/>
      <c r="B428" s="13"/>
      <c r="C428" s="13"/>
    </row>
    <row r="429" spans="1:3" ht="13" x14ac:dyDescent="0.15">
      <c r="A429" s="10"/>
      <c r="B429" s="13"/>
      <c r="C429" s="13"/>
    </row>
    <row r="430" spans="1:3" ht="13" x14ac:dyDescent="0.15">
      <c r="A430" s="10"/>
      <c r="B430" s="13"/>
      <c r="C430" s="13"/>
    </row>
    <row r="431" spans="1:3" ht="13" x14ac:dyDescent="0.15">
      <c r="A431" s="10"/>
      <c r="B431" s="13"/>
      <c r="C431" s="13"/>
    </row>
    <row r="432" spans="1:3" ht="13" x14ac:dyDescent="0.15">
      <c r="A432" s="10"/>
      <c r="B432" s="13"/>
      <c r="C432" s="13"/>
    </row>
    <row r="433" spans="1:3" ht="13" x14ac:dyDescent="0.15">
      <c r="A433" s="10"/>
      <c r="B433" s="13"/>
      <c r="C433" s="13"/>
    </row>
    <row r="434" spans="1:3" ht="13" x14ac:dyDescent="0.15">
      <c r="A434" s="10"/>
      <c r="B434" s="13"/>
      <c r="C434" s="13"/>
    </row>
    <row r="435" spans="1:3" ht="13" x14ac:dyDescent="0.15">
      <c r="A435" s="10"/>
      <c r="B435" s="13"/>
      <c r="C435" s="13"/>
    </row>
    <row r="436" spans="1:3" ht="13" x14ac:dyDescent="0.15">
      <c r="A436" s="10"/>
      <c r="B436" s="13"/>
      <c r="C436" s="13"/>
    </row>
    <row r="437" spans="1:3" ht="13" x14ac:dyDescent="0.15">
      <c r="A437" s="10"/>
      <c r="B437" s="13"/>
      <c r="C437" s="13"/>
    </row>
    <row r="438" spans="1:3" ht="13" x14ac:dyDescent="0.15">
      <c r="A438" s="10"/>
      <c r="B438" s="13"/>
      <c r="C438" s="13"/>
    </row>
    <row r="439" spans="1:3" ht="13" x14ac:dyDescent="0.15">
      <c r="A439" s="10"/>
      <c r="B439" s="13"/>
      <c r="C439" s="13"/>
    </row>
    <row r="440" spans="1:3" ht="13" x14ac:dyDescent="0.15">
      <c r="A440" s="10"/>
      <c r="B440" s="13"/>
      <c r="C440" s="13"/>
    </row>
    <row r="441" spans="1:3" ht="13" x14ac:dyDescent="0.15">
      <c r="A441" s="10"/>
      <c r="B441" s="13"/>
      <c r="C441" s="13"/>
    </row>
    <row r="442" spans="1:3" ht="13" x14ac:dyDescent="0.15">
      <c r="A442" s="10"/>
      <c r="B442" s="13"/>
      <c r="C442" s="13"/>
    </row>
    <row r="443" spans="1:3" ht="13" x14ac:dyDescent="0.15">
      <c r="A443" s="10"/>
      <c r="B443" s="13"/>
      <c r="C443" s="13"/>
    </row>
    <row r="444" spans="1:3" ht="13" x14ac:dyDescent="0.15">
      <c r="A444" s="10"/>
      <c r="B444" s="13"/>
      <c r="C444" s="13"/>
    </row>
    <row r="445" spans="1:3" ht="13" x14ac:dyDescent="0.15">
      <c r="A445" s="10"/>
      <c r="B445" s="13"/>
      <c r="C445" s="13"/>
    </row>
    <row r="446" spans="1:3" ht="13" x14ac:dyDescent="0.15">
      <c r="A446" s="10"/>
      <c r="B446" s="13"/>
      <c r="C446" s="13"/>
    </row>
    <row r="447" spans="1:3" ht="13" x14ac:dyDescent="0.15">
      <c r="A447" s="10"/>
      <c r="B447" s="13"/>
      <c r="C447" s="13"/>
    </row>
    <row r="448" spans="1:3" ht="13" x14ac:dyDescent="0.15">
      <c r="A448" s="10"/>
      <c r="B448" s="13"/>
      <c r="C448" s="13"/>
    </row>
    <row r="449" spans="1:3" ht="13" x14ac:dyDescent="0.15">
      <c r="A449" s="10"/>
      <c r="B449" s="13"/>
      <c r="C449" s="13"/>
    </row>
    <row r="450" spans="1:3" ht="13" x14ac:dyDescent="0.15">
      <c r="A450" s="10"/>
      <c r="B450" s="13"/>
      <c r="C450" s="13"/>
    </row>
    <row r="451" spans="1:3" ht="13" x14ac:dyDescent="0.15">
      <c r="A451" s="10"/>
      <c r="B451" s="13"/>
      <c r="C451" s="13"/>
    </row>
    <row r="452" spans="1:3" ht="13" x14ac:dyDescent="0.15">
      <c r="A452" s="10"/>
      <c r="B452" s="13"/>
      <c r="C452" s="13"/>
    </row>
    <row r="453" spans="1:3" ht="13" x14ac:dyDescent="0.15">
      <c r="A453" s="10"/>
      <c r="B453" s="13"/>
      <c r="C453" s="13"/>
    </row>
    <row r="454" spans="1:3" ht="13" x14ac:dyDescent="0.15">
      <c r="A454" s="10"/>
      <c r="B454" s="13"/>
      <c r="C454" s="13"/>
    </row>
    <row r="455" spans="1:3" ht="13" x14ac:dyDescent="0.15">
      <c r="A455" s="10"/>
      <c r="B455" s="13"/>
      <c r="C455" s="13"/>
    </row>
    <row r="456" spans="1:3" ht="13" x14ac:dyDescent="0.15">
      <c r="A456" s="10"/>
      <c r="B456" s="13"/>
      <c r="C456" s="13"/>
    </row>
    <row r="457" spans="1:3" ht="13" x14ac:dyDescent="0.15">
      <c r="A457" s="10"/>
      <c r="B457" s="13"/>
      <c r="C457" s="13"/>
    </row>
    <row r="458" spans="1:3" ht="13" x14ac:dyDescent="0.15">
      <c r="A458" s="10"/>
      <c r="B458" s="13"/>
      <c r="C458" s="13"/>
    </row>
    <row r="459" spans="1:3" ht="13" x14ac:dyDescent="0.15">
      <c r="A459" s="10"/>
      <c r="B459" s="13"/>
      <c r="C459" s="13"/>
    </row>
    <row r="460" spans="1:3" ht="13" x14ac:dyDescent="0.15">
      <c r="A460" s="10"/>
      <c r="B460" s="13"/>
      <c r="C460" s="13"/>
    </row>
    <row r="461" spans="1:3" ht="13" x14ac:dyDescent="0.15">
      <c r="A461" s="10"/>
      <c r="B461" s="13"/>
      <c r="C461" s="13"/>
    </row>
    <row r="462" spans="1:3" ht="13" x14ac:dyDescent="0.15">
      <c r="A462" s="10"/>
      <c r="B462" s="13"/>
      <c r="C462" s="13"/>
    </row>
    <row r="463" spans="1:3" ht="13" x14ac:dyDescent="0.15">
      <c r="A463" s="10"/>
      <c r="B463" s="13"/>
      <c r="C463" s="13"/>
    </row>
    <row r="464" spans="1:3" ht="13" x14ac:dyDescent="0.15">
      <c r="A464" s="10"/>
      <c r="B464" s="13"/>
      <c r="C464" s="13"/>
    </row>
    <row r="465" spans="1:3" ht="13" x14ac:dyDescent="0.15">
      <c r="A465" s="10"/>
      <c r="B465" s="13"/>
      <c r="C465" s="13"/>
    </row>
    <row r="466" spans="1:3" ht="13" x14ac:dyDescent="0.15">
      <c r="A466" s="10"/>
      <c r="B466" s="13"/>
      <c r="C466" s="13"/>
    </row>
    <row r="467" spans="1:3" ht="13" x14ac:dyDescent="0.15">
      <c r="A467" s="10"/>
      <c r="B467" s="13"/>
      <c r="C467" s="13"/>
    </row>
    <row r="468" spans="1:3" ht="13" x14ac:dyDescent="0.15">
      <c r="A468" s="10"/>
      <c r="B468" s="13"/>
      <c r="C468" s="13"/>
    </row>
    <row r="469" spans="1:3" ht="13" x14ac:dyDescent="0.15">
      <c r="A469" s="10"/>
      <c r="B469" s="13"/>
      <c r="C469" s="13"/>
    </row>
    <row r="470" spans="1:3" ht="13" x14ac:dyDescent="0.15">
      <c r="A470" s="10"/>
      <c r="B470" s="13"/>
      <c r="C470" s="13"/>
    </row>
    <row r="471" spans="1:3" ht="13" x14ac:dyDescent="0.15">
      <c r="A471" s="10"/>
      <c r="B471" s="13"/>
      <c r="C471" s="13"/>
    </row>
    <row r="472" spans="1:3" ht="13" x14ac:dyDescent="0.15">
      <c r="A472" s="10"/>
      <c r="B472" s="13"/>
      <c r="C472" s="13"/>
    </row>
    <row r="473" spans="1:3" ht="13" x14ac:dyDescent="0.15">
      <c r="A473" s="10"/>
      <c r="B473" s="13"/>
      <c r="C473" s="13"/>
    </row>
    <row r="474" spans="1:3" ht="13" x14ac:dyDescent="0.15">
      <c r="A474" s="10"/>
      <c r="B474" s="13"/>
      <c r="C474" s="13"/>
    </row>
    <row r="475" spans="1:3" ht="13" x14ac:dyDescent="0.15">
      <c r="A475" s="10"/>
      <c r="B475" s="13"/>
      <c r="C475" s="13"/>
    </row>
    <row r="476" spans="1:3" ht="13" x14ac:dyDescent="0.15">
      <c r="A476" s="10"/>
      <c r="B476" s="13"/>
      <c r="C476" s="13"/>
    </row>
    <row r="477" spans="1:3" ht="13" x14ac:dyDescent="0.15">
      <c r="A477" s="10"/>
      <c r="B477" s="13"/>
      <c r="C477" s="13"/>
    </row>
    <row r="478" spans="1:3" ht="13" x14ac:dyDescent="0.15">
      <c r="A478" s="10"/>
      <c r="B478" s="13"/>
      <c r="C478" s="13"/>
    </row>
    <row r="479" spans="1:3" ht="13" x14ac:dyDescent="0.15">
      <c r="A479" s="10"/>
      <c r="B479" s="13"/>
      <c r="C479" s="13"/>
    </row>
    <row r="480" spans="1:3" ht="13" x14ac:dyDescent="0.15">
      <c r="A480" s="10"/>
      <c r="B480" s="13"/>
      <c r="C480" s="13"/>
    </row>
    <row r="481" spans="1:3" ht="13" x14ac:dyDescent="0.15">
      <c r="A481" s="10"/>
      <c r="B481" s="13"/>
      <c r="C481" s="13"/>
    </row>
    <row r="482" spans="1:3" ht="13" x14ac:dyDescent="0.15">
      <c r="A482" s="10"/>
      <c r="B482" s="13"/>
      <c r="C482" s="13"/>
    </row>
    <row r="483" spans="1:3" ht="13" x14ac:dyDescent="0.15">
      <c r="A483" s="10"/>
      <c r="B483" s="13"/>
      <c r="C483" s="13"/>
    </row>
    <row r="484" spans="1:3" ht="13" x14ac:dyDescent="0.15">
      <c r="A484" s="10"/>
      <c r="B484" s="13"/>
      <c r="C484" s="13"/>
    </row>
    <row r="485" spans="1:3" ht="13" x14ac:dyDescent="0.15">
      <c r="A485" s="10"/>
      <c r="B485" s="13"/>
      <c r="C485" s="13"/>
    </row>
    <row r="486" spans="1:3" ht="13" x14ac:dyDescent="0.15">
      <c r="A486" s="10"/>
      <c r="B486" s="13"/>
      <c r="C486" s="13"/>
    </row>
    <row r="487" spans="1:3" ht="13" x14ac:dyDescent="0.15">
      <c r="A487" s="10"/>
      <c r="B487" s="13"/>
      <c r="C487" s="13"/>
    </row>
    <row r="488" spans="1:3" ht="13" x14ac:dyDescent="0.15">
      <c r="A488" s="10"/>
      <c r="B488" s="13"/>
      <c r="C488" s="13"/>
    </row>
    <row r="489" spans="1:3" ht="13" x14ac:dyDescent="0.15">
      <c r="A489" s="10"/>
      <c r="B489" s="13"/>
      <c r="C489" s="13"/>
    </row>
    <row r="490" spans="1:3" ht="13" x14ac:dyDescent="0.15">
      <c r="A490" s="10"/>
      <c r="B490" s="13"/>
      <c r="C490" s="13"/>
    </row>
    <row r="491" spans="1:3" ht="13" x14ac:dyDescent="0.15">
      <c r="A491" s="10"/>
      <c r="B491" s="13"/>
      <c r="C491" s="13"/>
    </row>
    <row r="492" spans="1:3" ht="13" x14ac:dyDescent="0.15">
      <c r="A492" s="10"/>
      <c r="B492" s="13"/>
      <c r="C492" s="13"/>
    </row>
    <row r="493" spans="1:3" ht="13" x14ac:dyDescent="0.15">
      <c r="A493" s="10"/>
      <c r="B493" s="13"/>
      <c r="C493" s="13"/>
    </row>
    <row r="494" spans="1:3" ht="13" x14ac:dyDescent="0.15">
      <c r="A494" s="10"/>
      <c r="B494" s="13"/>
      <c r="C494" s="13"/>
    </row>
    <row r="495" spans="1:3" ht="13" x14ac:dyDescent="0.15">
      <c r="A495" s="10"/>
      <c r="B495" s="13"/>
      <c r="C495" s="13"/>
    </row>
    <row r="496" spans="1:3" ht="13" x14ac:dyDescent="0.15">
      <c r="A496" s="10"/>
      <c r="B496" s="13"/>
      <c r="C496" s="13"/>
    </row>
    <row r="497" spans="1:3" ht="13" x14ac:dyDescent="0.15">
      <c r="A497" s="10"/>
      <c r="B497" s="13"/>
      <c r="C497" s="13"/>
    </row>
    <row r="498" spans="1:3" ht="13" x14ac:dyDescent="0.15">
      <c r="A498" s="10"/>
      <c r="B498" s="13"/>
      <c r="C498" s="13"/>
    </row>
    <row r="499" spans="1:3" ht="13" x14ac:dyDescent="0.15">
      <c r="A499" s="10"/>
      <c r="B499" s="13"/>
      <c r="C499" s="13"/>
    </row>
    <row r="500" spans="1:3" ht="13" x14ac:dyDescent="0.15">
      <c r="A500" s="10"/>
      <c r="B500" s="13"/>
      <c r="C500" s="13"/>
    </row>
    <row r="501" spans="1:3" ht="13" x14ac:dyDescent="0.15">
      <c r="A501" s="10"/>
      <c r="B501" s="13"/>
      <c r="C501" s="13"/>
    </row>
    <row r="502" spans="1:3" ht="13" x14ac:dyDescent="0.15">
      <c r="A502" s="10"/>
      <c r="B502" s="13"/>
      <c r="C502" s="13"/>
    </row>
    <row r="503" spans="1:3" ht="13" x14ac:dyDescent="0.15">
      <c r="A503" s="10"/>
      <c r="B503" s="13"/>
      <c r="C503" s="13"/>
    </row>
    <row r="504" spans="1:3" ht="13" x14ac:dyDescent="0.15">
      <c r="A504" s="10"/>
      <c r="B504" s="13"/>
      <c r="C504" s="13"/>
    </row>
    <row r="505" spans="1:3" ht="13" x14ac:dyDescent="0.15">
      <c r="A505" s="10"/>
      <c r="B505" s="13"/>
      <c r="C505" s="13"/>
    </row>
    <row r="506" spans="1:3" ht="13" x14ac:dyDescent="0.15">
      <c r="A506" s="10"/>
      <c r="B506" s="13"/>
      <c r="C506" s="13"/>
    </row>
    <row r="507" spans="1:3" ht="13" x14ac:dyDescent="0.15">
      <c r="A507" s="10"/>
      <c r="B507" s="13"/>
      <c r="C507" s="13"/>
    </row>
    <row r="508" spans="1:3" ht="13" x14ac:dyDescent="0.15">
      <c r="A508" s="10"/>
      <c r="B508" s="13"/>
      <c r="C508" s="13"/>
    </row>
    <row r="509" spans="1:3" ht="13" x14ac:dyDescent="0.15">
      <c r="A509" s="10"/>
      <c r="B509" s="13"/>
      <c r="C509" s="13"/>
    </row>
    <row r="510" spans="1:3" ht="13" x14ac:dyDescent="0.15">
      <c r="A510" s="10"/>
      <c r="B510" s="13"/>
      <c r="C510" s="13"/>
    </row>
    <row r="511" spans="1:3" ht="13" x14ac:dyDescent="0.15">
      <c r="A511" s="10"/>
      <c r="B511" s="13"/>
      <c r="C511" s="13"/>
    </row>
    <row r="512" spans="1:3" ht="13" x14ac:dyDescent="0.15">
      <c r="A512" s="10"/>
      <c r="B512" s="13"/>
      <c r="C512" s="13"/>
    </row>
    <row r="513" spans="1:3" ht="13" x14ac:dyDescent="0.15">
      <c r="A513" s="10"/>
      <c r="B513" s="13"/>
      <c r="C513" s="13"/>
    </row>
    <row r="514" spans="1:3" ht="13" x14ac:dyDescent="0.15">
      <c r="A514" s="10"/>
      <c r="B514" s="13"/>
      <c r="C514" s="13"/>
    </row>
    <row r="515" spans="1:3" ht="13" x14ac:dyDescent="0.15">
      <c r="A515" s="10"/>
      <c r="B515" s="13"/>
      <c r="C515" s="13"/>
    </row>
    <row r="516" spans="1:3" ht="13" x14ac:dyDescent="0.15">
      <c r="A516" s="10"/>
      <c r="B516" s="13"/>
      <c r="C516" s="13"/>
    </row>
    <row r="517" spans="1:3" ht="13" x14ac:dyDescent="0.15">
      <c r="A517" s="10"/>
      <c r="B517" s="13"/>
      <c r="C517" s="13"/>
    </row>
    <row r="518" spans="1:3" ht="13" x14ac:dyDescent="0.15">
      <c r="A518" s="10"/>
      <c r="B518" s="13"/>
      <c r="C518" s="13"/>
    </row>
    <row r="519" spans="1:3" ht="13" x14ac:dyDescent="0.15">
      <c r="A519" s="10"/>
      <c r="B519" s="13"/>
      <c r="C519" s="13"/>
    </row>
    <row r="520" spans="1:3" ht="13" x14ac:dyDescent="0.15">
      <c r="A520" s="10"/>
      <c r="B520" s="13"/>
      <c r="C520" s="13"/>
    </row>
    <row r="521" spans="1:3" ht="13" x14ac:dyDescent="0.15">
      <c r="A521" s="10"/>
      <c r="B521" s="13"/>
      <c r="C521" s="13"/>
    </row>
    <row r="522" spans="1:3" ht="13" x14ac:dyDescent="0.15">
      <c r="A522" s="10"/>
      <c r="B522" s="13"/>
      <c r="C522" s="13"/>
    </row>
    <row r="523" spans="1:3" ht="13" x14ac:dyDescent="0.15">
      <c r="A523" s="10"/>
      <c r="B523" s="13"/>
      <c r="C523" s="13"/>
    </row>
    <row r="524" spans="1:3" ht="13" x14ac:dyDescent="0.15">
      <c r="A524" s="10"/>
      <c r="B524" s="13"/>
      <c r="C524" s="13"/>
    </row>
    <row r="525" spans="1:3" ht="13" x14ac:dyDescent="0.15">
      <c r="A525" s="10"/>
      <c r="B525" s="13"/>
      <c r="C525" s="13"/>
    </row>
    <row r="526" spans="1:3" ht="13" x14ac:dyDescent="0.15">
      <c r="A526" s="10"/>
      <c r="B526" s="13"/>
      <c r="C526" s="13"/>
    </row>
    <row r="527" spans="1:3" ht="13" x14ac:dyDescent="0.15">
      <c r="A527" s="10"/>
      <c r="B527" s="13"/>
      <c r="C527" s="13"/>
    </row>
    <row r="528" spans="1:3" ht="13" x14ac:dyDescent="0.15">
      <c r="A528" s="10"/>
      <c r="B528" s="13"/>
      <c r="C528" s="13"/>
    </row>
    <row r="529" spans="1:3" ht="13" x14ac:dyDescent="0.15">
      <c r="A529" s="10"/>
      <c r="B529" s="13"/>
      <c r="C529" s="13"/>
    </row>
    <row r="530" spans="1:3" ht="13" x14ac:dyDescent="0.15">
      <c r="A530" s="10"/>
      <c r="B530" s="13"/>
      <c r="C530" s="13"/>
    </row>
    <row r="531" spans="1:3" ht="13" x14ac:dyDescent="0.15">
      <c r="A531" s="10"/>
      <c r="B531" s="13"/>
      <c r="C531" s="13"/>
    </row>
    <row r="532" spans="1:3" ht="13" x14ac:dyDescent="0.15">
      <c r="A532" s="10"/>
      <c r="B532" s="13"/>
      <c r="C532" s="13"/>
    </row>
    <row r="533" spans="1:3" ht="13" x14ac:dyDescent="0.15">
      <c r="A533" s="10"/>
      <c r="B533" s="13"/>
      <c r="C533" s="13"/>
    </row>
    <row r="534" spans="1:3" ht="13" x14ac:dyDescent="0.15">
      <c r="A534" s="10"/>
      <c r="B534" s="13"/>
      <c r="C534" s="13"/>
    </row>
    <row r="535" spans="1:3" ht="13" x14ac:dyDescent="0.15">
      <c r="A535" s="10"/>
      <c r="B535" s="13"/>
      <c r="C535" s="13"/>
    </row>
    <row r="536" spans="1:3" ht="13" x14ac:dyDescent="0.15">
      <c r="A536" s="10"/>
      <c r="B536" s="13"/>
      <c r="C536" s="13"/>
    </row>
    <row r="537" spans="1:3" ht="13" x14ac:dyDescent="0.15">
      <c r="A537" s="10"/>
      <c r="B537" s="13"/>
      <c r="C537" s="13"/>
    </row>
    <row r="538" spans="1:3" ht="13" x14ac:dyDescent="0.15">
      <c r="A538" s="10"/>
      <c r="B538" s="13"/>
      <c r="C538" s="13"/>
    </row>
    <row r="539" spans="1:3" ht="13" x14ac:dyDescent="0.15">
      <c r="A539" s="10"/>
      <c r="B539" s="13"/>
      <c r="C539" s="13"/>
    </row>
    <row r="540" spans="1:3" ht="13" x14ac:dyDescent="0.15">
      <c r="A540" s="10"/>
      <c r="B540" s="13"/>
      <c r="C540" s="13"/>
    </row>
    <row r="541" spans="1:3" ht="13" x14ac:dyDescent="0.15">
      <c r="A541" s="10"/>
      <c r="B541" s="13"/>
      <c r="C541" s="13"/>
    </row>
    <row r="542" spans="1:3" ht="13" x14ac:dyDescent="0.15">
      <c r="A542" s="10"/>
      <c r="B542" s="13"/>
      <c r="C542" s="13"/>
    </row>
    <row r="543" spans="1:3" ht="13" x14ac:dyDescent="0.15">
      <c r="A543" s="10"/>
      <c r="B543" s="13"/>
      <c r="C543" s="13"/>
    </row>
    <row r="544" spans="1:3" ht="13" x14ac:dyDescent="0.15">
      <c r="A544" s="10"/>
      <c r="B544" s="13"/>
      <c r="C544" s="13"/>
    </row>
    <row r="545" spans="1:3" ht="13" x14ac:dyDescent="0.15">
      <c r="A545" s="10"/>
      <c r="B545" s="13"/>
      <c r="C545" s="13"/>
    </row>
    <row r="546" spans="1:3" ht="13" x14ac:dyDescent="0.15">
      <c r="A546" s="10"/>
      <c r="B546" s="13"/>
      <c r="C546" s="13"/>
    </row>
    <row r="547" spans="1:3" ht="13" x14ac:dyDescent="0.15">
      <c r="A547" s="10"/>
      <c r="B547" s="13"/>
      <c r="C547" s="13"/>
    </row>
    <row r="548" spans="1:3" ht="13" x14ac:dyDescent="0.15">
      <c r="A548" s="10"/>
      <c r="B548" s="13"/>
      <c r="C548" s="13"/>
    </row>
    <row r="549" spans="1:3" ht="13" x14ac:dyDescent="0.15">
      <c r="A549" s="10"/>
      <c r="B549" s="13"/>
      <c r="C549" s="13"/>
    </row>
    <row r="550" spans="1:3" ht="13" x14ac:dyDescent="0.15">
      <c r="A550" s="10"/>
      <c r="B550" s="13"/>
      <c r="C550" s="13"/>
    </row>
    <row r="551" spans="1:3" ht="13" x14ac:dyDescent="0.15">
      <c r="A551" s="10"/>
      <c r="B551" s="13"/>
      <c r="C551" s="13"/>
    </row>
    <row r="552" spans="1:3" ht="13" x14ac:dyDescent="0.15">
      <c r="A552" s="10"/>
      <c r="B552" s="13"/>
      <c r="C552" s="13"/>
    </row>
    <row r="553" spans="1:3" ht="13" x14ac:dyDescent="0.15">
      <c r="A553" s="10"/>
      <c r="B553" s="13"/>
      <c r="C553" s="13"/>
    </row>
    <row r="554" spans="1:3" ht="13" x14ac:dyDescent="0.15">
      <c r="A554" s="10"/>
      <c r="B554" s="13"/>
      <c r="C554" s="13"/>
    </row>
    <row r="555" spans="1:3" ht="13" x14ac:dyDescent="0.15">
      <c r="A555" s="10"/>
      <c r="B555" s="13"/>
      <c r="C555" s="13"/>
    </row>
    <row r="556" spans="1:3" ht="13" x14ac:dyDescent="0.15">
      <c r="A556" s="10"/>
      <c r="B556" s="13"/>
      <c r="C556" s="13"/>
    </row>
    <row r="557" spans="1:3" ht="13" x14ac:dyDescent="0.15">
      <c r="A557" s="10"/>
      <c r="B557" s="13"/>
      <c r="C557" s="13"/>
    </row>
    <row r="558" spans="1:3" ht="13" x14ac:dyDescent="0.15">
      <c r="A558" s="10"/>
      <c r="B558" s="13"/>
      <c r="C558" s="13"/>
    </row>
    <row r="559" spans="1:3" ht="13" x14ac:dyDescent="0.15">
      <c r="A559" s="10"/>
      <c r="B559" s="13"/>
      <c r="C559" s="13"/>
    </row>
    <row r="560" spans="1:3" ht="13" x14ac:dyDescent="0.15">
      <c r="A560" s="10"/>
      <c r="B560" s="13"/>
      <c r="C560" s="13"/>
    </row>
    <row r="561" spans="1:3" ht="13" x14ac:dyDescent="0.15">
      <c r="A561" s="10"/>
      <c r="B561" s="13"/>
      <c r="C561" s="13"/>
    </row>
    <row r="562" spans="1:3" ht="13" x14ac:dyDescent="0.15">
      <c r="A562" s="10"/>
      <c r="B562" s="13"/>
      <c r="C562" s="13"/>
    </row>
    <row r="563" spans="1:3" ht="13" x14ac:dyDescent="0.15">
      <c r="A563" s="10"/>
      <c r="B563" s="13"/>
      <c r="C563" s="13"/>
    </row>
    <row r="564" spans="1:3" ht="13" x14ac:dyDescent="0.15">
      <c r="A564" s="10"/>
      <c r="B564" s="13"/>
      <c r="C564" s="13"/>
    </row>
    <row r="565" spans="1:3" ht="13" x14ac:dyDescent="0.15">
      <c r="A565" s="10"/>
      <c r="B565" s="13"/>
      <c r="C565" s="13"/>
    </row>
    <row r="566" spans="1:3" ht="13" x14ac:dyDescent="0.15">
      <c r="A566" s="10"/>
      <c r="B566" s="13"/>
      <c r="C566" s="13"/>
    </row>
    <row r="567" spans="1:3" ht="13" x14ac:dyDescent="0.15">
      <c r="A567" s="10"/>
      <c r="B567" s="13"/>
      <c r="C567" s="13"/>
    </row>
    <row r="568" spans="1:3" ht="13" x14ac:dyDescent="0.15">
      <c r="A568" s="10"/>
      <c r="B568" s="13"/>
      <c r="C568" s="13"/>
    </row>
    <row r="569" spans="1:3" ht="13" x14ac:dyDescent="0.15">
      <c r="A569" s="10"/>
      <c r="B569" s="13"/>
      <c r="C569" s="13"/>
    </row>
    <row r="570" spans="1:3" ht="13" x14ac:dyDescent="0.15">
      <c r="A570" s="10"/>
      <c r="B570" s="13"/>
      <c r="C570" s="13"/>
    </row>
    <row r="571" spans="1:3" ht="13" x14ac:dyDescent="0.15">
      <c r="A571" s="10"/>
      <c r="B571" s="13"/>
      <c r="C571" s="13"/>
    </row>
    <row r="572" spans="1:3" ht="13" x14ac:dyDescent="0.15">
      <c r="A572" s="10"/>
      <c r="B572" s="13"/>
      <c r="C572" s="13"/>
    </row>
    <row r="573" spans="1:3" ht="13" x14ac:dyDescent="0.15">
      <c r="A573" s="10"/>
      <c r="B573" s="13"/>
      <c r="C573" s="13"/>
    </row>
    <row r="574" spans="1:3" ht="13" x14ac:dyDescent="0.15">
      <c r="A574" s="10"/>
      <c r="B574" s="13"/>
      <c r="C574" s="13"/>
    </row>
    <row r="575" spans="1:3" ht="13" x14ac:dyDescent="0.15">
      <c r="A575" s="10"/>
      <c r="B575" s="13"/>
      <c r="C575" s="13"/>
    </row>
    <row r="576" spans="1:3" ht="13" x14ac:dyDescent="0.15">
      <c r="A576" s="10"/>
      <c r="B576" s="13"/>
      <c r="C576" s="13"/>
    </row>
    <row r="577" spans="1:3" ht="13" x14ac:dyDescent="0.15">
      <c r="A577" s="10"/>
      <c r="B577" s="13"/>
      <c r="C577" s="13"/>
    </row>
    <row r="578" spans="1:3" ht="13" x14ac:dyDescent="0.15">
      <c r="A578" s="10"/>
      <c r="B578" s="13"/>
      <c r="C578" s="13"/>
    </row>
    <row r="579" spans="1:3" ht="13" x14ac:dyDescent="0.15">
      <c r="A579" s="10"/>
      <c r="B579" s="13"/>
      <c r="C579" s="13"/>
    </row>
    <row r="580" spans="1:3" ht="13" x14ac:dyDescent="0.15">
      <c r="A580" s="10"/>
      <c r="B580" s="13"/>
      <c r="C580" s="13"/>
    </row>
    <row r="581" spans="1:3" ht="13" x14ac:dyDescent="0.15">
      <c r="A581" s="10"/>
      <c r="B581" s="13"/>
      <c r="C581" s="13"/>
    </row>
    <row r="582" spans="1:3" ht="13" x14ac:dyDescent="0.15">
      <c r="A582" s="10"/>
      <c r="B582" s="13"/>
      <c r="C582" s="13"/>
    </row>
    <row r="583" spans="1:3" ht="13" x14ac:dyDescent="0.15">
      <c r="A583" s="10"/>
      <c r="B583" s="13"/>
      <c r="C583" s="13"/>
    </row>
    <row r="584" spans="1:3" ht="13" x14ac:dyDescent="0.15">
      <c r="A584" s="10"/>
      <c r="B584" s="13"/>
      <c r="C584" s="13"/>
    </row>
    <row r="585" spans="1:3" ht="13" x14ac:dyDescent="0.15">
      <c r="A585" s="10"/>
      <c r="B585" s="13"/>
      <c r="C585" s="13"/>
    </row>
    <row r="586" spans="1:3" ht="13" x14ac:dyDescent="0.15">
      <c r="A586" s="10"/>
      <c r="B586" s="13"/>
      <c r="C586" s="13"/>
    </row>
    <row r="587" spans="1:3" ht="13" x14ac:dyDescent="0.15">
      <c r="A587" s="10"/>
      <c r="B587" s="13"/>
      <c r="C587" s="13"/>
    </row>
    <row r="588" spans="1:3" ht="13" x14ac:dyDescent="0.15">
      <c r="A588" s="10"/>
      <c r="B588" s="13"/>
      <c r="C588" s="13"/>
    </row>
    <row r="589" spans="1:3" ht="13" x14ac:dyDescent="0.15">
      <c r="A589" s="10"/>
      <c r="B589" s="13"/>
      <c r="C589" s="13"/>
    </row>
    <row r="590" spans="1:3" ht="13" x14ac:dyDescent="0.15">
      <c r="A590" s="10"/>
      <c r="B590" s="13"/>
      <c r="C590" s="13"/>
    </row>
    <row r="591" spans="1:3" ht="13" x14ac:dyDescent="0.15">
      <c r="A591" s="10"/>
      <c r="B591" s="13"/>
      <c r="C591" s="13"/>
    </row>
    <row r="592" spans="1:3" ht="13" x14ac:dyDescent="0.15">
      <c r="A592" s="10"/>
      <c r="B592" s="13"/>
      <c r="C592" s="13"/>
    </row>
    <row r="593" spans="1:3" ht="13" x14ac:dyDescent="0.15">
      <c r="A593" s="10"/>
      <c r="B593" s="13"/>
      <c r="C593" s="13"/>
    </row>
    <row r="594" spans="1:3" ht="13" x14ac:dyDescent="0.15">
      <c r="A594" s="10"/>
      <c r="B594" s="13"/>
      <c r="C594" s="13"/>
    </row>
    <row r="595" spans="1:3" ht="13" x14ac:dyDescent="0.15">
      <c r="A595" s="10"/>
      <c r="B595" s="13"/>
      <c r="C595" s="13"/>
    </row>
    <row r="596" spans="1:3" ht="13" x14ac:dyDescent="0.15">
      <c r="A596" s="10"/>
      <c r="B596" s="13"/>
      <c r="C596" s="13"/>
    </row>
    <row r="597" spans="1:3" ht="13" x14ac:dyDescent="0.15">
      <c r="A597" s="10"/>
      <c r="B597" s="13"/>
      <c r="C597" s="13"/>
    </row>
    <row r="598" spans="1:3" ht="13" x14ac:dyDescent="0.15">
      <c r="A598" s="10"/>
      <c r="B598" s="13"/>
      <c r="C598" s="13"/>
    </row>
    <row r="599" spans="1:3" ht="13" x14ac:dyDescent="0.15">
      <c r="A599" s="10"/>
      <c r="B599" s="13"/>
      <c r="C599" s="13"/>
    </row>
    <row r="600" spans="1:3" ht="13" x14ac:dyDescent="0.15">
      <c r="A600" s="10"/>
      <c r="B600" s="13"/>
      <c r="C600" s="13"/>
    </row>
    <row r="601" spans="1:3" ht="13" x14ac:dyDescent="0.15">
      <c r="A601" s="10"/>
      <c r="B601" s="13"/>
      <c r="C601" s="13"/>
    </row>
    <row r="602" spans="1:3" ht="13" x14ac:dyDescent="0.15">
      <c r="A602" s="10"/>
      <c r="B602" s="13"/>
      <c r="C602" s="13"/>
    </row>
    <row r="603" spans="1:3" ht="13" x14ac:dyDescent="0.15">
      <c r="A603" s="10"/>
      <c r="B603" s="13"/>
      <c r="C603" s="13"/>
    </row>
    <row r="604" spans="1:3" ht="13" x14ac:dyDescent="0.15">
      <c r="A604" s="10"/>
      <c r="B604" s="13"/>
      <c r="C604" s="13"/>
    </row>
    <row r="605" spans="1:3" ht="13" x14ac:dyDescent="0.15">
      <c r="A605" s="10"/>
      <c r="B605" s="13"/>
      <c r="C605" s="13"/>
    </row>
    <row r="606" spans="1:3" ht="13" x14ac:dyDescent="0.15">
      <c r="A606" s="10"/>
      <c r="B606" s="13"/>
      <c r="C606" s="13"/>
    </row>
    <row r="607" spans="1:3" ht="13" x14ac:dyDescent="0.15">
      <c r="A607" s="10"/>
      <c r="B607" s="13"/>
      <c r="C607" s="13"/>
    </row>
    <row r="608" spans="1:3" ht="13" x14ac:dyDescent="0.15">
      <c r="A608" s="10"/>
      <c r="B608" s="13"/>
      <c r="C608" s="13"/>
    </row>
    <row r="609" spans="1:3" ht="13" x14ac:dyDescent="0.15">
      <c r="A609" s="10"/>
      <c r="B609" s="13"/>
      <c r="C609" s="13"/>
    </row>
    <row r="610" spans="1:3" ht="13" x14ac:dyDescent="0.15">
      <c r="A610" s="10"/>
      <c r="B610" s="13"/>
      <c r="C610" s="13"/>
    </row>
    <row r="611" spans="1:3" ht="13" x14ac:dyDescent="0.15">
      <c r="A611" s="10"/>
      <c r="B611" s="13"/>
      <c r="C611" s="13"/>
    </row>
    <row r="612" spans="1:3" ht="13" x14ac:dyDescent="0.15">
      <c r="A612" s="10"/>
      <c r="B612" s="13"/>
      <c r="C612" s="13"/>
    </row>
    <row r="613" spans="1:3" ht="13" x14ac:dyDescent="0.15">
      <c r="A613" s="10"/>
      <c r="B613" s="13"/>
      <c r="C613" s="13"/>
    </row>
    <row r="614" spans="1:3" ht="13" x14ac:dyDescent="0.15">
      <c r="A614" s="10"/>
      <c r="B614" s="13"/>
      <c r="C614" s="13"/>
    </row>
    <row r="615" spans="1:3" ht="13" x14ac:dyDescent="0.15">
      <c r="A615" s="10"/>
      <c r="B615" s="13"/>
      <c r="C615" s="13"/>
    </row>
    <row r="616" spans="1:3" ht="13" x14ac:dyDescent="0.15">
      <c r="A616" s="10"/>
      <c r="B616" s="13"/>
      <c r="C616" s="13"/>
    </row>
    <row r="617" spans="1:3" ht="13" x14ac:dyDescent="0.15">
      <c r="A617" s="10"/>
      <c r="B617" s="13"/>
      <c r="C617" s="13"/>
    </row>
    <row r="618" spans="1:3" ht="13" x14ac:dyDescent="0.15">
      <c r="A618" s="10"/>
      <c r="B618" s="13"/>
      <c r="C618" s="13"/>
    </row>
    <row r="619" spans="1:3" ht="13" x14ac:dyDescent="0.15">
      <c r="A619" s="10"/>
      <c r="B619" s="13"/>
      <c r="C619" s="13"/>
    </row>
    <row r="620" spans="1:3" ht="13" x14ac:dyDescent="0.15">
      <c r="A620" s="10"/>
      <c r="B620" s="13"/>
      <c r="C620" s="13"/>
    </row>
    <row r="621" spans="1:3" ht="13" x14ac:dyDescent="0.15">
      <c r="A621" s="10"/>
      <c r="B621" s="13"/>
      <c r="C621" s="13"/>
    </row>
    <row r="622" spans="1:3" ht="13" x14ac:dyDescent="0.15">
      <c r="A622" s="10"/>
      <c r="B622" s="13"/>
      <c r="C622" s="13"/>
    </row>
    <row r="623" spans="1:3" ht="13" x14ac:dyDescent="0.15">
      <c r="A623" s="10"/>
      <c r="B623" s="13"/>
      <c r="C623" s="13"/>
    </row>
    <row r="624" spans="1:3" ht="13" x14ac:dyDescent="0.15">
      <c r="A624" s="10"/>
      <c r="B624" s="13"/>
      <c r="C624" s="13"/>
    </row>
    <row r="625" spans="1:3" ht="13" x14ac:dyDescent="0.15">
      <c r="A625" s="10"/>
      <c r="B625" s="13"/>
      <c r="C625" s="13"/>
    </row>
    <row r="626" spans="1:3" ht="13" x14ac:dyDescent="0.15">
      <c r="A626" s="10"/>
      <c r="B626" s="13"/>
      <c r="C626" s="13"/>
    </row>
    <row r="627" spans="1:3" ht="13" x14ac:dyDescent="0.15">
      <c r="A627" s="10"/>
      <c r="B627" s="13"/>
      <c r="C627" s="13"/>
    </row>
    <row r="628" spans="1:3" ht="13" x14ac:dyDescent="0.15">
      <c r="A628" s="10"/>
      <c r="B628" s="13"/>
      <c r="C628" s="13"/>
    </row>
    <row r="629" spans="1:3" ht="13" x14ac:dyDescent="0.15">
      <c r="A629" s="10"/>
      <c r="B629" s="13"/>
      <c r="C629" s="13"/>
    </row>
    <row r="630" spans="1:3" ht="13" x14ac:dyDescent="0.15">
      <c r="A630" s="10"/>
      <c r="B630" s="13"/>
      <c r="C630" s="13"/>
    </row>
    <row r="631" spans="1:3" ht="13" x14ac:dyDescent="0.15">
      <c r="A631" s="10"/>
      <c r="B631" s="13"/>
      <c r="C631" s="13"/>
    </row>
    <row r="632" spans="1:3" ht="13" x14ac:dyDescent="0.15">
      <c r="A632" s="10"/>
      <c r="B632" s="13"/>
      <c r="C632" s="13"/>
    </row>
    <row r="633" spans="1:3" ht="13" x14ac:dyDescent="0.15">
      <c r="A633" s="10"/>
      <c r="B633" s="13"/>
      <c r="C633" s="13"/>
    </row>
    <row r="634" spans="1:3" ht="13" x14ac:dyDescent="0.15">
      <c r="A634" s="10"/>
      <c r="B634" s="13"/>
      <c r="C634" s="13"/>
    </row>
    <row r="635" spans="1:3" ht="13" x14ac:dyDescent="0.15">
      <c r="A635" s="10"/>
      <c r="B635" s="13"/>
      <c r="C635" s="13"/>
    </row>
    <row r="636" spans="1:3" ht="13" x14ac:dyDescent="0.15">
      <c r="A636" s="10"/>
      <c r="B636" s="13"/>
      <c r="C636" s="13"/>
    </row>
    <row r="637" spans="1:3" ht="13" x14ac:dyDescent="0.15">
      <c r="A637" s="10"/>
      <c r="B637" s="13"/>
      <c r="C637" s="13"/>
    </row>
    <row r="638" spans="1:3" ht="13" x14ac:dyDescent="0.15">
      <c r="A638" s="10"/>
      <c r="B638" s="13"/>
      <c r="C638" s="13"/>
    </row>
    <row r="639" spans="1:3" ht="13" x14ac:dyDescent="0.15">
      <c r="A639" s="10"/>
      <c r="B639" s="13"/>
      <c r="C639" s="13"/>
    </row>
    <row r="640" spans="1:3" ht="13" x14ac:dyDescent="0.15">
      <c r="A640" s="10"/>
      <c r="B640" s="13"/>
      <c r="C640" s="13"/>
    </row>
    <row r="641" spans="1:3" ht="13" x14ac:dyDescent="0.15">
      <c r="A641" s="10"/>
      <c r="B641" s="13"/>
      <c r="C641" s="13"/>
    </row>
    <row r="642" spans="1:3" ht="13" x14ac:dyDescent="0.15">
      <c r="A642" s="10"/>
      <c r="B642" s="13"/>
      <c r="C642" s="13"/>
    </row>
    <row r="643" spans="1:3" ht="13" x14ac:dyDescent="0.15">
      <c r="A643" s="10"/>
      <c r="B643" s="13"/>
      <c r="C643" s="13"/>
    </row>
    <row r="644" spans="1:3" ht="13" x14ac:dyDescent="0.15">
      <c r="A644" s="10"/>
      <c r="B644" s="13"/>
      <c r="C644" s="13"/>
    </row>
    <row r="645" spans="1:3" ht="13" x14ac:dyDescent="0.15">
      <c r="A645" s="10"/>
      <c r="B645" s="13"/>
      <c r="C645" s="13"/>
    </row>
    <row r="646" spans="1:3" ht="13" x14ac:dyDescent="0.15">
      <c r="A646" s="10"/>
      <c r="B646" s="13"/>
      <c r="C646" s="13"/>
    </row>
    <row r="647" spans="1:3" ht="13" x14ac:dyDescent="0.15">
      <c r="A647" s="10"/>
      <c r="B647" s="13"/>
      <c r="C647" s="13"/>
    </row>
    <row r="648" spans="1:3" ht="13" x14ac:dyDescent="0.15">
      <c r="A648" s="10"/>
      <c r="B648" s="13"/>
      <c r="C648" s="13"/>
    </row>
    <row r="649" spans="1:3" ht="13" x14ac:dyDescent="0.15">
      <c r="A649" s="10"/>
      <c r="B649" s="13"/>
      <c r="C649" s="13"/>
    </row>
    <row r="650" spans="1:3" ht="13" x14ac:dyDescent="0.15">
      <c r="A650" s="10"/>
      <c r="B650" s="13"/>
      <c r="C650" s="13"/>
    </row>
    <row r="651" spans="1:3" ht="13" x14ac:dyDescent="0.15">
      <c r="A651" s="10"/>
      <c r="B651" s="13"/>
      <c r="C651" s="13"/>
    </row>
    <row r="652" spans="1:3" ht="13" x14ac:dyDescent="0.15">
      <c r="A652" s="10"/>
      <c r="B652" s="13"/>
      <c r="C652" s="13"/>
    </row>
    <row r="653" spans="1:3" ht="13" x14ac:dyDescent="0.15">
      <c r="A653" s="10"/>
      <c r="B653" s="13"/>
      <c r="C653" s="13"/>
    </row>
    <row r="654" spans="1:3" ht="13" x14ac:dyDescent="0.15">
      <c r="A654" s="10"/>
      <c r="B654" s="13"/>
      <c r="C654" s="13"/>
    </row>
    <row r="655" spans="1:3" ht="13" x14ac:dyDescent="0.15">
      <c r="A655" s="10"/>
      <c r="B655" s="13"/>
      <c r="C655" s="13"/>
    </row>
    <row r="656" spans="1:3" ht="13" x14ac:dyDescent="0.15">
      <c r="A656" s="10"/>
      <c r="B656" s="13"/>
      <c r="C656" s="13"/>
    </row>
    <row r="657" spans="1:3" ht="13" x14ac:dyDescent="0.15">
      <c r="A657" s="10"/>
      <c r="B657" s="13"/>
      <c r="C657" s="13"/>
    </row>
    <row r="658" spans="1:3" ht="13" x14ac:dyDescent="0.15">
      <c r="A658" s="10"/>
      <c r="B658" s="13"/>
      <c r="C658" s="13"/>
    </row>
    <row r="659" spans="1:3" ht="13" x14ac:dyDescent="0.15">
      <c r="A659" s="10"/>
      <c r="B659" s="13"/>
      <c r="C659" s="13"/>
    </row>
    <row r="660" spans="1:3" ht="13" x14ac:dyDescent="0.15">
      <c r="A660" s="10"/>
      <c r="B660" s="13"/>
      <c r="C660" s="13"/>
    </row>
    <row r="661" spans="1:3" ht="13" x14ac:dyDescent="0.15">
      <c r="A661" s="10"/>
      <c r="B661" s="13"/>
      <c r="C661" s="13"/>
    </row>
    <row r="662" spans="1:3" ht="13" x14ac:dyDescent="0.15">
      <c r="A662" s="10"/>
      <c r="B662" s="13"/>
      <c r="C662" s="13"/>
    </row>
    <row r="663" spans="1:3" ht="13" x14ac:dyDescent="0.15">
      <c r="A663" s="10"/>
      <c r="B663" s="13"/>
      <c r="C663" s="13"/>
    </row>
    <row r="664" spans="1:3" ht="13" x14ac:dyDescent="0.15">
      <c r="A664" s="10"/>
      <c r="B664" s="13"/>
      <c r="C664" s="13"/>
    </row>
    <row r="665" spans="1:3" ht="13" x14ac:dyDescent="0.15">
      <c r="A665" s="10"/>
      <c r="B665" s="13"/>
      <c r="C665" s="13"/>
    </row>
    <row r="666" spans="1:3" ht="13" x14ac:dyDescent="0.15">
      <c r="A666" s="10"/>
      <c r="B666" s="13"/>
      <c r="C666" s="13"/>
    </row>
    <row r="667" spans="1:3" ht="13" x14ac:dyDescent="0.15">
      <c r="A667" s="10"/>
      <c r="B667" s="13"/>
      <c r="C667" s="13"/>
    </row>
    <row r="668" spans="1:3" ht="13" x14ac:dyDescent="0.15">
      <c r="A668" s="10"/>
      <c r="B668" s="13"/>
      <c r="C668" s="13"/>
    </row>
    <row r="669" spans="1:3" ht="13" x14ac:dyDescent="0.15">
      <c r="A669" s="10"/>
      <c r="B669" s="13"/>
      <c r="C669" s="13"/>
    </row>
    <row r="670" spans="1:3" ht="13" x14ac:dyDescent="0.15">
      <c r="A670" s="10"/>
      <c r="B670" s="13"/>
      <c r="C670" s="13"/>
    </row>
    <row r="671" spans="1:3" ht="13" x14ac:dyDescent="0.15">
      <c r="A671" s="10"/>
      <c r="B671" s="13"/>
      <c r="C671" s="13"/>
    </row>
    <row r="672" spans="1:3" ht="13" x14ac:dyDescent="0.15">
      <c r="A672" s="10"/>
      <c r="B672" s="13"/>
      <c r="C672" s="13"/>
    </row>
    <row r="673" spans="1:3" ht="13" x14ac:dyDescent="0.15">
      <c r="A673" s="10"/>
      <c r="B673" s="13"/>
      <c r="C673" s="13"/>
    </row>
    <row r="674" spans="1:3" ht="13" x14ac:dyDescent="0.15">
      <c r="A674" s="10"/>
      <c r="B674" s="13"/>
      <c r="C674" s="13"/>
    </row>
    <row r="675" spans="1:3" ht="13" x14ac:dyDescent="0.15">
      <c r="A675" s="10"/>
      <c r="B675" s="13"/>
      <c r="C675" s="13"/>
    </row>
    <row r="676" spans="1:3" ht="13" x14ac:dyDescent="0.15">
      <c r="A676" s="10"/>
      <c r="B676" s="13"/>
      <c r="C676" s="13"/>
    </row>
    <row r="677" spans="1:3" ht="13" x14ac:dyDescent="0.15">
      <c r="A677" s="10"/>
      <c r="B677" s="13"/>
      <c r="C677" s="13"/>
    </row>
    <row r="678" spans="1:3" ht="13" x14ac:dyDescent="0.15">
      <c r="A678" s="10"/>
      <c r="B678" s="13"/>
      <c r="C678" s="13"/>
    </row>
    <row r="679" spans="1:3" ht="13" x14ac:dyDescent="0.15">
      <c r="A679" s="10"/>
      <c r="B679" s="13"/>
      <c r="C679" s="13"/>
    </row>
    <row r="680" spans="1:3" ht="13" x14ac:dyDescent="0.15">
      <c r="A680" s="10"/>
      <c r="B680" s="13"/>
      <c r="C680" s="13"/>
    </row>
    <row r="681" spans="1:3" ht="13" x14ac:dyDescent="0.15">
      <c r="A681" s="10"/>
      <c r="B681" s="13"/>
      <c r="C681" s="13"/>
    </row>
    <row r="682" spans="1:3" ht="13" x14ac:dyDescent="0.15">
      <c r="A682" s="10"/>
      <c r="B682" s="13"/>
      <c r="C682" s="13"/>
    </row>
    <row r="683" spans="1:3" ht="13" x14ac:dyDescent="0.15">
      <c r="A683" s="10"/>
      <c r="B683" s="13"/>
      <c r="C683" s="13"/>
    </row>
    <row r="684" spans="1:3" ht="13" x14ac:dyDescent="0.15">
      <c r="A684" s="10"/>
      <c r="B684" s="13"/>
      <c r="C684" s="13"/>
    </row>
    <row r="685" spans="1:3" ht="13" x14ac:dyDescent="0.15">
      <c r="A685" s="10"/>
      <c r="B685" s="13"/>
      <c r="C685" s="13"/>
    </row>
    <row r="686" spans="1:3" ht="13" x14ac:dyDescent="0.15">
      <c r="A686" s="10"/>
      <c r="B686" s="13"/>
      <c r="C686" s="13"/>
    </row>
    <row r="687" spans="1:3" ht="13" x14ac:dyDescent="0.15">
      <c r="A687" s="10"/>
      <c r="B687" s="13"/>
      <c r="C687" s="13"/>
    </row>
    <row r="688" spans="1:3" ht="13" x14ac:dyDescent="0.15">
      <c r="A688" s="10"/>
      <c r="B688" s="13"/>
      <c r="C688" s="13"/>
    </row>
    <row r="689" spans="1:3" ht="13" x14ac:dyDescent="0.15">
      <c r="A689" s="10"/>
      <c r="B689" s="13"/>
      <c r="C689" s="13"/>
    </row>
    <row r="690" spans="1:3" ht="13" x14ac:dyDescent="0.15">
      <c r="A690" s="10"/>
      <c r="B690" s="13"/>
      <c r="C690" s="13"/>
    </row>
    <row r="691" spans="1:3" ht="13" x14ac:dyDescent="0.15">
      <c r="A691" s="10"/>
      <c r="B691" s="13"/>
      <c r="C691" s="13"/>
    </row>
    <row r="692" spans="1:3" ht="13" x14ac:dyDescent="0.15">
      <c r="A692" s="10"/>
      <c r="B692" s="13"/>
      <c r="C692" s="13"/>
    </row>
    <row r="693" spans="1:3" ht="13" x14ac:dyDescent="0.15">
      <c r="A693" s="10"/>
      <c r="B693" s="13"/>
      <c r="C693" s="13"/>
    </row>
    <row r="694" spans="1:3" ht="13" x14ac:dyDescent="0.15">
      <c r="A694" s="10"/>
      <c r="B694" s="13"/>
      <c r="C694" s="13"/>
    </row>
    <row r="695" spans="1:3" ht="13" x14ac:dyDescent="0.15">
      <c r="A695" s="10"/>
      <c r="B695" s="13"/>
      <c r="C695" s="13"/>
    </row>
    <row r="696" spans="1:3" ht="13" x14ac:dyDescent="0.15">
      <c r="A696" s="10"/>
      <c r="B696" s="13"/>
      <c r="C696" s="13"/>
    </row>
    <row r="697" spans="1:3" ht="13" x14ac:dyDescent="0.15">
      <c r="A697" s="10"/>
      <c r="B697" s="13"/>
      <c r="C697" s="13"/>
    </row>
    <row r="698" spans="1:3" ht="13" x14ac:dyDescent="0.15">
      <c r="A698" s="10"/>
      <c r="B698" s="13"/>
      <c r="C698" s="13"/>
    </row>
    <row r="699" spans="1:3" ht="13" x14ac:dyDescent="0.15">
      <c r="A699" s="10"/>
      <c r="B699" s="13"/>
      <c r="C699" s="13"/>
    </row>
    <row r="700" spans="1:3" ht="13" x14ac:dyDescent="0.15">
      <c r="A700" s="10"/>
      <c r="B700" s="13"/>
      <c r="C700" s="13"/>
    </row>
    <row r="701" spans="1:3" ht="13" x14ac:dyDescent="0.15">
      <c r="A701" s="10"/>
      <c r="B701" s="13"/>
      <c r="C701" s="13"/>
    </row>
    <row r="702" spans="1:3" ht="13" x14ac:dyDescent="0.15">
      <c r="A702" s="10"/>
      <c r="B702" s="13"/>
      <c r="C702" s="13"/>
    </row>
    <row r="703" spans="1:3" ht="13" x14ac:dyDescent="0.15">
      <c r="A703" s="10"/>
      <c r="B703" s="13"/>
      <c r="C703" s="13"/>
    </row>
    <row r="704" spans="1:3" ht="13" x14ac:dyDescent="0.15">
      <c r="A704" s="10"/>
      <c r="B704" s="13"/>
      <c r="C704" s="13"/>
    </row>
    <row r="705" spans="1:3" ht="13" x14ac:dyDescent="0.15">
      <c r="A705" s="10"/>
      <c r="B705" s="13"/>
      <c r="C705" s="13"/>
    </row>
    <row r="706" spans="1:3" ht="13" x14ac:dyDescent="0.15">
      <c r="A706" s="10"/>
      <c r="B706" s="13"/>
      <c r="C706" s="13"/>
    </row>
    <row r="707" spans="1:3" ht="13" x14ac:dyDescent="0.15">
      <c r="A707" s="10"/>
      <c r="B707" s="13"/>
      <c r="C707" s="13"/>
    </row>
    <row r="708" spans="1:3" ht="13" x14ac:dyDescent="0.15">
      <c r="A708" s="10"/>
      <c r="B708" s="13"/>
      <c r="C708" s="13"/>
    </row>
    <row r="709" spans="1:3" ht="13" x14ac:dyDescent="0.15">
      <c r="A709" s="10"/>
      <c r="B709" s="13"/>
      <c r="C709" s="13"/>
    </row>
    <row r="710" spans="1:3" ht="13" x14ac:dyDescent="0.15">
      <c r="A710" s="10"/>
      <c r="B710" s="13"/>
      <c r="C710" s="13"/>
    </row>
    <row r="711" spans="1:3" ht="13" x14ac:dyDescent="0.15">
      <c r="A711" s="10"/>
      <c r="B711" s="13"/>
      <c r="C711" s="13"/>
    </row>
    <row r="712" spans="1:3" ht="13" x14ac:dyDescent="0.15">
      <c r="A712" s="10"/>
      <c r="B712" s="13"/>
      <c r="C712" s="13"/>
    </row>
    <row r="713" spans="1:3" ht="13" x14ac:dyDescent="0.15">
      <c r="A713" s="10"/>
      <c r="B713" s="13"/>
      <c r="C713" s="13"/>
    </row>
    <row r="714" spans="1:3" ht="13" x14ac:dyDescent="0.15">
      <c r="A714" s="10"/>
      <c r="B714" s="13"/>
      <c r="C714" s="13"/>
    </row>
    <row r="715" spans="1:3" ht="13" x14ac:dyDescent="0.15">
      <c r="A715" s="10"/>
      <c r="B715" s="13"/>
      <c r="C715" s="13"/>
    </row>
    <row r="716" spans="1:3" ht="13" x14ac:dyDescent="0.15">
      <c r="A716" s="10"/>
      <c r="B716" s="13"/>
      <c r="C716" s="13"/>
    </row>
    <row r="717" spans="1:3" ht="13" x14ac:dyDescent="0.15">
      <c r="A717" s="10"/>
      <c r="B717" s="13"/>
      <c r="C717" s="13"/>
    </row>
    <row r="718" spans="1:3" ht="13" x14ac:dyDescent="0.15">
      <c r="A718" s="10"/>
      <c r="B718" s="13"/>
      <c r="C718" s="13"/>
    </row>
    <row r="719" spans="1:3" ht="13" x14ac:dyDescent="0.15">
      <c r="A719" s="10"/>
      <c r="B719" s="13"/>
      <c r="C719" s="13"/>
    </row>
    <row r="720" spans="1:3" ht="13" x14ac:dyDescent="0.15">
      <c r="A720" s="10"/>
      <c r="B720" s="13"/>
      <c r="C720" s="13"/>
    </row>
    <row r="721" spans="1:3" ht="13" x14ac:dyDescent="0.15">
      <c r="A721" s="10"/>
      <c r="B721" s="13"/>
      <c r="C721" s="13"/>
    </row>
    <row r="722" spans="1:3" ht="13" x14ac:dyDescent="0.15">
      <c r="A722" s="10"/>
      <c r="B722" s="13"/>
      <c r="C722" s="13"/>
    </row>
    <row r="723" spans="1:3" ht="13" x14ac:dyDescent="0.15">
      <c r="A723" s="10"/>
      <c r="B723" s="13"/>
      <c r="C723" s="13"/>
    </row>
    <row r="724" spans="1:3" ht="13" x14ac:dyDescent="0.15">
      <c r="A724" s="10"/>
      <c r="B724" s="13"/>
      <c r="C724" s="13"/>
    </row>
    <row r="725" spans="1:3" ht="13" x14ac:dyDescent="0.15">
      <c r="A725" s="10"/>
      <c r="B725" s="13"/>
      <c r="C725" s="13"/>
    </row>
    <row r="726" spans="1:3" ht="13" x14ac:dyDescent="0.15">
      <c r="A726" s="10"/>
      <c r="B726" s="13"/>
      <c r="C726" s="13"/>
    </row>
    <row r="727" spans="1:3" ht="13" x14ac:dyDescent="0.15">
      <c r="A727" s="10"/>
      <c r="B727" s="13"/>
      <c r="C727" s="13"/>
    </row>
    <row r="728" spans="1:3" ht="13" x14ac:dyDescent="0.15">
      <c r="A728" s="10"/>
      <c r="B728" s="13"/>
      <c r="C728" s="13"/>
    </row>
    <row r="729" spans="1:3" ht="13" x14ac:dyDescent="0.15">
      <c r="A729" s="10"/>
      <c r="B729" s="13"/>
      <c r="C729" s="13"/>
    </row>
    <row r="730" spans="1:3" ht="13" x14ac:dyDescent="0.15">
      <c r="A730" s="10"/>
      <c r="B730" s="13"/>
      <c r="C730" s="13"/>
    </row>
    <row r="731" spans="1:3" ht="13" x14ac:dyDescent="0.15">
      <c r="A731" s="10"/>
      <c r="B731" s="13"/>
      <c r="C731" s="13"/>
    </row>
    <row r="732" spans="1:3" ht="13" x14ac:dyDescent="0.15">
      <c r="A732" s="10"/>
      <c r="B732" s="13"/>
      <c r="C732" s="13"/>
    </row>
    <row r="733" spans="1:3" ht="13" x14ac:dyDescent="0.15">
      <c r="A733" s="10"/>
      <c r="B733" s="13"/>
      <c r="C733" s="13"/>
    </row>
    <row r="734" spans="1:3" ht="13" x14ac:dyDescent="0.15">
      <c r="A734" s="10"/>
      <c r="B734" s="13"/>
      <c r="C734" s="13"/>
    </row>
    <row r="735" spans="1:3" ht="13" x14ac:dyDescent="0.15">
      <c r="A735" s="10"/>
      <c r="B735" s="13"/>
      <c r="C735" s="13"/>
    </row>
    <row r="736" spans="1:3" ht="13" x14ac:dyDescent="0.15">
      <c r="A736" s="10"/>
      <c r="B736" s="13"/>
      <c r="C736" s="13"/>
    </row>
    <row r="737" spans="1:3" ht="13" x14ac:dyDescent="0.15">
      <c r="A737" s="10"/>
      <c r="B737" s="13"/>
      <c r="C737" s="13"/>
    </row>
    <row r="738" spans="1:3" ht="13" x14ac:dyDescent="0.15">
      <c r="A738" s="10"/>
      <c r="B738" s="13"/>
      <c r="C738" s="13"/>
    </row>
    <row r="739" spans="1:3" ht="13" x14ac:dyDescent="0.15">
      <c r="A739" s="10"/>
      <c r="B739" s="13"/>
      <c r="C739" s="13"/>
    </row>
    <row r="740" spans="1:3" ht="13" x14ac:dyDescent="0.15">
      <c r="A740" s="10"/>
      <c r="B740" s="13"/>
      <c r="C740" s="13"/>
    </row>
    <row r="741" spans="1:3" ht="13" x14ac:dyDescent="0.15">
      <c r="A741" s="10"/>
      <c r="B741" s="13"/>
      <c r="C741" s="13"/>
    </row>
    <row r="742" spans="1:3" ht="13" x14ac:dyDescent="0.15">
      <c r="A742" s="10"/>
      <c r="B742" s="13"/>
      <c r="C742" s="13"/>
    </row>
    <row r="743" spans="1:3" ht="13" x14ac:dyDescent="0.15">
      <c r="A743" s="10"/>
      <c r="B743" s="13"/>
      <c r="C743" s="13"/>
    </row>
    <row r="744" spans="1:3" ht="13" x14ac:dyDescent="0.15">
      <c r="A744" s="10"/>
      <c r="B744" s="13"/>
      <c r="C744" s="13"/>
    </row>
    <row r="745" spans="1:3" ht="13" x14ac:dyDescent="0.15">
      <c r="A745" s="10"/>
      <c r="B745" s="13"/>
      <c r="C745" s="13"/>
    </row>
    <row r="746" spans="1:3" ht="13" x14ac:dyDescent="0.15">
      <c r="A746" s="10"/>
      <c r="B746" s="13"/>
      <c r="C746" s="13"/>
    </row>
    <row r="747" spans="1:3" ht="13" x14ac:dyDescent="0.15">
      <c r="A747" s="10"/>
      <c r="B747" s="13"/>
      <c r="C747" s="13"/>
    </row>
    <row r="748" spans="1:3" ht="13" x14ac:dyDescent="0.15">
      <c r="A748" s="10"/>
      <c r="B748" s="13"/>
      <c r="C748" s="13"/>
    </row>
    <row r="749" spans="1:3" ht="13" x14ac:dyDescent="0.15">
      <c r="A749" s="10"/>
      <c r="B749" s="13"/>
      <c r="C749" s="13"/>
    </row>
    <row r="750" spans="1:3" ht="13" x14ac:dyDescent="0.15">
      <c r="A750" s="10"/>
      <c r="B750" s="13"/>
      <c r="C750" s="13"/>
    </row>
    <row r="751" spans="1:3" ht="13" x14ac:dyDescent="0.15">
      <c r="A751" s="10"/>
      <c r="B751" s="13"/>
      <c r="C751" s="13"/>
    </row>
    <row r="752" spans="1:3" ht="13" x14ac:dyDescent="0.15">
      <c r="A752" s="10"/>
      <c r="B752" s="13"/>
      <c r="C752" s="13"/>
    </row>
    <row r="753" spans="1:3" ht="13" x14ac:dyDescent="0.15">
      <c r="A753" s="10"/>
      <c r="B753" s="13"/>
      <c r="C753" s="13"/>
    </row>
    <row r="754" spans="1:3" ht="13" x14ac:dyDescent="0.15">
      <c r="A754" s="10"/>
      <c r="B754" s="13"/>
      <c r="C754" s="13"/>
    </row>
    <row r="755" spans="1:3" ht="13" x14ac:dyDescent="0.15">
      <c r="A755" s="10"/>
      <c r="B755" s="13"/>
      <c r="C755" s="13"/>
    </row>
    <row r="756" spans="1:3" ht="13" x14ac:dyDescent="0.15">
      <c r="A756" s="10"/>
      <c r="B756" s="13"/>
      <c r="C756" s="13"/>
    </row>
    <row r="757" spans="1:3" ht="13" x14ac:dyDescent="0.15">
      <c r="A757" s="10"/>
      <c r="B757" s="13"/>
      <c r="C757" s="13"/>
    </row>
    <row r="758" spans="1:3" ht="13" x14ac:dyDescent="0.15">
      <c r="A758" s="10"/>
      <c r="B758" s="13"/>
      <c r="C758" s="13"/>
    </row>
    <row r="759" spans="1:3" ht="13" x14ac:dyDescent="0.15">
      <c r="A759" s="10"/>
      <c r="B759" s="13"/>
      <c r="C759" s="13"/>
    </row>
    <row r="760" spans="1:3" ht="13" x14ac:dyDescent="0.15">
      <c r="A760" s="10"/>
      <c r="B760" s="13"/>
      <c r="C760" s="13"/>
    </row>
    <row r="761" spans="1:3" ht="13" x14ac:dyDescent="0.15">
      <c r="A761" s="10"/>
      <c r="B761" s="13"/>
      <c r="C761" s="13"/>
    </row>
    <row r="762" spans="1:3" ht="13" x14ac:dyDescent="0.15">
      <c r="A762" s="10"/>
      <c r="B762" s="13"/>
      <c r="C762" s="13"/>
    </row>
    <row r="763" spans="1:3" ht="13" x14ac:dyDescent="0.15">
      <c r="A763" s="10"/>
      <c r="B763" s="13"/>
      <c r="C763" s="13"/>
    </row>
    <row r="764" spans="1:3" ht="13" x14ac:dyDescent="0.15">
      <c r="A764" s="10"/>
      <c r="B764" s="13"/>
      <c r="C764" s="13"/>
    </row>
    <row r="765" spans="1:3" ht="13" x14ac:dyDescent="0.15">
      <c r="A765" s="10"/>
      <c r="B765" s="13"/>
      <c r="C765" s="13"/>
    </row>
    <row r="766" spans="1:3" ht="13" x14ac:dyDescent="0.15">
      <c r="A766" s="10"/>
      <c r="B766" s="13"/>
      <c r="C766" s="13"/>
    </row>
    <row r="767" spans="1:3" ht="13" x14ac:dyDescent="0.15">
      <c r="A767" s="10"/>
      <c r="B767" s="13"/>
      <c r="C767" s="13"/>
    </row>
    <row r="768" spans="1:3" ht="13" x14ac:dyDescent="0.15">
      <c r="A768" s="10"/>
      <c r="B768" s="13"/>
      <c r="C768" s="13"/>
    </row>
    <row r="769" spans="1:3" ht="13" x14ac:dyDescent="0.15">
      <c r="A769" s="10"/>
      <c r="B769" s="13"/>
      <c r="C769" s="13"/>
    </row>
    <row r="770" spans="1:3" ht="13" x14ac:dyDescent="0.15">
      <c r="A770" s="10"/>
      <c r="B770" s="13"/>
      <c r="C770" s="13"/>
    </row>
    <row r="771" spans="1:3" ht="13" x14ac:dyDescent="0.15">
      <c r="A771" s="10"/>
      <c r="B771" s="13"/>
      <c r="C771" s="13"/>
    </row>
    <row r="772" spans="1:3" ht="13" x14ac:dyDescent="0.15">
      <c r="A772" s="10"/>
      <c r="B772" s="13"/>
      <c r="C772" s="13"/>
    </row>
    <row r="773" spans="1:3" ht="13" x14ac:dyDescent="0.15">
      <c r="A773" s="10"/>
      <c r="B773" s="13"/>
      <c r="C773" s="13"/>
    </row>
    <row r="774" spans="1:3" ht="13" x14ac:dyDescent="0.15">
      <c r="A774" s="10"/>
      <c r="B774" s="13"/>
      <c r="C774" s="13"/>
    </row>
    <row r="775" spans="1:3" ht="13" x14ac:dyDescent="0.15">
      <c r="A775" s="10"/>
      <c r="B775" s="13"/>
      <c r="C775" s="13"/>
    </row>
    <row r="776" spans="1:3" ht="13" x14ac:dyDescent="0.15">
      <c r="A776" s="10"/>
      <c r="B776" s="13"/>
      <c r="C776" s="13"/>
    </row>
    <row r="777" spans="1:3" ht="13" x14ac:dyDescent="0.15">
      <c r="A777" s="10"/>
      <c r="B777" s="13"/>
      <c r="C777" s="13"/>
    </row>
    <row r="778" spans="1:3" ht="13" x14ac:dyDescent="0.15">
      <c r="A778" s="10"/>
      <c r="B778" s="13"/>
      <c r="C778" s="13"/>
    </row>
    <row r="779" spans="1:3" ht="13" x14ac:dyDescent="0.15">
      <c r="A779" s="10"/>
      <c r="B779" s="13"/>
      <c r="C779" s="13"/>
    </row>
    <row r="780" spans="1:3" ht="13" x14ac:dyDescent="0.15">
      <c r="A780" s="10"/>
      <c r="B780" s="13"/>
      <c r="C780" s="13"/>
    </row>
    <row r="781" spans="1:3" ht="13" x14ac:dyDescent="0.15">
      <c r="A781" s="10"/>
      <c r="B781" s="13"/>
      <c r="C781" s="13"/>
    </row>
    <row r="782" spans="1:3" ht="13" x14ac:dyDescent="0.15">
      <c r="A782" s="10"/>
      <c r="B782" s="13"/>
      <c r="C782" s="13"/>
    </row>
    <row r="783" spans="1:3" ht="13" x14ac:dyDescent="0.15">
      <c r="A783" s="10"/>
      <c r="B783" s="13"/>
      <c r="C783" s="13"/>
    </row>
    <row r="784" spans="1:3" ht="13" x14ac:dyDescent="0.15">
      <c r="A784" s="10"/>
      <c r="B784" s="13"/>
      <c r="C784" s="13"/>
    </row>
    <row r="785" spans="1:3" ht="13" x14ac:dyDescent="0.15">
      <c r="A785" s="10"/>
      <c r="B785" s="13"/>
      <c r="C785" s="13"/>
    </row>
    <row r="786" spans="1:3" ht="13" x14ac:dyDescent="0.15">
      <c r="A786" s="10"/>
      <c r="B786" s="13"/>
      <c r="C786" s="13"/>
    </row>
    <row r="787" spans="1:3" ht="13" x14ac:dyDescent="0.15">
      <c r="A787" s="10"/>
      <c r="B787" s="13"/>
      <c r="C787" s="13"/>
    </row>
    <row r="788" spans="1:3" ht="13" x14ac:dyDescent="0.15">
      <c r="A788" s="10"/>
      <c r="B788" s="13"/>
      <c r="C788" s="13"/>
    </row>
    <row r="789" spans="1:3" ht="13" x14ac:dyDescent="0.15">
      <c r="A789" s="10"/>
      <c r="B789" s="13"/>
      <c r="C789" s="13"/>
    </row>
    <row r="790" spans="1:3" ht="13" x14ac:dyDescent="0.15">
      <c r="A790" s="10"/>
      <c r="B790" s="13"/>
      <c r="C790" s="13"/>
    </row>
    <row r="791" spans="1:3" ht="13" x14ac:dyDescent="0.15">
      <c r="A791" s="10"/>
      <c r="B791" s="13"/>
      <c r="C791" s="13"/>
    </row>
    <row r="792" spans="1:3" ht="13" x14ac:dyDescent="0.15">
      <c r="A792" s="10"/>
      <c r="B792" s="13"/>
      <c r="C792" s="13"/>
    </row>
    <row r="793" spans="1:3" ht="13" x14ac:dyDescent="0.15">
      <c r="A793" s="10"/>
      <c r="B793" s="13"/>
      <c r="C793" s="13"/>
    </row>
    <row r="794" spans="1:3" ht="13" x14ac:dyDescent="0.15">
      <c r="A794" s="10"/>
      <c r="B794" s="13"/>
      <c r="C794" s="13"/>
    </row>
    <row r="795" spans="1:3" ht="13" x14ac:dyDescent="0.15">
      <c r="A795" s="10"/>
      <c r="B795" s="13"/>
      <c r="C795" s="13"/>
    </row>
    <row r="796" spans="1:3" ht="13" x14ac:dyDescent="0.15">
      <c r="A796" s="10"/>
      <c r="B796" s="13"/>
      <c r="C796" s="13"/>
    </row>
    <row r="797" spans="1:3" ht="13" x14ac:dyDescent="0.15">
      <c r="A797" s="10"/>
      <c r="B797" s="13"/>
      <c r="C797" s="13"/>
    </row>
    <row r="798" spans="1:3" ht="13" x14ac:dyDescent="0.15">
      <c r="A798" s="10"/>
      <c r="B798" s="13"/>
      <c r="C798" s="13"/>
    </row>
    <row r="799" spans="1:3" ht="13" x14ac:dyDescent="0.15">
      <c r="A799" s="10"/>
      <c r="B799" s="13"/>
      <c r="C799" s="13"/>
    </row>
    <row r="800" spans="1:3" ht="13" x14ac:dyDescent="0.15">
      <c r="A800" s="10"/>
      <c r="B800" s="13"/>
      <c r="C800" s="13"/>
    </row>
    <row r="801" spans="1:3" ht="13" x14ac:dyDescent="0.15">
      <c r="A801" s="10"/>
      <c r="B801" s="13"/>
      <c r="C801" s="13"/>
    </row>
    <row r="802" spans="1:3" ht="13" x14ac:dyDescent="0.15">
      <c r="A802" s="10"/>
      <c r="B802" s="13"/>
      <c r="C802" s="13"/>
    </row>
    <row r="803" spans="1:3" ht="13" x14ac:dyDescent="0.15">
      <c r="A803" s="10"/>
      <c r="B803" s="13"/>
      <c r="C803" s="13"/>
    </row>
    <row r="804" spans="1:3" ht="13" x14ac:dyDescent="0.15">
      <c r="A804" s="10"/>
      <c r="B804" s="13"/>
      <c r="C804" s="13"/>
    </row>
    <row r="805" spans="1:3" ht="13" x14ac:dyDescent="0.15">
      <c r="A805" s="10"/>
      <c r="B805" s="13"/>
      <c r="C805" s="13"/>
    </row>
    <row r="806" spans="1:3" ht="13" x14ac:dyDescent="0.15">
      <c r="A806" s="10"/>
      <c r="B806" s="13"/>
      <c r="C806" s="13"/>
    </row>
    <row r="807" spans="1:3" ht="13" x14ac:dyDescent="0.15">
      <c r="A807" s="10"/>
      <c r="B807" s="13"/>
      <c r="C807" s="13"/>
    </row>
    <row r="808" spans="1:3" ht="13" x14ac:dyDescent="0.15">
      <c r="A808" s="10"/>
      <c r="B808" s="13"/>
      <c r="C808" s="13"/>
    </row>
    <row r="809" spans="1:3" ht="13" x14ac:dyDescent="0.15">
      <c r="A809" s="10"/>
      <c r="B809" s="13"/>
      <c r="C809" s="13"/>
    </row>
    <row r="810" spans="1:3" ht="13" x14ac:dyDescent="0.15">
      <c r="A810" s="10"/>
      <c r="B810" s="13"/>
      <c r="C810" s="13"/>
    </row>
    <row r="811" spans="1:3" ht="13" x14ac:dyDescent="0.15">
      <c r="A811" s="10"/>
      <c r="B811" s="13"/>
      <c r="C811" s="13"/>
    </row>
    <row r="812" spans="1:3" ht="13" x14ac:dyDescent="0.15">
      <c r="A812" s="10"/>
      <c r="B812" s="13"/>
      <c r="C812" s="13"/>
    </row>
    <row r="813" spans="1:3" ht="13" x14ac:dyDescent="0.15">
      <c r="A813" s="10"/>
      <c r="B813" s="13"/>
      <c r="C813" s="13"/>
    </row>
    <row r="814" spans="1:3" ht="13" x14ac:dyDescent="0.15">
      <c r="A814" s="10"/>
      <c r="B814" s="13"/>
      <c r="C814" s="13"/>
    </row>
    <row r="815" spans="1:3" ht="13" x14ac:dyDescent="0.15">
      <c r="A815" s="10"/>
      <c r="B815" s="13"/>
      <c r="C815" s="13"/>
    </row>
    <row r="816" spans="1:3" ht="13" x14ac:dyDescent="0.15">
      <c r="A816" s="10"/>
      <c r="B816" s="13"/>
      <c r="C816" s="13"/>
    </row>
    <row r="817" spans="1:3" ht="13" x14ac:dyDescent="0.15">
      <c r="A817" s="10"/>
      <c r="B817" s="13"/>
      <c r="C817" s="13"/>
    </row>
    <row r="818" spans="1:3" ht="13" x14ac:dyDescent="0.15">
      <c r="A818" s="10"/>
      <c r="B818" s="13"/>
      <c r="C818" s="13"/>
    </row>
    <row r="819" spans="1:3" ht="13" x14ac:dyDescent="0.15">
      <c r="A819" s="10"/>
      <c r="B819" s="13"/>
      <c r="C819" s="13"/>
    </row>
    <row r="820" spans="1:3" ht="13" x14ac:dyDescent="0.15">
      <c r="A820" s="10"/>
      <c r="B820" s="13"/>
      <c r="C820" s="13"/>
    </row>
    <row r="821" spans="1:3" ht="13" x14ac:dyDescent="0.15">
      <c r="A821" s="10"/>
      <c r="B821" s="13"/>
      <c r="C821" s="13"/>
    </row>
    <row r="822" spans="1:3" ht="13" x14ac:dyDescent="0.15">
      <c r="A822" s="10"/>
      <c r="B822" s="13"/>
      <c r="C822" s="13"/>
    </row>
    <row r="823" spans="1:3" ht="13" x14ac:dyDescent="0.15">
      <c r="A823" s="10"/>
      <c r="B823" s="13"/>
      <c r="C823" s="13"/>
    </row>
    <row r="824" spans="1:3" ht="13" x14ac:dyDescent="0.15">
      <c r="A824" s="10"/>
      <c r="B824" s="13"/>
      <c r="C824" s="13"/>
    </row>
    <row r="825" spans="1:3" ht="13" x14ac:dyDescent="0.15">
      <c r="A825" s="10"/>
      <c r="B825" s="13"/>
      <c r="C825" s="13"/>
    </row>
    <row r="826" spans="1:3" ht="13" x14ac:dyDescent="0.15">
      <c r="A826" s="10"/>
      <c r="B826" s="13"/>
      <c r="C826" s="13"/>
    </row>
    <row r="827" spans="1:3" ht="13" x14ac:dyDescent="0.15">
      <c r="A827" s="10"/>
      <c r="B827" s="13"/>
      <c r="C827" s="13"/>
    </row>
    <row r="828" spans="1:3" ht="13" x14ac:dyDescent="0.15">
      <c r="A828" s="10"/>
      <c r="B828" s="13"/>
      <c r="C828" s="13"/>
    </row>
    <row r="829" spans="1:3" ht="13" x14ac:dyDescent="0.15">
      <c r="A829" s="10"/>
      <c r="B829" s="13"/>
      <c r="C829" s="13"/>
    </row>
    <row r="830" spans="1:3" ht="13" x14ac:dyDescent="0.15">
      <c r="A830" s="10"/>
      <c r="B830" s="13"/>
      <c r="C830" s="13"/>
    </row>
    <row r="831" spans="1:3" ht="13" x14ac:dyDescent="0.15">
      <c r="A831" s="10"/>
      <c r="B831" s="13"/>
      <c r="C831" s="13"/>
    </row>
    <row r="832" spans="1:3" ht="13" x14ac:dyDescent="0.15">
      <c r="A832" s="10"/>
      <c r="B832" s="13"/>
      <c r="C832" s="13"/>
    </row>
    <row r="833" spans="1:3" ht="13" x14ac:dyDescent="0.15">
      <c r="A833" s="10"/>
      <c r="B833" s="13"/>
      <c r="C833" s="13"/>
    </row>
    <row r="834" spans="1:3" ht="13" x14ac:dyDescent="0.15">
      <c r="A834" s="10"/>
      <c r="B834" s="13"/>
      <c r="C834" s="13"/>
    </row>
    <row r="835" spans="1:3" ht="13" x14ac:dyDescent="0.15">
      <c r="A835" s="10"/>
      <c r="B835" s="13"/>
      <c r="C835" s="13"/>
    </row>
    <row r="836" spans="1:3" ht="13" x14ac:dyDescent="0.15">
      <c r="A836" s="10"/>
      <c r="B836" s="13"/>
      <c r="C836" s="13"/>
    </row>
    <row r="837" spans="1:3" ht="13" x14ac:dyDescent="0.15">
      <c r="A837" s="10"/>
      <c r="B837" s="13"/>
      <c r="C837" s="13"/>
    </row>
    <row r="838" spans="1:3" ht="13" x14ac:dyDescent="0.15">
      <c r="A838" s="10"/>
      <c r="B838" s="13"/>
      <c r="C838" s="13"/>
    </row>
    <row r="839" spans="1:3" ht="13" x14ac:dyDescent="0.15">
      <c r="A839" s="10"/>
      <c r="B839" s="13"/>
      <c r="C839" s="13"/>
    </row>
    <row r="840" spans="1:3" ht="13" x14ac:dyDescent="0.15">
      <c r="A840" s="10"/>
      <c r="B840" s="13"/>
      <c r="C840" s="13"/>
    </row>
    <row r="841" spans="1:3" ht="13" x14ac:dyDescent="0.15">
      <c r="A841" s="10"/>
      <c r="B841" s="13"/>
      <c r="C841" s="13"/>
    </row>
    <row r="842" spans="1:3" ht="13" x14ac:dyDescent="0.15">
      <c r="A842" s="10"/>
      <c r="B842" s="13"/>
      <c r="C842" s="13"/>
    </row>
    <row r="843" spans="1:3" ht="13" x14ac:dyDescent="0.15">
      <c r="A843" s="10"/>
      <c r="B843" s="13"/>
      <c r="C843" s="13"/>
    </row>
    <row r="844" spans="1:3" ht="13" x14ac:dyDescent="0.15">
      <c r="A844" s="10"/>
      <c r="B844" s="13"/>
      <c r="C844" s="13"/>
    </row>
    <row r="845" spans="1:3" ht="13" x14ac:dyDescent="0.15">
      <c r="A845" s="10"/>
      <c r="B845" s="13"/>
      <c r="C845" s="13"/>
    </row>
    <row r="846" spans="1:3" ht="13" x14ac:dyDescent="0.15">
      <c r="A846" s="10"/>
      <c r="B846" s="13"/>
      <c r="C846" s="13"/>
    </row>
    <row r="847" spans="1:3" ht="13" x14ac:dyDescent="0.15">
      <c r="A847" s="10"/>
      <c r="B847" s="13"/>
      <c r="C847" s="13"/>
    </row>
    <row r="848" spans="1:3" ht="13" x14ac:dyDescent="0.15">
      <c r="A848" s="10"/>
      <c r="B848" s="13"/>
      <c r="C848" s="13"/>
    </row>
    <row r="849" spans="1:3" ht="13" x14ac:dyDescent="0.15">
      <c r="A849" s="10"/>
      <c r="B849" s="13"/>
      <c r="C849" s="13"/>
    </row>
    <row r="850" spans="1:3" ht="13" x14ac:dyDescent="0.15">
      <c r="A850" s="10"/>
      <c r="B850" s="13"/>
      <c r="C850" s="13"/>
    </row>
    <row r="851" spans="1:3" ht="13" x14ac:dyDescent="0.15">
      <c r="A851" s="10"/>
      <c r="B851" s="13"/>
      <c r="C851" s="13"/>
    </row>
    <row r="852" spans="1:3" ht="13" x14ac:dyDescent="0.15">
      <c r="A852" s="10"/>
      <c r="B852" s="13"/>
      <c r="C852" s="13"/>
    </row>
    <row r="853" spans="1:3" ht="13" x14ac:dyDescent="0.15">
      <c r="A853" s="10"/>
      <c r="B853" s="13"/>
      <c r="C853" s="13"/>
    </row>
    <row r="854" spans="1:3" ht="13" x14ac:dyDescent="0.15">
      <c r="A854" s="10"/>
      <c r="B854" s="13"/>
      <c r="C854" s="13"/>
    </row>
    <row r="855" spans="1:3" ht="13" x14ac:dyDescent="0.15">
      <c r="A855" s="10"/>
      <c r="B855" s="13"/>
      <c r="C855" s="13"/>
    </row>
    <row r="856" spans="1:3" ht="13" x14ac:dyDescent="0.15">
      <c r="A856" s="10"/>
      <c r="B856" s="13"/>
      <c r="C856" s="13"/>
    </row>
    <row r="857" spans="1:3" ht="13" x14ac:dyDescent="0.15">
      <c r="A857" s="10"/>
      <c r="B857" s="13"/>
      <c r="C857" s="13"/>
    </row>
    <row r="858" spans="1:3" ht="13" x14ac:dyDescent="0.15">
      <c r="A858" s="10"/>
      <c r="B858" s="13"/>
      <c r="C858" s="13"/>
    </row>
    <row r="859" spans="1:3" ht="13" x14ac:dyDescent="0.15">
      <c r="A859" s="10"/>
      <c r="B859" s="13"/>
      <c r="C859" s="13"/>
    </row>
    <row r="860" spans="1:3" ht="13" x14ac:dyDescent="0.15">
      <c r="A860" s="10"/>
      <c r="B860" s="13"/>
      <c r="C860" s="13"/>
    </row>
    <row r="861" spans="1:3" ht="13" x14ac:dyDescent="0.15">
      <c r="A861" s="10"/>
      <c r="B861" s="13"/>
      <c r="C861" s="13"/>
    </row>
    <row r="862" spans="1:3" ht="13" x14ac:dyDescent="0.15">
      <c r="A862" s="10"/>
      <c r="B862" s="13"/>
      <c r="C862" s="13"/>
    </row>
    <row r="863" spans="1:3" ht="13" x14ac:dyDescent="0.15">
      <c r="A863" s="10"/>
      <c r="B863" s="13"/>
      <c r="C863" s="13"/>
    </row>
    <row r="864" spans="1:3" ht="13" x14ac:dyDescent="0.15">
      <c r="A864" s="10"/>
      <c r="B864" s="13"/>
      <c r="C864" s="13"/>
    </row>
    <row r="865" spans="1:3" ht="13" x14ac:dyDescent="0.15">
      <c r="A865" s="10"/>
      <c r="B865" s="13"/>
      <c r="C865" s="13"/>
    </row>
    <row r="866" spans="1:3" ht="13" x14ac:dyDescent="0.15">
      <c r="A866" s="10"/>
      <c r="B866" s="13"/>
      <c r="C866" s="13"/>
    </row>
    <row r="867" spans="1:3" ht="13" x14ac:dyDescent="0.15">
      <c r="A867" s="10"/>
      <c r="B867" s="13"/>
      <c r="C867" s="13"/>
    </row>
    <row r="868" spans="1:3" ht="13" x14ac:dyDescent="0.15">
      <c r="A868" s="10"/>
      <c r="B868" s="13"/>
      <c r="C868" s="13"/>
    </row>
    <row r="869" spans="1:3" ht="13" x14ac:dyDescent="0.15">
      <c r="A869" s="10"/>
      <c r="B869" s="13"/>
      <c r="C869" s="13"/>
    </row>
    <row r="870" spans="1:3" ht="13" x14ac:dyDescent="0.15">
      <c r="A870" s="10"/>
      <c r="B870" s="13"/>
      <c r="C870" s="13"/>
    </row>
    <row r="871" spans="1:3" ht="13" x14ac:dyDescent="0.15">
      <c r="A871" s="10"/>
      <c r="B871" s="13"/>
      <c r="C871" s="13"/>
    </row>
    <row r="872" spans="1:3" ht="13" x14ac:dyDescent="0.15">
      <c r="A872" s="10"/>
      <c r="B872" s="13"/>
      <c r="C872" s="13"/>
    </row>
    <row r="873" spans="1:3" ht="13" x14ac:dyDescent="0.15">
      <c r="A873" s="10"/>
      <c r="B873" s="13"/>
      <c r="C873" s="13"/>
    </row>
    <row r="874" spans="1:3" ht="13" x14ac:dyDescent="0.15">
      <c r="A874" s="10"/>
      <c r="B874" s="13"/>
      <c r="C874" s="13"/>
    </row>
    <row r="875" spans="1:3" ht="13" x14ac:dyDescent="0.15">
      <c r="A875" s="10"/>
      <c r="B875" s="13"/>
      <c r="C875" s="13"/>
    </row>
    <row r="876" spans="1:3" ht="13" x14ac:dyDescent="0.15">
      <c r="A876" s="10"/>
      <c r="B876" s="13"/>
      <c r="C876" s="13"/>
    </row>
    <row r="877" spans="1:3" ht="13" x14ac:dyDescent="0.15">
      <c r="A877" s="10"/>
      <c r="B877" s="13"/>
      <c r="C877" s="13"/>
    </row>
    <row r="878" spans="1:3" ht="13" x14ac:dyDescent="0.15">
      <c r="A878" s="10"/>
      <c r="B878" s="13"/>
      <c r="C878" s="13"/>
    </row>
    <row r="879" spans="1:3" ht="13" x14ac:dyDescent="0.15">
      <c r="A879" s="10"/>
      <c r="B879" s="13"/>
      <c r="C879" s="13"/>
    </row>
    <row r="880" spans="1:3" ht="13" x14ac:dyDescent="0.15">
      <c r="A880" s="10"/>
      <c r="B880" s="13"/>
      <c r="C880" s="13"/>
    </row>
    <row r="881" spans="1:3" ht="13" x14ac:dyDescent="0.15">
      <c r="A881" s="10"/>
      <c r="B881" s="13"/>
      <c r="C881" s="13"/>
    </row>
    <row r="882" spans="1:3" ht="13" x14ac:dyDescent="0.15">
      <c r="A882" s="10"/>
      <c r="B882" s="13"/>
      <c r="C882" s="13"/>
    </row>
    <row r="883" spans="1:3" ht="13" x14ac:dyDescent="0.15">
      <c r="A883" s="10"/>
      <c r="B883" s="13"/>
      <c r="C883" s="13"/>
    </row>
    <row r="884" spans="1:3" ht="13" x14ac:dyDescent="0.15">
      <c r="A884" s="10"/>
      <c r="B884" s="13"/>
      <c r="C884" s="13"/>
    </row>
    <row r="885" spans="1:3" ht="13" x14ac:dyDescent="0.15">
      <c r="A885" s="10"/>
      <c r="B885" s="13"/>
      <c r="C885" s="13"/>
    </row>
    <row r="886" spans="1:3" ht="13" x14ac:dyDescent="0.15">
      <c r="A886" s="10"/>
      <c r="B886" s="13"/>
      <c r="C886" s="13"/>
    </row>
    <row r="887" spans="1:3" ht="13" x14ac:dyDescent="0.15">
      <c r="A887" s="10"/>
      <c r="B887" s="13"/>
      <c r="C887" s="13"/>
    </row>
    <row r="888" spans="1:3" ht="13" x14ac:dyDescent="0.15">
      <c r="A888" s="10"/>
      <c r="B888" s="13"/>
      <c r="C888" s="13"/>
    </row>
    <row r="889" spans="1:3" ht="13" x14ac:dyDescent="0.15">
      <c r="A889" s="10"/>
      <c r="B889" s="13"/>
      <c r="C889" s="13"/>
    </row>
    <row r="890" spans="1:3" ht="13" x14ac:dyDescent="0.15">
      <c r="A890" s="10"/>
      <c r="B890" s="13"/>
      <c r="C890" s="13"/>
    </row>
    <row r="891" spans="1:3" ht="13" x14ac:dyDescent="0.15">
      <c r="A891" s="10"/>
      <c r="B891" s="13"/>
      <c r="C891" s="13"/>
    </row>
    <row r="892" spans="1:3" ht="13" x14ac:dyDescent="0.15">
      <c r="A892" s="10"/>
      <c r="B892" s="13"/>
      <c r="C892" s="13"/>
    </row>
    <row r="893" spans="1:3" ht="13" x14ac:dyDescent="0.15">
      <c r="A893" s="10"/>
      <c r="B893" s="13"/>
      <c r="C893" s="13"/>
    </row>
    <row r="894" spans="1:3" ht="13" x14ac:dyDescent="0.15">
      <c r="A894" s="10"/>
      <c r="B894" s="13"/>
      <c r="C894" s="13"/>
    </row>
    <row r="895" spans="1:3" ht="13" x14ac:dyDescent="0.15">
      <c r="A895" s="10"/>
      <c r="B895" s="13"/>
      <c r="C895" s="13"/>
    </row>
    <row r="896" spans="1:3" ht="13" x14ac:dyDescent="0.15">
      <c r="A896" s="10"/>
      <c r="B896" s="13"/>
      <c r="C896" s="13"/>
    </row>
    <row r="897" spans="1:3" ht="13" x14ac:dyDescent="0.15">
      <c r="A897" s="10"/>
      <c r="B897" s="13"/>
      <c r="C897" s="13"/>
    </row>
    <row r="898" spans="1:3" ht="13" x14ac:dyDescent="0.15">
      <c r="A898" s="10"/>
      <c r="B898" s="13"/>
      <c r="C898" s="13"/>
    </row>
    <row r="899" spans="1:3" ht="13" x14ac:dyDescent="0.15">
      <c r="A899" s="10"/>
      <c r="B899" s="13"/>
      <c r="C899" s="13"/>
    </row>
    <row r="900" spans="1:3" ht="13" x14ac:dyDescent="0.15">
      <c r="A900" s="10"/>
      <c r="B900" s="13"/>
      <c r="C900" s="13"/>
    </row>
    <row r="901" spans="1:3" ht="13" x14ac:dyDescent="0.15">
      <c r="A901" s="10"/>
      <c r="B901" s="13"/>
      <c r="C901" s="13"/>
    </row>
    <row r="902" spans="1:3" ht="13" x14ac:dyDescent="0.15">
      <c r="A902" s="10"/>
      <c r="B902" s="13"/>
      <c r="C902" s="13"/>
    </row>
    <row r="903" spans="1:3" ht="13" x14ac:dyDescent="0.15">
      <c r="A903" s="10"/>
      <c r="B903" s="13"/>
      <c r="C903" s="13"/>
    </row>
    <row r="904" spans="1:3" ht="13" x14ac:dyDescent="0.15">
      <c r="A904" s="10"/>
      <c r="B904" s="13"/>
      <c r="C904" s="13"/>
    </row>
    <row r="905" spans="1:3" ht="13" x14ac:dyDescent="0.15">
      <c r="A905" s="10"/>
      <c r="B905" s="13"/>
      <c r="C905" s="13"/>
    </row>
    <row r="906" spans="1:3" ht="13" x14ac:dyDescent="0.15">
      <c r="A906" s="10"/>
      <c r="B906" s="13"/>
      <c r="C906" s="13"/>
    </row>
    <row r="907" spans="1:3" ht="13" x14ac:dyDescent="0.15">
      <c r="A907" s="10"/>
      <c r="B907" s="13"/>
      <c r="C907" s="13"/>
    </row>
    <row r="908" spans="1:3" ht="13" x14ac:dyDescent="0.15">
      <c r="A908" s="10"/>
      <c r="B908" s="13"/>
      <c r="C908" s="13"/>
    </row>
    <row r="909" spans="1:3" ht="13" x14ac:dyDescent="0.15">
      <c r="A909" s="10"/>
      <c r="B909" s="13"/>
      <c r="C909" s="13"/>
    </row>
    <row r="910" spans="1:3" ht="13" x14ac:dyDescent="0.15">
      <c r="A910" s="10"/>
      <c r="B910" s="13"/>
      <c r="C910" s="13"/>
    </row>
    <row r="911" spans="1:3" ht="13" x14ac:dyDescent="0.15">
      <c r="A911" s="10"/>
      <c r="B911" s="13"/>
      <c r="C911" s="13"/>
    </row>
    <row r="912" spans="1:3" ht="13" x14ac:dyDescent="0.15">
      <c r="A912" s="10"/>
      <c r="B912" s="13"/>
      <c r="C912" s="13"/>
    </row>
    <row r="913" spans="1:3" ht="13" x14ac:dyDescent="0.15">
      <c r="A913" s="10"/>
      <c r="B913" s="13"/>
      <c r="C913" s="13"/>
    </row>
    <row r="914" spans="1:3" ht="13" x14ac:dyDescent="0.15">
      <c r="A914" s="10"/>
      <c r="B914" s="13"/>
      <c r="C914" s="13"/>
    </row>
    <row r="915" spans="1:3" ht="13" x14ac:dyDescent="0.15">
      <c r="A915" s="10"/>
      <c r="B915" s="13"/>
      <c r="C915" s="13"/>
    </row>
    <row r="916" spans="1:3" ht="13" x14ac:dyDescent="0.15">
      <c r="A916" s="10"/>
      <c r="B916" s="13"/>
      <c r="C916" s="13"/>
    </row>
    <row r="917" spans="1:3" ht="13" x14ac:dyDescent="0.15">
      <c r="A917" s="10"/>
      <c r="B917" s="13"/>
      <c r="C917" s="13"/>
    </row>
    <row r="918" spans="1:3" ht="13" x14ac:dyDescent="0.15">
      <c r="A918" s="10"/>
      <c r="B918" s="13"/>
      <c r="C918" s="13"/>
    </row>
    <row r="919" spans="1:3" ht="13" x14ac:dyDescent="0.15">
      <c r="A919" s="10"/>
      <c r="B919" s="13"/>
      <c r="C919" s="13"/>
    </row>
    <row r="920" spans="1:3" ht="13" x14ac:dyDescent="0.15">
      <c r="A920" s="10"/>
      <c r="B920" s="13"/>
      <c r="C920" s="13"/>
    </row>
    <row r="921" spans="1:3" ht="13" x14ac:dyDescent="0.15">
      <c r="A921" s="10"/>
      <c r="B921" s="13"/>
      <c r="C921" s="13"/>
    </row>
    <row r="922" spans="1:3" ht="13" x14ac:dyDescent="0.15">
      <c r="A922" s="10"/>
      <c r="B922" s="13"/>
      <c r="C922" s="13"/>
    </row>
    <row r="923" spans="1:3" ht="13" x14ac:dyDescent="0.15">
      <c r="A923" s="10"/>
      <c r="B923" s="13"/>
      <c r="C923" s="13"/>
    </row>
    <row r="924" spans="1:3" ht="13" x14ac:dyDescent="0.15">
      <c r="A924" s="10"/>
      <c r="B924" s="13"/>
      <c r="C924" s="13"/>
    </row>
    <row r="925" spans="1:3" ht="13" x14ac:dyDescent="0.15">
      <c r="A925" s="10"/>
      <c r="B925" s="13"/>
      <c r="C925" s="13"/>
    </row>
    <row r="926" spans="1:3" ht="13" x14ac:dyDescent="0.15">
      <c r="A926" s="10"/>
      <c r="B926" s="13"/>
      <c r="C926" s="13"/>
    </row>
    <row r="927" spans="1:3" ht="13" x14ac:dyDescent="0.15">
      <c r="A927" s="10"/>
      <c r="B927" s="13"/>
      <c r="C927" s="13"/>
    </row>
    <row r="928" spans="1:3" ht="13" x14ac:dyDescent="0.15">
      <c r="A928" s="10"/>
      <c r="B928" s="13"/>
      <c r="C928" s="13"/>
    </row>
    <row r="929" spans="1:3" ht="13" x14ac:dyDescent="0.15">
      <c r="A929" s="10"/>
      <c r="B929" s="13"/>
      <c r="C929" s="13"/>
    </row>
    <row r="930" spans="1:3" ht="13" x14ac:dyDescent="0.15">
      <c r="A930" s="10"/>
      <c r="B930" s="13"/>
      <c r="C930" s="13"/>
    </row>
    <row r="931" spans="1:3" ht="13" x14ac:dyDescent="0.15">
      <c r="A931" s="10"/>
      <c r="B931" s="13"/>
      <c r="C931" s="13"/>
    </row>
    <row r="932" spans="1:3" ht="13" x14ac:dyDescent="0.15">
      <c r="A932" s="10"/>
      <c r="B932" s="13"/>
      <c r="C932" s="13"/>
    </row>
    <row r="933" spans="1:3" ht="13" x14ac:dyDescent="0.15">
      <c r="A933" s="10"/>
      <c r="B933" s="13"/>
      <c r="C933" s="13"/>
    </row>
    <row r="934" spans="1:3" ht="13" x14ac:dyDescent="0.15">
      <c r="A934" s="10"/>
      <c r="B934" s="13"/>
      <c r="C934" s="13"/>
    </row>
    <row r="935" spans="1:3" ht="13" x14ac:dyDescent="0.15">
      <c r="A935" s="10"/>
      <c r="B935" s="13"/>
      <c r="C935" s="13"/>
    </row>
    <row r="936" spans="1:3" ht="13" x14ac:dyDescent="0.15">
      <c r="A936" s="10"/>
      <c r="B936" s="13"/>
      <c r="C936" s="13"/>
    </row>
    <row r="937" spans="1:3" ht="13" x14ac:dyDescent="0.15">
      <c r="A937" s="10"/>
      <c r="B937" s="13"/>
      <c r="C937" s="13"/>
    </row>
    <row r="938" spans="1:3" ht="13" x14ac:dyDescent="0.15">
      <c r="A938" s="10"/>
      <c r="B938" s="13"/>
      <c r="C938" s="13"/>
    </row>
    <row r="939" spans="1:3" ht="13" x14ac:dyDescent="0.15">
      <c r="A939" s="10"/>
      <c r="B939" s="13"/>
      <c r="C939" s="13"/>
    </row>
    <row r="940" spans="1:3" ht="13" x14ac:dyDescent="0.15">
      <c r="A940" s="10"/>
      <c r="B940" s="13"/>
      <c r="C940" s="13"/>
    </row>
    <row r="941" spans="1:3" ht="13" x14ac:dyDescent="0.15">
      <c r="A941" s="10"/>
      <c r="B941" s="13"/>
      <c r="C941" s="13"/>
    </row>
    <row r="942" spans="1:3" ht="13" x14ac:dyDescent="0.15">
      <c r="A942" s="10"/>
      <c r="B942" s="13"/>
      <c r="C942" s="13"/>
    </row>
    <row r="943" spans="1:3" ht="13" x14ac:dyDescent="0.15">
      <c r="A943" s="10"/>
      <c r="B943" s="13"/>
      <c r="C943" s="13"/>
    </row>
    <row r="944" spans="1:3" ht="13" x14ac:dyDescent="0.15">
      <c r="A944" s="10"/>
      <c r="B944" s="13"/>
      <c r="C944" s="13"/>
    </row>
    <row r="945" spans="1:3" ht="13" x14ac:dyDescent="0.15">
      <c r="A945" s="10"/>
      <c r="B945" s="13"/>
      <c r="C945" s="13"/>
    </row>
    <row r="946" spans="1:3" ht="13" x14ac:dyDescent="0.15">
      <c r="A946" s="10"/>
      <c r="B946" s="13"/>
      <c r="C946" s="13"/>
    </row>
    <row r="947" spans="1:3" ht="13" x14ac:dyDescent="0.15">
      <c r="A947" s="10"/>
      <c r="B947" s="13"/>
      <c r="C947" s="13"/>
    </row>
    <row r="948" spans="1:3" ht="13" x14ac:dyDescent="0.15">
      <c r="A948" s="10"/>
      <c r="B948" s="13"/>
      <c r="C948" s="13"/>
    </row>
    <row r="949" spans="1:3" ht="13" x14ac:dyDescent="0.15">
      <c r="A949" s="10"/>
      <c r="B949" s="13"/>
      <c r="C949" s="13"/>
    </row>
    <row r="950" spans="1:3" ht="13" x14ac:dyDescent="0.15">
      <c r="A950" s="10"/>
      <c r="B950" s="13"/>
      <c r="C950" s="13"/>
    </row>
    <row r="951" spans="1:3" ht="13" x14ac:dyDescent="0.15">
      <c r="A951" s="10"/>
      <c r="B951" s="13"/>
      <c r="C951" s="13"/>
    </row>
    <row r="952" spans="1:3" ht="13" x14ac:dyDescent="0.15">
      <c r="A952" s="10"/>
      <c r="B952" s="13"/>
      <c r="C952" s="13"/>
    </row>
    <row r="953" spans="1:3" ht="13" x14ac:dyDescent="0.15">
      <c r="A953" s="10"/>
      <c r="B953" s="13"/>
      <c r="C953" s="13"/>
    </row>
    <row r="954" spans="1:3" ht="13" x14ac:dyDescent="0.15">
      <c r="A954" s="10"/>
      <c r="B954" s="13"/>
      <c r="C954" s="13"/>
    </row>
    <row r="955" spans="1:3" ht="13" x14ac:dyDescent="0.15">
      <c r="A955" s="10"/>
      <c r="B955" s="13"/>
      <c r="C955" s="13"/>
    </row>
    <row r="956" spans="1:3" ht="13" x14ac:dyDescent="0.15">
      <c r="A956" s="10"/>
      <c r="B956" s="13"/>
      <c r="C956" s="13"/>
    </row>
    <row r="957" spans="1:3" ht="13" x14ac:dyDescent="0.15">
      <c r="A957" s="10"/>
      <c r="B957" s="13"/>
      <c r="C957" s="13"/>
    </row>
    <row r="958" spans="1:3" ht="13" x14ac:dyDescent="0.15">
      <c r="A958" s="10"/>
      <c r="B958" s="13"/>
      <c r="C958" s="13"/>
    </row>
    <row r="959" spans="1:3" ht="13" x14ac:dyDescent="0.15">
      <c r="A959" s="10"/>
      <c r="B959" s="13"/>
      <c r="C959" s="13"/>
    </row>
    <row r="960" spans="1:3" ht="13" x14ac:dyDescent="0.15">
      <c r="A960" s="10"/>
      <c r="B960" s="13"/>
      <c r="C960" s="13"/>
    </row>
    <row r="961" spans="1:3" ht="13" x14ac:dyDescent="0.15">
      <c r="A961" s="10"/>
      <c r="B961" s="13"/>
      <c r="C961" s="13"/>
    </row>
    <row r="962" spans="1:3" ht="13" x14ac:dyDescent="0.15">
      <c r="A962" s="10"/>
      <c r="B962" s="13"/>
      <c r="C962" s="13"/>
    </row>
    <row r="963" spans="1:3" ht="13" x14ac:dyDescent="0.15">
      <c r="A963" s="10"/>
      <c r="B963" s="13"/>
      <c r="C963" s="13"/>
    </row>
    <row r="964" spans="1:3" ht="13" x14ac:dyDescent="0.15">
      <c r="A964" s="10"/>
      <c r="B964" s="13"/>
      <c r="C964" s="13"/>
    </row>
    <row r="965" spans="1:3" ht="13" x14ac:dyDescent="0.15">
      <c r="A965" s="10"/>
      <c r="B965" s="13"/>
      <c r="C965" s="13"/>
    </row>
    <row r="966" spans="1:3" ht="13" x14ac:dyDescent="0.15">
      <c r="A966" s="10"/>
      <c r="B966" s="13"/>
      <c r="C966" s="13"/>
    </row>
    <row r="967" spans="1:3" ht="13" x14ac:dyDescent="0.15">
      <c r="A967" s="10"/>
      <c r="B967" s="13"/>
      <c r="C967" s="13"/>
    </row>
    <row r="968" spans="1:3" ht="13" x14ac:dyDescent="0.15">
      <c r="A968" s="10"/>
      <c r="B968" s="13"/>
      <c r="C968" s="13"/>
    </row>
    <row r="969" spans="1:3" ht="13" x14ac:dyDescent="0.15">
      <c r="A969" s="10"/>
      <c r="B969" s="13"/>
      <c r="C969" s="13"/>
    </row>
    <row r="970" spans="1:3" ht="13" x14ac:dyDescent="0.15">
      <c r="A970" s="10"/>
      <c r="B970" s="13"/>
      <c r="C970" s="13"/>
    </row>
    <row r="971" spans="1:3" ht="13" x14ac:dyDescent="0.15">
      <c r="A971" s="10"/>
      <c r="B971" s="13"/>
      <c r="C971" s="13"/>
    </row>
    <row r="972" spans="1:3" ht="13" x14ac:dyDescent="0.15">
      <c r="A972" s="10"/>
      <c r="B972" s="13"/>
      <c r="C972" s="13"/>
    </row>
    <row r="973" spans="1:3" ht="13" x14ac:dyDescent="0.15">
      <c r="A973" s="10"/>
      <c r="B973" s="13"/>
      <c r="C973" s="13"/>
    </row>
    <row r="974" spans="1:3" ht="13" x14ac:dyDescent="0.15">
      <c r="A974" s="10"/>
      <c r="B974" s="13"/>
      <c r="C974" s="13"/>
    </row>
    <row r="975" spans="1:3" ht="13" x14ac:dyDescent="0.15">
      <c r="A975" s="10"/>
      <c r="B975" s="13"/>
      <c r="C975" s="13"/>
    </row>
    <row r="976" spans="1:3" ht="13" x14ac:dyDescent="0.15">
      <c r="A976" s="10"/>
      <c r="B976" s="13"/>
      <c r="C976" s="13"/>
    </row>
    <row r="977" spans="1:3" ht="13" x14ac:dyDescent="0.15">
      <c r="A977" s="10"/>
      <c r="B977" s="13"/>
      <c r="C977" s="13"/>
    </row>
    <row r="978" spans="1:3" ht="13" x14ac:dyDescent="0.15">
      <c r="A978" s="10"/>
      <c r="B978" s="13"/>
      <c r="C978" s="13"/>
    </row>
    <row r="979" spans="1:3" ht="13" x14ac:dyDescent="0.15">
      <c r="A979" s="10"/>
      <c r="B979" s="13"/>
      <c r="C979" s="13"/>
    </row>
    <row r="980" spans="1:3" ht="13" x14ac:dyDescent="0.15">
      <c r="A980" s="10"/>
      <c r="B980" s="13"/>
      <c r="C980" s="13"/>
    </row>
    <row r="981" spans="1:3" ht="13" x14ac:dyDescent="0.15">
      <c r="A981" s="10"/>
      <c r="B981" s="13"/>
      <c r="C981" s="13"/>
    </row>
    <row r="982" spans="1:3" ht="13" x14ac:dyDescent="0.15">
      <c r="A982" s="10"/>
      <c r="B982" s="13"/>
      <c r="C982" s="13"/>
    </row>
    <row r="983" spans="1:3" ht="13" x14ac:dyDescent="0.15">
      <c r="A983" s="10"/>
      <c r="B983" s="13"/>
      <c r="C983" s="13"/>
    </row>
    <row r="984" spans="1:3" ht="13" x14ac:dyDescent="0.15">
      <c r="A984" s="10"/>
      <c r="B984" s="13"/>
      <c r="C984" s="13"/>
    </row>
    <row r="985" spans="1:3" ht="13" x14ac:dyDescent="0.15">
      <c r="A985" s="10"/>
      <c r="B985" s="13"/>
      <c r="C985" s="13"/>
    </row>
    <row r="986" spans="1:3" ht="13" x14ac:dyDescent="0.15">
      <c r="A986" s="10"/>
      <c r="B986" s="13"/>
      <c r="C986" s="13"/>
    </row>
    <row r="987" spans="1:3" ht="13" x14ac:dyDescent="0.15">
      <c r="A987" s="10"/>
      <c r="B987" s="13"/>
      <c r="C987" s="13"/>
    </row>
    <row r="988" spans="1:3" ht="13" x14ac:dyDescent="0.15">
      <c r="A988" s="10"/>
      <c r="B988" s="13"/>
      <c r="C988" s="13"/>
    </row>
    <row r="989" spans="1:3" ht="13" x14ac:dyDescent="0.15">
      <c r="A989" s="10"/>
      <c r="B989" s="13"/>
      <c r="C989" s="13"/>
    </row>
    <row r="990" spans="1:3" ht="13" x14ac:dyDescent="0.15">
      <c r="A990" s="10"/>
      <c r="B990" s="13"/>
      <c r="C990" s="13"/>
    </row>
    <row r="991" spans="1:3" ht="13" x14ac:dyDescent="0.15">
      <c r="A991" s="10"/>
      <c r="B991" s="13"/>
      <c r="C991" s="13"/>
    </row>
    <row r="992" spans="1:3" ht="13" x14ac:dyDescent="0.15">
      <c r="A992" s="10"/>
      <c r="B992" s="13"/>
      <c r="C992" s="13"/>
    </row>
    <row r="993" spans="1:3" ht="13" x14ac:dyDescent="0.15">
      <c r="A993" s="10"/>
      <c r="B993" s="13"/>
      <c r="C993" s="13"/>
    </row>
    <row r="994" spans="1:3" ht="13" x14ac:dyDescent="0.15">
      <c r="A994" s="10"/>
      <c r="B994" s="13"/>
      <c r="C994" s="13"/>
    </row>
    <row r="995" spans="1:3" ht="13" x14ac:dyDescent="0.15">
      <c r="A995" s="10"/>
      <c r="B995" s="13"/>
      <c r="C995" s="13"/>
    </row>
    <row r="996" spans="1:3" ht="13" x14ac:dyDescent="0.15">
      <c r="A996" s="10"/>
      <c r="B996" s="13"/>
      <c r="C996" s="13"/>
    </row>
    <row r="997" spans="1:3" ht="13" x14ac:dyDescent="0.15">
      <c r="A997" s="10"/>
      <c r="B997" s="13"/>
      <c r="C997" s="13"/>
    </row>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outlinePr summaryBelow="0" summaryRight="0"/>
  </sheetPr>
  <dimension ref="A1:D997"/>
  <sheetViews>
    <sheetView workbookViewId="0"/>
  </sheetViews>
  <sheetFormatPr baseColWidth="10" defaultColWidth="12.6640625" defaultRowHeight="15.75" customHeight="1" x14ac:dyDescent="0.15"/>
  <cols>
    <col min="1" max="1" width="71.5" customWidth="1"/>
    <col min="2" max="4" width="37.6640625" customWidth="1"/>
  </cols>
  <sheetData>
    <row r="1" spans="1:4" ht="15.75" customHeight="1" x14ac:dyDescent="0.15">
      <c r="A1" s="1"/>
      <c r="B1" s="12" t="str">
        <f ca="1">IFERROR(__xludf.DUMMYFUNCTION("IMPORTRANGE(""https://docs.google.com/spreadsheets/d/1C06Vs6H0Eg3__x1-dePLdZcY_bo1r3ReCeWRxqLlaS4"",""A72!B1:B22"")"),"Layla Baldwin")</f>
        <v>Layla Baldwin</v>
      </c>
      <c r="C1" s="10" t="str">
        <f ca="1">IFERROR(__xludf.DUMMYFUNCTION("IMPORTRANGE(""https://docs.google.com/spreadsheets/u/0/d/1DTeUShR903oScgwuFGuA8V8JqIoXmME8W-T3lNP0oHM"", ""A72!B1:B22"")"),"McKinzie Novak")</f>
        <v>McKinzie Novak</v>
      </c>
      <c r="D1" s="2" t="s">
        <v>1</v>
      </c>
    </row>
    <row r="2" spans="1:4" ht="15.75" customHeight="1" x14ac:dyDescent="0.15">
      <c r="A2" s="3" t="s">
        <v>2</v>
      </c>
      <c r="B2" s="15" t="str">
        <f ca="1">IFERROR(__xludf.DUMMYFUNCTION("""COMPUTED_VALUE"""),"45177 - 45401 forward")</f>
        <v>45177 - 45401 forward</v>
      </c>
      <c r="C2" s="15" t="str">
        <f ca="1">IFERROR(__xludf.DUMMYFUNCTION("""COMPUTED_VALUE"""),"START: 45177
STOP: 45401
FORWARD")</f>
        <v>START: 45177
STOP: 45401
FORWARD</v>
      </c>
      <c r="D2" s="4"/>
    </row>
    <row r="3" spans="1:4" ht="15.75" customHeight="1" x14ac:dyDescent="0.15">
      <c r="A3" s="5" t="s">
        <v>3</v>
      </c>
      <c r="B3" s="17" t="str">
        <f ca="1">IFERROR(__xludf.DUMMYFUNCTION("""COMPUTED_VALUE"""),"72 in Pham and PDB, 71 in DNAM")</f>
        <v>72 in Pham and PDB, 71 in DNAM</v>
      </c>
      <c r="C3" s="17" t="str">
        <f ca="1">IFERROR(__xludf.DUMMYFUNCTION("""COMPUTED_VALUE"""),"DNAM: 71
PHAM: 72
Phagesdb: 72")</f>
        <v>DNAM: 71
PHAM: 72
Phagesdb: 72</v>
      </c>
      <c r="D3" s="6"/>
    </row>
    <row r="4" spans="1:4" ht="15.75" customHeight="1" x14ac:dyDescent="0.15">
      <c r="A4" s="5" t="s">
        <v>4</v>
      </c>
      <c r="B4" s="17" t="str">
        <f ca="1">IFERROR(__xludf.DUMMYFUNCTION("""COMPUTED_VALUE"""),"209460 3/14/25")</f>
        <v>209460 3/14/25</v>
      </c>
      <c r="C4" s="17" t="str">
        <f ca="1">IFERROR(__xludf.DUMMYFUNCTION("""COMPUTED_VALUE"""),"#209460   3/12/25")</f>
        <v>#209460   3/12/25</v>
      </c>
      <c r="D4" s="6"/>
    </row>
    <row r="5" spans="1:4" ht="15.75" customHeight="1" x14ac:dyDescent="0.15">
      <c r="A5" s="5" t="s">
        <v>5</v>
      </c>
      <c r="B5" s="17" t="str">
        <f ca="1">IFERROR(__xludf.DUMMYFUNCTION("""COMPUTED_VALUE"""),"Kovu_70, Kharcho_48, Ottawa_48")</f>
        <v>Kovu_70, Kharcho_48, Ottawa_48</v>
      </c>
      <c r="C5" s="17" t="str">
        <f ca="1">IFERROR(__xludf.DUMMYFUNCTION("""COMPUTED_VALUE"""),"Kovu #70 &amp; Kharcho #48")</f>
        <v>Kovu #70 &amp; Kharcho #48</v>
      </c>
      <c r="D5" s="6"/>
    </row>
    <row r="6" spans="1:4" ht="15.75" customHeight="1" x14ac:dyDescent="0.15">
      <c r="A6" s="5" t="s">
        <v>6</v>
      </c>
      <c r="B6" s="17" t="str">
        <f ca="1">IFERROR(__xludf.DUMMYFUNCTION("""COMPUTED_VALUE"""),"Both call")</f>
        <v>Both call</v>
      </c>
      <c r="C6" s="17" t="str">
        <f ca="1">IFERROR(__xludf.DUMMYFUNCTION("""COMPUTED_VALUE"""),"Both glimmer and genemark call 45177 as the preferred start")</f>
        <v>Both glimmer and genemark call 45177 as the preferred start</v>
      </c>
      <c r="D6" s="6"/>
    </row>
    <row r="7" spans="1:4" ht="15.75" customHeight="1" x14ac:dyDescent="0.15">
      <c r="A7" s="5" t="s">
        <v>7</v>
      </c>
      <c r="B7" s="17" t="str">
        <f ca="1">IFERROR(__xludf.DUMMYFUNCTION("""COMPUTED_VALUE"""),"Overall good potential, last little bit misses out on some potential. Start captures potential.")</f>
        <v>Overall good potential, last little bit misses out on some potential. Start captures potential.</v>
      </c>
      <c r="C7" s="17" t="str">
        <f ca="1">IFERROR(__xludf.DUMMYFUNCTION("""COMPUTED_VALUE"""),"It has good coding potential but crashes down towards the beginning of the gene, all of it is still captured")</f>
        <v>It has good coding potential but crashes down towards the beginning of the gene, all of it is still captured</v>
      </c>
      <c r="D7" s="6"/>
    </row>
    <row r="8" spans="1:4" ht="15.75" customHeight="1" x14ac:dyDescent="0.15">
      <c r="A8" s="5" t="s">
        <v>8</v>
      </c>
      <c r="B8" s="17" t="str">
        <f ca="1">IFERROR(__xludf.DUMMYFUNCTION("""COMPUTED_VALUE"""),"No, two previous starts")</f>
        <v>No, two previous starts</v>
      </c>
      <c r="C8" s="17" t="str">
        <f ca="1">IFERROR(__xludf.DUMMYFUNCTION("""COMPUTED_VALUE"""),"No, there are two earlier starts 45147 &amp; 45156")</f>
        <v>No, there are two earlier starts 45147 &amp; 45156</v>
      </c>
      <c r="D8" s="6"/>
    </row>
    <row r="9" spans="1:4" ht="15.75" customHeight="1" x14ac:dyDescent="0.15">
      <c r="A9" s="5" t="s">
        <v>9</v>
      </c>
      <c r="B9" s="17" t="str">
        <f ca="1">IFERROR(__xludf.DUMMYFUNCTION("""COMPUTED_VALUE"""),"40 bp gap")</f>
        <v>40 bp gap</v>
      </c>
      <c r="C9" s="17" t="str">
        <f ca="1">IFERROR(__xludf.DUMMYFUNCTION("""COMPUTED_VALUE"""),"The called start has a 40 base pair gap from the previous gene.")</f>
        <v>The called start has a 40 base pair gap from the previous gene.</v>
      </c>
      <c r="D9" s="6"/>
    </row>
    <row r="10" spans="1:4" ht="15.75" customHeight="1" x14ac:dyDescent="0.15">
      <c r="A10" s="5" t="s">
        <v>10</v>
      </c>
      <c r="B10" s="17" t="str">
        <f ca="1">IFERROR(__xludf.DUMMYFUNCTION("""COMPUTED_VALUE"""),"Z = 1.932, final = -4.997. Second start has best scores, Z = 2.643, final = -4.432")</f>
        <v>Z = 1.932, final = -4.997. Second start has best scores, Z = 2.643, final = -4.432</v>
      </c>
      <c r="C10" s="17" t="str">
        <f ca="1">IFERROR(__xludf.DUMMYFUNCTION("""COMPUTED_VALUE"""),"Start: 45177 z-val: 1.932 rbs: -4.42
Start: 45156 z-val: 2.643 rbs: -4.99")</f>
        <v>Start: 45177 z-val: 1.932 rbs: -4.42
Start: 45156 z-val: 2.643 rbs: -4.99</v>
      </c>
      <c r="D10" s="6"/>
    </row>
    <row r="11" spans="1:4" ht="15.75" customHeight="1" x14ac:dyDescent="0.15">
      <c r="A11" s="5" t="s">
        <v>11</v>
      </c>
      <c r="B11" s="17" t="str">
        <f ca="1">IFERROR(__xludf.DUMMYFUNCTION("""COMPUTED_VALUE"""),"Kovu, identity = 95.95, e = 4.9e-44, q1:s8. Kharcho_48, identiy = 52.78, e = 1.2e-17, q3:s9.")</f>
        <v>Kovu, identity = 95.95, e = 4.9e-44, q1:s8. Kharcho_48, identiy = 52.78, e = 1.2e-17, q3:s9.</v>
      </c>
      <c r="C11" s="17" t="str">
        <f ca="1">IFERROR(__xludf.DUMMYFUNCTION("""COMPUTED_VALUE"""),"Kovu#70 ; %ID:95.9 e-val:4.9e-44
Q:1 S:8 &amp; 
Kharcho#48; %ID:52.8 e-val:1.2e-17
Q:3 S:9")</f>
        <v>Kovu#70 ; %ID:95.9 e-val:4.9e-44
Q:1 S:8 &amp; 
Kharcho#48; %ID:52.8 e-val:1.2e-17
Q:3 S:9</v>
      </c>
      <c r="D11" s="6"/>
    </row>
    <row r="12" spans="1:4" ht="15.75" customHeight="1" x14ac:dyDescent="0.15">
      <c r="A12" s="5" t="s">
        <v>12</v>
      </c>
      <c r="B12" s="17" t="str">
        <f ca="1">IFERROR(__xludf.DUMMYFUNCTION("""COMPUTED_VALUE"""),"Called start in 50% of members and only called 50% of the time when present. Second start is found in all members and called 75% of the time. ")</f>
        <v xml:space="preserve">Called start in 50% of members and only called 50% of the time when present. Second start is found in all members and called 75% of the time. </v>
      </c>
      <c r="C12" s="17" t="str">
        <f ca="1">IFERROR(__xludf.DUMMYFUNCTION("""COMPUTED_VALUE"""),"No, Kovu has this start (#3) but calls an earlier start (#2) with every other phage; Apokipo does have start #2 with the better z-score")</f>
        <v>No, Kovu has this start (#3) but calls an earlier start (#2) with every other phage; Apokipo does have start #2 with the better z-score</v>
      </c>
      <c r="D12" s="6"/>
    </row>
    <row r="13" spans="1:4" ht="15.75" customHeight="1" x14ac:dyDescent="0.15">
      <c r="A13" s="5" t="s">
        <v>13</v>
      </c>
      <c r="B13" s="17" t="str">
        <f ca="1">IFERROR(__xludf.DUMMYFUNCTION("""COMPUTED_VALUE"""),"Yes, to 45156. With called start, there is a large gap and moving the start would fix that, also starterator supports. Moving the start would not affect coding potential.")</f>
        <v>Yes, to 45156. With called start, there is a large gap and moving the start would fix that, also starterator supports. Moving the start would not affect coding potential.</v>
      </c>
      <c r="C13" s="17" t="str">
        <f ca="1">IFERROR(__xludf.DUMMYFUNCTION("""COMPUTED_VALUE"""),"Yes, the start is being pushed back, can pick up some odd coding potential in genemark, the other one is more conserved and has the better z-score.")</f>
        <v>Yes, the start is being pushed back, can pick up some odd coding potential in genemark, the other one is more conserved and has the better z-score.</v>
      </c>
      <c r="D13" s="6"/>
    </row>
    <row r="14" spans="1:4" ht="15.75" customHeight="1" x14ac:dyDescent="0.15">
      <c r="A14" s="5" t="s">
        <v>14</v>
      </c>
      <c r="B14" s="17" t="str">
        <f ca="1">IFERROR(__xludf.DUMMYFUNCTION("""COMPUTED_VALUE"""),"Kovu_70 e= 8e-36, Ottawa_48 e = 4e-15")</f>
        <v>Kovu_70 e= 8e-36, Ottawa_48 e = 4e-15</v>
      </c>
      <c r="C14" s="17" t="str">
        <f ca="1">IFERROR(__xludf.DUMMYFUNCTION("""COMPUTED_VALUE"""),"Kovu #70 e-val: 4.9e-44 &amp; 
Kharcho #48 e-val: 1.2e-17")</f>
        <v>Kovu #70 e-val: 4.9e-44 &amp; 
Kharcho #48 e-val: 1.2e-17</v>
      </c>
      <c r="D14" s="6"/>
    </row>
    <row r="15" spans="1:4" ht="15.75" customHeight="1" x14ac:dyDescent="0.15">
      <c r="A15" s="5" t="s">
        <v>15</v>
      </c>
      <c r="B15" s="17" t="str">
        <f ca="1">IFERROR(__xludf.DUMMYFUNCTION("""COMPUTED_VALUE"""),"unknown, NCBI said Kovu's function was membrane protein")</f>
        <v>unknown, NCBI said Kovu's function was membrane protein</v>
      </c>
      <c r="C15" s="17" t="str">
        <f ca="1">IFERROR(__xludf.DUMMYFUNCTION("""COMPUTED_VALUE"""),"Kovu #70 is a membrane protein, and Kharcho #48 is a hypothetical protein")</f>
        <v>Kovu #70 is a membrane protein, and Kharcho #48 is a hypothetical protein</v>
      </c>
      <c r="D15" s="6"/>
    </row>
    <row r="16" spans="1:4" ht="15.75" customHeight="1" x14ac:dyDescent="0.15">
      <c r="A16" s="5" t="s">
        <v>16</v>
      </c>
      <c r="B16" s="17" t="str">
        <f ca="1">IFERROR(__xludf.DUMMYFUNCTION("""COMPUTED_VALUE"""),"Yes ")</f>
        <v xml:space="preserve">Yes </v>
      </c>
      <c r="C16" s="17" t="str">
        <f ca="1">IFERROR(__xludf.DUMMYFUNCTION("""COMPUTED_VALUE"""),"The gene fits in its genetic environment pretty well, adjacent genes include a minor tail protein and a hypothetical that have good alignment.")</f>
        <v>The gene fits in its genetic environment pretty well, adjacent genes include a minor tail protein and a hypothetical that have good alignment.</v>
      </c>
      <c r="D16" s="6"/>
    </row>
    <row r="17" spans="1:4" ht="15.75" customHeight="1" x14ac:dyDescent="0.15">
      <c r="A17" s="5" t="s">
        <v>17</v>
      </c>
      <c r="B17" s="17" t="str">
        <f ca="1">IFERROR(__xludf.DUMMYFUNCTION("""COMPUTED_VALUE"""),"Cell division protein FtsB; FtsWIQLB, Gram-negative bacteria, membrane protein, divisome, CELL CYCLE;{Pseudomonas aeruginosa}, probability = 97.59, aoq = 80, aot = 63, no functional domain")</f>
        <v>Cell division protein FtsB; FtsWIQLB, Gram-negative bacteria, membrane protein, divisome, CELL CYCLE;{Pseudomonas aeruginosa}, probability = 97.59, aoq = 80, aot = 63, no functional domain</v>
      </c>
      <c r="C17" s="17" t="str">
        <f ca="1">IFERROR(__xludf.DUMMYFUNCTION("""COMPUTED_VALUE"""),"DESC: Cell division protein FtsB; bacterial cell division, divisome, CELL CYCLE; 2.6A {Escherichia coli K-12}
Prob:98.06 %ALQ:71.6 %ALT:51.5
No, functional domain is not included within this amino acid sequence. (Hypothetical then)")</f>
        <v>DESC: Cell division protein FtsB; bacterial cell division, divisome, CELL CYCLE; 2.6A {Escherichia coli K-12}
Prob:98.06 %ALQ:71.6 %ALT:51.5
No, functional domain is not included within this amino acid sequence. (Hypothetical then)</v>
      </c>
      <c r="D17" s="6"/>
    </row>
    <row r="18" spans="1:4" ht="15.75" customHeight="1" x14ac:dyDescent="0.15">
      <c r="A18" s="5" t="s">
        <v>18</v>
      </c>
      <c r="B18" s="17" t="str">
        <f ca="1">IFERROR(__xludf.DUMMYFUNCTION("""COMPUTED_VALUE"""),"No")</f>
        <v>No</v>
      </c>
      <c r="C18" s="17" t="str">
        <f ca="1">IFERROR(__xludf.DUMMYFUNCTION("""COMPUTED_VALUE"""),"No - DUF (did not match with any cell division domains)")</f>
        <v>No - DUF (did not match with any cell division domains)</v>
      </c>
      <c r="D18" s="6"/>
    </row>
    <row r="19" spans="1:4" ht="15.75" customHeight="1" x14ac:dyDescent="0.15">
      <c r="A19" s="5" t="s">
        <v>19</v>
      </c>
      <c r="B19" s="17" t="str">
        <f ca="1">IFERROR(__xludf.DUMMYFUNCTION("""COMPUTED_VALUE"""),"No in Pham, yes in website?")</f>
        <v>No in Pham, yes in website?</v>
      </c>
      <c r="C19" s="17" t="str">
        <f ca="1">IFERROR(__xludf.DUMMYFUNCTION("""COMPUTED_VALUE"""),"None, but sosui doesn't support kovu either (this is really tripping me up) ")</f>
        <v xml:space="preserve">None, but sosui doesn't support kovu either (this is really tripping me up) </v>
      </c>
      <c r="D19" s="6"/>
    </row>
    <row r="20" spans="1:4" ht="15.75" customHeight="1" x14ac:dyDescent="0.15">
      <c r="A20" s="5" t="s">
        <v>20</v>
      </c>
      <c r="B20" s="17" t="str">
        <f ca="1">IFERROR(__xludf.DUMMYFUNCTION("""COMPUTED_VALUE"""),"Hypothetical protein for now look at TMHMM results again")</f>
        <v>Hypothetical protein for now look at TMHMM results again</v>
      </c>
      <c r="C20" s="17" t="str">
        <f ca="1">IFERROR(__xludf.DUMMYFUNCTION("""COMPUTED_VALUE"""),"Hypothetical protein (I say with skepticism)")</f>
        <v>Hypothetical protein (I say with skepticism)</v>
      </c>
      <c r="D20" s="6"/>
    </row>
    <row r="21" spans="1:4" x14ac:dyDescent="0.2">
      <c r="A21" s="7"/>
      <c r="B21" s="19"/>
      <c r="C21" s="19"/>
      <c r="D21" s="8"/>
    </row>
    <row r="22" spans="1:4" ht="15.75" customHeight="1" x14ac:dyDescent="0.15">
      <c r="A22" s="9" t="s">
        <v>21</v>
      </c>
      <c r="B22" s="19" t="str">
        <f ca="1">IFERROR(__xludf.DUMMYFUNCTION("""COMPUTED_VALUE"""),"Membrane protein?")</f>
        <v>Membrane protein?</v>
      </c>
      <c r="C22" s="19"/>
      <c r="D22" s="8"/>
    </row>
    <row r="23" spans="1:4" ht="15.75" customHeight="1" x14ac:dyDescent="0.15">
      <c r="A23" s="10"/>
      <c r="B23" s="13"/>
      <c r="C23" s="13"/>
    </row>
    <row r="24" spans="1:4" ht="15.75" customHeight="1" x14ac:dyDescent="0.15">
      <c r="A24" s="10"/>
      <c r="B24" s="13"/>
      <c r="C24" s="13"/>
    </row>
    <row r="25" spans="1:4" ht="15.75" customHeight="1" x14ac:dyDescent="0.15">
      <c r="A25" s="10"/>
      <c r="B25" s="13"/>
      <c r="C25" s="13"/>
    </row>
    <row r="26" spans="1:4" ht="15.75" customHeight="1" x14ac:dyDescent="0.15">
      <c r="A26" s="10"/>
      <c r="B26" s="13"/>
      <c r="C26" s="13"/>
    </row>
    <row r="27" spans="1:4" ht="15.75" customHeight="1" x14ac:dyDescent="0.15">
      <c r="A27" s="10"/>
      <c r="B27" s="13"/>
      <c r="C27" s="13"/>
    </row>
    <row r="28" spans="1:4" ht="15.75" customHeight="1" x14ac:dyDescent="0.15">
      <c r="A28" s="10"/>
      <c r="B28" s="13"/>
      <c r="C28" s="13"/>
    </row>
    <row r="29" spans="1:4" ht="15.75" customHeight="1" x14ac:dyDescent="0.15">
      <c r="A29" s="10"/>
      <c r="B29" s="13"/>
      <c r="C29" s="13"/>
    </row>
    <row r="30" spans="1:4" ht="15.75" customHeight="1" x14ac:dyDescent="0.15">
      <c r="A30" s="10"/>
      <c r="B30" s="13"/>
      <c r="C30" s="13"/>
    </row>
    <row r="31" spans="1:4" ht="15.75" customHeight="1" x14ac:dyDescent="0.15">
      <c r="A31" s="10"/>
      <c r="B31" s="13"/>
      <c r="C31" s="13"/>
    </row>
    <row r="32" spans="1:4" ht="15.75" customHeight="1" x14ac:dyDescent="0.15">
      <c r="A32" s="10"/>
      <c r="B32" s="13"/>
      <c r="C32" s="13"/>
    </row>
    <row r="33" spans="1:3" ht="15.75" customHeight="1" x14ac:dyDescent="0.15">
      <c r="A33" s="10"/>
      <c r="B33" s="13"/>
      <c r="C33" s="13"/>
    </row>
    <row r="34" spans="1:3" ht="15.75" customHeight="1" x14ac:dyDescent="0.15">
      <c r="A34" s="10"/>
      <c r="B34" s="13"/>
      <c r="C34" s="13"/>
    </row>
    <row r="35" spans="1:3" ht="15.75" customHeight="1" x14ac:dyDescent="0.15">
      <c r="A35" s="10"/>
      <c r="B35" s="13"/>
      <c r="C35" s="13"/>
    </row>
    <row r="36" spans="1:3" ht="15.75" customHeight="1" x14ac:dyDescent="0.15">
      <c r="A36" s="10"/>
      <c r="B36" s="13"/>
      <c r="C36" s="13"/>
    </row>
    <row r="37" spans="1:3" ht="15.75" customHeight="1" x14ac:dyDescent="0.15">
      <c r="A37" s="10"/>
      <c r="B37" s="13"/>
      <c r="C37" s="13"/>
    </row>
    <row r="38" spans="1:3" ht="15.75" customHeight="1" x14ac:dyDescent="0.15">
      <c r="A38" s="10"/>
      <c r="B38" s="13"/>
      <c r="C38" s="13"/>
    </row>
    <row r="39" spans="1:3" ht="13" x14ac:dyDescent="0.15">
      <c r="A39" s="10"/>
      <c r="B39" s="13"/>
      <c r="C39" s="13"/>
    </row>
    <row r="40" spans="1:3" ht="13" x14ac:dyDescent="0.15">
      <c r="A40" s="10"/>
      <c r="B40" s="13"/>
      <c r="C40" s="13"/>
    </row>
    <row r="41" spans="1:3" ht="13" x14ac:dyDescent="0.15">
      <c r="A41" s="10"/>
      <c r="B41" s="13"/>
      <c r="C41" s="13"/>
    </row>
    <row r="42" spans="1:3" ht="13" x14ac:dyDescent="0.15">
      <c r="A42" s="10"/>
      <c r="B42" s="13"/>
      <c r="C42" s="13"/>
    </row>
    <row r="43" spans="1:3" ht="13" x14ac:dyDescent="0.15">
      <c r="A43" s="10"/>
      <c r="B43" s="13"/>
      <c r="C43" s="13"/>
    </row>
    <row r="44" spans="1:3" ht="13" x14ac:dyDescent="0.15">
      <c r="A44" s="10"/>
      <c r="B44" s="13"/>
      <c r="C44" s="13"/>
    </row>
    <row r="45" spans="1:3" ht="13" x14ac:dyDescent="0.15">
      <c r="A45" s="10"/>
      <c r="B45" s="13"/>
      <c r="C45" s="13"/>
    </row>
    <row r="46" spans="1:3" ht="13" x14ac:dyDescent="0.15">
      <c r="A46" s="10"/>
      <c r="B46" s="13"/>
      <c r="C46" s="13"/>
    </row>
    <row r="47" spans="1:3" ht="13" x14ac:dyDescent="0.15">
      <c r="A47" s="10"/>
      <c r="B47" s="13"/>
      <c r="C47" s="13"/>
    </row>
    <row r="48" spans="1:3" ht="13" x14ac:dyDescent="0.15">
      <c r="A48" s="10"/>
      <c r="B48" s="13"/>
      <c r="C48" s="13"/>
    </row>
    <row r="49" spans="1:3" ht="13" x14ac:dyDescent="0.15">
      <c r="A49" s="10"/>
      <c r="B49" s="13"/>
      <c r="C49" s="13"/>
    </row>
    <row r="50" spans="1:3" ht="13" x14ac:dyDescent="0.15">
      <c r="A50" s="10"/>
      <c r="B50" s="13"/>
      <c r="C50" s="13"/>
    </row>
    <row r="51" spans="1:3" ht="13" x14ac:dyDescent="0.15">
      <c r="A51" s="10"/>
      <c r="B51" s="13"/>
      <c r="C51" s="13"/>
    </row>
    <row r="52" spans="1:3" ht="13" x14ac:dyDescent="0.15">
      <c r="A52" s="10"/>
      <c r="B52" s="13"/>
      <c r="C52" s="13"/>
    </row>
    <row r="53" spans="1:3" ht="13" x14ac:dyDescent="0.15">
      <c r="A53" s="10"/>
      <c r="B53" s="13"/>
      <c r="C53" s="13"/>
    </row>
    <row r="54" spans="1:3" ht="13" x14ac:dyDescent="0.15">
      <c r="A54" s="10"/>
      <c r="B54" s="13"/>
      <c r="C54" s="13"/>
    </row>
    <row r="55" spans="1:3" ht="13" x14ac:dyDescent="0.15">
      <c r="A55" s="10"/>
      <c r="B55" s="13"/>
      <c r="C55" s="13"/>
    </row>
    <row r="56" spans="1:3" ht="13" x14ac:dyDescent="0.15">
      <c r="A56" s="10"/>
      <c r="B56" s="13"/>
      <c r="C56" s="13"/>
    </row>
    <row r="57" spans="1:3" ht="13" x14ac:dyDescent="0.15">
      <c r="A57" s="10"/>
      <c r="B57" s="13"/>
      <c r="C57" s="13"/>
    </row>
    <row r="58" spans="1:3" ht="13" x14ac:dyDescent="0.15">
      <c r="A58" s="10"/>
      <c r="B58" s="13"/>
      <c r="C58" s="13"/>
    </row>
    <row r="59" spans="1:3" ht="13" x14ac:dyDescent="0.15">
      <c r="A59" s="10"/>
      <c r="B59" s="13"/>
      <c r="C59" s="13"/>
    </row>
    <row r="60" spans="1:3" ht="13" x14ac:dyDescent="0.15">
      <c r="A60" s="10"/>
      <c r="B60" s="13"/>
      <c r="C60" s="13"/>
    </row>
    <row r="61" spans="1:3" ht="13" x14ac:dyDescent="0.15">
      <c r="A61" s="10"/>
      <c r="B61" s="13"/>
      <c r="C61" s="13"/>
    </row>
    <row r="62" spans="1:3" ht="13" x14ac:dyDescent="0.15">
      <c r="A62" s="10"/>
      <c r="B62" s="13"/>
      <c r="C62" s="13"/>
    </row>
    <row r="63" spans="1:3" ht="13" x14ac:dyDescent="0.15">
      <c r="A63" s="10"/>
      <c r="B63" s="13"/>
      <c r="C63" s="13"/>
    </row>
    <row r="64" spans="1:3" ht="13" x14ac:dyDescent="0.15">
      <c r="A64" s="10"/>
      <c r="B64" s="13"/>
      <c r="C64" s="13"/>
    </row>
    <row r="65" spans="1:3" ht="13" x14ac:dyDescent="0.15">
      <c r="A65" s="10"/>
      <c r="B65" s="13"/>
      <c r="C65" s="13"/>
    </row>
    <row r="66" spans="1:3" ht="13" x14ac:dyDescent="0.15">
      <c r="A66" s="10"/>
      <c r="B66" s="13"/>
      <c r="C66" s="13"/>
    </row>
    <row r="67" spans="1:3" ht="13" x14ac:dyDescent="0.15">
      <c r="A67" s="10"/>
      <c r="B67" s="13"/>
      <c r="C67" s="13"/>
    </row>
    <row r="68" spans="1:3" ht="13" x14ac:dyDescent="0.15">
      <c r="A68" s="10"/>
      <c r="B68" s="13"/>
      <c r="C68" s="13"/>
    </row>
    <row r="69" spans="1:3" ht="13" x14ac:dyDescent="0.15">
      <c r="A69" s="10"/>
      <c r="B69" s="13"/>
      <c r="C69" s="13"/>
    </row>
    <row r="70" spans="1:3" ht="13" x14ac:dyDescent="0.15">
      <c r="A70" s="10"/>
      <c r="B70" s="13"/>
      <c r="C70" s="13"/>
    </row>
    <row r="71" spans="1:3" ht="13" x14ac:dyDescent="0.15">
      <c r="A71" s="10"/>
      <c r="B71" s="13"/>
      <c r="C71" s="13"/>
    </row>
    <row r="72" spans="1:3" ht="13" x14ac:dyDescent="0.15">
      <c r="A72" s="10"/>
      <c r="B72" s="13"/>
      <c r="C72" s="13"/>
    </row>
    <row r="73" spans="1:3" ht="13" x14ac:dyDescent="0.15">
      <c r="A73" s="10"/>
      <c r="B73" s="13"/>
      <c r="C73" s="13"/>
    </row>
    <row r="74" spans="1:3" ht="13" x14ac:dyDescent="0.15">
      <c r="A74" s="10"/>
      <c r="B74" s="13"/>
      <c r="C74" s="13"/>
    </row>
    <row r="75" spans="1:3" ht="13" x14ac:dyDescent="0.15">
      <c r="A75" s="10"/>
      <c r="B75" s="13"/>
      <c r="C75" s="13"/>
    </row>
    <row r="76" spans="1:3" ht="13" x14ac:dyDescent="0.15">
      <c r="A76" s="10"/>
      <c r="B76" s="13"/>
      <c r="C76" s="13"/>
    </row>
    <row r="77" spans="1:3" ht="13" x14ac:dyDescent="0.15">
      <c r="A77" s="10"/>
      <c r="B77" s="13"/>
      <c r="C77" s="13"/>
    </row>
    <row r="78" spans="1:3" ht="13" x14ac:dyDescent="0.15">
      <c r="A78" s="10"/>
      <c r="B78" s="13"/>
      <c r="C78" s="13"/>
    </row>
    <row r="79" spans="1:3" ht="13" x14ac:dyDescent="0.15">
      <c r="A79" s="10"/>
      <c r="B79" s="13"/>
      <c r="C79" s="13"/>
    </row>
    <row r="80" spans="1:3" ht="13" x14ac:dyDescent="0.15">
      <c r="A80" s="10"/>
      <c r="B80" s="13"/>
      <c r="C80" s="13"/>
    </row>
    <row r="81" spans="1:3" ht="13" x14ac:dyDescent="0.15">
      <c r="A81" s="10"/>
      <c r="B81" s="13"/>
      <c r="C81" s="13"/>
    </row>
    <row r="82" spans="1:3" ht="13" x14ac:dyDescent="0.15">
      <c r="A82" s="10"/>
      <c r="B82" s="13"/>
      <c r="C82" s="13"/>
    </row>
    <row r="83" spans="1:3" ht="13" x14ac:dyDescent="0.15">
      <c r="A83" s="10"/>
      <c r="B83" s="13"/>
      <c r="C83" s="13"/>
    </row>
    <row r="84" spans="1:3" ht="13" x14ac:dyDescent="0.15">
      <c r="A84" s="10"/>
      <c r="B84" s="13"/>
      <c r="C84" s="13"/>
    </row>
    <row r="85" spans="1:3" ht="13" x14ac:dyDescent="0.15">
      <c r="A85" s="10"/>
      <c r="B85" s="13"/>
      <c r="C85" s="13"/>
    </row>
    <row r="86" spans="1:3" ht="13" x14ac:dyDescent="0.15">
      <c r="A86" s="10"/>
      <c r="B86" s="13"/>
      <c r="C86" s="13"/>
    </row>
    <row r="87" spans="1:3" ht="13" x14ac:dyDescent="0.15">
      <c r="A87" s="10"/>
      <c r="B87" s="13"/>
      <c r="C87" s="13"/>
    </row>
    <row r="88" spans="1:3" ht="13" x14ac:dyDescent="0.15">
      <c r="A88" s="10"/>
      <c r="B88" s="13"/>
      <c r="C88" s="13"/>
    </row>
    <row r="89" spans="1:3" ht="13" x14ac:dyDescent="0.15">
      <c r="A89" s="10"/>
      <c r="B89" s="13"/>
      <c r="C89" s="13"/>
    </row>
    <row r="90" spans="1:3" ht="13" x14ac:dyDescent="0.15">
      <c r="A90" s="10"/>
      <c r="B90" s="13"/>
      <c r="C90" s="13"/>
    </row>
    <row r="91" spans="1:3" ht="13" x14ac:dyDescent="0.15">
      <c r="A91" s="10"/>
      <c r="B91" s="13"/>
      <c r="C91" s="13"/>
    </row>
    <row r="92" spans="1:3" ht="13" x14ac:dyDescent="0.15">
      <c r="A92" s="10"/>
      <c r="B92" s="13"/>
      <c r="C92" s="13"/>
    </row>
    <row r="93" spans="1:3" ht="13" x14ac:dyDescent="0.15">
      <c r="A93" s="10"/>
      <c r="B93" s="13"/>
      <c r="C93" s="13"/>
    </row>
    <row r="94" spans="1:3" ht="13" x14ac:dyDescent="0.15">
      <c r="A94" s="10"/>
      <c r="B94" s="13"/>
      <c r="C94" s="13"/>
    </row>
    <row r="95" spans="1:3" ht="13" x14ac:dyDescent="0.15">
      <c r="A95" s="10"/>
      <c r="B95" s="13"/>
      <c r="C95" s="13"/>
    </row>
    <row r="96" spans="1:3" ht="13" x14ac:dyDescent="0.15">
      <c r="A96" s="10"/>
      <c r="B96" s="13"/>
      <c r="C96" s="13"/>
    </row>
    <row r="97" spans="1:3" ht="13" x14ac:dyDescent="0.15">
      <c r="A97" s="10"/>
      <c r="B97" s="13"/>
      <c r="C97" s="13"/>
    </row>
    <row r="98" spans="1:3" ht="13" x14ac:dyDescent="0.15">
      <c r="A98" s="10"/>
      <c r="B98" s="13"/>
      <c r="C98" s="13"/>
    </row>
    <row r="99" spans="1:3" ht="13" x14ac:dyDescent="0.15">
      <c r="A99" s="10"/>
      <c r="B99" s="13"/>
      <c r="C99" s="13"/>
    </row>
    <row r="100" spans="1:3" ht="13" x14ac:dyDescent="0.15">
      <c r="A100" s="10"/>
      <c r="B100" s="13"/>
      <c r="C100" s="13"/>
    </row>
    <row r="101" spans="1:3" ht="13" x14ac:dyDescent="0.15">
      <c r="A101" s="10"/>
      <c r="B101" s="13"/>
      <c r="C101" s="13"/>
    </row>
    <row r="102" spans="1:3" ht="13" x14ac:dyDescent="0.15">
      <c r="A102" s="10"/>
      <c r="B102" s="13"/>
      <c r="C102" s="13"/>
    </row>
    <row r="103" spans="1:3" ht="13" x14ac:dyDescent="0.15">
      <c r="A103" s="10"/>
      <c r="B103" s="13"/>
      <c r="C103" s="13"/>
    </row>
    <row r="104" spans="1:3" ht="13" x14ac:dyDescent="0.15">
      <c r="A104" s="10"/>
      <c r="B104" s="13"/>
      <c r="C104" s="13"/>
    </row>
    <row r="105" spans="1:3" ht="13" x14ac:dyDescent="0.15">
      <c r="A105" s="10"/>
      <c r="B105" s="13"/>
      <c r="C105" s="13"/>
    </row>
    <row r="106" spans="1:3" ht="13" x14ac:dyDescent="0.15">
      <c r="A106" s="10"/>
      <c r="B106" s="13"/>
      <c r="C106" s="13"/>
    </row>
    <row r="107" spans="1:3" ht="13" x14ac:dyDescent="0.15">
      <c r="A107" s="10"/>
      <c r="B107" s="13"/>
      <c r="C107" s="13"/>
    </row>
    <row r="108" spans="1:3" ht="13" x14ac:dyDescent="0.15">
      <c r="A108" s="10"/>
      <c r="B108" s="13"/>
      <c r="C108" s="13"/>
    </row>
    <row r="109" spans="1:3" ht="13" x14ac:dyDescent="0.15">
      <c r="A109" s="10"/>
      <c r="B109" s="13"/>
      <c r="C109" s="13"/>
    </row>
    <row r="110" spans="1:3" ht="13" x14ac:dyDescent="0.15">
      <c r="A110" s="10"/>
      <c r="B110" s="13"/>
      <c r="C110" s="13"/>
    </row>
    <row r="111" spans="1:3" ht="13" x14ac:dyDescent="0.15">
      <c r="A111" s="10"/>
      <c r="B111" s="13"/>
      <c r="C111" s="13"/>
    </row>
    <row r="112" spans="1:3" ht="13" x14ac:dyDescent="0.15">
      <c r="A112" s="10"/>
      <c r="B112" s="13"/>
      <c r="C112" s="13"/>
    </row>
    <row r="113" spans="1:3" ht="13" x14ac:dyDescent="0.15">
      <c r="A113" s="10"/>
      <c r="B113" s="13"/>
      <c r="C113" s="13"/>
    </row>
    <row r="114" spans="1:3" ht="13" x14ac:dyDescent="0.15">
      <c r="A114" s="10"/>
      <c r="B114" s="13"/>
      <c r="C114" s="13"/>
    </row>
    <row r="115" spans="1:3" ht="13" x14ac:dyDescent="0.15">
      <c r="A115" s="10"/>
      <c r="B115" s="13"/>
      <c r="C115" s="13"/>
    </row>
    <row r="116" spans="1:3" ht="13" x14ac:dyDescent="0.15">
      <c r="A116" s="10"/>
      <c r="B116" s="13"/>
      <c r="C116" s="13"/>
    </row>
    <row r="117" spans="1:3" ht="13" x14ac:dyDescent="0.15">
      <c r="A117" s="10"/>
      <c r="B117" s="13"/>
      <c r="C117" s="13"/>
    </row>
    <row r="118" spans="1:3" ht="13" x14ac:dyDescent="0.15">
      <c r="A118" s="10"/>
      <c r="B118" s="13"/>
      <c r="C118" s="13"/>
    </row>
    <row r="119" spans="1:3" ht="13" x14ac:dyDescent="0.15">
      <c r="A119" s="10"/>
      <c r="B119" s="13"/>
      <c r="C119" s="13"/>
    </row>
    <row r="120" spans="1:3" ht="13" x14ac:dyDescent="0.15">
      <c r="A120" s="10"/>
      <c r="B120" s="13"/>
      <c r="C120" s="13"/>
    </row>
    <row r="121" spans="1:3" ht="13" x14ac:dyDescent="0.15">
      <c r="A121" s="10"/>
      <c r="B121" s="13"/>
      <c r="C121" s="13"/>
    </row>
    <row r="122" spans="1:3" ht="13" x14ac:dyDescent="0.15">
      <c r="A122" s="10"/>
      <c r="B122" s="13"/>
      <c r="C122" s="13"/>
    </row>
    <row r="123" spans="1:3" ht="13" x14ac:dyDescent="0.15">
      <c r="A123" s="10"/>
      <c r="B123" s="13"/>
      <c r="C123" s="13"/>
    </row>
    <row r="124" spans="1:3" ht="13" x14ac:dyDescent="0.15">
      <c r="A124" s="10"/>
      <c r="B124" s="13"/>
      <c r="C124" s="13"/>
    </row>
    <row r="125" spans="1:3" ht="13" x14ac:dyDescent="0.15">
      <c r="A125" s="10"/>
      <c r="B125" s="13"/>
      <c r="C125" s="13"/>
    </row>
    <row r="126" spans="1:3" ht="13" x14ac:dyDescent="0.15">
      <c r="A126" s="10"/>
      <c r="B126" s="13"/>
      <c r="C126" s="13"/>
    </row>
    <row r="127" spans="1:3" ht="13" x14ac:dyDescent="0.15">
      <c r="A127" s="10"/>
      <c r="B127" s="13"/>
      <c r="C127" s="13"/>
    </row>
    <row r="128" spans="1:3" ht="13" x14ac:dyDescent="0.15">
      <c r="A128" s="10"/>
      <c r="B128" s="13"/>
      <c r="C128" s="13"/>
    </row>
    <row r="129" spans="1:3" ht="13" x14ac:dyDescent="0.15">
      <c r="A129" s="10"/>
      <c r="B129" s="13"/>
      <c r="C129" s="13"/>
    </row>
    <row r="130" spans="1:3" ht="13" x14ac:dyDescent="0.15">
      <c r="A130" s="10"/>
      <c r="B130" s="13"/>
      <c r="C130" s="13"/>
    </row>
    <row r="131" spans="1:3" ht="13" x14ac:dyDescent="0.15">
      <c r="A131" s="10"/>
      <c r="B131" s="13"/>
      <c r="C131" s="13"/>
    </row>
    <row r="132" spans="1:3" ht="13" x14ac:dyDescent="0.15">
      <c r="A132" s="10"/>
      <c r="B132" s="13"/>
      <c r="C132" s="13"/>
    </row>
    <row r="133" spans="1:3" ht="13" x14ac:dyDescent="0.15">
      <c r="A133" s="10"/>
      <c r="B133" s="13"/>
      <c r="C133" s="13"/>
    </row>
    <row r="134" spans="1:3" ht="13" x14ac:dyDescent="0.15">
      <c r="A134" s="10"/>
      <c r="B134" s="13"/>
      <c r="C134" s="13"/>
    </row>
    <row r="135" spans="1:3" ht="13" x14ac:dyDescent="0.15">
      <c r="A135" s="10"/>
      <c r="B135" s="13"/>
      <c r="C135" s="13"/>
    </row>
    <row r="136" spans="1:3" ht="13" x14ac:dyDescent="0.15">
      <c r="A136" s="10"/>
      <c r="B136" s="13"/>
      <c r="C136" s="13"/>
    </row>
    <row r="137" spans="1:3" ht="13" x14ac:dyDescent="0.15">
      <c r="A137" s="10"/>
      <c r="B137" s="13"/>
      <c r="C137" s="13"/>
    </row>
    <row r="138" spans="1:3" ht="13" x14ac:dyDescent="0.15">
      <c r="A138" s="10"/>
      <c r="B138" s="13"/>
      <c r="C138" s="13"/>
    </row>
    <row r="139" spans="1:3" ht="13" x14ac:dyDescent="0.15">
      <c r="A139" s="10"/>
      <c r="B139" s="13"/>
      <c r="C139" s="13"/>
    </row>
    <row r="140" spans="1:3" ht="13" x14ac:dyDescent="0.15">
      <c r="A140" s="10"/>
      <c r="B140" s="13"/>
      <c r="C140" s="13"/>
    </row>
    <row r="141" spans="1:3" ht="13" x14ac:dyDescent="0.15">
      <c r="A141" s="10"/>
      <c r="B141" s="13"/>
      <c r="C141" s="13"/>
    </row>
    <row r="142" spans="1:3" ht="13" x14ac:dyDescent="0.15">
      <c r="A142" s="10"/>
      <c r="B142" s="13"/>
      <c r="C142" s="13"/>
    </row>
    <row r="143" spans="1:3" ht="13" x14ac:dyDescent="0.15">
      <c r="A143" s="10"/>
      <c r="B143" s="13"/>
      <c r="C143" s="13"/>
    </row>
    <row r="144" spans="1:3" ht="13" x14ac:dyDescent="0.15">
      <c r="A144" s="10"/>
      <c r="B144" s="13"/>
      <c r="C144" s="13"/>
    </row>
    <row r="145" spans="1:3" ht="13" x14ac:dyDescent="0.15">
      <c r="A145" s="10"/>
      <c r="B145" s="13"/>
      <c r="C145" s="13"/>
    </row>
    <row r="146" spans="1:3" ht="13" x14ac:dyDescent="0.15">
      <c r="A146" s="10"/>
      <c r="B146" s="13"/>
      <c r="C146" s="13"/>
    </row>
    <row r="147" spans="1:3" ht="13" x14ac:dyDescent="0.15">
      <c r="A147" s="10"/>
      <c r="B147" s="13"/>
      <c r="C147" s="13"/>
    </row>
    <row r="148" spans="1:3" ht="13" x14ac:dyDescent="0.15">
      <c r="A148" s="10"/>
      <c r="B148" s="13"/>
      <c r="C148" s="13"/>
    </row>
    <row r="149" spans="1:3" ht="13" x14ac:dyDescent="0.15">
      <c r="A149" s="10"/>
      <c r="B149" s="13"/>
      <c r="C149" s="13"/>
    </row>
    <row r="150" spans="1:3" ht="13" x14ac:dyDescent="0.15">
      <c r="A150" s="10"/>
      <c r="B150" s="13"/>
      <c r="C150" s="13"/>
    </row>
    <row r="151" spans="1:3" ht="13" x14ac:dyDescent="0.15">
      <c r="A151" s="10"/>
      <c r="B151" s="13"/>
      <c r="C151" s="13"/>
    </row>
    <row r="152" spans="1:3" ht="13" x14ac:dyDescent="0.15">
      <c r="A152" s="10"/>
      <c r="B152" s="13"/>
      <c r="C152" s="13"/>
    </row>
    <row r="153" spans="1:3" ht="13" x14ac:dyDescent="0.15">
      <c r="A153" s="10"/>
      <c r="B153" s="13"/>
      <c r="C153" s="13"/>
    </row>
    <row r="154" spans="1:3" ht="13" x14ac:dyDescent="0.15">
      <c r="A154" s="10"/>
      <c r="B154" s="13"/>
      <c r="C154" s="13"/>
    </row>
    <row r="155" spans="1:3" ht="13" x14ac:dyDescent="0.15">
      <c r="A155" s="10"/>
      <c r="B155" s="13"/>
      <c r="C155" s="13"/>
    </row>
    <row r="156" spans="1:3" ht="13" x14ac:dyDescent="0.15">
      <c r="A156" s="10"/>
      <c r="B156" s="13"/>
      <c r="C156" s="13"/>
    </row>
    <row r="157" spans="1:3" ht="13" x14ac:dyDescent="0.15">
      <c r="A157" s="10"/>
      <c r="B157" s="13"/>
      <c r="C157" s="13"/>
    </row>
    <row r="158" spans="1:3" ht="13" x14ac:dyDescent="0.15">
      <c r="A158" s="10"/>
      <c r="B158" s="13"/>
      <c r="C158" s="13"/>
    </row>
    <row r="159" spans="1:3" ht="13" x14ac:dyDescent="0.15">
      <c r="A159" s="10"/>
      <c r="B159" s="13"/>
      <c r="C159" s="13"/>
    </row>
    <row r="160" spans="1:3" ht="13" x14ac:dyDescent="0.15">
      <c r="A160" s="10"/>
      <c r="B160" s="13"/>
      <c r="C160" s="13"/>
    </row>
    <row r="161" spans="1:3" ht="13" x14ac:dyDescent="0.15">
      <c r="A161" s="10"/>
      <c r="B161" s="13"/>
      <c r="C161" s="13"/>
    </row>
    <row r="162" spans="1:3" ht="13" x14ac:dyDescent="0.15">
      <c r="A162" s="10"/>
      <c r="B162" s="13"/>
      <c r="C162" s="13"/>
    </row>
    <row r="163" spans="1:3" ht="13" x14ac:dyDescent="0.15">
      <c r="A163" s="10"/>
      <c r="B163" s="13"/>
      <c r="C163" s="13"/>
    </row>
    <row r="164" spans="1:3" ht="13" x14ac:dyDescent="0.15">
      <c r="A164" s="10"/>
      <c r="B164" s="13"/>
      <c r="C164" s="13"/>
    </row>
    <row r="165" spans="1:3" ht="13" x14ac:dyDescent="0.15">
      <c r="A165" s="10"/>
      <c r="B165" s="13"/>
      <c r="C165" s="13"/>
    </row>
    <row r="166" spans="1:3" ht="13" x14ac:dyDescent="0.15">
      <c r="A166" s="10"/>
      <c r="B166" s="13"/>
      <c r="C166" s="13"/>
    </row>
    <row r="167" spans="1:3" ht="13" x14ac:dyDescent="0.15">
      <c r="A167" s="10"/>
      <c r="B167" s="13"/>
      <c r="C167" s="13"/>
    </row>
    <row r="168" spans="1:3" ht="13" x14ac:dyDescent="0.15">
      <c r="A168" s="10"/>
      <c r="B168" s="13"/>
      <c r="C168" s="13"/>
    </row>
    <row r="169" spans="1:3" ht="13" x14ac:dyDescent="0.15">
      <c r="A169" s="10"/>
      <c r="B169" s="13"/>
      <c r="C169" s="13"/>
    </row>
    <row r="170" spans="1:3" ht="13" x14ac:dyDescent="0.15">
      <c r="A170" s="10"/>
      <c r="B170" s="13"/>
      <c r="C170" s="13"/>
    </row>
    <row r="171" spans="1:3" ht="13" x14ac:dyDescent="0.15">
      <c r="A171" s="10"/>
      <c r="B171" s="13"/>
      <c r="C171" s="13"/>
    </row>
    <row r="172" spans="1:3" ht="13" x14ac:dyDescent="0.15">
      <c r="A172" s="10"/>
      <c r="B172" s="13"/>
      <c r="C172" s="13"/>
    </row>
    <row r="173" spans="1:3" ht="13" x14ac:dyDescent="0.15">
      <c r="A173" s="10"/>
      <c r="B173" s="13"/>
      <c r="C173" s="13"/>
    </row>
    <row r="174" spans="1:3" ht="13" x14ac:dyDescent="0.15">
      <c r="A174" s="10"/>
      <c r="B174" s="13"/>
      <c r="C174" s="13"/>
    </row>
    <row r="175" spans="1:3" ht="13" x14ac:dyDescent="0.15">
      <c r="A175" s="10"/>
      <c r="B175" s="13"/>
      <c r="C175" s="13"/>
    </row>
    <row r="176" spans="1:3" ht="13" x14ac:dyDescent="0.15">
      <c r="A176" s="10"/>
      <c r="B176" s="13"/>
      <c r="C176" s="13"/>
    </row>
    <row r="177" spans="1:3" ht="13" x14ac:dyDescent="0.15">
      <c r="A177" s="10"/>
      <c r="B177" s="13"/>
      <c r="C177" s="13"/>
    </row>
    <row r="178" spans="1:3" ht="13" x14ac:dyDescent="0.15">
      <c r="A178" s="10"/>
      <c r="B178" s="13"/>
      <c r="C178" s="13"/>
    </row>
    <row r="179" spans="1:3" ht="13" x14ac:dyDescent="0.15">
      <c r="A179" s="10"/>
      <c r="B179" s="13"/>
      <c r="C179" s="13"/>
    </row>
    <row r="180" spans="1:3" ht="13" x14ac:dyDescent="0.15">
      <c r="A180" s="10"/>
      <c r="B180" s="13"/>
      <c r="C180" s="13"/>
    </row>
    <row r="181" spans="1:3" ht="13" x14ac:dyDescent="0.15">
      <c r="A181" s="10"/>
      <c r="B181" s="13"/>
      <c r="C181" s="13"/>
    </row>
    <row r="182" spans="1:3" ht="13" x14ac:dyDescent="0.15">
      <c r="A182" s="10"/>
      <c r="B182" s="13"/>
      <c r="C182" s="13"/>
    </row>
    <row r="183" spans="1:3" ht="13" x14ac:dyDescent="0.15">
      <c r="A183" s="10"/>
      <c r="B183" s="13"/>
      <c r="C183" s="13"/>
    </row>
    <row r="184" spans="1:3" ht="13" x14ac:dyDescent="0.15">
      <c r="A184" s="10"/>
      <c r="B184" s="13"/>
      <c r="C184" s="13"/>
    </row>
    <row r="185" spans="1:3" ht="13" x14ac:dyDescent="0.15">
      <c r="A185" s="10"/>
      <c r="B185" s="13"/>
      <c r="C185" s="13"/>
    </row>
    <row r="186" spans="1:3" ht="13" x14ac:dyDescent="0.15">
      <c r="A186" s="10"/>
      <c r="B186" s="13"/>
      <c r="C186" s="13"/>
    </row>
    <row r="187" spans="1:3" ht="13" x14ac:dyDescent="0.15">
      <c r="A187" s="10"/>
      <c r="B187" s="13"/>
      <c r="C187" s="13"/>
    </row>
    <row r="188" spans="1:3" ht="13" x14ac:dyDescent="0.15">
      <c r="A188" s="10"/>
      <c r="B188" s="13"/>
      <c r="C188" s="13"/>
    </row>
    <row r="189" spans="1:3" ht="13" x14ac:dyDescent="0.15">
      <c r="A189" s="10"/>
      <c r="B189" s="13"/>
      <c r="C189" s="13"/>
    </row>
    <row r="190" spans="1:3" ht="13" x14ac:dyDescent="0.15">
      <c r="A190" s="10"/>
      <c r="B190" s="13"/>
      <c r="C190" s="13"/>
    </row>
    <row r="191" spans="1:3" ht="13" x14ac:dyDescent="0.15">
      <c r="A191" s="10"/>
      <c r="B191" s="13"/>
      <c r="C191" s="13"/>
    </row>
    <row r="192" spans="1:3" ht="13" x14ac:dyDescent="0.15">
      <c r="A192" s="10"/>
      <c r="B192" s="13"/>
      <c r="C192" s="13"/>
    </row>
    <row r="193" spans="1:3" ht="13" x14ac:dyDescent="0.15">
      <c r="A193" s="10"/>
      <c r="B193" s="13"/>
      <c r="C193" s="13"/>
    </row>
    <row r="194" spans="1:3" ht="13" x14ac:dyDescent="0.15">
      <c r="A194" s="10"/>
      <c r="B194" s="13"/>
      <c r="C194" s="13"/>
    </row>
    <row r="195" spans="1:3" ht="13" x14ac:dyDescent="0.15">
      <c r="A195" s="10"/>
      <c r="B195" s="13"/>
      <c r="C195" s="13"/>
    </row>
    <row r="196" spans="1:3" ht="13" x14ac:dyDescent="0.15">
      <c r="A196" s="10"/>
      <c r="B196" s="13"/>
      <c r="C196" s="13"/>
    </row>
    <row r="197" spans="1:3" ht="13" x14ac:dyDescent="0.15">
      <c r="A197" s="10"/>
      <c r="B197" s="13"/>
      <c r="C197" s="13"/>
    </row>
    <row r="198" spans="1:3" ht="13" x14ac:dyDescent="0.15">
      <c r="A198" s="10"/>
      <c r="B198" s="13"/>
      <c r="C198" s="13"/>
    </row>
    <row r="199" spans="1:3" ht="13" x14ac:dyDescent="0.15">
      <c r="A199" s="10"/>
      <c r="B199" s="13"/>
      <c r="C199" s="13"/>
    </row>
    <row r="200" spans="1:3" ht="13" x14ac:dyDescent="0.15">
      <c r="A200" s="10"/>
      <c r="B200" s="13"/>
      <c r="C200" s="13"/>
    </row>
    <row r="201" spans="1:3" ht="13" x14ac:dyDescent="0.15">
      <c r="A201" s="10"/>
      <c r="B201" s="13"/>
      <c r="C201" s="13"/>
    </row>
    <row r="202" spans="1:3" ht="13" x14ac:dyDescent="0.15">
      <c r="A202" s="10"/>
      <c r="B202" s="13"/>
      <c r="C202" s="13"/>
    </row>
    <row r="203" spans="1:3" ht="13" x14ac:dyDescent="0.15">
      <c r="A203" s="10"/>
      <c r="B203" s="13"/>
      <c r="C203" s="13"/>
    </row>
    <row r="204" spans="1:3" ht="13" x14ac:dyDescent="0.15">
      <c r="A204" s="10"/>
      <c r="B204" s="13"/>
      <c r="C204" s="13"/>
    </row>
    <row r="205" spans="1:3" ht="13" x14ac:dyDescent="0.15">
      <c r="A205" s="10"/>
      <c r="B205" s="13"/>
      <c r="C205" s="13"/>
    </row>
    <row r="206" spans="1:3" ht="13" x14ac:dyDescent="0.15">
      <c r="A206" s="10"/>
      <c r="B206" s="13"/>
      <c r="C206" s="13"/>
    </row>
    <row r="207" spans="1:3" ht="13" x14ac:dyDescent="0.15">
      <c r="A207" s="10"/>
      <c r="B207" s="13"/>
      <c r="C207" s="13"/>
    </row>
    <row r="208" spans="1:3" ht="13" x14ac:dyDescent="0.15">
      <c r="A208" s="10"/>
      <c r="B208" s="13"/>
      <c r="C208" s="13"/>
    </row>
    <row r="209" spans="1:3" ht="13" x14ac:dyDescent="0.15">
      <c r="A209" s="10"/>
      <c r="B209" s="13"/>
      <c r="C209" s="13"/>
    </row>
    <row r="210" spans="1:3" ht="13" x14ac:dyDescent="0.15">
      <c r="A210" s="10"/>
      <c r="B210" s="13"/>
      <c r="C210" s="13"/>
    </row>
    <row r="211" spans="1:3" ht="13" x14ac:dyDescent="0.15">
      <c r="A211" s="10"/>
      <c r="B211" s="13"/>
      <c r="C211" s="13"/>
    </row>
    <row r="212" spans="1:3" ht="13" x14ac:dyDescent="0.15">
      <c r="A212" s="10"/>
      <c r="B212" s="13"/>
      <c r="C212" s="13"/>
    </row>
    <row r="213" spans="1:3" ht="13" x14ac:dyDescent="0.15">
      <c r="A213" s="10"/>
      <c r="B213" s="13"/>
      <c r="C213" s="13"/>
    </row>
    <row r="214" spans="1:3" ht="13" x14ac:dyDescent="0.15">
      <c r="A214" s="10"/>
      <c r="B214" s="13"/>
      <c r="C214" s="13"/>
    </row>
    <row r="215" spans="1:3" ht="13" x14ac:dyDescent="0.15">
      <c r="A215" s="10"/>
      <c r="B215" s="13"/>
      <c r="C215" s="13"/>
    </row>
    <row r="216" spans="1:3" ht="13" x14ac:dyDescent="0.15">
      <c r="A216" s="10"/>
      <c r="B216" s="13"/>
      <c r="C216" s="13"/>
    </row>
    <row r="217" spans="1:3" ht="13" x14ac:dyDescent="0.15">
      <c r="A217" s="10"/>
      <c r="B217" s="13"/>
      <c r="C217" s="13"/>
    </row>
    <row r="218" spans="1:3" ht="13" x14ac:dyDescent="0.15">
      <c r="A218" s="10"/>
      <c r="B218" s="13"/>
      <c r="C218" s="13"/>
    </row>
    <row r="219" spans="1:3" ht="13" x14ac:dyDescent="0.15">
      <c r="A219" s="10"/>
      <c r="B219" s="13"/>
      <c r="C219" s="13"/>
    </row>
    <row r="220" spans="1:3" ht="13" x14ac:dyDescent="0.15">
      <c r="A220" s="10"/>
      <c r="B220" s="13"/>
      <c r="C220" s="13"/>
    </row>
    <row r="221" spans="1:3" ht="13" x14ac:dyDescent="0.15">
      <c r="A221" s="10"/>
      <c r="B221" s="13"/>
      <c r="C221" s="13"/>
    </row>
    <row r="222" spans="1:3" ht="13" x14ac:dyDescent="0.15">
      <c r="A222" s="10"/>
      <c r="B222" s="13"/>
      <c r="C222" s="13"/>
    </row>
    <row r="223" spans="1:3" ht="13" x14ac:dyDescent="0.15">
      <c r="A223" s="10"/>
      <c r="B223" s="13"/>
      <c r="C223" s="13"/>
    </row>
    <row r="224" spans="1:3" ht="13" x14ac:dyDescent="0.15">
      <c r="A224" s="10"/>
      <c r="B224" s="13"/>
      <c r="C224" s="13"/>
    </row>
    <row r="225" spans="1:3" ht="13" x14ac:dyDescent="0.15">
      <c r="A225" s="10"/>
      <c r="B225" s="13"/>
      <c r="C225" s="13"/>
    </row>
    <row r="226" spans="1:3" ht="13" x14ac:dyDescent="0.15">
      <c r="A226" s="10"/>
      <c r="B226" s="13"/>
      <c r="C226" s="13"/>
    </row>
    <row r="227" spans="1:3" ht="13" x14ac:dyDescent="0.15">
      <c r="A227" s="10"/>
      <c r="B227" s="13"/>
      <c r="C227" s="13"/>
    </row>
    <row r="228" spans="1:3" ht="13" x14ac:dyDescent="0.15">
      <c r="A228" s="10"/>
      <c r="B228" s="13"/>
      <c r="C228" s="13"/>
    </row>
    <row r="229" spans="1:3" ht="13" x14ac:dyDescent="0.15">
      <c r="A229" s="10"/>
      <c r="B229" s="13"/>
      <c r="C229" s="13"/>
    </row>
    <row r="230" spans="1:3" ht="13" x14ac:dyDescent="0.15">
      <c r="A230" s="10"/>
      <c r="B230" s="13"/>
      <c r="C230" s="13"/>
    </row>
    <row r="231" spans="1:3" ht="13" x14ac:dyDescent="0.15">
      <c r="A231" s="10"/>
      <c r="B231" s="13"/>
      <c r="C231" s="13"/>
    </row>
    <row r="232" spans="1:3" ht="13" x14ac:dyDescent="0.15">
      <c r="A232" s="10"/>
      <c r="B232" s="13"/>
      <c r="C232" s="13"/>
    </row>
    <row r="233" spans="1:3" ht="13" x14ac:dyDescent="0.15">
      <c r="A233" s="10"/>
      <c r="B233" s="13"/>
      <c r="C233" s="13"/>
    </row>
    <row r="234" spans="1:3" ht="13" x14ac:dyDescent="0.15">
      <c r="A234" s="10"/>
      <c r="B234" s="13"/>
      <c r="C234" s="13"/>
    </row>
    <row r="235" spans="1:3" ht="13" x14ac:dyDescent="0.15">
      <c r="A235" s="10"/>
      <c r="B235" s="13"/>
      <c r="C235" s="13"/>
    </row>
    <row r="236" spans="1:3" ht="13" x14ac:dyDescent="0.15">
      <c r="A236" s="10"/>
      <c r="B236" s="13"/>
      <c r="C236" s="13"/>
    </row>
    <row r="237" spans="1:3" ht="13" x14ac:dyDescent="0.15">
      <c r="A237" s="10"/>
      <c r="B237" s="13"/>
      <c r="C237" s="13"/>
    </row>
    <row r="238" spans="1:3" ht="13" x14ac:dyDescent="0.15">
      <c r="A238" s="10"/>
      <c r="B238" s="13"/>
      <c r="C238" s="13"/>
    </row>
    <row r="239" spans="1:3" ht="13" x14ac:dyDescent="0.15">
      <c r="A239" s="10"/>
      <c r="B239" s="13"/>
      <c r="C239" s="13"/>
    </row>
    <row r="240" spans="1:3" ht="13" x14ac:dyDescent="0.15">
      <c r="A240" s="10"/>
      <c r="B240" s="13"/>
      <c r="C240" s="13"/>
    </row>
    <row r="241" spans="1:3" ht="13" x14ac:dyDescent="0.15">
      <c r="A241" s="10"/>
      <c r="B241" s="13"/>
      <c r="C241" s="13"/>
    </row>
    <row r="242" spans="1:3" ht="13" x14ac:dyDescent="0.15">
      <c r="A242" s="10"/>
      <c r="B242" s="13"/>
      <c r="C242" s="13"/>
    </row>
    <row r="243" spans="1:3" ht="13" x14ac:dyDescent="0.15">
      <c r="A243" s="10"/>
      <c r="B243" s="13"/>
      <c r="C243" s="13"/>
    </row>
    <row r="244" spans="1:3" ht="13" x14ac:dyDescent="0.15">
      <c r="A244" s="10"/>
      <c r="B244" s="13"/>
      <c r="C244" s="13"/>
    </row>
    <row r="245" spans="1:3" ht="13" x14ac:dyDescent="0.15">
      <c r="A245" s="10"/>
      <c r="B245" s="13"/>
      <c r="C245" s="13"/>
    </row>
    <row r="246" spans="1:3" ht="13" x14ac:dyDescent="0.15">
      <c r="A246" s="10"/>
      <c r="B246" s="13"/>
      <c r="C246" s="13"/>
    </row>
    <row r="247" spans="1:3" ht="13" x14ac:dyDescent="0.15">
      <c r="A247" s="10"/>
      <c r="B247" s="13"/>
      <c r="C247" s="13"/>
    </row>
    <row r="248" spans="1:3" ht="13" x14ac:dyDescent="0.15">
      <c r="A248" s="10"/>
      <c r="B248" s="13"/>
      <c r="C248" s="13"/>
    </row>
    <row r="249" spans="1:3" ht="13" x14ac:dyDescent="0.15">
      <c r="A249" s="10"/>
      <c r="B249" s="13"/>
      <c r="C249" s="13"/>
    </row>
    <row r="250" spans="1:3" ht="13" x14ac:dyDescent="0.15">
      <c r="A250" s="10"/>
      <c r="B250" s="13"/>
      <c r="C250" s="13"/>
    </row>
    <row r="251" spans="1:3" ht="13" x14ac:dyDescent="0.15">
      <c r="A251" s="10"/>
      <c r="B251" s="13"/>
      <c r="C251" s="13"/>
    </row>
    <row r="252" spans="1:3" ht="13" x14ac:dyDescent="0.15">
      <c r="A252" s="10"/>
      <c r="B252" s="13"/>
      <c r="C252" s="13"/>
    </row>
    <row r="253" spans="1:3" ht="13" x14ac:dyDescent="0.15">
      <c r="A253" s="10"/>
      <c r="B253" s="13"/>
      <c r="C253" s="13"/>
    </row>
    <row r="254" spans="1:3" ht="13" x14ac:dyDescent="0.15">
      <c r="A254" s="10"/>
      <c r="B254" s="13"/>
      <c r="C254" s="13"/>
    </row>
    <row r="255" spans="1:3" ht="13" x14ac:dyDescent="0.15">
      <c r="A255" s="10"/>
      <c r="B255" s="13"/>
      <c r="C255" s="13"/>
    </row>
    <row r="256" spans="1:3" ht="13" x14ac:dyDescent="0.15">
      <c r="A256" s="10"/>
      <c r="B256" s="13"/>
      <c r="C256" s="13"/>
    </row>
    <row r="257" spans="1:3" ht="13" x14ac:dyDescent="0.15">
      <c r="A257" s="10"/>
      <c r="B257" s="13"/>
      <c r="C257" s="13"/>
    </row>
    <row r="258" spans="1:3" ht="13" x14ac:dyDescent="0.15">
      <c r="A258" s="10"/>
      <c r="B258" s="13"/>
      <c r="C258" s="13"/>
    </row>
    <row r="259" spans="1:3" ht="13" x14ac:dyDescent="0.15">
      <c r="A259" s="10"/>
      <c r="B259" s="13"/>
      <c r="C259" s="13"/>
    </row>
    <row r="260" spans="1:3" ht="13" x14ac:dyDescent="0.15">
      <c r="A260" s="10"/>
      <c r="B260" s="13"/>
      <c r="C260" s="13"/>
    </row>
    <row r="261" spans="1:3" ht="13" x14ac:dyDescent="0.15">
      <c r="A261" s="10"/>
      <c r="B261" s="13"/>
      <c r="C261" s="13"/>
    </row>
    <row r="262" spans="1:3" ht="13" x14ac:dyDescent="0.15">
      <c r="A262" s="10"/>
      <c r="B262" s="13"/>
      <c r="C262" s="13"/>
    </row>
    <row r="263" spans="1:3" ht="13" x14ac:dyDescent="0.15">
      <c r="A263" s="10"/>
      <c r="B263" s="13"/>
      <c r="C263" s="13"/>
    </row>
    <row r="264" spans="1:3" ht="13" x14ac:dyDescent="0.15">
      <c r="A264" s="10"/>
      <c r="B264" s="13"/>
      <c r="C264" s="13"/>
    </row>
    <row r="265" spans="1:3" ht="13" x14ac:dyDescent="0.15">
      <c r="A265" s="10"/>
      <c r="B265" s="13"/>
      <c r="C265" s="13"/>
    </row>
    <row r="266" spans="1:3" ht="13" x14ac:dyDescent="0.15">
      <c r="A266" s="10"/>
      <c r="B266" s="13"/>
      <c r="C266" s="13"/>
    </row>
    <row r="267" spans="1:3" ht="13" x14ac:dyDescent="0.15">
      <c r="A267" s="10"/>
      <c r="B267" s="13"/>
      <c r="C267" s="13"/>
    </row>
    <row r="268" spans="1:3" ht="13" x14ac:dyDescent="0.15">
      <c r="A268" s="10"/>
      <c r="B268" s="13"/>
      <c r="C268" s="13"/>
    </row>
    <row r="269" spans="1:3" ht="13" x14ac:dyDescent="0.15">
      <c r="A269" s="10"/>
      <c r="B269" s="13"/>
      <c r="C269" s="13"/>
    </row>
    <row r="270" spans="1:3" ht="13" x14ac:dyDescent="0.15">
      <c r="A270" s="10"/>
      <c r="B270" s="13"/>
      <c r="C270" s="13"/>
    </row>
    <row r="271" spans="1:3" ht="13" x14ac:dyDescent="0.15">
      <c r="A271" s="10"/>
      <c r="B271" s="13"/>
      <c r="C271" s="13"/>
    </row>
    <row r="272" spans="1:3" ht="13" x14ac:dyDescent="0.15">
      <c r="A272" s="10"/>
      <c r="B272" s="13"/>
      <c r="C272" s="13"/>
    </row>
    <row r="273" spans="1:3" ht="13" x14ac:dyDescent="0.15">
      <c r="A273" s="10"/>
      <c r="B273" s="13"/>
      <c r="C273" s="13"/>
    </row>
    <row r="274" spans="1:3" ht="13" x14ac:dyDescent="0.15">
      <c r="A274" s="10"/>
      <c r="B274" s="13"/>
      <c r="C274" s="13"/>
    </row>
    <row r="275" spans="1:3" ht="13" x14ac:dyDescent="0.15">
      <c r="A275" s="10"/>
      <c r="B275" s="13"/>
      <c r="C275" s="13"/>
    </row>
    <row r="276" spans="1:3" ht="13" x14ac:dyDescent="0.15">
      <c r="A276" s="10"/>
      <c r="B276" s="13"/>
      <c r="C276" s="13"/>
    </row>
    <row r="277" spans="1:3" ht="13" x14ac:dyDescent="0.15">
      <c r="A277" s="10"/>
      <c r="B277" s="13"/>
      <c r="C277" s="13"/>
    </row>
    <row r="278" spans="1:3" ht="13" x14ac:dyDescent="0.15">
      <c r="A278" s="10"/>
      <c r="B278" s="13"/>
      <c r="C278" s="13"/>
    </row>
    <row r="279" spans="1:3" ht="13" x14ac:dyDescent="0.15">
      <c r="A279" s="10"/>
      <c r="B279" s="13"/>
      <c r="C279" s="13"/>
    </row>
    <row r="280" spans="1:3" ht="13" x14ac:dyDescent="0.15">
      <c r="A280" s="10"/>
      <c r="B280" s="13"/>
      <c r="C280" s="13"/>
    </row>
    <row r="281" spans="1:3" ht="13" x14ac:dyDescent="0.15">
      <c r="A281" s="10"/>
      <c r="B281" s="13"/>
      <c r="C281" s="13"/>
    </row>
    <row r="282" spans="1:3" ht="13" x14ac:dyDescent="0.15">
      <c r="A282" s="10"/>
      <c r="B282" s="13"/>
      <c r="C282" s="13"/>
    </row>
    <row r="283" spans="1:3" ht="13" x14ac:dyDescent="0.15">
      <c r="A283" s="10"/>
      <c r="B283" s="13"/>
      <c r="C283" s="13"/>
    </row>
    <row r="284" spans="1:3" ht="13" x14ac:dyDescent="0.15">
      <c r="A284" s="10"/>
      <c r="B284" s="13"/>
      <c r="C284" s="13"/>
    </row>
    <row r="285" spans="1:3" ht="13" x14ac:dyDescent="0.15">
      <c r="A285" s="10"/>
      <c r="B285" s="13"/>
      <c r="C285" s="13"/>
    </row>
    <row r="286" spans="1:3" ht="13" x14ac:dyDescent="0.15">
      <c r="A286" s="10"/>
      <c r="B286" s="13"/>
      <c r="C286" s="13"/>
    </row>
    <row r="287" spans="1:3" ht="13" x14ac:dyDescent="0.15">
      <c r="A287" s="10"/>
      <c r="B287" s="13"/>
      <c r="C287" s="13"/>
    </row>
    <row r="288" spans="1:3" ht="13" x14ac:dyDescent="0.15">
      <c r="A288" s="10"/>
      <c r="B288" s="13"/>
      <c r="C288" s="13"/>
    </row>
    <row r="289" spans="1:3" ht="13" x14ac:dyDescent="0.15">
      <c r="A289" s="10"/>
      <c r="B289" s="13"/>
      <c r="C289" s="13"/>
    </row>
    <row r="290" spans="1:3" ht="13" x14ac:dyDescent="0.15">
      <c r="A290" s="10"/>
      <c r="B290" s="13"/>
      <c r="C290" s="13"/>
    </row>
    <row r="291" spans="1:3" ht="13" x14ac:dyDescent="0.15">
      <c r="A291" s="10"/>
      <c r="B291" s="13"/>
      <c r="C291" s="13"/>
    </row>
    <row r="292" spans="1:3" ht="13" x14ac:dyDescent="0.15">
      <c r="A292" s="10"/>
      <c r="B292" s="13"/>
      <c r="C292" s="13"/>
    </row>
    <row r="293" spans="1:3" ht="13" x14ac:dyDescent="0.15">
      <c r="A293" s="10"/>
      <c r="B293" s="13"/>
      <c r="C293" s="13"/>
    </row>
    <row r="294" spans="1:3" ht="13" x14ac:dyDescent="0.15">
      <c r="A294" s="10"/>
      <c r="B294" s="13"/>
      <c r="C294" s="13"/>
    </row>
    <row r="295" spans="1:3" ht="13" x14ac:dyDescent="0.15">
      <c r="A295" s="10"/>
      <c r="B295" s="13"/>
      <c r="C295" s="13"/>
    </row>
    <row r="296" spans="1:3" ht="13" x14ac:dyDescent="0.15">
      <c r="A296" s="10"/>
      <c r="B296" s="13"/>
      <c r="C296" s="13"/>
    </row>
    <row r="297" spans="1:3" ht="13" x14ac:dyDescent="0.15">
      <c r="A297" s="10"/>
      <c r="B297" s="13"/>
      <c r="C297" s="13"/>
    </row>
    <row r="298" spans="1:3" ht="13" x14ac:dyDescent="0.15">
      <c r="A298" s="10"/>
      <c r="B298" s="13"/>
      <c r="C298" s="13"/>
    </row>
    <row r="299" spans="1:3" ht="13" x14ac:dyDescent="0.15">
      <c r="A299" s="10"/>
      <c r="B299" s="13"/>
      <c r="C299" s="13"/>
    </row>
    <row r="300" spans="1:3" ht="13" x14ac:dyDescent="0.15">
      <c r="A300" s="10"/>
      <c r="B300" s="13"/>
      <c r="C300" s="13"/>
    </row>
    <row r="301" spans="1:3" ht="13" x14ac:dyDescent="0.15">
      <c r="A301" s="10"/>
      <c r="B301" s="13"/>
      <c r="C301" s="13"/>
    </row>
    <row r="302" spans="1:3" ht="13" x14ac:dyDescent="0.15">
      <c r="A302" s="10"/>
      <c r="B302" s="13"/>
      <c r="C302" s="13"/>
    </row>
    <row r="303" spans="1:3" ht="13" x14ac:dyDescent="0.15">
      <c r="A303" s="10"/>
      <c r="B303" s="13"/>
      <c r="C303" s="13"/>
    </row>
    <row r="304" spans="1:3" ht="13" x14ac:dyDescent="0.15">
      <c r="A304" s="10"/>
      <c r="B304" s="13"/>
      <c r="C304" s="13"/>
    </row>
    <row r="305" spans="1:3" ht="13" x14ac:dyDescent="0.15">
      <c r="A305" s="10"/>
      <c r="B305" s="13"/>
      <c r="C305" s="13"/>
    </row>
    <row r="306" spans="1:3" ht="13" x14ac:dyDescent="0.15">
      <c r="A306" s="10"/>
      <c r="B306" s="13"/>
      <c r="C306" s="13"/>
    </row>
    <row r="307" spans="1:3" ht="13" x14ac:dyDescent="0.15">
      <c r="A307" s="10"/>
      <c r="B307" s="13"/>
      <c r="C307" s="13"/>
    </row>
    <row r="308" spans="1:3" ht="13" x14ac:dyDescent="0.15">
      <c r="A308" s="10"/>
      <c r="B308" s="13"/>
      <c r="C308" s="13"/>
    </row>
    <row r="309" spans="1:3" ht="13" x14ac:dyDescent="0.15">
      <c r="A309" s="10"/>
      <c r="B309" s="13"/>
      <c r="C309" s="13"/>
    </row>
    <row r="310" spans="1:3" ht="13" x14ac:dyDescent="0.15">
      <c r="A310" s="10"/>
      <c r="B310" s="13"/>
      <c r="C310" s="13"/>
    </row>
    <row r="311" spans="1:3" ht="13" x14ac:dyDescent="0.15">
      <c r="A311" s="10"/>
      <c r="B311" s="13"/>
      <c r="C311" s="13"/>
    </row>
    <row r="312" spans="1:3" ht="13" x14ac:dyDescent="0.15">
      <c r="A312" s="10"/>
      <c r="B312" s="13"/>
      <c r="C312" s="13"/>
    </row>
    <row r="313" spans="1:3" ht="13" x14ac:dyDescent="0.15">
      <c r="A313" s="10"/>
      <c r="B313" s="13"/>
      <c r="C313" s="13"/>
    </row>
    <row r="314" spans="1:3" ht="13" x14ac:dyDescent="0.15">
      <c r="A314" s="10"/>
      <c r="B314" s="13"/>
      <c r="C314" s="13"/>
    </row>
    <row r="315" spans="1:3" ht="13" x14ac:dyDescent="0.15">
      <c r="A315" s="10"/>
      <c r="B315" s="13"/>
      <c r="C315" s="13"/>
    </row>
    <row r="316" spans="1:3" ht="13" x14ac:dyDescent="0.15">
      <c r="A316" s="10"/>
      <c r="B316" s="13"/>
      <c r="C316" s="13"/>
    </row>
    <row r="317" spans="1:3" ht="13" x14ac:dyDescent="0.15">
      <c r="A317" s="10"/>
      <c r="B317" s="13"/>
      <c r="C317" s="13"/>
    </row>
    <row r="318" spans="1:3" ht="13" x14ac:dyDescent="0.15">
      <c r="A318" s="10"/>
      <c r="B318" s="13"/>
      <c r="C318" s="13"/>
    </row>
    <row r="319" spans="1:3" ht="13" x14ac:dyDescent="0.15">
      <c r="A319" s="10"/>
      <c r="B319" s="13"/>
      <c r="C319" s="13"/>
    </row>
    <row r="320" spans="1:3" ht="13" x14ac:dyDescent="0.15">
      <c r="A320" s="10"/>
      <c r="B320" s="13"/>
      <c r="C320" s="13"/>
    </row>
    <row r="321" spans="1:3" ht="13" x14ac:dyDescent="0.15">
      <c r="A321" s="10"/>
      <c r="B321" s="13"/>
      <c r="C321" s="13"/>
    </row>
    <row r="322" spans="1:3" ht="13" x14ac:dyDescent="0.15">
      <c r="A322" s="10"/>
      <c r="B322" s="13"/>
      <c r="C322" s="13"/>
    </row>
    <row r="323" spans="1:3" ht="13" x14ac:dyDescent="0.15">
      <c r="A323" s="10"/>
      <c r="B323" s="13"/>
      <c r="C323" s="13"/>
    </row>
    <row r="324" spans="1:3" ht="13" x14ac:dyDescent="0.15">
      <c r="A324" s="10"/>
      <c r="B324" s="13"/>
      <c r="C324" s="13"/>
    </row>
    <row r="325" spans="1:3" ht="13" x14ac:dyDescent="0.15">
      <c r="A325" s="10"/>
      <c r="B325" s="13"/>
      <c r="C325" s="13"/>
    </row>
    <row r="326" spans="1:3" ht="13" x14ac:dyDescent="0.15">
      <c r="A326" s="10"/>
      <c r="B326" s="13"/>
      <c r="C326" s="13"/>
    </row>
    <row r="327" spans="1:3" ht="13" x14ac:dyDescent="0.15">
      <c r="A327" s="10"/>
      <c r="B327" s="13"/>
      <c r="C327" s="13"/>
    </row>
    <row r="328" spans="1:3" ht="13" x14ac:dyDescent="0.15">
      <c r="A328" s="10"/>
      <c r="B328" s="13"/>
      <c r="C328" s="13"/>
    </row>
    <row r="329" spans="1:3" ht="13" x14ac:dyDescent="0.15">
      <c r="A329" s="10"/>
      <c r="B329" s="13"/>
      <c r="C329" s="13"/>
    </row>
    <row r="330" spans="1:3" ht="13" x14ac:dyDescent="0.15">
      <c r="A330" s="10"/>
      <c r="B330" s="13"/>
      <c r="C330" s="13"/>
    </row>
    <row r="331" spans="1:3" ht="13" x14ac:dyDescent="0.15">
      <c r="A331" s="10"/>
      <c r="B331" s="13"/>
      <c r="C331" s="13"/>
    </row>
    <row r="332" spans="1:3" ht="13" x14ac:dyDescent="0.15">
      <c r="A332" s="10"/>
      <c r="B332" s="13"/>
      <c r="C332" s="13"/>
    </row>
    <row r="333" spans="1:3" ht="13" x14ac:dyDescent="0.15">
      <c r="A333" s="10"/>
      <c r="B333" s="13"/>
      <c r="C333" s="13"/>
    </row>
    <row r="334" spans="1:3" ht="13" x14ac:dyDescent="0.15">
      <c r="A334" s="10"/>
      <c r="B334" s="13"/>
      <c r="C334" s="13"/>
    </row>
    <row r="335" spans="1:3" ht="13" x14ac:dyDescent="0.15">
      <c r="A335" s="10"/>
      <c r="B335" s="13"/>
      <c r="C335" s="13"/>
    </row>
    <row r="336" spans="1:3" ht="13" x14ac:dyDescent="0.15">
      <c r="A336" s="10"/>
      <c r="B336" s="13"/>
      <c r="C336" s="13"/>
    </row>
    <row r="337" spans="1:3" ht="13" x14ac:dyDescent="0.15">
      <c r="A337" s="10"/>
      <c r="B337" s="13"/>
      <c r="C337" s="13"/>
    </row>
    <row r="338" spans="1:3" ht="13" x14ac:dyDescent="0.15">
      <c r="A338" s="10"/>
      <c r="B338" s="13"/>
      <c r="C338" s="13"/>
    </row>
    <row r="339" spans="1:3" ht="13" x14ac:dyDescent="0.15">
      <c r="A339" s="10"/>
      <c r="B339" s="13"/>
      <c r="C339" s="13"/>
    </row>
    <row r="340" spans="1:3" ht="13" x14ac:dyDescent="0.15">
      <c r="A340" s="10"/>
      <c r="B340" s="13"/>
      <c r="C340" s="13"/>
    </row>
    <row r="341" spans="1:3" ht="13" x14ac:dyDescent="0.15">
      <c r="A341" s="10"/>
      <c r="B341" s="13"/>
      <c r="C341" s="13"/>
    </row>
    <row r="342" spans="1:3" ht="13" x14ac:dyDescent="0.15">
      <c r="A342" s="10"/>
      <c r="B342" s="13"/>
      <c r="C342" s="13"/>
    </row>
    <row r="343" spans="1:3" ht="13" x14ac:dyDescent="0.15">
      <c r="A343" s="10"/>
      <c r="B343" s="13"/>
      <c r="C343" s="13"/>
    </row>
    <row r="344" spans="1:3" ht="13" x14ac:dyDescent="0.15">
      <c r="A344" s="10"/>
      <c r="B344" s="13"/>
      <c r="C344" s="13"/>
    </row>
    <row r="345" spans="1:3" ht="13" x14ac:dyDescent="0.15">
      <c r="A345" s="10"/>
      <c r="B345" s="13"/>
      <c r="C345" s="13"/>
    </row>
    <row r="346" spans="1:3" ht="13" x14ac:dyDescent="0.15">
      <c r="A346" s="10"/>
      <c r="B346" s="13"/>
      <c r="C346" s="13"/>
    </row>
    <row r="347" spans="1:3" ht="13" x14ac:dyDescent="0.15">
      <c r="A347" s="10"/>
      <c r="B347" s="13"/>
      <c r="C347" s="13"/>
    </row>
    <row r="348" spans="1:3" ht="13" x14ac:dyDescent="0.15">
      <c r="A348" s="10"/>
      <c r="B348" s="13"/>
      <c r="C348" s="13"/>
    </row>
    <row r="349" spans="1:3" ht="13" x14ac:dyDescent="0.15">
      <c r="A349" s="10"/>
      <c r="B349" s="13"/>
      <c r="C349" s="13"/>
    </row>
    <row r="350" spans="1:3" ht="13" x14ac:dyDescent="0.15">
      <c r="A350" s="10"/>
      <c r="B350" s="13"/>
      <c r="C350" s="13"/>
    </row>
    <row r="351" spans="1:3" ht="13" x14ac:dyDescent="0.15">
      <c r="A351" s="10"/>
      <c r="B351" s="13"/>
      <c r="C351" s="13"/>
    </row>
    <row r="352" spans="1:3" ht="13" x14ac:dyDescent="0.15">
      <c r="A352" s="10"/>
      <c r="B352" s="13"/>
      <c r="C352" s="13"/>
    </row>
    <row r="353" spans="1:3" ht="13" x14ac:dyDescent="0.15">
      <c r="A353" s="10"/>
      <c r="B353" s="13"/>
      <c r="C353" s="13"/>
    </row>
    <row r="354" spans="1:3" ht="13" x14ac:dyDescent="0.15">
      <c r="A354" s="10"/>
      <c r="B354" s="13"/>
      <c r="C354" s="13"/>
    </row>
    <row r="355" spans="1:3" ht="13" x14ac:dyDescent="0.15">
      <c r="A355" s="10"/>
      <c r="B355" s="13"/>
      <c r="C355" s="13"/>
    </row>
    <row r="356" spans="1:3" ht="13" x14ac:dyDescent="0.15">
      <c r="A356" s="10"/>
      <c r="B356" s="13"/>
      <c r="C356" s="13"/>
    </row>
    <row r="357" spans="1:3" ht="13" x14ac:dyDescent="0.15">
      <c r="A357" s="10"/>
      <c r="B357" s="13"/>
      <c r="C357" s="13"/>
    </row>
    <row r="358" spans="1:3" ht="13" x14ac:dyDescent="0.15">
      <c r="A358" s="10"/>
      <c r="B358" s="13"/>
      <c r="C358" s="13"/>
    </row>
    <row r="359" spans="1:3" ht="13" x14ac:dyDescent="0.15">
      <c r="A359" s="10"/>
      <c r="B359" s="13"/>
      <c r="C359" s="13"/>
    </row>
    <row r="360" spans="1:3" ht="13" x14ac:dyDescent="0.15">
      <c r="A360" s="10"/>
      <c r="B360" s="13"/>
      <c r="C360" s="13"/>
    </row>
    <row r="361" spans="1:3" ht="13" x14ac:dyDescent="0.15">
      <c r="A361" s="10"/>
      <c r="B361" s="13"/>
      <c r="C361" s="13"/>
    </row>
    <row r="362" spans="1:3" ht="13" x14ac:dyDescent="0.15">
      <c r="A362" s="10"/>
      <c r="B362" s="13"/>
      <c r="C362" s="13"/>
    </row>
    <row r="363" spans="1:3" ht="13" x14ac:dyDescent="0.15">
      <c r="A363" s="10"/>
      <c r="B363" s="13"/>
      <c r="C363" s="13"/>
    </row>
    <row r="364" spans="1:3" ht="13" x14ac:dyDescent="0.15">
      <c r="A364" s="10"/>
      <c r="B364" s="13"/>
      <c r="C364" s="13"/>
    </row>
    <row r="365" spans="1:3" ht="13" x14ac:dyDescent="0.15">
      <c r="A365" s="10"/>
      <c r="B365" s="13"/>
      <c r="C365" s="13"/>
    </row>
    <row r="366" spans="1:3" ht="13" x14ac:dyDescent="0.15">
      <c r="A366" s="10"/>
      <c r="B366" s="13"/>
      <c r="C366" s="13"/>
    </row>
    <row r="367" spans="1:3" ht="13" x14ac:dyDescent="0.15">
      <c r="A367" s="10"/>
      <c r="B367" s="13"/>
      <c r="C367" s="13"/>
    </row>
    <row r="368" spans="1:3" ht="13" x14ac:dyDescent="0.15">
      <c r="A368" s="10"/>
      <c r="B368" s="13"/>
      <c r="C368" s="13"/>
    </row>
    <row r="369" spans="1:3" ht="13" x14ac:dyDescent="0.15">
      <c r="A369" s="10"/>
      <c r="B369" s="13"/>
      <c r="C369" s="13"/>
    </row>
    <row r="370" spans="1:3" ht="13" x14ac:dyDescent="0.15">
      <c r="A370" s="10"/>
      <c r="B370" s="13"/>
      <c r="C370" s="13"/>
    </row>
    <row r="371" spans="1:3" ht="13" x14ac:dyDescent="0.15">
      <c r="A371" s="10"/>
      <c r="B371" s="13"/>
      <c r="C371" s="13"/>
    </row>
    <row r="372" spans="1:3" ht="13" x14ac:dyDescent="0.15">
      <c r="A372" s="10"/>
      <c r="B372" s="13"/>
      <c r="C372" s="13"/>
    </row>
    <row r="373" spans="1:3" ht="13" x14ac:dyDescent="0.15">
      <c r="A373" s="10"/>
      <c r="B373" s="13"/>
      <c r="C373" s="13"/>
    </row>
    <row r="374" spans="1:3" ht="13" x14ac:dyDescent="0.15">
      <c r="A374" s="10"/>
      <c r="B374" s="13"/>
      <c r="C374" s="13"/>
    </row>
    <row r="375" spans="1:3" ht="13" x14ac:dyDescent="0.15">
      <c r="A375" s="10"/>
      <c r="B375" s="13"/>
      <c r="C375" s="13"/>
    </row>
    <row r="376" spans="1:3" ht="13" x14ac:dyDescent="0.15">
      <c r="A376" s="10"/>
      <c r="B376" s="13"/>
      <c r="C376" s="13"/>
    </row>
    <row r="377" spans="1:3" ht="13" x14ac:dyDescent="0.15">
      <c r="A377" s="10"/>
      <c r="B377" s="13"/>
      <c r="C377" s="13"/>
    </row>
    <row r="378" spans="1:3" ht="13" x14ac:dyDescent="0.15">
      <c r="A378" s="10"/>
      <c r="B378" s="13"/>
      <c r="C378" s="13"/>
    </row>
    <row r="379" spans="1:3" ht="13" x14ac:dyDescent="0.15">
      <c r="A379" s="10"/>
      <c r="B379" s="13"/>
      <c r="C379" s="13"/>
    </row>
    <row r="380" spans="1:3" ht="13" x14ac:dyDescent="0.15">
      <c r="A380" s="10"/>
      <c r="B380" s="13"/>
      <c r="C380" s="13"/>
    </row>
    <row r="381" spans="1:3" ht="13" x14ac:dyDescent="0.15">
      <c r="A381" s="10"/>
      <c r="B381" s="13"/>
      <c r="C381" s="13"/>
    </row>
    <row r="382" spans="1:3" ht="13" x14ac:dyDescent="0.15">
      <c r="A382" s="10"/>
      <c r="B382" s="13"/>
      <c r="C382" s="13"/>
    </row>
    <row r="383" spans="1:3" ht="13" x14ac:dyDescent="0.15">
      <c r="A383" s="10"/>
      <c r="B383" s="13"/>
      <c r="C383" s="13"/>
    </row>
    <row r="384" spans="1:3" ht="13" x14ac:dyDescent="0.15">
      <c r="A384" s="10"/>
      <c r="B384" s="13"/>
      <c r="C384" s="13"/>
    </row>
    <row r="385" spans="1:3" ht="13" x14ac:dyDescent="0.15">
      <c r="A385" s="10"/>
      <c r="B385" s="13"/>
      <c r="C385" s="13"/>
    </row>
    <row r="386" spans="1:3" ht="13" x14ac:dyDescent="0.15">
      <c r="A386" s="10"/>
      <c r="B386" s="13"/>
      <c r="C386" s="13"/>
    </row>
    <row r="387" spans="1:3" ht="13" x14ac:dyDescent="0.15">
      <c r="A387" s="10"/>
      <c r="B387" s="13"/>
      <c r="C387" s="13"/>
    </row>
    <row r="388" spans="1:3" ht="13" x14ac:dyDescent="0.15">
      <c r="A388" s="10"/>
      <c r="B388" s="13"/>
      <c r="C388" s="13"/>
    </row>
    <row r="389" spans="1:3" ht="13" x14ac:dyDescent="0.15">
      <c r="A389" s="10"/>
      <c r="B389" s="13"/>
      <c r="C389" s="13"/>
    </row>
    <row r="390" spans="1:3" ht="13" x14ac:dyDescent="0.15">
      <c r="A390" s="10"/>
      <c r="B390" s="13"/>
      <c r="C390" s="13"/>
    </row>
    <row r="391" spans="1:3" ht="13" x14ac:dyDescent="0.15">
      <c r="A391" s="10"/>
      <c r="B391" s="13"/>
      <c r="C391" s="13"/>
    </row>
    <row r="392" spans="1:3" ht="13" x14ac:dyDescent="0.15">
      <c r="A392" s="10"/>
      <c r="B392" s="13"/>
      <c r="C392" s="13"/>
    </row>
    <row r="393" spans="1:3" ht="13" x14ac:dyDescent="0.15">
      <c r="A393" s="10"/>
      <c r="B393" s="13"/>
      <c r="C393" s="13"/>
    </row>
    <row r="394" spans="1:3" ht="13" x14ac:dyDescent="0.15">
      <c r="A394" s="10"/>
      <c r="B394" s="13"/>
      <c r="C394" s="13"/>
    </row>
    <row r="395" spans="1:3" ht="13" x14ac:dyDescent="0.15">
      <c r="A395" s="10"/>
      <c r="B395" s="13"/>
      <c r="C395" s="13"/>
    </row>
    <row r="396" spans="1:3" ht="13" x14ac:dyDescent="0.15">
      <c r="A396" s="10"/>
      <c r="B396" s="13"/>
      <c r="C396" s="13"/>
    </row>
    <row r="397" spans="1:3" ht="13" x14ac:dyDescent="0.15">
      <c r="A397" s="10"/>
      <c r="B397" s="13"/>
      <c r="C397" s="13"/>
    </row>
    <row r="398" spans="1:3" ht="13" x14ac:dyDescent="0.15">
      <c r="A398" s="10"/>
      <c r="B398" s="13"/>
      <c r="C398" s="13"/>
    </row>
    <row r="399" spans="1:3" ht="13" x14ac:dyDescent="0.15">
      <c r="A399" s="10"/>
      <c r="B399" s="13"/>
      <c r="C399" s="13"/>
    </row>
    <row r="400" spans="1:3" ht="13" x14ac:dyDescent="0.15">
      <c r="A400" s="10"/>
      <c r="B400" s="13"/>
      <c r="C400" s="13"/>
    </row>
    <row r="401" spans="1:3" ht="13" x14ac:dyDescent="0.15">
      <c r="A401" s="10"/>
      <c r="B401" s="13"/>
      <c r="C401" s="13"/>
    </row>
    <row r="402" spans="1:3" ht="13" x14ac:dyDescent="0.15">
      <c r="A402" s="10"/>
      <c r="B402" s="13"/>
      <c r="C402" s="13"/>
    </row>
    <row r="403" spans="1:3" ht="13" x14ac:dyDescent="0.15">
      <c r="A403" s="10"/>
      <c r="B403" s="13"/>
      <c r="C403" s="13"/>
    </row>
    <row r="404" spans="1:3" ht="13" x14ac:dyDescent="0.15">
      <c r="A404" s="10"/>
      <c r="B404" s="13"/>
      <c r="C404" s="13"/>
    </row>
    <row r="405" spans="1:3" ht="13" x14ac:dyDescent="0.15">
      <c r="A405" s="10"/>
      <c r="B405" s="13"/>
      <c r="C405" s="13"/>
    </row>
    <row r="406" spans="1:3" ht="13" x14ac:dyDescent="0.15">
      <c r="A406" s="10"/>
      <c r="B406" s="13"/>
      <c r="C406" s="13"/>
    </row>
    <row r="407" spans="1:3" ht="13" x14ac:dyDescent="0.15">
      <c r="A407" s="10"/>
      <c r="B407" s="13"/>
      <c r="C407" s="13"/>
    </row>
    <row r="408" spans="1:3" ht="13" x14ac:dyDescent="0.15">
      <c r="A408" s="10"/>
      <c r="B408" s="13"/>
      <c r="C408" s="13"/>
    </row>
    <row r="409" spans="1:3" ht="13" x14ac:dyDescent="0.15">
      <c r="A409" s="10"/>
      <c r="B409" s="13"/>
      <c r="C409" s="13"/>
    </row>
    <row r="410" spans="1:3" ht="13" x14ac:dyDescent="0.15">
      <c r="A410" s="10"/>
      <c r="B410" s="13"/>
      <c r="C410" s="13"/>
    </row>
    <row r="411" spans="1:3" ht="13" x14ac:dyDescent="0.15">
      <c r="A411" s="10"/>
      <c r="B411" s="13"/>
      <c r="C411" s="13"/>
    </row>
    <row r="412" spans="1:3" ht="13" x14ac:dyDescent="0.15">
      <c r="A412" s="10"/>
      <c r="B412" s="13"/>
      <c r="C412" s="13"/>
    </row>
    <row r="413" spans="1:3" ht="13" x14ac:dyDescent="0.15">
      <c r="A413" s="10"/>
      <c r="B413" s="13"/>
      <c r="C413" s="13"/>
    </row>
    <row r="414" spans="1:3" ht="13" x14ac:dyDescent="0.15">
      <c r="A414" s="10"/>
      <c r="B414" s="13"/>
      <c r="C414" s="13"/>
    </row>
    <row r="415" spans="1:3" ht="13" x14ac:dyDescent="0.15">
      <c r="A415" s="10"/>
      <c r="B415" s="13"/>
      <c r="C415" s="13"/>
    </row>
    <row r="416" spans="1:3" ht="13" x14ac:dyDescent="0.15">
      <c r="A416" s="10"/>
      <c r="B416" s="13"/>
      <c r="C416" s="13"/>
    </row>
    <row r="417" spans="1:3" ht="13" x14ac:dyDescent="0.15">
      <c r="A417" s="10"/>
      <c r="B417" s="13"/>
      <c r="C417" s="13"/>
    </row>
    <row r="418" spans="1:3" ht="13" x14ac:dyDescent="0.15">
      <c r="A418" s="10"/>
      <c r="B418" s="13"/>
      <c r="C418" s="13"/>
    </row>
    <row r="419" spans="1:3" ht="13" x14ac:dyDescent="0.15">
      <c r="A419" s="10"/>
      <c r="B419" s="13"/>
      <c r="C419" s="13"/>
    </row>
    <row r="420" spans="1:3" ht="13" x14ac:dyDescent="0.15">
      <c r="A420" s="10"/>
      <c r="B420" s="13"/>
      <c r="C420" s="13"/>
    </row>
    <row r="421" spans="1:3" ht="13" x14ac:dyDescent="0.15">
      <c r="A421" s="10"/>
      <c r="B421" s="13"/>
      <c r="C421" s="13"/>
    </row>
    <row r="422" spans="1:3" ht="13" x14ac:dyDescent="0.15">
      <c r="A422" s="10"/>
      <c r="B422" s="13"/>
      <c r="C422" s="13"/>
    </row>
    <row r="423" spans="1:3" ht="13" x14ac:dyDescent="0.15">
      <c r="A423" s="10"/>
      <c r="B423" s="13"/>
      <c r="C423" s="13"/>
    </row>
    <row r="424" spans="1:3" ht="13" x14ac:dyDescent="0.15">
      <c r="A424" s="10"/>
      <c r="B424" s="13"/>
      <c r="C424" s="13"/>
    </row>
    <row r="425" spans="1:3" ht="13" x14ac:dyDescent="0.15">
      <c r="A425" s="10"/>
      <c r="B425" s="13"/>
      <c r="C425" s="13"/>
    </row>
    <row r="426" spans="1:3" ht="13" x14ac:dyDescent="0.15">
      <c r="A426" s="10"/>
      <c r="B426" s="13"/>
      <c r="C426" s="13"/>
    </row>
    <row r="427" spans="1:3" ht="13" x14ac:dyDescent="0.15">
      <c r="A427" s="10"/>
      <c r="B427" s="13"/>
      <c r="C427" s="13"/>
    </row>
    <row r="428" spans="1:3" ht="13" x14ac:dyDescent="0.15">
      <c r="A428" s="10"/>
      <c r="B428" s="13"/>
      <c r="C428" s="13"/>
    </row>
    <row r="429" spans="1:3" ht="13" x14ac:dyDescent="0.15">
      <c r="A429" s="10"/>
      <c r="B429" s="13"/>
      <c r="C429" s="13"/>
    </row>
    <row r="430" spans="1:3" ht="13" x14ac:dyDescent="0.15">
      <c r="A430" s="10"/>
      <c r="B430" s="13"/>
      <c r="C430" s="13"/>
    </row>
    <row r="431" spans="1:3" ht="13" x14ac:dyDescent="0.15">
      <c r="A431" s="10"/>
      <c r="B431" s="13"/>
      <c r="C431" s="13"/>
    </row>
    <row r="432" spans="1:3" ht="13" x14ac:dyDescent="0.15">
      <c r="A432" s="10"/>
      <c r="B432" s="13"/>
      <c r="C432" s="13"/>
    </row>
    <row r="433" spans="1:3" ht="13" x14ac:dyDescent="0.15">
      <c r="A433" s="10"/>
      <c r="B433" s="13"/>
      <c r="C433" s="13"/>
    </row>
    <row r="434" spans="1:3" ht="13" x14ac:dyDescent="0.15">
      <c r="A434" s="10"/>
      <c r="B434" s="13"/>
      <c r="C434" s="13"/>
    </row>
    <row r="435" spans="1:3" ht="13" x14ac:dyDescent="0.15">
      <c r="A435" s="10"/>
      <c r="B435" s="13"/>
      <c r="C435" s="13"/>
    </row>
    <row r="436" spans="1:3" ht="13" x14ac:dyDescent="0.15">
      <c r="A436" s="10"/>
      <c r="B436" s="13"/>
      <c r="C436" s="13"/>
    </row>
    <row r="437" spans="1:3" ht="13" x14ac:dyDescent="0.15">
      <c r="A437" s="10"/>
      <c r="B437" s="13"/>
      <c r="C437" s="13"/>
    </row>
    <row r="438" spans="1:3" ht="13" x14ac:dyDescent="0.15">
      <c r="A438" s="10"/>
      <c r="B438" s="13"/>
      <c r="C438" s="13"/>
    </row>
    <row r="439" spans="1:3" ht="13" x14ac:dyDescent="0.15">
      <c r="A439" s="10"/>
      <c r="B439" s="13"/>
      <c r="C439" s="13"/>
    </row>
    <row r="440" spans="1:3" ht="13" x14ac:dyDescent="0.15">
      <c r="A440" s="10"/>
      <c r="B440" s="13"/>
      <c r="C440" s="13"/>
    </row>
    <row r="441" spans="1:3" ht="13" x14ac:dyDescent="0.15">
      <c r="A441" s="10"/>
      <c r="B441" s="13"/>
      <c r="C441" s="13"/>
    </row>
    <row r="442" spans="1:3" ht="13" x14ac:dyDescent="0.15">
      <c r="A442" s="10"/>
      <c r="B442" s="13"/>
      <c r="C442" s="13"/>
    </row>
    <row r="443" spans="1:3" ht="13" x14ac:dyDescent="0.15">
      <c r="A443" s="10"/>
      <c r="B443" s="13"/>
      <c r="C443" s="13"/>
    </row>
    <row r="444" spans="1:3" ht="13" x14ac:dyDescent="0.15">
      <c r="A444" s="10"/>
      <c r="B444" s="13"/>
      <c r="C444" s="13"/>
    </row>
    <row r="445" spans="1:3" ht="13" x14ac:dyDescent="0.15">
      <c r="A445" s="10"/>
      <c r="B445" s="13"/>
      <c r="C445" s="13"/>
    </row>
    <row r="446" spans="1:3" ht="13" x14ac:dyDescent="0.15">
      <c r="A446" s="10"/>
      <c r="B446" s="13"/>
      <c r="C446" s="13"/>
    </row>
    <row r="447" spans="1:3" ht="13" x14ac:dyDescent="0.15">
      <c r="A447" s="10"/>
      <c r="B447" s="13"/>
      <c r="C447" s="13"/>
    </row>
    <row r="448" spans="1:3" ht="13" x14ac:dyDescent="0.15">
      <c r="A448" s="10"/>
      <c r="B448" s="13"/>
      <c r="C448" s="13"/>
    </row>
    <row r="449" spans="1:3" ht="13" x14ac:dyDescent="0.15">
      <c r="A449" s="10"/>
      <c r="B449" s="13"/>
      <c r="C449" s="13"/>
    </row>
    <row r="450" spans="1:3" ht="13" x14ac:dyDescent="0.15">
      <c r="A450" s="10"/>
      <c r="B450" s="13"/>
      <c r="C450" s="13"/>
    </row>
    <row r="451" spans="1:3" ht="13" x14ac:dyDescent="0.15">
      <c r="A451" s="10"/>
      <c r="B451" s="13"/>
      <c r="C451" s="13"/>
    </row>
    <row r="452" spans="1:3" ht="13" x14ac:dyDescent="0.15">
      <c r="A452" s="10"/>
      <c r="B452" s="13"/>
      <c r="C452" s="13"/>
    </row>
    <row r="453" spans="1:3" ht="13" x14ac:dyDescent="0.15">
      <c r="A453" s="10"/>
      <c r="B453" s="13"/>
      <c r="C453" s="13"/>
    </row>
    <row r="454" spans="1:3" ht="13" x14ac:dyDescent="0.15">
      <c r="A454" s="10"/>
      <c r="B454" s="13"/>
      <c r="C454" s="13"/>
    </row>
    <row r="455" spans="1:3" ht="13" x14ac:dyDescent="0.15">
      <c r="A455" s="10"/>
      <c r="B455" s="13"/>
      <c r="C455" s="13"/>
    </row>
    <row r="456" spans="1:3" ht="13" x14ac:dyDescent="0.15">
      <c r="A456" s="10"/>
      <c r="B456" s="13"/>
      <c r="C456" s="13"/>
    </row>
    <row r="457" spans="1:3" ht="13" x14ac:dyDescent="0.15">
      <c r="A457" s="10"/>
      <c r="B457" s="13"/>
      <c r="C457" s="13"/>
    </row>
    <row r="458" spans="1:3" ht="13" x14ac:dyDescent="0.15">
      <c r="A458" s="10"/>
      <c r="B458" s="13"/>
      <c r="C458" s="13"/>
    </row>
    <row r="459" spans="1:3" ht="13" x14ac:dyDescent="0.15">
      <c r="A459" s="10"/>
      <c r="B459" s="13"/>
      <c r="C459" s="13"/>
    </row>
    <row r="460" spans="1:3" ht="13" x14ac:dyDescent="0.15">
      <c r="A460" s="10"/>
      <c r="B460" s="13"/>
      <c r="C460" s="13"/>
    </row>
    <row r="461" spans="1:3" ht="13" x14ac:dyDescent="0.15">
      <c r="A461" s="10"/>
      <c r="B461" s="13"/>
      <c r="C461" s="13"/>
    </row>
    <row r="462" spans="1:3" ht="13" x14ac:dyDescent="0.15">
      <c r="A462" s="10"/>
      <c r="B462" s="13"/>
      <c r="C462" s="13"/>
    </row>
    <row r="463" spans="1:3" ht="13" x14ac:dyDescent="0.15">
      <c r="A463" s="10"/>
      <c r="B463" s="13"/>
      <c r="C463" s="13"/>
    </row>
    <row r="464" spans="1:3" ht="13" x14ac:dyDescent="0.15">
      <c r="A464" s="10"/>
      <c r="B464" s="13"/>
      <c r="C464" s="13"/>
    </row>
    <row r="465" spans="1:3" ht="13" x14ac:dyDescent="0.15">
      <c r="A465" s="10"/>
      <c r="B465" s="13"/>
      <c r="C465" s="13"/>
    </row>
    <row r="466" spans="1:3" ht="13" x14ac:dyDescent="0.15">
      <c r="A466" s="10"/>
      <c r="B466" s="13"/>
      <c r="C466" s="13"/>
    </row>
    <row r="467" spans="1:3" ht="13" x14ac:dyDescent="0.15">
      <c r="A467" s="10"/>
      <c r="B467" s="13"/>
      <c r="C467" s="13"/>
    </row>
    <row r="468" spans="1:3" ht="13" x14ac:dyDescent="0.15">
      <c r="A468" s="10"/>
      <c r="B468" s="13"/>
      <c r="C468" s="13"/>
    </row>
    <row r="469" spans="1:3" ht="13" x14ac:dyDescent="0.15">
      <c r="A469" s="10"/>
      <c r="B469" s="13"/>
      <c r="C469" s="13"/>
    </row>
    <row r="470" spans="1:3" ht="13" x14ac:dyDescent="0.15">
      <c r="A470" s="10"/>
      <c r="B470" s="13"/>
      <c r="C470" s="13"/>
    </row>
    <row r="471" spans="1:3" ht="13" x14ac:dyDescent="0.15">
      <c r="A471" s="10"/>
      <c r="B471" s="13"/>
      <c r="C471" s="13"/>
    </row>
    <row r="472" spans="1:3" ht="13" x14ac:dyDescent="0.15">
      <c r="A472" s="10"/>
      <c r="B472" s="13"/>
      <c r="C472" s="13"/>
    </row>
    <row r="473" spans="1:3" ht="13" x14ac:dyDescent="0.15">
      <c r="A473" s="10"/>
      <c r="B473" s="13"/>
      <c r="C473" s="13"/>
    </row>
    <row r="474" spans="1:3" ht="13" x14ac:dyDescent="0.15">
      <c r="A474" s="10"/>
      <c r="B474" s="13"/>
      <c r="C474" s="13"/>
    </row>
    <row r="475" spans="1:3" ht="13" x14ac:dyDescent="0.15">
      <c r="A475" s="10"/>
      <c r="B475" s="13"/>
      <c r="C475" s="13"/>
    </row>
    <row r="476" spans="1:3" ht="13" x14ac:dyDescent="0.15">
      <c r="A476" s="10"/>
      <c r="B476" s="13"/>
      <c r="C476" s="13"/>
    </row>
    <row r="477" spans="1:3" ht="13" x14ac:dyDescent="0.15">
      <c r="A477" s="10"/>
      <c r="B477" s="13"/>
      <c r="C477" s="13"/>
    </row>
    <row r="478" spans="1:3" ht="13" x14ac:dyDescent="0.15">
      <c r="A478" s="10"/>
      <c r="B478" s="13"/>
      <c r="C478" s="13"/>
    </row>
    <row r="479" spans="1:3" ht="13" x14ac:dyDescent="0.15">
      <c r="A479" s="10"/>
      <c r="B479" s="13"/>
      <c r="C479" s="13"/>
    </row>
    <row r="480" spans="1:3" ht="13" x14ac:dyDescent="0.15">
      <c r="A480" s="10"/>
      <c r="B480" s="13"/>
      <c r="C480" s="13"/>
    </row>
    <row r="481" spans="1:3" ht="13" x14ac:dyDescent="0.15">
      <c r="A481" s="10"/>
      <c r="B481" s="13"/>
      <c r="C481" s="13"/>
    </row>
    <row r="482" spans="1:3" ht="13" x14ac:dyDescent="0.15">
      <c r="A482" s="10"/>
      <c r="B482" s="13"/>
      <c r="C482" s="13"/>
    </row>
    <row r="483" spans="1:3" ht="13" x14ac:dyDescent="0.15">
      <c r="A483" s="10"/>
      <c r="B483" s="13"/>
      <c r="C483" s="13"/>
    </row>
    <row r="484" spans="1:3" ht="13" x14ac:dyDescent="0.15">
      <c r="A484" s="10"/>
      <c r="B484" s="13"/>
      <c r="C484" s="13"/>
    </row>
    <row r="485" spans="1:3" ht="13" x14ac:dyDescent="0.15">
      <c r="A485" s="10"/>
      <c r="B485" s="13"/>
      <c r="C485" s="13"/>
    </row>
    <row r="486" spans="1:3" ht="13" x14ac:dyDescent="0.15">
      <c r="A486" s="10"/>
      <c r="B486" s="13"/>
      <c r="C486" s="13"/>
    </row>
    <row r="487" spans="1:3" ht="13" x14ac:dyDescent="0.15">
      <c r="A487" s="10"/>
      <c r="B487" s="13"/>
      <c r="C487" s="13"/>
    </row>
    <row r="488" spans="1:3" ht="13" x14ac:dyDescent="0.15">
      <c r="A488" s="10"/>
      <c r="B488" s="13"/>
      <c r="C488" s="13"/>
    </row>
    <row r="489" spans="1:3" ht="13" x14ac:dyDescent="0.15">
      <c r="A489" s="10"/>
      <c r="B489" s="13"/>
      <c r="C489" s="13"/>
    </row>
    <row r="490" spans="1:3" ht="13" x14ac:dyDescent="0.15">
      <c r="A490" s="10"/>
      <c r="B490" s="13"/>
      <c r="C490" s="13"/>
    </row>
    <row r="491" spans="1:3" ht="13" x14ac:dyDescent="0.15">
      <c r="A491" s="10"/>
      <c r="B491" s="13"/>
      <c r="C491" s="13"/>
    </row>
    <row r="492" spans="1:3" ht="13" x14ac:dyDescent="0.15">
      <c r="A492" s="10"/>
      <c r="B492" s="13"/>
      <c r="C492" s="13"/>
    </row>
    <row r="493" spans="1:3" ht="13" x14ac:dyDescent="0.15">
      <c r="A493" s="10"/>
      <c r="B493" s="13"/>
      <c r="C493" s="13"/>
    </row>
    <row r="494" spans="1:3" ht="13" x14ac:dyDescent="0.15">
      <c r="A494" s="10"/>
      <c r="B494" s="13"/>
      <c r="C494" s="13"/>
    </row>
    <row r="495" spans="1:3" ht="13" x14ac:dyDescent="0.15">
      <c r="A495" s="10"/>
      <c r="B495" s="13"/>
      <c r="C495" s="13"/>
    </row>
    <row r="496" spans="1:3" ht="13" x14ac:dyDescent="0.15">
      <c r="A496" s="10"/>
      <c r="B496" s="13"/>
      <c r="C496" s="13"/>
    </row>
    <row r="497" spans="1:3" ht="13" x14ac:dyDescent="0.15">
      <c r="A497" s="10"/>
      <c r="B497" s="13"/>
      <c r="C497" s="13"/>
    </row>
    <row r="498" spans="1:3" ht="13" x14ac:dyDescent="0.15">
      <c r="A498" s="10"/>
      <c r="B498" s="13"/>
      <c r="C498" s="13"/>
    </row>
    <row r="499" spans="1:3" ht="13" x14ac:dyDescent="0.15">
      <c r="A499" s="10"/>
      <c r="B499" s="13"/>
      <c r="C499" s="13"/>
    </row>
    <row r="500" spans="1:3" ht="13" x14ac:dyDescent="0.15">
      <c r="A500" s="10"/>
      <c r="B500" s="13"/>
      <c r="C500" s="13"/>
    </row>
    <row r="501" spans="1:3" ht="13" x14ac:dyDescent="0.15">
      <c r="A501" s="10"/>
      <c r="B501" s="13"/>
      <c r="C501" s="13"/>
    </row>
    <row r="502" spans="1:3" ht="13" x14ac:dyDescent="0.15">
      <c r="A502" s="10"/>
      <c r="B502" s="13"/>
      <c r="C502" s="13"/>
    </row>
    <row r="503" spans="1:3" ht="13" x14ac:dyDescent="0.15">
      <c r="A503" s="10"/>
      <c r="B503" s="13"/>
      <c r="C503" s="13"/>
    </row>
    <row r="504" spans="1:3" ht="13" x14ac:dyDescent="0.15">
      <c r="A504" s="10"/>
      <c r="B504" s="13"/>
      <c r="C504" s="13"/>
    </row>
    <row r="505" spans="1:3" ht="13" x14ac:dyDescent="0.15">
      <c r="A505" s="10"/>
      <c r="B505" s="13"/>
      <c r="C505" s="13"/>
    </row>
    <row r="506" spans="1:3" ht="13" x14ac:dyDescent="0.15">
      <c r="A506" s="10"/>
      <c r="B506" s="13"/>
      <c r="C506" s="13"/>
    </row>
    <row r="507" spans="1:3" ht="13" x14ac:dyDescent="0.15">
      <c r="A507" s="10"/>
      <c r="B507" s="13"/>
      <c r="C507" s="13"/>
    </row>
    <row r="508" spans="1:3" ht="13" x14ac:dyDescent="0.15">
      <c r="A508" s="10"/>
      <c r="B508" s="13"/>
      <c r="C508" s="13"/>
    </row>
    <row r="509" spans="1:3" ht="13" x14ac:dyDescent="0.15">
      <c r="A509" s="10"/>
      <c r="B509" s="13"/>
      <c r="C509" s="13"/>
    </row>
    <row r="510" spans="1:3" ht="13" x14ac:dyDescent="0.15">
      <c r="A510" s="10"/>
      <c r="B510" s="13"/>
      <c r="C510" s="13"/>
    </row>
    <row r="511" spans="1:3" ht="13" x14ac:dyDescent="0.15">
      <c r="A511" s="10"/>
      <c r="B511" s="13"/>
      <c r="C511" s="13"/>
    </row>
    <row r="512" spans="1:3" ht="13" x14ac:dyDescent="0.15">
      <c r="A512" s="10"/>
      <c r="B512" s="13"/>
      <c r="C512" s="13"/>
    </row>
    <row r="513" spans="1:3" ht="13" x14ac:dyDescent="0.15">
      <c r="A513" s="10"/>
      <c r="B513" s="13"/>
      <c r="C513" s="13"/>
    </row>
    <row r="514" spans="1:3" ht="13" x14ac:dyDescent="0.15">
      <c r="A514" s="10"/>
      <c r="B514" s="13"/>
      <c r="C514" s="13"/>
    </row>
    <row r="515" spans="1:3" ht="13" x14ac:dyDescent="0.15">
      <c r="A515" s="10"/>
      <c r="B515" s="13"/>
      <c r="C515" s="13"/>
    </row>
    <row r="516" spans="1:3" ht="13" x14ac:dyDescent="0.15">
      <c r="A516" s="10"/>
      <c r="B516" s="13"/>
      <c r="C516" s="13"/>
    </row>
    <row r="517" spans="1:3" ht="13" x14ac:dyDescent="0.15">
      <c r="A517" s="10"/>
      <c r="B517" s="13"/>
      <c r="C517" s="13"/>
    </row>
    <row r="518" spans="1:3" ht="13" x14ac:dyDescent="0.15">
      <c r="A518" s="10"/>
      <c r="B518" s="13"/>
      <c r="C518" s="13"/>
    </row>
    <row r="519" spans="1:3" ht="13" x14ac:dyDescent="0.15">
      <c r="A519" s="10"/>
      <c r="B519" s="13"/>
      <c r="C519" s="13"/>
    </row>
    <row r="520" spans="1:3" ht="13" x14ac:dyDescent="0.15">
      <c r="A520" s="10"/>
      <c r="B520" s="13"/>
      <c r="C520" s="13"/>
    </row>
    <row r="521" spans="1:3" ht="13" x14ac:dyDescent="0.15">
      <c r="A521" s="10"/>
      <c r="B521" s="13"/>
      <c r="C521" s="13"/>
    </row>
    <row r="522" spans="1:3" ht="13" x14ac:dyDescent="0.15">
      <c r="A522" s="10"/>
      <c r="B522" s="13"/>
      <c r="C522" s="13"/>
    </row>
    <row r="523" spans="1:3" ht="13" x14ac:dyDescent="0.15">
      <c r="A523" s="10"/>
      <c r="B523" s="13"/>
      <c r="C523" s="13"/>
    </row>
    <row r="524" spans="1:3" ht="13" x14ac:dyDescent="0.15">
      <c r="A524" s="10"/>
      <c r="B524" s="13"/>
      <c r="C524" s="13"/>
    </row>
    <row r="525" spans="1:3" ht="13" x14ac:dyDescent="0.15">
      <c r="A525" s="10"/>
      <c r="B525" s="13"/>
      <c r="C525" s="13"/>
    </row>
    <row r="526" spans="1:3" ht="13" x14ac:dyDescent="0.15">
      <c r="A526" s="10"/>
      <c r="B526" s="13"/>
      <c r="C526" s="13"/>
    </row>
    <row r="527" spans="1:3" ht="13" x14ac:dyDescent="0.15">
      <c r="A527" s="10"/>
      <c r="B527" s="13"/>
      <c r="C527" s="13"/>
    </row>
    <row r="528" spans="1:3" ht="13" x14ac:dyDescent="0.15">
      <c r="A528" s="10"/>
      <c r="B528" s="13"/>
      <c r="C528" s="13"/>
    </row>
    <row r="529" spans="1:3" ht="13" x14ac:dyDescent="0.15">
      <c r="A529" s="10"/>
      <c r="B529" s="13"/>
      <c r="C529" s="13"/>
    </row>
    <row r="530" spans="1:3" ht="13" x14ac:dyDescent="0.15">
      <c r="A530" s="10"/>
      <c r="B530" s="13"/>
      <c r="C530" s="13"/>
    </row>
    <row r="531" spans="1:3" ht="13" x14ac:dyDescent="0.15">
      <c r="A531" s="10"/>
      <c r="B531" s="13"/>
      <c r="C531" s="13"/>
    </row>
    <row r="532" spans="1:3" ht="13" x14ac:dyDescent="0.15">
      <c r="A532" s="10"/>
      <c r="B532" s="13"/>
      <c r="C532" s="13"/>
    </row>
    <row r="533" spans="1:3" ht="13" x14ac:dyDescent="0.15">
      <c r="A533" s="10"/>
      <c r="B533" s="13"/>
      <c r="C533" s="13"/>
    </row>
    <row r="534" spans="1:3" ht="13" x14ac:dyDescent="0.15">
      <c r="A534" s="10"/>
      <c r="B534" s="13"/>
      <c r="C534" s="13"/>
    </row>
    <row r="535" spans="1:3" ht="13" x14ac:dyDescent="0.15">
      <c r="A535" s="10"/>
      <c r="B535" s="13"/>
      <c r="C535" s="13"/>
    </row>
    <row r="536" spans="1:3" ht="13" x14ac:dyDescent="0.15">
      <c r="A536" s="10"/>
      <c r="B536" s="13"/>
      <c r="C536" s="13"/>
    </row>
    <row r="537" spans="1:3" ht="13" x14ac:dyDescent="0.15">
      <c r="A537" s="10"/>
      <c r="B537" s="13"/>
      <c r="C537" s="13"/>
    </row>
    <row r="538" spans="1:3" ht="13" x14ac:dyDescent="0.15">
      <c r="A538" s="10"/>
      <c r="B538" s="13"/>
      <c r="C538" s="13"/>
    </row>
    <row r="539" spans="1:3" ht="13" x14ac:dyDescent="0.15">
      <c r="A539" s="10"/>
      <c r="B539" s="13"/>
      <c r="C539" s="13"/>
    </row>
    <row r="540" spans="1:3" ht="13" x14ac:dyDescent="0.15">
      <c r="A540" s="10"/>
      <c r="B540" s="13"/>
      <c r="C540" s="13"/>
    </row>
    <row r="541" spans="1:3" ht="13" x14ac:dyDescent="0.15">
      <c r="A541" s="10"/>
      <c r="B541" s="13"/>
      <c r="C541" s="13"/>
    </row>
    <row r="542" spans="1:3" ht="13" x14ac:dyDescent="0.15">
      <c r="A542" s="10"/>
      <c r="B542" s="13"/>
      <c r="C542" s="13"/>
    </row>
    <row r="543" spans="1:3" ht="13" x14ac:dyDescent="0.15">
      <c r="A543" s="10"/>
      <c r="B543" s="13"/>
      <c r="C543" s="13"/>
    </row>
    <row r="544" spans="1:3" ht="13" x14ac:dyDescent="0.15">
      <c r="A544" s="10"/>
      <c r="B544" s="13"/>
      <c r="C544" s="13"/>
    </row>
    <row r="545" spans="1:3" ht="13" x14ac:dyDescent="0.15">
      <c r="A545" s="10"/>
      <c r="B545" s="13"/>
      <c r="C545" s="13"/>
    </row>
    <row r="546" spans="1:3" ht="13" x14ac:dyDescent="0.15">
      <c r="A546" s="10"/>
      <c r="B546" s="13"/>
      <c r="C546" s="13"/>
    </row>
    <row r="547" spans="1:3" ht="13" x14ac:dyDescent="0.15">
      <c r="A547" s="10"/>
      <c r="B547" s="13"/>
      <c r="C547" s="13"/>
    </row>
    <row r="548" spans="1:3" ht="13" x14ac:dyDescent="0.15">
      <c r="A548" s="10"/>
      <c r="B548" s="13"/>
      <c r="C548" s="13"/>
    </row>
    <row r="549" spans="1:3" ht="13" x14ac:dyDescent="0.15">
      <c r="A549" s="10"/>
      <c r="B549" s="13"/>
      <c r="C549" s="13"/>
    </row>
    <row r="550" spans="1:3" ht="13" x14ac:dyDescent="0.15">
      <c r="A550" s="10"/>
      <c r="B550" s="13"/>
      <c r="C550" s="13"/>
    </row>
    <row r="551" spans="1:3" ht="13" x14ac:dyDescent="0.15">
      <c r="A551" s="10"/>
      <c r="B551" s="13"/>
      <c r="C551" s="13"/>
    </row>
    <row r="552" spans="1:3" ht="13" x14ac:dyDescent="0.15">
      <c r="A552" s="10"/>
      <c r="B552" s="13"/>
      <c r="C552" s="13"/>
    </row>
    <row r="553" spans="1:3" ht="13" x14ac:dyDescent="0.15">
      <c r="A553" s="10"/>
      <c r="B553" s="13"/>
      <c r="C553" s="13"/>
    </row>
    <row r="554" spans="1:3" ht="13" x14ac:dyDescent="0.15">
      <c r="A554" s="10"/>
      <c r="B554" s="13"/>
      <c r="C554" s="13"/>
    </row>
    <row r="555" spans="1:3" ht="13" x14ac:dyDescent="0.15">
      <c r="A555" s="10"/>
      <c r="B555" s="13"/>
      <c r="C555" s="13"/>
    </row>
    <row r="556" spans="1:3" ht="13" x14ac:dyDescent="0.15">
      <c r="A556" s="10"/>
      <c r="B556" s="13"/>
      <c r="C556" s="13"/>
    </row>
    <row r="557" spans="1:3" ht="13" x14ac:dyDescent="0.15">
      <c r="A557" s="10"/>
      <c r="B557" s="13"/>
      <c r="C557" s="13"/>
    </row>
    <row r="558" spans="1:3" ht="13" x14ac:dyDescent="0.15">
      <c r="A558" s="10"/>
      <c r="B558" s="13"/>
      <c r="C558" s="13"/>
    </row>
    <row r="559" spans="1:3" ht="13" x14ac:dyDescent="0.15">
      <c r="A559" s="10"/>
      <c r="B559" s="13"/>
      <c r="C559" s="13"/>
    </row>
    <row r="560" spans="1:3" ht="13" x14ac:dyDescent="0.15">
      <c r="A560" s="10"/>
      <c r="B560" s="13"/>
      <c r="C560" s="13"/>
    </row>
    <row r="561" spans="1:3" ht="13" x14ac:dyDescent="0.15">
      <c r="A561" s="10"/>
      <c r="B561" s="13"/>
      <c r="C561" s="13"/>
    </row>
    <row r="562" spans="1:3" ht="13" x14ac:dyDescent="0.15">
      <c r="A562" s="10"/>
      <c r="B562" s="13"/>
      <c r="C562" s="13"/>
    </row>
    <row r="563" spans="1:3" ht="13" x14ac:dyDescent="0.15">
      <c r="A563" s="10"/>
      <c r="B563" s="13"/>
      <c r="C563" s="13"/>
    </row>
    <row r="564" spans="1:3" ht="13" x14ac:dyDescent="0.15">
      <c r="A564" s="10"/>
      <c r="B564" s="13"/>
      <c r="C564" s="13"/>
    </row>
    <row r="565" spans="1:3" ht="13" x14ac:dyDescent="0.15">
      <c r="A565" s="10"/>
      <c r="B565" s="13"/>
      <c r="C565" s="13"/>
    </row>
    <row r="566" spans="1:3" ht="13" x14ac:dyDescent="0.15">
      <c r="A566" s="10"/>
      <c r="B566" s="13"/>
      <c r="C566" s="13"/>
    </row>
    <row r="567" spans="1:3" ht="13" x14ac:dyDescent="0.15">
      <c r="A567" s="10"/>
      <c r="B567" s="13"/>
      <c r="C567" s="13"/>
    </row>
    <row r="568" spans="1:3" ht="13" x14ac:dyDescent="0.15">
      <c r="A568" s="10"/>
      <c r="B568" s="13"/>
      <c r="C568" s="13"/>
    </row>
    <row r="569" spans="1:3" ht="13" x14ac:dyDescent="0.15">
      <c r="A569" s="10"/>
      <c r="B569" s="13"/>
      <c r="C569" s="13"/>
    </row>
    <row r="570" spans="1:3" ht="13" x14ac:dyDescent="0.15">
      <c r="A570" s="10"/>
      <c r="B570" s="13"/>
      <c r="C570" s="13"/>
    </row>
    <row r="571" spans="1:3" ht="13" x14ac:dyDescent="0.15">
      <c r="A571" s="10"/>
      <c r="B571" s="13"/>
      <c r="C571" s="13"/>
    </row>
    <row r="572" spans="1:3" ht="13" x14ac:dyDescent="0.15">
      <c r="A572" s="10"/>
      <c r="B572" s="13"/>
      <c r="C572" s="13"/>
    </row>
    <row r="573" spans="1:3" ht="13" x14ac:dyDescent="0.15">
      <c r="A573" s="10"/>
      <c r="B573" s="13"/>
      <c r="C573" s="13"/>
    </row>
    <row r="574" spans="1:3" ht="13" x14ac:dyDescent="0.15">
      <c r="A574" s="10"/>
      <c r="B574" s="13"/>
      <c r="C574" s="13"/>
    </row>
    <row r="575" spans="1:3" ht="13" x14ac:dyDescent="0.15">
      <c r="A575" s="10"/>
      <c r="B575" s="13"/>
      <c r="C575" s="13"/>
    </row>
    <row r="576" spans="1:3" ht="13" x14ac:dyDescent="0.15">
      <c r="A576" s="10"/>
      <c r="B576" s="13"/>
      <c r="C576" s="13"/>
    </row>
    <row r="577" spans="1:3" ht="13" x14ac:dyDescent="0.15">
      <c r="A577" s="10"/>
      <c r="B577" s="13"/>
      <c r="C577" s="13"/>
    </row>
    <row r="578" spans="1:3" ht="13" x14ac:dyDescent="0.15">
      <c r="A578" s="10"/>
      <c r="B578" s="13"/>
      <c r="C578" s="13"/>
    </row>
    <row r="579" spans="1:3" ht="13" x14ac:dyDescent="0.15">
      <c r="A579" s="10"/>
      <c r="B579" s="13"/>
      <c r="C579" s="13"/>
    </row>
    <row r="580" spans="1:3" ht="13" x14ac:dyDescent="0.15">
      <c r="A580" s="10"/>
      <c r="B580" s="13"/>
      <c r="C580" s="13"/>
    </row>
    <row r="581" spans="1:3" ht="13" x14ac:dyDescent="0.15">
      <c r="A581" s="10"/>
      <c r="B581" s="13"/>
      <c r="C581" s="13"/>
    </row>
    <row r="582" spans="1:3" ht="13" x14ac:dyDescent="0.15">
      <c r="A582" s="10"/>
      <c r="B582" s="13"/>
      <c r="C582" s="13"/>
    </row>
    <row r="583" spans="1:3" ht="13" x14ac:dyDescent="0.15">
      <c r="A583" s="10"/>
      <c r="B583" s="13"/>
      <c r="C583" s="13"/>
    </row>
    <row r="584" spans="1:3" ht="13" x14ac:dyDescent="0.15">
      <c r="A584" s="10"/>
      <c r="B584" s="13"/>
      <c r="C584" s="13"/>
    </row>
    <row r="585" spans="1:3" ht="13" x14ac:dyDescent="0.15">
      <c r="A585" s="10"/>
      <c r="B585" s="13"/>
      <c r="C585" s="13"/>
    </row>
    <row r="586" spans="1:3" ht="13" x14ac:dyDescent="0.15">
      <c r="A586" s="10"/>
      <c r="B586" s="13"/>
      <c r="C586" s="13"/>
    </row>
    <row r="587" spans="1:3" ht="13" x14ac:dyDescent="0.15">
      <c r="A587" s="10"/>
      <c r="B587" s="13"/>
      <c r="C587" s="13"/>
    </row>
    <row r="588" spans="1:3" ht="13" x14ac:dyDescent="0.15">
      <c r="A588" s="10"/>
      <c r="B588" s="13"/>
      <c r="C588" s="13"/>
    </row>
    <row r="589" spans="1:3" ht="13" x14ac:dyDescent="0.15">
      <c r="A589" s="10"/>
      <c r="B589" s="13"/>
      <c r="C589" s="13"/>
    </row>
    <row r="590" spans="1:3" ht="13" x14ac:dyDescent="0.15">
      <c r="A590" s="10"/>
      <c r="B590" s="13"/>
      <c r="C590" s="13"/>
    </row>
    <row r="591" spans="1:3" ht="13" x14ac:dyDescent="0.15">
      <c r="A591" s="10"/>
      <c r="B591" s="13"/>
      <c r="C591" s="13"/>
    </row>
    <row r="592" spans="1:3" ht="13" x14ac:dyDescent="0.15">
      <c r="A592" s="10"/>
      <c r="B592" s="13"/>
      <c r="C592" s="13"/>
    </row>
    <row r="593" spans="1:3" ht="13" x14ac:dyDescent="0.15">
      <c r="A593" s="10"/>
      <c r="B593" s="13"/>
      <c r="C593" s="13"/>
    </row>
    <row r="594" spans="1:3" ht="13" x14ac:dyDescent="0.15">
      <c r="A594" s="10"/>
      <c r="B594" s="13"/>
      <c r="C594" s="13"/>
    </row>
    <row r="595" spans="1:3" ht="13" x14ac:dyDescent="0.15">
      <c r="A595" s="10"/>
      <c r="B595" s="13"/>
      <c r="C595" s="13"/>
    </row>
    <row r="596" spans="1:3" ht="13" x14ac:dyDescent="0.15">
      <c r="A596" s="10"/>
      <c r="B596" s="13"/>
      <c r="C596" s="13"/>
    </row>
    <row r="597" spans="1:3" ht="13" x14ac:dyDescent="0.15">
      <c r="A597" s="10"/>
      <c r="B597" s="13"/>
      <c r="C597" s="13"/>
    </row>
    <row r="598" spans="1:3" ht="13" x14ac:dyDescent="0.15">
      <c r="A598" s="10"/>
      <c r="B598" s="13"/>
      <c r="C598" s="13"/>
    </row>
    <row r="599" spans="1:3" ht="13" x14ac:dyDescent="0.15">
      <c r="A599" s="10"/>
      <c r="B599" s="13"/>
      <c r="C599" s="13"/>
    </row>
    <row r="600" spans="1:3" ht="13" x14ac:dyDescent="0.15">
      <c r="A600" s="10"/>
      <c r="B600" s="13"/>
      <c r="C600" s="13"/>
    </row>
    <row r="601" spans="1:3" ht="13" x14ac:dyDescent="0.15">
      <c r="A601" s="10"/>
      <c r="B601" s="13"/>
      <c r="C601" s="13"/>
    </row>
    <row r="602" spans="1:3" ht="13" x14ac:dyDescent="0.15">
      <c r="A602" s="10"/>
      <c r="B602" s="13"/>
      <c r="C602" s="13"/>
    </row>
    <row r="603" spans="1:3" ht="13" x14ac:dyDescent="0.15">
      <c r="A603" s="10"/>
      <c r="B603" s="13"/>
      <c r="C603" s="13"/>
    </row>
    <row r="604" spans="1:3" ht="13" x14ac:dyDescent="0.15">
      <c r="A604" s="10"/>
      <c r="B604" s="13"/>
      <c r="C604" s="13"/>
    </row>
    <row r="605" spans="1:3" ht="13" x14ac:dyDescent="0.15">
      <c r="A605" s="10"/>
      <c r="B605" s="13"/>
      <c r="C605" s="13"/>
    </row>
    <row r="606" spans="1:3" ht="13" x14ac:dyDescent="0.15">
      <c r="A606" s="10"/>
      <c r="B606" s="13"/>
      <c r="C606" s="13"/>
    </row>
    <row r="607" spans="1:3" ht="13" x14ac:dyDescent="0.15">
      <c r="A607" s="10"/>
      <c r="B607" s="13"/>
      <c r="C607" s="13"/>
    </row>
    <row r="608" spans="1:3" ht="13" x14ac:dyDescent="0.15">
      <c r="A608" s="10"/>
      <c r="B608" s="13"/>
      <c r="C608" s="13"/>
    </row>
    <row r="609" spans="1:3" ht="13" x14ac:dyDescent="0.15">
      <c r="A609" s="10"/>
      <c r="B609" s="13"/>
      <c r="C609" s="13"/>
    </row>
    <row r="610" spans="1:3" ht="13" x14ac:dyDescent="0.15">
      <c r="A610" s="10"/>
      <c r="B610" s="13"/>
      <c r="C610" s="13"/>
    </row>
    <row r="611" spans="1:3" ht="13" x14ac:dyDescent="0.15">
      <c r="A611" s="10"/>
      <c r="B611" s="13"/>
      <c r="C611" s="13"/>
    </row>
    <row r="612" spans="1:3" ht="13" x14ac:dyDescent="0.15">
      <c r="A612" s="10"/>
      <c r="B612" s="13"/>
      <c r="C612" s="13"/>
    </row>
    <row r="613" spans="1:3" ht="13" x14ac:dyDescent="0.15">
      <c r="A613" s="10"/>
      <c r="B613" s="13"/>
      <c r="C613" s="13"/>
    </row>
    <row r="614" spans="1:3" ht="13" x14ac:dyDescent="0.15">
      <c r="A614" s="10"/>
      <c r="B614" s="13"/>
      <c r="C614" s="13"/>
    </row>
    <row r="615" spans="1:3" ht="13" x14ac:dyDescent="0.15">
      <c r="A615" s="10"/>
      <c r="B615" s="13"/>
      <c r="C615" s="13"/>
    </row>
    <row r="616" spans="1:3" ht="13" x14ac:dyDescent="0.15">
      <c r="A616" s="10"/>
      <c r="B616" s="13"/>
      <c r="C616" s="13"/>
    </row>
    <row r="617" spans="1:3" ht="13" x14ac:dyDescent="0.15">
      <c r="A617" s="10"/>
      <c r="B617" s="13"/>
      <c r="C617" s="13"/>
    </row>
    <row r="618" spans="1:3" ht="13" x14ac:dyDescent="0.15">
      <c r="A618" s="10"/>
      <c r="B618" s="13"/>
      <c r="C618" s="13"/>
    </row>
    <row r="619" spans="1:3" ht="13" x14ac:dyDescent="0.15">
      <c r="A619" s="10"/>
      <c r="B619" s="13"/>
      <c r="C619" s="13"/>
    </row>
    <row r="620" spans="1:3" ht="13" x14ac:dyDescent="0.15">
      <c r="A620" s="10"/>
      <c r="B620" s="13"/>
      <c r="C620" s="13"/>
    </row>
    <row r="621" spans="1:3" ht="13" x14ac:dyDescent="0.15">
      <c r="A621" s="10"/>
      <c r="B621" s="13"/>
      <c r="C621" s="13"/>
    </row>
    <row r="622" spans="1:3" ht="13" x14ac:dyDescent="0.15">
      <c r="A622" s="10"/>
      <c r="B622" s="13"/>
      <c r="C622" s="13"/>
    </row>
    <row r="623" spans="1:3" ht="13" x14ac:dyDescent="0.15">
      <c r="A623" s="10"/>
      <c r="B623" s="13"/>
      <c r="C623" s="13"/>
    </row>
    <row r="624" spans="1:3" ht="13" x14ac:dyDescent="0.15">
      <c r="A624" s="10"/>
      <c r="B624" s="13"/>
      <c r="C624" s="13"/>
    </row>
    <row r="625" spans="1:3" ht="13" x14ac:dyDescent="0.15">
      <c r="A625" s="10"/>
      <c r="B625" s="13"/>
      <c r="C625" s="13"/>
    </row>
    <row r="626" spans="1:3" ht="13" x14ac:dyDescent="0.15">
      <c r="A626" s="10"/>
      <c r="B626" s="13"/>
      <c r="C626" s="13"/>
    </row>
    <row r="627" spans="1:3" ht="13" x14ac:dyDescent="0.15">
      <c r="A627" s="10"/>
      <c r="B627" s="13"/>
      <c r="C627" s="13"/>
    </row>
    <row r="628" spans="1:3" ht="13" x14ac:dyDescent="0.15">
      <c r="A628" s="10"/>
      <c r="B628" s="13"/>
      <c r="C628" s="13"/>
    </row>
    <row r="629" spans="1:3" ht="13" x14ac:dyDescent="0.15">
      <c r="A629" s="10"/>
      <c r="B629" s="13"/>
      <c r="C629" s="13"/>
    </row>
    <row r="630" spans="1:3" ht="13" x14ac:dyDescent="0.15">
      <c r="A630" s="10"/>
      <c r="B630" s="13"/>
      <c r="C630" s="13"/>
    </row>
    <row r="631" spans="1:3" ht="13" x14ac:dyDescent="0.15">
      <c r="A631" s="10"/>
      <c r="B631" s="13"/>
      <c r="C631" s="13"/>
    </row>
    <row r="632" spans="1:3" ht="13" x14ac:dyDescent="0.15">
      <c r="A632" s="10"/>
      <c r="B632" s="13"/>
      <c r="C632" s="13"/>
    </row>
    <row r="633" spans="1:3" ht="13" x14ac:dyDescent="0.15">
      <c r="A633" s="10"/>
      <c r="B633" s="13"/>
      <c r="C633" s="13"/>
    </row>
    <row r="634" spans="1:3" ht="13" x14ac:dyDescent="0.15">
      <c r="A634" s="10"/>
      <c r="B634" s="13"/>
      <c r="C634" s="13"/>
    </row>
    <row r="635" spans="1:3" ht="13" x14ac:dyDescent="0.15">
      <c r="A635" s="10"/>
      <c r="B635" s="13"/>
      <c r="C635" s="13"/>
    </row>
    <row r="636" spans="1:3" ht="13" x14ac:dyDescent="0.15">
      <c r="A636" s="10"/>
      <c r="B636" s="13"/>
      <c r="C636" s="13"/>
    </row>
    <row r="637" spans="1:3" ht="13" x14ac:dyDescent="0.15">
      <c r="A637" s="10"/>
      <c r="B637" s="13"/>
      <c r="C637" s="13"/>
    </row>
    <row r="638" spans="1:3" ht="13" x14ac:dyDescent="0.15">
      <c r="A638" s="10"/>
      <c r="B638" s="13"/>
      <c r="C638" s="13"/>
    </row>
    <row r="639" spans="1:3" ht="13" x14ac:dyDescent="0.15">
      <c r="A639" s="10"/>
      <c r="B639" s="13"/>
      <c r="C639" s="13"/>
    </row>
    <row r="640" spans="1:3" ht="13" x14ac:dyDescent="0.15">
      <c r="A640" s="10"/>
      <c r="B640" s="13"/>
      <c r="C640" s="13"/>
    </row>
    <row r="641" spans="1:3" ht="13" x14ac:dyDescent="0.15">
      <c r="A641" s="10"/>
      <c r="B641" s="13"/>
      <c r="C641" s="13"/>
    </row>
    <row r="642" spans="1:3" ht="13" x14ac:dyDescent="0.15">
      <c r="A642" s="10"/>
      <c r="B642" s="13"/>
      <c r="C642" s="13"/>
    </row>
    <row r="643" spans="1:3" ht="13" x14ac:dyDescent="0.15">
      <c r="A643" s="10"/>
      <c r="B643" s="13"/>
      <c r="C643" s="13"/>
    </row>
    <row r="644" spans="1:3" ht="13" x14ac:dyDescent="0.15">
      <c r="A644" s="10"/>
      <c r="B644" s="13"/>
      <c r="C644" s="13"/>
    </row>
    <row r="645" spans="1:3" ht="13" x14ac:dyDescent="0.15">
      <c r="A645" s="10"/>
      <c r="B645" s="13"/>
      <c r="C645" s="13"/>
    </row>
    <row r="646" spans="1:3" ht="13" x14ac:dyDescent="0.15">
      <c r="A646" s="10"/>
      <c r="B646" s="13"/>
      <c r="C646" s="13"/>
    </row>
    <row r="647" spans="1:3" ht="13" x14ac:dyDescent="0.15">
      <c r="A647" s="10"/>
      <c r="B647" s="13"/>
      <c r="C647" s="13"/>
    </row>
    <row r="648" spans="1:3" ht="13" x14ac:dyDescent="0.15">
      <c r="A648" s="10"/>
      <c r="B648" s="13"/>
      <c r="C648" s="13"/>
    </row>
    <row r="649" spans="1:3" ht="13" x14ac:dyDescent="0.15">
      <c r="A649" s="10"/>
      <c r="B649" s="13"/>
      <c r="C649" s="13"/>
    </row>
    <row r="650" spans="1:3" ht="13" x14ac:dyDescent="0.15">
      <c r="A650" s="10"/>
      <c r="B650" s="13"/>
      <c r="C650" s="13"/>
    </row>
    <row r="651" spans="1:3" ht="13" x14ac:dyDescent="0.15">
      <c r="A651" s="10"/>
      <c r="B651" s="13"/>
      <c r="C651" s="13"/>
    </row>
    <row r="652" spans="1:3" ht="13" x14ac:dyDescent="0.15">
      <c r="A652" s="10"/>
      <c r="B652" s="13"/>
      <c r="C652" s="13"/>
    </row>
    <row r="653" spans="1:3" ht="13" x14ac:dyDescent="0.15">
      <c r="A653" s="10"/>
      <c r="B653" s="13"/>
      <c r="C653" s="13"/>
    </row>
    <row r="654" spans="1:3" ht="13" x14ac:dyDescent="0.15">
      <c r="A654" s="10"/>
      <c r="B654" s="13"/>
      <c r="C654" s="13"/>
    </row>
    <row r="655" spans="1:3" ht="13" x14ac:dyDescent="0.15">
      <c r="A655" s="10"/>
      <c r="B655" s="13"/>
      <c r="C655" s="13"/>
    </row>
    <row r="656" spans="1:3" ht="13" x14ac:dyDescent="0.15">
      <c r="A656" s="10"/>
      <c r="B656" s="13"/>
      <c r="C656" s="13"/>
    </row>
    <row r="657" spans="1:3" ht="13" x14ac:dyDescent="0.15">
      <c r="A657" s="10"/>
      <c r="B657" s="13"/>
      <c r="C657" s="13"/>
    </row>
    <row r="658" spans="1:3" ht="13" x14ac:dyDescent="0.15">
      <c r="A658" s="10"/>
      <c r="B658" s="13"/>
      <c r="C658" s="13"/>
    </row>
    <row r="659" spans="1:3" ht="13" x14ac:dyDescent="0.15">
      <c r="A659" s="10"/>
      <c r="B659" s="13"/>
      <c r="C659" s="13"/>
    </row>
    <row r="660" spans="1:3" ht="13" x14ac:dyDescent="0.15">
      <c r="A660" s="10"/>
      <c r="B660" s="13"/>
      <c r="C660" s="13"/>
    </row>
    <row r="661" spans="1:3" ht="13" x14ac:dyDescent="0.15">
      <c r="A661" s="10"/>
      <c r="B661" s="13"/>
      <c r="C661" s="13"/>
    </row>
    <row r="662" spans="1:3" ht="13" x14ac:dyDescent="0.15">
      <c r="A662" s="10"/>
      <c r="B662" s="13"/>
      <c r="C662" s="13"/>
    </row>
    <row r="663" spans="1:3" ht="13" x14ac:dyDescent="0.15">
      <c r="A663" s="10"/>
      <c r="B663" s="13"/>
      <c r="C663" s="13"/>
    </row>
    <row r="664" spans="1:3" ht="13" x14ac:dyDescent="0.15">
      <c r="A664" s="10"/>
      <c r="B664" s="13"/>
      <c r="C664" s="13"/>
    </row>
    <row r="665" spans="1:3" ht="13" x14ac:dyDescent="0.15">
      <c r="A665" s="10"/>
      <c r="B665" s="13"/>
      <c r="C665" s="13"/>
    </row>
    <row r="666" spans="1:3" ht="13" x14ac:dyDescent="0.15">
      <c r="A666" s="10"/>
      <c r="B666" s="13"/>
      <c r="C666" s="13"/>
    </row>
    <row r="667" spans="1:3" ht="13" x14ac:dyDescent="0.15">
      <c r="A667" s="10"/>
      <c r="B667" s="13"/>
      <c r="C667" s="13"/>
    </row>
    <row r="668" spans="1:3" ht="13" x14ac:dyDescent="0.15">
      <c r="A668" s="10"/>
      <c r="B668" s="13"/>
      <c r="C668" s="13"/>
    </row>
    <row r="669" spans="1:3" ht="13" x14ac:dyDescent="0.15">
      <c r="A669" s="10"/>
      <c r="B669" s="13"/>
      <c r="C669" s="13"/>
    </row>
    <row r="670" spans="1:3" ht="13" x14ac:dyDescent="0.15">
      <c r="A670" s="10"/>
      <c r="B670" s="13"/>
      <c r="C670" s="13"/>
    </row>
    <row r="671" spans="1:3" ht="13" x14ac:dyDescent="0.15">
      <c r="A671" s="10"/>
      <c r="B671" s="13"/>
      <c r="C671" s="13"/>
    </row>
    <row r="672" spans="1:3" ht="13" x14ac:dyDescent="0.15">
      <c r="A672" s="10"/>
      <c r="B672" s="13"/>
      <c r="C672" s="13"/>
    </row>
    <row r="673" spans="1:3" ht="13" x14ac:dyDescent="0.15">
      <c r="A673" s="10"/>
      <c r="B673" s="13"/>
      <c r="C673" s="13"/>
    </row>
    <row r="674" spans="1:3" ht="13" x14ac:dyDescent="0.15">
      <c r="A674" s="10"/>
      <c r="B674" s="13"/>
      <c r="C674" s="13"/>
    </row>
    <row r="675" spans="1:3" ht="13" x14ac:dyDescent="0.15">
      <c r="A675" s="10"/>
      <c r="B675" s="13"/>
      <c r="C675" s="13"/>
    </row>
    <row r="676" spans="1:3" ht="13" x14ac:dyDescent="0.15">
      <c r="A676" s="10"/>
      <c r="B676" s="13"/>
      <c r="C676" s="13"/>
    </row>
    <row r="677" spans="1:3" ht="13" x14ac:dyDescent="0.15">
      <c r="A677" s="10"/>
      <c r="B677" s="13"/>
      <c r="C677" s="13"/>
    </row>
    <row r="678" spans="1:3" ht="13" x14ac:dyDescent="0.15">
      <c r="A678" s="10"/>
      <c r="B678" s="13"/>
      <c r="C678" s="13"/>
    </row>
    <row r="679" spans="1:3" ht="13" x14ac:dyDescent="0.15">
      <c r="A679" s="10"/>
      <c r="B679" s="13"/>
      <c r="C679" s="13"/>
    </row>
    <row r="680" spans="1:3" ht="13" x14ac:dyDescent="0.15">
      <c r="A680" s="10"/>
      <c r="B680" s="13"/>
      <c r="C680" s="13"/>
    </row>
    <row r="681" spans="1:3" ht="13" x14ac:dyDescent="0.15">
      <c r="A681" s="10"/>
      <c r="B681" s="13"/>
      <c r="C681" s="13"/>
    </row>
    <row r="682" spans="1:3" ht="13" x14ac:dyDescent="0.15">
      <c r="A682" s="10"/>
      <c r="B682" s="13"/>
      <c r="C682" s="13"/>
    </row>
    <row r="683" spans="1:3" ht="13" x14ac:dyDescent="0.15">
      <c r="A683" s="10"/>
      <c r="B683" s="13"/>
      <c r="C683" s="13"/>
    </row>
    <row r="684" spans="1:3" ht="13" x14ac:dyDescent="0.15">
      <c r="A684" s="10"/>
      <c r="B684" s="13"/>
      <c r="C684" s="13"/>
    </row>
    <row r="685" spans="1:3" ht="13" x14ac:dyDescent="0.15">
      <c r="A685" s="10"/>
      <c r="B685" s="13"/>
      <c r="C685" s="13"/>
    </row>
    <row r="686" spans="1:3" ht="13" x14ac:dyDescent="0.15">
      <c r="A686" s="10"/>
      <c r="B686" s="13"/>
      <c r="C686" s="13"/>
    </row>
    <row r="687" spans="1:3" ht="13" x14ac:dyDescent="0.15">
      <c r="A687" s="10"/>
      <c r="B687" s="13"/>
      <c r="C687" s="13"/>
    </row>
    <row r="688" spans="1:3" ht="13" x14ac:dyDescent="0.15">
      <c r="A688" s="10"/>
      <c r="B688" s="13"/>
      <c r="C688" s="13"/>
    </row>
    <row r="689" spans="1:3" ht="13" x14ac:dyDescent="0.15">
      <c r="A689" s="10"/>
      <c r="B689" s="13"/>
      <c r="C689" s="13"/>
    </row>
    <row r="690" spans="1:3" ht="13" x14ac:dyDescent="0.15">
      <c r="A690" s="10"/>
      <c r="B690" s="13"/>
      <c r="C690" s="13"/>
    </row>
    <row r="691" spans="1:3" ht="13" x14ac:dyDescent="0.15">
      <c r="A691" s="10"/>
      <c r="B691" s="13"/>
      <c r="C691" s="13"/>
    </row>
    <row r="692" spans="1:3" ht="13" x14ac:dyDescent="0.15">
      <c r="A692" s="10"/>
      <c r="B692" s="13"/>
      <c r="C692" s="13"/>
    </row>
    <row r="693" spans="1:3" ht="13" x14ac:dyDescent="0.15">
      <c r="A693" s="10"/>
      <c r="B693" s="13"/>
      <c r="C693" s="13"/>
    </row>
    <row r="694" spans="1:3" ht="13" x14ac:dyDescent="0.15">
      <c r="A694" s="10"/>
      <c r="B694" s="13"/>
      <c r="C694" s="13"/>
    </row>
    <row r="695" spans="1:3" ht="13" x14ac:dyDescent="0.15">
      <c r="A695" s="10"/>
      <c r="B695" s="13"/>
      <c r="C695" s="13"/>
    </row>
    <row r="696" spans="1:3" ht="13" x14ac:dyDescent="0.15">
      <c r="A696" s="10"/>
      <c r="B696" s="13"/>
      <c r="C696" s="13"/>
    </row>
    <row r="697" spans="1:3" ht="13" x14ac:dyDescent="0.15">
      <c r="A697" s="10"/>
      <c r="B697" s="13"/>
      <c r="C697" s="13"/>
    </row>
    <row r="698" spans="1:3" ht="13" x14ac:dyDescent="0.15">
      <c r="A698" s="10"/>
      <c r="B698" s="13"/>
      <c r="C698" s="13"/>
    </row>
    <row r="699" spans="1:3" ht="13" x14ac:dyDescent="0.15">
      <c r="A699" s="10"/>
      <c r="B699" s="13"/>
      <c r="C699" s="13"/>
    </row>
    <row r="700" spans="1:3" ht="13" x14ac:dyDescent="0.15">
      <c r="A700" s="10"/>
      <c r="B700" s="13"/>
      <c r="C700" s="13"/>
    </row>
    <row r="701" spans="1:3" ht="13" x14ac:dyDescent="0.15">
      <c r="A701" s="10"/>
      <c r="B701" s="13"/>
      <c r="C701" s="13"/>
    </row>
    <row r="702" spans="1:3" ht="13" x14ac:dyDescent="0.15">
      <c r="A702" s="10"/>
      <c r="B702" s="13"/>
      <c r="C702" s="13"/>
    </row>
    <row r="703" spans="1:3" ht="13" x14ac:dyDescent="0.15">
      <c r="A703" s="10"/>
      <c r="B703" s="13"/>
      <c r="C703" s="13"/>
    </row>
    <row r="704" spans="1:3" ht="13" x14ac:dyDescent="0.15">
      <c r="A704" s="10"/>
      <c r="B704" s="13"/>
      <c r="C704" s="13"/>
    </row>
    <row r="705" spans="1:3" ht="13" x14ac:dyDescent="0.15">
      <c r="A705" s="10"/>
      <c r="B705" s="13"/>
      <c r="C705" s="13"/>
    </row>
    <row r="706" spans="1:3" ht="13" x14ac:dyDescent="0.15">
      <c r="A706" s="10"/>
      <c r="B706" s="13"/>
      <c r="C706" s="13"/>
    </row>
    <row r="707" spans="1:3" ht="13" x14ac:dyDescent="0.15">
      <c r="A707" s="10"/>
      <c r="B707" s="13"/>
      <c r="C707" s="13"/>
    </row>
    <row r="708" spans="1:3" ht="13" x14ac:dyDescent="0.15">
      <c r="A708" s="10"/>
      <c r="B708" s="13"/>
      <c r="C708" s="13"/>
    </row>
    <row r="709" spans="1:3" ht="13" x14ac:dyDescent="0.15">
      <c r="A709" s="10"/>
      <c r="B709" s="13"/>
      <c r="C709" s="13"/>
    </row>
    <row r="710" spans="1:3" ht="13" x14ac:dyDescent="0.15">
      <c r="A710" s="10"/>
      <c r="B710" s="13"/>
      <c r="C710" s="13"/>
    </row>
    <row r="711" spans="1:3" ht="13" x14ac:dyDescent="0.15">
      <c r="A711" s="10"/>
      <c r="B711" s="13"/>
      <c r="C711" s="13"/>
    </row>
    <row r="712" spans="1:3" ht="13" x14ac:dyDescent="0.15">
      <c r="A712" s="10"/>
      <c r="B712" s="13"/>
      <c r="C712" s="13"/>
    </row>
    <row r="713" spans="1:3" ht="13" x14ac:dyDescent="0.15">
      <c r="A713" s="10"/>
      <c r="B713" s="13"/>
      <c r="C713" s="13"/>
    </row>
    <row r="714" spans="1:3" ht="13" x14ac:dyDescent="0.15">
      <c r="A714" s="10"/>
      <c r="B714" s="13"/>
      <c r="C714" s="13"/>
    </row>
    <row r="715" spans="1:3" ht="13" x14ac:dyDescent="0.15">
      <c r="A715" s="10"/>
      <c r="B715" s="13"/>
      <c r="C715" s="13"/>
    </row>
    <row r="716" spans="1:3" ht="13" x14ac:dyDescent="0.15">
      <c r="A716" s="10"/>
      <c r="B716" s="13"/>
      <c r="C716" s="13"/>
    </row>
    <row r="717" spans="1:3" ht="13" x14ac:dyDescent="0.15">
      <c r="A717" s="10"/>
      <c r="B717" s="13"/>
      <c r="C717" s="13"/>
    </row>
    <row r="718" spans="1:3" ht="13" x14ac:dyDescent="0.15">
      <c r="A718" s="10"/>
      <c r="B718" s="13"/>
      <c r="C718" s="13"/>
    </row>
    <row r="719" spans="1:3" ht="13" x14ac:dyDescent="0.15">
      <c r="A719" s="10"/>
      <c r="B719" s="13"/>
      <c r="C719" s="13"/>
    </row>
    <row r="720" spans="1:3" ht="13" x14ac:dyDescent="0.15">
      <c r="A720" s="10"/>
      <c r="B720" s="13"/>
      <c r="C720" s="13"/>
    </row>
    <row r="721" spans="1:3" ht="13" x14ac:dyDescent="0.15">
      <c r="A721" s="10"/>
      <c r="B721" s="13"/>
      <c r="C721" s="13"/>
    </row>
    <row r="722" spans="1:3" ht="13" x14ac:dyDescent="0.15">
      <c r="A722" s="10"/>
      <c r="B722" s="13"/>
      <c r="C722" s="13"/>
    </row>
    <row r="723" spans="1:3" ht="13" x14ac:dyDescent="0.15">
      <c r="A723" s="10"/>
      <c r="B723" s="13"/>
      <c r="C723" s="13"/>
    </row>
    <row r="724" spans="1:3" ht="13" x14ac:dyDescent="0.15">
      <c r="A724" s="10"/>
      <c r="B724" s="13"/>
      <c r="C724" s="13"/>
    </row>
    <row r="725" spans="1:3" ht="13" x14ac:dyDescent="0.15">
      <c r="A725" s="10"/>
      <c r="B725" s="13"/>
      <c r="C725" s="13"/>
    </row>
    <row r="726" spans="1:3" ht="13" x14ac:dyDescent="0.15">
      <c r="A726" s="10"/>
      <c r="B726" s="13"/>
      <c r="C726" s="13"/>
    </row>
    <row r="727" spans="1:3" ht="13" x14ac:dyDescent="0.15">
      <c r="A727" s="10"/>
      <c r="B727" s="13"/>
      <c r="C727" s="13"/>
    </row>
    <row r="728" spans="1:3" ht="13" x14ac:dyDescent="0.15">
      <c r="A728" s="10"/>
      <c r="B728" s="13"/>
      <c r="C728" s="13"/>
    </row>
    <row r="729" spans="1:3" ht="13" x14ac:dyDescent="0.15">
      <c r="A729" s="10"/>
      <c r="B729" s="13"/>
      <c r="C729" s="13"/>
    </row>
    <row r="730" spans="1:3" ht="13" x14ac:dyDescent="0.15">
      <c r="A730" s="10"/>
      <c r="B730" s="13"/>
      <c r="C730" s="13"/>
    </row>
    <row r="731" spans="1:3" ht="13" x14ac:dyDescent="0.15">
      <c r="A731" s="10"/>
      <c r="B731" s="13"/>
      <c r="C731" s="13"/>
    </row>
    <row r="732" spans="1:3" ht="13" x14ac:dyDescent="0.15">
      <c r="A732" s="10"/>
      <c r="B732" s="13"/>
      <c r="C732" s="13"/>
    </row>
    <row r="733" spans="1:3" ht="13" x14ac:dyDescent="0.15">
      <c r="A733" s="10"/>
      <c r="B733" s="13"/>
      <c r="C733" s="13"/>
    </row>
    <row r="734" spans="1:3" ht="13" x14ac:dyDescent="0.15">
      <c r="A734" s="10"/>
      <c r="B734" s="13"/>
      <c r="C734" s="13"/>
    </row>
    <row r="735" spans="1:3" ht="13" x14ac:dyDescent="0.15">
      <c r="A735" s="10"/>
      <c r="B735" s="13"/>
      <c r="C735" s="13"/>
    </row>
    <row r="736" spans="1:3" ht="13" x14ac:dyDescent="0.15">
      <c r="A736" s="10"/>
      <c r="B736" s="13"/>
      <c r="C736" s="13"/>
    </row>
    <row r="737" spans="1:3" ht="13" x14ac:dyDescent="0.15">
      <c r="A737" s="10"/>
      <c r="B737" s="13"/>
      <c r="C737" s="13"/>
    </row>
    <row r="738" spans="1:3" ht="13" x14ac:dyDescent="0.15">
      <c r="A738" s="10"/>
      <c r="B738" s="13"/>
      <c r="C738" s="13"/>
    </row>
    <row r="739" spans="1:3" ht="13" x14ac:dyDescent="0.15">
      <c r="A739" s="10"/>
      <c r="B739" s="13"/>
      <c r="C739" s="13"/>
    </row>
    <row r="740" spans="1:3" ht="13" x14ac:dyDescent="0.15">
      <c r="A740" s="10"/>
      <c r="B740" s="13"/>
      <c r="C740" s="13"/>
    </row>
    <row r="741" spans="1:3" ht="13" x14ac:dyDescent="0.15">
      <c r="A741" s="10"/>
      <c r="B741" s="13"/>
      <c r="C741" s="13"/>
    </row>
    <row r="742" spans="1:3" ht="13" x14ac:dyDescent="0.15">
      <c r="A742" s="10"/>
      <c r="B742" s="13"/>
      <c r="C742" s="13"/>
    </row>
    <row r="743" spans="1:3" ht="13" x14ac:dyDescent="0.15">
      <c r="A743" s="10"/>
      <c r="B743" s="13"/>
      <c r="C743" s="13"/>
    </row>
    <row r="744" spans="1:3" ht="13" x14ac:dyDescent="0.15">
      <c r="A744" s="10"/>
      <c r="B744" s="13"/>
      <c r="C744" s="13"/>
    </row>
    <row r="745" spans="1:3" ht="13" x14ac:dyDescent="0.15">
      <c r="A745" s="10"/>
      <c r="B745" s="13"/>
      <c r="C745" s="13"/>
    </row>
    <row r="746" spans="1:3" ht="13" x14ac:dyDescent="0.15">
      <c r="A746" s="10"/>
      <c r="B746" s="13"/>
      <c r="C746" s="13"/>
    </row>
    <row r="747" spans="1:3" ht="13" x14ac:dyDescent="0.15">
      <c r="A747" s="10"/>
      <c r="B747" s="13"/>
      <c r="C747" s="13"/>
    </row>
    <row r="748" spans="1:3" ht="13" x14ac:dyDescent="0.15">
      <c r="A748" s="10"/>
      <c r="B748" s="13"/>
      <c r="C748" s="13"/>
    </row>
    <row r="749" spans="1:3" ht="13" x14ac:dyDescent="0.15">
      <c r="A749" s="10"/>
      <c r="B749" s="13"/>
      <c r="C749" s="13"/>
    </row>
    <row r="750" spans="1:3" ht="13" x14ac:dyDescent="0.15">
      <c r="A750" s="10"/>
      <c r="B750" s="13"/>
      <c r="C750" s="13"/>
    </row>
    <row r="751" spans="1:3" ht="13" x14ac:dyDescent="0.15">
      <c r="A751" s="10"/>
      <c r="B751" s="13"/>
      <c r="C751" s="13"/>
    </row>
    <row r="752" spans="1:3" ht="13" x14ac:dyDescent="0.15">
      <c r="A752" s="10"/>
      <c r="B752" s="13"/>
      <c r="C752" s="13"/>
    </row>
    <row r="753" spans="1:3" ht="13" x14ac:dyDescent="0.15">
      <c r="A753" s="10"/>
      <c r="B753" s="13"/>
      <c r="C753" s="13"/>
    </row>
    <row r="754" spans="1:3" ht="13" x14ac:dyDescent="0.15">
      <c r="A754" s="10"/>
      <c r="B754" s="13"/>
      <c r="C754" s="13"/>
    </row>
    <row r="755" spans="1:3" ht="13" x14ac:dyDescent="0.15">
      <c r="A755" s="10"/>
      <c r="B755" s="13"/>
      <c r="C755" s="13"/>
    </row>
    <row r="756" spans="1:3" ht="13" x14ac:dyDescent="0.15">
      <c r="A756" s="10"/>
      <c r="B756" s="13"/>
      <c r="C756" s="13"/>
    </row>
    <row r="757" spans="1:3" ht="13" x14ac:dyDescent="0.15">
      <c r="A757" s="10"/>
      <c r="B757" s="13"/>
      <c r="C757" s="13"/>
    </row>
    <row r="758" spans="1:3" ht="13" x14ac:dyDescent="0.15">
      <c r="A758" s="10"/>
      <c r="B758" s="13"/>
      <c r="C758" s="13"/>
    </row>
    <row r="759" spans="1:3" ht="13" x14ac:dyDescent="0.15">
      <c r="A759" s="10"/>
      <c r="B759" s="13"/>
      <c r="C759" s="13"/>
    </row>
    <row r="760" spans="1:3" ht="13" x14ac:dyDescent="0.15">
      <c r="A760" s="10"/>
      <c r="B760" s="13"/>
      <c r="C760" s="13"/>
    </row>
    <row r="761" spans="1:3" ht="13" x14ac:dyDescent="0.15">
      <c r="A761" s="10"/>
      <c r="B761" s="13"/>
      <c r="C761" s="13"/>
    </row>
    <row r="762" spans="1:3" ht="13" x14ac:dyDescent="0.15">
      <c r="A762" s="10"/>
      <c r="B762" s="13"/>
      <c r="C762" s="13"/>
    </row>
    <row r="763" spans="1:3" ht="13" x14ac:dyDescent="0.15">
      <c r="A763" s="10"/>
      <c r="B763" s="13"/>
      <c r="C763" s="13"/>
    </row>
    <row r="764" spans="1:3" ht="13" x14ac:dyDescent="0.15">
      <c r="A764" s="10"/>
      <c r="B764" s="13"/>
      <c r="C764" s="13"/>
    </row>
    <row r="765" spans="1:3" ht="13" x14ac:dyDescent="0.15">
      <c r="A765" s="10"/>
      <c r="B765" s="13"/>
      <c r="C765" s="13"/>
    </row>
    <row r="766" spans="1:3" ht="13" x14ac:dyDescent="0.15">
      <c r="A766" s="10"/>
      <c r="B766" s="13"/>
      <c r="C766" s="13"/>
    </row>
    <row r="767" spans="1:3" ht="13" x14ac:dyDescent="0.15">
      <c r="A767" s="10"/>
      <c r="B767" s="13"/>
      <c r="C767" s="13"/>
    </row>
    <row r="768" spans="1:3" ht="13" x14ac:dyDescent="0.15">
      <c r="A768" s="10"/>
      <c r="B768" s="13"/>
      <c r="C768" s="13"/>
    </row>
    <row r="769" spans="1:3" ht="13" x14ac:dyDescent="0.15">
      <c r="A769" s="10"/>
      <c r="B769" s="13"/>
      <c r="C769" s="13"/>
    </row>
    <row r="770" spans="1:3" ht="13" x14ac:dyDescent="0.15">
      <c r="A770" s="10"/>
      <c r="B770" s="13"/>
      <c r="C770" s="13"/>
    </row>
    <row r="771" spans="1:3" ht="13" x14ac:dyDescent="0.15">
      <c r="A771" s="10"/>
      <c r="B771" s="13"/>
      <c r="C771" s="13"/>
    </row>
    <row r="772" spans="1:3" ht="13" x14ac:dyDescent="0.15">
      <c r="A772" s="10"/>
      <c r="B772" s="13"/>
      <c r="C772" s="13"/>
    </row>
    <row r="773" spans="1:3" ht="13" x14ac:dyDescent="0.15">
      <c r="A773" s="10"/>
      <c r="B773" s="13"/>
      <c r="C773" s="13"/>
    </row>
    <row r="774" spans="1:3" ht="13" x14ac:dyDescent="0.15">
      <c r="A774" s="10"/>
      <c r="B774" s="13"/>
      <c r="C774" s="13"/>
    </row>
    <row r="775" spans="1:3" ht="13" x14ac:dyDescent="0.15">
      <c r="A775" s="10"/>
      <c r="B775" s="13"/>
      <c r="C775" s="13"/>
    </row>
    <row r="776" spans="1:3" ht="13" x14ac:dyDescent="0.15">
      <c r="A776" s="10"/>
      <c r="B776" s="13"/>
      <c r="C776" s="13"/>
    </row>
    <row r="777" spans="1:3" ht="13" x14ac:dyDescent="0.15">
      <c r="A777" s="10"/>
      <c r="B777" s="13"/>
      <c r="C777" s="13"/>
    </row>
    <row r="778" spans="1:3" ht="13" x14ac:dyDescent="0.15">
      <c r="A778" s="10"/>
      <c r="B778" s="13"/>
      <c r="C778" s="13"/>
    </row>
    <row r="779" spans="1:3" ht="13" x14ac:dyDescent="0.15">
      <c r="A779" s="10"/>
      <c r="B779" s="13"/>
      <c r="C779" s="13"/>
    </row>
    <row r="780" spans="1:3" ht="13" x14ac:dyDescent="0.15">
      <c r="A780" s="10"/>
      <c r="B780" s="13"/>
      <c r="C780" s="13"/>
    </row>
    <row r="781" spans="1:3" ht="13" x14ac:dyDescent="0.15">
      <c r="A781" s="10"/>
      <c r="B781" s="13"/>
      <c r="C781" s="13"/>
    </row>
    <row r="782" spans="1:3" ht="13" x14ac:dyDescent="0.15">
      <c r="A782" s="10"/>
      <c r="B782" s="13"/>
      <c r="C782" s="13"/>
    </row>
    <row r="783" spans="1:3" ht="13" x14ac:dyDescent="0.15">
      <c r="A783" s="10"/>
      <c r="B783" s="13"/>
      <c r="C783" s="13"/>
    </row>
    <row r="784" spans="1:3" ht="13" x14ac:dyDescent="0.15">
      <c r="A784" s="10"/>
      <c r="B784" s="13"/>
      <c r="C784" s="13"/>
    </row>
    <row r="785" spans="1:3" ht="13" x14ac:dyDescent="0.15">
      <c r="A785" s="10"/>
      <c r="B785" s="13"/>
      <c r="C785" s="13"/>
    </row>
    <row r="786" spans="1:3" ht="13" x14ac:dyDescent="0.15">
      <c r="A786" s="10"/>
      <c r="B786" s="13"/>
      <c r="C786" s="13"/>
    </row>
    <row r="787" spans="1:3" ht="13" x14ac:dyDescent="0.15">
      <c r="A787" s="10"/>
      <c r="B787" s="13"/>
      <c r="C787" s="13"/>
    </row>
    <row r="788" spans="1:3" ht="13" x14ac:dyDescent="0.15">
      <c r="A788" s="10"/>
      <c r="B788" s="13"/>
      <c r="C788" s="13"/>
    </row>
    <row r="789" spans="1:3" ht="13" x14ac:dyDescent="0.15">
      <c r="A789" s="10"/>
      <c r="B789" s="13"/>
      <c r="C789" s="13"/>
    </row>
    <row r="790" spans="1:3" ht="13" x14ac:dyDescent="0.15">
      <c r="A790" s="10"/>
      <c r="B790" s="13"/>
      <c r="C790" s="13"/>
    </row>
    <row r="791" spans="1:3" ht="13" x14ac:dyDescent="0.15">
      <c r="A791" s="10"/>
      <c r="B791" s="13"/>
      <c r="C791" s="13"/>
    </row>
    <row r="792" spans="1:3" ht="13" x14ac:dyDescent="0.15">
      <c r="A792" s="10"/>
      <c r="B792" s="13"/>
      <c r="C792" s="13"/>
    </row>
    <row r="793" spans="1:3" ht="13" x14ac:dyDescent="0.15">
      <c r="A793" s="10"/>
      <c r="B793" s="13"/>
      <c r="C793" s="13"/>
    </row>
    <row r="794" spans="1:3" ht="13" x14ac:dyDescent="0.15">
      <c r="A794" s="10"/>
      <c r="B794" s="13"/>
      <c r="C794" s="13"/>
    </row>
    <row r="795" spans="1:3" ht="13" x14ac:dyDescent="0.15">
      <c r="A795" s="10"/>
      <c r="B795" s="13"/>
      <c r="C795" s="13"/>
    </row>
    <row r="796" spans="1:3" ht="13" x14ac:dyDescent="0.15">
      <c r="A796" s="10"/>
      <c r="B796" s="13"/>
      <c r="C796" s="13"/>
    </row>
    <row r="797" spans="1:3" ht="13" x14ac:dyDescent="0.15">
      <c r="A797" s="10"/>
      <c r="B797" s="13"/>
      <c r="C797" s="13"/>
    </row>
    <row r="798" spans="1:3" ht="13" x14ac:dyDescent="0.15">
      <c r="A798" s="10"/>
      <c r="B798" s="13"/>
      <c r="C798" s="13"/>
    </row>
    <row r="799" spans="1:3" ht="13" x14ac:dyDescent="0.15">
      <c r="A799" s="10"/>
      <c r="B799" s="13"/>
      <c r="C799" s="13"/>
    </row>
    <row r="800" spans="1:3" ht="13" x14ac:dyDescent="0.15">
      <c r="A800" s="10"/>
      <c r="B800" s="13"/>
      <c r="C800" s="13"/>
    </row>
    <row r="801" spans="1:3" ht="13" x14ac:dyDescent="0.15">
      <c r="A801" s="10"/>
      <c r="B801" s="13"/>
      <c r="C801" s="13"/>
    </row>
    <row r="802" spans="1:3" ht="13" x14ac:dyDescent="0.15">
      <c r="A802" s="10"/>
      <c r="B802" s="13"/>
      <c r="C802" s="13"/>
    </row>
    <row r="803" spans="1:3" ht="13" x14ac:dyDescent="0.15">
      <c r="A803" s="10"/>
      <c r="B803" s="13"/>
      <c r="C803" s="13"/>
    </row>
    <row r="804" spans="1:3" ht="13" x14ac:dyDescent="0.15">
      <c r="A804" s="10"/>
      <c r="B804" s="13"/>
      <c r="C804" s="13"/>
    </row>
    <row r="805" spans="1:3" ht="13" x14ac:dyDescent="0.15">
      <c r="A805" s="10"/>
      <c r="B805" s="13"/>
      <c r="C805" s="13"/>
    </row>
    <row r="806" spans="1:3" ht="13" x14ac:dyDescent="0.15">
      <c r="A806" s="10"/>
      <c r="B806" s="13"/>
      <c r="C806" s="13"/>
    </row>
    <row r="807" spans="1:3" ht="13" x14ac:dyDescent="0.15">
      <c r="A807" s="10"/>
      <c r="B807" s="13"/>
      <c r="C807" s="13"/>
    </row>
    <row r="808" spans="1:3" ht="13" x14ac:dyDescent="0.15">
      <c r="A808" s="10"/>
      <c r="B808" s="13"/>
      <c r="C808" s="13"/>
    </row>
    <row r="809" spans="1:3" ht="13" x14ac:dyDescent="0.15">
      <c r="A809" s="10"/>
      <c r="B809" s="13"/>
      <c r="C809" s="13"/>
    </row>
    <row r="810" spans="1:3" ht="13" x14ac:dyDescent="0.15">
      <c r="A810" s="10"/>
      <c r="B810" s="13"/>
      <c r="C810" s="13"/>
    </row>
    <row r="811" spans="1:3" ht="13" x14ac:dyDescent="0.15">
      <c r="A811" s="10"/>
      <c r="B811" s="13"/>
      <c r="C811" s="13"/>
    </row>
    <row r="812" spans="1:3" ht="13" x14ac:dyDescent="0.15">
      <c r="A812" s="10"/>
      <c r="B812" s="13"/>
      <c r="C812" s="13"/>
    </row>
    <row r="813" spans="1:3" ht="13" x14ac:dyDescent="0.15">
      <c r="A813" s="10"/>
      <c r="B813" s="13"/>
      <c r="C813" s="13"/>
    </row>
    <row r="814" spans="1:3" ht="13" x14ac:dyDescent="0.15">
      <c r="A814" s="10"/>
      <c r="B814" s="13"/>
      <c r="C814" s="13"/>
    </row>
    <row r="815" spans="1:3" ht="13" x14ac:dyDescent="0.15">
      <c r="A815" s="10"/>
      <c r="B815" s="13"/>
      <c r="C815" s="13"/>
    </row>
    <row r="816" spans="1:3" ht="13" x14ac:dyDescent="0.15">
      <c r="A816" s="10"/>
      <c r="B816" s="13"/>
      <c r="C816" s="13"/>
    </row>
    <row r="817" spans="1:3" ht="13" x14ac:dyDescent="0.15">
      <c r="A817" s="10"/>
      <c r="B817" s="13"/>
      <c r="C817" s="13"/>
    </row>
    <row r="818" spans="1:3" ht="13" x14ac:dyDescent="0.15">
      <c r="A818" s="10"/>
      <c r="B818" s="13"/>
      <c r="C818" s="13"/>
    </row>
    <row r="819" spans="1:3" ht="13" x14ac:dyDescent="0.15">
      <c r="A819" s="10"/>
      <c r="B819" s="13"/>
      <c r="C819" s="13"/>
    </row>
    <row r="820" spans="1:3" ht="13" x14ac:dyDescent="0.15">
      <c r="A820" s="10"/>
      <c r="B820" s="13"/>
      <c r="C820" s="13"/>
    </row>
    <row r="821" spans="1:3" ht="13" x14ac:dyDescent="0.15">
      <c r="A821" s="10"/>
      <c r="B821" s="13"/>
      <c r="C821" s="13"/>
    </row>
    <row r="822" spans="1:3" ht="13" x14ac:dyDescent="0.15">
      <c r="A822" s="10"/>
      <c r="B822" s="13"/>
      <c r="C822" s="13"/>
    </row>
    <row r="823" spans="1:3" ht="13" x14ac:dyDescent="0.15">
      <c r="A823" s="10"/>
      <c r="B823" s="13"/>
      <c r="C823" s="13"/>
    </row>
    <row r="824" spans="1:3" ht="13" x14ac:dyDescent="0.15">
      <c r="A824" s="10"/>
      <c r="B824" s="13"/>
      <c r="C824" s="13"/>
    </row>
    <row r="825" spans="1:3" ht="13" x14ac:dyDescent="0.15">
      <c r="A825" s="10"/>
      <c r="B825" s="13"/>
      <c r="C825" s="13"/>
    </row>
    <row r="826" spans="1:3" ht="13" x14ac:dyDescent="0.15">
      <c r="A826" s="10"/>
      <c r="B826" s="13"/>
      <c r="C826" s="13"/>
    </row>
    <row r="827" spans="1:3" ht="13" x14ac:dyDescent="0.15">
      <c r="A827" s="10"/>
      <c r="B827" s="13"/>
      <c r="C827" s="13"/>
    </row>
    <row r="828" spans="1:3" ht="13" x14ac:dyDescent="0.15">
      <c r="A828" s="10"/>
      <c r="B828" s="13"/>
      <c r="C828" s="13"/>
    </row>
    <row r="829" spans="1:3" ht="13" x14ac:dyDescent="0.15">
      <c r="A829" s="10"/>
      <c r="B829" s="13"/>
      <c r="C829" s="13"/>
    </row>
    <row r="830" spans="1:3" ht="13" x14ac:dyDescent="0.15">
      <c r="A830" s="10"/>
      <c r="B830" s="13"/>
      <c r="C830" s="13"/>
    </row>
    <row r="831" spans="1:3" ht="13" x14ac:dyDescent="0.15">
      <c r="A831" s="10"/>
      <c r="B831" s="13"/>
      <c r="C831" s="13"/>
    </row>
    <row r="832" spans="1:3" ht="13" x14ac:dyDescent="0.15">
      <c r="A832" s="10"/>
      <c r="B832" s="13"/>
      <c r="C832" s="13"/>
    </row>
    <row r="833" spans="1:3" ht="13" x14ac:dyDescent="0.15">
      <c r="A833" s="10"/>
      <c r="B833" s="13"/>
      <c r="C833" s="13"/>
    </row>
    <row r="834" spans="1:3" ht="13" x14ac:dyDescent="0.15">
      <c r="A834" s="10"/>
      <c r="B834" s="13"/>
      <c r="C834" s="13"/>
    </row>
    <row r="835" spans="1:3" ht="13" x14ac:dyDescent="0.15">
      <c r="A835" s="10"/>
      <c r="B835" s="13"/>
      <c r="C835" s="13"/>
    </row>
    <row r="836" spans="1:3" ht="13" x14ac:dyDescent="0.15">
      <c r="A836" s="10"/>
      <c r="B836" s="13"/>
      <c r="C836" s="13"/>
    </row>
    <row r="837" spans="1:3" ht="13" x14ac:dyDescent="0.15">
      <c r="A837" s="10"/>
      <c r="B837" s="13"/>
      <c r="C837" s="13"/>
    </row>
    <row r="838" spans="1:3" ht="13" x14ac:dyDescent="0.15">
      <c r="A838" s="10"/>
      <c r="B838" s="13"/>
      <c r="C838" s="13"/>
    </row>
    <row r="839" spans="1:3" ht="13" x14ac:dyDescent="0.15">
      <c r="A839" s="10"/>
      <c r="B839" s="13"/>
      <c r="C839" s="13"/>
    </row>
    <row r="840" spans="1:3" ht="13" x14ac:dyDescent="0.15">
      <c r="A840" s="10"/>
      <c r="B840" s="13"/>
      <c r="C840" s="13"/>
    </row>
    <row r="841" spans="1:3" ht="13" x14ac:dyDescent="0.15">
      <c r="A841" s="10"/>
      <c r="B841" s="13"/>
      <c r="C841" s="13"/>
    </row>
    <row r="842" spans="1:3" ht="13" x14ac:dyDescent="0.15">
      <c r="A842" s="10"/>
      <c r="B842" s="13"/>
      <c r="C842" s="13"/>
    </row>
    <row r="843" spans="1:3" ht="13" x14ac:dyDescent="0.15">
      <c r="A843" s="10"/>
      <c r="B843" s="13"/>
      <c r="C843" s="13"/>
    </row>
    <row r="844" spans="1:3" ht="13" x14ac:dyDescent="0.15">
      <c r="A844" s="10"/>
      <c r="B844" s="13"/>
      <c r="C844" s="13"/>
    </row>
    <row r="845" spans="1:3" ht="13" x14ac:dyDescent="0.15">
      <c r="A845" s="10"/>
      <c r="B845" s="13"/>
      <c r="C845" s="13"/>
    </row>
    <row r="846" spans="1:3" ht="13" x14ac:dyDescent="0.15">
      <c r="A846" s="10"/>
      <c r="B846" s="13"/>
      <c r="C846" s="13"/>
    </row>
    <row r="847" spans="1:3" ht="13" x14ac:dyDescent="0.15">
      <c r="A847" s="10"/>
      <c r="B847" s="13"/>
      <c r="C847" s="13"/>
    </row>
    <row r="848" spans="1:3" ht="13" x14ac:dyDescent="0.15">
      <c r="A848" s="10"/>
      <c r="B848" s="13"/>
      <c r="C848" s="13"/>
    </row>
    <row r="849" spans="1:3" ht="13" x14ac:dyDescent="0.15">
      <c r="A849" s="10"/>
      <c r="B849" s="13"/>
      <c r="C849" s="13"/>
    </row>
    <row r="850" spans="1:3" ht="13" x14ac:dyDescent="0.15">
      <c r="A850" s="10"/>
      <c r="B850" s="13"/>
      <c r="C850" s="13"/>
    </row>
    <row r="851" spans="1:3" ht="13" x14ac:dyDescent="0.15">
      <c r="A851" s="10"/>
      <c r="B851" s="13"/>
      <c r="C851" s="13"/>
    </row>
    <row r="852" spans="1:3" ht="13" x14ac:dyDescent="0.15">
      <c r="A852" s="10"/>
      <c r="B852" s="13"/>
      <c r="C852" s="13"/>
    </row>
    <row r="853" spans="1:3" ht="13" x14ac:dyDescent="0.15">
      <c r="A853" s="10"/>
      <c r="B853" s="13"/>
      <c r="C853" s="13"/>
    </row>
    <row r="854" spans="1:3" ht="13" x14ac:dyDescent="0.15">
      <c r="A854" s="10"/>
      <c r="B854" s="13"/>
      <c r="C854" s="13"/>
    </row>
    <row r="855" spans="1:3" ht="13" x14ac:dyDescent="0.15">
      <c r="A855" s="10"/>
      <c r="B855" s="13"/>
      <c r="C855" s="13"/>
    </row>
    <row r="856" spans="1:3" ht="13" x14ac:dyDescent="0.15">
      <c r="A856" s="10"/>
      <c r="B856" s="13"/>
      <c r="C856" s="13"/>
    </row>
    <row r="857" spans="1:3" ht="13" x14ac:dyDescent="0.15">
      <c r="A857" s="10"/>
      <c r="B857" s="13"/>
      <c r="C857" s="13"/>
    </row>
    <row r="858" spans="1:3" ht="13" x14ac:dyDescent="0.15">
      <c r="A858" s="10"/>
      <c r="B858" s="13"/>
      <c r="C858" s="13"/>
    </row>
    <row r="859" spans="1:3" ht="13" x14ac:dyDescent="0.15">
      <c r="A859" s="10"/>
      <c r="B859" s="13"/>
      <c r="C859" s="13"/>
    </row>
    <row r="860" spans="1:3" ht="13" x14ac:dyDescent="0.15">
      <c r="A860" s="10"/>
      <c r="B860" s="13"/>
      <c r="C860" s="13"/>
    </row>
    <row r="861" spans="1:3" ht="13" x14ac:dyDescent="0.15">
      <c r="A861" s="10"/>
      <c r="B861" s="13"/>
      <c r="C861" s="13"/>
    </row>
    <row r="862" spans="1:3" ht="13" x14ac:dyDescent="0.15">
      <c r="A862" s="10"/>
      <c r="B862" s="13"/>
      <c r="C862" s="13"/>
    </row>
    <row r="863" spans="1:3" ht="13" x14ac:dyDescent="0.15">
      <c r="A863" s="10"/>
      <c r="B863" s="13"/>
      <c r="C863" s="13"/>
    </row>
    <row r="864" spans="1:3" ht="13" x14ac:dyDescent="0.15">
      <c r="A864" s="10"/>
      <c r="B864" s="13"/>
      <c r="C864" s="13"/>
    </row>
    <row r="865" spans="1:3" ht="13" x14ac:dyDescent="0.15">
      <c r="A865" s="10"/>
      <c r="B865" s="13"/>
      <c r="C865" s="13"/>
    </row>
    <row r="866" spans="1:3" ht="13" x14ac:dyDescent="0.15">
      <c r="A866" s="10"/>
      <c r="B866" s="13"/>
      <c r="C866" s="13"/>
    </row>
    <row r="867" spans="1:3" ht="13" x14ac:dyDescent="0.15">
      <c r="A867" s="10"/>
      <c r="B867" s="13"/>
      <c r="C867" s="13"/>
    </row>
    <row r="868" spans="1:3" ht="13" x14ac:dyDescent="0.15">
      <c r="A868" s="10"/>
      <c r="B868" s="13"/>
      <c r="C868" s="13"/>
    </row>
    <row r="869" spans="1:3" ht="13" x14ac:dyDescent="0.15">
      <c r="A869" s="10"/>
      <c r="B869" s="13"/>
      <c r="C869" s="13"/>
    </row>
    <row r="870" spans="1:3" ht="13" x14ac:dyDescent="0.15">
      <c r="A870" s="10"/>
      <c r="B870" s="13"/>
      <c r="C870" s="13"/>
    </row>
    <row r="871" spans="1:3" ht="13" x14ac:dyDescent="0.15">
      <c r="A871" s="10"/>
      <c r="B871" s="13"/>
      <c r="C871" s="13"/>
    </row>
    <row r="872" spans="1:3" ht="13" x14ac:dyDescent="0.15">
      <c r="A872" s="10"/>
      <c r="B872" s="13"/>
      <c r="C872" s="13"/>
    </row>
    <row r="873" spans="1:3" ht="13" x14ac:dyDescent="0.15">
      <c r="A873" s="10"/>
      <c r="B873" s="13"/>
      <c r="C873" s="13"/>
    </row>
    <row r="874" spans="1:3" ht="13" x14ac:dyDescent="0.15">
      <c r="A874" s="10"/>
      <c r="B874" s="13"/>
      <c r="C874" s="13"/>
    </row>
    <row r="875" spans="1:3" ht="13" x14ac:dyDescent="0.15">
      <c r="A875" s="10"/>
      <c r="B875" s="13"/>
      <c r="C875" s="13"/>
    </row>
    <row r="876" spans="1:3" ht="13" x14ac:dyDescent="0.15">
      <c r="A876" s="10"/>
      <c r="B876" s="13"/>
      <c r="C876" s="13"/>
    </row>
    <row r="877" spans="1:3" ht="13" x14ac:dyDescent="0.15">
      <c r="A877" s="10"/>
      <c r="B877" s="13"/>
      <c r="C877" s="13"/>
    </row>
    <row r="878" spans="1:3" ht="13" x14ac:dyDescent="0.15">
      <c r="A878" s="10"/>
      <c r="B878" s="13"/>
      <c r="C878" s="13"/>
    </row>
    <row r="879" spans="1:3" ht="13" x14ac:dyDescent="0.15">
      <c r="A879" s="10"/>
      <c r="B879" s="13"/>
      <c r="C879" s="13"/>
    </row>
    <row r="880" spans="1:3" ht="13" x14ac:dyDescent="0.15">
      <c r="A880" s="10"/>
      <c r="B880" s="13"/>
      <c r="C880" s="13"/>
    </row>
    <row r="881" spans="1:3" ht="13" x14ac:dyDescent="0.15">
      <c r="A881" s="10"/>
      <c r="B881" s="13"/>
      <c r="C881" s="13"/>
    </row>
    <row r="882" spans="1:3" ht="13" x14ac:dyDescent="0.15">
      <c r="A882" s="10"/>
      <c r="B882" s="13"/>
      <c r="C882" s="13"/>
    </row>
    <row r="883" spans="1:3" ht="13" x14ac:dyDescent="0.15">
      <c r="A883" s="10"/>
      <c r="B883" s="13"/>
      <c r="C883" s="13"/>
    </row>
    <row r="884" spans="1:3" ht="13" x14ac:dyDescent="0.15">
      <c r="A884" s="10"/>
      <c r="B884" s="13"/>
      <c r="C884" s="13"/>
    </row>
    <row r="885" spans="1:3" ht="13" x14ac:dyDescent="0.15">
      <c r="A885" s="10"/>
      <c r="B885" s="13"/>
      <c r="C885" s="13"/>
    </row>
    <row r="886" spans="1:3" ht="13" x14ac:dyDescent="0.15">
      <c r="A886" s="10"/>
      <c r="B886" s="13"/>
      <c r="C886" s="13"/>
    </row>
    <row r="887" spans="1:3" ht="13" x14ac:dyDescent="0.15">
      <c r="A887" s="10"/>
      <c r="B887" s="13"/>
      <c r="C887" s="13"/>
    </row>
    <row r="888" spans="1:3" ht="13" x14ac:dyDescent="0.15">
      <c r="A888" s="10"/>
      <c r="B888" s="13"/>
      <c r="C888" s="13"/>
    </row>
    <row r="889" spans="1:3" ht="13" x14ac:dyDescent="0.15">
      <c r="A889" s="10"/>
      <c r="B889" s="13"/>
      <c r="C889" s="13"/>
    </row>
    <row r="890" spans="1:3" ht="13" x14ac:dyDescent="0.15">
      <c r="A890" s="10"/>
      <c r="B890" s="13"/>
      <c r="C890" s="13"/>
    </row>
    <row r="891" spans="1:3" ht="13" x14ac:dyDescent="0.15">
      <c r="A891" s="10"/>
      <c r="B891" s="13"/>
      <c r="C891" s="13"/>
    </row>
    <row r="892" spans="1:3" ht="13" x14ac:dyDescent="0.15">
      <c r="A892" s="10"/>
      <c r="B892" s="13"/>
      <c r="C892" s="13"/>
    </row>
    <row r="893" spans="1:3" ht="13" x14ac:dyDescent="0.15">
      <c r="A893" s="10"/>
      <c r="B893" s="13"/>
      <c r="C893" s="13"/>
    </row>
    <row r="894" spans="1:3" ht="13" x14ac:dyDescent="0.15">
      <c r="A894" s="10"/>
      <c r="B894" s="13"/>
      <c r="C894" s="13"/>
    </row>
    <row r="895" spans="1:3" ht="13" x14ac:dyDescent="0.15">
      <c r="A895" s="10"/>
      <c r="B895" s="13"/>
      <c r="C895" s="13"/>
    </row>
    <row r="896" spans="1:3" ht="13" x14ac:dyDescent="0.15">
      <c r="A896" s="10"/>
      <c r="B896" s="13"/>
      <c r="C896" s="13"/>
    </row>
    <row r="897" spans="1:3" ht="13" x14ac:dyDescent="0.15">
      <c r="A897" s="10"/>
      <c r="B897" s="13"/>
      <c r="C897" s="13"/>
    </row>
    <row r="898" spans="1:3" ht="13" x14ac:dyDescent="0.15">
      <c r="A898" s="10"/>
      <c r="B898" s="13"/>
      <c r="C898" s="13"/>
    </row>
    <row r="899" spans="1:3" ht="13" x14ac:dyDescent="0.15">
      <c r="A899" s="10"/>
      <c r="B899" s="13"/>
      <c r="C899" s="13"/>
    </row>
    <row r="900" spans="1:3" ht="13" x14ac:dyDescent="0.15">
      <c r="A900" s="10"/>
      <c r="B900" s="13"/>
      <c r="C900" s="13"/>
    </row>
    <row r="901" spans="1:3" ht="13" x14ac:dyDescent="0.15">
      <c r="A901" s="10"/>
      <c r="B901" s="13"/>
      <c r="C901" s="13"/>
    </row>
    <row r="902" spans="1:3" ht="13" x14ac:dyDescent="0.15">
      <c r="A902" s="10"/>
      <c r="B902" s="13"/>
      <c r="C902" s="13"/>
    </row>
    <row r="903" spans="1:3" ht="13" x14ac:dyDescent="0.15">
      <c r="A903" s="10"/>
      <c r="B903" s="13"/>
      <c r="C903" s="13"/>
    </row>
    <row r="904" spans="1:3" ht="13" x14ac:dyDescent="0.15">
      <c r="A904" s="10"/>
      <c r="B904" s="13"/>
      <c r="C904" s="13"/>
    </row>
    <row r="905" spans="1:3" ht="13" x14ac:dyDescent="0.15">
      <c r="A905" s="10"/>
      <c r="B905" s="13"/>
      <c r="C905" s="13"/>
    </row>
    <row r="906" spans="1:3" ht="13" x14ac:dyDescent="0.15">
      <c r="A906" s="10"/>
      <c r="B906" s="13"/>
      <c r="C906" s="13"/>
    </row>
    <row r="907" spans="1:3" ht="13" x14ac:dyDescent="0.15">
      <c r="A907" s="10"/>
      <c r="B907" s="13"/>
      <c r="C907" s="13"/>
    </row>
    <row r="908" spans="1:3" ht="13" x14ac:dyDescent="0.15">
      <c r="A908" s="10"/>
      <c r="B908" s="13"/>
      <c r="C908" s="13"/>
    </row>
    <row r="909" spans="1:3" ht="13" x14ac:dyDescent="0.15">
      <c r="A909" s="10"/>
      <c r="B909" s="13"/>
      <c r="C909" s="13"/>
    </row>
    <row r="910" spans="1:3" ht="13" x14ac:dyDescent="0.15">
      <c r="A910" s="10"/>
      <c r="B910" s="13"/>
      <c r="C910" s="13"/>
    </row>
    <row r="911" spans="1:3" ht="13" x14ac:dyDescent="0.15">
      <c r="A911" s="10"/>
      <c r="B911" s="13"/>
      <c r="C911" s="13"/>
    </row>
    <row r="912" spans="1:3" ht="13" x14ac:dyDescent="0.15">
      <c r="A912" s="10"/>
      <c r="B912" s="13"/>
      <c r="C912" s="13"/>
    </row>
    <row r="913" spans="1:3" ht="13" x14ac:dyDescent="0.15">
      <c r="A913" s="10"/>
      <c r="B913" s="13"/>
      <c r="C913" s="13"/>
    </row>
    <row r="914" spans="1:3" ht="13" x14ac:dyDescent="0.15">
      <c r="A914" s="10"/>
      <c r="B914" s="13"/>
      <c r="C914" s="13"/>
    </row>
    <row r="915" spans="1:3" ht="13" x14ac:dyDescent="0.15">
      <c r="A915" s="10"/>
      <c r="B915" s="13"/>
      <c r="C915" s="13"/>
    </row>
    <row r="916" spans="1:3" ht="13" x14ac:dyDescent="0.15">
      <c r="A916" s="10"/>
      <c r="B916" s="13"/>
      <c r="C916" s="13"/>
    </row>
    <row r="917" spans="1:3" ht="13" x14ac:dyDescent="0.15">
      <c r="A917" s="10"/>
      <c r="B917" s="13"/>
      <c r="C917" s="13"/>
    </row>
    <row r="918" spans="1:3" ht="13" x14ac:dyDescent="0.15">
      <c r="A918" s="10"/>
      <c r="B918" s="13"/>
      <c r="C918" s="13"/>
    </row>
    <row r="919" spans="1:3" ht="13" x14ac:dyDescent="0.15">
      <c r="A919" s="10"/>
      <c r="B919" s="13"/>
      <c r="C919" s="13"/>
    </row>
    <row r="920" spans="1:3" ht="13" x14ac:dyDescent="0.15">
      <c r="A920" s="10"/>
      <c r="B920" s="13"/>
      <c r="C920" s="13"/>
    </row>
    <row r="921" spans="1:3" ht="13" x14ac:dyDescent="0.15">
      <c r="A921" s="10"/>
      <c r="B921" s="13"/>
      <c r="C921" s="13"/>
    </row>
    <row r="922" spans="1:3" ht="13" x14ac:dyDescent="0.15">
      <c r="A922" s="10"/>
      <c r="B922" s="13"/>
      <c r="C922" s="13"/>
    </row>
    <row r="923" spans="1:3" ht="13" x14ac:dyDescent="0.15">
      <c r="A923" s="10"/>
      <c r="B923" s="13"/>
      <c r="C923" s="13"/>
    </row>
    <row r="924" spans="1:3" ht="13" x14ac:dyDescent="0.15">
      <c r="A924" s="10"/>
      <c r="B924" s="13"/>
      <c r="C924" s="13"/>
    </row>
    <row r="925" spans="1:3" ht="13" x14ac:dyDescent="0.15">
      <c r="A925" s="10"/>
      <c r="B925" s="13"/>
      <c r="C925" s="13"/>
    </row>
    <row r="926" spans="1:3" ht="13" x14ac:dyDescent="0.15">
      <c r="A926" s="10"/>
      <c r="B926" s="13"/>
      <c r="C926" s="13"/>
    </row>
    <row r="927" spans="1:3" ht="13" x14ac:dyDescent="0.15">
      <c r="A927" s="10"/>
      <c r="B927" s="13"/>
      <c r="C927" s="13"/>
    </row>
    <row r="928" spans="1:3" ht="13" x14ac:dyDescent="0.15">
      <c r="A928" s="10"/>
      <c r="B928" s="13"/>
      <c r="C928" s="13"/>
    </row>
    <row r="929" spans="1:3" ht="13" x14ac:dyDescent="0.15">
      <c r="A929" s="10"/>
      <c r="B929" s="13"/>
      <c r="C929" s="13"/>
    </row>
    <row r="930" spans="1:3" ht="13" x14ac:dyDescent="0.15">
      <c r="A930" s="10"/>
      <c r="B930" s="13"/>
      <c r="C930" s="13"/>
    </row>
    <row r="931" spans="1:3" ht="13" x14ac:dyDescent="0.15">
      <c r="A931" s="10"/>
      <c r="B931" s="13"/>
      <c r="C931" s="13"/>
    </row>
    <row r="932" spans="1:3" ht="13" x14ac:dyDescent="0.15">
      <c r="A932" s="10"/>
      <c r="B932" s="13"/>
      <c r="C932" s="13"/>
    </row>
    <row r="933" spans="1:3" ht="13" x14ac:dyDescent="0.15">
      <c r="A933" s="10"/>
      <c r="B933" s="13"/>
      <c r="C933" s="13"/>
    </row>
    <row r="934" spans="1:3" ht="13" x14ac:dyDescent="0.15">
      <c r="A934" s="10"/>
      <c r="B934" s="13"/>
      <c r="C934" s="13"/>
    </row>
    <row r="935" spans="1:3" ht="13" x14ac:dyDescent="0.15">
      <c r="A935" s="10"/>
      <c r="B935" s="13"/>
      <c r="C935" s="13"/>
    </row>
    <row r="936" spans="1:3" ht="13" x14ac:dyDescent="0.15">
      <c r="A936" s="10"/>
      <c r="B936" s="13"/>
      <c r="C936" s="13"/>
    </row>
    <row r="937" spans="1:3" ht="13" x14ac:dyDescent="0.15">
      <c r="A937" s="10"/>
      <c r="B937" s="13"/>
      <c r="C937" s="13"/>
    </row>
    <row r="938" spans="1:3" ht="13" x14ac:dyDescent="0.15">
      <c r="A938" s="10"/>
      <c r="B938" s="13"/>
      <c r="C938" s="13"/>
    </row>
    <row r="939" spans="1:3" ht="13" x14ac:dyDescent="0.15">
      <c r="A939" s="10"/>
      <c r="B939" s="13"/>
      <c r="C939" s="13"/>
    </row>
    <row r="940" spans="1:3" ht="13" x14ac:dyDescent="0.15">
      <c r="A940" s="10"/>
      <c r="B940" s="13"/>
      <c r="C940" s="13"/>
    </row>
    <row r="941" spans="1:3" ht="13" x14ac:dyDescent="0.15">
      <c r="A941" s="10"/>
      <c r="B941" s="13"/>
      <c r="C941" s="13"/>
    </row>
    <row r="942" spans="1:3" ht="13" x14ac:dyDescent="0.15">
      <c r="A942" s="10"/>
      <c r="B942" s="13"/>
      <c r="C942" s="13"/>
    </row>
    <row r="943" spans="1:3" ht="13" x14ac:dyDescent="0.15">
      <c r="A943" s="10"/>
      <c r="B943" s="13"/>
      <c r="C943" s="13"/>
    </row>
    <row r="944" spans="1:3" ht="13" x14ac:dyDescent="0.15">
      <c r="A944" s="10"/>
      <c r="B944" s="13"/>
      <c r="C944" s="13"/>
    </row>
    <row r="945" spans="1:3" ht="13" x14ac:dyDescent="0.15">
      <c r="A945" s="10"/>
      <c r="B945" s="13"/>
      <c r="C945" s="13"/>
    </row>
    <row r="946" spans="1:3" ht="13" x14ac:dyDescent="0.15">
      <c r="A946" s="10"/>
      <c r="B946" s="13"/>
      <c r="C946" s="13"/>
    </row>
    <row r="947" spans="1:3" ht="13" x14ac:dyDescent="0.15">
      <c r="A947" s="10"/>
      <c r="B947" s="13"/>
      <c r="C947" s="13"/>
    </row>
    <row r="948" spans="1:3" ht="13" x14ac:dyDescent="0.15">
      <c r="A948" s="10"/>
      <c r="B948" s="13"/>
      <c r="C948" s="13"/>
    </row>
    <row r="949" spans="1:3" ht="13" x14ac:dyDescent="0.15">
      <c r="A949" s="10"/>
      <c r="B949" s="13"/>
      <c r="C949" s="13"/>
    </row>
    <row r="950" spans="1:3" ht="13" x14ac:dyDescent="0.15">
      <c r="A950" s="10"/>
      <c r="B950" s="13"/>
      <c r="C950" s="13"/>
    </row>
    <row r="951" spans="1:3" ht="13" x14ac:dyDescent="0.15">
      <c r="A951" s="10"/>
      <c r="B951" s="13"/>
      <c r="C951" s="13"/>
    </row>
    <row r="952" spans="1:3" ht="13" x14ac:dyDescent="0.15">
      <c r="A952" s="10"/>
      <c r="B952" s="13"/>
      <c r="C952" s="13"/>
    </row>
    <row r="953" spans="1:3" ht="13" x14ac:dyDescent="0.15">
      <c r="A953" s="10"/>
      <c r="B953" s="13"/>
      <c r="C953" s="13"/>
    </row>
    <row r="954" spans="1:3" ht="13" x14ac:dyDescent="0.15">
      <c r="A954" s="10"/>
      <c r="B954" s="13"/>
      <c r="C954" s="13"/>
    </row>
    <row r="955" spans="1:3" ht="13" x14ac:dyDescent="0.15">
      <c r="A955" s="10"/>
      <c r="B955" s="13"/>
      <c r="C955" s="13"/>
    </row>
    <row r="956" spans="1:3" ht="13" x14ac:dyDescent="0.15">
      <c r="A956" s="10"/>
      <c r="B956" s="13"/>
      <c r="C956" s="13"/>
    </row>
    <row r="957" spans="1:3" ht="13" x14ac:dyDescent="0.15">
      <c r="A957" s="10"/>
      <c r="B957" s="13"/>
      <c r="C957" s="13"/>
    </row>
    <row r="958" spans="1:3" ht="13" x14ac:dyDescent="0.15">
      <c r="A958" s="10"/>
      <c r="B958" s="13"/>
      <c r="C958" s="13"/>
    </row>
    <row r="959" spans="1:3" ht="13" x14ac:dyDescent="0.15">
      <c r="A959" s="10"/>
      <c r="B959" s="13"/>
      <c r="C959" s="13"/>
    </row>
    <row r="960" spans="1:3" ht="13" x14ac:dyDescent="0.15">
      <c r="A960" s="10"/>
      <c r="B960" s="13"/>
      <c r="C960" s="13"/>
    </row>
    <row r="961" spans="1:3" ht="13" x14ac:dyDescent="0.15">
      <c r="A961" s="10"/>
      <c r="B961" s="13"/>
      <c r="C961" s="13"/>
    </row>
    <row r="962" spans="1:3" ht="13" x14ac:dyDescent="0.15">
      <c r="A962" s="10"/>
      <c r="B962" s="13"/>
      <c r="C962" s="13"/>
    </row>
    <row r="963" spans="1:3" ht="13" x14ac:dyDescent="0.15">
      <c r="A963" s="10"/>
      <c r="B963" s="13"/>
      <c r="C963" s="13"/>
    </row>
    <row r="964" spans="1:3" ht="13" x14ac:dyDescent="0.15">
      <c r="A964" s="10"/>
      <c r="B964" s="13"/>
      <c r="C964" s="13"/>
    </row>
    <row r="965" spans="1:3" ht="13" x14ac:dyDescent="0.15">
      <c r="A965" s="10"/>
      <c r="B965" s="13"/>
      <c r="C965" s="13"/>
    </row>
    <row r="966" spans="1:3" ht="13" x14ac:dyDescent="0.15">
      <c r="A966" s="10"/>
      <c r="B966" s="13"/>
      <c r="C966" s="13"/>
    </row>
    <row r="967" spans="1:3" ht="13" x14ac:dyDescent="0.15">
      <c r="A967" s="10"/>
      <c r="B967" s="13"/>
      <c r="C967" s="13"/>
    </row>
    <row r="968" spans="1:3" ht="13" x14ac:dyDescent="0.15">
      <c r="A968" s="10"/>
      <c r="B968" s="13"/>
      <c r="C968" s="13"/>
    </row>
    <row r="969" spans="1:3" ht="13" x14ac:dyDescent="0.15">
      <c r="A969" s="10"/>
      <c r="B969" s="13"/>
      <c r="C969" s="13"/>
    </row>
    <row r="970" spans="1:3" ht="13" x14ac:dyDescent="0.15">
      <c r="A970" s="10"/>
      <c r="B970" s="13"/>
      <c r="C970" s="13"/>
    </row>
    <row r="971" spans="1:3" ht="13" x14ac:dyDescent="0.15">
      <c r="A971" s="10"/>
      <c r="B971" s="13"/>
      <c r="C971" s="13"/>
    </row>
    <row r="972" spans="1:3" ht="13" x14ac:dyDescent="0.15">
      <c r="A972" s="10"/>
      <c r="B972" s="13"/>
      <c r="C972" s="13"/>
    </row>
    <row r="973" spans="1:3" ht="13" x14ac:dyDescent="0.15">
      <c r="A973" s="10"/>
      <c r="B973" s="13"/>
      <c r="C973" s="13"/>
    </row>
    <row r="974" spans="1:3" ht="13" x14ac:dyDescent="0.15">
      <c r="A974" s="10"/>
      <c r="B974" s="13"/>
      <c r="C974" s="13"/>
    </row>
    <row r="975" spans="1:3" ht="13" x14ac:dyDescent="0.15">
      <c r="A975" s="10"/>
      <c r="B975" s="13"/>
      <c r="C975" s="13"/>
    </row>
    <row r="976" spans="1:3" ht="13" x14ac:dyDescent="0.15">
      <c r="A976" s="10"/>
      <c r="B976" s="13"/>
      <c r="C976" s="13"/>
    </row>
    <row r="977" spans="1:3" ht="13" x14ac:dyDescent="0.15">
      <c r="A977" s="10"/>
      <c r="B977" s="13"/>
      <c r="C977" s="13"/>
    </row>
    <row r="978" spans="1:3" ht="13" x14ac:dyDescent="0.15">
      <c r="A978" s="10"/>
      <c r="B978" s="13"/>
      <c r="C978" s="13"/>
    </row>
    <row r="979" spans="1:3" ht="13" x14ac:dyDescent="0.15">
      <c r="A979" s="10"/>
      <c r="B979" s="13"/>
      <c r="C979" s="13"/>
    </row>
    <row r="980" spans="1:3" ht="13" x14ac:dyDescent="0.15">
      <c r="A980" s="10"/>
      <c r="B980" s="13"/>
      <c r="C980" s="13"/>
    </row>
    <row r="981" spans="1:3" ht="13" x14ac:dyDescent="0.15">
      <c r="A981" s="10"/>
      <c r="B981" s="13"/>
      <c r="C981" s="13"/>
    </row>
    <row r="982" spans="1:3" ht="13" x14ac:dyDescent="0.15">
      <c r="A982" s="10"/>
      <c r="B982" s="13"/>
      <c r="C982" s="13"/>
    </row>
    <row r="983" spans="1:3" ht="13" x14ac:dyDescent="0.15">
      <c r="A983" s="10"/>
      <c r="B983" s="13"/>
      <c r="C983" s="13"/>
    </row>
    <row r="984" spans="1:3" ht="13" x14ac:dyDescent="0.15">
      <c r="A984" s="10"/>
      <c r="B984" s="13"/>
      <c r="C984" s="13"/>
    </row>
    <row r="985" spans="1:3" ht="13" x14ac:dyDescent="0.15">
      <c r="A985" s="10"/>
      <c r="B985" s="13"/>
      <c r="C985" s="13"/>
    </row>
    <row r="986" spans="1:3" ht="13" x14ac:dyDescent="0.15">
      <c r="A986" s="10"/>
      <c r="B986" s="13"/>
      <c r="C986" s="13"/>
    </row>
    <row r="987" spans="1:3" ht="13" x14ac:dyDescent="0.15">
      <c r="A987" s="10"/>
      <c r="B987" s="13"/>
      <c r="C987" s="13"/>
    </row>
    <row r="988" spans="1:3" ht="13" x14ac:dyDescent="0.15">
      <c r="A988" s="10"/>
      <c r="B988" s="13"/>
      <c r="C988" s="13"/>
    </row>
    <row r="989" spans="1:3" ht="13" x14ac:dyDescent="0.15">
      <c r="A989" s="10"/>
      <c r="B989" s="13"/>
      <c r="C989" s="13"/>
    </row>
    <row r="990" spans="1:3" ht="13" x14ac:dyDescent="0.15">
      <c r="A990" s="10"/>
      <c r="B990" s="13"/>
      <c r="C990" s="13"/>
    </row>
    <row r="991" spans="1:3" ht="13" x14ac:dyDescent="0.15">
      <c r="A991" s="10"/>
      <c r="B991" s="13"/>
      <c r="C991" s="13"/>
    </row>
    <row r="992" spans="1:3" ht="13" x14ac:dyDescent="0.15">
      <c r="A992" s="10"/>
      <c r="B992" s="13"/>
      <c r="C992" s="13"/>
    </row>
    <row r="993" spans="1:3" ht="13" x14ac:dyDescent="0.15">
      <c r="A993" s="10"/>
      <c r="B993" s="13"/>
      <c r="C993" s="13"/>
    </row>
    <row r="994" spans="1:3" ht="13" x14ac:dyDescent="0.15">
      <c r="A994" s="10"/>
      <c r="B994" s="13"/>
      <c r="C994" s="13"/>
    </row>
    <row r="995" spans="1:3" ht="13" x14ac:dyDescent="0.15">
      <c r="A995" s="10"/>
      <c r="B995" s="13"/>
      <c r="C995" s="13"/>
    </row>
    <row r="996" spans="1:3" ht="13" x14ac:dyDescent="0.15">
      <c r="A996" s="10"/>
      <c r="B996" s="13"/>
      <c r="C996" s="13"/>
    </row>
    <row r="997" spans="1:3" ht="13" x14ac:dyDescent="0.15">
      <c r="A997" s="10"/>
      <c r="B997" s="13"/>
      <c r="C997" s="13"/>
    </row>
  </sheetData>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outlinePr summaryBelow="0" summaryRight="0"/>
  </sheetPr>
  <dimension ref="A1:D997"/>
  <sheetViews>
    <sheetView workbookViewId="0"/>
  </sheetViews>
  <sheetFormatPr baseColWidth="10" defaultColWidth="12.6640625" defaultRowHeight="15.75" customHeight="1" x14ac:dyDescent="0.15"/>
  <cols>
    <col min="1" max="1" width="71.5" customWidth="1"/>
    <col min="2" max="4" width="37.6640625" customWidth="1"/>
  </cols>
  <sheetData>
    <row r="1" spans="1:4" ht="15.75" customHeight="1" x14ac:dyDescent="0.15">
      <c r="A1" s="1"/>
      <c r="B1" s="10" t="str">
        <f ca="1">IFERROR(__xludf.DUMMYFUNCTION("IMPORTRANGE(""https://docs.google.com/spreadsheets/u/0/d/1DTeUShR903oScgwuFGuA8V8JqIoXmME8W-T3lNP0oHM"", ""A73!B1:B22"")"),"McKinzie Novak")</f>
        <v>McKinzie Novak</v>
      </c>
      <c r="C1" s="10" t="str">
        <f ca="1">IFERROR(__xludf.DUMMYFUNCTION("IMPORTRANGE(""https://docs.google.com/spreadsheets/u/0/d/1Rfwd61p8X8kU1VBE4PFTeYG7-2eZzi6BYhKfon6XtRs"", ""A73!B1:B22"")"),"Korie Hall")</f>
        <v>Korie Hall</v>
      </c>
      <c r="D1" s="2" t="s">
        <v>1</v>
      </c>
    </row>
    <row r="2" spans="1:4" ht="15.75" customHeight="1" x14ac:dyDescent="0.15">
      <c r="A2" s="3" t="s">
        <v>2</v>
      </c>
      <c r="B2" s="15" t="str">
        <f ca="1">IFERROR(__xludf.DUMMYFUNCTION("""COMPUTED_VALUE"""),"START: 45398
STOP: 45775
FORWARD")</f>
        <v>START: 45398
STOP: 45775
FORWARD</v>
      </c>
      <c r="C2" s="15" t="str">
        <f ca="1">IFERROR(__xludf.DUMMYFUNCTION("""COMPUTED_VALUE"""),"Start: 45398 / Stop: 45775")</f>
        <v>Start: 45398 / Stop: 45775</v>
      </c>
      <c r="D2" s="4"/>
    </row>
    <row r="3" spans="1:4" ht="15.75" customHeight="1" x14ac:dyDescent="0.15">
      <c r="A3" s="5" t="s">
        <v>3</v>
      </c>
      <c r="B3" s="17" t="str">
        <f ca="1">IFERROR(__xludf.DUMMYFUNCTION("""COMPUTED_VALUE"""),"DNAM: 72
PHAM: 73
Phagesdb: 73")</f>
        <v>DNAM: 72
PHAM: 73
Phagesdb: 73</v>
      </c>
      <c r="C3" s="17" t="str">
        <f ca="1">IFERROR(__xludf.DUMMYFUNCTION("""COMPUTED_VALUE"""),"DNA Master: Gene 72 / Phamerator: Gene 73")</f>
        <v>DNA Master: Gene 72 / Phamerator: Gene 73</v>
      </c>
      <c r="D3" s="6"/>
    </row>
    <row r="4" spans="1:4" ht="15.75" customHeight="1" x14ac:dyDescent="0.15">
      <c r="A4" s="5" t="s">
        <v>4</v>
      </c>
      <c r="B4" s="17" t="str">
        <f ca="1">IFERROR(__xludf.DUMMYFUNCTION("""COMPUTED_VALUE"""),"#199252   3/19/25")</f>
        <v>#199252   3/19/25</v>
      </c>
      <c r="C4" s="17">
        <f ca="1">IFERROR(__xludf.DUMMYFUNCTION("""COMPUTED_VALUE"""),199252)</f>
        <v>199252</v>
      </c>
      <c r="D4" s="6"/>
    </row>
    <row r="5" spans="1:4" ht="15.75" customHeight="1" x14ac:dyDescent="0.15">
      <c r="A5" s="5" t="s">
        <v>5</v>
      </c>
      <c r="B5" s="17" t="str">
        <f ca="1">IFERROR(__xludf.DUMMYFUNCTION("""COMPUTED_VALUE"""),"Kovu #71")</f>
        <v>Kovu #71</v>
      </c>
      <c r="C5" s="17" t="str">
        <f ca="1">IFERROR(__xludf.DUMMYFUNCTION("""COMPUTED_VALUE"""),"Kovu_71")</f>
        <v>Kovu_71</v>
      </c>
      <c r="D5" s="6"/>
    </row>
    <row r="6" spans="1:4" ht="15.75" customHeight="1" x14ac:dyDescent="0.15">
      <c r="A6" s="5" t="s">
        <v>6</v>
      </c>
      <c r="B6" s="17" t="str">
        <f ca="1">IFERROR(__xludf.DUMMYFUNCTION("""COMPUTED_VALUE"""),"Glimmer calls 45398, but Genemark calls a later start at 45431")</f>
        <v>Glimmer calls 45398, but Genemark calls a later start at 45431</v>
      </c>
      <c r="C6" s="17" t="str">
        <f ca="1">IFERROR(__xludf.DUMMYFUNCTION("""COMPUTED_VALUE"""),"Glimmer: 45398 / GeneMark: 45431")</f>
        <v>Glimmer: 45398 / GeneMark: 45431</v>
      </c>
      <c r="D6" s="6"/>
    </row>
    <row r="7" spans="1:4" ht="15.75" customHeight="1" x14ac:dyDescent="0.15">
      <c r="A7" s="5" t="s">
        <v>7</v>
      </c>
      <c r="B7" s="17" t="str">
        <f ca="1">IFERROR(__xludf.DUMMYFUNCTION("""COMPUTED_VALUE"""),"Yes, the gene has good coding potential, genemark captures all so keeping glimmer might not be needed")</f>
        <v>Yes, the gene has good coding potential, genemark captures all so keeping glimmer might not be needed</v>
      </c>
      <c r="C7" s="17" t="str">
        <f ca="1">IFERROR(__xludf.DUMMYFUNCTION("""COMPUTED_VALUE"""),"Catches all coding potential but there is a small period were no genetic material is being called ")</f>
        <v xml:space="preserve">Catches all coding potential but there is a small period were no genetic material is being called </v>
      </c>
      <c r="D7" s="6"/>
    </row>
    <row r="8" spans="1:4" ht="15.75" customHeight="1" x14ac:dyDescent="0.15">
      <c r="A8" s="5" t="s">
        <v>8</v>
      </c>
      <c r="B8" s="17" t="str">
        <f ca="1">IFERROR(__xludf.DUMMYFUNCTION("""COMPUTED_VALUE"""),"Ys glimmers called start is the longest ORF")</f>
        <v>Ys glimmers called start is the longest ORF</v>
      </c>
      <c r="C8" s="17" t="str">
        <f ca="1">IFERROR(__xludf.DUMMYFUNCTION("""COMPUTED_VALUE"""),"Yes")</f>
        <v>Yes</v>
      </c>
      <c r="D8" s="6"/>
    </row>
    <row r="9" spans="1:4" ht="15.75" customHeight="1" x14ac:dyDescent="0.15">
      <c r="A9" s="5" t="s">
        <v>9</v>
      </c>
      <c r="B9" s="17" t="str">
        <f ca="1">IFERROR(__xludf.DUMMYFUNCTION("""COMPUTED_VALUE"""),"Glimmers start has a 3 basepair overlap, but genemark has a 30 basepair gap")</f>
        <v>Glimmers start has a 3 basepair overlap, but genemark has a 30 basepair gap</v>
      </c>
      <c r="C9" s="17" t="str">
        <f ca="1">IFERROR(__xludf.DUMMYFUNCTION("""COMPUTED_VALUE"""),"3 bp gap between gene 72 and gene 73")</f>
        <v>3 bp gap between gene 72 and gene 73</v>
      </c>
      <c r="D9" s="6"/>
    </row>
    <row r="10" spans="1:4" ht="15.75" customHeight="1" x14ac:dyDescent="0.15">
      <c r="A10" s="5" t="s">
        <v>10</v>
      </c>
      <c r="B10" s="17" t="str">
        <f ca="1">IFERROR(__xludf.DUMMYFUNCTION("""COMPUTED_VALUE"""),"Start: 45398 z-score:2.7 RBS:-2.9
Start: 45431 z-score:1.4 RBS:-6.5 ")</f>
        <v xml:space="preserve">Start: 45398 z-score:2.7 RBS:-2.9
Start: 45431 z-score:1.4 RBS:-6.5 </v>
      </c>
      <c r="C10" s="17" t="str">
        <f ca="1">IFERROR(__xludf.DUMMYFUNCTION("""COMPUTED_VALUE"""),"Z-score: 2.753 / Final score: -2.962")</f>
        <v>Z-score: 2.753 / Final score: -2.962</v>
      </c>
      <c r="D10" s="6"/>
    </row>
    <row r="11" spans="1:4" ht="15.75" customHeight="1" x14ac:dyDescent="0.15">
      <c r="A11" s="5" t="s">
        <v>11</v>
      </c>
      <c r="B11" s="17" t="str">
        <f ca="1">IFERROR(__xludf.DUMMYFUNCTION("""COMPUTED_VALUE"""),"Kovu #71 %ID:80.8 e-val:0.0e0
Q:1 S:1")</f>
        <v>Kovu #71 %ID:80.8 e-val:0.0e0
Q:1 S:1</v>
      </c>
      <c r="C11" s="17" t="str">
        <f ca="1">IFERROR(__xludf.DUMMYFUNCTION("""COMPUTED_VALUE"""),"Kovu_71 - % identity: 81% / e-value: 1e-66 / q1:s1")</f>
        <v>Kovu_71 - % identity: 81% / e-value: 1e-66 / q1:s1</v>
      </c>
      <c r="D11" s="6"/>
    </row>
    <row r="12" spans="1:4" ht="15.75" customHeight="1" x14ac:dyDescent="0.15">
      <c r="A12" s="5" t="s">
        <v>12</v>
      </c>
      <c r="B12" s="17" t="str">
        <f ca="1">IFERROR(__xludf.DUMMYFUNCTION("""COMPUTED_VALUE"""),"Start 1 is called 100% of the time because the only other phage is kovu. Apokipo calls #1 as well.")</f>
        <v>Start 1 is called 100% of the time because the only other phage is kovu. Apokipo calls #1 as well.</v>
      </c>
      <c r="C12" s="17" t="str">
        <f ca="1">IFERROR(__xludf.DUMMYFUNCTION("""COMPUTED_VALUE"""),"Found in 2 of 2 members in pham / Conserved 100% of the time")</f>
        <v>Found in 2 of 2 members in pham / Conserved 100% of the time</v>
      </c>
      <c r="D12" s="6"/>
    </row>
    <row r="13" spans="1:4" ht="15.75" customHeight="1" x14ac:dyDescent="0.15">
      <c r="A13" s="5" t="s">
        <v>13</v>
      </c>
      <c r="B13" s="17" t="str">
        <f ca="1">IFERROR(__xludf.DUMMYFUNCTION("""COMPUTED_VALUE"""),"No, there is good evidence in starterator to leave it here with glimmer. No point in moving the start when it is at it's highest z-score.")</f>
        <v>No, there is good evidence in starterator to leave it here with glimmer. No point in moving the start when it is at it's highest z-score.</v>
      </c>
      <c r="C13" s="17" t="str">
        <f ca="1">IFERROR(__xludf.DUMMYFUNCTION("""COMPUTED_VALUE"""),"Start should remain as is. No genetic coding is being lost, other members in pham call the same start, good values. ")</f>
        <v xml:space="preserve">Start should remain as is. No genetic coding is being lost, other members in pham call the same start, good values. </v>
      </c>
      <c r="D13" s="6"/>
    </row>
    <row r="14" spans="1:4" ht="15.75" customHeight="1" x14ac:dyDescent="0.15">
      <c r="A14" s="5" t="s">
        <v>14</v>
      </c>
      <c r="B14" s="17" t="str">
        <f ca="1">IFERROR(__xludf.DUMMYFUNCTION("""COMPUTED_VALUE"""),"Kovu #71 e-val: 0.0E0")</f>
        <v>Kovu #71 e-val: 0.0E0</v>
      </c>
      <c r="C14" s="17" t="str">
        <f ca="1">IFERROR(__xludf.DUMMYFUNCTION("""COMPUTED_VALUE"""),"Kovu_71 - e-value: 2e-54")</f>
        <v>Kovu_71 - e-value: 2e-54</v>
      </c>
      <c r="D14" s="6"/>
    </row>
    <row r="15" spans="1:4" ht="15.75" customHeight="1" x14ac:dyDescent="0.15">
      <c r="A15" s="5" t="s">
        <v>15</v>
      </c>
      <c r="B15" s="17" t="str">
        <f ca="1">IFERROR(__xludf.DUMMYFUNCTION("""COMPUTED_VALUE"""),"Kovu #71 membrane protein")</f>
        <v>Kovu #71 membrane protein</v>
      </c>
      <c r="C15" s="17" t="str">
        <f ca="1">IFERROR(__xludf.DUMMYFUNCTION("""COMPUTED_VALUE"""),"Kovu_71 - Membrane protein ")</f>
        <v xml:space="preserve">Kovu_71 - Membrane protein </v>
      </c>
      <c r="D15" s="6"/>
    </row>
    <row r="16" spans="1:4" ht="15.75" customHeight="1" x14ac:dyDescent="0.15">
      <c r="A16" s="5" t="s">
        <v>16</v>
      </c>
      <c r="B16" s="17" t="str">
        <f ca="1">IFERROR(__xludf.DUMMYFUNCTION("""COMPUTED_VALUE"""),"Yes, this gene matches its genetic environment very well, it has an adjacent membrane protein to the left and an endolysin that it aligns with very well to the right.")</f>
        <v>Yes, this gene matches its genetic environment very well, it has an adjacent membrane protein to the left and an endolysin that it aligns with very well to the right.</v>
      </c>
      <c r="C16" s="17" t="str">
        <f ca="1">IFERROR(__xludf.DUMMYFUNCTION("""COMPUTED_VALUE"""),"Compared to its homologous genes, the function would be expected ")</f>
        <v xml:space="preserve">Compared to its homologous genes, the function would be expected </v>
      </c>
      <c r="D16" s="6"/>
    </row>
    <row r="17" spans="1:4" ht="15.75" customHeight="1" x14ac:dyDescent="0.15">
      <c r="A17" s="5" t="s">
        <v>17</v>
      </c>
      <c r="B17" s="17" t="str">
        <f ca="1">IFERROR(__xludf.DUMMYFUNCTION("""COMPUTED_VALUE"""),"DESC: Cell division protein FtsL; FtsWIQLB, Gram-negative bacteria, membrane protein, divisome, CELL CYCLE
Prob: 90.3
%ALQ: 40.8 %ALT: 52.6
Sort of, the whole protein is the domain, but we only align with a small portion.")</f>
        <v>DESC: Cell division protein FtsL; FtsWIQLB, Gram-negative bacteria, membrane protein, divisome, CELL CYCLE
Prob: 90.3
%ALQ: 40.8 %ALT: 52.6
Sort of, the whole protein is the domain, but we only align with a small portion.</v>
      </c>
      <c r="C17" s="17" t="str">
        <f ca="1">IFERROR(__xludf.DUMMYFUNCTION("""COMPUTED_VALUE"""),"Matches were unreliable to make a definitive conclusion.")</f>
        <v>Matches were unreliable to make a definitive conclusion.</v>
      </c>
      <c r="D17" s="6"/>
    </row>
    <row r="18" spans="1:4" ht="15.75" customHeight="1" x14ac:dyDescent="0.15">
      <c r="A18" s="5" t="s">
        <v>18</v>
      </c>
      <c r="B18" s="17" t="str">
        <f ca="1">IFERROR(__xludf.DUMMYFUNCTION("""COMPUTED_VALUE"""),"I am going to call this a transmembrane domain until further notice")</f>
        <v>I am going to call this a transmembrane domain until further notice</v>
      </c>
      <c r="C18" s="17" t="str">
        <f ca="1">IFERROR(__xludf.DUMMYFUNCTION("""COMPUTED_VALUE"""),"No conserved domain identified")</f>
        <v>No conserved domain identified</v>
      </c>
      <c r="D18" s="6"/>
    </row>
    <row r="19" spans="1:4" ht="15.75" customHeight="1" x14ac:dyDescent="0.15">
      <c r="A19" s="5" t="s">
        <v>19</v>
      </c>
      <c r="B19" s="17" t="str">
        <f ca="1">IFERROR(__xludf.DUMMYFUNCTION("""COMPUTED_VALUE"""),"Yes, deepTMHMM actually supported this one. 22 TMHs between 22-44. ")</f>
        <v xml:space="preserve">Yes, deepTMHMM actually supported this one. 22 TMHs between 22-44. </v>
      </c>
      <c r="C19" s="17" t="str">
        <f ca="1">IFERROR(__xludf.DUMMYFUNCTION("""COMPUTED_VALUE"""),"Transmembrane identified")</f>
        <v>Transmembrane identified</v>
      </c>
      <c r="D19" s="6"/>
    </row>
    <row r="20" spans="1:4" ht="15.75" customHeight="1" x14ac:dyDescent="0.15">
      <c r="A20" s="5" t="s">
        <v>20</v>
      </c>
      <c r="B20" s="17" t="str">
        <f ca="1">IFERROR(__xludf.DUMMYFUNCTION("""COMPUTED_VALUE"""),"membrane protein")</f>
        <v>membrane protein</v>
      </c>
      <c r="C20" s="17" t="str">
        <f ca="1">IFERROR(__xludf.DUMMYFUNCTION("""COMPUTED_VALUE"""),"Membrane protein ( Rationale: Only other member of the pham has this function. Membrane protein has been identified and has good hits with Kovu_71 )")</f>
        <v>Membrane protein ( Rationale: Only other member of the pham has this function. Membrane protein has been identified and has good hits with Kovu_71 )</v>
      </c>
      <c r="D20" s="6"/>
    </row>
    <row r="21" spans="1:4" x14ac:dyDescent="0.2">
      <c r="A21" s="7"/>
      <c r="B21" s="19"/>
      <c r="C21" s="19"/>
      <c r="D21" s="8"/>
    </row>
    <row r="22" spans="1:4" ht="15.75" customHeight="1" x14ac:dyDescent="0.15">
      <c r="A22" s="9" t="s">
        <v>21</v>
      </c>
      <c r="B22" s="19"/>
      <c r="C22" s="19"/>
      <c r="D22" s="8"/>
    </row>
    <row r="23" spans="1:4" ht="15.75" customHeight="1" x14ac:dyDescent="0.15">
      <c r="A23" s="10"/>
      <c r="B23" s="13"/>
      <c r="C23" s="13"/>
    </row>
    <row r="24" spans="1:4" ht="15.75" customHeight="1" x14ac:dyDescent="0.15">
      <c r="A24" s="10"/>
      <c r="B24" s="13"/>
      <c r="C24" s="13"/>
    </row>
    <row r="25" spans="1:4" ht="15.75" customHeight="1" x14ac:dyDescent="0.15">
      <c r="A25" s="10"/>
      <c r="B25" s="13"/>
      <c r="C25" s="13"/>
    </row>
    <row r="26" spans="1:4" ht="15.75" customHeight="1" x14ac:dyDescent="0.15">
      <c r="A26" s="10"/>
      <c r="B26" s="13"/>
      <c r="C26" s="13"/>
    </row>
    <row r="27" spans="1:4" ht="15.75" customHeight="1" x14ac:dyDescent="0.15">
      <c r="A27" s="10"/>
      <c r="B27" s="13"/>
      <c r="C27" s="13"/>
    </row>
    <row r="28" spans="1:4" ht="15.75" customHeight="1" x14ac:dyDescent="0.15">
      <c r="A28" s="10"/>
      <c r="B28" s="13"/>
      <c r="C28" s="13"/>
    </row>
    <row r="29" spans="1:4" ht="15.75" customHeight="1" x14ac:dyDescent="0.15">
      <c r="A29" s="10"/>
      <c r="B29" s="13"/>
      <c r="C29" s="13"/>
    </row>
    <row r="30" spans="1:4" ht="15.75" customHeight="1" x14ac:dyDescent="0.15">
      <c r="A30" s="10"/>
      <c r="B30" s="13"/>
      <c r="C30" s="13"/>
    </row>
    <row r="31" spans="1:4" ht="15.75" customHeight="1" x14ac:dyDescent="0.15">
      <c r="A31" s="10"/>
      <c r="B31" s="13"/>
      <c r="C31" s="13"/>
    </row>
    <row r="32" spans="1:4" ht="15.75" customHeight="1" x14ac:dyDescent="0.15">
      <c r="A32" s="10"/>
      <c r="B32" s="13"/>
      <c r="C32" s="13"/>
    </row>
    <row r="33" spans="1:3" ht="15.75" customHeight="1" x14ac:dyDescent="0.15">
      <c r="A33" s="10"/>
      <c r="B33" s="13"/>
      <c r="C33" s="13"/>
    </row>
    <row r="34" spans="1:3" ht="15.75" customHeight="1" x14ac:dyDescent="0.15">
      <c r="A34" s="10"/>
      <c r="B34" s="13"/>
      <c r="C34" s="13"/>
    </row>
    <row r="35" spans="1:3" ht="15.75" customHeight="1" x14ac:dyDescent="0.15">
      <c r="A35" s="10"/>
      <c r="B35" s="13"/>
      <c r="C35" s="13"/>
    </row>
    <row r="36" spans="1:3" ht="15.75" customHeight="1" x14ac:dyDescent="0.15">
      <c r="A36" s="10"/>
      <c r="B36" s="13"/>
      <c r="C36" s="13"/>
    </row>
    <row r="37" spans="1:3" ht="15.75" customHeight="1" x14ac:dyDescent="0.15">
      <c r="A37" s="10"/>
      <c r="B37" s="13"/>
      <c r="C37" s="13"/>
    </row>
    <row r="38" spans="1:3" ht="15.75" customHeight="1" x14ac:dyDescent="0.15">
      <c r="A38" s="10"/>
      <c r="B38" s="13"/>
      <c r="C38" s="13"/>
    </row>
    <row r="39" spans="1:3" ht="13" x14ac:dyDescent="0.15">
      <c r="A39" s="10"/>
      <c r="B39" s="13"/>
      <c r="C39" s="13"/>
    </row>
    <row r="40" spans="1:3" ht="13" x14ac:dyDescent="0.15">
      <c r="A40" s="10"/>
      <c r="B40" s="13"/>
      <c r="C40" s="13"/>
    </row>
    <row r="41" spans="1:3" ht="13" x14ac:dyDescent="0.15">
      <c r="A41" s="10"/>
      <c r="B41" s="13"/>
      <c r="C41" s="13"/>
    </row>
    <row r="42" spans="1:3" ht="13" x14ac:dyDescent="0.15">
      <c r="A42" s="10"/>
      <c r="B42" s="13"/>
      <c r="C42" s="13"/>
    </row>
    <row r="43" spans="1:3" ht="13" x14ac:dyDescent="0.15">
      <c r="A43" s="10"/>
      <c r="B43" s="13"/>
      <c r="C43" s="13"/>
    </row>
    <row r="44" spans="1:3" ht="13" x14ac:dyDescent="0.15">
      <c r="A44" s="10"/>
      <c r="B44" s="13"/>
      <c r="C44" s="13"/>
    </row>
    <row r="45" spans="1:3" ht="13" x14ac:dyDescent="0.15">
      <c r="A45" s="10"/>
      <c r="B45" s="13"/>
      <c r="C45" s="13"/>
    </row>
    <row r="46" spans="1:3" ht="13" x14ac:dyDescent="0.15">
      <c r="A46" s="10"/>
      <c r="B46" s="13"/>
      <c r="C46" s="13"/>
    </row>
    <row r="47" spans="1:3" ht="13" x14ac:dyDescent="0.15">
      <c r="A47" s="10"/>
      <c r="B47" s="13"/>
      <c r="C47" s="13"/>
    </row>
    <row r="48" spans="1:3" ht="13" x14ac:dyDescent="0.15">
      <c r="A48" s="10"/>
      <c r="B48" s="13"/>
      <c r="C48" s="13"/>
    </row>
    <row r="49" spans="1:3" ht="13" x14ac:dyDescent="0.15">
      <c r="A49" s="10"/>
      <c r="B49" s="13"/>
      <c r="C49" s="13"/>
    </row>
    <row r="50" spans="1:3" ht="13" x14ac:dyDescent="0.15">
      <c r="A50" s="10"/>
      <c r="B50" s="13"/>
      <c r="C50" s="13"/>
    </row>
    <row r="51" spans="1:3" ht="13" x14ac:dyDescent="0.15">
      <c r="A51" s="10"/>
      <c r="B51" s="13"/>
      <c r="C51" s="13"/>
    </row>
    <row r="52" spans="1:3" ht="13" x14ac:dyDescent="0.15">
      <c r="A52" s="10"/>
      <c r="B52" s="13"/>
      <c r="C52" s="13"/>
    </row>
    <row r="53" spans="1:3" ht="13" x14ac:dyDescent="0.15">
      <c r="A53" s="10"/>
      <c r="B53" s="13"/>
      <c r="C53" s="13"/>
    </row>
    <row r="54" spans="1:3" ht="13" x14ac:dyDescent="0.15">
      <c r="A54" s="10"/>
      <c r="B54" s="13"/>
      <c r="C54" s="13"/>
    </row>
    <row r="55" spans="1:3" ht="13" x14ac:dyDescent="0.15">
      <c r="A55" s="10"/>
      <c r="B55" s="13"/>
      <c r="C55" s="13"/>
    </row>
    <row r="56" spans="1:3" ht="13" x14ac:dyDescent="0.15">
      <c r="A56" s="10"/>
      <c r="B56" s="13"/>
      <c r="C56" s="13"/>
    </row>
    <row r="57" spans="1:3" ht="13" x14ac:dyDescent="0.15">
      <c r="A57" s="10"/>
      <c r="B57" s="13"/>
      <c r="C57" s="13"/>
    </row>
    <row r="58" spans="1:3" ht="13" x14ac:dyDescent="0.15">
      <c r="A58" s="10"/>
      <c r="B58" s="13"/>
      <c r="C58" s="13"/>
    </row>
    <row r="59" spans="1:3" ht="13" x14ac:dyDescent="0.15">
      <c r="A59" s="10"/>
      <c r="B59" s="13"/>
      <c r="C59" s="13"/>
    </row>
    <row r="60" spans="1:3" ht="13" x14ac:dyDescent="0.15">
      <c r="A60" s="10"/>
      <c r="B60" s="13"/>
      <c r="C60" s="13"/>
    </row>
    <row r="61" spans="1:3" ht="13" x14ac:dyDescent="0.15">
      <c r="A61" s="10"/>
      <c r="B61" s="13"/>
      <c r="C61" s="13"/>
    </row>
    <row r="62" spans="1:3" ht="13" x14ac:dyDescent="0.15">
      <c r="A62" s="10"/>
      <c r="B62" s="13"/>
      <c r="C62" s="13"/>
    </row>
    <row r="63" spans="1:3" ht="13" x14ac:dyDescent="0.15">
      <c r="A63" s="10"/>
      <c r="B63" s="13"/>
      <c r="C63" s="13"/>
    </row>
    <row r="64" spans="1:3" ht="13" x14ac:dyDescent="0.15">
      <c r="A64" s="10"/>
      <c r="B64" s="13"/>
      <c r="C64" s="13"/>
    </row>
    <row r="65" spans="1:3" ht="13" x14ac:dyDescent="0.15">
      <c r="A65" s="10"/>
      <c r="B65" s="13"/>
      <c r="C65" s="13"/>
    </row>
    <row r="66" spans="1:3" ht="13" x14ac:dyDescent="0.15">
      <c r="A66" s="10"/>
      <c r="B66" s="13"/>
      <c r="C66" s="13"/>
    </row>
    <row r="67" spans="1:3" ht="13" x14ac:dyDescent="0.15">
      <c r="A67" s="10"/>
      <c r="B67" s="13"/>
      <c r="C67" s="13"/>
    </row>
    <row r="68" spans="1:3" ht="13" x14ac:dyDescent="0.15">
      <c r="A68" s="10"/>
      <c r="B68" s="13"/>
      <c r="C68" s="13"/>
    </row>
    <row r="69" spans="1:3" ht="13" x14ac:dyDescent="0.15">
      <c r="A69" s="10"/>
      <c r="B69" s="13"/>
      <c r="C69" s="13"/>
    </row>
    <row r="70" spans="1:3" ht="13" x14ac:dyDescent="0.15">
      <c r="A70" s="10"/>
      <c r="B70" s="13"/>
      <c r="C70" s="13"/>
    </row>
    <row r="71" spans="1:3" ht="13" x14ac:dyDescent="0.15">
      <c r="A71" s="10"/>
      <c r="B71" s="13"/>
      <c r="C71" s="13"/>
    </row>
    <row r="72" spans="1:3" ht="13" x14ac:dyDescent="0.15">
      <c r="A72" s="10"/>
      <c r="B72" s="13"/>
      <c r="C72" s="13"/>
    </row>
    <row r="73" spans="1:3" ht="13" x14ac:dyDescent="0.15">
      <c r="A73" s="10"/>
      <c r="B73" s="13"/>
      <c r="C73" s="13"/>
    </row>
    <row r="74" spans="1:3" ht="13" x14ac:dyDescent="0.15">
      <c r="A74" s="10"/>
      <c r="B74" s="13"/>
      <c r="C74" s="13"/>
    </row>
    <row r="75" spans="1:3" ht="13" x14ac:dyDescent="0.15">
      <c r="A75" s="10"/>
      <c r="B75" s="13"/>
      <c r="C75" s="13"/>
    </row>
    <row r="76" spans="1:3" ht="13" x14ac:dyDescent="0.15">
      <c r="A76" s="10"/>
      <c r="B76" s="13"/>
      <c r="C76" s="13"/>
    </row>
    <row r="77" spans="1:3" ht="13" x14ac:dyDescent="0.15">
      <c r="A77" s="10"/>
      <c r="B77" s="13"/>
      <c r="C77" s="13"/>
    </row>
    <row r="78" spans="1:3" ht="13" x14ac:dyDescent="0.15">
      <c r="A78" s="10"/>
      <c r="B78" s="13"/>
      <c r="C78" s="13"/>
    </row>
    <row r="79" spans="1:3" ht="13" x14ac:dyDescent="0.15">
      <c r="A79" s="10"/>
      <c r="B79" s="13"/>
      <c r="C79" s="13"/>
    </row>
    <row r="80" spans="1:3" ht="13" x14ac:dyDescent="0.15">
      <c r="A80" s="10"/>
      <c r="B80" s="13"/>
      <c r="C80" s="13"/>
    </row>
    <row r="81" spans="1:3" ht="13" x14ac:dyDescent="0.15">
      <c r="A81" s="10"/>
      <c r="B81" s="13"/>
      <c r="C81" s="13"/>
    </row>
    <row r="82" spans="1:3" ht="13" x14ac:dyDescent="0.15">
      <c r="A82" s="10"/>
      <c r="B82" s="13"/>
      <c r="C82" s="13"/>
    </row>
    <row r="83" spans="1:3" ht="13" x14ac:dyDescent="0.15">
      <c r="A83" s="10"/>
      <c r="B83" s="13"/>
      <c r="C83" s="13"/>
    </row>
    <row r="84" spans="1:3" ht="13" x14ac:dyDescent="0.15">
      <c r="A84" s="10"/>
      <c r="B84" s="13"/>
      <c r="C84" s="13"/>
    </row>
    <row r="85" spans="1:3" ht="13" x14ac:dyDescent="0.15">
      <c r="A85" s="10"/>
      <c r="B85" s="13"/>
      <c r="C85" s="13"/>
    </row>
    <row r="86" spans="1:3" ht="13" x14ac:dyDescent="0.15">
      <c r="A86" s="10"/>
      <c r="B86" s="13"/>
      <c r="C86" s="13"/>
    </row>
    <row r="87" spans="1:3" ht="13" x14ac:dyDescent="0.15">
      <c r="A87" s="10"/>
      <c r="B87" s="13"/>
      <c r="C87" s="13"/>
    </row>
    <row r="88" spans="1:3" ht="13" x14ac:dyDescent="0.15">
      <c r="A88" s="10"/>
      <c r="B88" s="13"/>
      <c r="C88" s="13"/>
    </row>
    <row r="89" spans="1:3" ht="13" x14ac:dyDescent="0.15">
      <c r="A89" s="10"/>
      <c r="B89" s="13"/>
      <c r="C89" s="13"/>
    </row>
    <row r="90" spans="1:3" ht="13" x14ac:dyDescent="0.15">
      <c r="A90" s="10"/>
      <c r="B90" s="13"/>
      <c r="C90" s="13"/>
    </row>
    <row r="91" spans="1:3" ht="13" x14ac:dyDescent="0.15">
      <c r="A91" s="10"/>
      <c r="B91" s="13"/>
      <c r="C91" s="13"/>
    </row>
    <row r="92" spans="1:3" ht="13" x14ac:dyDescent="0.15">
      <c r="A92" s="10"/>
      <c r="B92" s="13"/>
      <c r="C92" s="13"/>
    </row>
    <row r="93" spans="1:3" ht="13" x14ac:dyDescent="0.15">
      <c r="A93" s="10"/>
      <c r="B93" s="13"/>
      <c r="C93" s="13"/>
    </row>
    <row r="94" spans="1:3" ht="13" x14ac:dyDescent="0.15">
      <c r="A94" s="10"/>
      <c r="B94" s="13"/>
      <c r="C94" s="13"/>
    </row>
    <row r="95" spans="1:3" ht="13" x14ac:dyDescent="0.15">
      <c r="A95" s="10"/>
      <c r="B95" s="13"/>
      <c r="C95" s="13"/>
    </row>
    <row r="96" spans="1:3" ht="13" x14ac:dyDescent="0.15">
      <c r="A96" s="10"/>
      <c r="B96" s="13"/>
      <c r="C96" s="13"/>
    </row>
    <row r="97" spans="1:3" ht="13" x14ac:dyDescent="0.15">
      <c r="A97" s="10"/>
      <c r="B97" s="13"/>
      <c r="C97" s="13"/>
    </row>
    <row r="98" spans="1:3" ht="13" x14ac:dyDescent="0.15">
      <c r="A98" s="10"/>
      <c r="B98" s="13"/>
      <c r="C98" s="13"/>
    </row>
    <row r="99" spans="1:3" ht="13" x14ac:dyDescent="0.15">
      <c r="A99" s="10"/>
      <c r="B99" s="13"/>
      <c r="C99" s="13"/>
    </row>
    <row r="100" spans="1:3" ht="13" x14ac:dyDescent="0.15">
      <c r="A100" s="10"/>
      <c r="B100" s="13"/>
      <c r="C100" s="13"/>
    </row>
    <row r="101" spans="1:3" ht="13" x14ac:dyDescent="0.15">
      <c r="A101" s="10"/>
      <c r="B101" s="13"/>
      <c r="C101" s="13"/>
    </row>
    <row r="102" spans="1:3" ht="13" x14ac:dyDescent="0.15">
      <c r="A102" s="10"/>
      <c r="B102" s="13"/>
      <c r="C102" s="13"/>
    </row>
    <row r="103" spans="1:3" ht="13" x14ac:dyDescent="0.15">
      <c r="A103" s="10"/>
      <c r="B103" s="13"/>
      <c r="C103" s="13"/>
    </row>
    <row r="104" spans="1:3" ht="13" x14ac:dyDescent="0.15">
      <c r="A104" s="10"/>
      <c r="B104" s="13"/>
      <c r="C104" s="13"/>
    </row>
    <row r="105" spans="1:3" ht="13" x14ac:dyDescent="0.15">
      <c r="A105" s="10"/>
      <c r="B105" s="13"/>
      <c r="C105" s="13"/>
    </row>
    <row r="106" spans="1:3" ht="13" x14ac:dyDescent="0.15">
      <c r="A106" s="10"/>
      <c r="B106" s="13"/>
      <c r="C106" s="13"/>
    </row>
    <row r="107" spans="1:3" ht="13" x14ac:dyDescent="0.15">
      <c r="A107" s="10"/>
      <c r="B107" s="13"/>
      <c r="C107" s="13"/>
    </row>
    <row r="108" spans="1:3" ht="13" x14ac:dyDescent="0.15">
      <c r="A108" s="10"/>
      <c r="B108" s="13"/>
      <c r="C108" s="13"/>
    </row>
    <row r="109" spans="1:3" ht="13" x14ac:dyDescent="0.15">
      <c r="A109" s="10"/>
      <c r="B109" s="13"/>
      <c r="C109" s="13"/>
    </row>
    <row r="110" spans="1:3" ht="13" x14ac:dyDescent="0.15">
      <c r="A110" s="10"/>
      <c r="B110" s="13"/>
      <c r="C110" s="13"/>
    </row>
    <row r="111" spans="1:3" ht="13" x14ac:dyDescent="0.15">
      <c r="A111" s="10"/>
      <c r="B111" s="13"/>
      <c r="C111" s="13"/>
    </row>
    <row r="112" spans="1:3" ht="13" x14ac:dyDescent="0.15">
      <c r="A112" s="10"/>
      <c r="B112" s="13"/>
      <c r="C112" s="13"/>
    </row>
    <row r="113" spans="1:3" ht="13" x14ac:dyDescent="0.15">
      <c r="A113" s="10"/>
      <c r="B113" s="13"/>
      <c r="C113" s="13"/>
    </row>
    <row r="114" spans="1:3" ht="13" x14ac:dyDescent="0.15">
      <c r="A114" s="10"/>
      <c r="B114" s="13"/>
      <c r="C114" s="13"/>
    </row>
    <row r="115" spans="1:3" ht="13" x14ac:dyDescent="0.15">
      <c r="A115" s="10"/>
      <c r="B115" s="13"/>
      <c r="C115" s="13"/>
    </row>
    <row r="116" spans="1:3" ht="13" x14ac:dyDescent="0.15">
      <c r="A116" s="10"/>
      <c r="B116" s="13"/>
      <c r="C116" s="13"/>
    </row>
    <row r="117" spans="1:3" ht="13" x14ac:dyDescent="0.15">
      <c r="A117" s="10"/>
      <c r="B117" s="13"/>
      <c r="C117" s="13"/>
    </row>
    <row r="118" spans="1:3" ht="13" x14ac:dyDescent="0.15">
      <c r="A118" s="10"/>
      <c r="B118" s="13"/>
      <c r="C118" s="13"/>
    </row>
    <row r="119" spans="1:3" ht="13" x14ac:dyDescent="0.15">
      <c r="A119" s="10"/>
      <c r="B119" s="13"/>
      <c r="C119" s="13"/>
    </row>
    <row r="120" spans="1:3" ht="13" x14ac:dyDescent="0.15">
      <c r="A120" s="10"/>
      <c r="B120" s="13"/>
      <c r="C120" s="13"/>
    </row>
    <row r="121" spans="1:3" ht="13" x14ac:dyDescent="0.15">
      <c r="A121" s="10"/>
      <c r="B121" s="13"/>
      <c r="C121" s="13"/>
    </row>
    <row r="122" spans="1:3" ht="13" x14ac:dyDescent="0.15">
      <c r="A122" s="10"/>
      <c r="B122" s="13"/>
      <c r="C122" s="13"/>
    </row>
    <row r="123" spans="1:3" ht="13" x14ac:dyDescent="0.15">
      <c r="A123" s="10"/>
      <c r="B123" s="13"/>
      <c r="C123" s="13"/>
    </row>
    <row r="124" spans="1:3" ht="13" x14ac:dyDescent="0.15">
      <c r="A124" s="10"/>
      <c r="B124" s="13"/>
      <c r="C124" s="13"/>
    </row>
    <row r="125" spans="1:3" ht="13" x14ac:dyDescent="0.15">
      <c r="A125" s="10"/>
      <c r="B125" s="13"/>
      <c r="C125" s="13"/>
    </row>
    <row r="126" spans="1:3" ht="13" x14ac:dyDescent="0.15">
      <c r="A126" s="10"/>
      <c r="B126" s="13"/>
      <c r="C126" s="13"/>
    </row>
    <row r="127" spans="1:3" ht="13" x14ac:dyDescent="0.15">
      <c r="A127" s="10"/>
      <c r="B127" s="13"/>
      <c r="C127" s="13"/>
    </row>
    <row r="128" spans="1:3" ht="13" x14ac:dyDescent="0.15">
      <c r="A128" s="10"/>
      <c r="B128" s="13"/>
      <c r="C128" s="13"/>
    </row>
    <row r="129" spans="1:3" ht="13" x14ac:dyDescent="0.15">
      <c r="A129" s="10"/>
      <c r="B129" s="13"/>
      <c r="C129" s="13"/>
    </row>
    <row r="130" spans="1:3" ht="13" x14ac:dyDescent="0.15">
      <c r="A130" s="10"/>
      <c r="B130" s="13"/>
      <c r="C130" s="13"/>
    </row>
    <row r="131" spans="1:3" ht="13" x14ac:dyDescent="0.15">
      <c r="A131" s="10"/>
      <c r="B131" s="13"/>
      <c r="C131" s="13"/>
    </row>
    <row r="132" spans="1:3" ht="13" x14ac:dyDescent="0.15">
      <c r="A132" s="10"/>
      <c r="B132" s="13"/>
      <c r="C132" s="13"/>
    </row>
    <row r="133" spans="1:3" ht="13" x14ac:dyDescent="0.15">
      <c r="A133" s="10"/>
      <c r="B133" s="13"/>
      <c r="C133" s="13"/>
    </row>
    <row r="134" spans="1:3" ht="13" x14ac:dyDescent="0.15">
      <c r="A134" s="10"/>
      <c r="B134" s="13"/>
      <c r="C134" s="13"/>
    </row>
    <row r="135" spans="1:3" ht="13" x14ac:dyDescent="0.15">
      <c r="A135" s="10"/>
      <c r="B135" s="13"/>
      <c r="C135" s="13"/>
    </row>
    <row r="136" spans="1:3" ht="13" x14ac:dyDescent="0.15">
      <c r="A136" s="10"/>
      <c r="B136" s="13"/>
      <c r="C136" s="13"/>
    </row>
    <row r="137" spans="1:3" ht="13" x14ac:dyDescent="0.15">
      <c r="A137" s="10"/>
      <c r="B137" s="13"/>
      <c r="C137" s="13"/>
    </row>
    <row r="138" spans="1:3" ht="13" x14ac:dyDescent="0.15">
      <c r="A138" s="10"/>
      <c r="B138" s="13"/>
      <c r="C138" s="13"/>
    </row>
    <row r="139" spans="1:3" ht="13" x14ac:dyDescent="0.15">
      <c r="A139" s="10"/>
      <c r="B139" s="13"/>
      <c r="C139" s="13"/>
    </row>
    <row r="140" spans="1:3" ht="13" x14ac:dyDescent="0.15">
      <c r="A140" s="10"/>
      <c r="B140" s="13"/>
      <c r="C140" s="13"/>
    </row>
    <row r="141" spans="1:3" ht="13" x14ac:dyDescent="0.15">
      <c r="A141" s="10"/>
      <c r="B141" s="13"/>
      <c r="C141" s="13"/>
    </row>
    <row r="142" spans="1:3" ht="13" x14ac:dyDescent="0.15">
      <c r="A142" s="10"/>
      <c r="B142" s="13"/>
      <c r="C142" s="13"/>
    </row>
    <row r="143" spans="1:3" ht="13" x14ac:dyDescent="0.15">
      <c r="A143" s="10"/>
      <c r="B143" s="13"/>
      <c r="C143" s="13"/>
    </row>
    <row r="144" spans="1:3" ht="13" x14ac:dyDescent="0.15">
      <c r="A144" s="10"/>
      <c r="B144" s="13"/>
      <c r="C144" s="13"/>
    </row>
    <row r="145" spans="1:3" ht="13" x14ac:dyDescent="0.15">
      <c r="A145" s="10"/>
      <c r="B145" s="13"/>
      <c r="C145" s="13"/>
    </row>
    <row r="146" spans="1:3" ht="13" x14ac:dyDescent="0.15">
      <c r="A146" s="10"/>
      <c r="B146" s="13"/>
      <c r="C146" s="13"/>
    </row>
    <row r="147" spans="1:3" ht="13" x14ac:dyDescent="0.15">
      <c r="A147" s="10"/>
      <c r="B147" s="13"/>
      <c r="C147" s="13"/>
    </row>
    <row r="148" spans="1:3" ht="13" x14ac:dyDescent="0.15">
      <c r="A148" s="10"/>
      <c r="B148" s="13"/>
      <c r="C148" s="13"/>
    </row>
    <row r="149" spans="1:3" ht="13" x14ac:dyDescent="0.15">
      <c r="A149" s="10"/>
      <c r="B149" s="13"/>
      <c r="C149" s="13"/>
    </row>
    <row r="150" spans="1:3" ht="13" x14ac:dyDescent="0.15">
      <c r="A150" s="10"/>
      <c r="B150" s="13"/>
      <c r="C150" s="13"/>
    </row>
    <row r="151" spans="1:3" ht="13" x14ac:dyDescent="0.15">
      <c r="A151" s="10"/>
      <c r="B151" s="13"/>
      <c r="C151" s="13"/>
    </row>
    <row r="152" spans="1:3" ht="13" x14ac:dyDescent="0.15">
      <c r="A152" s="10"/>
      <c r="B152" s="13"/>
      <c r="C152" s="13"/>
    </row>
    <row r="153" spans="1:3" ht="13" x14ac:dyDescent="0.15">
      <c r="A153" s="10"/>
      <c r="B153" s="13"/>
      <c r="C153" s="13"/>
    </row>
    <row r="154" spans="1:3" ht="13" x14ac:dyDescent="0.15">
      <c r="A154" s="10"/>
      <c r="B154" s="13"/>
      <c r="C154" s="13"/>
    </row>
    <row r="155" spans="1:3" ht="13" x14ac:dyDescent="0.15">
      <c r="A155" s="10"/>
      <c r="B155" s="13"/>
      <c r="C155" s="13"/>
    </row>
    <row r="156" spans="1:3" ht="13" x14ac:dyDescent="0.15">
      <c r="A156" s="10"/>
      <c r="B156" s="13"/>
      <c r="C156" s="13"/>
    </row>
    <row r="157" spans="1:3" ht="13" x14ac:dyDescent="0.15">
      <c r="A157" s="10"/>
      <c r="B157" s="13"/>
      <c r="C157" s="13"/>
    </row>
    <row r="158" spans="1:3" ht="13" x14ac:dyDescent="0.15">
      <c r="A158" s="10"/>
      <c r="B158" s="13"/>
      <c r="C158" s="13"/>
    </row>
    <row r="159" spans="1:3" ht="13" x14ac:dyDescent="0.15">
      <c r="A159" s="10"/>
      <c r="B159" s="13"/>
      <c r="C159" s="13"/>
    </row>
    <row r="160" spans="1:3" ht="13" x14ac:dyDescent="0.15">
      <c r="A160" s="10"/>
      <c r="B160" s="13"/>
      <c r="C160" s="13"/>
    </row>
    <row r="161" spans="1:3" ht="13" x14ac:dyDescent="0.15">
      <c r="A161" s="10"/>
      <c r="B161" s="13"/>
      <c r="C161" s="13"/>
    </row>
    <row r="162" spans="1:3" ht="13" x14ac:dyDescent="0.15">
      <c r="A162" s="10"/>
      <c r="B162" s="13"/>
      <c r="C162" s="13"/>
    </row>
    <row r="163" spans="1:3" ht="13" x14ac:dyDescent="0.15">
      <c r="A163" s="10"/>
      <c r="B163" s="13"/>
      <c r="C163" s="13"/>
    </row>
    <row r="164" spans="1:3" ht="13" x14ac:dyDescent="0.15">
      <c r="A164" s="10"/>
      <c r="B164" s="13"/>
      <c r="C164" s="13"/>
    </row>
    <row r="165" spans="1:3" ht="13" x14ac:dyDescent="0.15">
      <c r="A165" s="10"/>
      <c r="B165" s="13"/>
      <c r="C165" s="13"/>
    </row>
    <row r="166" spans="1:3" ht="13" x14ac:dyDescent="0.15">
      <c r="A166" s="10"/>
      <c r="B166" s="13"/>
      <c r="C166" s="13"/>
    </row>
    <row r="167" spans="1:3" ht="13" x14ac:dyDescent="0.15">
      <c r="A167" s="10"/>
      <c r="B167" s="13"/>
      <c r="C167" s="13"/>
    </row>
    <row r="168" spans="1:3" ht="13" x14ac:dyDescent="0.15">
      <c r="A168" s="10"/>
      <c r="B168" s="13"/>
      <c r="C168" s="13"/>
    </row>
    <row r="169" spans="1:3" ht="13" x14ac:dyDescent="0.15">
      <c r="A169" s="10"/>
      <c r="B169" s="13"/>
      <c r="C169" s="13"/>
    </row>
    <row r="170" spans="1:3" ht="13" x14ac:dyDescent="0.15">
      <c r="A170" s="10"/>
      <c r="B170" s="13"/>
      <c r="C170" s="13"/>
    </row>
    <row r="171" spans="1:3" ht="13" x14ac:dyDescent="0.15">
      <c r="A171" s="10"/>
      <c r="B171" s="13"/>
      <c r="C171" s="13"/>
    </row>
    <row r="172" spans="1:3" ht="13" x14ac:dyDescent="0.15">
      <c r="A172" s="10"/>
      <c r="B172" s="13"/>
      <c r="C172" s="13"/>
    </row>
    <row r="173" spans="1:3" ht="13" x14ac:dyDescent="0.15">
      <c r="A173" s="10"/>
      <c r="B173" s="13"/>
      <c r="C173" s="13"/>
    </row>
    <row r="174" spans="1:3" ht="13" x14ac:dyDescent="0.15">
      <c r="A174" s="10"/>
      <c r="B174" s="13"/>
      <c r="C174" s="13"/>
    </row>
    <row r="175" spans="1:3" ht="13" x14ac:dyDescent="0.15">
      <c r="A175" s="10"/>
      <c r="B175" s="13"/>
      <c r="C175" s="13"/>
    </row>
    <row r="176" spans="1:3" ht="13" x14ac:dyDescent="0.15">
      <c r="A176" s="10"/>
      <c r="B176" s="13"/>
      <c r="C176" s="13"/>
    </row>
    <row r="177" spans="1:3" ht="13" x14ac:dyDescent="0.15">
      <c r="A177" s="10"/>
      <c r="B177" s="13"/>
      <c r="C177" s="13"/>
    </row>
    <row r="178" spans="1:3" ht="13" x14ac:dyDescent="0.15">
      <c r="A178" s="10"/>
      <c r="B178" s="13"/>
      <c r="C178" s="13"/>
    </row>
    <row r="179" spans="1:3" ht="13" x14ac:dyDescent="0.15">
      <c r="A179" s="10"/>
      <c r="B179" s="13"/>
      <c r="C179" s="13"/>
    </row>
    <row r="180" spans="1:3" ht="13" x14ac:dyDescent="0.15">
      <c r="A180" s="10"/>
      <c r="B180" s="13"/>
      <c r="C180" s="13"/>
    </row>
    <row r="181" spans="1:3" ht="13" x14ac:dyDescent="0.15">
      <c r="A181" s="10"/>
      <c r="B181" s="13"/>
      <c r="C181" s="13"/>
    </row>
    <row r="182" spans="1:3" ht="13" x14ac:dyDescent="0.15">
      <c r="A182" s="10"/>
      <c r="B182" s="13"/>
      <c r="C182" s="13"/>
    </row>
    <row r="183" spans="1:3" ht="13" x14ac:dyDescent="0.15">
      <c r="A183" s="10"/>
      <c r="B183" s="13"/>
      <c r="C183" s="13"/>
    </row>
    <row r="184" spans="1:3" ht="13" x14ac:dyDescent="0.15">
      <c r="A184" s="10"/>
      <c r="B184" s="13"/>
      <c r="C184" s="13"/>
    </row>
    <row r="185" spans="1:3" ht="13" x14ac:dyDescent="0.15">
      <c r="A185" s="10"/>
      <c r="B185" s="13"/>
      <c r="C185" s="13"/>
    </row>
    <row r="186" spans="1:3" ht="13" x14ac:dyDescent="0.15">
      <c r="A186" s="10"/>
      <c r="B186" s="13"/>
      <c r="C186" s="13"/>
    </row>
    <row r="187" spans="1:3" ht="13" x14ac:dyDescent="0.15">
      <c r="A187" s="10"/>
      <c r="B187" s="13"/>
      <c r="C187" s="13"/>
    </row>
    <row r="188" spans="1:3" ht="13" x14ac:dyDescent="0.15">
      <c r="A188" s="10"/>
      <c r="B188" s="13"/>
      <c r="C188" s="13"/>
    </row>
    <row r="189" spans="1:3" ht="13" x14ac:dyDescent="0.15">
      <c r="A189" s="10"/>
      <c r="B189" s="13"/>
      <c r="C189" s="13"/>
    </row>
    <row r="190" spans="1:3" ht="13" x14ac:dyDescent="0.15">
      <c r="A190" s="10"/>
      <c r="B190" s="13"/>
      <c r="C190" s="13"/>
    </row>
    <row r="191" spans="1:3" ht="13" x14ac:dyDescent="0.15">
      <c r="A191" s="10"/>
      <c r="B191" s="13"/>
      <c r="C191" s="13"/>
    </row>
    <row r="192" spans="1:3" ht="13" x14ac:dyDescent="0.15">
      <c r="A192" s="10"/>
      <c r="B192" s="13"/>
      <c r="C192" s="13"/>
    </row>
    <row r="193" spans="1:3" ht="13" x14ac:dyDescent="0.15">
      <c r="A193" s="10"/>
      <c r="B193" s="13"/>
      <c r="C193" s="13"/>
    </row>
    <row r="194" spans="1:3" ht="13" x14ac:dyDescent="0.15">
      <c r="A194" s="10"/>
      <c r="B194" s="13"/>
      <c r="C194" s="13"/>
    </row>
    <row r="195" spans="1:3" ht="13" x14ac:dyDescent="0.15">
      <c r="A195" s="10"/>
      <c r="B195" s="13"/>
      <c r="C195" s="13"/>
    </row>
    <row r="196" spans="1:3" ht="13" x14ac:dyDescent="0.15">
      <c r="A196" s="10"/>
      <c r="B196" s="13"/>
      <c r="C196" s="13"/>
    </row>
    <row r="197" spans="1:3" ht="13" x14ac:dyDescent="0.15">
      <c r="A197" s="10"/>
      <c r="B197" s="13"/>
      <c r="C197" s="13"/>
    </row>
    <row r="198" spans="1:3" ht="13" x14ac:dyDescent="0.15">
      <c r="A198" s="10"/>
      <c r="B198" s="13"/>
      <c r="C198" s="13"/>
    </row>
    <row r="199" spans="1:3" ht="13" x14ac:dyDescent="0.15">
      <c r="A199" s="10"/>
      <c r="B199" s="13"/>
      <c r="C199" s="13"/>
    </row>
    <row r="200" spans="1:3" ht="13" x14ac:dyDescent="0.15">
      <c r="A200" s="10"/>
      <c r="B200" s="13"/>
      <c r="C200" s="13"/>
    </row>
    <row r="201" spans="1:3" ht="13" x14ac:dyDescent="0.15">
      <c r="A201" s="10"/>
      <c r="B201" s="13"/>
      <c r="C201" s="13"/>
    </row>
    <row r="202" spans="1:3" ht="13" x14ac:dyDescent="0.15">
      <c r="A202" s="10"/>
      <c r="B202" s="13"/>
      <c r="C202" s="13"/>
    </row>
    <row r="203" spans="1:3" ht="13" x14ac:dyDescent="0.15">
      <c r="A203" s="10"/>
      <c r="B203" s="13"/>
      <c r="C203" s="13"/>
    </row>
    <row r="204" spans="1:3" ht="13" x14ac:dyDescent="0.15">
      <c r="A204" s="10"/>
      <c r="B204" s="13"/>
      <c r="C204" s="13"/>
    </row>
    <row r="205" spans="1:3" ht="13" x14ac:dyDescent="0.15">
      <c r="A205" s="10"/>
      <c r="B205" s="13"/>
      <c r="C205" s="13"/>
    </row>
    <row r="206" spans="1:3" ht="13" x14ac:dyDescent="0.15">
      <c r="A206" s="10"/>
      <c r="B206" s="13"/>
      <c r="C206" s="13"/>
    </row>
    <row r="207" spans="1:3" ht="13" x14ac:dyDescent="0.15">
      <c r="A207" s="10"/>
      <c r="B207" s="13"/>
      <c r="C207" s="13"/>
    </row>
    <row r="208" spans="1:3" ht="13" x14ac:dyDescent="0.15">
      <c r="A208" s="10"/>
      <c r="B208" s="13"/>
      <c r="C208" s="13"/>
    </row>
    <row r="209" spans="1:3" ht="13" x14ac:dyDescent="0.15">
      <c r="A209" s="10"/>
      <c r="B209" s="13"/>
      <c r="C209" s="13"/>
    </row>
    <row r="210" spans="1:3" ht="13" x14ac:dyDescent="0.15">
      <c r="A210" s="10"/>
      <c r="B210" s="13"/>
      <c r="C210" s="13"/>
    </row>
    <row r="211" spans="1:3" ht="13" x14ac:dyDescent="0.15">
      <c r="A211" s="10"/>
      <c r="B211" s="13"/>
      <c r="C211" s="13"/>
    </row>
    <row r="212" spans="1:3" ht="13" x14ac:dyDescent="0.15">
      <c r="A212" s="10"/>
      <c r="B212" s="13"/>
      <c r="C212" s="13"/>
    </row>
    <row r="213" spans="1:3" ht="13" x14ac:dyDescent="0.15">
      <c r="A213" s="10"/>
      <c r="B213" s="13"/>
      <c r="C213" s="13"/>
    </row>
    <row r="214" spans="1:3" ht="13" x14ac:dyDescent="0.15">
      <c r="A214" s="10"/>
      <c r="B214" s="13"/>
      <c r="C214" s="13"/>
    </row>
    <row r="215" spans="1:3" ht="13" x14ac:dyDescent="0.15">
      <c r="A215" s="10"/>
      <c r="B215" s="13"/>
      <c r="C215" s="13"/>
    </row>
    <row r="216" spans="1:3" ht="13" x14ac:dyDescent="0.15">
      <c r="A216" s="10"/>
      <c r="B216" s="13"/>
      <c r="C216" s="13"/>
    </row>
    <row r="217" spans="1:3" ht="13" x14ac:dyDescent="0.15">
      <c r="A217" s="10"/>
      <c r="B217" s="13"/>
      <c r="C217" s="13"/>
    </row>
    <row r="218" spans="1:3" ht="13" x14ac:dyDescent="0.15">
      <c r="A218" s="10"/>
      <c r="B218" s="13"/>
      <c r="C218" s="13"/>
    </row>
    <row r="219" spans="1:3" ht="13" x14ac:dyDescent="0.15">
      <c r="A219" s="10"/>
      <c r="B219" s="13"/>
      <c r="C219" s="13"/>
    </row>
    <row r="220" spans="1:3" ht="13" x14ac:dyDescent="0.15">
      <c r="A220" s="10"/>
      <c r="B220" s="13"/>
      <c r="C220" s="13"/>
    </row>
    <row r="221" spans="1:3" ht="13" x14ac:dyDescent="0.15">
      <c r="A221" s="10"/>
      <c r="B221" s="13"/>
      <c r="C221" s="13"/>
    </row>
    <row r="222" spans="1:3" ht="13" x14ac:dyDescent="0.15">
      <c r="A222" s="10"/>
      <c r="B222" s="13"/>
      <c r="C222" s="13"/>
    </row>
    <row r="223" spans="1:3" ht="13" x14ac:dyDescent="0.15">
      <c r="A223" s="10"/>
      <c r="B223" s="13"/>
      <c r="C223" s="13"/>
    </row>
    <row r="224" spans="1:3" ht="13" x14ac:dyDescent="0.15">
      <c r="A224" s="10"/>
      <c r="B224" s="13"/>
      <c r="C224" s="13"/>
    </row>
    <row r="225" spans="1:3" ht="13" x14ac:dyDescent="0.15">
      <c r="A225" s="10"/>
      <c r="B225" s="13"/>
      <c r="C225" s="13"/>
    </row>
    <row r="226" spans="1:3" ht="13" x14ac:dyDescent="0.15">
      <c r="A226" s="10"/>
      <c r="B226" s="13"/>
      <c r="C226" s="13"/>
    </row>
    <row r="227" spans="1:3" ht="13" x14ac:dyDescent="0.15">
      <c r="A227" s="10"/>
      <c r="B227" s="13"/>
      <c r="C227" s="13"/>
    </row>
    <row r="228" spans="1:3" ht="13" x14ac:dyDescent="0.15">
      <c r="A228" s="10"/>
      <c r="B228" s="13"/>
      <c r="C228" s="13"/>
    </row>
    <row r="229" spans="1:3" ht="13" x14ac:dyDescent="0.15">
      <c r="A229" s="10"/>
      <c r="B229" s="13"/>
      <c r="C229" s="13"/>
    </row>
    <row r="230" spans="1:3" ht="13" x14ac:dyDescent="0.15">
      <c r="A230" s="10"/>
      <c r="B230" s="13"/>
      <c r="C230" s="13"/>
    </row>
    <row r="231" spans="1:3" ht="13" x14ac:dyDescent="0.15">
      <c r="A231" s="10"/>
      <c r="B231" s="13"/>
      <c r="C231" s="13"/>
    </row>
    <row r="232" spans="1:3" ht="13" x14ac:dyDescent="0.15">
      <c r="A232" s="10"/>
      <c r="B232" s="13"/>
      <c r="C232" s="13"/>
    </row>
    <row r="233" spans="1:3" ht="13" x14ac:dyDescent="0.15">
      <c r="A233" s="10"/>
      <c r="B233" s="13"/>
      <c r="C233" s="13"/>
    </row>
    <row r="234" spans="1:3" ht="13" x14ac:dyDescent="0.15">
      <c r="A234" s="10"/>
      <c r="B234" s="13"/>
      <c r="C234" s="13"/>
    </row>
    <row r="235" spans="1:3" ht="13" x14ac:dyDescent="0.15">
      <c r="A235" s="10"/>
      <c r="B235" s="13"/>
      <c r="C235" s="13"/>
    </row>
    <row r="236" spans="1:3" ht="13" x14ac:dyDescent="0.15">
      <c r="A236" s="10"/>
      <c r="B236" s="13"/>
      <c r="C236" s="13"/>
    </row>
    <row r="237" spans="1:3" ht="13" x14ac:dyDescent="0.15">
      <c r="A237" s="10"/>
      <c r="B237" s="13"/>
      <c r="C237" s="13"/>
    </row>
    <row r="238" spans="1:3" ht="13" x14ac:dyDescent="0.15">
      <c r="A238" s="10"/>
      <c r="B238" s="13"/>
      <c r="C238" s="13"/>
    </row>
    <row r="239" spans="1:3" ht="13" x14ac:dyDescent="0.15">
      <c r="A239" s="10"/>
      <c r="B239" s="13"/>
      <c r="C239" s="13"/>
    </row>
    <row r="240" spans="1:3" ht="13" x14ac:dyDescent="0.15">
      <c r="A240" s="10"/>
      <c r="B240" s="13"/>
      <c r="C240" s="13"/>
    </row>
    <row r="241" spans="1:3" ht="13" x14ac:dyDescent="0.15">
      <c r="A241" s="10"/>
      <c r="B241" s="13"/>
      <c r="C241" s="13"/>
    </row>
    <row r="242" spans="1:3" ht="13" x14ac:dyDescent="0.15">
      <c r="A242" s="10"/>
      <c r="B242" s="13"/>
      <c r="C242" s="13"/>
    </row>
    <row r="243" spans="1:3" ht="13" x14ac:dyDescent="0.15">
      <c r="A243" s="10"/>
      <c r="B243" s="13"/>
      <c r="C243" s="13"/>
    </row>
    <row r="244" spans="1:3" ht="13" x14ac:dyDescent="0.15">
      <c r="A244" s="10"/>
      <c r="B244" s="13"/>
      <c r="C244" s="13"/>
    </row>
    <row r="245" spans="1:3" ht="13" x14ac:dyDescent="0.15">
      <c r="A245" s="10"/>
      <c r="B245" s="13"/>
      <c r="C245" s="13"/>
    </row>
    <row r="246" spans="1:3" ht="13" x14ac:dyDescent="0.15">
      <c r="A246" s="10"/>
      <c r="B246" s="13"/>
      <c r="C246" s="13"/>
    </row>
    <row r="247" spans="1:3" ht="13" x14ac:dyDescent="0.15">
      <c r="A247" s="10"/>
      <c r="B247" s="13"/>
      <c r="C247" s="13"/>
    </row>
    <row r="248" spans="1:3" ht="13" x14ac:dyDescent="0.15">
      <c r="A248" s="10"/>
      <c r="B248" s="13"/>
      <c r="C248" s="13"/>
    </row>
    <row r="249" spans="1:3" ht="13" x14ac:dyDescent="0.15">
      <c r="A249" s="10"/>
      <c r="B249" s="13"/>
      <c r="C249" s="13"/>
    </row>
    <row r="250" spans="1:3" ht="13" x14ac:dyDescent="0.15">
      <c r="A250" s="10"/>
      <c r="B250" s="13"/>
      <c r="C250" s="13"/>
    </row>
    <row r="251" spans="1:3" ht="13" x14ac:dyDescent="0.15">
      <c r="A251" s="10"/>
      <c r="B251" s="13"/>
      <c r="C251" s="13"/>
    </row>
    <row r="252" spans="1:3" ht="13" x14ac:dyDescent="0.15">
      <c r="A252" s="10"/>
      <c r="B252" s="13"/>
      <c r="C252" s="13"/>
    </row>
    <row r="253" spans="1:3" ht="13" x14ac:dyDescent="0.15">
      <c r="A253" s="10"/>
      <c r="B253" s="13"/>
      <c r="C253" s="13"/>
    </row>
    <row r="254" spans="1:3" ht="13" x14ac:dyDescent="0.15">
      <c r="A254" s="10"/>
      <c r="B254" s="13"/>
      <c r="C254" s="13"/>
    </row>
    <row r="255" spans="1:3" ht="13" x14ac:dyDescent="0.15">
      <c r="A255" s="10"/>
      <c r="B255" s="13"/>
      <c r="C255" s="13"/>
    </row>
    <row r="256" spans="1:3" ht="13" x14ac:dyDescent="0.15">
      <c r="A256" s="10"/>
      <c r="B256" s="13"/>
      <c r="C256" s="13"/>
    </row>
    <row r="257" spans="1:3" ht="13" x14ac:dyDescent="0.15">
      <c r="A257" s="10"/>
      <c r="B257" s="13"/>
      <c r="C257" s="13"/>
    </row>
    <row r="258" spans="1:3" ht="13" x14ac:dyDescent="0.15">
      <c r="A258" s="10"/>
      <c r="B258" s="13"/>
      <c r="C258" s="13"/>
    </row>
    <row r="259" spans="1:3" ht="13" x14ac:dyDescent="0.15">
      <c r="A259" s="10"/>
      <c r="B259" s="13"/>
      <c r="C259" s="13"/>
    </row>
    <row r="260" spans="1:3" ht="13" x14ac:dyDescent="0.15">
      <c r="A260" s="10"/>
      <c r="B260" s="13"/>
      <c r="C260" s="13"/>
    </row>
    <row r="261" spans="1:3" ht="13" x14ac:dyDescent="0.15">
      <c r="A261" s="10"/>
      <c r="B261" s="13"/>
      <c r="C261" s="13"/>
    </row>
    <row r="262" spans="1:3" ht="13" x14ac:dyDescent="0.15">
      <c r="A262" s="10"/>
      <c r="B262" s="13"/>
      <c r="C262" s="13"/>
    </row>
    <row r="263" spans="1:3" ht="13" x14ac:dyDescent="0.15">
      <c r="A263" s="10"/>
      <c r="B263" s="13"/>
      <c r="C263" s="13"/>
    </row>
    <row r="264" spans="1:3" ht="13" x14ac:dyDescent="0.15">
      <c r="A264" s="10"/>
      <c r="B264" s="13"/>
      <c r="C264" s="13"/>
    </row>
    <row r="265" spans="1:3" ht="13" x14ac:dyDescent="0.15">
      <c r="A265" s="10"/>
      <c r="B265" s="13"/>
      <c r="C265" s="13"/>
    </row>
    <row r="266" spans="1:3" ht="13" x14ac:dyDescent="0.15">
      <c r="A266" s="10"/>
      <c r="B266" s="13"/>
      <c r="C266" s="13"/>
    </row>
    <row r="267" spans="1:3" ht="13" x14ac:dyDescent="0.15">
      <c r="A267" s="10"/>
      <c r="B267" s="13"/>
      <c r="C267" s="13"/>
    </row>
    <row r="268" spans="1:3" ht="13" x14ac:dyDescent="0.15">
      <c r="A268" s="10"/>
      <c r="B268" s="13"/>
      <c r="C268" s="13"/>
    </row>
    <row r="269" spans="1:3" ht="13" x14ac:dyDescent="0.15">
      <c r="A269" s="10"/>
      <c r="B269" s="13"/>
      <c r="C269" s="13"/>
    </row>
    <row r="270" spans="1:3" ht="13" x14ac:dyDescent="0.15">
      <c r="A270" s="10"/>
      <c r="B270" s="13"/>
      <c r="C270" s="13"/>
    </row>
    <row r="271" spans="1:3" ht="13" x14ac:dyDescent="0.15">
      <c r="A271" s="10"/>
      <c r="B271" s="13"/>
      <c r="C271" s="13"/>
    </row>
    <row r="272" spans="1:3" ht="13" x14ac:dyDescent="0.15">
      <c r="A272" s="10"/>
      <c r="B272" s="13"/>
      <c r="C272" s="13"/>
    </row>
    <row r="273" spans="1:3" ht="13" x14ac:dyDescent="0.15">
      <c r="A273" s="10"/>
      <c r="B273" s="13"/>
      <c r="C273" s="13"/>
    </row>
    <row r="274" spans="1:3" ht="13" x14ac:dyDescent="0.15">
      <c r="A274" s="10"/>
      <c r="B274" s="13"/>
      <c r="C274" s="13"/>
    </row>
    <row r="275" spans="1:3" ht="13" x14ac:dyDescent="0.15">
      <c r="A275" s="10"/>
      <c r="B275" s="13"/>
      <c r="C275" s="13"/>
    </row>
    <row r="276" spans="1:3" ht="13" x14ac:dyDescent="0.15">
      <c r="A276" s="10"/>
      <c r="B276" s="13"/>
      <c r="C276" s="13"/>
    </row>
    <row r="277" spans="1:3" ht="13" x14ac:dyDescent="0.15">
      <c r="A277" s="10"/>
      <c r="B277" s="13"/>
      <c r="C277" s="13"/>
    </row>
    <row r="278" spans="1:3" ht="13" x14ac:dyDescent="0.15">
      <c r="A278" s="10"/>
      <c r="B278" s="13"/>
      <c r="C278" s="13"/>
    </row>
    <row r="279" spans="1:3" ht="13" x14ac:dyDescent="0.15">
      <c r="A279" s="10"/>
      <c r="B279" s="13"/>
      <c r="C279" s="13"/>
    </row>
    <row r="280" spans="1:3" ht="13" x14ac:dyDescent="0.15">
      <c r="A280" s="10"/>
      <c r="B280" s="13"/>
      <c r="C280" s="13"/>
    </row>
    <row r="281" spans="1:3" ht="13" x14ac:dyDescent="0.15">
      <c r="A281" s="10"/>
      <c r="B281" s="13"/>
      <c r="C281" s="13"/>
    </row>
    <row r="282" spans="1:3" ht="13" x14ac:dyDescent="0.15">
      <c r="A282" s="10"/>
      <c r="B282" s="13"/>
      <c r="C282" s="13"/>
    </row>
    <row r="283" spans="1:3" ht="13" x14ac:dyDescent="0.15">
      <c r="A283" s="10"/>
      <c r="B283" s="13"/>
      <c r="C283" s="13"/>
    </row>
    <row r="284" spans="1:3" ht="13" x14ac:dyDescent="0.15">
      <c r="A284" s="10"/>
      <c r="B284" s="13"/>
      <c r="C284" s="13"/>
    </row>
    <row r="285" spans="1:3" ht="13" x14ac:dyDescent="0.15">
      <c r="A285" s="10"/>
      <c r="B285" s="13"/>
      <c r="C285" s="13"/>
    </row>
    <row r="286" spans="1:3" ht="13" x14ac:dyDescent="0.15">
      <c r="A286" s="10"/>
      <c r="B286" s="13"/>
      <c r="C286" s="13"/>
    </row>
    <row r="287" spans="1:3" ht="13" x14ac:dyDescent="0.15">
      <c r="A287" s="10"/>
      <c r="B287" s="13"/>
      <c r="C287" s="13"/>
    </row>
    <row r="288" spans="1:3" ht="13" x14ac:dyDescent="0.15">
      <c r="A288" s="10"/>
      <c r="B288" s="13"/>
      <c r="C288" s="13"/>
    </row>
    <row r="289" spans="1:3" ht="13" x14ac:dyDescent="0.15">
      <c r="A289" s="10"/>
      <c r="B289" s="13"/>
      <c r="C289" s="13"/>
    </row>
    <row r="290" spans="1:3" ht="13" x14ac:dyDescent="0.15">
      <c r="A290" s="10"/>
      <c r="B290" s="13"/>
      <c r="C290" s="13"/>
    </row>
    <row r="291" spans="1:3" ht="13" x14ac:dyDescent="0.15">
      <c r="A291" s="10"/>
      <c r="B291" s="13"/>
      <c r="C291" s="13"/>
    </row>
    <row r="292" spans="1:3" ht="13" x14ac:dyDescent="0.15">
      <c r="A292" s="10"/>
      <c r="B292" s="13"/>
      <c r="C292" s="13"/>
    </row>
    <row r="293" spans="1:3" ht="13" x14ac:dyDescent="0.15">
      <c r="A293" s="10"/>
      <c r="B293" s="13"/>
      <c r="C293" s="13"/>
    </row>
    <row r="294" spans="1:3" ht="13" x14ac:dyDescent="0.15">
      <c r="A294" s="10"/>
      <c r="B294" s="13"/>
      <c r="C294" s="13"/>
    </row>
    <row r="295" spans="1:3" ht="13" x14ac:dyDescent="0.15">
      <c r="A295" s="10"/>
      <c r="B295" s="13"/>
      <c r="C295" s="13"/>
    </row>
    <row r="296" spans="1:3" ht="13" x14ac:dyDescent="0.15">
      <c r="A296" s="10"/>
      <c r="B296" s="13"/>
      <c r="C296" s="13"/>
    </row>
    <row r="297" spans="1:3" ht="13" x14ac:dyDescent="0.15">
      <c r="A297" s="10"/>
      <c r="B297" s="13"/>
      <c r="C297" s="13"/>
    </row>
    <row r="298" spans="1:3" ht="13" x14ac:dyDescent="0.15">
      <c r="A298" s="10"/>
      <c r="B298" s="13"/>
      <c r="C298" s="13"/>
    </row>
    <row r="299" spans="1:3" ht="13" x14ac:dyDescent="0.15">
      <c r="A299" s="10"/>
      <c r="B299" s="13"/>
      <c r="C299" s="13"/>
    </row>
    <row r="300" spans="1:3" ht="13" x14ac:dyDescent="0.15">
      <c r="A300" s="10"/>
      <c r="B300" s="13"/>
      <c r="C300" s="13"/>
    </row>
    <row r="301" spans="1:3" ht="13" x14ac:dyDescent="0.15">
      <c r="A301" s="10"/>
      <c r="B301" s="13"/>
      <c r="C301" s="13"/>
    </row>
    <row r="302" spans="1:3" ht="13" x14ac:dyDescent="0.15">
      <c r="A302" s="10"/>
      <c r="B302" s="13"/>
      <c r="C302" s="13"/>
    </row>
    <row r="303" spans="1:3" ht="13" x14ac:dyDescent="0.15">
      <c r="A303" s="10"/>
      <c r="B303" s="13"/>
      <c r="C303" s="13"/>
    </row>
    <row r="304" spans="1:3" ht="13" x14ac:dyDescent="0.15">
      <c r="A304" s="10"/>
      <c r="B304" s="13"/>
      <c r="C304" s="13"/>
    </row>
    <row r="305" spans="1:3" ht="13" x14ac:dyDescent="0.15">
      <c r="A305" s="10"/>
      <c r="B305" s="13"/>
      <c r="C305" s="13"/>
    </row>
    <row r="306" spans="1:3" ht="13" x14ac:dyDescent="0.15">
      <c r="A306" s="10"/>
      <c r="B306" s="13"/>
      <c r="C306" s="13"/>
    </row>
    <row r="307" spans="1:3" ht="13" x14ac:dyDescent="0.15">
      <c r="A307" s="10"/>
      <c r="B307" s="13"/>
      <c r="C307" s="13"/>
    </row>
    <row r="308" spans="1:3" ht="13" x14ac:dyDescent="0.15">
      <c r="A308" s="10"/>
      <c r="B308" s="13"/>
      <c r="C308" s="13"/>
    </row>
    <row r="309" spans="1:3" ht="13" x14ac:dyDescent="0.15">
      <c r="A309" s="10"/>
      <c r="B309" s="13"/>
      <c r="C309" s="13"/>
    </row>
    <row r="310" spans="1:3" ht="13" x14ac:dyDescent="0.15">
      <c r="A310" s="10"/>
      <c r="B310" s="13"/>
      <c r="C310" s="13"/>
    </row>
    <row r="311" spans="1:3" ht="13" x14ac:dyDescent="0.15">
      <c r="A311" s="10"/>
      <c r="B311" s="13"/>
      <c r="C311" s="13"/>
    </row>
    <row r="312" spans="1:3" ht="13" x14ac:dyDescent="0.15">
      <c r="A312" s="10"/>
      <c r="B312" s="13"/>
      <c r="C312" s="13"/>
    </row>
    <row r="313" spans="1:3" ht="13" x14ac:dyDescent="0.15">
      <c r="A313" s="10"/>
      <c r="B313" s="13"/>
      <c r="C313" s="13"/>
    </row>
    <row r="314" spans="1:3" ht="13" x14ac:dyDescent="0.15">
      <c r="A314" s="10"/>
      <c r="B314" s="13"/>
      <c r="C314" s="13"/>
    </row>
    <row r="315" spans="1:3" ht="13" x14ac:dyDescent="0.15">
      <c r="A315" s="10"/>
      <c r="B315" s="13"/>
      <c r="C315" s="13"/>
    </row>
    <row r="316" spans="1:3" ht="13" x14ac:dyDescent="0.15">
      <c r="A316" s="10"/>
      <c r="B316" s="13"/>
      <c r="C316" s="13"/>
    </row>
    <row r="317" spans="1:3" ht="13" x14ac:dyDescent="0.15">
      <c r="A317" s="10"/>
      <c r="B317" s="13"/>
      <c r="C317" s="13"/>
    </row>
    <row r="318" spans="1:3" ht="13" x14ac:dyDescent="0.15">
      <c r="A318" s="10"/>
      <c r="B318" s="13"/>
      <c r="C318" s="13"/>
    </row>
    <row r="319" spans="1:3" ht="13" x14ac:dyDescent="0.15">
      <c r="A319" s="10"/>
      <c r="B319" s="13"/>
      <c r="C319" s="13"/>
    </row>
    <row r="320" spans="1:3" ht="13" x14ac:dyDescent="0.15">
      <c r="A320" s="10"/>
      <c r="B320" s="13"/>
      <c r="C320" s="13"/>
    </row>
    <row r="321" spans="1:3" ht="13" x14ac:dyDescent="0.15">
      <c r="A321" s="10"/>
      <c r="B321" s="13"/>
      <c r="C321" s="13"/>
    </row>
    <row r="322" spans="1:3" ht="13" x14ac:dyDescent="0.15">
      <c r="A322" s="10"/>
      <c r="B322" s="13"/>
      <c r="C322" s="13"/>
    </row>
    <row r="323" spans="1:3" ht="13" x14ac:dyDescent="0.15">
      <c r="A323" s="10"/>
      <c r="B323" s="13"/>
      <c r="C323" s="13"/>
    </row>
    <row r="324" spans="1:3" ht="13" x14ac:dyDescent="0.15">
      <c r="A324" s="10"/>
      <c r="B324" s="13"/>
      <c r="C324" s="13"/>
    </row>
    <row r="325" spans="1:3" ht="13" x14ac:dyDescent="0.15">
      <c r="A325" s="10"/>
      <c r="B325" s="13"/>
      <c r="C325" s="13"/>
    </row>
    <row r="326" spans="1:3" ht="13" x14ac:dyDescent="0.15">
      <c r="A326" s="10"/>
      <c r="B326" s="13"/>
      <c r="C326" s="13"/>
    </row>
    <row r="327" spans="1:3" ht="13" x14ac:dyDescent="0.15">
      <c r="A327" s="10"/>
      <c r="B327" s="13"/>
      <c r="C327" s="13"/>
    </row>
    <row r="328" spans="1:3" ht="13" x14ac:dyDescent="0.15">
      <c r="A328" s="10"/>
      <c r="B328" s="13"/>
      <c r="C328" s="13"/>
    </row>
    <row r="329" spans="1:3" ht="13" x14ac:dyDescent="0.15">
      <c r="A329" s="10"/>
      <c r="B329" s="13"/>
      <c r="C329" s="13"/>
    </row>
    <row r="330" spans="1:3" ht="13" x14ac:dyDescent="0.15">
      <c r="A330" s="10"/>
      <c r="B330" s="13"/>
      <c r="C330" s="13"/>
    </row>
    <row r="331" spans="1:3" ht="13" x14ac:dyDescent="0.15">
      <c r="A331" s="10"/>
      <c r="B331" s="13"/>
      <c r="C331" s="13"/>
    </row>
    <row r="332" spans="1:3" ht="13" x14ac:dyDescent="0.15">
      <c r="A332" s="10"/>
      <c r="B332" s="13"/>
      <c r="C332" s="13"/>
    </row>
    <row r="333" spans="1:3" ht="13" x14ac:dyDescent="0.15">
      <c r="A333" s="10"/>
      <c r="B333" s="13"/>
      <c r="C333" s="13"/>
    </row>
    <row r="334" spans="1:3" ht="13" x14ac:dyDescent="0.15">
      <c r="A334" s="10"/>
      <c r="B334" s="13"/>
      <c r="C334" s="13"/>
    </row>
    <row r="335" spans="1:3" ht="13" x14ac:dyDescent="0.15">
      <c r="A335" s="10"/>
      <c r="B335" s="13"/>
      <c r="C335" s="13"/>
    </row>
    <row r="336" spans="1:3" ht="13" x14ac:dyDescent="0.15">
      <c r="A336" s="10"/>
      <c r="B336" s="13"/>
      <c r="C336" s="13"/>
    </row>
    <row r="337" spans="1:3" ht="13" x14ac:dyDescent="0.15">
      <c r="A337" s="10"/>
      <c r="B337" s="13"/>
      <c r="C337" s="13"/>
    </row>
    <row r="338" spans="1:3" ht="13" x14ac:dyDescent="0.15">
      <c r="A338" s="10"/>
      <c r="B338" s="13"/>
      <c r="C338" s="13"/>
    </row>
    <row r="339" spans="1:3" ht="13" x14ac:dyDescent="0.15">
      <c r="A339" s="10"/>
      <c r="B339" s="13"/>
      <c r="C339" s="13"/>
    </row>
    <row r="340" spans="1:3" ht="13" x14ac:dyDescent="0.15">
      <c r="A340" s="10"/>
      <c r="B340" s="13"/>
      <c r="C340" s="13"/>
    </row>
    <row r="341" spans="1:3" ht="13" x14ac:dyDescent="0.15">
      <c r="A341" s="10"/>
      <c r="B341" s="13"/>
      <c r="C341" s="13"/>
    </row>
    <row r="342" spans="1:3" ht="13" x14ac:dyDescent="0.15">
      <c r="A342" s="10"/>
      <c r="B342" s="13"/>
      <c r="C342" s="13"/>
    </row>
    <row r="343" spans="1:3" ht="13" x14ac:dyDescent="0.15">
      <c r="A343" s="10"/>
      <c r="B343" s="13"/>
      <c r="C343" s="13"/>
    </row>
    <row r="344" spans="1:3" ht="13" x14ac:dyDescent="0.15">
      <c r="A344" s="10"/>
      <c r="B344" s="13"/>
      <c r="C344" s="13"/>
    </row>
    <row r="345" spans="1:3" ht="13" x14ac:dyDescent="0.15">
      <c r="A345" s="10"/>
      <c r="B345" s="13"/>
      <c r="C345" s="13"/>
    </row>
    <row r="346" spans="1:3" ht="13" x14ac:dyDescent="0.15">
      <c r="A346" s="10"/>
      <c r="B346" s="13"/>
      <c r="C346" s="13"/>
    </row>
    <row r="347" spans="1:3" ht="13" x14ac:dyDescent="0.15">
      <c r="A347" s="10"/>
      <c r="B347" s="13"/>
      <c r="C347" s="13"/>
    </row>
    <row r="348" spans="1:3" ht="13" x14ac:dyDescent="0.15">
      <c r="A348" s="10"/>
      <c r="B348" s="13"/>
      <c r="C348" s="13"/>
    </row>
    <row r="349" spans="1:3" ht="13" x14ac:dyDescent="0.15">
      <c r="A349" s="10"/>
      <c r="B349" s="13"/>
      <c r="C349" s="13"/>
    </row>
    <row r="350" spans="1:3" ht="13" x14ac:dyDescent="0.15">
      <c r="A350" s="10"/>
      <c r="B350" s="13"/>
      <c r="C350" s="13"/>
    </row>
    <row r="351" spans="1:3" ht="13" x14ac:dyDescent="0.15">
      <c r="A351" s="10"/>
      <c r="B351" s="13"/>
      <c r="C351" s="13"/>
    </row>
    <row r="352" spans="1:3" ht="13" x14ac:dyDescent="0.15">
      <c r="A352" s="10"/>
      <c r="B352" s="13"/>
      <c r="C352" s="13"/>
    </row>
    <row r="353" spans="1:3" ht="13" x14ac:dyDescent="0.15">
      <c r="A353" s="10"/>
      <c r="B353" s="13"/>
      <c r="C353" s="13"/>
    </row>
    <row r="354" spans="1:3" ht="13" x14ac:dyDescent="0.15">
      <c r="A354" s="10"/>
      <c r="B354" s="13"/>
      <c r="C354" s="13"/>
    </row>
    <row r="355" spans="1:3" ht="13" x14ac:dyDescent="0.15">
      <c r="A355" s="10"/>
      <c r="B355" s="13"/>
      <c r="C355" s="13"/>
    </row>
    <row r="356" spans="1:3" ht="13" x14ac:dyDescent="0.15">
      <c r="A356" s="10"/>
      <c r="B356" s="13"/>
      <c r="C356" s="13"/>
    </row>
    <row r="357" spans="1:3" ht="13" x14ac:dyDescent="0.15">
      <c r="A357" s="10"/>
      <c r="B357" s="13"/>
      <c r="C357" s="13"/>
    </row>
    <row r="358" spans="1:3" ht="13" x14ac:dyDescent="0.15">
      <c r="A358" s="10"/>
      <c r="B358" s="13"/>
      <c r="C358" s="13"/>
    </row>
    <row r="359" spans="1:3" ht="13" x14ac:dyDescent="0.15">
      <c r="A359" s="10"/>
      <c r="B359" s="13"/>
      <c r="C359" s="13"/>
    </row>
    <row r="360" spans="1:3" ht="13" x14ac:dyDescent="0.15">
      <c r="A360" s="10"/>
      <c r="B360" s="13"/>
      <c r="C360" s="13"/>
    </row>
    <row r="361" spans="1:3" ht="13" x14ac:dyDescent="0.15">
      <c r="A361" s="10"/>
      <c r="B361" s="13"/>
      <c r="C361" s="13"/>
    </row>
    <row r="362" spans="1:3" ht="13" x14ac:dyDescent="0.15">
      <c r="A362" s="10"/>
      <c r="B362" s="13"/>
      <c r="C362" s="13"/>
    </row>
    <row r="363" spans="1:3" ht="13" x14ac:dyDescent="0.15">
      <c r="A363" s="10"/>
      <c r="B363" s="13"/>
      <c r="C363" s="13"/>
    </row>
    <row r="364" spans="1:3" ht="13" x14ac:dyDescent="0.15">
      <c r="A364" s="10"/>
      <c r="B364" s="13"/>
      <c r="C364" s="13"/>
    </row>
    <row r="365" spans="1:3" ht="13" x14ac:dyDescent="0.15">
      <c r="A365" s="10"/>
      <c r="B365" s="13"/>
      <c r="C365" s="13"/>
    </row>
    <row r="366" spans="1:3" ht="13" x14ac:dyDescent="0.15">
      <c r="A366" s="10"/>
      <c r="B366" s="13"/>
      <c r="C366" s="13"/>
    </row>
    <row r="367" spans="1:3" ht="13" x14ac:dyDescent="0.15">
      <c r="A367" s="10"/>
      <c r="B367" s="13"/>
      <c r="C367" s="13"/>
    </row>
    <row r="368" spans="1:3" ht="13" x14ac:dyDescent="0.15">
      <c r="A368" s="10"/>
      <c r="B368" s="13"/>
      <c r="C368" s="13"/>
    </row>
    <row r="369" spans="1:3" ht="13" x14ac:dyDescent="0.15">
      <c r="A369" s="10"/>
      <c r="B369" s="13"/>
      <c r="C369" s="13"/>
    </row>
    <row r="370" spans="1:3" ht="13" x14ac:dyDescent="0.15">
      <c r="A370" s="10"/>
      <c r="B370" s="13"/>
      <c r="C370" s="13"/>
    </row>
    <row r="371" spans="1:3" ht="13" x14ac:dyDescent="0.15">
      <c r="A371" s="10"/>
      <c r="B371" s="13"/>
      <c r="C371" s="13"/>
    </row>
    <row r="372" spans="1:3" ht="13" x14ac:dyDescent="0.15">
      <c r="A372" s="10"/>
      <c r="B372" s="13"/>
      <c r="C372" s="13"/>
    </row>
    <row r="373" spans="1:3" ht="13" x14ac:dyDescent="0.15">
      <c r="A373" s="10"/>
      <c r="B373" s="13"/>
      <c r="C373" s="13"/>
    </row>
    <row r="374" spans="1:3" ht="13" x14ac:dyDescent="0.15">
      <c r="A374" s="10"/>
      <c r="B374" s="13"/>
      <c r="C374" s="13"/>
    </row>
    <row r="375" spans="1:3" ht="13" x14ac:dyDescent="0.15">
      <c r="A375" s="10"/>
      <c r="B375" s="13"/>
      <c r="C375" s="13"/>
    </row>
    <row r="376" spans="1:3" ht="13" x14ac:dyDescent="0.15">
      <c r="A376" s="10"/>
      <c r="B376" s="13"/>
      <c r="C376" s="13"/>
    </row>
    <row r="377" spans="1:3" ht="13" x14ac:dyDescent="0.15">
      <c r="A377" s="10"/>
      <c r="B377" s="13"/>
      <c r="C377" s="13"/>
    </row>
    <row r="378" spans="1:3" ht="13" x14ac:dyDescent="0.15">
      <c r="A378" s="10"/>
      <c r="B378" s="13"/>
      <c r="C378" s="13"/>
    </row>
    <row r="379" spans="1:3" ht="13" x14ac:dyDescent="0.15">
      <c r="A379" s="10"/>
      <c r="B379" s="13"/>
      <c r="C379" s="13"/>
    </row>
    <row r="380" spans="1:3" ht="13" x14ac:dyDescent="0.15">
      <c r="A380" s="10"/>
      <c r="B380" s="13"/>
      <c r="C380" s="13"/>
    </row>
    <row r="381" spans="1:3" ht="13" x14ac:dyDescent="0.15">
      <c r="A381" s="10"/>
      <c r="B381" s="13"/>
      <c r="C381" s="13"/>
    </row>
    <row r="382" spans="1:3" ht="13" x14ac:dyDescent="0.15">
      <c r="A382" s="10"/>
      <c r="B382" s="13"/>
      <c r="C382" s="13"/>
    </row>
    <row r="383" spans="1:3" ht="13" x14ac:dyDescent="0.15">
      <c r="A383" s="10"/>
      <c r="B383" s="13"/>
      <c r="C383" s="13"/>
    </row>
    <row r="384" spans="1:3" ht="13" x14ac:dyDescent="0.15">
      <c r="A384" s="10"/>
      <c r="B384" s="13"/>
      <c r="C384" s="13"/>
    </row>
    <row r="385" spans="1:3" ht="13" x14ac:dyDescent="0.15">
      <c r="A385" s="10"/>
      <c r="B385" s="13"/>
      <c r="C385" s="13"/>
    </row>
    <row r="386" spans="1:3" ht="13" x14ac:dyDescent="0.15">
      <c r="A386" s="10"/>
      <c r="B386" s="13"/>
      <c r="C386" s="13"/>
    </row>
    <row r="387" spans="1:3" ht="13" x14ac:dyDescent="0.15">
      <c r="A387" s="10"/>
      <c r="B387" s="13"/>
      <c r="C387" s="13"/>
    </row>
    <row r="388" spans="1:3" ht="13" x14ac:dyDescent="0.15">
      <c r="A388" s="10"/>
      <c r="B388" s="13"/>
      <c r="C388" s="13"/>
    </row>
    <row r="389" spans="1:3" ht="13" x14ac:dyDescent="0.15">
      <c r="A389" s="10"/>
      <c r="B389" s="13"/>
      <c r="C389" s="13"/>
    </row>
    <row r="390" spans="1:3" ht="13" x14ac:dyDescent="0.15">
      <c r="A390" s="10"/>
      <c r="B390" s="13"/>
      <c r="C390" s="13"/>
    </row>
    <row r="391" spans="1:3" ht="13" x14ac:dyDescent="0.15">
      <c r="A391" s="10"/>
      <c r="B391" s="13"/>
      <c r="C391" s="13"/>
    </row>
    <row r="392" spans="1:3" ht="13" x14ac:dyDescent="0.15">
      <c r="A392" s="10"/>
      <c r="B392" s="13"/>
      <c r="C392" s="13"/>
    </row>
    <row r="393" spans="1:3" ht="13" x14ac:dyDescent="0.15">
      <c r="A393" s="10"/>
      <c r="B393" s="13"/>
      <c r="C393" s="13"/>
    </row>
    <row r="394" spans="1:3" ht="13" x14ac:dyDescent="0.15">
      <c r="A394" s="10"/>
      <c r="B394" s="13"/>
      <c r="C394" s="13"/>
    </row>
    <row r="395" spans="1:3" ht="13" x14ac:dyDescent="0.15">
      <c r="A395" s="10"/>
      <c r="B395" s="13"/>
      <c r="C395" s="13"/>
    </row>
    <row r="396" spans="1:3" ht="13" x14ac:dyDescent="0.15">
      <c r="A396" s="10"/>
      <c r="B396" s="13"/>
      <c r="C396" s="13"/>
    </row>
    <row r="397" spans="1:3" ht="13" x14ac:dyDescent="0.15">
      <c r="A397" s="10"/>
      <c r="B397" s="13"/>
      <c r="C397" s="13"/>
    </row>
    <row r="398" spans="1:3" ht="13" x14ac:dyDescent="0.15">
      <c r="A398" s="10"/>
      <c r="B398" s="13"/>
      <c r="C398" s="13"/>
    </row>
    <row r="399" spans="1:3" ht="13" x14ac:dyDescent="0.15">
      <c r="A399" s="10"/>
      <c r="B399" s="13"/>
      <c r="C399" s="13"/>
    </row>
    <row r="400" spans="1:3" ht="13" x14ac:dyDescent="0.15">
      <c r="A400" s="10"/>
      <c r="B400" s="13"/>
      <c r="C400" s="13"/>
    </row>
    <row r="401" spans="1:3" ht="13" x14ac:dyDescent="0.15">
      <c r="A401" s="10"/>
      <c r="B401" s="13"/>
      <c r="C401" s="13"/>
    </row>
    <row r="402" spans="1:3" ht="13" x14ac:dyDescent="0.15">
      <c r="A402" s="10"/>
      <c r="B402" s="13"/>
      <c r="C402" s="13"/>
    </row>
    <row r="403" spans="1:3" ht="13" x14ac:dyDescent="0.15">
      <c r="A403" s="10"/>
      <c r="B403" s="13"/>
      <c r="C403" s="13"/>
    </row>
    <row r="404" spans="1:3" ht="13" x14ac:dyDescent="0.15">
      <c r="A404" s="10"/>
      <c r="B404" s="13"/>
      <c r="C404" s="13"/>
    </row>
    <row r="405" spans="1:3" ht="13" x14ac:dyDescent="0.15">
      <c r="A405" s="10"/>
      <c r="B405" s="13"/>
      <c r="C405" s="13"/>
    </row>
    <row r="406" spans="1:3" ht="13" x14ac:dyDescent="0.15">
      <c r="A406" s="10"/>
      <c r="B406" s="13"/>
      <c r="C406" s="13"/>
    </row>
    <row r="407" spans="1:3" ht="13" x14ac:dyDescent="0.15">
      <c r="A407" s="10"/>
      <c r="B407" s="13"/>
      <c r="C407" s="13"/>
    </row>
    <row r="408" spans="1:3" ht="13" x14ac:dyDescent="0.15">
      <c r="A408" s="10"/>
      <c r="B408" s="13"/>
      <c r="C408" s="13"/>
    </row>
    <row r="409" spans="1:3" ht="13" x14ac:dyDescent="0.15">
      <c r="A409" s="10"/>
      <c r="B409" s="13"/>
      <c r="C409" s="13"/>
    </row>
    <row r="410" spans="1:3" ht="13" x14ac:dyDescent="0.15">
      <c r="A410" s="10"/>
      <c r="B410" s="13"/>
      <c r="C410" s="13"/>
    </row>
    <row r="411" spans="1:3" ht="13" x14ac:dyDescent="0.15">
      <c r="A411" s="10"/>
      <c r="B411" s="13"/>
      <c r="C411" s="13"/>
    </row>
    <row r="412" spans="1:3" ht="13" x14ac:dyDescent="0.15">
      <c r="A412" s="10"/>
      <c r="B412" s="13"/>
      <c r="C412" s="13"/>
    </row>
    <row r="413" spans="1:3" ht="13" x14ac:dyDescent="0.15">
      <c r="A413" s="10"/>
      <c r="B413" s="13"/>
      <c r="C413" s="13"/>
    </row>
    <row r="414" spans="1:3" ht="13" x14ac:dyDescent="0.15">
      <c r="A414" s="10"/>
      <c r="B414" s="13"/>
      <c r="C414" s="13"/>
    </row>
    <row r="415" spans="1:3" ht="13" x14ac:dyDescent="0.15">
      <c r="A415" s="10"/>
      <c r="B415" s="13"/>
      <c r="C415" s="13"/>
    </row>
    <row r="416" spans="1:3" ht="13" x14ac:dyDescent="0.15">
      <c r="A416" s="10"/>
      <c r="B416" s="13"/>
      <c r="C416" s="13"/>
    </row>
    <row r="417" spans="1:3" ht="13" x14ac:dyDescent="0.15">
      <c r="A417" s="10"/>
      <c r="B417" s="13"/>
      <c r="C417" s="13"/>
    </row>
    <row r="418" spans="1:3" ht="13" x14ac:dyDescent="0.15">
      <c r="A418" s="10"/>
      <c r="B418" s="13"/>
      <c r="C418" s="13"/>
    </row>
    <row r="419" spans="1:3" ht="13" x14ac:dyDescent="0.15">
      <c r="A419" s="10"/>
      <c r="B419" s="13"/>
      <c r="C419" s="13"/>
    </row>
    <row r="420" spans="1:3" ht="13" x14ac:dyDescent="0.15">
      <c r="A420" s="10"/>
      <c r="B420" s="13"/>
      <c r="C420" s="13"/>
    </row>
    <row r="421" spans="1:3" ht="13" x14ac:dyDescent="0.15">
      <c r="A421" s="10"/>
      <c r="B421" s="13"/>
      <c r="C421" s="13"/>
    </row>
    <row r="422" spans="1:3" ht="13" x14ac:dyDescent="0.15">
      <c r="A422" s="10"/>
      <c r="B422" s="13"/>
      <c r="C422" s="13"/>
    </row>
    <row r="423" spans="1:3" ht="13" x14ac:dyDescent="0.15">
      <c r="A423" s="10"/>
      <c r="B423" s="13"/>
      <c r="C423" s="13"/>
    </row>
    <row r="424" spans="1:3" ht="13" x14ac:dyDescent="0.15">
      <c r="A424" s="10"/>
      <c r="B424" s="13"/>
      <c r="C424" s="13"/>
    </row>
    <row r="425" spans="1:3" ht="13" x14ac:dyDescent="0.15">
      <c r="A425" s="10"/>
      <c r="B425" s="13"/>
      <c r="C425" s="13"/>
    </row>
    <row r="426" spans="1:3" ht="13" x14ac:dyDescent="0.15">
      <c r="A426" s="10"/>
      <c r="B426" s="13"/>
      <c r="C426" s="13"/>
    </row>
    <row r="427" spans="1:3" ht="13" x14ac:dyDescent="0.15">
      <c r="A427" s="10"/>
      <c r="B427" s="13"/>
      <c r="C427" s="13"/>
    </row>
    <row r="428" spans="1:3" ht="13" x14ac:dyDescent="0.15">
      <c r="A428" s="10"/>
      <c r="B428" s="13"/>
      <c r="C428" s="13"/>
    </row>
    <row r="429" spans="1:3" ht="13" x14ac:dyDescent="0.15">
      <c r="A429" s="10"/>
      <c r="B429" s="13"/>
      <c r="C429" s="13"/>
    </row>
    <row r="430" spans="1:3" ht="13" x14ac:dyDescent="0.15">
      <c r="A430" s="10"/>
      <c r="B430" s="13"/>
      <c r="C430" s="13"/>
    </row>
    <row r="431" spans="1:3" ht="13" x14ac:dyDescent="0.15">
      <c r="A431" s="10"/>
      <c r="B431" s="13"/>
      <c r="C431" s="13"/>
    </row>
    <row r="432" spans="1:3" ht="13" x14ac:dyDescent="0.15">
      <c r="A432" s="10"/>
      <c r="B432" s="13"/>
      <c r="C432" s="13"/>
    </row>
    <row r="433" spans="1:3" ht="13" x14ac:dyDescent="0.15">
      <c r="A433" s="10"/>
      <c r="B433" s="13"/>
      <c r="C433" s="13"/>
    </row>
    <row r="434" spans="1:3" ht="13" x14ac:dyDescent="0.15">
      <c r="A434" s="10"/>
      <c r="B434" s="13"/>
      <c r="C434" s="13"/>
    </row>
    <row r="435" spans="1:3" ht="13" x14ac:dyDescent="0.15">
      <c r="A435" s="10"/>
      <c r="B435" s="13"/>
      <c r="C435" s="13"/>
    </row>
    <row r="436" spans="1:3" ht="13" x14ac:dyDescent="0.15">
      <c r="A436" s="10"/>
      <c r="B436" s="13"/>
      <c r="C436" s="13"/>
    </row>
    <row r="437" spans="1:3" ht="13" x14ac:dyDescent="0.15">
      <c r="A437" s="10"/>
      <c r="B437" s="13"/>
      <c r="C437" s="13"/>
    </row>
    <row r="438" spans="1:3" ht="13" x14ac:dyDescent="0.15">
      <c r="A438" s="10"/>
      <c r="B438" s="13"/>
      <c r="C438" s="13"/>
    </row>
    <row r="439" spans="1:3" ht="13" x14ac:dyDescent="0.15">
      <c r="A439" s="10"/>
      <c r="B439" s="13"/>
      <c r="C439" s="13"/>
    </row>
    <row r="440" spans="1:3" ht="13" x14ac:dyDescent="0.15">
      <c r="A440" s="10"/>
      <c r="B440" s="13"/>
      <c r="C440" s="13"/>
    </row>
    <row r="441" spans="1:3" ht="13" x14ac:dyDescent="0.15">
      <c r="A441" s="10"/>
      <c r="B441" s="13"/>
      <c r="C441" s="13"/>
    </row>
    <row r="442" spans="1:3" ht="13" x14ac:dyDescent="0.15">
      <c r="A442" s="10"/>
      <c r="B442" s="13"/>
      <c r="C442" s="13"/>
    </row>
    <row r="443" spans="1:3" ht="13" x14ac:dyDescent="0.15">
      <c r="A443" s="10"/>
      <c r="B443" s="13"/>
      <c r="C443" s="13"/>
    </row>
    <row r="444" spans="1:3" ht="13" x14ac:dyDescent="0.15">
      <c r="A444" s="10"/>
      <c r="B444" s="13"/>
      <c r="C444" s="13"/>
    </row>
    <row r="445" spans="1:3" ht="13" x14ac:dyDescent="0.15">
      <c r="A445" s="10"/>
      <c r="B445" s="13"/>
      <c r="C445" s="13"/>
    </row>
    <row r="446" spans="1:3" ht="13" x14ac:dyDescent="0.15">
      <c r="A446" s="10"/>
      <c r="B446" s="13"/>
      <c r="C446" s="13"/>
    </row>
    <row r="447" spans="1:3" ht="13" x14ac:dyDescent="0.15">
      <c r="A447" s="10"/>
      <c r="B447" s="13"/>
      <c r="C447" s="13"/>
    </row>
    <row r="448" spans="1:3" ht="13" x14ac:dyDescent="0.15">
      <c r="A448" s="10"/>
      <c r="B448" s="13"/>
      <c r="C448" s="13"/>
    </row>
    <row r="449" spans="1:3" ht="13" x14ac:dyDescent="0.15">
      <c r="A449" s="10"/>
      <c r="B449" s="13"/>
      <c r="C449" s="13"/>
    </row>
    <row r="450" spans="1:3" ht="13" x14ac:dyDescent="0.15">
      <c r="A450" s="10"/>
      <c r="B450" s="13"/>
      <c r="C450" s="13"/>
    </row>
    <row r="451" spans="1:3" ht="13" x14ac:dyDescent="0.15">
      <c r="A451" s="10"/>
      <c r="B451" s="13"/>
      <c r="C451" s="13"/>
    </row>
    <row r="452" spans="1:3" ht="13" x14ac:dyDescent="0.15">
      <c r="A452" s="10"/>
      <c r="B452" s="13"/>
      <c r="C452" s="13"/>
    </row>
    <row r="453" spans="1:3" ht="13" x14ac:dyDescent="0.15">
      <c r="A453" s="10"/>
      <c r="B453" s="13"/>
      <c r="C453" s="13"/>
    </row>
    <row r="454" spans="1:3" ht="13" x14ac:dyDescent="0.15">
      <c r="A454" s="10"/>
      <c r="B454" s="13"/>
      <c r="C454" s="13"/>
    </row>
    <row r="455" spans="1:3" ht="13" x14ac:dyDescent="0.15">
      <c r="A455" s="10"/>
      <c r="B455" s="13"/>
      <c r="C455" s="13"/>
    </row>
    <row r="456" spans="1:3" ht="13" x14ac:dyDescent="0.15">
      <c r="A456" s="10"/>
      <c r="B456" s="13"/>
      <c r="C456" s="13"/>
    </row>
    <row r="457" spans="1:3" ht="13" x14ac:dyDescent="0.15">
      <c r="A457" s="10"/>
      <c r="B457" s="13"/>
      <c r="C457" s="13"/>
    </row>
    <row r="458" spans="1:3" ht="13" x14ac:dyDescent="0.15">
      <c r="A458" s="10"/>
      <c r="B458" s="13"/>
      <c r="C458" s="13"/>
    </row>
    <row r="459" spans="1:3" ht="13" x14ac:dyDescent="0.15">
      <c r="A459" s="10"/>
      <c r="B459" s="13"/>
      <c r="C459" s="13"/>
    </row>
    <row r="460" spans="1:3" ht="13" x14ac:dyDescent="0.15">
      <c r="A460" s="10"/>
      <c r="B460" s="13"/>
      <c r="C460" s="13"/>
    </row>
    <row r="461" spans="1:3" ht="13" x14ac:dyDescent="0.15">
      <c r="A461" s="10"/>
      <c r="B461" s="13"/>
      <c r="C461" s="13"/>
    </row>
    <row r="462" spans="1:3" ht="13" x14ac:dyDescent="0.15">
      <c r="A462" s="10"/>
      <c r="B462" s="13"/>
      <c r="C462" s="13"/>
    </row>
    <row r="463" spans="1:3" ht="13" x14ac:dyDescent="0.15">
      <c r="A463" s="10"/>
      <c r="B463" s="13"/>
      <c r="C463" s="13"/>
    </row>
    <row r="464" spans="1:3" ht="13" x14ac:dyDescent="0.15">
      <c r="A464" s="10"/>
      <c r="B464" s="13"/>
      <c r="C464" s="13"/>
    </row>
    <row r="465" spans="1:3" ht="13" x14ac:dyDescent="0.15">
      <c r="A465" s="10"/>
      <c r="B465" s="13"/>
      <c r="C465" s="13"/>
    </row>
    <row r="466" spans="1:3" ht="13" x14ac:dyDescent="0.15">
      <c r="A466" s="10"/>
      <c r="B466" s="13"/>
      <c r="C466" s="13"/>
    </row>
    <row r="467" spans="1:3" ht="13" x14ac:dyDescent="0.15">
      <c r="A467" s="10"/>
      <c r="B467" s="13"/>
      <c r="C467" s="13"/>
    </row>
    <row r="468" spans="1:3" ht="13" x14ac:dyDescent="0.15">
      <c r="A468" s="10"/>
      <c r="B468" s="13"/>
      <c r="C468" s="13"/>
    </row>
    <row r="469" spans="1:3" ht="13" x14ac:dyDescent="0.15">
      <c r="A469" s="10"/>
      <c r="B469" s="13"/>
      <c r="C469" s="13"/>
    </row>
    <row r="470" spans="1:3" ht="13" x14ac:dyDescent="0.15">
      <c r="A470" s="10"/>
      <c r="B470" s="13"/>
      <c r="C470" s="13"/>
    </row>
    <row r="471" spans="1:3" ht="13" x14ac:dyDescent="0.15">
      <c r="A471" s="10"/>
      <c r="B471" s="13"/>
      <c r="C471" s="13"/>
    </row>
    <row r="472" spans="1:3" ht="13" x14ac:dyDescent="0.15">
      <c r="A472" s="10"/>
      <c r="B472" s="13"/>
      <c r="C472" s="13"/>
    </row>
    <row r="473" spans="1:3" ht="13" x14ac:dyDescent="0.15">
      <c r="A473" s="10"/>
      <c r="B473" s="13"/>
      <c r="C473" s="13"/>
    </row>
    <row r="474" spans="1:3" ht="13" x14ac:dyDescent="0.15">
      <c r="A474" s="10"/>
      <c r="B474" s="13"/>
      <c r="C474" s="13"/>
    </row>
    <row r="475" spans="1:3" ht="13" x14ac:dyDescent="0.15">
      <c r="A475" s="10"/>
      <c r="B475" s="13"/>
      <c r="C475" s="13"/>
    </row>
    <row r="476" spans="1:3" ht="13" x14ac:dyDescent="0.15">
      <c r="A476" s="10"/>
      <c r="B476" s="13"/>
      <c r="C476" s="13"/>
    </row>
    <row r="477" spans="1:3" ht="13" x14ac:dyDescent="0.15">
      <c r="A477" s="10"/>
      <c r="B477" s="13"/>
      <c r="C477" s="13"/>
    </row>
    <row r="478" spans="1:3" ht="13" x14ac:dyDescent="0.15">
      <c r="A478" s="10"/>
      <c r="B478" s="13"/>
      <c r="C478" s="13"/>
    </row>
    <row r="479" spans="1:3" ht="13" x14ac:dyDescent="0.15">
      <c r="A479" s="10"/>
      <c r="B479" s="13"/>
      <c r="C479" s="13"/>
    </row>
    <row r="480" spans="1:3" ht="13" x14ac:dyDescent="0.15">
      <c r="A480" s="10"/>
      <c r="B480" s="13"/>
      <c r="C480" s="13"/>
    </row>
    <row r="481" spans="1:3" ht="13" x14ac:dyDescent="0.15">
      <c r="A481" s="10"/>
      <c r="B481" s="13"/>
      <c r="C481" s="13"/>
    </row>
    <row r="482" spans="1:3" ht="13" x14ac:dyDescent="0.15">
      <c r="A482" s="10"/>
      <c r="B482" s="13"/>
      <c r="C482" s="13"/>
    </row>
    <row r="483" spans="1:3" ht="13" x14ac:dyDescent="0.15">
      <c r="A483" s="10"/>
      <c r="B483" s="13"/>
      <c r="C483" s="13"/>
    </row>
    <row r="484" spans="1:3" ht="13" x14ac:dyDescent="0.15">
      <c r="A484" s="10"/>
      <c r="B484" s="13"/>
      <c r="C484" s="13"/>
    </row>
    <row r="485" spans="1:3" ht="13" x14ac:dyDescent="0.15">
      <c r="A485" s="10"/>
      <c r="B485" s="13"/>
      <c r="C485" s="13"/>
    </row>
    <row r="486" spans="1:3" ht="13" x14ac:dyDescent="0.15">
      <c r="A486" s="10"/>
      <c r="B486" s="13"/>
      <c r="C486" s="13"/>
    </row>
    <row r="487" spans="1:3" ht="13" x14ac:dyDescent="0.15">
      <c r="A487" s="10"/>
      <c r="B487" s="13"/>
      <c r="C487" s="13"/>
    </row>
    <row r="488" spans="1:3" ht="13" x14ac:dyDescent="0.15">
      <c r="A488" s="10"/>
      <c r="B488" s="13"/>
      <c r="C488" s="13"/>
    </row>
    <row r="489" spans="1:3" ht="13" x14ac:dyDescent="0.15">
      <c r="A489" s="10"/>
      <c r="B489" s="13"/>
      <c r="C489" s="13"/>
    </row>
    <row r="490" spans="1:3" ht="13" x14ac:dyDescent="0.15">
      <c r="A490" s="10"/>
      <c r="B490" s="13"/>
      <c r="C490" s="13"/>
    </row>
    <row r="491" spans="1:3" ht="13" x14ac:dyDescent="0.15">
      <c r="A491" s="10"/>
      <c r="B491" s="13"/>
      <c r="C491" s="13"/>
    </row>
    <row r="492" spans="1:3" ht="13" x14ac:dyDescent="0.15">
      <c r="A492" s="10"/>
      <c r="B492" s="13"/>
      <c r="C492" s="13"/>
    </row>
    <row r="493" spans="1:3" ht="13" x14ac:dyDescent="0.15">
      <c r="A493" s="10"/>
      <c r="B493" s="13"/>
      <c r="C493" s="13"/>
    </row>
    <row r="494" spans="1:3" ht="13" x14ac:dyDescent="0.15">
      <c r="A494" s="10"/>
      <c r="B494" s="13"/>
      <c r="C494" s="13"/>
    </row>
    <row r="495" spans="1:3" ht="13" x14ac:dyDescent="0.15">
      <c r="A495" s="10"/>
      <c r="B495" s="13"/>
      <c r="C495" s="13"/>
    </row>
    <row r="496" spans="1:3" ht="13" x14ac:dyDescent="0.15">
      <c r="A496" s="10"/>
      <c r="B496" s="13"/>
      <c r="C496" s="13"/>
    </row>
    <row r="497" spans="1:3" ht="13" x14ac:dyDescent="0.15">
      <c r="A497" s="10"/>
      <c r="B497" s="13"/>
      <c r="C497" s="13"/>
    </row>
    <row r="498" spans="1:3" ht="13" x14ac:dyDescent="0.15">
      <c r="A498" s="10"/>
      <c r="B498" s="13"/>
      <c r="C498" s="13"/>
    </row>
    <row r="499" spans="1:3" ht="13" x14ac:dyDescent="0.15">
      <c r="A499" s="10"/>
      <c r="B499" s="13"/>
      <c r="C499" s="13"/>
    </row>
    <row r="500" spans="1:3" ht="13" x14ac:dyDescent="0.15">
      <c r="A500" s="10"/>
      <c r="B500" s="13"/>
      <c r="C500" s="13"/>
    </row>
    <row r="501" spans="1:3" ht="13" x14ac:dyDescent="0.15">
      <c r="A501" s="10"/>
      <c r="B501" s="13"/>
      <c r="C501" s="13"/>
    </row>
    <row r="502" spans="1:3" ht="13" x14ac:dyDescent="0.15">
      <c r="A502" s="10"/>
      <c r="B502" s="13"/>
      <c r="C502" s="13"/>
    </row>
    <row r="503" spans="1:3" ht="13" x14ac:dyDescent="0.15">
      <c r="A503" s="10"/>
      <c r="B503" s="13"/>
      <c r="C503" s="13"/>
    </row>
    <row r="504" spans="1:3" ht="13" x14ac:dyDescent="0.15">
      <c r="A504" s="10"/>
      <c r="B504" s="13"/>
      <c r="C504" s="13"/>
    </row>
    <row r="505" spans="1:3" ht="13" x14ac:dyDescent="0.15">
      <c r="A505" s="10"/>
      <c r="B505" s="13"/>
      <c r="C505" s="13"/>
    </row>
    <row r="506" spans="1:3" ht="13" x14ac:dyDescent="0.15">
      <c r="A506" s="10"/>
      <c r="B506" s="13"/>
      <c r="C506" s="13"/>
    </row>
    <row r="507" spans="1:3" ht="13" x14ac:dyDescent="0.15">
      <c r="A507" s="10"/>
      <c r="B507" s="13"/>
      <c r="C507" s="13"/>
    </row>
    <row r="508" spans="1:3" ht="13" x14ac:dyDescent="0.15">
      <c r="A508" s="10"/>
      <c r="B508" s="13"/>
      <c r="C508" s="13"/>
    </row>
    <row r="509" spans="1:3" ht="13" x14ac:dyDescent="0.15">
      <c r="A509" s="10"/>
      <c r="B509" s="13"/>
      <c r="C509" s="13"/>
    </row>
    <row r="510" spans="1:3" ht="13" x14ac:dyDescent="0.15">
      <c r="A510" s="10"/>
      <c r="B510" s="13"/>
      <c r="C510" s="13"/>
    </row>
    <row r="511" spans="1:3" ht="13" x14ac:dyDescent="0.15">
      <c r="A511" s="10"/>
      <c r="B511" s="13"/>
      <c r="C511" s="13"/>
    </row>
    <row r="512" spans="1:3" ht="13" x14ac:dyDescent="0.15">
      <c r="A512" s="10"/>
      <c r="B512" s="13"/>
      <c r="C512" s="13"/>
    </row>
    <row r="513" spans="1:3" ht="13" x14ac:dyDescent="0.15">
      <c r="A513" s="10"/>
      <c r="B513" s="13"/>
      <c r="C513" s="13"/>
    </row>
    <row r="514" spans="1:3" ht="13" x14ac:dyDescent="0.15">
      <c r="A514" s="10"/>
      <c r="B514" s="13"/>
      <c r="C514" s="13"/>
    </row>
    <row r="515" spans="1:3" ht="13" x14ac:dyDescent="0.15">
      <c r="A515" s="10"/>
      <c r="B515" s="13"/>
      <c r="C515" s="13"/>
    </row>
    <row r="516" spans="1:3" ht="13" x14ac:dyDescent="0.15">
      <c r="A516" s="10"/>
      <c r="B516" s="13"/>
      <c r="C516" s="13"/>
    </row>
    <row r="517" spans="1:3" ht="13" x14ac:dyDescent="0.15">
      <c r="A517" s="10"/>
      <c r="B517" s="13"/>
      <c r="C517" s="13"/>
    </row>
    <row r="518" spans="1:3" ht="13" x14ac:dyDescent="0.15">
      <c r="A518" s="10"/>
      <c r="B518" s="13"/>
      <c r="C518" s="13"/>
    </row>
    <row r="519" spans="1:3" ht="13" x14ac:dyDescent="0.15">
      <c r="A519" s="10"/>
      <c r="B519" s="13"/>
      <c r="C519" s="13"/>
    </row>
    <row r="520" spans="1:3" ht="13" x14ac:dyDescent="0.15">
      <c r="A520" s="10"/>
      <c r="B520" s="13"/>
      <c r="C520" s="13"/>
    </row>
    <row r="521" spans="1:3" ht="13" x14ac:dyDescent="0.15">
      <c r="A521" s="10"/>
      <c r="B521" s="13"/>
      <c r="C521" s="13"/>
    </row>
    <row r="522" spans="1:3" ht="13" x14ac:dyDescent="0.15">
      <c r="A522" s="10"/>
      <c r="B522" s="13"/>
      <c r="C522" s="13"/>
    </row>
    <row r="523" spans="1:3" ht="13" x14ac:dyDescent="0.15">
      <c r="A523" s="10"/>
      <c r="B523" s="13"/>
      <c r="C523" s="13"/>
    </row>
    <row r="524" spans="1:3" ht="13" x14ac:dyDescent="0.15">
      <c r="A524" s="10"/>
      <c r="B524" s="13"/>
      <c r="C524" s="13"/>
    </row>
    <row r="525" spans="1:3" ht="13" x14ac:dyDescent="0.15">
      <c r="A525" s="10"/>
      <c r="B525" s="13"/>
      <c r="C525" s="13"/>
    </row>
    <row r="526" spans="1:3" ht="13" x14ac:dyDescent="0.15">
      <c r="A526" s="10"/>
      <c r="B526" s="13"/>
      <c r="C526" s="13"/>
    </row>
    <row r="527" spans="1:3" ht="13" x14ac:dyDescent="0.15">
      <c r="A527" s="10"/>
      <c r="B527" s="13"/>
      <c r="C527" s="13"/>
    </row>
    <row r="528" spans="1:3" ht="13" x14ac:dyDescent="0.15">
      <c r="A528" s="10"/>
      <c r="B528" s="13"/>
      <c r="C528" s="13"/>
    </row>
    <row r="529" spans="1:3" ht="13" x14ac:dyDescent="0.15">
      <c r="A529" s="10"/>
      <c r="B529" s="13"/>
      <c r="C529" s="13"/>
    </row>
    <row r="530" spans="1:3" ht="13" x14ac:dyDescent="0.15">
      <c r="A530" s="10"/>
      <c r="B530" s="13"/>
      <c r="C530" s="13"/>
    </row>
    <row r="531" spans="1:3" ht="13" x14ac:dyDescent="0.15">
      <c r="A531" s="10"/>
      <c r="B531" s="13"/>
      <c r="C531" s="13"/>
    </row>
    <row r="532" spans="1:3" ht="13" x14ac:dyDescent="0.15">
      <c r="A532" s="10"/>
      <c r="B532" s="13"/>
      <c r="C532" s="13"/>
    </row>
    <row r="533" spans="1:3" ht="13" x14ac:dyDescent="0.15">
      <c r="A533" s="10"/>
      <c r="B533" s="13"/>
      <c r="C533" s="13"/>
    </row>
    <row r="534" spans="1:3" ht="13" x14ac:dyDescent="0.15">
      <c r="A534" s="10"/>
      <c r="B534" s="13"/>
      <c r="C534" s="13"/>
    </row>
    <row r="535" spans="1:3" ht="13" x14ac:dyDescent="0.15">
      <c r="A535" s="10"/>
      <c r="B535" s="13"/>
      <c r="C535" s="13"/>
    </row>
    <row r="536" spans="1:3" ht="13" x14ac:dyDescent="0.15">
      <c r="A536" s="10"/>
      <c r="B536" s="13"/>
      <c r="C536" s="13"/>
    </row>
    <row r="537" spans="1:3" ht="13" x14ac:dyDescent="0.15">
      <c r="A537" s="10"/>
      <c r="B537" s="13"/>
      <c r="C537" s="13"/>
    </row>
    <row r="538" spans="1:3" ht="13" x14ac:dyDescent="0.15">
      <c r="A538" s="10"/>
      <c r="B538" s="13"/>
      <c r="C538" s="13"/>
    </row>
    <row r="539" spans="1:3" ht="13" x14ac:dyDescent="0.15">
      <c r="A539" s="10"/>
      <c r="B539" s="13"/>
      <c r="C539" s="13"/>
    </row>
    <row r="540" spans="1:3" ht="13" x14ac:dyDescent="0.15">
      <c r="A540" s="10"/>
      <c r="B540" s="13"/>
      <c r="C540" s="13"/>
    </row>
    <row r="541" spans="1:3" ht="13" x14ac:dyDescent="0.15">
      <c r="A541" s="10"/>
      <c r="B541" s="13"/>
      <c r="C541" s="13"/>
    </row>
    <row r="542" spans="1:3" ht="13" x14ac:dyDescent="0.15">
      <c r="A542" s="10"/>
      <c r="B542" s="13"/>
      <c r="C542" s="13"/>
    </row>
    <row r="543" spans="1:3" ht="13" x14ac:dyDescent="0.15">
      <c r="A543" s="10"/>
      <c r="B543" s="13"/>
      <c r="C543" s="13"/>
    </row>
    <row r="544" spans="1:3" ht="13" x14ac:dyDescent="0.15">
      <c r="A544" s="10"/>
      <c r="B544" s="13"/>
      <c r="C544" s="13"/>
    </row>
    <row r="545" spans="1:3" ht="13" x14ac:dyDescent="0.15">
      <c r="A545" s="10"/>
      <c r="B545" s="13"/>
      <c r="C545" s="13"/>
    </row>
    <row r="546" spans="1:3" ht="13" x14ac:dyDescent="0.15">
      <c r="A546" s="10"/>
      <c r="B546" s="13"/>
      <c r="C546" s="13"/>
    </row>
    <row r="547" spans="1:3" ht="13" x14ac:dyDescent="0.15">
      <c r="A547" s="10"/>
      <c r="B547" s="13"/>
      <c r="C547" s="13"/>
    </row>
    <row r="548" spans="1:3" ht="13" x14ac:dyDescent="0.15">
      <c r="A548" s="10"/>
      <c r="B548" s="13"/>
      <c r="C548" s="13"/>
    </row>
    <row r="549" spans="1:3" ht="13" x14ac:dyDescent="0.15">
      <c r="A549" s="10"/>
      <c r="B549" s="13"/>
      <c r="C549" s="13"/>
    </row>
    <row r="550" spans="1:3" ht="13" x14ac:dyDescent="0.15">
      <c r="A550" s="10"/>
      <c r="B550" s="13"/>
      <c r="C550" s="13"/>
    </row>
    <row r="551" spans="1:3" ht="13" x14ac:dyDescent="0.15">
      <c r="A551" s="10"/>
      <c r="B551" s="13"/>
      <c r="C551" s="13"/>
    </row>
    <row r="552" spans="1:3" ht="13" x14ac:dyDescent="0.15">
      <c r="A552" s="10"/>
      <c r="B552" s="13"/>
      <c r="C552" s="13"/>
    </row>
    <row r="553" spans="1:3" ht="13" x14ac:dyDescent="0.15">
      <c r="A553" s="10"/>
      <c r="B553" s="13"/>
      <c r="C553" s="13"/>
    </row>
    <row r="554" spans="1:3" ht="13" x14ac:dyDescent="0.15">
      <c r="A554" s="10"/>
      <c r="B554" s="13"/>
      <c r="C554" s="13"/>
    </row>
    <row r="555" spans="1:3" ht="13" x14ac:dyDescent="0.15">
      <c r="A555" s="10"/>
      <c r="B555" s="13"/>
      <c r="C555" s="13"/>
    </row>
    <row r="556" spans="1:3" ht="13" x14ac:dyDescent="0.15">
      <c r="A556" s="10"/>
      <c r="B556" s="13"/>
      <c r="C556" s="13"/>
    </row>
    <row r="557" spans="1:3" ht="13" x14ac:dyDescent="0.15">
      <c r="A557" s="10"/>
      <c r="B557" s="13"/>
      <c r="C557" s="13"/>
    </row>
    <row r="558" spans="1:3" ht="13" x14ac:dyDescent="0.15">
      <c r="A558" s="10"/>
      <c r="B558" s="13"/>
      <c r="C558" s="13"/>
    </row>
    <row r="559" spans="1:3" ht="13" x14ac:dyDescent="0.15">
      <c r="A559" s="10"/>
      <c r="B559" s="13"/>
      <c r="C559" s="13"/>
    </row>
    <row r="560" spans="1:3" ht="13" x14ac:dyDescent="0.15">
      <c r="A560" s="10"/>
      <c r="B560" s="13"/>
      <c r="C560" s="13"/>
    </row>
    <row r="561" spans="1:3" ht="13" x14ac:dyDescent="0.15">
      <c r="A561" s="10"/>
      <c r="B561" s="13"/>
      <c r="C561" s="13"/>
    </row>
    <row r="562" spans="1:3" ht="13" x14ac:dyDescent="0.15">
      <c r="A562" s="10"/>
      <c r="B562" s="13"/>
      <c r="C562" s="13"/>
    </row>
    <row r="563" spans="1:3" ht="13" x14ac:dyDescent="0.15">
      <c r="A563" s="10"/>
      <c r="B563" s="13"/>
      <c r="C563" s="13"/>
    </row>
    <row r="564" spans="1:3" ht="13" x14ac:dyDescent="0.15">
      <c r="A564" s="10"/>
      <c r="B564" s="13"/>
      <c r="C564" s="13"/>
    </row>
    <row r="565" spans="1:3" ht="13" x14ac:dyDescent="0.15">
      <c r="A565" s="10"/>
      <c r="B565" s="13"/>
      <c r="C565" s="13"/>
    </row>
    <row r="566" spans="1:3" ht="13" x14ac:dyDescent="0.15">
      <c r="A566" s="10"/>
      <c r="B566" s="13"/>
      <c r="C566" s="13"/>
    </row>
    <row r="567" spans="1:3" ht="13" x14ac:dyDescent="0.15">
      <c r="A567" s="10"/>
      <c r="B567" s="13"/>
      <c r="C567" s="13"/>
    </row>
    <row r="568" spans="1:3" ht="13" x14ac:dyDescent="0.15">
      <c r="A568" s="10"/>
      <c r="B568" s="13"/>
      <c r="C568" s="13"/>
    </row>
    <row r="569" spans="1:3" ht="13" x14ac:dyDescent="0.15">
      <c r="A569" s="10"/>
      <c r="B569" s="13"/>
      <c r="C569" s="13"/>
    </row>
    <row r="570" spans="1:3" ht="13" x14ac:dyDescent="0.15">
      <c r="A570" s="10"/>
      <c r="B570" s="13"/>
      <c r="C570" s="13"/>
    </row>
    <row r="571" spans="1:3" ht="13" x14ac:dyDescent="0.15">
      <c r="A571" s="10"/>
      <c r="B571" s="13"/>
      <c r="C571" s="13"/>
    </row>
    <row r="572" spans="1:3" ht="13" x14ac:dyDescent="0.15">
      <c r="A572" s="10"/>
      <c r="B572" s="13"/>
      <c r="C572" s="13"/>
    </row>
    <row r="573" spans="1:3" ht="13" x14ac:dyDescent="0.15">
      <c r="A573" s="10"/>
      <c r="B573" s="13"/>
      <c r="C573" s="13"/>
    </row>
    <row r="574" spans="1:3" ht="13" x14ac:dyDescent="0.15">
      <c r="A574" s="10"/>
      <c r="B574" s="13"/>
      <c r="C574" s="13"/>
    </row>
    <row r="575" spans="1:3" ht="13" x14ac:dyDescent="0.15">
      <c r="A575" s="10"/>
      <c r="B575" s="13"/>
      <c r="C575" s="13"/>
    </row>
    <row r="576" spans="1:3" ht="13" x14ac:dyDescent="0.15">
      <c r="A576" s="10"/>
      <c r="B576" s="13"/>
      <c r="C576" s="13"/>
    </row>
    <row r="577" spans="1:3" ht="13" x14ac:dyDescent="0.15">
      <c r="A577" s="10"/>
      <c r="B577" s="13"/>
      <c r="C577" s="13"/>
    </row>
    <row r="578" spans="1:3" ht="13" x14ac:dyDescent="0.15">
      <c r="A578" s="10"/>
      <c r="B578" s="13"/>
      <c r="C578" s="13"/>
    </row>
    <row r="579" spans="1:3" ht="13" x14ac:dyDescent="0.15">
      <c r="A579" s="10"/>
      <c r="B579" s="13"/>
      <c r="C579" s="13"/>
    </row>
    <row r="580" spans="1:3" ht="13" x14ac:dyDescent="0.15">
      <c r="A580" s="10"/>
      <c r="B580" s="13"/>
      <c r="C580" s="13"/>
    </row>
    <row r="581" spans="1:3" ht="13" x14ac:dyDescent="0.15">
      <c r="A581" s="10"/>
      <c r="B581" s="13"/>
      <c r="C581" s="13"/>
    </row>
    <row r="582" spans="1:3" ht="13" x14ac:dyDescent="0.15">
      <c r="A582" s="10"/>
      <c r="B582" s="13"/>
      <c r="C582" s="13"/>
    </row>
    <row r="583" spans="1:3" ht="13" x14ac:dyDescent="0.15">
      <c r="A583" s="10"/>
      <c r="B583" s="13"/>
      <c r="C583" s="13"/>
    </row>
    <row r="584" spans="1:3" ht="13" x14ac:dyDescent="0.15">
      <c r="A584" s="10"/>
      <c r="B584" s="13"/>
      <c r="C584" s="13"/>
    </row>
    <row r="585" spans="1:3" ht="13" x14ac:dyDescent="0.15">
      <c r="A585" s="10"/>
      <c r="B585" s="13"/>
      <c r="C585" s="13"/>
    </row>
    <row r="586" spans="1:3" ht="13" x14ac:dyDescent="0.15">
      <c r="A586" s="10"/>
      <c r="B586" s="13"/>
      <c r="C586" s="13"/>
    </row>
    <row r="587" spans="1:3" ht="13" x14ac:dyDescent="0.15">
      <c r="A587" s="10"/>
      <c r="B587" s="13"/>
      <c r="C587" s="13"/>
    </row>
    <row r="588" spans="1:3" ht="13" x14ac:dyDescent="0.15">
      <c r="A588" s="10"/>
      <c r="B588" s="13"/>
      <c r="C588" s="13"/>
    </row>
    <row r="589" spans="1:3" ht="13" x14ac:dyDescent="0.15">
      <c r="A589" s="10"/>
      <c r="B589" s="13"/>
      <c r="C589" s="13"/>
    </row>
    <row r="590" spans="1:3" ht="13" x14ac:dyDescent="0.15">
      <c r="A590" s="10"/>
      <c r="B590" s="13"/>
      <c r="C590" s="13"/>
    </row>
    <row r="591" spans="1:3" ht="13" x14ac:dyDescent="0.15">
      <c r="A591" s="10"/>
      <c r="B591" s="13"/>
      <c r="C591" s="13"/>
    </row>
    <row r="592" spans="1:3" ht="13" x14ac:dyDescent="0.15">
      <c r="A592" s="10"/>
      <c r="B592" s="13"/>
      <c r="C592" s="13"/>
    </row>
    <row r="593" spans="1:3" ht="13" x14ac:dyDescent="0.15">
      <c r="A593" s="10"/>
      <c r="B593" s="13"/>
      <c r="C593" s="13"/>
    </row>
    <row r="594" spans="1:3" ht="13" x14ac:dyDescent="0.15">
      <c r="A594" s="10"/>
      <c r="B594" s="13"/>
      <c r="C594" s="13"/>
    </row>
    <row r="595" spans="1:3" ht="13" x14ac:dyDescent="0.15">
      <c r="A595" s="10"/>
      <c r="B595" s="13"/>
      <c r="C595" s="13"/>
    </row>
    <row r="596" spans="1:3" ht="13" x14ac:dyDescent="0.15">
      <c r="A596" s="10"/>
      <c r="B596" s="13"/>
      <c r="C596" s="13"/>
    </row>
    <row r="597" spans="1:3" ht="13" x14ac:dyDescent="0.15">
      <c r="A597" s="10"/>
      <c r="B597" s="13"/>
      <c r="C597" s="13"/>
    </row>
    <row r="598" spans="1:3" ht="13" x14ac:dyDescent="0.15">
      <c r="A598" s="10"/>
      <c r="B598" s="13"/>
      <c r="C598" s="13"/>
    </row>
    <row r="599" spans="1:3" ht="13" x14ac:dyDescent="0.15">
      <c r="A599" s="10"/>
      <c r="B599" s="13"/>
      <c r="C599" s="13"/>
    </row>
    <row r="600" spans="1:3" ht="13" x14ac:dyDescent="0.15">
      <c r="A600" s="10"/>
      <c r="B600" s="13"/>
      <c r="C600" s="13"/>
    </row>
    <row r="601" spans="1:3" ht="13" x14ac:dyDescent="0.15">
      <c r="A601" s="10"/>
      <c r="B601" s="13"/>
      <c r="C601" s="13"/>
    </row>
    <row r="602" spans="1:3" ht="13" x14ac:dyDescent="0.15">
      <c r="A602" s="10"/>
      <c r="B602" s="13"/>
      <c r="C602" s="13"/>
    </row>
    <row r="603" spans="1:3" ht="13" x14ac:dyDescent="0.15">
      <c r="A603" s="10"/>
      <c r="B603" s="13"/>
      <c r="C603" s="13"/>
    </row>
    <row r="604" spans="1:3" ht="13" x14ac:dyDescent="0.15">
      <c r="A604" s="10"/>
      <c r="B604" s="13"/>
      <c r="C604" s="13"/>
    </row>
    <row r="605" spans="1:3" ht="13" x14ac:dyDescent="0.15">
      <c r="A605" s="10"/>
      <c r="B605" s="13"/>
      <c r="C605" s="13"/>
    </row>
    <row r="606" spans="1:3" ht="13" x14ac:dyDescent="0.15">
      <c r="A606" s="10"/>
      <c r="B606" s="13"/>
      <c r="C606" s="13"/>
    </row>
    <row r="607" spans="1:3" ht="13" x14ac:dyDescent="0.15">
      <c r="A607" s="10"/>
      <c r="B607" s="13"/>
      <c r="C607" s="13"/>
    </row>
    <row r="608" spans="1:3" ht="13" x14ac:dyDescent="0.15">
      <c r="A608" s="10"/>
      <c r="B608" s="13"/>
      <c r="C608" s="13"/>
    </row>
    <row r="609" spans="1:3" ht="13" x14ac:dyDescent="0.15">
      <c r="A609" s="10"/>
      <c r="B609" s="13"/>
      <c r="C609" s="13"/>
    </row>
    <row r="610" spans="1:3" ht="13" x14ac:dyDescent="0.15">
      <c r="A610" s="10"/>
      <c r="B610" s="13"/>
      <c r="C610" s="13"/>
    </row>
    <row r="611" spans="1:3" ht="13" x14ac:dyDescent="0.15">
      <c r="A611" s="10"/>
      <c r="B611" s="13"/>
      <c r="C611" s="13"/>
    </row>
    <row r="612" spans="1:3" ht="13" x14ac:dyDescent="0.15">
      <c r="A612" s="10"/>
      <c r="B612" s="13"/>
      <c r="C612" s="13"/>
    </row>
    <row r="613" spans="1:3" ht="13" x14ac:dyDescent="0.15">
      <c r="A613" s="10"/>
      <c r="B613" s="13"/>
      <c r="C613" s="13"/>
    </row>
    <row r="614" spans="1:3" ht="13" x14ac:dyDescent="0.15">
      <c r="A614" s="10"/>
      <c r="B614" s="13"/>
      <c r="C614" s="13"/>
    </row>
    <row r="615" spans="1:3" ht="13" x14ac:dyDescent="0.15">
      <c r="A615" s="10"/>
      <c r="B615" s="13"/>
      <c r="C615" s="13"/>
    </row>
    <row r="616" spans="1:3" ht="13" x14ac:dyDescent="0.15">
      <c r="A616" s="10"/>
      <c r="B616" s="13"/>
      <c r="C616" s="13"/>
    </row>
    <row r="617" spans="1:3" ht="13" x14ac:dyDescent="0.15">
      <c r="A617" s="10"/>
      <c r="B617" s="13"/>
      <c r="C617" s="13"/>
    </row>
    <row r="618" spans="1:3" ht="13" x14ac:dyDescent="0.15">
      <c r="A618" s="10"/>
      <c r="B618" s="13"/>
      <c r="C618" s="13"/>
    </row>
    <row r="619" spans="1:3" ht="13" x14ac:dyDescent="0.15">
      <c r="A619" s="10"/>
      <c r="B619" s="13"/>
      <c r="C619" s="13"/>
    </row>
    <row r="620" spans="1:3" ht="13" x14ac:dyDescent="0.15">
      <c r="A620" s="10"/>
      <c r="B620" s="13"/>
      <c r="C620" s="13"/>
    </row>
    <row r="621" spans="1:3" ht="13" x14ac:dyDescent="0.15">
      <c r="A621" s="10"/>
      <c r="B621" s="13"/>
      <c r="C621" s="13"/>
    </row>
    <row r="622" spans="1:3" ht="13" x14ac:dyDescent="0.15">
      <c r="A622" s="10"/>
      <c r="B622" s="13"/>
      <c r="C622" s="13"/>
    </row>
    <row r="623" spans="1:3" ht="13" x14ac:dyDescent="0.15">
      <c r="A623" s="10"/>
      <c r="B623" s="13"/>
      <c r="C623" s="13"/>
    </row>
    <row r="624" spans="1:3" ht="13" x14ac:dyDescent="0.15">
      <c r="A624" s="10"/>
      <c r="B624" s="13"/>
      <c r="C624" s="13"/>
    </row>
    <row r="625" spans="1:3" ht="13" x14ac:dyDescent="0.15">
      <c r="A625" s="10"/>
      <c r="B625" s="13"/>
      <c r="C625" s="13"/>
    </row>
    <row r="626" spans="1:3" ht="13" x14ac:dyDescent="0.15">
      <c r="A626" s="10"/>
      <c r="B626" s="13"/>
      <c r="C626" s="13"/>
    </row>
    <row r="627" spans="1:3" ht="13" x14ac:dyDescent="0.15">
      <c r="A627" s="10"/>
      <c r="B627" s="13"/>
      <c r="C627" s="13"/>
    </row>
    <row r="628" spans="1:3" ht="13" x14ac:dyDescent="0.15">
      <c r="A628" s="10"/>
      <c r="B628" s="13"/>
      <c r="C628" s="13"/>
    </row>
    <row r="629" spans="1:3" ht="13" x14ac:dyDescent="0.15">
      <c r="A629" s="10"/>
      <c r="B629" s="13"/>
      <c r="C629" s="13"/>
    </row>
    <row r="630" spans="1:3" ht="13" x14ac:dyDescent="0.15">
      <c r="A630" s="10"/>
      <c r="B630" s="13"/>
      <c r="C630" s="13"/>
    </row>
    <row r="631" spans="1:3" ht="13" x14ac:dyDescent="0.15">
      <c r="A631" s="10"/>
      <c r="B631" s="13"/>
      <c r="C631" s="13"/>
    </row>
    <row r="632" spans="1:3" ht="13" x14ac:dyDescent="0.15">
      <c r="A632" s="10"/>
      <c r="B632" s="13"/>
      <c r="C632" s="13"/>
    </row>
    <row r="633" spans="1:3" ht="13" x14ac:dyDescent="0.15">
      <c r="A633" s="10"/>
      <c r="B633" s="13"/>
      <c r="C633" s="13"/>
    </row>
    <row r="634" spans="1:3" ht="13" x14ac:dyDescent="0.15">
      <c r="A634" s="10"/>
      <c r="B634" s="13"/>
      <c r="C634" s="13"/>
    </row>
    <row r="635" spans="1:3" ht="13" x14ac:dyDescent="0.15">
      <c r="A635" s="10"/>
      <c r="B635" s="13"/>
      <c r="C635" s="13"/>
    </row>
    <row r="636" spans="1:3" ht="13" x14ac:dyDescent="0.15">
      <c r="A636" s="10"/>
      <c r="B636" s="13"/>
      <c r="C636" s="13"/>
    </row>
    <row r="637" spans="1:3" ht="13" x14ac:dyDescent="0.15">
      <c r="A637" s="10"/>
      <c r="B637" s="13"/>
      <c r="C637" s="13"/>
    </row>
    <row r="638" spans="1:3" ht="13" x14ac:dyDescent="0.15">
      <c r="A638" s="10"/>
      <c r="B638" s="13"/>
      <c r="C638" s="13"/>
    </row>
    <row r="639" spans="1:3" ht="13" x14ac:dyDescent="0.15">
      <c r="A639" s="10"/>
      <c r="B639" s="13"/>
      <c r="C639" s="13"/>
    </row>
    <row r="640" spans="1:3" ht="13" x14ac:dyDescent="0.15">
      <c r="A640" s="10"/>
      <c r="B640" s="13"/>
      <c r="C640" s="13"/>
    </row>
    <row r="641" spans="1:3" ht="13" x14ac:dyDescent="0.15">
      <c r="A641" s="10"/>
      <c r="B641" s="13"/>
      <c r="C641" s="13"/>
    </row>
    <row r="642" spans="1:3" ht="13" x14ac:dyDescent="0.15">
      <c r="A642" s="10"/>
      <c r="B642" s="13"/>
      <c r="C642" s="13"/>
    </row>
    <row r="643" spans="1:3" ht="13" x14ac:dyDescent="0.15">
      <c r="A643" s="10"/>
      <c r="B643" s="13"/>
      <c r="C643" s="13"/>
    </row>
    <row r="644" spans="1:3" ht="13" x14ac:dyDescent="0.15">
      <c r="A644" s="10"/>
      <c r="B644" s="13"/>
      <c r="C644" s="13"/>
    </row>
    <row r="645" spans="1:3" ht="13" x14ac:dyDescent="0.15">
      <c r="A645" s="10"/>
      <c r="B645" s="13"/>
      <c r="C645" s="13"/>
    </row>
    <row r="646" spans="1:3" ht="13" x14ac:dyDescent="0.15">
      <c r="A646" s="10"/>
      <c r="B646" s="13"/>
      <c r="C646" s="13"/>
    </row>
    <row r="647" spans="1:3" ht="13" x14ac:dyDescent="0.15">
      <c r="A647" s="10"/>
      <c r="B647" s="13"/>
      <c r="C647" s="13"/>
    </row>
    <row r="648" spans="1:3" ht="13" x14ac:dyDescent="0.15">
      <c r="A648" s="10"/>
      <c r="B648" s="13"/>
      <c r="C648" s="13"/>
    </row>
    <row r="649" spans="1:3" ht="13" x14ac:dyDescent="0.15">
      <c r="A649" s="10"/>
      <c r="B649" s="13"/>
      <c r="C649" s="13"/>
    </row>
    <row r="650" spans="1:3" ht="13" x14ac:dyDescent="0.15">
      <c r="A650" s="10"/>
      <c r="B650" s="13"/>
      <c r="C650" s="13"/>
    </row>
    <row r="651" spans="1:3" ht="13" x14ac:dyDescent="0.15">
      <c r="A651" s="10"/>
      <c r="B651" s="13"/>
      <c r="C651" s="13"/>
    </row>
    <row r="652" spans="1:3" ht="13" x14ac:dyDescent="0.15">
      <c r="A652" s="10"/>
      <c r="B652" s="13"/>
      <c r="C652" s="13"/>
    </row>
    <row r="653" spans="1:3" ht="13" x14ac:dyDescent="0.15">
      <c r="A653" s="10"/>
      <c r="B653" s="13"/>
      <c r="C653" s="13"/>
    </row>
    <row r="654" spans="1:3" ht="13" x14ac:dyDescent="0.15">
      <c r="A654" s="10"/>
      <c r="B654" s="13"/>
      <c r="C654" s="13"/>
    </row>
    <row r="655" spans="1:3" ht="13" x14ac:dyDescent="0.15">
      <c r="A655" s="10"/>
      <c r="B655" s="13"/>
      <c r="C655" s="13"/>
    </row>
    <row r="656" spans="1:3" ht="13" x14ac:dyDescent="0.15">
      <c r="A656" s="10"/>
      <c r="B656" s="13"/>
      <c r="C656" s="13"/>
    </row>
    <row r="657" spans="1:3" ht="13" x14ac:dyDescent="0.15">
      <c r="A657" s="10"/>
      <c r="B657" s="13"/>
      <c r="C657" s="13"/>
    </row>
    <row r="658" spans="1:3" ht="13" x14ac:dyDescent="0.15">
      <c r="A658" s="10"/>
      <c r="B658" s="13"/>
      <c r="C658" s="13"/>
    </row>
    <row r="659" spans="1:3" ht="13" x14ac:dyDescent="0.15">
      <c r="A659" s="10"/>
      <c r="B659" s="13"/>
      <c r="C659" s="13"/>
    </row>
    <row r="660" spans="1:3" ht="13" x14ac:dyDescent="0.15">
      <c r="A660" s="10"/>
      <c r="B660" s="13"/>
      <c r="C660" s="13"/>
    </row>
    <row r="661" spans="1:3" ht="13" x14ac:dyDescent="0.15">
      <c r="A661" s="10"/>
      <c r="B661" s="13"/>
      <c r="C661" s="13"/>
    </row>
    <row r="662" spans="1:3" ht="13" x14ac:dyDescent="0.15">
      <c r="A662" s="10"/>
      <c r="B662" s="13"/>
      <c r="C662" s="13"/>
    </row>
    <row r="663" spans="1:3" ht="13" x14ac:dyDescent="0.15">
      <c r="A663" s="10"/>
      <c r="B663" s="13"/>
      <c r="C663" s="13"/>
    </row>
    <row r="664" spans="1:3" ht="13" x14ac:dyDescent="0.15">
      <c r="A664" s="10"/>
      <c r="B664" s="13"/>
      <c r="C664" s="13"/>
    </row>
    <row r="665" spans="1:3" ht="13" x14ac:dyDescent="0.15">
      <c r="A665" s="10"/>
      <c r="B665" s="13"/>
      <c r="C665" s="13"/>
    </row>
    <row r="666" spans="1:3" ht="13" x14ac:dyDescent="0.15">
      <c r="A666" s="10"/>
      <c r="B666" s="13"/>
      <c r="C666" s="13"/>
    </row>
    <row r="667" spans="1:3" ht="13" x14ac:dyDescent="0.15">
      <c r="A667" s="10"/>
      <c r="B667" s="13"/>
      <c r="C667" s="13"/>
    </row>
    <row r="668" spans="1:3" ht="13" x14ac:dyDescent="0.15">
      <c r="A668" s="10"/>
      <c r="B668" s="13"/>
      <c r="C668" s="13"/>
    </row>
    <row r="669" spans="1:3" ht="13" x14ac:dyDescent="0.15">
      <c r="A669" s="10"/>
      <c r="B669" s="13"/>
      <c r="C669" s="13"/>
    </row>
    <row r="670" spans="1:3" ht="13" x14ac:dyDescent="0.15">
      <c r="A670" s="10"/>
      <c r="B670" s="13"/>
      <c r="C670" s="13"/>
    </row>
    <row r="671" spans="1:3" ht="13" x14ac:dyDescent="0.15">
      <c r="A671" s="10"/>
      <c r="B671" s="13"/>
      <c r="C671" s="13"/>
    </row>
    <row r="672" spans="1:3" ht="13" x14ac:dyDescent="0.15">
      <c r="A672" s="10"/>
      <c r="B672" s="13"/>
      <c r="C672" s="13"/>
    </row>
    <row r="673" spans="1:3" ht="13" x14ac:dyDescent="0.15">
      <c r="A673" s="10"/>
      <c r="B673" s="13"/>
      <c r="C673" s="13"/>
    </row>
    <row r="674" spans="1:3" ht="13" x14ac:dyDescent="0.15">
      <c r="A674" s="10"/>
      <c r="B674" s="13"/>
      <c r="C674" s="13"/>
    </row>
    <row r="675" spans="1:3" ht="13" x14ac:dyDescent="0.15">
      <c r="A675" s="10"/>
      <c r="B675" s="13"/>
      <c r="C675" s="13"/>
    </row>
    <row r="676" spans="1:3" ht="13" x14ac:dyDescent="0.15">
      <c r="A676" s="10"/>
      <c r="B676" s="13"/>
      <c r="C676" s="13"/>
    </row>
    <row r="677" spans="1:3" ht="13" x14ac:dyDescent="0.15">
      <c r="A677" s="10"/>
      <c r="B677" s="13"/>
      <c r="C677" s="13"/>
    </row>
    <row r="678" spans="1:3" ht="13" x14ac:dyDescent="0.15">
      <c r="A678" s="10"/>
      <c r="B678" s="13"/>
      <c r="C678" s="13"/>
    </row>
    <row r="679" spans="1:3" ht="13" x14ac:dyDescent="0.15">
      <c r="A679" s="10"/>
      <c r="B679" s="13"/>
      <c r="C679" s="13"/>
    </row>
    <row r="680" spans="1:3" ht="13" x14ac:dyDescent="0.15">
      <c r="A680" s="10"/>
      <c r="B680" s="13"/>
      <c r="C680" s="13"/>
    </row>
    <row r="681" spans="1:3" ht="13" x14ac:dyDescent="0.15">
      <c r="A681" s="10"/>
      <c r="B681" s="13"/>
      <c r="C681" s="13"/>
    </row>
    <row r="682" spans="1:3" ht="13" x14ac:dyDescent="0.15">
      <c r="A682" s="10"/>
      <c r="B682" s="13"/>
      <c r="C682" s="13"/>
    </row>
    <row r="683" spans="1:3" ht="13" x14ac:dyDescent="0.15">
      <c r="A683" s="10"/>
      <c r="B683" s="13"/>
      <c r="C683" s="13"/>
    </row>
    <row r="684" spans="1:3" ht="13" x14ac:dyDescent="0.15">
      <c r="A684" s="10"/>
      <c r="B684" s="13"/>
      <c r="C684" s="13"/>
    </row>
    <row r="685" spans="1:3" ht="13" x14ac:dyDescent="0.15">
      <c r="A685" s="10"/>
      <c r="B685" s="13"/>
      <c r="C685" s="13"/>
    </row>
    <row r="686" spans="1:3" ht="13" x14ac:dyDescent="0.15">
      <c r="A686" s="10"/>
      <c r="B686" s="13"/>
      <c r="C686" s="13"/>
    </row>
    <row r="687" spans="1:3" ht="13" x14ac:dyDescent="0.15">
      <c r="A687" s="10"/>
      <c r="B687" s="13"/>
      <c r="C687" s="13"/>
    </row>
    <row r="688" spans="1:3" ht="13" x14ac:dyDescent="0.15">
      <c r="A688" s="10"/>
      <c r="B688" s="13"/>
      <c r="C688" s="13"/>
    </row>
    <row r="689" spans="1:3" ht="13" x14ac:dyDescent="0.15">
      <c r="A689" s="10"/>
      <c r="B689" s="13"/>
      <c r="C689" s="13"/>
    </row>
    <row r="690" spans="1:3" ht="13" x14ac:dyDescent="0.15">
      <c r="A690" s="10"/>
      <c r="B690" s="13"/>
      <c r="C690" s="13"/>
    </row>
    <row r="691" spans="1:3" ht="13" x14ac:dyDescent="0.15">
      <c r="A691" s="10"/>
      <c r="B691" s="13"/>
      <c r="C691" s="13"/>
    </row>
    <row r="692" spans="1:3" ht="13" x14ac:dyDescent="0.15">
      <c r="A692" s="10"/>
      <c r="B692" s="13"/>
      <c r="C692" s="13"/>
    </row>
    <row r="693" spans="1:3" ht="13" x14ac:dyDescent="0.15">
      <c r="A693" s="10"/>
      <c r="B693" s="13"/>
      <c r="C693" s="13"/>
    </row>
    <row r="694" spans="1:3" ht="13" x14ac:dyDescent="0.15">
      <c r="A694" s="10"/>
      <c r="B694" s="13"/>
      <c r="C694" s="13"/>
    </row>
    <row r="695" spans="1:3" ht="13" x14ac:dyDescent="0.15">
      <c r="A695" s="10"/>
      <c r="B695" s="13"/>
      <c r="C695" s="13"/>
    </row>
    <row r="696" spans="1:3" ht="13" x14ac:dyDescent="0.15">
      <c r="A696" s="10"/>
      <c r="B696" s="13"/>
      <c r="C696" s="13"/>
    </row>
    <row r="697" spans="1:3" ht="13" x14ac:dyDescent="0.15">
      <c r="A697" s="10"/>
      <c r="B697" s="13"/>
      <c r="C697" s="13"/>
    </row>
    <row r="698" spans="1:3" ht="13" x14ac:dyDescent="0.15">
      <c r="A698" s="10"/>
      <c r="B698" s="13"/>
      <c r="C698" s="13"/>
    </row>
    <row r="699" spans="1:3" ht="13" x14ac:dyDescent="0.15">
      <c r="A699" s="10"/>
      <c r="B699" s="13"/>
      <c r="C699" s="13"/>
    </row>
    <row r="700" spans="1:3" ht="13" x14ac:dyDescent="0.15">
      <c r="A700" s="10"/>
      <c r="B700" s="13"/>
      <c r="C700" s="13"/>
    </row>
    <row r="701" spans="1:3" ht="13" x14ac:dyDescent="0.15">
      <c r="A701" s="10"/>
      <c r="B701" s="13"/>
      <c r="C701" s="13"/>
    </row>
    <row r="702" spans="1:3" ht="13" x14ac:dyDescent="0.15">
      <c r="A702" s="10"/>
      <c r="B702" s="13"/>
      <c r="C702" s="13"/>
    </row>
    <row r="703" spans="1:3" ht="13" x14ac:dyDescent="0.15">
      <c r="A703" s="10"/>
      <c r="B703" s="13"/>
      <c r="C703" s="13"/>
    </row>
    <row r="704" spans="1:3" ht="13" x14ac:dyDescent="0.15">
      <c r="A704" s="10"/>
      <c r="B704" s="13"/>
      <c r="C704" s="13"/>
    </row>
    <row r="705" spans="1:3" ht="13" x14ac:dyDescent="0.15">
      <c r="A705" s="10"/>
      <c r="B705" s="13"/>
      <c r="C705" s="13"/>
    </row>
    <row r="706" spans="1:3" ht="13" x14ac:dyDescent="0.15">
      <c r="A706" s="10"/>
      <c r="B706" s="13"/>
      <c r="C706" s="13"/>
    </row>
    <row r="707" spans="1:3" ht="13" x14ac:dyDescent="0.15">
      <c r="A707" s="10"/>
      <c r="B707" s="13"/>
      <c r="C707" s="13"/>
    </row>
    <row r="708" spans="1:3" ht="13" x14ac:dyDescent="0.15">
      <c r="A708" s="10"/>
      <c r="B708" s="13"/>
      <c r="C708" s="13"/>
    </row>
    <row r="709" spans="1:3" ht="13" x14ac:dyDescent="0.15">
      <c r="A709" s="10"/>
      <c r="B709" s="13"/>
      <c r="C709" s="13"/>
    </row>
    <row r="710" spans="1:3" ht="13" x14ac:dyDescent="0.15">
      <c r="A710" s="10"/>
      <c r="B710" s="13"/>
      <c r="C710" s="13"/>
    </row>
    <row r="711" spans="1:3" ht="13" x14ac:dyDescent="0.15">
      <c r="A711" s="10"/>
      <c r="B711" s="13"/>
      <c r="C711" s="13"/>
    </row>
    <row r="712" spans="1:3" ht="13" x14ac:dyDescent="0.15">
      <c r="A712" s="10"/>
      <c r="B712" s="13"/>
      <c r="C712" s="13"/>
    </row>
    <row r="713" spans="1:3" ht="13" x14ac:dyDescent="0.15">
      <c r="A713" s="10"/>
      <c r="B713" s="13"/>
      <c r="C713" s="13"/>
    </row>
    <row r="714" spans="1:3" ht="13" x14ac:dyDescent="0.15">
      <c r="A714" s="10"/>
      <c r="B714" s="13"/>
      <c r="C714" s="13"/>
    </row>
    <row r="715" spans="1:3" ht="13" x14ac:dyDescent="0.15">
      <c r="A715" s="10"/>
      <c r="B715" s="13"/>
      <c r="C715" s="13"/>
    </row>
    <row r="716" spans="1:3" ht="13" x14ac:dyDescent="0.15">
      <c r="A716" s="10"/>
      <c r="B716" s="13"/>
      <c r="C716" s="13"/>
    </row>
    <row r="717" spans="1:3" ht="13" x14ac:dyDescent="0.15">
      <c r="A717" s="10"/>
      <c r="B717" s="13"/>
      <c r="C717" s="13"/>
    </row>
    <row r="718" spans="1:3" ht="13" x14ac:dyDescent="0.15">
      <c r="A718" s="10"/>
      <c r="B718" s="13"/>
      <c r="C718" s="13"/>
    </row>
    <row r="719" spans="1:3" ht="13" x14ac:dyDescent="0.15">
      <c r="A719" s="10"/>
      <c r="B719" s="13"/>
      <c r="C719" s="13"/>
    </row>
    <row r="720" spans="1:3" ht="13" x14ac:dyDescent="0.15">
      <c r="A720" s="10"/>
      <c r="B720" s="13"/>
      <c r="C720" s="13"/>
    </row>
    <row r="721" spans="1:3" ht="13" x14ac:dyDescent="0.15">
      <c r="A721" s="10"/>
      <c r="B721" s="13"/>
      <c r="C721" s="13"/>
    </row>
    <row r="722" spans="1:3" ht="13" x14ac:dyDescent="0.15">
      <c r="A722" s="10"/>
      <c r="B722" s="13"/>
      <c r="C722" s="13"/>
    </row>
    <row r="723" spans="1:3" ht="13" x14ac:dyDescent="0.15">
      <c r="A723" s="10"/>
      <c r="B723" s="13"/>
      <c r="C723" s="13"/>
    </row>
    <row r="724" spans="1:3" ht="13" x14ac:dyDescent="0.15">
      <c r="A724" s="10"/>
      <c r="B724" s="13"/>
      <c r="C724" s="13"/>
    </row>
    <row r="725" spans="1:3" ht="13" x14ac:dyDescent="0.15">
      <c r="A725" s="10"/>
      <c r="B725" s="13"/>
      <c r="C725" s="13"/>
    </row>
    <row r="726" spans="1:3" ht="13" x14ac:dyDescent="0.15">
      <c r="A726" s="10"/>
      <c r="B726" s="13"/>
      <c r="C726" s="13"/>
    </row>
    <row r="727" spans="1:3" ht="13" x14ac:dyDescent="0.15">
      <c r="A727" s="10"/>
      <c r="B727" s="13"/>
      <c r="C727" s="13"/>
    </row>
    <row r="728" spans="1:3" ht="13" x14ac:dyDescent="0.15">
      <c r="A728" s="10"/>
      <c r="B728" s="13"/>
      <c r="C728" s="13"/>
    </row>
    <row r="729" spans="1:3" ht="13" x14ac:dyDescent="0.15">
      <c r="A729" s="10"/>
      <c r="B729" s="13"/>
      <c r="C729" s="13"/>
    </row>
    <row r="730" spans="1:3" ht="13" x14ac:dyDescent="0.15">
      <c r="A730" s="10"/>
      <c r="B730" s="13"/>
      <c r="C730" s="13"/>
    </row>
    <row r="731" spans="1:3" ht="13" x14ac:dyDescent="0.15">
      <c r="A731" s="10"/>
      <c r="B731" s="13"/>
      <c r="C731" s="13"/>
    </row>
    <row r="732" spans="1:3" ht="13" x14ac:dyDescent="0.15">
      <c r="A732" s="10"/>
      <c r="B732" s="13"/>
      <c r="C732" s="13"/>
    </row>
    <row r="733" spans="1:3" ht="13" x14ac:dyDescent="0.15">
      <c r="A733" s="10"/>
      <c r="B733" s="13"/>
      <c r="C733" s="13"/>
    </row>
    <row r="734" spans="1:3" ht="13" x14ac:dyDescent="0.15">
      <c r="A734" s="10"/>
      <c r="B734" s="13"/>
      <c r="C734" s="13"/>
    </row>
    <row r="735" spans="1:3" ht="13" x14ac:dyDescent="0.15">
      <c r="A735" s="10"/>
      <c r="B735" s="13"/>
      <c r="C735" s="13"/>
    </row>
    <row r="736" spans="1:3" ht="13" x14ac:dyDescent="0.15">
      <c r="A736" s="10"/>
      <c r="B736" s="13"/>
      <c r="C736" s="13"/>
    </row>
    <row r="737" spans="1:3" ht="13" x14ac:dyDescent="0.15">
      <c r="A737" s="10"/>
      <c r="B737" s="13"/>
      <c r="C737" s="13"/>
    </row>
    <row r="738" spans="1:3" ht="13" x14ac:dyDescent="0.15">
      <c r="A738" s="10"/>
      <c r="B738" s="13"/>
      <c r="C738" s="13"/>
    </row>
    <row r="739" spans="1:3" ht="13" x14ac:dyDescent="0.15">
      <c r="A739" s="10"/>
      <c r="B739" s="13"/>
      <c r="C739" s="13"/>
    </row>
    <row r="740" spans="1:3" ht="13" x14ac:dyDescent="0.15">
      <c r="A740" s="10"/>
      <c r="B740" s="13"/>
      <c r="C740" s="13"/>
    </row>
    <row r="741" spans="1:3" ht="13" x14ac:dyDescent="0.15">
      <c r="A741" s="10"/>
      <c r="B741" s="13"/>
      <c r="C741" s="13"/>
    </row>
    <row r="742" spans="1:3" ht="13" x14ac:dyDescent="0.15">
      <c r="A742" s="10"/>
      <c r="B742" s="13"/>
      <c r="C742" s="13"/>
    </row>
    <row r="743" spans="1:3" ht="13" x14ac:dyDescent="0.15">
      <c r="A743" s="10"/>
      <c r="B743" s="13"/>
      <c r="C743" s="13"/>
    </row>
    <row r="744" spans="1:3" ht="13" x14ac:dyDescent="0.15">
      <c r="A744" s="10"/>
      <c r="B744" s="13"/>
      <c r="C744" s="13"/>
    </row>
    <row r="745" spans="1:3" ht="13" x14ac:dyDescent="0.15">
      <c r="A745" s="10"/>
      <c r="B745" s="13"/>
      <c r="C745" s="13"/>
    </row>
    <row r="746" spans="1:3" ht="13" x14ac:dyDescent="0.15">
      <c r="A746" s="10"/>
      <c r="B746" s="13"/>
      <c r="C746" s="13"/>
    </row>
    <row r="747" spans="1:3" ht="13" x14ac:dyDescent="0.15">
      <c r="A747" s="10"/>
      <c r="B747" s="13"/>
      <c r="C747" s="13"/>
    </row>
    <row r="748" spans="1:3" ht="13" x14ac:dyDescent="0.15">
      <c r="A748" s="10"/>
      <c r="B748" s="13"/>
      <c r="C748" s="13"/>
    </row>
    <row r="749" spans="1:3" ht="13" x14ac:dyDescent="0.15">
      <c r="A749" s="10"/>
      <c r="B749" s="13"/>
      <c r="C749" s="13"/>
    </row>
    <row r="750" spans="1:3" ht="13" x14ac:dyDescent="0.15">
      <c r="A750" s="10"/>
      <c r="B750" s="13"/>
      <c r="C750" s="13"/>
    </row>
    <row r="751" spans="1:3" ht="13" x14ac:dyDescent="0.15">
      <c r="A751" s="10"/>
      <c r="B751" s="13"/>
      <c r="C751" s="13"/>
    </row>
    <row r="752" spans="1:3" ht="13" x14ac:dyDescent="0.15">
      <c r="A752" s="10"/>
      <c r="B752" s="13"/>
      <c r="C752" s="13"/>
    </row>
    <row r="753" spans="1:3" ht="13" x14ac:dyDescent="0.15">
      <c r="A753" s="10"/>
      <c r="B753" s="13"/>
      <c r="C753" s="13"/>
    </row>
    <row r="754" spans="1:3" ht="13" x14ac:dyDescent="0.15">
      <c r="A754" s="10"/>
      <c r="B754" s="13"/>
      <c r="C754" s="13"/>
    </row>
    <row r="755" spans="1:3" ht="13" x14ac:dyDescent="0.15">
      <c r="A755" s="10"/>
      <c r="B755" s="13"/>
      <c r="C755" s="13"/>
    </row>
    <row r="756" spans="1:3" ht="13" x14ac:dyDescent="0.15">
      <c r="A756" s="10"/>
      <c r="B756" s="13"/>
      <c r="C756" s="13"/>
    </row>
    <row r="757" spans="1:3" ht="13" x14ac:dyDescent="0.15">
      <c r="A757" s="10"/>
      <c r="B757" s="13"/>
      <c r="C757" s="13"/>
    </row>
    <row r="758" spans="1:3" ht="13" x14ac:dyDescent="0.15">
      <c r="A758" s="10"/>
      <c r="B758" s="13"/>
      <c r="C758" s="13"/>
    </row>
    <row r="759" spans="1:3" ht="13" x14ac:dyDescent="0.15">
      <c r="A759" s="10"/>
      <c r="B759" s="13"/>
      <c r="C759" s="13"/>
    </row>
    <row r="760" spans="1:3" ht="13" x14ac:dyDescent="0.15">
      <c r="A760" s="10"/>
      <c r="B760" s="13"/>
      <c r="C760" s="13"/>
    </row>
    <row r="761" spans="1:3" ht="13" x14ac:dyDescent="0.15">
      <c r="A761" s="10"/>
      <c r="B761" s="13"/>
      <c r="C761" s="13"/>
    </row>
    <row r="762" spans="1:3" ht="13" x14ac:dyDescent="0.15">
      <c r="A762" s="10"/>
      <c r="B762" s="13"/>
      <c r="C762" s="13"/>
    </row>
    <row r="763" spans="1:3" ht="13" x14ac:dyDescent="0.15">
      <c r="A763" s="10"/>
      <c r="B763" s="13"/>
      <c r="C763" s="13"/>
    </row>
    <row r="764" spans="1:3" ht="13" x14ac:dyDescent="0.15">
      <c r="A764" s="10"/>
      <c r="B764" s="13"/>
      <c r="C764" s="13"/>
    </row>
    <row r="765" spans="1:3" ht="13" x14ac:dyDescent="0.15">
      <c r="A765" s="10"/>
      <c r="B765" s="13"/>
      <c r="C765" s="13"/>
    </row>
    <row r="766" spans="1:3" ht="13" x14ac:dyDescent="0.15">
      <c r="A766" s="10"/>
      <c r="B766" s="13"/>
      <c r="C766" s="13"/>
    </row>
    <row r="767" spans="1:3" ht="13" x14ac:dyDescent="0.15">
      <c r="A767" s="10"/>
      <c r="B767" s="13"/>
      <c r="C767" s="13"/>
    </row>
    <row r="768" spans="1:3" ht="13" x14ac:dyDescent="0.15">
      <c r="A768" s="10"/>
      <c r="B768" s="13"/>
      <c r="C768" s="13"/>
    </row>
    <row r="769" spans="1:3" ht="13" x14ac:dyDescent="0.15">
      <c r="A769" s="10"/>
      <c r="B769" s="13"/>
      <c r="C769" s="13"/>
    </row>
    <row r="770" spans="1:3" ht="13" x14ac:dyDescent="0.15">
      <c r="A770" s="10"/>
      <c r="B770" s="13"/>
      <c r="C770" s="13"/>
    </row>
    <row r="771" spans="1:3" ht="13" x14ac:dyDescent="0.15">
      <c r="A771" s="10"/>
      <c r="B771" s="13"/>
      <c r="C771" s="13"/>
    </row>
    <row r="772" spans="1:3" ht="13" x14ac:dyDescent="0.15">
      <c r="A772" s="10"/>
      <c r="B772" s="13"/>
      <c r="C772" s="13"/>
    </row>
    <row r="773" spans="1:3" ht="13" x14ac:dyDescent="0.15">
      <c r="A773" s="10"/>
      <c r="B773" s="13"/>
      <c r="C773" s="13"/>
    </row>
    <row r="774" spans="1:3" ht="13" x14ac:dyDescent="0.15">
      <c r="A774" s="10"/>
      <c r="B774" s="13"/>
      <c r="C774" s="13"/>
    </row>
    <row r="775" spans="1:3" ht="13" x14ac:dyDescent="0.15">
      <c r="A775" s="10"/>
      <c r="B775" s="13"/>
      <c r="C775" s="13"/>
    </row>
    <row r="776" spans="1:3" ht="13" x14ac:dyDescent="0.15">
      <c r="A776" s="10"/>
      <c r="B776" s="13"/>
      <c r="C776" s="13"/>
    </row>
    <row r="777" spans="1:3" ht="13" x14ac:dyDescent="0.15">
      <c r="A777" s="10"/>
      <c r="B777" s="13"/>
      <c r="C777" s="13"/>
    </row>
    <row r="778" spans="1:3" ht="13" x14ac:dyDescent="0.15">
      <c r="A778" s="10"/>
      <c r="B778" s="13"/>
      <c r="C778" s="13"/>
    </row>
    <row r="779" spans="1:3" ht="13" x14ac:dyDescent="0.15">
      <c r="A779" s="10"/>
      <c r="B779" s="13"/>
      <c r="C779" s="13"/>
    </row>
    <row r="780" spans="1:3" ht="13" x14ac:dyDescent="0.15">
      <c r="A780" s="10"/>
      <c r="B780" s="13"/>
      <c r="C780" s="13"/>
    </row>
    <row r="781" spans="1:3" ht="13" x14ac:dyDescent="0.15">
      <c r="A781" s="10"/>
      <c r="B781" s="13"/>
      <c r="C781" s="13"/>
    </row>
    <row r="782" spans="1:3" ht="13" x14ac:dyDescent="0.15">
      <c r="A782" s="10"/>
      <c r="B782" s="13"/>
      <c r="C782" s="13"/>
    </row>
    <row r="783" spans="1:3" ht="13" x14ac:dyDescent="0.15">
      <c r="A783" s="10"/>
      <c r="B783" s="13"/>
      <c r="C783" s="13"/>
    </row>
    <row r="784" spans="1:3" ht="13" x14ac:dyDescent="0.15">
      <c r="A784" s="10"/>
      <c r="B784" s="13"/>
      <c r="C784" s="13"/>
    </row>
    <row r="785" spans="1:3" ht="13" x14ac:dyDescent="0.15">
      <c r="A785" s="10"/>
      <c r="B785" s="13"/>
      <c r="C785" s="13"/>
    </row>
    <row r="786" spans="1:3" ht="13" x14ac:dyDescent="0.15">
      <c r="A786" s="10"/>
      <c r="B786" s="13"/>
      <c r="C786" s="13"/>
    </row>
    <row r="787" spans="1:3" ht="13" x14ac:dyDescent="0.15">
      <c r="A787" s="10"/>
      <c r="B787" s="13"/>
      <c r="C787" s="13"/>
    </row>
    <row r="788" spans="1:3" ht="13" x14ac:dyDescent="0.15">
      <c r="A788" s="10"/>
      <c r="B788" s="13"/>
      <c r="C788" s="13"/>
    </row>
    <row r="789" spans="1:3" ht="13" x14ac:dyDescent="0.15">
      <c r="A789" s="10"/>
      <c r="B789" s="13"/>
      <c r="C789" s="13"/>
    </row>
    <row r="790" spans="1:3" ht="13" x14ac:dyDescent="0.15">
      <c r="A790" s="10"/>
      <c r="B790" s="13"/>
      <c r="C790" s="13"/>
    </row>
    <row r="791" spans="1:3" ht="13" x14ac:dyDescent="0.15">
      <c r="A791" s="10"/>
      <c r="B791" s="13"/>
      <c r="C791" s="13"/>
    </row>
    <row r="792" spans="1:3" ht="13" x14ac:dyDescent="0.15">
      <c r="A792" s="10"/>
      <c r="B792" s="13"/>
      <c r="C792" s="13"/>
    </row>
    <row r="793" spans="1:3" ht="13" x14ac:dyDescent="0.15">
      <c r="A793" s="10"/>
      <c r="B793" s="13"/>
      <c r="C793" s="13"/>
    </row>
    <row r="794" spans="1:3" ht="13" x14ac:dyDescent="0.15">
      <c r="A794" s="10"/>
      <c r="B794" s="13"/>
      <c r="C794" s="13"/>
    </row>
    <row r="795" spans="1:3" ht="13" x14ac:dyDescent="0.15">
      <c r="A795" s="10"/>
      <c r="B795" s="13"/>
      <c r="C795" s="13"/>
    </row>
    <row r="796" spans="1:3" ht="13" x14ac:dyDescent="0.15">
      <c r="A796" s="10"/>
      <c r="B796" s="13"/>
      <c r="C796" s="13"/>
    </row>
    <row r="797" spans="1:3" ht="13" x14ac:dyDescent="0.15">
      <c r="A797" s="10"/>
      <c r="B797" s="13"/>
      <c r="C797" s="13"/>
    </row>
    <row r="798" spans="1:3" ht="13" x14ac:dyDescent="0.15">
      <c r="A798" s="10"/>
      <c r="B798" s="13"/>
      <c r="C798" s="13"/>
    </row>
    <row r="799" spans="1:3" ht="13" x14ac:dyDescent="0.15">
      <c r="A799" s="10"/>
      <c r="B799" s="13"/>
      <c r="C799" s="13"/>
    </row>
    <row r="800" spans="1:3" ht="13" x14ac:dyDescent="0.15">
      <c r="A800" s="10"/>
      <c r="B800" s="13"/>
      <c r="C800" s="13"/>
    </row>
    <row r="801" spans="1:3" ht="13" x14ac:dyDescent="0.15">
      <c r="A801" s="10"/>
      <c r="B801" s="13"/>
      <c r="C801" s="13"/>
    </row>
    <row r="802" spans="1:3" ht="13" x14ac:dyDescent="0.15">
      <c r="A802" s="10"/>
      <c r="B802" s="13"/>
      <c r="C802" s="13"/>
    </row>
    <row r="803" spans="1:3" ht="13" x14ac:dyDescent="0.15">
      <c r="A803" s="10"/>
      <c r="B803" s="13"/>
      <c r="C803" s="13"/>
    </row>
    <row r="804" spans="1:3" ht="13" x14ac:dyDescent="0.15">
      <c r="A804" s="10"/>
      <c r="B804" s="13"/>
      <c r="C804" s="13"/>
    </row>
    <row r="805" spans="1:3" ht="13" x14ac:dyDescent="0.15">
      <c r="A805" s="10"/>
      <c r="B805" s="13"/>
      <c r="C805" s="13"/>
    </row>
    <row r="806" spans="1:3" ht="13" x14ac:dyDescent="0.15">
      <c r="A806" s="10"/>
      <c r="B806" s="13"/>
      <c r="C806" s="13"/>
    </row>
    <row r="807" spans="1:3" ht="13" x14ac:dyDescent="0.15">
      <c r="A807" s="10"/>
      <c r="B807" s="13"/>
      <c r="C807" s="13"/>
    </row>
    <row r="808" spans="1:3" ht="13" x14ac:dyDescent="0.15">
      <c r="A808" s="10"/>
      <c r="B808" s="13"/>
      <c r="C808" s="13"/>
    </row>
    <row r="809" spans="1:3" ht="13" x14ac:dyDescent="0.15">
      <c r="A809" s="10"/>
      <c r="B809" s="13"/>
      <c r="C809" s="13"/>
    </row>
    <row r="810" spans="1:3" ht="13" x14ac:dyDescent="0.15">
      <c r="A810" s="10"/>
      <c r="B810" s="13"/>
      <c r="C810" s="13"/>
    </row>
    <row r="811" spans="1:3" ht="13" x14ac:dyDescent="0.15">
      <c r="A811" s="10"/>
      <c r="B811" s="13"/>
      <c r="C811" s="13"/>
    </row>
    <row r="812" spans="1:3" ht="13" x14ac:dyDescent="0.15">
      <c r="A812" s="10"/>
      <c r="B812" s="13"/>
      <c r="C812" s="13"/>
    </row>
    <row r="813" spans="1:3" ht="13" x14ac:dyDescent="0.15">
      <c r="A813" s="10"/>
      <c r="B813" s="13"/>
      <c r="C813" s="13"/>
    </row>
    <row r="814" spans="1:3" ht="13" x14ac:dyDescent="0.15">
      <c r="A814" s="10"/>
      <c r="B814" s="13"/>
      <c r="C814" s="13"/>
    </row>
    <row r="815" spans="1:3" ht="13" x14ac:dyDescent="0.15">
      <c r="A815" s="10"/>
      <c r="B815" s="13"/>
      <c r="C815" s="13"/>
    </row>
    <row r="816" spans="1:3" ht="13" x14ac:dyDescent="0.15">
      <c r="A816" s="10"/>
      <c r="B816" s="13"/>
      <c r="C816" s="13"/>
    </row>
    <row r="817" spans="1:3" ht="13" x14ac:dyDescent="0.15">
      <c r="A817" s="10"/>
      <c r="B817" s="13"/>
      <c r="C817" s="13"/>
    </row>
    <row r="818" spans="1:3" ht="13" x14ac:dyDescent="0.15">
      <c r="A818" s="10"/>
      <c r="B818" s="13"/>
      <c r="C818" s="13"/>
    </row>
    <row r="819" spans="1:3" ht="13" x14ac:dyDescent="0.15">
      <c r="A819" s="10"/>
      <c r="B819" s="13"/>
      <c r="C819" s="13"/>
    </row>
    <row r="820" spans="1:3" ht="13" x14ac:dyDescent="0.15">
      <c r="A820" s="10"/>
      <c r="B820" s="13"/>
      <c r="C820" s="13"/>
    </row>
    <row r="821" spans="1:3" ht="13" x14ac:dyDescent="0.15">
      <c r="A821" s="10"/>
      <c r="B821" s="13"/>
      <c r="C821" s="13"/>
    </row>
    <row r="822" spans="1:3" ht="13" x14ac:dyDescent="0.15">
      <c r="A822" s="10"/>
      <c r="B822" s="13"/>
      <c r="C822" s="13"/>
    </row>
    <row r="823" spans="1:3" ht="13" x14ac:dyDescent="0.15">
      <c r="A823" s="10"/>
      <c r="B823" s="13"/>
      <c r="C823" s="13"/>
    </row>
    <row r="824" spans="1:3" ht="13" x14ac:dyDescent="0.15">
      <c r="A824" s="10"/>
      <c r="B824" s="13"/>
      <c r="C824" s="13"/>
    </row>
    <row r="825" spans="1:3" ht="13" x14ac:dyDescent="0.15">
      <c r="A825" s="10"/>
      <c r="B825" s="13"/>
      <c r="C825" s="13"/>
    </row>
    <row r="826" spans="1:3" ht="13" x14ac:dyDescent="0.15">
      <c r="A826" s="10"/>
      <c r="B826" s="13"/>
      <c r="C826" s="13"/>
    </row>
    <row r="827" spans="1:3" ht="13" x14ac:dyDescent="0.15">
      <c r="A827" s="10"/>
      <c r="B827" s="13"/>
      <c r="C827" s="13"/>
    </row>
    <row r="828" spans="1:3" ht="13" x14ac:dyDescent="0.15">
      <c r="A828" s="10"/>
      <c r="B828" s="13"/>
      <c r="C828" s="13"/>
    </row>
    <row r="829" spans="1:3" ht="13" x14ac:dyDescent="0.15">
      <c r="A829" s="10"/>
      <c r="B829" s="13"/>
      <c r="C829" s="13"/>
    </row>
    <row r="830" spans="1:3" ht="13" x14ac:dyDescent="0.15">
      <c r="A830" s="10"/>
      <c r="B830" s="13"/>
      <c r="C830" s="13"/>
    </row>
    <row r="831" spans="1:3" ht="13" x14ac:dyDescent="0.15">
      <c r="A831" s="10"/>
      <c r="B831" s="13"/>
      <c r="C831" s="13"/>
    </row>
    <row r="832" spans="1:3" ht="13" x14ac:dyDescent="0.15">
      <c r="A832" s="10"/>
      <c r="B832" s="13"/>
      <c r="C832" s="13"/>
    </row>
    <row r="833" spans="1:3" ht="13" x14ac:dyDescent="0.15">
      <c r="A833" s="10"/>
      <c r="B833" s="13"/>
      <c r="C833" s="13"/>
    </row>
    <row r="834" spans="1:3" ht="13" x14ac:dyDescent="0.15">
      <c r="A834" s="10"/>
      <c r="B834" s="13"/>
      <c r="C834" s="13"/>
    </row>
    <row r="835" spans="1:3" ht="13" x14ac:dyDescent="0.15">
      <c r="A835" s="10"/>
      <c r="B835" s="13"/>
      <c r="C835" s="13"/>
    </row>
    <row r="836" spans="1:3" ht="13" x14ac:dyDescent="0.15">
      <c r="A836" s="10"/>
      <c r="B836" s="13"/>
      <c r="C836" s="13"/>
    </row>
    <row r="837" spans="1:3" ht="13" x14ac:dyDescent="0.15">
      <c r="A837" s="10"/>
      <c r="B837" s="13"/>
      <c r="C837" s="13"/>
    </row>
    <row r="838" spans="1:3" ht="13" x14ac:dyDescent="0.15">
      <c r="A838" s="10"/>
      <c r="B838" s="13"/>
      <c r="C838" s="13"/>
    </row>
    <row r="839" spans="1:3" ht="13" x14ac:dyDescent="0.15">
      <c r="A839" s="10"/>
      <c r="B839" s="13"/>
      <c r="C839" s="13"/>
    </row>
    <row r="840" spans="1:3" ht="13" x14ac:dyDescent="0.15">
      <c r="A840" s="10"/>
      <c r="B840" s="13"/>
      <c r="C840" s="13"/>
    </row>
    <row r="841" spans="1:3" ht="13" x14ac:dyDescent="0.15">
      <c r="A841" s="10"/>
      <c r="B841" s="13"/>
      <c r="C841" s="13"/>
    </row>
    <row r="842" spans="1:3" ht="13" x14ac:dyDescent="0.15">
      <c r="A842" s="10"/>
      <c r="B842" s="13"/>
      <c r="C842" s="13"/>
    </row>
    <row r="843" spans="1:3" ht="13" x14ac:dyDescent="0.15">
      <c r="A843" s="10"/>
      <c r="B843" s="13"/>
      <c r="C843" s="13"/>
    </row>
    <row r="844" spans="1:3" ht="13" x14ac:dyDescent="0.15">
      <c r="A844" s="10"/>
      <c r="B844" s="13"/>
      <c r="C844" s="13"/>
    </row>
    <row r="845" spans="1:3" ht="13" x14ac:dyDescent="0.15">
      <c r="A845" s="10"/>
      <c r="B845" s="13"/>
      <c r="C845" s="13"/>
    </row>
    <row r="846" spans="1:3" ht="13" x14ac:dyDescent="0.15">
      <c r="A846" s="10"/>
      <c r="B846" s="13"/>
      <c r="C846" s="13"/>
    </row>
    <row r="847" spans="1:3" ht="13" x14ac:dyDescent="0.15">
      <c r="A847" s="10"/>
      <c r="B847" s="13"/>
      <c r="C847" s="13"/>
    </row>
    <row r="848" spans="1:3" ht="13" x14ac:dyDescent="0.15">
      <c r="A848" s="10"/>
      <c r="B848" s="13"/>
      <c r="C848" s="13"/>
    </row>
    <row r="849" spans="1:3" ht="13" x14ac:dyDescent="0.15">
      <c r="A849" s="10"/>
      <c r="B849" s="13"/>
      <c r="C849" s="13"/>
    </row>
    <row r="850" spans="1:3" ht="13" x14ac:dyDescent="0.15">
      <c r="A850" s="10"/>
      <c r="B850" s="13"/>
      <c r="C850" s="13"/>
    </row>
    <row r="851" spans="1:3" ht="13" x14ac:dyDescent="0.15">
      <c r="A851" s="10"/>
      <c r="B851" s="13"/>
      <c r="C851" s="13"/>
    </row>
    <row r="852" spans="1:3" ht="13" x14ac:dyDescent="0.15">
      <c r="A852" s="10"/>
      <c r="B852" s="13"/>
      <c r="C852" s="13"/>
    </row>
    <row r="853" spans="1:3" ht="13" x14ac:dyDescent="0.15">
      <c r="A853" s="10"/>
      <c r="B853" s="13"/>
      <c r="C853" s="13"/>
    </row>
    <row r="854" spans="1:3" ht="13" x14ac:dyDescent="0.15">
      <c r="A854" s="10"/>
      <c r="B854" s="13"/>
      <c r="C854" s="13"/>
    </row>
    <row r="855" spans="1:3" ht="13" x14ac:dyDescent="0.15">
      <c r="A855" s="10"/>
      <c r="B855" s="13"/>
      <c r="C855" s="13"/>
    </row>
    <row r="856" spans="1:3" ht="13" x14ac:dyDescent="0.15">
      <c r="A856" s="10"/>
      <c r="B856" s="13"/>
      <c r="C856" s="13"/>
    </row>
    <row r="857" spans="1:3" ht="13" x14ac:dyDescent="0.15">
      <c r="A857" s="10"/>
      <c r="B857" s="13"/>
      <c r="C857" s="13"/>
    </row>
    <row r="858" spans="1:3" ht="13" x14ac:dyDescent="0.15">
      <c r="A858" s="10"/>
      <c r="B858" s="13"/>
      <c r="C858" s="13"/>
    </row>
    <row r="859" spans="1:3" ht="13" x14ac:dyDescent="0.15">
      <c r="A859" s="10"/>
      <c r="B859" s="13"/>
      <c r="C859" s="13"/>
    </row>
    <row r="860" spans="1:3" ht="13" x14ac:dyDescent="0.15">
      <c r="A860" s="10"/>
      <c r="B860" s="13"/>
      <c r="C860" s="13"/>
    </row>
    <row r="861" spans="1:3" ht="13" x14ac:dyDescent="0.15">
      <c r="A861" s="10"/>
      <c r="B861" s="13"/>
      <c r="C861" s="13"/>
    </row>
    <row r="862" spans="1:3" ht="13" x14ac:dyDescent="0.15">
      <c r="A862" s="10"/>
      <c r="B862" s="13"/>
      <c r="C862" s="13"/>
    </row>
    <row r="863" spans="1:3" ht="13" x14ac:dyDescent="0.15">
      <c r="A863" s="10"/>
      <c r="B863" s="13"/>
      <c r="C863" s="13"/>
    </row>
    <row r="864" spans="1:3" ht="13" x14ac:dyDescent="0.15">
      <c r="A864" s="10"/>
      <c r="B864" s="13"/>
      <c r="C864" s="13"/>
    </row>
    <row r="865" spans="1:3" ht="13" x14ac:dyDescent="0.15">
      <c r="A865" s="10"/>
      <c r="B865" s="13"/>
      <c r="C865" s="13"/>
    </row>
    <row r="866" spans="1:3" ht="13" x14ac:dyDescent="0.15">
      <c r="A866" s="10"/>
      <c r="B866" s="13"/>
      <c r="C866" s="13"/>
    </row>
    <row r="867" spans="1:3" ht="13" x14ac:dyDescent="0.15">
      <c r="A867" s="10"/>
      <c r="B867" s="13"/>
      <c r="C867" s="13"/>
    </row>
    <row r="868" spans="1:3" ht="13" x14ac:dyDescent="0.15">
      <c r="A868" s="10"/>
      <c r="B868" s="13"/>
      <c r="C868" s="13"/>
    </row>
    <row r="869" spans="1:3" ht="13" x14ac:dyDescent="0.15">
      <c r="A869" s="10"/>
      <c r="B869" s="13"/>
      <c r="C869" s="13"/>
    </row>
    <row r="870" spans="1:3" ht="13" x14ac:dyDescent="0.15">
      <c r="A870" s="10"/>
      <c r="B870" s="13"/>
      <c r="C870" s="13"/>
    </row>
    <row r="871" spans="1:3" ht="13" x14ac:dyDescent="0.15">
      <c r="A871" s="10"/>
      <c r="B871" s="13"/>
      <c r="C871" s="13"/>
    </row>
    <row r="872" spans="1:3" ht="13" x14ac:dyDescent="0.15">
      <c r="A872" s="10"/>
      <c r="B872" s="13"/>
      <c r="C872" s="13"/>
    </row>
    <row r="873" spans="1:3" ht="13" x14ac:dyDescent="0.15">
      <c r="A873" s="10"/>
      <c r="B873" s="13"/>
      <c r="C873" s="13"/>
    </row>
    <row r="874" spans="1:3" ht="13" x14ac:dyDescent="0.15">
      <c r="A874" s="10"/>
      <c r="B874" s="13"/>
      <c r="C874" s="13"/>
    </row>
    <row r="875" spans="1:3" ht="13" x14ac:dyDescent="0.15">
      <c r="A875" s="10"/>
      <c r="B875" s="13"/>
      <c r="C875" s="13"/>
    </row>
    <row r="876" spans="1:3" ht="13" x14ac:dyDescent="0.15">
      <c r="A876" s="10"/>
      <c r="B876" s="13"/>
      <c r="C876" s="13"/>
    </row>
    <row r="877" spans="1:3" ht="13" x14ac:dyDescent="0.15">
      <c r="A877" s="10"/>
      <c r="B877" s="13"/>
      <c r="C877" s="13"/>
    </row>
    <row r="878" spans="1:3" ht="13" x14ac:dyDescent="0.15">
      <c r="A878" s="10"/>
      <c r="B878" s="13"/>
      <c r="C878" s="13"/>
    </row>
    <row r="879" spans="1:3" ht="13" x14ac:dyDescent="0.15">
      <c r="A879" s="10"/>
      <c r="B879" s="13"/>
      <c r="C879" s="13"/>
    </row>
    <row r="880" spans="1:3" ht="13" x14ac:dyDescent="0.15">
      <c r="A880" s="10"/>
      <c r="B880" s="13"/>
      <c r="C880" s="13"/>
    </row>
    <row r="881" spans="1:3" ht="13" x14ac:dyDescent="0.15">
      <c r="A881" s="10"/>
      <c r="B881" s="13"/>
      <c r="C881" s="13"/>
    </row>
    <row r="882" spans="1:3" ht="13" x14ac:dyDescent="0.15">
      <c r="A882" s="10"/>
      <c r="B882" s="13"/>
      <c r="C882" s="13"/>
    </row>
    <row r="883" spans="1:3" ht="13" x14ac:dyDescent="0.15">
      <c r="A883" s="10"/>
      <c r="B883" s="13"/>
      <c r="C883" s="13"/>
    </row>
    <row r="884" spans="1:3" ht="13" x14ac:dyDescent="0.15">
      <c r="A884" s="10"/>
      <c r="B884" s="13"/>
      <c r="C884" s="13"/>
    </row>
    <row r="885" spans="1:3" ht="13" x14ac:dyDescent="0.15">
      <c r="A885" s="10"/>
      <c r="B885" s="13"/>
      <c r="C885" s="13"/>
    </row>
    <row r="886" spans="1:3" ht="13" x14ac:dyDescent="0.15">
      <c r="A886" s="10"/>
      <c r="B886" s="13"/>
      <c r="C886" s="13"/>
    </row>
    <row r="887" spans="1:3" ht="13" x14ac:dyDescent="0.15">
      <c r="A887" s="10"/>
      <c r="B887" s="13"/>
      <c r="C887" s="13"/>
    </row>
    <row r="888" spans="1:3" ht="13" x14ac:dyDescent="0.15">
      <c r="A888" s="10"/>
      <c r="B888" s="13"/>
      <c r="C888" s="13"/>
    </row>
    <row r="889" spans="1:3" ht="13" x14ac:dyDescent="0.15">
      <c r="A889" s="10"/>
      <c r="B889" s="13"/>
      <c r="C889" s="13"/>
    </row>
    <row r="890" spans="1:3" ht="13" x14ac:dyDescent="0.15">
      <c r="A890" s="10"/>
      <c r="B890" s="13"/>
      <c r="C890" s="13"/>
    </row>
    <row r="891" spans="1:3" ht="13" x14ac:dyDescent="0.15">
      <c r="A891" s="10"/>
      <c r="B891" s="13"/>
      <c r="C891" s="13"/>
    </row>
    <row r="892" spans="1:3" ht="13" x14ac:dyDescent="0.15">
      <c r="A892" s="10"/>
      <c r="B892" s="13"/>
      <c r="C892" s="13"/>
    </row>
    <row r="893" spans="1:3" ht="13" x14ac:dyDescent="0.15">
      <c r="A893" s="10"/>
      <c r="B893" s="13"/>
      <c r="C893" s="13"/>
    </row>
    <row r="894" spans="1:3" ht="13" x14ac:dyDescent="0.15">
      <c r="A894" s="10"/>
      <c r="B894" s="13"/>
      <c r="C894" s="13"/>
    </row>
    <row r="895" spans="1:3" ht="13" x14ac:dyDescent="0.15">
      <c r="A895" s="10"/>
      <c r="B895" s="13"/>
      <c r="C895" s="13"/>
    </row>
    <row r="896" spans="1:3" ht="13" x14ac:dyDescent="0.15">
      <c r="A896" s="10"/>
      <c r="B896" s="13"/>
      <c r="C896" s="13"/>
    </row>
    <row r="897" spans="1:3" ht="13" x14ac:dyDescent="0.15">
      <c r="A897" s="10"/>
      <c r="B897" s="13"/>
      <c r="C897" s="13"/>
    </row>
    <row r="898" spans="1:3" ht="13" x14ac:dyDescent="0.15">
      <c r="A898" s="10"/>
      <c r="B898" s="13"/>
      <c r="C898" s="13"/>
    </row>
    <row r="899" spans="1:3" ht="13" x14ac:dyDescent="0.15">
      <c r="A899" s="10"/>
      <c r="B899" s="13"/>
      <c r="C899" s="13"/>
    </row>
    <row r="900" spans="1:3" ht="13" x14ac:dyDescent="0.15">
      <c r="A900" s="10"/>
      <c r="B900" s="13"/>
      <c r="C900" s="13"/>
    </row>
    <row r="901" spans="1:3" ht="13" x14ac:dyDescent="0.15">
      <c r="A901" s="10"/>
      <c r="B901" s="13"/>
      <c r="C901" s="13"/>
    </row>
    <row r="902" spans="1:3" ht="13" x14ac:dyDescent="0.15">
      <c r="A902" s="10"/>
      <c r="B902" s="13"/>
      <c r="C902" s="13"/>
    </row>
    <row r="903" spans="1:3" ht="13" x14ac:dyDescent="0.15">
      <c r="A903" s="10"/>
      <c r="B903" s="13"/>
      <c r="C903" s="13"/>
    </row>
    <row r="904" spans="1:3" ht="13" x14ac:dyDescent="0.15">
      <c r="A904" s="10"/>
      <c r="B904" s="13"/>
      <c r="C904" s="13"/>
    </row>
    <row r="905" spans="1:3" ht="13" x14ac:dyDescent="0.15">
      <c r="A905" s="10"/>
      <c r="B905" s="13"/>
      <c r="C905" s="13"/>
    </row>
    <row r="906" spans="1:3" ht="13" x14ac:dyDescent="0.15">
      <c r="A906" s="10"/>
      <c r="B906" s="13"/>
      <c r="C906" s="13"/>
    </row>
    <row r="907" spans="1:3" ht="13" x14ac:dyDescent="0.15">
      <c r="A907" s="10"/>
      <c r="B907" s="13"/>
      <c r="C907" s="13"/>
    </row>
    <row r="908" spans="1:3" ht="13" x14ac:dyDescent="0.15">
      <c r="A908" s="10"/>
      <c r="B908" s="13"/>
      <c r="C908" s="13"/>
    </row>
    <row r="909" spans="1:3" ht="13" x14ac:dyDescent="0.15">
      <c r="A909" s="10"/>
      <c r="B909" s="13"/>
      <c r="C909" s="13"/>
    </row>
    <row r="910" spans="1:3" ht="13" x14ac:dyDescent="0.15">
      <c r="A910" s="10"/>
      <c r="B910" s="13"/>
      <c r="C910" s="13"/>
    </row>
    <row r="911" spans="1:3" ht="13" x14ac:dyDescent="0.15">
      <c r="A911" s="10"/>
      <c r="B911" s="13"/>
      <c r="C911" s="13"/>
    </row>
    <row r="912" spans="1:3" ht="13" x14ac:dyDescent="0.15">
      <c r="A912" s="10"/>
      <c r="B912" s="13"/>
      <c r="C912" s="13"/>
    </row>
    <row r="913" spans="1:3" ht="13" x14ac:dyDescent="0.15">
      <c r="A913" s="10"/>
      <c r="B913" s="13"/>
      <c r="C913" s="13"/>
    </row>
    <row r="914" spans="1:3" ht="13" x14ac:dyDescent="0.15">
      <c r="A914" s="10"/>
      <c r="B914" s="13"/>
      <c r="C914" s="13"/>
    </row>
    <row r="915" spans="1:3" ht="13" x14ac:dyDescent="0.15">
      <c r="A915" s="10"/>
      <c r="B915" s="13"/>
      <c r="C915" s="13"/>
    </row>
    <row r="916" spans="1:3" ht="13" x14ac:dyDescent="0.15">
      <c r="A916" s="10"/>
      <c r="B916" s="13"/>
      <c r="C916" s="13"/>
    </row>
    <row r="917" spans="1:3" ht="13" x14ac:dyDescent="0.15">
      <c r="A917" s="10"/>
      <c r="B917" s="13"/>
      <c r="C917" s="13"/>
    </row>
    <row r="918" spans="1:3" ht="13" x14ac:dyDescent="0.15">
      <c r="A918" s="10"/>
      <c r="B918" s="13"/>
      <c r="C918" s="13"/>
    </row>
    <row r="919" spans="1:3" ht="13" x14ac:dyDescent="0.15">
      <c r="A919" s="10"/>
      <c r="B919" s="13"/>
      <c r="C919" s="13"/>
    </row>
    <row r="920" spans="1:3" ht="13" x14ac:dyDescent="0.15">
      <c r="A920" s="10"/>
      <c r="B920" s="13"/>
      <c r="C920" s="13"/>
    </row>
    <row r="921" spans="1:3" ht="13" x14ac:dyDescent="0.15">
      <c r="A921" s="10"/>
      <c r="B921" s="13"/>
      <c r="C921" s="13"/>
    </row>
    <row r="922" spans="1:3" ht="13" x14ac:dyDescent="0.15">
      <c r="A922" s="10"/>
      <c r="B922" s="13"/>
      <c r="C922" s="13"/>
    </row>
    <row r="923" spans="1:3" ht="13" x14ac:dyDescent="0.15">
      <c r="A923" s="10"/>
      <c r="B923" s="13"/>
      <c r="C923" s="13"/>
    </row>
    <row r="924" spans="1:3" ht="13" x14ac:dyDescent="0.15">
      <c r="A924" s="10"/>
      <c r="B924" s="13"/>
      <c r="C924" s="13"/>
    </row>
    <row r="925" spans="1:3" ht="13" x14ac:dyDescent="0.15">
      <c r="A925" s="10"/>
      <c r="B925" s="13"/>
      <c r="C925" s="13"/>
    </row>
    <row r="926" spans="1:3" ht="13" x14ac:dyDescent="0.15">
      <c r="A926" s="10"/>
      <c r="B926" s="13"/>
      <c r="C926" s="13"/>
    </row>
    <row r="927" spans="1:3" ht="13" x14ac:dyDescent="0.15">
      <c r="A927" s="10"/>
      <c r="B927" s="13"/>
      <c r="C927" s="13"/>
    </row>
    <row r="928" spans="1:3" ht="13" x14ac:dyDescent="0.15">
      <c r="A928" s="10"/>
      <c r="B928" s="13"/>
      <c r="C928" s="13"/>
    </row>
    <row r="929" spans="1:3" ht="13" x14ac:dyDescent="0.15">
      <c r="A929" s="10"/>
      <c r="B929" s="13"/>
      <c r="C929" s="13"/>
    </row>
    <row r="930" spans="1:3" ht="13" x14ac:dyDescent="0.15">
      <c r="A930" s="10"/>
      <c r="B930" s="13"/>
      <c r="C930" s="13"/>
    </row>
    <row r="931" spans="1:3" ht="13" x14ac:dyDescent="0.15">
      <c r="A931" s="10"/>
      <c r="B931" s="13"/>
      <c r="C931" s="13"/>
    </row>
    <row r="932" spans="1:3" ht="13" x14ac:dyDescent="0.15">
      <c r="A932" s="10"/>
      <c r="B932" s="13"/>
      <c r="C932" s="13"/>
    </row>
    <row r="933" spans="1:3" ht="13" x14ac:dyDescent="0.15">
      <c r="A933" s="10"/>
      <c r="B933" s="13"/>
      <c r="C933" s="13"/>
    </row>
    <row r="934" spans="1:3" ht="13" x14ac:dyDescent="0.15">
      <c r="A934" s="10"/>
      <c r="B934" s="13"/>
      <c r="C934" s="13"/>
    </row>
    <row r="935" spans="1:3" ht="13" x14ac:dyDescent="0.15">
      <c r="A935" s="10"/>
      <c r="B935" s="13"/>
      <c r="C935" s="13"/>
    </row>
    <row r="936" spans="1:3" ht="13" x14ac:dyDescent="0.15">
      <c r="A936" s="10"/>
      <c r="B936" s="13"/>
      <c r="C936" s="13"/>
    </row>
    <row r="937" spans="1:3" ht="13" x14ac:dyDescent="0.15">
      <c r="A937" s="10"/>
      <c r="B937" s="13"/>
      <c r="C937" s="13"/>
    </row>
    <row r="938" spans="1:3" ht="13" x14ac:dyDescent="0.15">
      <c r="A938" s="10"/>
      <c r="B938" s="13"/>
      <c r="C938" s="13"/>
    </row>
    <row r="939" spans="1:3" ht="13" x14ac:dyDescent="0.15">
      <c r="A939" s="10"/>
      <c r="B939" s="13"/>
      <c r="C939" s="13"/>
    </row>
    <row r="940" spans="1:3" ht="13" x14ac:dyDescent="0.15">
      <c r="A940" s="10"/>
      <c r="B940" s="13"/>
      <c r="C940" s="13"/>
    </row>
    <row r="941" spans="1:3" ht="13" x14ac:dyDescent="0.15">
      <c r="A941" s="10"/>
      <c r="B941" s="13"/>
      <c r="C941" s="13"/>
    </row>
    <row r="942" spans="1:3" ht="13" x14ac:dyDescent="0.15">
      <c r="A942" s="10"/>
      <c r="B942" s="13"/>
      <c r="C942" s="13"/>
    </row>
    <row r="943" spans="1:3" ht="13" x14ac:dyDescent="0.15">
      <c r="A943" s="10"/>
      <c r="B943" s="13"/>
      <c r="C943" s="13"/>
    </row>
    <row r="944" spans="1:3" ht="13" x14ac:dyDescent="0.15">
      <c r="A944" s="10"/>
      <c r="B944" s="13"/>
      <c r="C944" s="13"/>
    </row>
    <row r="945" spans="1:3" ht="13" x14ac:dyDescent="0.15">
      <c r="A945" s="10"/>
      <c r="B945" s="13"/>
      <c r="C945" s="13"/>
    </row>
    <row r="946" spans="1:3" ht="13" x14ac:dyDescent="0.15">
      <c r="A946" s="10"/>
      <c r="B946" s="13"/>
      <c r="C946" s="13"/>
    </row>
    <row r="947" spans="1:3" ht="13" x14ac:dyDescent="0.15">
      <c r="A947" s="10"/>
      <c r="B947" s="13"/>
      <c r="C947" s="13"/>
    </row>
    <row r="948" spans="1:3" ht="13" x14ac:dyDescent="0.15">
      <c r="A948" s="10"/>
      <c r="B948" s="13"/>
      <c r="C948" s="13"/>
    </row>
    <row r="949" spans="1:3" ht="13" x14ac:dyDescent="0.15">
      <c r="A949" s="10"/>
      <c r="B949" s="13"/>
      <c r="C949" s="13"/>
    </row>
    <row r="950" spans="1:3" ht="13" x14ac:dyDescent="0.15">
      <c r="A950" s="10"/>
      <c r="B950" s="13"/>
      <c r="C950" s="13"/>
    </row>
    <row r="951" spans="1:3" ht="13" x14ac:dyDescent="0.15">
      <c r="A951" s="10"/>
      <c r="B951" s="13"/>
      <c r="C951" s="13"/>
    </row>
    <row r="952" spans="1:3" ht="13" x14ac:dyDescent="0.15">
      <c r="A952" s="10"/>
      <c r="B952" s="13"/>
      <c r="C952" s="13"/>
    </row>
    <row r="953" spans="1:3" ht="13" x14ac:dyDescent="0.15">
      <c r="A953" s="10"/>
      <c r="B953" s="13"/>
      <c r="C953" s="13"/>
    </row>
    <row r="954" spans="1:3" ht="13" x14ac:dyDescent="0.15">
      <c r="A954" s="10"/>
      <c r="B954" s="13"/>
      <c r="C954" s="13"/>
    </row>
    <row r="955" spans="1:3" ht="13" x14ac:dyDescent="0.15">
      <c r="A955" s="10"/>
      <c r="B955" s="13"/>
      <c r="C955" s="13"/>
    </row>
    <row r="956" spans="1:3" ht="13" x14ac:dyDescent="0.15">
      <c r="A956" s="10"/>
      <c r="B956" s="13"/>
      <c r="C956" s="13"/>
    </row>
    <row r="957" spans="1:3" ht="13" x14ac:dyDescent="0.15">
      <c r="A957" s="10"/>
      <c r="B957" s="13"/>
      <c r="C957" s="13"/>
    </row>
    <row r="958" spans="1:3" ht="13" x14ac:dyDescent="0.15">
      <c r="A958" s="10"/>
      <c r="B958" s="13"/>
      <c r="C958" s="13"/>
    </row>
    <row r="959" spans="1:3" ht="13" x14ac:dyDescent="0.15">
      <c r="A959" s="10"/>
      <c r="B959" s="13"/>
      <c r="C959" s="13"/>
    </row>
    <row r="960" spans="1:3" ht="13" x14ac:dyDescent="0.15">
      <c r="A960" s="10"/>
      <c r="B960" s="13"/>
      <c r="C960" s="13"/>
    </row>
    <row r="961" spans="1:3" ht="13" x14ac:dyDescent="0.15">
      <c r="A961" s="10"/>
      <c r="B961" s="13"/>
      <c r="C961" s="13"/>
    </row>
    <row r="962" spans="1:3" ht="13" x14ac:dyDescent="0.15">
      <c r="A962" s="10"/>
      <c r="B962" s="13"/>
      <c r="C962" s="13"/>
    </row>
    <row r="963" spans="1:3" ht="13" x14ac:dyDescent="0.15">
      <c r="A963" s="10"/>
      <c r="B963" s="13"/>
      <c r="C963" s="13"/>
    </row>
    <row r="964" spans="1:3" ht="13" x14ac:dyDescent="0.15">
      <c r="A964" s="10"/>
      <c r="B964" s="13"/>
      <c r="C964" s="13"/>
    </row>
    <row r="965" spans="1:3" ht="13" x14ac:dyDescent="0.15">
      <c r="A965" s="10"/>
      <c r="B965" s="13"/>
      <c r="C965" s="13"/>
    </row>
    <row r="966" spans="1:3" ht="13" x14ac:dyDescent="0.15">
      <c r="A966" s="10"/>
      <c r="B966" s="13"/>
      <c r="C966" s="13"/>
    </row>
    <row r="967" spans="1:3" ht="13" x14ac:dyDescent="0.15">
      <c r="A967" s="10"/>
      <c r="B967" s="13"/>
      <c r="C967" s="13"/>
    </row>
    <row r="968" spans="1:3" ht="13" x14ac:dyDescent="0.15">
      <c r="A968" s="10"/>
      <c r="B968" s="13"/>
      <c r="C968" s="13"/>
    </row>
    <row r="969" spans="1:3" ht="13" x14ac:dyDescent="0.15">
      <c r="A969" s="10"/>
      <c r="B969" s="13"/>
      <c r="C969" s="13"/>
    </row>
    <row r="970" spans="1:3" ht="13" x14ac:dyDescent="0.15">
      <c r="A970" s="10"/>
      <c r="B970" s="13"/>
      <c r="C970" s="13"/>
    </row>
    <row r="971" spans="1:3" ht="13" x14ac:dyDescent="0.15">
      <c r="A971" s="10"/>
      <c r="B971" s="13"/>
      <c r="C971" s="13"/>
    </row>
    <row r="972" spans="1:3" ht="13" x14ac:dyDescent="0.15">
      <c r="A972" s="10"/>
      <c r="B972" s="13"/>
      <c r="C972" s="13"/>
    </row>
    <row r="973" spans="1:3" ht="13" x14ac:dyDescent="0.15">
      <c r="A973" s="10"/>
      <c r="B973" s="13"/>
      <c r="C973" s="13"/>
    </row>
    <row r="974" spans="1:3" ht="13" x14ac:dyDescent="0.15">
      <c r="A974" s="10"/>
      <c r="B974" s="13"/>
      <c r="C974" s="13"/>
    </row>
    <row r="975" spans="1:3" ht="13" x14ac:dyDescent="0.15">
      <c r="A975" s="10"/>
      <c r="B975" s="13"/>
      <c r="C975" s="13"/>
    </row>
    <row r="976" spans="1:3" ht="13" x14ac:dyDescent="0.15">
      <c r="A976" s="10"/>
      <c r="B976" s="13"/>
      <c r="C976" s="13"/>
    </row>
    <row r="977" spans="1:3" ht="13" x14ac:dyDescent="0.15">
      <c r="A977" s="10"/>
      <c r="B977" s="13"/>
      <c r="C977" s="13"/>
    </row>
    <row r="978" spans="1:3" ht="13" x14ac:dyDescent="0.15">
      <c r="A978" s="10"/>
      <c r="B978" s="13"/>
      <c r="C978" s="13"/>
    </row>
    <row r="979" spans="1:3" ht="13" x14ac:dyDescent="0.15">
      <c r="A979" s="10"/>
      <c r="B979" s="13"/>
      <c r="C979" s="13"/>
    </row>
    <row r="980" spans="1:3" ht="13" x14ac:dyDescent="0.15">
      <c r="A980" s="10"/>
      <c r="B980" s="13"/>
      <c r="C980" s="13"/>
    </row>
    <row r="981" spans="1:3" ht="13" x14ac:dyDescent="0.15">
      <c r="A981" s="10"/>
      <c r="B981" s="13"/>
      <c r="C981" s="13"/>
    </row>
    <row r="982" spans="1:3" ht="13" x14ac:dyDescent="0.15">
      <c r="A982" s="10"/>
      <c r="B982" s="13"/>
      <c r="C982" s="13"/>
    </row>
    <row r="983" spans="1:3" ht="13" x14ac:dyDescent="0.15">
      <c r="A983" s="10"/>
      <c r="B983" s="13"/>
      <c r="C983" s="13"/>
    </row>
    <row r="984" spans="1:3" ht="13" x14ac:dyDescent="0.15">
      <c r="A984" s="10"/>
      <c r="B984" s="13"/>
      <c r="C984" s="13"/>
    </row>
    <row r="985" spans="1:3" ht="13" x14ac:dyDescent="0.15">
      <c r="A985" s="10"/>
      <c r="B985" s="13"/>
      <c r="C985" s="13"/>
    </row>
    <row r="986" spans="1:3" ht="13" x14ac:dyDescent="0.15">
      <c r="A986" s="10"/>
      <c r="B986" s="13"/>
      <c r="C986" s="13"/>
    </row>
    <row r="987" spans="1:3" ht="13" x14ac:dyDescent="0.15">
      <c r="A987" s="10"/>
      <c r="B987" s="13"/>
      <c r="C987" s="13"/>
    </row>
    <row r="988" spans="1:3" ht="13" x14ac:dyDescent="0.15">
      <c r="A988" s="10"/>
      <c r="B988" s="13"/>
      <c r="C988" s="13"/>
    </row>
    <row r="989" spans="1:3" ht="13" x14ac:dyDescent="0.15">
      <c r="A989" s="10"/>
      <c r="B989" s="13"/>
      <c r="C989" s="13"/>
    </row>
    <row r="990" spans="1:3" ht="13" x14ac:dyDescent="0.15">
      <c r="A990" s="10"/>
      <c r="B990" s="13"/>
      <c r="C990" s="13"/>
    </row>
    <row r="991" spans="1:3" ht="13" x14ac:dyDescent="0.15">
      <c r="A991" s="10"/>
      <c r="B991" s="13"/>
      <c r="C991" s="13"/>
    </row>
    <row r="992" spans="1:3" ht="13" x14ac:dyDescent="0.15">
      <c r="A992" s="10"/>
      <c r="B992" s="13"/>
      <c r="C992" s="13"/>
    </row>
    <row r="993" spans="1:3" ht="13" x14ac:dyDescent="0.15">
      <c r="A993" s="10"/>
      <c r="B993" s="13"/>
      <c r="C993" s="13"/>
    </row>
    <row r="994" spans="1:3" ht="13" x14ac:dyDescent="0.15">
      <c r="A994" s="10"/>
      <c r="B994" s="13"/>
      <c r="C994" s="13"/>
    </row>
    <row r="995" spans="1:3" ht="13" x14ac:dyDescent="0.15">
      <c r="A995" s="10"/>
      <c r="B995" s="13"/>
      <c r="C995" s="13"/>
    </row>
    <row r="996" spans="1:3" ht="13" x14ac:dyDescent="0.15">
      <c r="A996" s="10"/>
      <c r="B996" s="13"/>
      <c r="C996" s="13"/>
    </row>
    <row r="997" spans="1:3" ht="13" x14ac:dyDescent="0.15">
      <c r="A997" s="10"/>
      <c r="B997" s="13"/>
      <c r="C997" s="13"/>
    </row>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outlinePr summaryBelow="0" summaryRight="0"/>
  </sheetPr>
  <dimension ref="A1:D997"/>
  <sheetViews>
    <sheetView workbookViewId="0"/>
  </sheetViews>
  <sheetFormatPr baseColWidth="10" defaultColWidth="12.6640625" defaultRowHeight="15.75" customHeight="1" x14ac:dyDescent="0.15"/>
  <cols>
    <col min="1" max="1" width="71.5" customWidth="1"/>
    <col min="2" max="4" width="37.6640625" customWidth="1"/>
  </cols>
  <sheetData>
    <row r="1" spans="1:4" ht="15.75" customHeight="1" x14ac:dyDescent="0.15">
      <c r="A1" s="1"/>
      <c r="B1" s="12" t="str">
        <f ca="1">IFERROR(__xludf.DUMMYFUNCTION("IMPORTRANGE(""https://docs.google.com/spreadsheets/d/19FYWDv6QyCNB_zbElAOE5cOI1IJ2jraXGOFWNs-qsQM"",""A74!B1:B22"")"),"Braden Brennan")</f>
        <v>Braden Brennan</v>
      </c>
      <c r="C1" s="10" t="str">
        <f ca="1">IFERROR(__xludf.DUMMYFUNCTION("IMPORTRANGE(""https://docs.google.com/spreadsheets/d/1Rfwd61p8X8kU1VBE4PFTeYG7-2eZzi6BYhKfon6XtRs"", ""A74!B1:B22"")"),"#REF!")</f>
        <v>#REF!</v>
      </c>
      <c r="D1" s="2" t="s">
        <v>1</v>
      </c>
    </row>
    <row r="2" spans="1:4" ht="15.75" customHeight="1" x14ac:dyDescent="0.15">
      <c r="A2" s="3" t="s">
        <v>2</v>
      </c>
      <c r="B2" s="15" t="str">
        <f ca="1">IFERROR(__xludf.DUMMYFUNCTION("""COMPUTED_VALUE"""),"45785 - 46678")</f>
        <v>45785 - 46678</v>
      </c>
      <c r="C2" s="15"/>
      <c r="D2" s="4"/>
    </row>
    <row r="3" spans="1:4" ht="15.75" customHeight="1" x14ac:dyDescent="0.15">
      <c r="A3" s="5" t="s">
        <v>3</v>
      </c>
      <c r="B3" s="17" t="str">
        <f ca="1">IFERROR(__xludf.DUMMYFUNCTION("""COMPUTED_VALUE"""),"PHAM: 74  DNAM: 73")</f>
        <v>PHAM: 74  DNAM: 73</v>
      </c>
      <c r="C3" s="17"/>
      <c r="D3" s="6"/>
    </row>
    <row r="4" spans="1:4" ht="15.75" customHeight="1" x14ac:dyDescent="0.15">
      <c r="A4" s="5" t="s">
        <v>4</v>
      </c>
      <c r="B4" s="17" t="str">
        <f ca="1">IFERROR(__xludf.DUMMYFUNCTION("""COMPUTED_VALUE"""),"pham 88851   3/19/2025")</f>
        <v>pham 88851   3/19/2025</v>
      </c>
      <c r="C4" s="17"/>
      <c r="D4" s="6"/>
    </row>
    <row r="5" spans="1:4" ht="15.75" customHeight="1" x14ac:dyDescent="0.15">
      <c r="A5" s="5" t="s">
        <v>5</v>
      </c>
      <c r="B5" s="17" t="str">
        <f ca="1">IFERROR(__xludf.DUMMYFUNCTION("""COMPUTED_VALUE"""),"Altadena_27 (endolysin) Bumble_27 (endolysin)	Kharcho_50 (endolysin)
Kovu_72 (endolysin)")</f>
        <v>Altadena_27 (endolysin) Bumble_27 (endolysin)	Kharcho_50 (endolysin)
Kovu_72 (endolysin)</v>
      </c>
      <c r="C5" s="17"/>
      <c r="D5" s="6"/>
    </row>
    <row r="6" spans="1:4" ht="15.75" customHeight="1" x14ac:dyDescent="0.15">
      <c r="A6" s="5" t="s">
        <v>6</v>
      </c>
      <c r="B6" s="17" t="str">
        <f ca="1">IFERROR(__xludf.DUMMYFUNCTION("""COMPUTED_VALUE"""),"Glimmer call bp 45785 has strength 10.20")</f>
        <v>Glimmer call bp 45785 has strength 10.20</v>
      </c>
      <c r="C6" s="17"/>
      <c r="D6" s="6"/>
    </row>
    <row r="7" spans="1:4" ht="15.75" customHeight="1" x14ac:dyDescent="0.15">
      <c r="A7" s="5" t="s">
        <v>7</v>
      </c>
      <c r="B7" s="17" t="str">
        <f ca="1">IFERROR(__xludf.DUMMYFUNCTION("""COMPUTED_VALUE"""),"good coding potential")</f>
        <v>good coding potential</v>
      </c>
      <c r="C7" s="17"/>
      <c r="D7" s="6"/>
    </row>
    <row r="8" spans="1:4" ht="15.75" customHeight="1" x14ac:dyDescent="0.15">
      <c r="A8" s="5" t="s">
        <v>8</v>
      </c>
      <c r="B8" s="17" t="str">
        <f ca="1">IFERROR(__xludf.DUMMYFUNCTION("""COMPUTED_VALUE"""),"yes longest possible ORF")</f>
        <v>yes longest possible ORF</v>
      </c>
      <c r="C8" s="17"/>
      <c r="D8" s="6"/>
    </row>
    <row r="9" spans="1:4" ht="15.75" customHeight="1" x14ac:dyDescent="0.15">
      <c r="A9" s="5" t="s">
        <v>9</v>
      </c>
      <c r="B9" s="17" t="str">
        <f ca="1">IFERROR(__xludf.DUMMYFUNCTION("""COMPUTED_VALUE"""),"10 nucleotide gap")</f>
        <v>10 nucleotide gap</v>
      </c>
      <c r="C9" s="17"/>
      <c r="D9" s="6"/>
    </row>
    <row r="10" spans="1:4" ht="15.75" customHeight="1" x14ac:dyDescent="0.15">
      <c r="A10" s="5" t="s">
        <v>10</v>
      </c>
      <c r="B10" s="17" t="str">
        <f ca="1">IFERROR(__xludf.DUMMYFUNCTION("""COMPUTED_VALUE"""),"SD: -1.236) Z: 3.195) Final:-2.011")</f>
        <v>SD: -1.236) Z: 3.195) Final:-2.011</v>
      </c>
      <c r="C10" s="17"/>
      <c r="D10" s="6"/>
    </row>
    <row r="11" spans="1:4" ht="15.75" customHeight="1" x14ac:dyDescent="0.15">
      <c r="A11" s="5" t="s">
        <v>11</v>
      </c>
      <c r="B11" s="17" t="str">
        <f ca="1">IFERROR(__xludf.DUMMYFUNCTION("""COMPUTED_VALUE"""),"(endolysin Kovu, 90.94% identity, 0.0E0)")</f>
        <v>(endolysin Kovu, 90.94% identity, 0.0E0)</v>
      </c>
      <c r="C11" s="17"/>
      <c r="D11" s="6"/>
    </row>
    <row r="12" spans="1:4" ht="15.75" customHeight="1" x14ac:dyDescent="0.15">
      <c r="A12" s="5" t="s">
        <v>12</v>
      </c>
      <c r="B12" s="17" t="str">
        <f ca="1">IFERROR(__xludf.DUMMYFUNCTION("""COMPUTED_VALUE""")," Found in 3 of 6 (50.0%) of genes in pham and called 66.7% of the time")</f>
        <v xml:space="preserve"> Found in 3 of 6 (50.0%) of genes in pham and called 66.7% of the time</v>
      </c>
      <c r="C12" s="17"/>
      <c r="D12" s="6"/>
    </row>
    <row r="13" spans="1:4" ht="15.75" customHeight="1" x14ac:dyDescent="0.15">
      <c r="A13" s="5" t="s">
        <v>13</v>
      </c>
      <c r="B13" s="17" t="str">
        <f ca="1">IFERROR(__xludf.DUMMYFUNCTION("""COMPUTED_VALUE"""),"No most other starts woudn't align well with the sequence ")</f>
        <v xml:space="preserve">No most other starts woudn't align well with the sequence </v>
      </c>
      <c r="C13" s="17"/>
      <c r="D13" s="6"/>
    </row>
    <row r="14" spans="1:4" ht="15.75" customHeight="1" x14ac:dyDescent="0.15">
      <c r="A14" s="5" t="s">
        <v>14</v>
      </c>
      <c r="B14" s="17" t="str">
        <f ca="1">IFERROR(__xludf.DUMMYFUNCTION("""COMPUTED_VALUE"""),"Altadena_27 (endolysin) Bumble_27 (endolysin) Kharcho_50 (endolysin) Kovu_72 (endolysin) Ottawa_50 (endolysin)")</f>
        <v>Altadena_27 (endolysin) Bumble_27 (endolysin) Kharcho_50 (endolysin) Kovu_72 (endolysin) Ottawa_50 (endolysin)</v>
      </c>
      <c r="C14" s="17"/>
      <c r="D14" s="6"/>
    </row>
    <row r="15" spans="1:4" ht="15.75" customHeight="1" x14ac:dyDescent="0.15">
      <c r="A15" s="5" t="s">
        <v>15</v>
      </c>
      <c r="B15" s="17" t="str">
        <f ca="1">IFERROR(__xludf.DUMMYFUNCTION("""COMPUTED_VALUE"""),"endolysin")</f>
        <v>endolysin</v>
      </c>
      <c r="C15" s="17"/>
      <c r="D15" s="6"/>
    </row>
    <row r="16" spans="1:4" ht="15.75" customHeight="1" x14ac:dyDescent="0.15">
      <c r="A16" s="5" t="s">
        <v>16</v>
      </c>
      <c r="B16" s="17" t="str">
        <f ca="1">IFERROR(__xludf.DUMMYFUNCTION("""COMPUTED_VALUE"""),"matches well with its kovu counterparts and fits well into ApoKipo as a gene")</f>
        <v>matches well with its kovu counterparts and fits well into ApoKipo as a gene</v>
      </c>
      <c r="C16" s="17"/>
      <c r="D16" s="6"/>
    </row>
    <row r="17" spans="1:4" ht="15.75" customHeight="1" x14ac:dyDescent="0.15">
      <c r="A17" s="5" t="s">
        <v>17</v>
      </c>
      <c r="B17" s="17" t="str">
        <f ca="1">IFERROR(__xludf.DUMMYFUNCTION("""COMPUTED_VALUE"""),"8TZL_E Peptidase M23 (Probability: 99.33%, percent align Q: 41.08, percent align T: 31.94)")</f>
        <v>8TZL_E Peptidase M23 (Probability: 99.33%, percent align Q: 41.08, percent align T: 31.94)</v>
      </c>
      <c r="C17" s="17"/>
      <c r="D17" s="6"/>
    </row>
    <row r="18" spans="1:4" ht="15.75" customHeight="1" x14ac:dyDescent="0.15">
      <c r="A18" s="5" t="s">
        <v>18</v>
      </c>
      <c r="B18" s="17" t="str">
        <f ca="1">IFERROR(__xludf.DUMMYFUNCTION("""COMPUTED_VALUE"""),"NlpD -Membrane proteins related to metalloendopeptidases [Cell envelope biogenesis, outer membrane].    M23_peptidase -M23 family metallopeptidase, also known as beta-lytic metallopeptidase, and similar proteins. This model describes the metallopeptidase "&amp;"M23 family, which includes beta-lytic metallopeptidase and lysostaphin.")</f>
        <v>NlpD -Membrane proteins related to metalloendopeptidases [Cell envelope biogenesis, outer membrane].    M23_peptidase -M23 family metallopeptidase, also known as beta-lytic metallopeptidase, and similar proteins. This model describes the metallopeptidase M23 family, which includes beta-lytic metallopeptidase and lysostaphin.</v>
      </c>
      <c r="C18" s="17"/>
      <c r="D18" s="6"/>
    </row>
    <row r="19" spans="1:4" ht="15.75" customHeight="1" x14ac:dyDescent="0.15">
      <c r="A19" s="5" t="s">
        <v>19</v>
      </c>
      <c r="B19" s="17" t="str">
        <f ca="1">IFERROR(__xludf.DUMMYFUNCTION("""COMPUTED_VALUE"""),"1.0 outside")</f>
        <v>1.0 outside</v>
      </c>
      <c r="C19" s="17"/>
      <c r="D19" s="6"/>
    </row>
    <row r="20" spans="1:4" ht="15.75" customHeight="1" x14ac:dyDescent="0.15">
      <c r="A20" s="5" t="s">
        <v>20</v>
      </c>
      <c r="B20" s="17" t="str">
        <f ca="1">IFERROR(__xludf.DUMMYFUNCTION("""COMPUTED_VALUE"""),"Peptidase protein most of the hits were forms of a Peptidase protein")</f>
        <v>Peptidase protein most of the hits were forms of a Peptidase protein</v>
      </c>
      <c r="C20" s="17"/>
      <c r="D20" s="6"/>
    </row>
    <row r="21" spans="1:4" x14ac:dyDescent="0.2">
      <c r="A21" s="7"/>
      <c r="B21" s="19"/>
      <c r="C21" s="19"/>
      <c r="D21" s="8"/>
    </row>
    <row r="22" spans="1:4" ht="15.75" customHeight="1" x14ac:dyDescent="0.15">
      <c r="A22" s="9" t="s">
        <v>21</v>
      </c>
      <c r="B22" s="19"/>
      <c r="C22" s="19"/>
      <c r="D22" s="8"/>
    </row>
    <row r="23" spans="1:4" ht="15.75" customHeight="1" x14ac:dyDescent="0.15">
      <c r="A23" s="10"/>
      <c r="B23" s="13"/>
      <c r="C23" s="13"/>
    </row>
    <row r="24" spans="1:4" ht="15.75" customHeight="1" x14ac:dyDescent="0.15">
      <c r="A24" s="10"/>
      <c r="B24" s="13"/>
      <c r="C24" s="13"/>
    </row>
    <row r="25" spans="1:4" ht="15.75" customHeight="1" x14ac:dyDescent="0.15">
      <c r="A25" s="10"/>
      <c r="B25" s="13"/>
      <c r="C25" s="13"/>
    </row>
    <row r="26" spans="1:4" ht="15.75" customHeight="1" x14ac:dyDescent="0.15">
      <c r="A26" s="10"/>
      <c r="B26" s="13"/>
      <c r="C26" s="13"/>
    </row>
    <row r="27" spans="1:4" ht="15.75" customHeight="1" x14ac:dyDescent="0.15">
      <c r="A27" s="10"/>
      <c r="B27" s="13"/>
      <c r="C27" s="13"/>
    </row>
    <row r="28" spans="1:4" ht="15.75" customHeight="1" x14ac:dyDescent="0.15">
      <c r="A28" s="10"/>
      <c r="B28" s="13"/>
      <c r="C28" s="13"/>
    </row>
    <row r="29" spans="1:4" ht="15.75" customHeight="1" x14ac:dyDescent="0.15">
      <c r="A29" s="10"/>
      <c r="B29" s="13"/>
      <c r="C29" s="13"/>
    </row>
    <row r="30" spans="1:4" ht="15.75" customHeight="1" x14ac:dyDescent="0.15">
      <c r="A30" s="10"/>
      <c r="B30" s="13"/>
      <c r="C30" s="13"/>
    </row>
    <row r="31" spans="1:4" ht="15.75" customHeight="1" x14ac:dyDescent="0.15">
      <c r="A31" s="10"/>
      <c r="B31" s="13"/>
      <c r="C31" s="13"/>
    </row>
    <row r="32" spans="1:4" ht="15.75" customHeight="1" x14ac:dyDescent="0.15">
      <c r="A32" s="10"/>
      <c r="B32" s="13"/>
      <c r="C32" s="13"/>
    </row>
    <row r="33" spans="1:3" ht="15.75" customHeight="1" x14ac:dyDescent="0.15">
      <c r="A33" s="10"/>
      <c r="B33" s="13"/>
      <c r="C33" s="13"/>
    </row>
    <row r="34" spans="1:3" ht="15.75" customHeight="1" x14ac:dyDescent="0.15">
      <c r="A34" s="10"/>
      <c r="B34" s="13"/>
      <c r="C34" s="13"/>
    </row>
    <row r="35" spans="1:3" ht="15.75" customHeight="1" x14ac:dyDescent="0.15">
      <c r="A35" s="10"/>
      <c r="B35" s="13"/>
      <c r="C35" s="13"/>
    </row>
    <row r="36" spans="1:3" ht="15.75" customHeight="1" x14ac:dyDescent="0.15">
      <c r="A36" s="10"/>
      <c r="B36" s="13"/>
      <c r="C36" s="13"/>
    </row>
    <row r="37" spans="1:3" ht="15.75" customHeight="1" x14ac:dyDescent="0.15">
      <c r="A37" s="10"/>
      <c r="B37" s="13"/>
      <c r="C37" s="13"/>
    </row>
    <row r="38" spans="1:3" ht="15.75" customHeight="1" x14ac:dyDescent="0.15">
      <c r="A38" s="10"/>
      <c r="B38" s="13"/>
      <c r="C38" s="13"/>
    </row>
    <row r="39" spans="1:3" ht="13" x14ac:dyDescent="0.15">
      <c r="A39" s="10"/>
      <c r="B39" s="13"/>
      <c r="C39" s="13"/>
    </row>
    <row r="40" spans="1:3" ht="13" x14ac:dyDescent="0.15">
      <c r="A40" s="10"/>
      <c r="B40" s="13"/>
      <c r="C40" s="13"/>
    </row>
    <row r="41" spans="1:3" ht="13" x14ac:dyDescent="0.15">
      <c r="A41" s="10"/>
      <c r="B41" s="13"/>
      <c r="C41" s="13"/>
    </row>
    <row r="42" spans="1:3" ht="13" x14ac:dyDescent="0.15">
      <c r="A42" s="10"/>
      <c r="B42" s="13"/>
      <c r="C42" s="13"/>
    </row>
    <row r="43" spans="1:3" ht="13" x14ac:dyDescent="0.15">
      <c r="A43" s="10"/>
      <c r="B43" s="13"/>
      <c r="C43" s="13"/>
    </row>
    <row r="44" spans="1:3" ht="13" x14ac:dyDescent="0.15">
      <c r="A44" s="10"/>
      <c r="B44" s="13"/>
      <c r="C44" s="13"/>
    </row>
    <row r="45" spans="1:3" ht="13" x14ac:dyDescent="0.15">
      <c r="A45" s="10"/>
      <c r="B45" s="13"/>
      <c r="C45" s="13"/>
    </row>
    <row r="46" spans="1:3" ht="13" x14ac:dyDescent="0.15">
      <c r="A46" s="10"/>
      <c r="B46" s="13"/>
      <c r="C46" s="13"/>
    </row>
    <row r="47" spans="1:3" ht="13" x14ac:dyDescent="0.15">
      <c r="A47" s="10"/>
      <c r="B47" s="13"/>
      <c r="C47" s="13"/>
    </row>
    <row r="48" spans="1:3" ht="13" x14ac:dyDescent="0.15">
      <c r="A48" s="10"/>
      <c r="B48" s="13"/>
      <c r="C48" s="13"/>
    </row>
    <row r="49" spans="1:3" ht="13" x14ac:dyDescent="0.15">
      <c r="A49" s="10"/>
      <c r="B49" s="13"/>
      <c r="C49" s="13"/>
    </row>
    <row r="50" spans="1:3" ht="13" x14ac:dyDescent="0.15">
      <c r="A50" s="10"/>
      <c r="B50" s="13"/>
      <c r="C50" s="13"/>
    </row>
    <row r="51" spans="1:3" ht="13" x14ac:dyDescent="0.15">
      <c r="A51" s="10"/>
      <c r="B51" s="13"/>
      <c r="C51" s="13"/>
    </row>
    <row r="52" spans="1:3" ht="13" x14ac:dyDescent="0.15">
      <c r="A52" s="10"/>
      <c r="B52" s="13"/>
      <c r="C52" s="13"/>
    </row>
    <row r="53" spans="1:3" ht="13" x14ac:dyDescent="0.15">
      <c r="A53" s="10"/>
      <c r="B53" s="13"/>
      <c r="C53" s="13"/>
    </row>
    <row r="54" spans="1:3" ht="13" x14ac:dyDescent="0.15">
      <c r="A54" s="10"/>
      <c r="B54" s="13"/>
      <c r="C54" s="13"/>
    </row>
    <row r="55" spans="1:3" ht="13" x14ac:dyDescent="0.15">
      <c r="A55" s="10"/>
      <c r="B55" s="13"/>
      <c r="C55" s="13"/>
    </row>
    <row r="56" spans="1:3" ht="13" x14ac:dyDescent="0.15">
      <c r="A56" s="10"/>
      <c r="B56" s="13"/>
      <c r="C56" s="13"/>
    </row>
    <row r="57" spans="1:3" ht="13" x14ac:dyDescent="0.15">
      <c r="A57" s="10"/>
      <c r="B57" s="13"/>
      <c r="C57" s="13"/>
    </row>
    <row r="58" spans="1:3" ht="13" x14ac:dyDescent="0.15">
      <c r="A58" s="10"/>
      <c r="B58" s="13"/>
      <c r="C58" s="13"/>
    </row>
    <row r="59" spans="1:3" ht="13" x14ac:dyDescent="0.15">
      <c r="A59" s="10"/>
      <c r="B59" s="13"/>
      <c r="C59" s="13"/>
    </row>
    <row r="60" spans="1:3" ht="13" x14ac:dyDescent="0.15">
      <c r="A60" s="10"/>
      <c r="B60" s="13"/>
      <c r="C60" s="13"/>
    </row>
    <row r="61" spans="1:3" ht="13" x14ac:dyDescent="0.15">
      <c r="A61" s="10"/>
      <c r="B61" s="13"/>
      <c r="C61" s="13"/>
    </row>
    <row r="62" spans="1:3" ht="13" x14ac:dyDescent="0.15">
      <c r="A62" s="10"/>
      <c r="B62" s="13"/>
      <c r="C62" s="13"/>
    </row>
    <row r="63" spans="1:3" ht="13" x14ac:dyDescent="0.15">
      <c r="A63" s="10"/>
      <c r="B63" s="13"/>
      <c r="C63" s="13"/>
    </row>
    <row r="64" spans="1:3" ht="13" x14ac:dyDescent="0.15">
      <c r="A64" s="10"/>
      <c r="B64" s="13"/>
      <c r="C64" s="13"/>
    </row>
    <row r="65" spans="1:3" ht="13" x14ac:dyDescent="0.15">
      <c r="A65" s="10"/>
      <c r="B65" s="13"/>
      <c r="C65" s="13"/>
    </row>
    <row r="66" spans="1:3" ht="13" x14ac:dyDescent="0.15">
      <c r="A66" s="10"/>
      <c r="B66" s="13"/>
      <c r="C66" s="13"/>
    </row>
    <row r="67" spans="1:3" ht="13" x14ac:dyDescent="0.15">
      <c r="A67" s="10"/>
      <c r="B67" s="13"/>
      <c r="C67" s="13"/>
    </row>
    <row r="68" spans="1:3" ht="13" x14ac:dyDescent="0.15">
      <c r="A68" s="10"/>
      <c r="B68" s="13"/>
      <c r="C68" s="13"/>
    </row>
    <row r="69" spans="1:3" ht="13" x14ac:dyDescent="0.15">
      <c r="A69" s="10"/>
      <c r="B69" s="13"/>
      <c r="C69" s="13"/>
    </row>
    <row r="70" spans="1:3" ht="13" x14ac:dyDescent="0.15">
      <c r="A70" s="10"/>
      <c r="B70" s="13"/>
      <c r="C70" s="13"/>
    </row>
    <row r="71" spans="1:3" ht="13" x14ac:dyDescent="0.15">
      <c r="A71" s="10"/>
      <c r="B71" s="13"/>
      <c r="C71" s="13"/>
    </row>
    <row r="72" spans="1:3" ht="13" x14ac:dyDescent="0.15">
      <c r="A72" s="10"/>
      <c r="B72" s="13"/>
      <c r="C72" s="13"/>
    </row>
    <row r="73" spans="1:3" ht="13" x14ac:dyDescent="0.15">
      <c r="A73" s="10"/>
      <c r="B73" s="13"/>
      <c r="C73" s="13"/>
    </row>
    <row r="74" spans="1:3" ht="13" x14ac:dyDescent="0.15">
      <c r="A74" s="10"/>
      <c r="B74" s="13"/>
      <c r="C74" s="13"/>
    </row>
    <row r="75" spans="1:3" ht="13" x14ac:dyDescent="0.15">
      <c r="A75" s="10"/>
      <c r="B75" s="13"/>
      <c r="C75" s="13"/>
    </row>
    <row r="76" spans="1:3" ht="13" x14ac:dyDescent="0.15">
      <c r="A76" s="10"/>
      <c r="B76" s="13"/>
      <c r="C76" s="13"/>
    </row>
    <row r="77" spans="1:3" ht="13" x14ac:dyDescent="0.15">
      <c r="A77" s="10"/>
      <c r="B77" s="13"/>
      <c r="C77" s="13"/>
    </row>
    <row r="78" spans="1:3" ht="13" x14ac:dyDescent="0.15">
      <c r="A78" s="10"/>
      <c r="B78" s="13"/>
      <c r="C78" s="13"/>
    </row>
    <row r="79" spans="1:3" ht="13" x14ac:dyDescent="0.15">
      <c r="A79" s="10"/>
      <c r="B79" s="13"/>
      <c r="C79" s="13"/>
    </row>
    <row r="80" spans="1:3" ht="13" x14ac:dyDescent="0.15">
      <c r="A80" s="10"/>
      <c r="B80" s="13"/>
      <c r="C80" s="13"/>
    </row>
    <row r="81" spans="1:3" ht="13" x14ac:dyDescent="0.15">
      <c r="A81" s="10"/>
      <c r="B81" s="13"/>
      <c r="C81" s="13"/>
    </row>
    <row r="82" spans="1:3" ht="13" x14ac:dyDescent="0.15">
      <c r="A82" s="10"/>
      <c r="B82" s="13"/>
      <c r="C82" s="13"/>
    </row>
    <row r="83" spans="1:3" ht="13" x14ac:dyDescent="0.15">
      <c r="A83" s="10"/>
      <c r="B83" s="13"/>
      <c r="C83" s="13"/>
    </row>
    <row r="84" spans="1:3" ht="13" x14ac:dyDescent="0.15">
      <c r="A84" s="10"/>
      <c r="B84" s="13"/>
      <c r="C84" s="13"/>
    </row>
    <row r="85" spans="1:3" ht="13" x14ac:dyDescent="0.15">
      <c r="A85" s="10"/>
      <c r="B85" s="13"/>
      <c r="C85" s="13"/>
    </row>
    <row r="86" spans="1:3" ht="13" x14ac:dyDescent="0.15">
      <c r="A86" s="10"/>
      <c r="B86" s="13"/>
      <c r="C86" s="13"/>
    </row>
    <row r="87" spans="1:3" ht="13" x14ac:dyDescent="0.15">
      <c r="A87" s="10"/>
      <c r="B87" s="13"/>
      <c r="C87" s="13"/>
    </row>
    <row r="88" spans="1:3" ht="13" x14ac:dyDescent="0.15">
      <c r="A88" s="10"/>
      <c r="B88" s="13"/>
      <c r="C88" s="13"/>
    </row>
    <row r="89" spans="1:3" ht="13" x14ac:dyDescent="0.15">
      <c r="A89" s="10"/>
      <c r="B89" s="13"/>
      <c r="C89" s="13"/>
    </row>
    <row r="90" spans="1:3" ht="13" x14ac:dyDescent="0.15">
      <c r="A90" s="10"/>
      <c r="B90" s="13"/>
      <c r="C90" s="13"/>
    </row>
    <row r="91" spans="1:3" ht="13" x14ac:dyDescent="0.15">
      <c r="A91" s="10"/>
      <c r="B91" s="13"/>
      <c r="C91" s="13"/>
    </row>
    <row r="92" spans="1:3" ht="13" x14ac:dyDescent="0.15">
      <c r="A92" s="10"/>
      <c r="B92" s="13"/>
      <c r="C92" s="13"/>
    </row>
    <row r="93" spans="1:3" ht="13" x14ac:dyDescent="0.15">
      <c r="A93" s="10"/>
      <c r="B93" s="13"/>
      <c r="C93" s="13"/>
    </row>
    <row r="94" spans="1:3" ht="13" x14ac:dyDescent="0.15">
      <c r="A94" s="10"/>
      <c r="B94" s="13"/>
      <c r="C94" s="13"/>
    </row>
    <row r="95" spans="1:3" ht="13" x14ac:dyDescent="0.15">
      <c r="A95" s="10"/>
      <c r="B95" s="13"/>
      <c r="C95" s="13"/>
    </row>
    <row r="96" spans="1:3" ht="13" x14ac:dyDescent="0.15">
      <c r="A96" s="10"/>
      <c r="B96" s="13"/>
      <c r="C96" s="13"/>
    </row>
    <row r="97" spans="1:3" ht="13" x14ac:dyDescent="0.15">
      <c r="A97" s="10"/>
      <c r="B97" s="13"/>
      <c r="C97" s="13"/>
    </row>
    <row r="98" spans="1:3" ht="13" x14ac:dyDescent="0.15">
      <c r="A98" s="10"/>
      <c r="B98" s="13"/>
      <c r="C98" s="13"/>
    </row>
    <row r="99" spans="1:3" ht="13" x14ac:dyDescent="0.15">
      <c r="A99" s="10"/>
      <c r="B99" s="13"/>
      <c r="C99" s="13"/>
    </row>
    <row r="100" spans="1:3" ht="13" x14ac:dyDescent="0.15">
      <c r="A100" s="10"/>
      <c r="B100" s="13"/>
      <c r="C100" s="13"/>
    </row>
    <row r="101" spans="1:3" ht="13" x14ac:dyDescent="0.15">
      <c r="A101" s="10"/>
      <c r="B101" s="13"/>
      <c r="C101" s="13"/>
    </row>
    <row r="102" spans="1:3" ht="13" x14ac:dyDescent="0.15">
      <c r="A102" s="10"/>
      <c r="B102" s="13"/>
      <c r="C102" s="13"/>
    </row>
    <row r="103" spans="1:3" ht="13" x14ac:dyDescent="0.15">
      <c r="A103" s="10"/>
      <c r="B103" s="13"/>
      <c r="C103" s="13"/>
    </row>
    <row r="104" spans="1:3" ht="13" x14ac:dyDescent="0.15">
      <c r="A104" s="10"/>
      <c r="B104" s="13"/>
      <c r="C104" s="13"/>
    </row>
    <row r="105" spans="1:3" ht="13" x14ac:dyDescent="0.15">
      <c r="A105" s="10"/>
      <c r="B105" s="13"/>
      <c r="C105" s="13"/>
    </row>
    <row r="106" spans="1:3" ht="13" x14ac:dyDescent="0.15">
      <c r="A106" s="10"/>
      <c r="B106" s="13"/>
      <c r="C106" s="13"/>
    </row>
    <row r="107" spans="1:3" ht="13" x14ac:dyDescent="0.15">
      <c r="A107" s="10"/>
      <c r="B107" s="13"/>
      <c r="C107" s="13"/>
    </row>
    <row r="108" spans="1:3" ht="13" x14ac:dyDescent="0.15">
      <c r="A108" s="10"/>
      <c r="B108" s="13"/>
      <c r="C108" s="13"/>
    </row>
    <row r="109" spans="1:3" ht="13" x14ac:dyDescent="0.15">
      <c r="A109" s="10"/>
      <c r="B109" s="13"/>
      <c r="C109" s="13"/>
    </row>
    <row r="110" spans="1:3" ht="13" x14ac:dyDescent="0.15">
      <c r="A110" s="10"/>
      <c r="B110" s="13"/>
      <c r="C110" s="13"/>
    </row>
    <row r="111" spans="1:3" ht="13" x14ac:dyDescent="0.15">
      <c r="A111" s="10"/>
      <c r="B111" s="13"/>
      <c r="C111" s="13"/>
    </row>
    <row r="112" spans="1:3" ht="13" x14ac:dyDescent="0.15">
      <c r="A112" s="10"/>
      <c r="B112" s="13"/>
      <c r="C112" s="13"/>
    </row>
    <row r="113" spans="1:3" ht="13" x14ac:dyDescent="0.15">
      <c r="A113" s="10"/>
      <c r="B113" s="13"/>
      <c r="C113" s="13"/>
    </row>
    <row r="114" spans="1:3" ht="13" x14ac:dyDescent="0.15">
      <c r="A114" s="10"/>
      <c r="B114" s="13"/>
      <c r="C114" s="13"/>
    </row>
    <row r="115" spans="1:3" ht="13" x14ac:dyDescent="0.15">
      <c r="A115" s="10"/>
      <c r="B115" s="13"/>
      <c r="C115" s="13"/>
    </row>
    <row r="116" spans="1:3" ht="13" x14ac:dyDescent="0.15">
      <c r="A116" s="10"/>
      <c r="B116" s="13"/>
      <c r="C116" s="13"/>
    </row>
    <row r="117" spans="1:3" ht="13" x14ac:dyDescent="0.15">
      <c r="A117" s="10"/>
      <c r="B117" s="13"/>
      <c r="C117" s="13"/>
    </row>
    <row r="118" spans="1:3" ht="13" x14ac:dyDescent="0.15">
      <c r="A118" s="10"/>
      <c r="B118" s="13"/>
      <c r="C118" s="13"/>
    </row>
    <row r="119" spans="1:3" ht="13" x14ac:dyDescent="0.15">
      <c r="A119" s="10"/>
      <c r="B119" s="13"/>
      <c r="C119" s="13"/>
    </row>
    <row r="120" spans="1:3" ht="13" x14ac:dyDescent="0.15">
      <c r="A120" s="10"/>
      <c r="B120" s="13"/>
      <c r="C120" s="13"/>
    </row>
    <row r="121" spans="1:3" ht="13" x14ac:dyDescent="0.15">
      <c r="A121" s="10"/>
      <c r="B121" s="13"/>
      <c r="C121" s="13"/>
    </row>
    <row r="122" spans="1:3" ht="13" x14ac:dyDescent="0.15">
      <c r="A122" s="10"/>
      <c r="B122" s="13"/>
      <c r="C122" s="13"/>
    </row>
    <row r="123" spans="1:3" ht="13" x14ac:dyDescent="0.15">
      <c r="A123" s="10"/>
      <c r="B123" s="13"/>
      <c r="C123" s="13"/>
    </row>
    <row r="124" spans="1:3" ht="13" x14ac:dyDescent="0.15">
      <c r="A124" s="10"/>
      <c r="B124" s="13"/>
      <c r="C124" s="13"/>
    </row>
    <row r="125" spans="1:3" ht="13" x14ac:dyDescent="0.15">
      <c r="A125" s="10"/>
      <c r="B125" s="13"/>
      <c r="C125" s="13"/>
    </row>
    <row r="126" spans="1:3" ht="13" x14ac:dyDescent="0.15">
      <c r="A126" s="10"/>
      <c r="B126" s="13"/>
      <c r="C126" s="13"/>
    </row>
    <row r="127" spans="1:3" ht="13" x14ac:dyDescent="0.15">
      <c r="A127" s="10"/>
      <c r="B127" s="13"/>
      <c r="C127" s="13"/>
    </row>
    <row r="128" spans="1:3" ht="13" x14ac:dyDescent="0.15">
      <c r="A128" s="10"/>
      <c r="B128" s="13"/>
      <c r="C128" s="13"/>
    </row>
    <row r="129" spans="1:3" ht="13" x14ac:dyDescent="0.15">
      <c r="A129" s="10"/>
      <c r="B129" s="13"/>
      <c r="C129" s="13"/>
    </row>
    <row r="130" spans="1:3" ht="13" x14ac:dyDescent="0.15">
      <c r="A130" s="10"/>
      <c r="B130" s="13"/>
      <c r="C130" s="13"/>
    </row>
    <row r="131" spans="1:3" ht="13" x14ac:dyDescent="0.15">
      <c r="A131" s="10"/>
      <c r="B131" s="13"/>
      <c r="C131" s="13"/>
    </row>
    <row r="132" spans="1:3" ht="13" x14ac:dyDescent="0.15">
      <c r="A132" s="10"/>
      <c r="B132" s="13"/>
      <c r="C132" s="13"/>
    </row>
    <row r="133" spans="1:3" ht="13" x14ac:dyDescent="0.15">
      <c r="A133" s="10"/>
      <c r="B133" s="13"/>
      <c r="C133" s="13"/>
    </row>
    <row r="134" spans="1:3" ht="13" x14ac:dyDescent="0.15">
      <c r="A134" s="10"/>
      <c r="B134" s="13"/>
      <c r="C134" s="13"/>
    </row>
    <row r="135" spans="1:3" ht="13" x14ac:dyDescent="0.15">
      <c r="A135" s="10"/>
      <c r="B135" s="13"/>
      <c r="C135" s="13"/>
    </row>
    <row r="136" spans="1:3" ht="13" x14ac:dyDescent="0.15">
      <c r="A136" s="10"/>
      <c r="B136" s="13"/>
      <c r="C136" s="13"/>
    </row>
    <row r="137" spans="1:3" ht="13" x14ac:dyDescent="0.15">
      <c r="A137" s="10"/>
      <c r="B137" s="13"/>
      <c r="C137" s="13"/>
    </row>
    <row r="138" spans="1:3" ht="13" x14ac:dyDescent="0.15">
      <c r="A138" s="10"/>
      <c r="B138" s="13"/>
      <c r="C138" s="13"/>
    </row>
    <row r="139" spans="1:3" ht="13" x14ac:dyDescent="0.15">
      <c r="A139" s="10"/>
      <c r="B139" s="13"/>
      <c r="C139" s="13"/>
    </row>
    <row r="140" spans="1:3" ht="13" x14ac:dyDescent="0.15">
      <c r="A140" s="10"/>
      <c r="B140" s="13"/>
      <c r="C140" s="13"/>
    </row>
    <row r="141" spans="1:3" ht="13" x14ac:dyDescent="0.15">
      <c r="A141" s="10"/>
      <c r="B141" s="13"/>
      <c r="C141" s="13"/>
    </row>
    <row r="142" spans="1:3" ht="13" x14ac:dyDescent="0.15">
      <c r="A142" s="10"/>
      <c r="B142" s="13"/>
      <c r="C142" s="13"/>
    </row>
    <row r="143" spans="1:3" ht="13" x14ac:dyDescent="0.15">
      <c r="A143" s="10"/>
      <c r="B143" s="13"/>
      <c r="C143" s="13"/>
    </row>
    <row r="144" spans="1:3" ht="13" x14ac:dyDescent="0.15">
      <c r="A144" s="10"/>
      <c r="B144" s="13"/>
      <c r="C144" s="13"/>
    </row>
    <row r="145" spans="1:3" ht="13" x14ac:dyDescent="0.15">
      <c r="A145" s="10"/>
      <c r="B145" s="13"/>
      <c r="C145" s="13"/>
    </row>
    <row r="146" spans="1:3" ht="13" x14ac:dyDescent="0.15">
      <c r="A146" s="10"/>
      <c r="B146" s="13"/>
      <c r="C146" s="13"/>
    </row>
    <row r="147" spans="1:3" ht="13" x14ac:dyDescent="0.15">
      <c r="A147" s="10"/>
      <c r="B147" s="13"/>
      <c r="C147" s="13"/>
    </row>
    <row r="148" spans="1:3" ht="13" x14ac:dyDescent="0.15">
      <c r="A148" s="10"/>
      <c r="B148" s="13"/>
      <c r="C148" s="13"/>
    </row>
    <row r="149" spans="1:3" ht="13" x14ac:dyDescent="0.15">
      <c r="A149" s="10"/>
      <c r="B149" s="13"/>
      <c r="C149" s="13"/>
    </row>
    <row r="150" spans="1:3" ht="13" x14ac:dyDescent="0.15">
      <c r="A150" s="10"/>
      <c r="B150" s="13"/>
      <c r="C150" s="13"/>
    </row>
    <row r="151" spans="1:3" ht="13" x14ac:dyDescent="0.15">
      <c r="A151" s="10"/>
      <c r="B151" s="13"/>
      <c r="C151" s="13"/>
    </row>
    <row r="152" spans="1:3" ht="13" x14ac:dyDescent="0.15">
      <c r="A152" s="10"/>
      <c r="B152" s="13"/>
      <c r="C152" s="13"/>
    </row>
    <row r="153" spans="1:3" ht="13" x14ac:dyDescent="0.15">
      <c r="A153" s="10"/>
      <c r="B153" s="13"/>
      <c r="C153" s="13"/>
    </row>
    <row r="154" spans="1:3" ht="13" x14ac:dyDescent="0.15">
      <c r="A154" s="10"/>
      <c r="B154" s="13"/>
      <c r="C154" s="13"/>
    </row>
    <row r="155" spans="1:3" ht="13" x14ac:dyDescent="0.15">
      <c r="A155" s="10"/>
      <c r="B155" s="13"/>
      <c r="C155" s="13"/>
    </row>
    <row r="156" spans="1:3" ht="13" x14ac:dyDescent="0.15">
      <c r="A156" s="10"/>
      <c r="B156" s="13"/>
      <c r="C156" s="13"/>
    </row>
    <row r="157" spans="1:3" ht="13" x14ac:dyDescent="0.15">
      <c r="A157" s="10"/>
      <c r="B157" s="13"/>
      <c r="C157" s="13"/>
    </row>
    <row r="158" spans="1:3" ht="13" x14ac:dyDescent="0.15">
      <c r="A158" s="10"/>
      <c r="B158" s="13"/>
      <c r="C158" s="13"/>
    </row>
    <row r="159" spans="1:3" ht="13" x14ac:dyDescent="0.15">
      <c r="A159" s="10"/>
      <c r="B159" s="13"/>
      <c r="C159" s="13"/>
    </row>
    <row r="160" spans="1:3" ht="13" x14ac:dyDescent="0.15">
      <c r="A160" s="10"/>
      <c r="B160" s="13"/>
      <c r="C160" s="13"/>
    </row>
    <row r="161" spans="1:3" ht="13" x14ac:dyDescent="0.15">
      <c r="A161" s="10"/>
      <c r="B161" s="13"/>
      <c r="C161" s="13"/>
    </row>
    <row r="162" spans="1:3" ht="13" x14ac:dyDescent="0.15">
      <c r="A162" s="10"/>
      <c r="B162" s="13"/>
      <c r="C162" s="13"/>
    </row>
    <row r="163" spans="1:3" ht="13" x14ac:dyDescent="0.15">
      <c r="A163" s="10"/>
      <c r="B163" s="13"/>
      <c r="C163" s="13"/>
    </row>
    <row r="164" spans="1:3" ht="13" x14ac:dyDescent="0.15">
      <c r="A164" s="10"/>
      <c r="B164" s="13"/>
      <c r="C164" s="13"/>
    </row>
    <row r="165" spans="1:3" ht="13" x14ac:dyDescent="0.15">
      <c r="A165" s="10"/>
      <c r="B165" s="13"/>
      <c r="C165" s="13"/>
    </row>
    <row r="166" spans="1:3" ht="13" x14ac:dyDescent="0.15">
      <c r="A166" s="10"/>
      <c r="B166" s="13"/>
      <c r="C166" s="13"/>
    </row>
    <row r="167" spans="1:3" ht="13" x14ac:dyDescent="0.15">
      <c r="A167" s="10"/>
      <c r="B167" s="13"/>
      <c r="C167" s="13"/>
    </row>
    <row r="168" spans="1:3" ht="13" x14ac:dyDescent="0.15">
      <c r="A168" s="10"/>
      <c r="B168" s="13"/>
      <c r="C168" s="13"/>
    </row>
    <row r="169" spans="1:3" ht="13" x14ac:dyDescent="0.15">
      <c r="A169" s="10"/>
      <c r="B169" s="13"/>
      <c r="C169" s="13"/>
    </row>
    <row r="170" spans="1:3" ht="13" x14ac:dyDescent="0.15">
      <c r="A170" s="10"/>
      <c r="B170" s="13"/>
      <c r="C170" s="13"/>
    </row>
    <row r="171" spans="1:3" ht="13" x14ac:dyDescent="0.15">
      <c r="A171" s="10"/>
      <c r="B171" s="13"/>
      <c r="C171" s="13"/>
    </row>
    <row r="172" spans="1:3" ht="13" x14ac:dyDescent="0.15">
      <c r="A172" s="10"/>
      <c r="B172" s="13"/>
      <c r="C172" s="13"/>
    </row>
    <row r="173" spans="1:3" ht="13" x14ac:dyDescent="0.15">
      <c r="A173" s="10"/>
      <c r="B173" s="13"/>
      <c r="C173" s="13"/>
    </row>
    <row r="174" spans="1:3" ht="13" x14ac:dyDescent="0.15">
      <c r="A174" s="10"/>
      <c r="B174" s="13"/>
      <c r="C174" s="13"/>
    </row>
    <row r="175" spans="1:3" ht="13" x14ac:dyDescent="0.15">
      <c r="A175" s="10"/>
      <c r="B175" s="13"/>
      <c r="C175" s="13"/>
    </row>
    <row r="176" spans="1:3" ht="13" x14ac:dyDescent="0.15">
      <c r="A176" s="10"/>
      <c r="B176" s="13"/>
      <c r="C176" s="13"/>
    </row>
    <row r="177" spans="1:3" ht="13" x14ac:dyDescent="0.15">
      <c r="A177" s="10"/>
      <c r="B177" s="13"/>
      <c r="C177" s="13"/>
    </row>
    <row r="178" spans="1:3" ht="13" x14ac:dyDescent="0.15">
      <c r="A178" s="10"/>
      <c r="B178" s="13"/>
      <c r="C178" s="13"/>
    </row>
    <row r="179" spans="1:3" ht="13" x14ac:dyDescent="0.15">
      <c r="A179" s="10"/>
      <c r="B179" s="13"/>
      <c r="C179" s="13"/>
    </row>
    <row r="180" spans="1:3" ht="13" x14ac:dyDescent="0.15">
      <c r="A180" s="10"/>
      <c r="B180" s="13"/>
      <c r="C180" s="13"/>
    </row>
    <row r="181" spans="1:3" ht="13" x14ac:dyDescent="0.15">
      <c r="A181" s="10"/>
      <c r="B181" s="13"/>
      <c r="C181" s="13"/>
    </row>
    <row r="182" spans="1:3" ht="13" x14ac:dyDescent="0.15">
      <c r="A182" s="10"/>
      <c r="B182" s="13"/>
      <c r="C182" s="13"/>
    </row>
    <row r="183" spans="1:3" ht="13" x14ac:dyDescent="0.15">
      <c r="A183" s="10"/>
      <c r="B183" s="13"/>
      <c r="C183" s="13"/>
    </row>
    <row r="184" spans="1:3" ht="13" x14ac:dyDescent="0.15">
      <c r="A184" s="10"/>
      <c r="B184" s="13"/>
      <c r="C184" s="13"/>
    </row>
    <row r="185" spans="1:3" ht="13" x14ac:dyDescent="0.15">
      <c r="A185" s="10"/>
      <c r="B185" s="13"/>
      <c r="C185" s="13"/>
    </row>
    <row r="186" spans="1:3" ht="13" x14ac:dyDescent="0.15">
      <c r="A186" s="10"/>
      <c r="B186" s="13"/>
      <c r="C186" s="13"/>
    </row>
    <row r="187" spans="1:3" ht="13" x14ac:dyDescent="0.15">
      <c r="A187" s="10"/>
      <c r="B187" s="13"/>
      <c r="C187" s="13"/>
    </row>
    <row r="188" spans="1:3" ht="13" x14ac:dyDescent="0.15">
      <c r="A188" s="10"/>
      <c r="B188" s="13"/>
      <c r="C188" s="13"/>
    </row>
    <row r="189" spans="1:3" ht="13" x14ac:dyDescent="0.15">
      <c r="A189" s="10"/>
      <c r="B189" s="13"/>
      <c r="C189" s="13"/>
    </row>
    <row r="190" spans="1:3" ht="13" x14ac:dyDescent="0.15">
      <c r="A190" s="10"/>
      <c r="B190" s="13"/>
      <c r="C190" s="13"/>
    </row>
    <row r="191" spans="1:3" ht="13" x14ac:dyDescent="0.15">
      <c r="A191" s="10"/>
      <c r="B191" s="13"/>
      <c r="C191" s="13"/>
    </row>
    <row r="192" spans="1:3" ht="13" x14ac:dyDescent="0.15">
      <c r="A192" s="10"/>
      <c r="B192" s="13"/>
      <c r="C192" s="13"/>
    </row>
    <row r="193" spans="1:3" ht="13" x14ac:dyDescent="0.15">
      <c r="A193" s="10"/>
      <c r="B193" s="13"/>
      <c r="C193" s="13"/>
    </row>
    <row r="194" spans="1:3" ht="13" x14ac:dyDescent="0.15">
      <c r="A194" s="10"/>
      <c r="B194" s="13"/>
      <c r="C194" s="13"/>
    </row>
    <row r="195" spans="1:3" ht="13" x14ac:dyDescent="0.15">
      <c r="A195" s="10"/>
      <c r="B195" s="13"/>
      <c r="C195" s="13"/>
    </row>
    <row r="196" spans="1:3" ht="13" x14ac:dyDescent="0.15">
      <c r="A196" s="10"/>
      <c r="B196" s="13"/>
      <c r="C196" s="13"/>
    </row>
    <row r="197" spans="1:3" ht="13" x14ac:dyDescent="0.15">
      <c r="A197" s="10"/>
      <c r="B197" s="13"/>
      <c r="C197" s="13"/>
    </row>
    <row r="198" spans="1:3" ht="13" x14ac:dyDescent="0.15">
      <c r="A198" s="10"/>
      <c r="B198" s="13"/>
      <c r="C198" s="13"/>
    </row>
    <row r="199" spans="1:3" ht="13" x14ac:dyDescent="0.15">
      <c r="A199" s="10"/>
      <c r="B199" s="13"/>
      <c r="C199" s="13"/>
    </row>
    <row r="200" spans="1:3" ht="13" x14ac:dyDescent="0.15">
      <c r="A200" s="10"/>
      <c r="B200" s="13"/>
      <c r="C200" s="13"/>
    </row>
    <row r="201" spans="1:3" ht="13" x14ac:dyDescent="0.15">
      <c r="A201" s="10"/>
      <c r="B201" s="13"/>
      <c r="C201" s="13"/>
    </row>
    <row r="202" spans="1:3" ht="13" x14ac:dyDescent="0.15">
      <c r="A202" s="10"/>
      <c r="B202" s="13"/>
      <c r="C202" s="13"/>
    </row>
    <row r="203" spans="1:3" ht="13" x14ac:dyDescent="0.15">
      <c r="A203" s="10"/>
      <c r="B203" s="13"/>
      <c r="C203" s="13"/>
    </row>
    <row r="204" spans="1:3" ht="13" x14ac:dyDescent="0.15">
      <c r="A204" s="10"/>
      <c r="B204" s="13"/>
      <c r="C204" s="13"/>
    </row>
    <row r="205" spans="1:3" ht="13" x14ac:dyDescent="0.15">
      <c r="A205" s="10"/>
      <c r="B205" s="13"/>
      <c r="C205" s="13"/>
    </row>
    <row r="206" spans="1:3" ht="13" x14ac:dyDescent="0.15">
      <c r="A206" s="10"/>
      <c r="B206" s="13"/>
      <c r="C206" s="13"/>
    </row>
    <row r="207" spans="1:3" ht="13" x14ac:dyDescent="0.15">
      <c r="A207" s="10"/>
      <c r="B207" s="13"/>
      <c r="C207" s="13"/>
    </row>
    <row r="208" spans="1:3" ht="13" x14ac:dyDescent="0.15">
      <c r="A208" s="10"/>
      <c r="B208" s="13"/>
      <c r="C208" s="13"/>
    </row>
    <row r="209" spans="1:3" ht="13" x14ac:dyDescent="0.15">
      <c r="A209" s="10"/>
      <c r="B209" s="13"/>
      <c r="C209" s="13"/>
    </row>
    <row r="210" spans="1:3" ht="13" x14ac:dyDescent="0.15">
      <c r="A210" s="10"/>
      <c r="B210" s="13"/>
      <c r="C210" s="13"/>
    </row>
    <row r="211" spans="1:3" ht="13" x14ac:dyDescent="0.15">
      <c r="A211" s="10"/>
      <c r="B211" s="13"/>
      <c r="C211" s="13"/>
    </row>
    <row r="212" spans="1:3" ht="13" x14ac:dyDescent="0.15">
      <c r="A212" s="10"/>
      <c r="B212" s="13"/>
      <c r="C212" s="13"/>
    </row>
    <row r="213" spans="1:3" ht="13" x14ac:dyDescent="0.15">
      <c r="A213" s="10"/>
      <c r="B213" s="13"/>
      <c r="C213" s="13"/>
    </row>
    <row r="214" spans="1:3" ht="13" x14ac:dyDescent="0.15">
      <c r="A214" s="10"/>
      <c r="B214" s="13"/>
      <c r="C214" s="13"/>
    </row>
    <row r="215" spans="1:3" ht="13" x14ac:dyDescent="0.15">
      <c r="A215" s="10"/>
      <c r="B215" s="13"/>
      <c r="C215" s="13"/>
    </row>
    <row r="216" spans="1:3" ht="13" x14ac:dyDescent="0.15">
      <c r="A216" s="10"/>
      <c r="B216" s="13"/>
      <c r="C216" s="13"/>
    </row>
    <row r="217" spans="1:3" ht="13" x14ac:dyDescent="0.15">
      <c r="A217" s="10"/>
      <c r="B217" s="13"/>
      <c r="C217" s="13"/>
    </row>
    <row r="218" spans="1:3" ht="13" x14ac:dyDescent="0.15">
      <c r="A218" s="10"/>
      <c r="B218" s="13"/>
      <c r="C218" s="13"/>
    </row>
    <row r="219" spans="1:3" ht="13" x14ac:dyDescent="0.15">
      <c r="A219" s="10"/>
      <c r="B219" s="13"/>
      <c r="C219" s="13"/>
    </row>
    <row r="220" spans="1:3" ht="13" x14ac:dyDescent="0.15">
      <c r="A220" s="10"/>
      <c r="B220" s="13"/>
      <c r="C220" s="13"/>
    </row>
    <row r="221" spans="1:3" ht="13" x14ac:dyDescent="0.15">
      <c r="A221" s="10"/>
      <c r="B221" s="13"/>
      <c r="C221" s="13"/>
    </row>
    <row r="222" spans="1:3" ht="13" x14ac:dyDescent="0.15">
      <c r="A222" s="10"/>
      <c r="B222" s="13"/>
      <c r="C222" s="13"/>
    </row>
    <row r="223" spans="1:3" ht="13" x14ac:dyDescent="0.15">
      <c r="A223" s="10"/>
      <c r="B223" s="13"/>
      <c r="C223" s="13"/>
    </row>
    <row r="224" spans="1:3" ht="13" x14ac:dyDescent="0.15">
      <c r="A224" s="10"/>
      <c r="B224" s="13"/>
      <c r="C224" s="13"/>
    </row>
    <row r="225" spans="1:3" ht="13" x14ac:dyDescent="0.15">
      <c r="A225" s="10"/>
      <c r="B225" s="13"/>
      <c r="C225" s="13"/>
    </row>
    <row r="226" spans="1:3" ht="13" x14ac:dyDescent="0.15">
      <c r="A226" s="10"/>
      <c r="B226" s="13"/>
      <c r="C226" s="13"/>
    </row>
    <row r="227" spans="1:3" ht="13" x14ac:dyDescent="0.15">
      <c r="A227" s="10"/>
      <c r="B227" s="13"/>
      <c r="C227" s="13"/>
    </row>
    <row r="228" spans="1:3" ht="13" x14ac:dyDescent="0.15">
      <c r="A228" s="10"/>
      <c r="B228" s="13"/>
      <c r="C228" s="13"/>
    </row>
    <row r="229" spans="1:3" ht="13" x14ac:dyDescent="0.15">
      <c r="A229" s="10"/>
      <c r="B229" s="13"/>
      <c r="C229" s="13"/>
    </row>
    <row r="230" spans="1:3" ht="13" x14ac:dyDescent="0.15">
      <c r="A230" s="10"/>
      <c r="B230" s="13"/>
      <c r="C230" s="13"/>
    </row>
    <row r="231" spans="1:3" ht="13" x14ac:dyDescent="0.15">
      <c r="A231" s="10"/>
      <c r="B231" s="13"/>
      <c r="C231" s="13"/>
    </row>
    <row r="232" spans="1:3" ht="13" x14ac:dyDescent="0.15">
      <c r="A232" s="10"/>
      <c r="B232" s="13"/>
      <c r="C232" s="13"/>
    </row>
    <row r="233" spans="1:3" ht="13" x14ac:dyDescent="0.15">
      <c r="A233" s="10"/>
      <c r="B233" s="13"/>
      <c r="C233" s="13"/>
    </row>
    <row r="234" spans="1:3" ht="13" x14ac:dyDescent="0.15">
      <c r="A234" s="10"/>
      <c r="B234" s="13"/>
      <c r="C234" s="13"/>
    </row>
    <row r="235" spans="1:3" ht="13" x14ac:dyDescent="0.15">
      <c r="A235" s="10"/>
      <c r="B235" s="13"/>
      <c r="C235" s="13"/>
    </row>
    <row r="236" spans="1:3" ht="13" x14ac:dyDescent="0.15">
      <c r="A236" s="10"/>
      <c r="B236" s="13"/>
      <c r="C236" s="13"/>
    </row>
    <row r="237" spans="1:3" ht="13" x14ac:dyDescent="0.15">
      <c r="A237" s="10"/>
      <c r="B237" s="13"/>
      <c r="C237" s="13"/>
    </row>
    <row r="238" spans="1:3" ht="13" x14ac:dyDescent="0.15">
      <c r="A238" s="10"/>
      <c r="B238" s="13"/>
      <c r="C238" s="13"/>
    </row>
    <row r="239" spans="1:3" ht="13" x14ac:dyDescent="0.15">
      <c r="A239" s="10"/>
      <c r="B239" s="13"/>
      <c r="C239" s="13"/>
    </row>
    <row r="240" spans="1:3" ht="13" x14ac:dyDescent="0.15">
      <c r="A240" s="10"/>
      <c r="B240" s="13"/>
      <c r="C240" s="13"/>
    </row>
    <row r="241" spans="1:3" ht="13" x14ac:dyDescent="0.15">
      <c r="A241" s="10"/>
      <c r="B241" s="13"/>
      <c r="C241" s="13"/>
    </row>
    <row r="242" spans="1:3" ht="13" x14ac:dyDescent="0.15">
      <c r="A242" s="10"/>
      <c r="B242" s="13"/>
      <c r="C242" s="13"/>
    </row>
    <row r="243" spans="1:3" ht="13" x14ac:dyDescent="0.15">
      <c r="A243" s="10"/>
      <c r="B243" s="13"/>
      <c r="C243" s="13"/>
    </row>
    <row r="244" spans="1:3" ht="13" x14ac:dyDescent="0.15">
      <c r="A244" s="10"/>
      <c r="B244" s="13"/>
      <c r="C244" s="13"/>
    </row>
    <row r="245" spans="1:3" ht="13" x14ac:dyDescent="0.15">
      <c r="A245" s="10"/>
      <c r="B245" s="13"/>
      <c r="C245" s="13"/>
    </row>
    <row r="246" spans="1:3" ht="13" x14ac:dyDescent="0.15">
      <c r="A246" s="10"/>
      <c r="B246" s="13"/>
      <c r="C246" s="13"/>
    </row>
    <row r="247" spans="1:3" ht="13" x14ac:dyDescent="0.15">
      <c r="A247" s="10"/>
      <c r="B247" s="13"/>
      <c r="C247" s="13"/>
    </row>
    <row r="248" spans="1:3" ht="13" x14ac:dyDescent="0.15">
      <c r="A248" s="10"/>
      <c r="B248" s="13"/>
      <c r="C248" s="13"/>
    </row>
    <row r="249" spans="1:3" ht="13" x14ac:dyDescent="0.15">
      <c r="A249" s="10"/>
      <c r="B249" s="13"/>
      <c r="C249" s="13"/>
    </row>
    <row r="250" spans="1:3" ht="13" x14ac:dyDescent="0.15">
      <c r="A250" s="10"/>
      <c r="B250" s="13"/>
      <c r="C250" s="13"/>
    </row>
    <row r="251" spans="1:3" ht="13" x14ac:dyDescent="0.15">
      <c r="A251" s="10"/>
      <c r="B251" s="13"/>
      <c r="C251" s="13"/>
    </row>
    <row r="252" spans="1:3" ht="13" x14ac:dyDescent="0.15">
      <c r="A252" s="10"/>
      <c r="B252" s="13"/>
      <c r="C252" s="13"/>
    </row>
    <row r="253" spans="1:3" ht="13" x14ac:dyDescent="0.15">
      <c r="A253" s="10"/>
      <c r="B253" s="13"/>
      <c r="C253" s="13"/>
    </row>
    <row r="254" spans="1:3" ht="13" x14ac:dyDescent="0.15">
      <c r="A254" s="10"/>
      <c r="B254" s="13"/>
      <c r="C254" s="13"/>
    </row>
    <row r="255" spans="1:3" ht="13" x14ac:dyDescent="0.15">
      <c r="A255" s="10"/>
      <c r="B255" s="13"/>
      <c r="C255" s="13"/>
    </row>
    <row r="256" spans="1:3" ht="13" x14ac:dyDescent="0.15">
      <c r="A256" s="10"/>
      <c r="B256" s="13"/>
      <c r="C256" s="13"/>
    </row>
    <row r="257" spans="1:3" ht="13" x14ac:dyDescent="0.15">
      <c r="A257" s="10"/>
      <c r="B257" s="13"/>
      <c r="C257" s="13"/>
    </row>
    <row r="258" spans="1:3" ht="13" x14ac:dyDescent="0.15">
      <c r="A258" s="10"/>
      <c r="B258" s="13"/>
      <c r="C258" s="13"/>
    </row>
    <row r="259" spans="1:3" ht="13" x14ac:dyDescent="0.15">
      <c r="A259" s="10"/>
      <c r="B259" s="13"/>
      <c r="C259" s="13"/>
    </row>
    <row r="260" spans="1:3" ht="13" x14ac:dyDescent="0.15">
      <c r="A260" s="10"/>
      <c r="B260" s="13"/>
      <c r="C260" s="13"/>
    </row>
    <row r="261" spans="1:3" ht="13" x14ac:dyDescent="0.15">
      <c r="A261" s="10"/>
      <c r="B261" s="13"/>
      <c r="C261" s="13"/>
    </row>
    <row r="262" spans="1:3" ht="13" x14ac:dyDescent="0.15">
      <c r="A262" s="10"/>
      <c r="B262" s="13"/>
      <c r="C262" s="13"/>
    </row>
    <row r="263" spans="1:3" ht="13" x14ac:dyDescent="0.15">
      <c r="A263" s="10"/>
      <c r="B263" s="13"/>
      <c r="C263" s="13"/>
    </row>
    <row r="264" spans="1:3" ht="13" x14ac:dyDescent="0.15">
      <c r="A264" s="10"/>
      <c r="B264" s="13"/>
      <c r="C264" s="13"/>
    </row>
    <row r="265" spans="1:3" ht="13" x14ac:dyDescent="0.15">
      <c r="A265" s="10"/>
      <c r="B265" s="13"/>
      <c r="C265" s="13"/>
    </row>
    <row r="266" spans="1:3" ht="13" x14ac:dyDescent="0.15">
      <c r="A266" s="10"/>
      <c r="B266" s="13"/>
      <c r="C266" s="13"/>
    </row>
    <row r="267" spans="1:3" ht="13" x14ac:dyDescent="0.15">
      <c r="A267" s="10"/>
      <c r="B267" s="13"/>
      <c r="C267" s="13"/>
    </row>
    <row r="268" spans="1:3" ht="13" x14ac:dyDescent="0.15">
      <c r="A268" s="10"/>
      <c r="B268" s="13"/>
      <c r="C268" s="13"/>
    </row>
    <row r="269" spans="1:3" ht="13" x14ac:dyDescent="0.15">
      <c r="A269" s="10"/>
      <c r="B269" s="13"/>
      <c r="C269" s="13"/>
    </row>
    <row r="270" spans="1:3" ht="13" x14ac:dyDescent="0.15">
      <c r="A270" s="10"/>
      <c r="B270" s="13"/>
      <c r="C270" s="13"/>
    </row>
    <row r="271" spans="1:3" ht="13" x14ac:dyDescent="0.15">
      <c r="A271" s="10"/>
      <c r="B271" s="13"/>
      <c r="C271" s="13"/>
    </row>
    <row r="272" spans="1:3" ht="13" x14ac:dyDescent="0.15">
      <c r="A272" s="10"/>
      <c r="B272" s="13"/>
      <c r="C272" s="13"/>
    </row>
    <row r="273" spans="1:3" ht="13" x14ac:dyDescent="0.15">
      <c r="A273" s="10"/>
      <c r="B273" s="13"/>
      <c r="C273" s="13"/>
    </row>
    <row r="274" spans="1:3" ht="13" x14ac:dyDescent="0.15">
      <c r="A274" s="10"/>
      <c r="B274" s="13"/>
      <c r="C274" s="13"/>
    </row>
    <row r="275" spans="1:3" ht="13" x14ac:dyDescent="0.15">
      <c r="A275" s="10"/>
      <c r="B275" s="13"/>
      <c r="C275" s="13"/>
    </row>
    <row r="276" spans="1:3" ht="13" x14ac:dyDescent="0.15">
      <c r="A276" s="10"/>
      <c r="B276" s="13"/>
      <c r="C276" s="13"/>
    </row>
    <row r="277" spans="1:3" ht="13" x14ac:dyDescent="0.15">
      <c r="A277" s="10"/>
      <c r="B277" s="13"/>
      <c r="C277" s="13"/>
    </row>
    <row r="278" spans="1:3" ht="13" x14ac:dyDescent="0.15">
      <c r="A278" s="10"/>
      <c r="B278" s="13"/>
      <c r="C278" s="13"/>
    </row>
    <row r="279" spans="1:3" ht="13" x14ac:dyDescent="0.15">
      <c r="A279" s="10"/>
      <c r="B279" s="13"/>
      <c r="C279" s="13"/>
    </row>
    <row r="280" spans="1:3" ht="13" x14ac:dyDescent="0.15">
      <c r="A280" s="10"/>
      <c r="B280" s="13"/>
      <c r="C280" s="13"/>
    </row>
    <row r="281" spans="1:3" ht="13" x14ac:dyDescent="0.15">
      <c r="A281" s="10"/>
      <c r="B281" s="13"/>
      <c r="C281" s="13"/>
    </row>
    <row r="282" spans="1:3" ht="13" x14ac:dyDescent="0.15">
      <c r="A282" s="10"/>
      <c r="B282" s="13"/>
      <c r="C282" s="13"/>
    </row>
    <row r="283" spans="1:3" ht="13" x14ac:dyDescent="0.15">
      <c r="A283" s="10"/>
      <c r="B283" s="13"/>
      <c r="C283" s="13"/>
    </row>
    <row r="284" spans="1:3" ht="13" x14ac:dyDescent="0.15">
      <c r="A284" s="10"/>
      <c r="B284" s="13"/>
      <c r="C284" s="13"/>
    </row>
    <row r="285" spans="1:3" ht="13" x14ac:dyDescent="0.15">
      <c r="A285" s="10"/>
      <c r="B285" s="13"/>
      <c r="C285" s="13"/>
    </row>
    <row r="286" spans="1:3" ht="13" x14ac:dyDescent="0.15">
      <c r="A286" s="10"/>
      <c r="B286" s="13"/>
      <c r="C286" s="13"/>
    </row>
    <row r="287" spans="1:3" ht="13" x14ac:dyDescent="0.15">
      <c r="A287" s="10"/>
      <c r="B287" s="13"/>
      <c r="C287" s="13"/>
    </row>
    <row r="288" spans="1:3" ht="13" x14ac:dyDescent="0.15">
      <c r="A288" s="10"/>
      <c r="B288" s="13"/>
      <c r="C288" s="13"/>
    </row>
    <row r="289" spans="1:3" ht="13" x14ac:dyDescent="0.15">
      <c r="A289" s="10"/>
      <c r="B289" s="13"/>
      <c r="C289" s="13"/>
    </row>
    <row r="290" spans="1:3" ht="13" x14ac:dyDescent="0.15">
      <c r="A290" s="10"/>
      <c r="B290" s="13"/>
      <c r="C290" s="13"/>
    </row>
    <row r="291" spans="1:3" ht="13" x14ac:dyDescent="0.15">
      <c r="A291" s="10"/>
      <c r="B291" s="13"/>
      <c r="C291" s="13"/>
    </row>
    <row r="292" spans="1:3" ht="13" x14ac:dyDescent="0.15">
      <c r="A292" s="10"/>
      <c r="B292" s="13"/>
      <c r="C292" s="13"/>
    </row>
    <row r="293" spans="1:3" ht="13" x14ac:dyDescent="0.15">
      <c r="A293" s="10"/>
      <c r="B293" s="13"/>
      <c r="C293" s="13"/>
    </row>
    <row r="294" spans="1:3" ht="13" x14ac:dyDescent="0.15">
      <c r="A294" s="10"/>
      <c r="B294" s="13"/>
      <c r="C294" s="13"/>
    </row>
    <row r="295" spans="1:3" ht="13" x14ac:dyDescent="0.15">
      <c r="A295" s="10"/>
      <c r="B295" s="13"/>
      <c r="C295" s="13"/>
    </row>
    <row r="296" spans="1:3" ht="13" x14ac:dyDescent="0.15">
      <c r="A296" s="10"/>
      <c r="B296" s="13"/>
      <c r="C296" s="13"/>
    </row>
    <row r="297" spans="1:3" ht="13" x14ac:dyDescent="0.15">
      <c r="A297" s="10"/>
      <c r="B297" s="13"/>
      <c r="C297" s="13"/>
    </row>
    <row r="298" spans="1:3" ht="13" x14ac:dyDescent="0.15">
      <c r="A298" s="10"/>
      <c r="B298" s="13"/>
      <c r="C298" s="13"/>
    </row>
    <row r="299" spans="1:3" ht="13" x14ac:dyDescent="0.15">
      <c r="A299" s="10"/>
      <c r="B299" s="13"/>
      <c r="C299" s="13"/>
    </row>
    <row r="300" spans="1:3" ht="13" x14ac:dyDescent="0.15">
      <c r="A300" s="10"/>
      <c r="B300" s="13"/>
      <c r="C300" s="13"/>
    </row>
    <row r="301" spans="1:3" ht="13" x14ac:dyDescent="0.15">
      <c r="A301" s="10"/>
      <c r="B301" s="13"/>
      <c r="C301" s="13"/>
    </row>
    <row r="302" spans="1:3" ht="13" x14ac:dyDescent="0.15">
      <c r="A302" s="10"/>
      <c r="B302" s="13"/>
      <c r="C302" s="13"/>
    </row>
    <row r="303" spans="1:3" ht="13" x14ac:dyDescent="0.15">
      <c r="A303" s="10"/>
      <c r="B303" s="13"/>
      <c r="C303" s="13"/>
    </row>
    <row r="304" spans="1:3" ht="13" x14ac:dyDescent="0.15">
      <c r="A304" s="10"/>
      <c r="B304" s="13"/>
      <c r="C304" s="13"/>
    </row>
    <row r="305" spans="1:3" ht="13" x14ac:dyDescent="0.15">
      <c r="A305" s="10"/>
      <c r="B305" s="13"/>
      <c r="C305" s="13"/>
    </row>
    <row r="306" spans="1:3" ht="13" x14ac:dyDescent="0.15">
      <c r="A306" s="10"/>
      <c r="B306" s="13"/>
      <c r="C306" s="13"/>
    </row>
    <row r="307" spans="1:3" ht="13" x14ac:dyDescent="0.15">
      <c r="A307" s="10"/>
      <c r="B307" s="13"/>
      <c r="C307" s="13"/>
    </row>
    <row r="308" spans="1:3" ht="13" x14ac:dyDescent="0.15">
      <c r="A308" s="10"/>
      <c r="B308" s="13"/>
      <c r="C308" s="13"/>
    </row>
    <row r="309" spans="1:3" ht="13" x14ac:dyDescent="0.15">
      <c r="A309" s="10"/>
      <c r="B309" s="13"/>
      <c r="C309" s="13"/>
    </row>
    <row r="310" spans="1:3" ht="13" x14ac:dyDescent="0.15">
      <c r="A310" s="10"/>
      <c r="B310" s="13"/>
      <c r="C310" s="13"/>
    </row>
    <row r="311" spans="1:3" ht="13" x14ac:dyDescent="0.15">
      <c r="A311" s="10"/>
      <c r="B311" s="13"/>
      <c r="C311" s="13"/>
    </row>
    <row r="312" spans="1:3" ht="13" x14ac:dyDescent="0.15">
      <c r="A312" s="10"/>
      <c r="B312" s="13"/>
      <c r="C312" s="13"/>
    </row>
    <row r="313" spans="1:3" ht="13" x14ac:dyDescent="0.15">
      <c r="A313" s="10"/>
      <c r="B313" s="13"/>
      <c r="C313" s="13"/>
    </row>
    <row r="314" spans="1:3" ht="13" x14ac:dyDescent="0.15">
      <c r="A314" s="10"/>
      <c r="B314" s="13"/>
      <c r="C314" s="13"/>
    </row>
    <row r="315" spans="1:3" ht="13" x14ac:dyDescent="0.15">
      <c r="A315" s="10"/>
      <c r="B315" s="13"/>
      <c r="C315" s="13"/>
    </row>
    <row r="316" spans="1:3" ht="13" x14ac:dyDescent="0.15">
      <c r="A316" s="10"/>
      <c r="B316" s="13"/>
      <c r="C316" s="13"/>
    </row>
    <row r="317" spans="1:3" ht="13" x14ac:dyDescent="0.15">
      <c r="A317" s="10"/>
      <c r="B317" s="13"/>
      <c r="C317" s="13"/>
    </row>
    <row r="318" spans="1:3" ht="13" x14ac:dyDescent="0.15">
      <c r="A318" s="10"/>
      <c r="B318" s="13"/>
      <c r="C318" s="13"/>
    </row>
    <row r="319" spans="1:3" ht="13" x14ac:dyDescent="0.15">
      <c r="A319" s="10"/>
      <c r="B319" s="13"/>
      <c r="C319" s="13"/>
    </row>
    <row r="320" spans="1:3" ht="13" x14ac:dyDescent="0.15">
      <c r="A320" s="10"/>
      <c r="B320" s="13"/>
      <c r="C320" s="13"/>
    </row>
    <row r="321" spans="1:3" ht="13" x14ac:dyDescent="0.15">
      <c r="A321" s="10"/>
      <c r="B321" s="13"/>
      <c r="C321" s="13"/>
    </row>
    <row r="322" spans="1:3" ht="13" x14ac:dyDescent="0.15">
      <c r="A322" s="10"/>
      <c r="B322" s="13"/>
      <c r="C322" s="13"/>
    </row>
    <row r="323" spans="1:3" ht="13" x14ac:dyDescent="0.15">
      <c r="A323" s="10"/>
      <c r="B323" s="13"/>
      <c r="C323" s="13"/>
    </row>
    <row r="324" spans="1:3" ht="13" x14ac:dyDescent="0.15">
      <c r="A324" s="10"/>
      <c r="B324" s="13"/>
      <c r="C324" s="13"/>
    </row>
    <row r="325" spans="1:3" ht="13" x14ac:dyDescent="0.15">
      <c r="A325" s="10"/>
      <c r="B325" s="13"/>
      <c r="C325" s="13"/>
    </row>
    <row r="326" spans="1:3" ht="13" x14ac:dyDescent="0.15">
      <c r="A326" s="10"/>
      <c r="B326" s="13"/>
      <c r="C326" s="13"/>
    </row>
    <row r="327" spans="1:3" ht="13" x14ac:dyDescent="0.15">
      <c r="A327" s="10"/>
      <c r="B327" s="13"/>
      <c r="C327" s="13"/>
    </row>
    <row r="328" spans="1:3" ht="13" x14ac:dyDescent="0.15">
      <c r="A328" s="10"/>
      <c r="B328" s="13"/>
      <c r="C328" s="13"/>
    </row>
    <row r="329" spans="1:3" ht="13" x14ac:dyDescent="0.15">
      <c r="A329" s="10"/>
      <c r="B329" s="13"/>
      <c r="C329" s="13"/>
    </row>
    <row r="330" spans="1:3" ht="13" x14ac:dyDescent="0.15">
      <c r="A330" s="10"/>
      <c r="B330" s="13"/>
      <c r="C330" s="13"/>
    </row>
    <row r="331" spans="1:3" ht="13" x14ac:dyDescent="0.15">
      <c r="A331" s="10"/>
      <c r="B331" s="13"/>
      <c r="C331" s="13"/>
    </row>
    <row r="332" spans="1:3" ht="13" x14ac:dyDescent="0.15">
      <c r="A332" s="10"/>
      <c r="B332" s="13"/>
      <c r="C332" s="13"/>
    </row>
    <row r="333" spans="1:3" ht="13" x14ac:dyDescent="0.15">
      <c r="A333" s="10"/>
      <c r="B333" s="13"/>
      <c r="C333" s="13"/>
    </row>
    <row r="334" spans="1:3" ht="13" x14ac:dyDescent="0.15">
      <c r="A334" s="10"/>
      <c r="B334" s="13"/>
      <c r="C334" s="13"/>
    </row>
    <row r="335" spans="1:3" ht="13" x14ac:dyDescent="0.15">
      <c r="A335" s="10"/>
      <c r="B335" s="13"/>
      <c r="C335" s="13"/>
    </row>
    <row r="336" spans="1:3" ht="13" x14ac:dyDescent="0.15">
      <c r="A336" s="10"/>
      <c r="B336" s="13"/>
      <c r="C336" s="13"/>
    </row>
    <row r="337" spans="1:3" ht="13" x14ac:dyDescent="0.15">
      <c r="A337" s="10"/>
      <c r="B337" s="13"/>
      <c r="C337" s="13"/>
    </row>
    <row r="338" spans="1:3" ht="13" x14ac:dyDescent="0.15">
      <c r="A338" s="10"/>
      <c r="B338" s="13"/>
      <c r="C338" s="13"/>
    </row>
    <row r="339" spans="1:3" ht="13" x14ac:dyDescent="0.15">
      <c r="A339" s="10"/>
      <c r="B339" s="13"/>
      <c r="C339" s="13"/>
    </row>
    <row r="340" spans="1:3" ht="13" x14ac:dyDescent="0.15">
      <c r="A340" s="10"/>
      <c r="B340" s="13"/>
      <c r="C340" s="13"/>
    </row>
    <row r="341" spans="1:3" ht="13" x14ac:dyDescent="0.15">
      <c r="A341" s="10"/>
      <c r="B341" s="13"/>
      <c r="C341" s="13"/>
    </row>
    <row r="342" spans="1:3" ht="13" x14ac:dyDescent="0.15">
      <c r="A342" s="10"/>
      <c r="B342" s="13"/>
      <c r="C342" s="13"/>
    </row>
    <row r="343" spans="1:3" ht="13" x14ac:dyDescent="0.15">
      <c r="A343" s="10"/>
      <c r="B343" s="13"/>
      <c r="C343" s="13"/>
    </row>
    <row r="344" spans="1:3" ht="13" x14ac:dyDescent="0.15">
      <c r="A344" s="10"/>
      <c r="B344" s="13"/>
      <c r="C344" s="13"/>
    </row>
    <row r="345" spans="1:3" ht="13" x14ac:dyDescent="0.15">
      <c r="A345" s="10"/>
      <c r="B345" s="13"/>
      <c r="C345" s="13"/>
    </row>
    <row r="346" spans="1:3" ht="13" x14ac:dyDescent="0.15">
      <c r="A346" s="10"/>
      <c r="B346" s="13"/>
      <c r="C346" s="13"/>
    </row>
    <row r="347" spans="1:3" ht="13" x14ac:dyDescent="0.15">
      <c r="A347" s="10"/>
      <c r="B347" s="13"/>
      <c r="C347" s="13"/>
    </row>
    <row r="348" spans="1:3" ht="13" x14ac:dyDescent="0.15">
      <c r="A348" s="10"/>
      <c r="B348" s="13"/>
      <c r="C348" s="13"/>
    </row>
    <row r="349" spans="1:3" ht="13" x14ac:dyDescent="0.15">
      <c r="A349" s="10"/>
      <c r="B349" s="13"/>
      <c r="C349" s="13"/>
    </row>
    <row r="350" spans="1:3" ht="13" x14ac:dyDescent="0.15">
      <c r="A350" s="10"/>
      <c r="B350" s="13"/>
      <c r="C350" s="13"/>
    </row>
    <row r="351" spans="1:3" ht="13" x14ac:dyDescent="0.15">
      <c r="A351" s="10"/>
      <c r="B351" s="13"/>
      <c r="C351" s="13"/>
    </row>
    <row r="352" spans="1:3" ht="13" x14ac:dyDescent="0.15">
      <c r="A352" s="10"/>
      <c r="B352" s="13"/>
      <c r="C352" s="13"/>
    </row>
    <row r="353" spans="1:3" ht="13" x14ac:dyDescent="0.15">
      <c r="A353" s="10"/>
      <c r="B353" s="13"/>
      <c r="C353" s="13"/>
    </row>
    <row r="354" spans="1:3" ht="13" x14ac:dyDescent="0.15">
      <c r="A354" s="10"/>
      <c r="B354" s="13"/>
      <c r="C354" s="13"/>
    </row>
    <row r="355" spans="1:3" ht="13" x14ac:dyDescent="0.15">
      <c r="A355" s="10"/>
      <c r="B355" s="13"/>
      <c r="C355" s="13"/>
    </row>
    <row r="356" spans="1:3" ht="13" x14ac:dyDescent="0.15">
      <c r="A356" s="10"/>
      <c r="B356" s="13"/>
      <c r="C356" s="13"/>
    </row>
    <row r="357" spans="1:3" ht="13" x14ac:dyDescent="0.15">
      <c r="A357" s="10"/>
      <c r="B357" s="13"/>
      <c r="C357" s="13"/>
    </row>
    <row r="358" spans="1:3" ht="13" x14ac:dyDescent="0.15">
      <c r="A358" s="10"/>
      <c r="B358" s="13"/>
      <c r="C358" s="13"/>
    </row>
    <row r="359" spans="1:3" ht="13" x14ac:dyDescent="0.15">
      <c r="A359" s="10"/>
      <c r="B359" s="13"/>
      <c r="C359" s="13"/>
    </row>
    <row r="360" spans="1:3" ht="13" x14ac:dyDescent="0.15">
      <c r="A360" s="10"/>
      <c r="B360" s="13"/>
      <c r="C360" s="13"/>
    </row>
    <row r="361" spans="1:3" ht="13" x14ac:dyDescent="0.15">
      <c r="A361" s="10"/>
      <c r="B361" s="13"/>
      <c r="C361" s="13"/>
    </row>
    <row r="362" spans="1:3" ht="13" x14ac:dyDescent="0.15">
      <c r="A362" s="10"/>
      <c r="B362" s="13"/>
      <c r="C362" s="13"/>
    </row>
    <row r="363" spans="1:3" ht="13" x14ac:dyDescent="0.15">
      <c r="A363" s="10"/>
      <c r="B363" s="13"/>
      <c r="C363" s="13"/>
    </row>
    <row r="364" spans="1:3" ht="13" x14ac:dyDescent="0.15">
      <c r="A364" s="10"/>
      <c r="B364" s="13"/>
      <c r="C364" s="13"/>
    </row>
    <row r="365" spans="1:3" ht="13" x14ac:dyDescent="0.15">
      <c r="A365" s="10"/>
      <c r="B365" s="13"/>
      <c r="C365" s="13"/>
    </row>
    <row r="366" spans="1:3" ht="13" x14ac:dyDescent="0.15">
      <c r="A366" s="10"/>
      <c r="B366" s="13"/>
      <c r="C366" s="13"/>
    </row>
    <row r="367" spans="1:3" ht="13" x14ac:dyDescent="0.15">
      <c r="A367" s="10"/>
      <c r="B367" s="13"/>
      <c r="C367" s="13"/>
    </row>
    <row r="368" spans="1:3" ht="13" x14ac:dyDescent="0.15">
      <c r="A368" s="10"/>
      <c r="B368" s="13"/>
      <c r="C368" s="13"/>
    </row>
    <row r="369" spans="1:3" ht="13" x14ac:dyDescent="0.15">
      <c r="A369" s="10"/>
      <c r="B369" s="13"/>
      <c r="C369" s="13"/>
    </row>
    <row r="370" spans="1:3" ht="13" x14ac:dyDescent="0.15">
      <c r="A370" s="10"/>
      <c r="B370" s="13"/>
      <c r="C370" s="13"/>
    </row>
    <row r="371" spans="1:3" ht="13" x14ac:dyDescent="0.15">
      <c r="A371" s="10"/>
      <c r="B371" s="13"/>
      <c r="C371" s="13"/>
    </row>
    <row r="372" spans="1:3" ht="13" x14ac:dyDescent="0.15">
      <c r="A372" s="10"/>
      <c r="B372" s="13"/>
      <c r="C372" s="13"/>
    </row>
    <row r="373" spans="1:3" ht="13" x14ac:dyDescent="0.15">
      <c r="A373" s="10"/>
      <c r="B373" s="13"/>
      <c r="C373" s="13"/>
    </row>
    <row r="374" spans="1:3" ht="13" x14ac:dyDescent="0.15">
      <c r="A374" s="10"/>
      <c r="B374" s="13"/>
      <c r="C374" s="13"/>
    </row>
    <row r="375" spans="1:3" ht="13" x14ac:dyDescent="0.15">
      <c r="A375" s="10"/>
      <c r="B375" s="13"/>
      <c r="C375" s="13"/>
    </row>
    <row r="376" spans="1:3" ht="13" x14ac:dyDescent="0.15">
      <c r="A376" s="10"/>
      <c r="B376" s="13"/>
      <c r="C376" s="13"/>
    </row>
    <row r="377" spans="1:3" ht="13" x14ac:dyDescent="0.15">
      <c r="A377" s="10"/>
      <c r="B377" s="13"/>
      <c r="C377" s="13"/>
    </row>
    <row r="378" spans="1:3" ht="13" x14ac:dyDescent="0.15">
      <c r="A378" s="10"/>
      <c r="B378" s="13"/>
      <c r="C378" s="13"/>
    </row>
    <row r="379" spans="1:3" ht="13" x14ac:dyDescent="0.15">
      <c r="A379" s="10"/>
      <c r="B379" s="13"/>
      <c r="C379" s="13"/>
    </row>
    <row r="380" spans="1:3" ht="13" x14ac:dyDescent="0.15">
      <c r="A380" s="10"/>
      <c r="B380" s="13"/>
      <c r="C380" s="13"/>
    </row>
    <row r="381" spans="1:3" ht="13" x14ac:dyDescent="0.15">
      <c r="A381" s="10"/>
      <c r="B381" s="13"/>
      <c r="C381" s="13"/>
    </row>
    <row r="382" spans="1:3" ht="13" x14ac:dyDescent="0.15">
      <c r="A382" s="10"/>
      <c r="B382" s="13"/>
      <c r="C382" s="13"/>
    </row>
    <row r="383" spans="1:3" ht="13" x14ac:dyDescent="0.15">
      <c r="A383" s="10"/>
      <c r="B383" s="13"/>
      <c r="C383" s="13"/>
    </row>
    <row r="384" spans="1:3" ht="13" x14ac:dyDescent="0.15">
      <c r="A384" s="10"/>
      <c r="B384" s="13"/>
      <c r="C384" s="13"/>
    </row>
    <row r="385" spans="1:3" ht="13" x14ac:dyDescent="0.15">
      <c r="A385" s="10"/>
      <c r="B385" s="13"/>
      <c r="C385" s="13"/>
    </row>
    <row r="386" spans="1:3" ht="13" x14ac:dyDescent="0.15">
      <c r="A386" s="10"/>
      <c r="B386" s="13"/>
      <c r="C386" s="13"/>
    </row>
    <row r="387" spans="1:3" ht="13" x14ac:dyDescent="0.15">
      <c r="A387" s="10"/>
      <c r="B387" s="13"/>
      <c r="C387" s="13"/>
    </row>
    <row r="388" spans="1:3" ht="13" x14ac:dyDescent="0.15">
      <c r="A388" s="10"/>
      <c r="B388" s="13"/>
      <c r="C388" s="13"/>
    </row>
    <row r="389" spans="1:3" ht="13" x14ac:dyDescent="0.15">
      <c r="A389" s="10"/>
      <c r="B389" s="13"/>
      <c r="C389" s="13"/>
    </row>
    <row r="390" spans="1:3" ht="13" x14ac:dyDescent="0.15">
      <c r="A390" s="10"/>
      <c r="B390" s="13"/>
      <c r="C390" s="13"/>
    </row>
    <row r="391" spans="1:3" ht="13" x14ac:dyDescent="0.15">
      <c r="A391" s="10"/>
      <c r="B391" s="13"/>
      <c r="C391" s="13"/>
    </row>
    <row r="392" spans="1:3" ht="13" x14ac:dyDescent="0.15">
      <c r="A392" s="10"/>
      <c r="B392" s="13"/>
      <c r="C392" s="13"/>
    </row>
    <row r="393" spans="1:3" ht="13" x14ac:dyDescent="0.15">
      <c r="A393" s="10"/>
      <c r="B393" s="13"/>
      <c r="C393" s="13"/>
    </row>
    <row r="394" spans="1:3" ht="13" x14ac:dyDescent="0.15">
      <c r="A394" s="10"/>
      <c r="B394" s="13"/>
      <c r="C394" s="13"/>
    </row>
    <row r="395" spans="1:3" ht="13" x14ac:dyDescent="0.15">
      <c r="A395" s="10"/>
      <c r="B395" s="13"/>
      <c r="C395" s="13"/>
    </row>
    <row r="396" spans="1:3" ht="13" x14ac:dyDescent="0.15">
      <c r="A396" s="10"/>
      <c r="B396" s="13"/>
      <c r="C396" s="13"/>
    </row>
    <row r="397" spans="1:3" ht="13" x14ac:dyDescent="0.15">
      <c r="A397" s="10"/>
      <c r="B397" s="13"/>
      <c r="C397" s="13"/>
    </row>
    <row r="398" spans="1:3" ht="13" x14ac:dyDescent="0.15">
      <c r="A398" s="10"/>
      <c r="B398" s="13"/>
      <c r="C398" s="13"/>
    </row>
    <row r="399" spans="1:3" ht="13" x14ac:dyDescent="0.15">
      <c r="A399" s="10"/>
      <c r="B399" s="13"/>
      <c r="C399" s="13"/>
    </row>
    <row r="400" spans="1:3" ht="13" x14ac:dyDescent="0.15">
      <c r="A400" s="10"/>
      <c r="B400" s="13"/>
      <c r="C400" s="13"/>
    </row>
    <row r="401" spans="1:3" ht="13" x14ac:dyDescent="0.15">
      <c r="A401" s="10"/>
      <c r="B401" s="13"/>
      <c r="C401" s="13"/>
    </row>
    <row r="402" spans="1:3" ht="13" x14ac:dyDescent="0.15">
      <c r="A402" s="10"/>
      <c r="B402" s="13"/>
      <c r="C402" s="13"/>
    </row>
    <row r="403" spans="1:3" ht="13" x14ac:dyDescent="0.15">
      <c r="A403" s="10"/>
      <c r="B403" s="13"/>
      <c r="C403" s="13"/>
    </row>
    <row r="404" spans="1:3" ht="13" x14ac:dyDescent="0.15">
      <c r="A404" s="10"/>
      <c r="B404" s="13"/>
      <c r="C404" s="13"/>
    </row>
    <row r="405" spans="1:3" ht="13" x14ac:dyDescent="0.15">
      <c r="A405" s="10"/>
      <c r="B405" s="13"/>
      <c r="C405" s="13"/>
    </row>
    <row r="406" spans="1:3" ht="13" x14ac:dyDescent="0.15">
      <c r="A406" s="10"/>
      <c r="B406" s="13"/>
      <c r="C406" s="13"/>
    </row>
    <row r="407" spans="1:3" ht="13" x14ac:dyDescent="0.15">
      <c r="A407" s="10"/>
      <c r="B407" s="13"/>
      <c r="C407" s="13"/>
    </row>
    <row r="408" spans="1:3" ht="13" x14ac:dyDescent="0.15">
      <c r="A408" s="10"/>
      <c r="B408" s="13"/>
      <c r="C408" s="13"/>
    </row>
    <row r="409" spans="1:3" ht="13" x14ac:dyDescent="0.15">
      <c r="A409" s="10"/>
      <c r="B409" s="13"/>
      <c r="C409" s="13"/>
    </row>
    <row r="410" spans="1:3" ht="13" x14ac:dyDescent="0.15">
      <c r="A410" s="10"/>
      <c r="B410" s="13"/>
      <c r="C410" s="13"/>
    </row>
    <row r="411" spans="1:3" ht="13" x14ac:dyDescent="0.15">
      <c r="A411" s="10"/>
      <c r="B411" s="13"/>
      <c r="C411" s="13"/>
    </row>
    <row r="412" spans="1:3" ht="13" x14ac:dyDescent="0.15">
      <c r="A412" s="10"/>
      <c r="B412" s="13"/>
      <c r="C412" s="13"/>
    </row>
    <row r="413" spans="1:3" ht="13" x14ac:dyDescent="0.15">
      <c r="A413" s="10"/>
      <c r="B413" s="13"/>
      <c r="C413" s="13"/>
    </row>
    <row r="414" spans="1:3" ht="13" x14ac:dyDescent="0.15">
      <c r="A414" s="10"/>
      <c r="B414" s="13"/>
      <c r="C414" s="13"/>
    </row>
    <row r="415" spans="1:3" ht="13" x14ac:dyDescent="0.15">
      <c r="A415" s="10"/>
      <c r="B415" s="13"/>
      <c r="C415" s="13"/>
    </row>
    <row r="416" spans="1:3" ht="13" x14ac:dyDescent="0.15">
      <c r="A416" s="10"/>
      <c r="B416" s="13"/>
      <c r="C416" s="13"/>
    </row>
    <row r="417" spans="1:3" ht="13" x14ac:dyDescent="0.15">
      <c r="A417" s="10"/>
      <c r="B417" s="13"/>
      <c r="C417" s="13"/>
    </row>
    <row r="418" spans="1:3" ht="13" x14ac:dyDescent="0.15">
      <c r="A418" s="10"/>
      <c r="B418" s="13"/>
      <c r="C418" s="13"/>
    </row>
    <row r="419" spans="1:3" ht="13" x14ac:dyDescent="0.15">
      <c r="A419" s="10"/>
      <c r="B419" s="13"/>
      <c r="C419" s="13"/>
    </row>
    <row r="420" spans="1:3" ht="13" x14ac:dyDescent="0.15">
      <c r="A420" s="10"/>
      <c r="B420" s="13"/>
      <c r="C420" s="13"/>
    </row>
    <row r="421" spans="1:3" ht="13" x14ac:dyDescent="0.15">
      <c r="A421" s="10"/>
      <c r="B421" s="13"/>
      <c r="C421" s="13"/>
    </row>
    <row r="422" spans="1:3" ht="13" x14ac:dyDescent="0.15">
      <c r="A422" s="10"/>
      <c r="B422" s="13"/>
      <c r="C422" s="13"/>
    </row>
    <row r="423" spans="1:3" ht="13" x14ac:dyDescent="0.15">
      <c r="A423" s="10"/>
      <c r="B423" s="13"/>
      <c r="C423" s="13"/>
    </row>
    <row r="424" spans="1:3" ht="13" x14ac:dyDescent="0.15">
      <c r="A424" s="10"/>
      <c r="B424" s="13"/>
      <c r="C424" s="13"/>
    </row>
    <row r="425" spans="1:3" ht="13" x14ac:dyDescent="0.15">
      <c r="A425" s="10"/>
      <c r="B425" s="13"/>
      <c r="C425" s="13"/>
    </row>
    <row r="426" spans="1:3" ht="13" x14ac:dyDescent="0.15">
      <c r="A426" s="10"/>
      <c r="B426" s="13"/>
      <c r="C426" s="13"/>
    </row>
    <row r="427" spans="1:3" ht="13" x14ac:dyDescent="0.15">
      <c r="A427" s="10"/>
      <c r="B427" s="13"/>
      <c r="C427" s="13"/>
    </row>
    <row r="428" spans="1:3" ht="13" x14ac:dyDescent="0.15">
      <c r="A428" s="10"/>
      <c r="B428" s="13"/>
      <c r="C428" s="13"/>
    </row>
    <row r="429" spans="1:3" ht="13" x14ac:dyDescent="0.15">
      <c r="A429" s="10"/>
      <c r="B429" s="13"/>
      <c r="C429" s="13"/>
    </row>
    <row r="430" spans="1:3" ht="13" x14ac:dyDescent="0.15">
      <c r="A430" s="10"/>
      <c r="B430" s="13"/>
      <c r="C430" s="13"/>
    </row>
    <row r="431" spans="1:3" ht="13" x14ac:dyDescent="0.15">
      <c r="A431" s="10"/>
      <c r="B431" s="13"/>
      <c r="C431" s="13"/>
    </row>
    <row r="432" spans="1:3" ht="13" x14ac:dyDescent="0.15">
      <c r="A432" s="10"/>
      <c r="B432" s="13"/>
      <c r="C432" s="13"/>
    </row>
    <row r="433" spans="1:3" ht="13" x14ac:dyDescent="0.15">
      <c r="A433" s="10"/>
      <c r="B433" s="13"/>
      <c r="C433" s="13"/>
    </row>
    <row r="434" spans="1:3" ht="13" x14ac:dyDescent="0.15">
      <c r="A434" s="10"/>
      <c r="B434" s="13"/>
      <c r="C434" s="13"/>
    </row>
    <row r="435" spans="1:3" ht="13" x14ac:dyDescent="0.15">
      <c r="A435" s="10"/>
      <c r="B435" s="13"/>
      <c r="C435" s="13"/>
    </row>
    <row r="436" spans="1:3" ht="13" x14ac:dyDescent="0.15">
      <c r="A436" s="10"/>
      <c r="B436" s="13"/>
      <c r="C436" s="13"/>
    </row>
    <row r="437" spans="1:3" ht="13" x14ac:dyDescent="0.15">
      <c r="A437" s="10"/>
      <c r="B437" s="13"/>
      <c r="C437" s="13"/>
    </row>
    <row r="438" spans="1:3" ht="13" x14ac:dyDescent="0.15">
      <c r="A438" s="10"/>
      <c r="B438" s="13"/>
      <c r="C438" s="13"/>
    </row>
    <row r="439" spans="1:3" ht="13" x14ac:dyDescent="0.15">
      <c r="A439" s="10"/>
      <c r="B439" s="13"/>
      <c r="C439" s="13"/>
    </row>
    <row r="440" spans="1:3" ht="13" x14ac:dyDescent="0.15">
      <c r="A440" s="10"/>
      <c r="B440" s="13"/>
      <c r="C440" s="13"/>
    </row>
    <row r="441" spans="1:3" ht="13" x14ac:dyDescent="0.15">
      <c r="A441" s="10"/>
      <c r="B441" s="13"/>
      <c r="C441" s="13"/>
    </row>
    <row r="442" spans="1:3" ht="13" x14ac:dyDescent="0.15">
      <c r="A442" s="10"/>
      <c r="B442" s="13"/>
      <c r="C442" s="13"/>
    </row>
    <row r="443" spans="1:3" ht="13" x14ac:dyDescent="0.15">
      <c r="A443" s="10"/>
      <c r="B443" s="13"/>
      <c r="C443" s="13"/>
    </row>
    <row r="444" spans="1:3" ht="13" x14ac:dyDescent="0.15">
      <c r="A444" s="10"/>
      <c r="B444" s="13"/>
      <c r="C444" s="13"/>
    </row>
    <row r="445" spans="1:3" ht="13" x14ac:dyDescent="0.15">
      <c r="A445" s="10"/>
      <c r="B445" s="13"/>
      <c r="C445" s="13"/>
    </row>
    <row r="446" spans="1:3" ht="13" x14ac:dyDescent="0.15">
      <c r="A446" s="10"/>
      <c r="B446" s="13"/>
      <c r="C446" s="13"/>
    </row>
    <row r="447" spans="1:3" ht="13" x14ac:dyDescent="0.15">
      <c r="A447" s="10"/>
      <c r="B447" s="13"/>
      <c r="C447" s="13"/>
    </row>
    <row r="448" spans="1:3" ht="13" x14ac:dyDescent="0.15">
      <c r="A448" s="10"/>
      <c r="B448" s="13"/>
      <c r="C448" s="13"/>
    </row>
    <row r="449" spans="1:3" ht="13" x14ac:dyDescent="0.15">
      <c r="A449" s="10"/>
      <c r="B449" s="13"/>
      <c r="C449" s="13"/>
    </row>
    <row r="450" spans="1:3" ht="13" x14ac:dyDescent="0.15">
      <c r="A450" s="10"/>
      <c r="B450" s="13"/>
      <c r="C450" s="13"/>
    </row>
    <row r="451" spans="1:3" ht="13" x14ac:dyDescent="0.15">
      <c r="A451" s="10"/>
      <c r="B451" s="13"/>
      <c r="C451" s="13"/>
    </row>
    <row r="452" spans="1:3" ht="13" x14ac:dyDescent="0.15">
      <c r="A452" s="10"/>
      <c r="B452" s="13"/>
      <c r="C452" s="13"/>
    </row>
    <row r="453" spans="1:3" ht="13" x14ac:dyDescent="0.15">
      <c r="A453" s="10"/>
      <c r="B453" s="13"/>
      <c r="C453" s="13"/>
    </row>
    <row r="454" spans="1:3" ht="13" x14ac:dyDescent="0.15">
      <c r="A454" s="10"/>
      <c r="B454" s="13"/>
      <c r="C454" s="13"/>
    </row>
    <row r="455" spans="1:3" ht="13" x14ac:dyDescent="0.15">
      <c r="A455" s="10"/>
      <c r="B455" s="13"/>
      <c r="C455" s="13"/>
    </row>
    <row r="456" spans="1:3" ht="13" x14ac:dyDescent="0.15">
      <c r="A456" s="10"/>
      <c r="B456" s="13"/>
      <c r="C456" s="13"/>
    </row>
    <row r="457" spans="1:3" ht="13" x14ac:dyDescent="0.15">
      <c r="A457" s="10"/>
      <c r="B457" s="13"/>
      <c r="C457" s="13"/>
    </row>
    <row r="458" spans="1:3" ht="13" x14ac:dyDescent="0.15">
      <c r="A458" s="10"/>
      <c r="B458" s="13"/>
      <c r="C458" s="13"/>
    </row>
    <row r="459" spans="1:3" ht="13" x14ac:dyDescent="0.15">
      <c r="A459" s="10"/>
      <c r="B459" s="13"/>
      <c r="C459" s="13"/>
    </row>
    <row r="460" spans="1:3" ht="13" x14ac:dyDescent="0.15">
      <c r="A460" s="10"/>
      <c r="B460" s="13"/>
      <c r="C460" s="13"/>
    </row>
    <row r="461" spans="1:3" ht="13" x14ac:dyDescent="0.15">
      <c r="A461" s="10"/>
      <c r="B461" s="13"/>
      <c r="C461" s="13"/>
    </row>
    <row r="462" spans="1:3" ht="13" x14ac:dyDescent="0.15">
      <c r="A462" s="10"/>
      <c r="B462" s="13"/>
      <c r="C462" s="13"/>
    </row>
    <row r="463" spans="1:3" ht="13" x14ac:dyDescent="0.15">
      <c r="A463" s="10"/>
      <c r="B463" s="13"/>
      <c r="C463" s="13"/>
    </row>
    <row r="464" spans="1:3" ht="13" x14ac:dyDescent="0.15">
      <c r="A464" s="10"/>
      <c r="B464" s="13"/>
      <c r="C464" s="13"/>
    </row>
    <row r="465" spans="1:3" ht="13" x14ac:dyDescent="0.15">
      <c r="A465" s="10"/>
      <c r="B465" s="13"/>
      <c r="C465" s="13"/>
    </row>
    <row r="466" spans="1:3" ht="13" x14ac:dyDescent="0.15">
      <c r="A466" s="10"/>
      <c r="B466" s="13"/>
      <c r="C466" s="13"/>
    </row>
    <row r="467" spans="1:3" ht="13" x14ac:dyDescent="0.15">
      <c r="A467" s="10"/>
      <c r="B467" s="13"/>
      <c r="C467" s="13"/>
    </row>
    <row r="468" spans="1:3" ht="13" x14ac:dyDescent="0.15">
      <c r="A468" s="10"/>
      <c r="B468" s="13"/>
      <c r="C468" s="13"/>
    </row>
    <row r="469" spans="1:3" ht="13" x14ac:dyDescent="0.15">
      <c r="A469" s="10"/>
      <c r="B469" s="13"/>
      <c r="C469" s="13"/>
    </row>
    <row r="470" spans="1:3" ht="13" x14ac:dyDescent="0.15">
      <c r="A470" s="10"/>
      <c r="B470" s="13"/>
      <c r="C470" s="13"/>
    </row>
    <row r="471" spans="1:3" ht="13" x14ac:dyDescent="0.15">
      <c r="A471" s="10"/>
      <c r="B471" s="13"/>
      <c r="C471" s="13"/>
    </row>
    <row r="472" spans="1:3" ht="13" x14ac:dyDescent="0.15">
      <c r="A472" s="10"/>
      <c r="B472" s="13"/>
      <c r="C472" s="13"/>
    </row>
    <row r="473" spans="1:3" ht="13" x14ac:dyDescent="0.15">
      <c r="A473" s="10"/>
      <c r="B473" s="13"/>
      <c r="C473" s="13"/>
    </row>
    <row r="474" spans="1:3" ht="13" x14ac:dyDescent="0.15">
      <c r="A474" s="10"/>
      <c r="B474" s="13"/>
      <c r="C474" s="13"/>
    </row>
    <row r="475" spans="1:3" ht="13" x14ac:dyDescent="0.15">
      <c r="A475" s="10"/>
      <c r="B475" s="13"/>
      <c r="C475" s="13"/>
    </row>
    <row r="476" spans="1:3" ht="13" x14ac:dyDescent="0.15">
      <c r="A476" s="10"/>
      <c r="B476" s="13"/>
      <c r="C476" s="13"/>
    </row>
    <row r="477" spans="1:3" ht="13" x14ac:dyDescent="0.15">
      <c r="A477" s="10"/>
      <c r="B477" s="13"/>
      <c r="C477" s="13"/>
    </row>
    <row r="478" spans="1:3" ht="13" x14ac:dyDescent="0.15">
      <c r="A478" s="10"/>
      <c r="B478" s="13"/>
      <c r="C478" s="13"/>
    </row>
    <row r="479" spans="1:3" ht="13" x14ac:dyDescent="0.15">
      <c r="A479" s="10"/>
      <c r="B479" s="13"/>
      <c r="C479" s="13"/>
    </row>
    <row r="480" spans="1:3" ht="13" x14ac:dyDescent="0.15">
      <c r="A480" s="10"/>
      <c r="B480" s="13"/>
      <c r="C480" s="13"/>
    </row>
    <row r="481" spans="1:3" ht="13" x14ac:dyDescent="0.15">
      <c r="A481" s="10"/>
      <c r="B481" s="13"/>
      <c r="C481" s="13"/>
    </row>
    <row r="482" spans="1:3" ht="13" x14ac:dyDescent="0.15">
      <c r="A482" s="10"/>
      <c r="B482" s="13"/>
      <c r="C482" s="13"/>
    </row>
    <row r="483" spans="1:3" ht="13" x14ac:dyDescent="0.15">
      <c r="A483" s="10"/>
      <c r="B483" s="13"/>
      <c r="C483" s="13"/>
    </row>
    <row r="484" spans="1:3" ht="13" x14ac:dyDescent="0.15">
      <c r="A484" s="10"/>
      <c r="B484" s="13"/>
      <c r="C484" s="13"/>
    </row>
    <row r="485" spans="1:3" ht="13" x14ac:dyDescent="0.15">
      <c r="A485" s="10"/>
      <c r="B485" s="13"/>
      <c r="C485" s="13"/>
    </row>
    <row r="486" spans="1:3" ht="13" x14ac:dyDescent="0.15">
      <c r="A486" s="10"/>
      <c r="B486" s="13"/>
      <c r="C486" s="13"/>
    </row>
    <row r="487" spans="1:3" ht="13" x14ac:dyDescent="0.15">
      <c r="A487" s="10"/>
      <c r="B487" s="13"/>
      <c r="C487" s="13"/>
    </row>
    <row r="488" spans="1:3" ht="13" x14ac:dyDescent="0.15">
      <c r="A488" s="10"/>
      <c r="B488" s="13"/>
      <c r="C488" s="13"/>
    </row>
    <row r="489" spans="1:3" ht="13" x14ac:dyDescent="0.15">
      <c r="A489" s="10"/>
      <c r="B489" s="13"/>
      <c r="C489" s="13"/>
    </row>
    <row r="490" spans="1:3" ht="13" x14ac:dyDescent="0.15">
      <c r="A490" s="10"/>
      <c r="B490" s="13"/>
      <c r="C490" s="13"/>
    </row>
    <row r="491" spans="1:3" ht="13" x14ac:dyDescent="0.15">
      <c r="A491" s="10"/>
      <c r="B491" s="13"/>
      <c r="C491" s="13"/>
    </row>
    <row r="492" spans="1:3" ht="13" x14ac:dyDescent="0.15">
      <c r="A492" s="10"/>
      <c r="B492" s="13"/>
      <c r="C492" s="13"/>
    </row>
    <row r="493" spans="1:3" ht="13" x14ac:dyDescent="0.15">
      <c r="A493" s="10"/>
      <c r="B493" s="13"/>
      <c r="C493" s="13"/>
    </row>
    <row r="494" spans="1:3" ht="13" x14ac:dyDescent="0.15">
      <c r="A494" s="10"/>
      <c r="B494" s="13"/>
      <c r="C494" s="13"/>
    </row>
    <row r="495" spans="1:3" ht="13" x14ac:dyDescent="0.15">
      <c r="A495" s="10"/>
      <c r="B495" s="13"/>
      <c r="C495" s="13"/>
    </row>
    <row r="496" spans="1:3" ht="13" x14ac:dyDescent="0.15">
      <c r="A496" s="10"/>
      <c r="B496" s="13"/>
      <c r="C496" s="13"/>
    </row>
    <row r="497" spans="1:3" ht="13" x14ac:dyDescent="0.15">
      <c r="A497" s="10"/>
      <c r="B497" s="13"/>
      <c r="C497" s="13"/>
    </row>
    <row r="498" spans="1:3" ht="13" x14ac:dyDescent="0.15">
      <c r="A498" s="10"/>
      <c r="B498" s="13"/>
      <c r="C498" s="13"/>
    </row>
    <row r="499" spans="1:3" ht="13" x14ac:dyDescent="0.15">
      <c r="A499" s="10"/>
      <c r="B499" s="13"/>
      <c r="C499" s="13"/>
    </row>
    <row r="500" spans="1:3" ht="13" x14ac:dyDescent="0.15">
      <c r="A500" s="10"/>
      <c r="B500" s="13"/>
      <c r="C500" s="13"/>
    </row>
    <row r="501" spans="1:3" ht="13" x14ac:dyDescent="0.15">
      <c r="A501" s="10"/>
      <c r="B501" s="13"/>
      <c r="C501" s="13"/>
    </row>
    <row r="502" spans="1:3" ht="13" x14ac:dyDescent="0.15">
      <c r="A502" s="10"/>
      <c r="B502" s="13"/>
      <c r="C502" s="13"/>
    </row>
    <row r="503" spans="1:3" ht="13" x14ac:dyDescent="0.15">
      <c r="A503" s="10"/>
      <c r="B503" s="13"/>
      <c r="C503" s="13"/>
    </row>
    <row r="504" spans="1:3" ht="13" x14ac:dyDescent="0.15">
      <c r="A504" s="10"/>
      <c r="B504" s="13"/>
      <c r="C504" s="13"/>
    </row>
    <row r="505" spans="1:3" ht="13" x14ac:dyDescent="0.15">
      <c r="A505" s="10"/>
      <c r="B505" s="13"/>
      <c r="C505" s="13"/>
    </row>
    <row r="506" spans="1:3" ht="13" x14ac:dyDescent="0.15">
      <c r="A506" s="10"/>
      <c r="B506" s="13"/>
      <c r="C506" s="13"/>
    </row>
    <row r="507" spans="1:3" ht="13" x14ac:dyDescent="0.15">
      <c r="A507" s="10"/>
      <c r="B507" s="13"/>
      <c r="C507" s="13"/>
    </row>
    <row r="508" spans="1:3" ht="13" x14ac:dyDescent="0.15">
      <c r="A508" s="10"/>
      <c r="B508" s="13"/>
      <c r="C508" s="13"/>
    </row>
    <row r="509" spans="1:3" ht="13" x14ac:dyDescent="0.15">
      <c r="A509" s="10"/>
      <c r="B509" s="13"/>
      <c r="C509" s="13"/>
    </row>
    <row r="510" spans="1:3" ht="13" x14ac:dyDescent="0.15">
      <c r="A510" s="10"/>
      <c r="B510" s="13"/>
      <c r="C510" s="13"/>
    </row>
    <row r="511" spans="1:3" ht="13" x14ac:dyDescent="0.15">
      <c r="A511" s="10"/>
      <c r="B511" s="13"/>
      <c r="C511" s="13"/>
    </row>
    <row r="512" spans="1:3" ht="13" x14ac:dyDescent="0.15">
      <c r="A512" s="10"/>
      <c r="B512" s="13"/>
      <c r="C512" s="13"/>
    </row>
    <row r="513" spans="1:3" ht="13" x14ac:dyDescent="0.15">
      <c r="A513" s="10"/>
      <c r="B513" s="13"/>
      <c r="C513" s="13"/>
    </row>
    <row r="514" spans="1:3" ht="13" x14ac:dyDescent="0.15">
      <c r="A514" s="10"/>
      <c r="B514" s="13"/>
      <c r="C514" s="13"/>
    </row>
    <row r="515" spans="1:3" ht="13" x14ac:dyDescent="0.15">
      <c r="A515" s="10"/>
      <c r="B515" s="13"/>
      <c r="C515" s="13"/>
    </row>
    <row r="516" spans="1:3" ht="13" x14ac:dyDescent="0.15">
      <c r="A516" s="10"/>
      <c r="B516" s="13"/>
      <c r="C516" s="13"/>
    </row>
    <row r="517" spans="1:3" ht="13" x14ac:dyDescent="0.15">
      <c r="A517" s="10"/>
      <c r="B517" s="13"/>
      <c r="C517" s="13"/>
    </row>
    <row r="518" spans="1:3" ht="13" x14ac:dyDescent="0.15">
      <c r="A518" s="10"/>
      <c r="B518" s="13"/>
      <c r="C518" s="13"/>
    </row>
    <row r="519" spans="1:3" ht="13" x14ac:dyDescent="0.15">
      <c r="A519" s="10"/>
      <c r="B519" s="13"/>
      <c r="C519" s="13"/>
    </row>
    <row r="520" spans="1:3" ht="13" x14ac:dyDescent="0.15">
      <c r="A520" s="10"/>
      <c r="B520" s="13"/>
      <c r="C520" s="13"/>
    </row>
    <row r="521" spans="1:3" ht="13" x14ac:dyDescent="0.15">
      <c r="A521" s="10"/>
      <c r="B521" s="13"/>
      <c r="C521" s="13"/>
    </row>
    <row r="522" spans="1:3" ht="13" x14ac:dyDescent="0.15">
      <c r="A522" s="10"/>
      <c r="B522" s="13"/>
      <c r="C522" s="13"/>
    </row>
    <row r="523" spans="1:3" ht="13" x14ac:dyDescent="0.15">
      <c r="A523" s="10"/>
      <c r="B523" s="13"/>
      <c r="C523" s="13"/>
    </row>
    <row r="524" spans="1:3" ht="13" x14ac:dyDescent="0.15">
      <c r="A524" s="10"/>
      <c r="B524" s="13"/>
      <c r="C524" s="13"/>
    </row>
    <row r="525" spans="1:3" ht="13" x14ac:dyDescent="0.15">
      <c r="A525" s="10"/>
      <c r="B525" s="13"/>
      <c r="C525" s="13"/>
    </row>
    <row r="526" spans="1:3" ht="13" x14ac:dyDescent="0.15">
      <c r="A526" s="10"/>
      <c r="B526" s="13"/>
      <c r="C526" s="13"/>
    </row>
    <row r="527" spans="1:3" ht="13" x14ac:dyDescent="0.15">
      <c r="A527" s="10"/>
      <c r="B527" s="13"/>
      <c r="C527" s="13"/>
    </row>
    <row r="528" spans="1:3" ht="13" x14ac:dyDescent="0.15">
      <c r="A528" s="10"/>
      <c r="B528" s="13"/>
      <c r="C528" s="13"/>
    </row>
    <row r="529" spans="1:3" ht="13" x14ac:dyDescent="0.15">
      <c r="A529" s="10"/>
      <c r="B529" s="13"/>
      <c r="C529" s="13"/>
    </row>
    <row r="530" spans="1:3" ht="13" x14ac:dyDescent="0.15">
      <c r="A530" s="10"/>
      <c r="B530" s="13"/>
      <c r="C530" s="13"/>
    </row>
    <row r="531" spans="1:3" ht="13" x14ac:dyDescent="0.15">
      <c r="A531" s="10"/>
      <c r="B531" s="13"/>
      <c r="C531" s="13"/>
    </row>
    <row r="532" spans="1:3" ht="13" x14ac:dyDescent="0.15">
      <c r="A532" s="10"/>
      <c r="B532" s="13"/>
      <c r="C532" s="13"/>
    </row>
    <row r="533" spans="1:3" ht="13" x14ac:dyDescent="0.15">
      <c r="A533" s="10"/>
      <c r="B533" s="13"/>
      <c r="C533" s="13"/>
    </row>
    <row r="534" spans="1:3" ht="13" x14ac:dyDescent="0.15">
      <c r="A534" s="10"/>
      <c r="B534" s="13"/>
      <c r="C534" s="13"/>
    </row>
    <row r="535" spans="1:3" ht="13" x14ac:dyDescent="0.15">
      <c r="A535" s="10"/>
      <c r="B535" s="13"/>
      <c r="C535" s="13"/>
    </row>
    <row r="536" spans="1:3" ht="13" x14ac:dyDescent="0.15">
      <c r="A536" s="10"/>
      <c r="B536" s="13"/>
      <c r="C536" s="13"/>
    </row>
    <row r="537" spans="1:3" ht="13" x14ac:dyDescent="0.15">
      <c r="A537" s="10"/>
      <c r="B537" s="13"/>
      <c r="C537" s="13"/>
    </row>
    <row r="538" spans="1:3" ht="13" x14ac:dyDescent="0.15">
      <c r="A538" s="10"/>
      <c r="B538" s="13"/>
      <c r="C538" s="13"/>
    </row>
    <row r="539" spans="1:3" ht="13" x14ac:dyDescent="0.15">
      <c r="A539" s="10"/>
      <c r="B539" s="13"/>
      <c r="C539" s="13"/>
    </row>
    <row r="540" spans="1:3" ht="13" x14ac:dyDescent="0.15">
      <c r="A540" s="10"/>
      <c r="B540" s="13"/>
      <c r="C540" s="13"/>
    </row>
    <row r="541" spans="1:3" ht="13" x14ac:dyDescent="0.15">
      <c r="A541" s="10"/>
      <c r="B541" s="13"/>
      <c r="C541" s="13"/>
    </row>
    <row r="542" spans="1:3" ht="13" x14ac:dyDescent="0.15">
      <c r="A542" s="10"/>
      <c r="B542" s="13"/>
      <c r="C542" s="13"/>
    </row>
    <row r="543" spans="1:3" ht="13" x14ac:dyDescent="0.15">
      <c r="A543" s="10"/>
      <c r="B543" s="13"/>
      <c r="C543" s="13"/>
    </row>
    <row r="544" spans="1:3" ht="13" x14ac:dyDescent="0.15">
      <c r="A544" s="10"/>
      <c r="B544" s="13"/>
      <c r="C544" s="13"/>
    </row>
    <row r="545" spans="1:3" ht="13" x14ac:dyDescent="0.15">
      <c r="A545" s="10"/>
      <c r="B545" s="13"/>
      <c r="C545" s="13"/>
    </row>
    <row r="546" spans="1:3" ht="13" x14ac:dyDescent="0.15">
      <c r="A546" s="10"/>
      <c r="B546" s="13"/>
      <c r="C546" s="13"/>
    </row>
    <row r="547" spans="1:3" ht="13" x14ac:dyDescent="0.15">
      <c r="A547" s="10"/>
      <c r="B547" s="13"/>
      <c r="C547" s="13"/>
    </row>
    <row r="548" spans="1:3" ht="13" x14ac:dyDescent="0.15">
      <c r="A548" s="10"/>
      <c r="B548" s="13"/>
      <c r="C548" s="13"/>
    </row>
    <row r="549" spans="1:3" ht="13" x14ac:dyDescent="0.15">
      <c r="A549" s="10"/>
      <c r="B549" s="13"/>
      <c r="C549" s="13"/>
    </row>
    <row r="550" spans="1:3" ht="13" x14ac:dyDescent="0.15">
      <c r="A550" s="10"/>
      <c r="B550" s="13"/>
      <c r="C550" s="13"/>
    </row>
    <row r="551" spans="1:3" ht="13" x14ac:dyDescent="0.15">
      <c r="A551" s="10"/>
      <c r="B551" s="13"/>
      <c r="C551" s="13"/>
    </row>
    <row r="552" spans="1:3" ht="13" x14ac:dyDescent="0.15">
      <c r="A552" s="10"/>
      <c r="B552" s="13"/>
      <c r="C552" s="13"/>
    </row>
    <row r="553" spans="1:3" ht="13" x14ac:dyDescent="0.15">
      <c r="A553" s="10"/>
      <c r="B553" s="13"/>
      <c r="C553" s="13"/>
    </row>
    <row r="554" spans="1:3" ht="13" x14ac:dyDescent="0.15">
      <c r="A554" s="10"/>
      <c r="B554" s="13"/>
      <c r="C554" s="13"/>
    </row>
    <row r="555" spans="1:3" ht="13" x14ac:dyDescent="0.15">
      <c r="A555" s="10"/>
      <c r="B555" s="13"/>
      <c r="C555" s="13"/>
    </row>
    <row r="556" spans="1:3" ht="13" x14ac:dyDescent="0.15">
      <c r="A556" s="10"/>
      <c r="B556" s="13"/>
      <c r="C556" s="13"/>
    </row>
    <row r="557" spans="1:3" ht="13" x14ac:dyDescent="0.15">
      <c r="A557" s="10"/>
      <c r="B557" s="13"/>
      <c r="C557" s="13"/>
    </row>
    <row r="558" spans="1:3" ht="13" x14ac:dyDescent="0.15">
      <c r="A558" s="10"/>
      <c r="B558" s="13"/>
      <c r="C558" s="13"/>
    </row>
    <row r="559" spans="1:3" ht="13" x14ac:dyDescent="0.15">
      <c r="A559" s="10"/>
      <c r="B559" s="13"/>
      <c r="C559" s="13"/>
    </row>
    <row r="560" spans="1:3" ht="13" x14ac:dyDescent="0.15">
      <c r="A560" s="10"/>
      <c r="B560" s="13"/>
      <c r="C560" s="13"/>
    </row>
    <row r="561" spans="1:3" ht="13" x14ac:dyDescent="0.15">
      <c r="A561" s="10"/>
      <c r="B561" s="13"/>
      <c r="C561" s="13"/>
    </row>
    <row r="562" spans="1:3" ht="13" x14ac:dyDescent="0.15">
      <c r="A562" s="10"/>
      <c r="B562" s="13"/>
      <c r="C562" s="13"/>
    </row>
    <row r="563" spans="1:3" ht="13" x14ac:dyDescent="0.15">
      <c r="A563" s="10"/>
      <c r="B563" s="13"/>
      <c r="C563" s="13"/>
    </row>
    <row r="564" spans="1:3" ht="13" x14ac:dyDescent="0.15">
      <c r="A564" s="10"/>
      <c r="B564" s="13"/>
      <c r="C564" s="13"/>
    </row>
    <row r="565" spans="1:3" ht="13" x14ac:dyDescent="0.15">
      <c r="A565" s="10"/>
      <c r="B565" s="13"/>
      <c r="C565" s="13"/>
    </row>
    <row r="566" spans="1:3" ht="13" x14ac:dyDescent="0.15">
      <c r="A566" s="10"/>
      <c r="B566" s="13"/>
      <c r="C566" s="13"/>
    </row>
    <row r="567" spans="1:3" ht="13" x14ac:dyDescent="0.15">
      <c r="A567" s="10"/>
      <c r="B567" s="13"/>
      <c r="C567" s="13"/>
    </row>
    <row r="568" spans="1:3" ht="13" x14ac:dyDescent="0.15">
      <c r="A568" s="10"/>
      <c r="B568" s="13"/>
      <c r="C568" s="13"/>
    </row>
    <row r="569" spans="1:3" ht="13" x14ac:dyDescent="0.15">
      <c r="A569" s="10"/>
      <c r="B569" s="13"/>
      <c r="C569" s="13"/>
    </row>
    <row r="570" spans="1:3" ht="13" x14ac:dyDescent="0.15">
      <c r="A570" s="10"/>
      <c r="B570" s="13"/>
      <c r="C570" s="13"/>
    </row>
    <row r="571" spans="1:3" ht="13" x14ac:dyDescent="0.15">
      <c r="A571" s="10"/>
      <c r="B571" s="13"/>
      <c r="C571" s="13"/>
    </row>
    <row r="572" spans="1:3" ht="13" x14ac:dyDescent="0.15">
      <c r="A572" s="10"/>
      <c r="B572" s="13"/>
      <c r="C572" s="13"/>
    </row>
    <row r="573" spans="1:3" ht="13" x14ac:dyDescent="0.15">
      <c r="A573" s="10"/>
      <c r="B573" s="13"/>
      <c r="C573" s="13"/>
    </row>
    <row r="574" spans="1:3" ht="13" x14ac:dyDescent="0.15">
      <c r="A574" s="10"/>
      <c r="B574" s="13"/>
      <c r="C574" s="13"/>
    </row>
    <row r="575" spans="1:3" ht="13" x14ac:dyDescent="0.15">
      <c r="A575" s="10"/>
      <c r="B575" s="13"/>
      <c r="C575" s="13"/>
    </row>
    <row r="576" spans="1:3" ht="13" x14ac:dyDescent="0.15">
      <c r="A576" s="10"/>
      <c r="B576" s="13"/>
      <c r="C576" s="13"/>
    </row>
    <row r="577" spans="1:3" ht="13" x14ac:dyDescent="0.15">
      <c r="A577" s="10"/>
      <c r="B577" s="13"/>
      <c r="C577" s="13"/>
    </row>
    <row r="578" spans="1:3" ht="13" x14ac:dyDescent="0.15">
      <c r="A578" s="10"/>
      <c r="B578" s="13"/>
      <c r="C578" s="13"/>
    </row>
    <row r="579" spans="1:3" ht="13" x14ac:dyDescent="0.15">
      <c r="A579" s="10"/>
      <c r="B579" s="13"/>
      <c r="C579" s="13"/>
    </row>
    <row r="580" spans="1:3" ht="13" x14ac:dyDescent="0.15">
      <c r="A580" s="10"/>
      <c r="B580" s="13"/>
      <c r="C580" s="13"/>
    </row>
    <row r="581" spans="1:3" ht="13" x14ac:dyDescent="0.15">
      <c r="A581" s="10"/>
      <c r="B581" s="13"/>
      <c r="C581" s="13"/>
    </row>
    <row r="582" spans="1:3" ht="13" x14ac:dyDescent="0.15">
      <c r="A582" s="10"/>
      <c r="B582" s="13"/>
      <c r="C582" s="13"/>
    </row>
    <row r="583" spans="1:3" ht="13" x14ac:dyDescent="0.15">
      <c r="A583" s="10"/>
      <c r="B583" s="13"/>
      <c r="C583" s="13"/>
    </row>
    <row r="584" spans="1:3" ht="13" x14ac:dyDescent="0.15">
      <c r="A584" s="10"/>
      <c r="B584" s="13"/>
      <c r="C584" s="13"/>
    </row>
    <row r="585" spans="1:3" ht="13" x14ac:dyDescent="0.15">
      <c r="A585" s="10"/>
      <c r="B585" s="13"/>
      <c r="C585" s="13"/>
    </row>
    <row r="586" spans="1:3" ht="13" x14ac:dyDescent="0.15">
      <c r="A586" s="10"/>
      <c r="B586" s="13"/>
      <c r="C586" s="13"/>
    </row>
    <row r="587" spans="1:3" ht="13" x14ac:dyDescent="0.15">
      <c r="A587" s="10"/>
      <c r="B587" s="13"/>
      <c r="C587" s="13"/>
    </row>
    <row r="588" spans="1:3" ht="13" x14ac:dyDescent="0.15">
      <c r="A588" s="10"/>
      <c r="B588" s="13"/>
      <c r="C588" s="13"/>
    </row>
    <row r="589" spans="1:3" ht="13" x14ac:dyDescent="0.15">
      <c r="A589" s="10"/>
      <c r="B589" s="13"/>
      <c r="C589" s="13"/>
    </row>
    <row r="590" spans="1:3" ht="13" x14ac:dyDescent="0.15">
      <c r="A590" s="10"/>
      <c r="B590" s="13"/>
      <c r="C590" s="13"/>
    </row>
    <row r="591" spans="1:3" ht="13" x14ac:dyDescent="0.15">
      <c r="A591" s="10"/>
      <c r="B591" s="13"/>
      <c r="C591" s="13"/>
    </row>
    <row r="592" spans="1:3" ht="13" x14ac:dyDescent="0.15">
      <c r="A592" s="10"/>
      <c r="B592" s="13"/>
      <c r="C592" s="13"/>
    </row>
    <row r="593" spans="1:3" ht="13" x14ac:dyDescent="0.15">
      <c r="A593" s="10"/>
      <c r="B593" s="13"/>
      <c r="C593" s="13"/>
    </row>
    <row r="594" spans="1:3" ht="13" x14ac:dyDescent="0.15">
      <c r="A594" s="10"/>
      <c r="B594" s="13"/>
      <c r="C594" s="13"/>
    </row>
    <row r="595" spans="1:3" ht="13" x14ac:dyDescent="0.15">
      <c r="A595" s="10"/>
      <c r="B595" s="13"/>
      <c r="C595" s="13"/>
    </row>
    <row r="596" spans="1:3" ht="13" x14ac:dyDescent="0.15">
      <c r="A596" s="10"/>
      <c r="B596" s="13"/>
      <c r="C596" s="13"/>
    </row>
    <row r="597" spans="1:3" ht="13" x14ac:dyDescent="0.15">
      <c r="A597" s="10"/>
      <c r="B597" s="13"/>
      <c r="C597" s="13"/>
    </row>
    <row r="598" spans="1:3" ht="13" x14ac:dyDescent="0.15">
      <c r="A598" s="10"/>
      <c r="B598" s="13"/>
      <c r="C598" s="13"/>
    </row>
    <row r="599" spans="1:3" ht="13" x14ac:dyDescent="0.15">
      <c r="A599" s="10"/>
      <c r="B599" s="13"/>
      <c r="C599" s="13"/>
    </row>
    <row r="600" spans="1:3" ht="13" x14ac:dyDescent="0.15">
      <c r="A600" s="10"/>
      <c r="B600" s="13"/>
      <c r="C600" s="13"/>
    </row>
    <row r="601" spans="1:3" ht="13" x14ac:dyDescent="0.15">
      <c r="A601" s="10"/>
      <c r="B601" s="13"/>
      <c r="C601" s="13"/>
    </row>
    <row r="602" spans="1:3" ht="13" x14ac:dyDescent="0.15">
      <c r="A602" s="10"/>
      <c r="B602" s="13"/>
      <c r="C602" s="13"/>
    </row>
    <row r="603" spans="1:3" ht="13" x14ac:dyDescent="0.15">
      <c r="A603" s="10"/>
      <c r="B603" s="13"/>
      <c r="C603" s="13"/>
    </row>
    <row r="604" spans="1:3" ht="13" x14ac:dyDescent="0.15">
      <c r="A604" s="10"/>
      <c r="B604" s="13"/>
      <c r="C604" s="13"/>
    </row>
    <row r="605" spans="1:3" ht="13" x14ac:dyDescent="0.15">
      <c r="A605" s="10"/>
      <c r="B605" s="13"/>
      <c r="C605" s="13"/>
    </row>
    <row r="606" spans="1:3" ht="13" x14ac:dyDescent="0.15">
      <c r="A606" s="10"/>
      <c r="B606" s="13"/>
      <c r="C606" s="13"/>
    </row>
    <row r="607" spans="1:3" ht="13" x14ac:dyDescent="0.15">
      <c r="A607" s="10"/>
      <c r="B607" s="13"/>
      <c r="C607" s="13"/>
    </row>
    <row r="608" spans="1:3" ht="13" x14ac:dyDescent="0.15">
      <c r="A608" s="10"/>
      <c r="B608" s="13"/>
      <c r="C608" s="13"/>
    </row>
    <row r="609" spans="1:3" ht="13" x14ac:dyDescent="0.15">
      <c r="A609" s="10"/>
      <c r="B609" s="13"/>
      <c r="C609" s="13"/>
    </row>
    <row r="610" spans="1:3" ht="13" x14ac:dyDescent="0.15">
      <c r="A610" s="10"/>
      <c r="B610" s="13"/>
      <c r="C610" s="13"/>
    </row>
    <row r="611" spans="1:3" ht="13" x14ac:dyDescent="0.15">
      <c r="A611" s="10"/>
      <c r="B611" s="13"/>
      <c r="C611" s="13"/>
    </row>
    <row r="612" spans="1:3" ht="13" x14ac:dyDescent="0.15">
      <c r="A612" s="10"/>
      <c r="B612" s="13"/>
      <c r="C612" s="13"/>
    </row>
    <row r="613" spans="1:3" ht="13" x14ac:dyDescent="0.15">
      <c r="A613" s="10"/>
      <c r="B613" s="13"/>
      <c r="C613" s="13"/>
    </row>
    <row r="614" spans="1:3" ht="13" x14ac:dyDescent="0.15">
      <c r="A614" s="10"/>
      <c r="B614" s="13"/>
      <c r="C614" s="13"/>
    </row>
    <row r="615" spans="1:3" ht="13" x14ac:dyDescent="0.15">
      <c r="A615" s="10"/>
      <c r="B615" s="13"/>
      <c r="C615" s="13"/>
    </row>
    <row r="616" spans="1:3" ht="13" x14ac:dyDescent="0.15">
      <c r="A616" s="10"/>
      <c r="B616" s="13"/>
      <c r="C616" s="13"/>
    </row>
    <row r="617" spans="1:3" ht="13" x14ac:dyDescent="0.15">
      <c r="A617" s="10"/>
      <c r="B617" s="13"/>
      <c r="C617" s="13"/>
    </row>
    <row r="618" spans="1:3" ht="13" x14ac:dyDescent="0.15">
      <c r="A618" s="10"/>
      <c r="B618" s="13"/>
      <c r="C618" s="13"/>
    </row>
    <row r="619" spans="1:3" ht="13" x14ac:dyDescent="0.15">
      <c r="A619" s="10"/>
      <c r="B619" s="13"/>
      <c r="C619" s="13"/>
    </row>
    <row r="620" spans="1:3" ht="13" x14ac:dyDescent="0.15">
      <c r="A620" s="10"/>
      <c r="B620" s="13"/>
      <c r="C620" s="13"/>
    </row>
    <row r="621" spans="1:3" ht="13" x14ac:dyDescent="0.15">
      <c r="A621" s="10"/>
      <c r="B621" s="13"/>
      <c r="C621" s="13"/>
    </row>
    <row r="622" spans="1:3" ht="13" x14ac:dyDescent="0.15">
      <c r="A622" s="10"/>
      <c r="B622" s="13"/>
      <c r="C622" s="13"/>
    </row>
    <row r="623" spans="1:3" ht="13" x14ac:dyDescent="0.15">
      <c r="A623" s="10"/>
      <c r="B623" s="13"/>
      <c r="C623" s="13"/>
    </row>
    <row r="624" spans="1:3" ht="13" x14ac:dyDescent="0.15">
      <c r="A624" s="10"/>
      <c r="B624" s="13"/>
      <c r="C624" s="13"/>
    </row>
    <row r="625" spans="1:3" ht="13" x14ac:dyDescent="0.15">
      <c r="A625" s="10"/>
      <c r="B625" s="13"/>
      <c r="C625" s="13"/>
    </row>
    <row r="626" spans="1:3" ht="13" x14ac:dyDescent="0.15">
      <c r="A626" s="10"/>
      <c r="B626" s="13"/>
      <c r="C626" s="13"/>
    </row>
    <row r="627" spans="1:3" ht="13" x14ac:dyDescent="0.15">
      <c r="A627" s="10"/>
      <c r="B627" s="13"/>
      <c r="C627" s="13"/>
    </row>
    <row r="628" spans="1:3" ht="13" x14ac:dyDescent="0.15">
      <c r="A628" s="10"/>
      <c r="B628" s="13"/>
      <c r="C628" s="13"/>
    </row>
    <row r="629" spans="1:3" ht="13" x14ac:dyDescent="0.15">
      <c r="A629" s="10"/>
      <c r="B629" s="13"/>
      <c r="C629" s="13"/>
    </row>
    <row r="630" spans="1:3" ht="13" x14ac:dyDescent="0.15">
      <c r="A630" s="10"/>
      <c r="B630" s="13"/>
      <c r="C630" s="13"/>
    </row>
    <row r="631" spans="1:3" ht="13" x14ac:dyDescent="0.15">
      <c r="A631" s="10"/>
      <c r="B631" s="13"/>
      <c r="C631" s="13"/>
    </row>
    <row r="632" spans="1:3" ht="13" x14ac:dyDescent="0.15">
      <c r="A632" s="10"/>
      <c r="B632" s="13"/>
      <c r="C632" s="13"/>
    </row>
    <row r="633" spans="1:3" ht="13" x14ac:dyDescent="0.15">
      <c r="A633" s="10"/>
      <c r="B633" s="13"/>
      <c r="C633" s="13"/>
    </row>
    <row r="634" spans="1:3" ht="13" x14ac:dyDescent="0.15">
      <c r="A634" s="10"/>
      <c r="B634" s="13"/>
      <c r="C634" s="13"/>
    </row>
    <row r="635" spans="1:3" ht="13" x14ac:dyDescent="0.15">
      <c r="A635" s="10"/>
      <c r="B635" s="13"/>
      <c r="C635" s="13"/>
    </row>
    <row r="636" spans="1:3" ht="13" x14ac:dyDescent="0.15">
      <c r="A636" s="10"/>
      <c r="B636" s="13"/>
      <c r="C636" s="13"/>
    </row>
    <row r="637" spans="1:3" ht="13" x14ac:dyDescent="0.15">
      <c r="A637" s="10"/>
      <c r="B637" s="13"/>
      <c r="C637" s="13"/>
    </row>
    <row r="638" spans="1:3" ht="13" x14ac:dyDescent="0.15">
      <c r="A638" s="10"/>
      <c r="B638" s="13"/>
      <c r="C638" s="13"/>
    </row>
    <row r="639" spans="1:3" ht="13" x14ac:dyDescent="0.15">
      <c r="A639" s="10"/>
      <c r="B639" s="13"/>
      <c r="C639" s="13"/>
    </row>
    <row r="640" spans="1:3" ht="13" x14ac:dyDescent="0.15">
      <c r="A640" s="10"/>
      <c r="B640" s="13"/>
      <c r="C640" s="13"/>
    </row>
    <row r="641" spans="1:3" ht="13" x14ac:dyDescent="0.15">
      <c r="A641" s="10"/>
      <c r="B641" s="13"/>
      <c r="C641" s="13"/>
    </row>
    <row r="642" spans="1:3" ht="13" x14ac:dyDescent="0.15">
      <c r="A642" s="10"/>
      <c r="B642" s="13"/>
      <c r="C642" s="13"/>
    </row>
    <row r="643" spans="1:3" ht="13" x14ac:dyDescent="0.15">
      <c r="A643" s="10"/>
      <c r="B643" s="13"/>
      <c r="C643" s="13"/>
    </row>
    <row r="644" spans="1:3" ht="13" x14ac:dyDescent="0.15">
      <c r="A644" s="10"/>
      <c r="B644" s="13"/>
      <c r="C644" s="13"/>
    </row>
    <row r="645" spans="1:3" ht="13" x14ac:dyDescent="0.15">
      <c r="A645" s="10"/>
      <c r="B645" s="13"/>
      <c r="C645" s="13"/>
    </row>
    <row r="646" spans="1:3" ht="13" x14ac:dyDescent="0.15">
      <c r="A646" s="10"/>
      <c r="B646" s="13"/>
      <c r="C646" s="13"/>
    </row>
    <row r="647" spans="1:3" ht="13" x14ac:dyDescent="0.15">
      <c r="A647" s="10"/>
      <c r="B647" s="13"/>
      <c r="C647" s="13"/>
    </row>
    <row r="648" spans="1:3" ht="13" x14ac:dyDescent="0.15">
      <c r="A648" s="10"/>
      <c r="B648" s="13"/>
      <c r="C648" s="13"/>
    </row>
    <row r="649" spans="1:3" ht="13" x14ac:dyDescent="0.15">
      <c r="A649" s="10"/>
      <c r="B649" s="13"/>
      <c r="C649" s="13"/>
    </row>
    <row r="650" spans="1:3" ht="13" x14ac:dyDescent="0.15">
      <c r="A650" s="10"/>
      <c r="B650" s="13"/>
      <c r="C650" s="13"/>
    </row>
    <row r="651" spans="1:3" ht="13" x14ac:dyDescent="0.15">
      <c r="A651" s="10"/>
      <c r="B651" s="13"/>
      <c r="C651" s="13"/>
    </row>
    <row r="652" spans="1:3" ht="13" x14ac:dyDescent="0.15">
      <c r="A652" s="10"/>
      <c r="B652" s="13"/>
      <c r="C652" s="13"/>
    </row>
    <row r="653" spans="1:3" ht="13" x14ac:dyDescent="0.15">
      <c r="A653" s="10"/>
      <c r="B653" s="13"/>
      <c r="C653" s="13"/>
    </row>
    <row r="654" spans="1:3" ht="13" x14ac:dyDescent="0.15">
      <c r="A654" s="10"/>
      <c r="B654" s="13"/>
      <c r="C654" s="13"/>
    </row>
    <row r="655" spans="1:3" ht="13" x14ac:dyDescent="0.15">
      <c r="A655" s="10"/>
      <c r="B655" s="13"/>
      <c r="C655" s="13"/>
    </row>
    <row r="656" spans="1:3" ht="13" x14ac:dyDescent="0.15">
      <c r="A656" s="10"/>
      <c r="B656" s="13"/>
      <c r="C656" s="13"/>
    </row>
    <row r="657" spans="1:3" ht="13" x14ac:dyDescent="0.15">
      <c r="A657" s="10"/>
      <c r="B657" s="13"/>
      <c r="C657" s="13"/>
    </row>
    <row r="658" spans="1:3" ht="13" x14ac:dyDescent="0.15">
      <c r="A658" s="10"/>
      <c r="B658" s="13"/>
      <c r="C658" s="13"/>
    </row>
    <row r="659" spans="1:3" ht="13" x14ac:dyDescent="0.15">
      <c r="A659" s="10"/>
      <c r="B659" s="13"/>
      <c r="C659" s="13"/>
    </row>
    <row r="660" spans="1:3" ht="13" x14ac:dyDescent="0.15">
      <c r="A660" s="10"/>
      <c r="B660" s="13"/>
      <c r="C660" s="13"/>
    </row>
    <row r="661" spans="1:3" ht="13" x14ac:dyDescent="0.15">
      <c r="A661" s="10"/>
      <c r="B661" s="13"/>
      <c r="C661" s="13"/>
    </row>
    <row r="662" spans="1:3" ht="13" x14ac:dyDescent="0.15">
      <c r="A662" s="10"/>
      <c r="B662" s="13"/>
      <c r="C662" s="13"/>
    </row>
    <row r="663" spans="1:3" ht="13" x14ac:dyDescent="0.15">
      <c r="A663" s="10"/>
      <c r="B663" s="13"/>
      <c r="C663" s="13"/>
    </row>
    <row r="664" spans="1:3" ht="13" x14ac:dyDescent="0.15">
      <c r="A664" s="10"/>
      <c r="B664" s="13"/>
      <c r="C664" s="13"/>
    </row>
    <row r="665" spans="1:3" ht="13" x14ac:dyDescent="0.15">
      <c r="A665" s="10"/>
      <c r="B665" s="13"/>
      <c r="C665" s="13"/>
    </row>
    <row r="666" spans="1:3" ht="13" x14ac:dyDescent="0.15">
      <c r="A666" s="10"/>
      <c r="B666" s="13"/>
      <c r="C666" s="13"/>
    </row>
    <row r="667" spans="1:3" ht="13" x14ac:dyDescent="0.15">
      <c r="A667" s="10"/>
      <c r="B667" s="13"/>
      <c r="C667" s="13"/>
    </row>
    <row r="668" spans="1:3" ht="13" x14ac:dyDescent="0.15">
      <c r="A668" s="10"/>
      <c r="B668" s="13"/>
      <c r="C668" s="13"/>
    </row>
    <row r="669" spans="1:3" ht="13" x14ac:dyDescent="0.15">
      <c r="A669" s="10"/>
      <c r="B669" s="13"/>
      <c r="C669" s="13"/>
    </row>
    <row r="670" spans="1:3" ht="13" x14ac:dyDescent="0.15">
      <c r="A670" s="10"/>
      <c r="B670" s="13"/>
      <c r="C670" s="13"/>
    </row>
    <row r="671" spans="1:3" ht="13" x14ac:dyDescent="0.15">
      <c r="A671" s="10"/>
      <c r="B671" s="13"/>
      <c r="C671" s="13"/>
    </row>
    <row r="672" spans="1:3" ht="13" x14ac:dyDescent="0.15">
      <c r="A672" s="10"/>
      <c r="B672" s="13"/>
      <c r="C672" s="13"/>
    </row>
    <row r="673" spans="1:3" ht="13" x14ac:dyDescent="0.15">
      <c r="A673" s="10"/>
      <c r="B673" s="13"/>
      <c r="C673" s="13"/>
    </row>
    <row r="674" spans="1:3" ht="13" x14ac:dyDescent="0.15">
      <c r="A674" s="10"/>
      <c r="B674" s="13"/>
      <c r="C674" s="13"/>
    </row>
    <row r="675" spans="1:3" ht="13" x14ac:dyDescent="0.15">
      <c r="A675" s="10"/>
      <c r="B675" s="13"/>
      <c r="C675" s="13"/>
    </row>
    <row r="676" spans="1:3" ht="13" x14ac:dyDescent="0.15">
      <c r="A676" s="10"/>
      <c r="B676" s="13"/>
      <c r="C676" s="13"/>
    </row>
    <row r="677" spans="1:3" ht="13" x14ac:dyDescent="0.15">
      <c r="A677" s="10"/>
      <c r="B677" s="13"/>
      <c r="C677" s="13"/>
    </row>
    <row r="678" spans="1:3" ht="13" x14ac:dyDescent="0.15">
      <c r="A678" s="10"/>
      <c r="B678" s="13"/>
      <c r="C678" s="13"/>
    </row>
    <row r="679" spans="1:3" ht="13" x14ac:dyDescent="0.15">
      <c r="A679" s="10"/>
      <c r="B679" s="13"/>
      <c r="C679" s="13"/>
    </row>
    <row r="680" spans="1:3" ht="13" x14ac:dyDescent="0.15">
      <c r="A680" s="10"/>
      <c r="B680" s="13"/>
      <c r="C680" s="13"/>
    </row>
    <row r="681" spans="1:3" ht="13" x14ac:dyDescent="0.15">
      <c r="A681" s="10"/>
      <c r="B681" s="13"/>
      <c r="C681" s="13"/>
    </row>
    <row r="682" spans="1:3" ht="13" x14ac:dyDescent="0.15">
      <c r="A682" s="10"/>
      <c r="B682" s="13"/>
      <c r="C682" s="13"/>
    </row>
    <row r="683" spans="1:3" ht="13" x14ac:dyDescent="0.15">
      <c r="A683" s="10"/>
      <c r="B683" s="13"/>
      <c r="C683" s="13"/>
    </row>
    <row r="684" spans="1:3" ht="13" x14ac:dyDescent="0.15">
      <c r="A684" s="10"/>
      <c r="B684" s="13"/>
      <c r="C684" s="13"/>
    </row>
    <row r="685" spans="1:3" ht="13" x14ac:dyDescent="0.15">
      <c r="A685" s="10"/>
      <c r="B685" s="13"/>
      <c r="C685" s="13"/>
    </row>
    <row r="686" spans="1:3" ht="13" x14ac:dyDescent="0.15">
      <c r="A686" s="10"/>
      <c r="B686" s="13"/>
      <c r="C686" s="13"/>
    </row>
    <row r="687" spans="1:3" ht="13" x14ac:dyDescent="0.15">
      <c r="A687" s="10"/>
      <c r="B687" s="13"/>
      <c r="C687" s="13"/>
    </row>
    <row r="688" spans="1:3" ht="13" x14ac:dyDescent="0.15">
      <c r="A688" s="10"/>
      <c r="B688" s="13"/>
      <c r="C688" s="13"/>
    </row>
    <row r="689" spans="1:3" ht="13" x14ac:dyDescent="0.15">
      <c r="A689" s="10"/>
      <c r="B689" s="13"/>
      <c r="C689" s="13"/>
    </row>
    <row r="690" spans="1:3" ht="13" x14ac:dyDescent="0.15">
      <c r="A690" s="10"/>
      <c r="B690" s="13"/>
      <c r="C690" s="13"/>
    </row>
    <row r="691" spans="1:3" ht="13" x14ac:dyDescent="0.15">
      <c r="A691" s="10"/>
      <c r="B691" s="13"/>
      <c r="C691" s="13"/>
    </row>
    <row r="692" spans="1:3" ht="13" x14ac:dyDescent="0.15">
      <c r="A692" s="10"/>
      <c r="B692" s="13"/>
      <c r="C692" s="13"/>
    </row>
    <row r="693" spans="1:3" ht="13" x14ac:dyDescent="0.15">
      <c r="A693" s="10"/>
      <c r="B693" s="13"/>
      <c r="C693" s="13"/>
    </row>
    <row r="694" spans="1:3" ht="13" x14ac:dyDescent="0.15">
      <c r="A694" s="10"/>
      <c r="B694" s="13"/>
      <c r="C694" s="13"/>
    </row>
    <row r="695" spans="1:3" ht="13" x14ac:dyDescent="0.15">
      <c r="A695" s="10"/>
      <c r="B695" s="13"/>
      <c r="C695" s="13"/>
    </row>
    <row r="696" spans="1:3" ht="13" x14ac:dyDescent="0.15">
      <c r="A696" s="10"/>
      <c r="B696" s="13"/>
      <c r="C696" s="13"/>
    </row>
    <row r="697" spans="1:3" ht="13" x14ac:dyDescent="0.15">
      <c r="A697" s="10"/>
      <c r="B697" s="13"/>
      <c r="C697" s="13"/>
    </row>
    <row r="698" spans="1:3" ht="13" x14ac:dyDescent="0.15">
      <c r="A698" s="10"/>
      <c r="B698" s="13"/>
      <c r="C698" s="13"/>
    </row>
    <row r="699" spans="1:3" ht="13" x14ac:dyDescent="0.15">
      <c r="A699" s="10"/>
      <c r="B699" s="13"/>
      <c r="C699" s="13"/>
    </row>
    <row r="700" spans="1:3" ht="13" x14ac:dyDescent="0.15">
      <c r="A700" s="10"/>
      <c r="B700" s="13"/>
      <c r="C700" s="13"/>
    </row>
    <row r="701" spans="1:3" ht="13" x14ac:dyDescent="0.15">
      <c r="A701" s="10"/>
      <c r="B701" s="13"/>
      <c r="C701" s="13"/>
    </row>
    <row r="702" spans="1:3" ht="13" x14ac:dyDescent="0.15">
      <c r="A702" s="10"/>
      <c r="B702" s="13"/>
      <c r="C702" s="13"/>
    </row>
    <row r="703" spans="1:3" ht="13" x14ac:dyDescent="0.15">
      <c r="A703" s="10"/>
      <c r="B703" s="13"/>
      <c r="C703" s="13"/>
    </row>
    <row r="704" spans="1:3" ht="13" x14ac:dyDescent="0.15">
      <c r="A704" s="10"/>
      <c r="B704" s="13"/>
      <c r="C704" s="13"/>
    </row>
    <row r="705" spans="1:3" ht="13" x14ac:dyDescent="0.15">
      <c r="A705" s="10"/>
      <c r="B705" s="13"/>
      <c r="C705" s="13"/>
    </row>
    <row r="706" spans="1:3" ht="13" x14ac:dyDescent="0.15">
      <c r="A706" s="10"/>
      <c r="B706" s="13"/>
      <c r="C706" s="13"/>
    </row>
    <row r="707" spans="1:3" ht="13" x14ac:dyDescent="0.15">
      <c r="A707" s="10"/>
      <c r="B707" s="13"/>
      <c r="C707" s="13"/>
    </row>
    <row r="708" spans="1:3" ht="13" x14ac:dyDescent="0.15">
      <c r="A708" s="10"/>
      <c r="B708" s="13"/>
      <c r="C708" s="13"/>
    </row>
    <row r="709" spans="1:3" ht="13" x14ac:dyDescent="0.15">
      <c r="A709" s="10"/>
      <c r="B709" s="13"/>
      <c r="C709" s="13"/>
    </row>
    <row r="710" spans="1:3" ht="13" x14ac:dyDescent="0.15">
      <c r="A710" s="10"/>
      <c r="B710" s="13"/>
      <c r="C710" s="13"/>
    </row>
    <row r="711" spans="1:3" ht="13" x14ac:dyDescent="0.15">
      <c r="A711" s="10"/>
      <c r="B711" s="13"/>
      <c r="C711" s="13"/>
    </row>
    <row r="712" spans="1:3" ht="13" x14ac:dyDescent="0.15">
      <c r="A712" s="10"/>
      <c r="B712" s="13"/>
      <c r="C712" s="13"/>
    </row>
    <row r="713" spans="1:3" ht="13" x14ac:dyDescent="0.15">
      <c r="A713" s="10"/>
      <c r="B713" s="13"/>
      <c r="C713" s="13"/>
    </row>
    <row r="714" spans="1:3" ht="13" x14ac:dyDescent="0.15">
      <c r="A714" s="10"/>
      <c r="B714" s="13"/>
      <c r="C714" s="13"/>
    </row>
    <row r="715" spans="1:3" ht="13" x14ac:dyDescent="0.15">
      <c r="A715" s="10"/>
      <c r="B715" s="13"/>
      <c r="C715" s="13"/>
    </row>
    <row r="716" spans="1:3" ht="13" x14ac:dyDescent="0.15">
      <c r="A716" s="10"/>
      <c r="B716" s="13"/>
      <c r="C716" s="13"/>
    </row>
    <row r="717" spans="1:3" ht="13" x14ac:dyDescent="0.15">
      <c r="A717" s="10"/>
      <c r="B717" s="13"/>
      <c r="C717" s="13"/>
    </row>
    <row r="718" spans="1:3" ht="13" x14ac:dyDescent="0.15">
      <c r="A718" s="10"/>
      <c r="B718" s="13"/>
      <c r="C718" s="13"/>
    </row>
    <row r="719" spans="1:3" ht="13" x14ac:dyDescent="0.15">
      <c r="A719" s="10"/>
      <c r="B719" s="13"/>
      <c r="C719" s="13"/>
    </row>
    <row r="720" spans="1:3" ht="13" x14ac:dyDescent="0.15">
      <c r="A720" s="10"/>
      <c r="B720" s="13"/>
      <c r="C720" s="13"/>
    </row>
    <row r="721" spans="1:3" ht="13" x14ac:dyDescent="0.15">
      <c r="A721" s="10"/>
      <c r="B721" s="13"/>
      <c r="C721" s="13"/>
    </row>
    <row r="722" spans="1:3" ht="13" x14ac:dyDescent="0.15">
      <c r="A722" s="10"/>
      <c r="B722" s="13"/>
      <c r="C722" s="13"/>
    </row>
    <row r="723" spans="1:3" ht="13" x14ac:dyDescent="0.15">
      <c r="A723" s="10"/>
      <c r="B723" s="13"/>
      <c r="C723" s="13"/>
    </row>
    <row r="724" spans="1:3" ht="13" x14ac:dyDescent="0.15">
      <c r="A724" s="10"/>
      <c r="B724" s="13"/>
      <c r="C724" s="13"/>
    </row>
    <row r="725" spans="1:3" ht="13" x14ac:dyDescent="0.15">
      <c r="A725" s="10"/>
      <c r="B725" s="13"/>
      <c r="C725" s="13"/>
    </row>
    <row r="726" spans="1:3" ht="13" x14ac:dyDescent="0.15">
      <c r="A726" s="10"/>
      <c r="B726" s="13"/>
      <c r="C726" s="13"/>
    </row>
    <row r="727" spans="1:3" ht="13" x14ac:dyDescent="0.15">
      <c r="A727" s="10"/>
      <c r="B727" s="13"/>
      <c r="C727" s="13"/>
    </row>
    <row r="728" spans="1:3" ht="13" x14ac:dyDescent="0.15">
      <c r="A728" s="10"/>
      <c r="B728" s="13"/>
      <c r="C728" s="13"/>
    </row>
    <row r="729" spans="1:3" ht="13" x14ac:dyDescent="0.15">
      <c r="A729" s="10"/>
      <c r="B729" s="13"/>
      <c r="C729" s="13"/>
    </row>
    <row r="730" spans="1:3" ht="13" x14ac:dyDescent="0.15">
      <c r="A730" s="10"/>
      <c r="B730" s="13"/>
      <c r="C730" s="13"/>
    </row>
    <row r="731" spans="1:3" ht="13" x14ac:dyDescent="0.15">
      <c r="A731" s="10"/>
      <c r="B731" s="13"/>
      <c r="C731" s="13"/>
    </row>
    <row r="732" spans="1:3" ht="13" x14ac:dyDescent="0.15">
      <c r="A732" s="10"/>
      <c r="B732" s="13"/>
      <c r="C732" s="13"/>
    </row>
    <row r="733" spans="1:3" ht="13" x14ac:dyDescent="0.15">
      <c r="A733" s="10"/>
      <c r="B733" s="13"/>
      <c r="C733" s="13"/>
    </row>
    <row r="734" spans="1:3" ht="13" x14ac:dyDescent="0.15">
      <c r="A734" s="10"/>
      <c r="B734" s="13"/>
      <c r="C734" s="13"/>
    </row>
    <row r="735" spans="1:3" ht="13" x14ac:dyDescent="0.15">
      <c r="A735" s="10"/>
      <c r="B735" s="13"/>
      <c r="C735" s="13"/>
    </row>
    <row r="736" spans="1:3" ht="13" x14ac:dyDescent="0.15">
      <c r="A736" s="10"/>
      <c r="B736" s="13"/>
      <c r="C736" s="13"/>
    </row>
    <row r="737" spans="1:3" ht="13" x14ac:dyDescent="0.15">
      <c r="A737" s="10"/>
      <c r="B737" s="13"/>
      <c r="C737" s="13"/>
    </row>
    <row r="738" spans="1:3" ht="13" x14ac:dyDescent="0.15">
      <c r="A738" s="10"/>
      <c r="B738" s="13"/>
      <c r="C738" s="13"/>
    </row>
    <row r="739" spans="1:3" ht="13" x14ac:dyDescent="0.15">
      <c r="A739" s="10"/>
      <c r="B739" s="13"/>
      <c r="C739" s="13"/>
    </row>
    <row r="740" spans="1:3" ht="13" x14ac:dyDescent="0.15">
      <c r="A740" s="10"/>
      <c r="B740" s="13"/>
      <c r="C740" s="13"/>
    </row>
    <row r="741" spans="1:3" ht="13" x14ac:dyDescent="0.15">
      <c r="A741" s="10"/>
      <c r="B741" s="13"/>
      <c r="C741" s="13"/>
    </row>
    <row r="742" spans="1:3" ht="13" x14ac:dyDescent="0.15">
      <c r="A742" s="10"/>
      <c r="B742" s="13"/>
      <c r="C742" s="13"/>
    </row>
    <row r="743" spans="1:3" ht="13" x14ac:dyDescent="0.15">
      <c r="A743" s="10"/>
      <c r="B743" s="13"/>
      <c r="C743" s="13"/>
    </row>
    <row r="744" spans="1:3" ht="13" x14ac:dyDescent="0.15">
      <c r="A744" s="10"/>
      <c r="B744" s="13"/>
      <c r="C744" s="13"/>
    </row>
    <row r="745" spans="1:3" ht="13" x14ac:dyDescent="0.15">
      <c r="A745" s="10"/>
      <c r="B745" s="13"/>
      <c r="C745" s="13"/>
    </row>
    <row r="746" spans="1:3" ht="13" x14ac:dyDescent="0.15">
      <c r="A746" s="10"/>
      <c r="B746" s="13"/>
      <c r="C746" s="13"/>
    </row>
    <row r="747" spans="1:3" ht="13" x14ac:dyDescent="0.15">
      <c r="A747" s="10"/>
      <c r="B747" s="13"/>
      <c r="C747" s="13"/>
    </row>
    <row r="748" spans="1:3" ht="13" x14ac:dyDescent="0.15">
      <c r="A748" s="10"/>
      <c r="B748" s="13"/>
      <c r="C748" s="13"/>
    </row>
    <row r="749" spans="1:3" ht="13" x14ac:dyDescent="0.15">
      <c r="A749" s="10"/>
      <c r="B749" s="13"/>
      <c r="C749" s="13"/>
    </row>
    <row r="750" spans="1:3" ht="13" x14ac:dyDescent="0.15">
      <c r="A750" s="10"/>
      <c r="B750" s="13"/>
      <c r="C750" s="13"/>
    </row>
    <row r="751" spans="1:3" ht="13" x14ac:dyDescent="0.15">
      <c r="A751" s="10"/>
      <c r="B751" s="13"/>
      <c r="C751" s="13"/>
    </row>
    <row r="752" spans="1:3" ht="13" x14ac:dyDescent="0.15">
      <c r="A752" s="10"/>
      <c r="B752" s="13"/>
      <c r="C752" s="13"/>
    </row>
    <row r="753" spans="1:3" ht="13" x14ac:dyDescent="0.15">
      <c r="A753" s="10"/>
      <c r="B753" s="13"/>
      <c r="C753" s="13"/>
    </row>
    <row r="754" spans="1:3" ht="13" x14ac:dyDescent="0.15">
      <c r="A754" s="10"/>
      <c r="B754" s="13"/>
      <c r="C754" s="13"/>
    </row>
    <row r="755" spans="1:3" ht="13" x14ac:dyDescent="0.15">
      <c r="A755" s="10"/>
      <c r="B755" s="13"/>
      <c r="C755" s="13"/>
    </row>
    <row r="756" spans="1:3" ht="13" x14ac:dyDescent="0.15">
      <c r="A756" s="10"/>
      <c r="B756" s="13"/>
      <c r="C756" s="13"/>
    </row>
    <row r="757" spans="1:3" ht="13" x14ac:dyDescent="0.15">
      <c r="A757" s="10"/>
      <c r="B757" s="13"/>
      <c r="C757" s="13"/>
    </row>
    <row r="758" spans="1:3" ht="13" x14ac:dyDescent="0.15">
      <c r="A758" s="10"/>
      <c r="B758" s="13"/>
      <c r="C758" s="13"/>
    </row>
    <row r="759" spans="1:3" ht="13" x14ac:dyDescent="0.15">
      <c r="A759" s="10"/>
      <c r="B759" s="13"/>
      <c r="C759" s="13"/>
    </row>
    <row r="760" spans="1:3" ht="13" x14ac:dyDescent="0.15">
      <c r="A760" s="10"/>
      <c r="B760" s="13"/>
      <c r="C760" s="13"/>
    </row>
    <row r="761" spans="1:3" ht="13" x14ac:dyDescent="0.15">
      <c r="A761" s="10"/>
      <c r="B761" s="13"/>
      <c r="C761" s="13"/>
    </row>
    <row r="762" spans="1:3" ht="13" x14ac:dyDescent="0.15">
      <c r="A762" s="10"/>
      <c r="B762" s="13"/>
      <c r="C762" s="13"/>
    </row>
    <row r="763" spans="1:3" ht="13" x14ac:dyDescent="0.15">
      <c r="A763" s="10"/>
      <c r="B763" s="13"/>
      <c r="C763" s="13"/>
    </row>
    <row r="764" spans="1:3" ht="13" x14ac:dyDescent="0.15">
      <c r="A764" s="10"/>
      <c r="B764" s="13"/>
      <c r="C764" s="13"/>
    </row>
    <row r="765" spans="1:3" ht="13" x14ac:dyDescent="0.15">
      <c r="A765" s="10"/>
      <c r="B765" s="13"/>
      <c r="C765" s="13"/>
    </row>
    <row r="766" spans="1:3" ht="13" x14ac:dyDescent="0.15">
      <c r="A766" s="10"/>
      <c r="B766" s="13"/>
      <c r="C766" s="13"/>
    </row>
    <row r="767" spans="1:3" ht="13" x14ac:dyDescent="0.15">
      <c r="A767" s="10"/>
      <c r="B767" s="13"/>
      <c r="C767" s="13"/>
    </row>
    <row r="768" spans="1:3" ht="13" x14ac:dyDescent="0.15">
      <c r="A768" s="10"/>
      <c r="B768" s="13"/>
      <c r="C768" s="13"/>
    </row>
    <row r="769" spans="1:3" ht="13" x14ac:dyDescent="0.15">
      <c r="A769" s="10"/>
      <c r="B769" s="13"/>
      <c r="C769" s="13"/>
    </row>
    <row r="770" spans="1:3" ht="13" x14ac:dyDescent="0.15">
      <c r="A770" s="10"/>
      <c r="B770" s="13"/>
      <c r="C770" s="13"/>
    </row>
    <row r="771" spans="1:3" ht="13" x14ac:dyDescent="0.15">
      <c r="A771" s="10"/>
      <c r="B771" s="13"/>
      <c r="C771" s="13"/>
    </row>
    <row r="772" spans="1:3" ht="13" x14ac:dyDescent="0.15">
      <c r="A772" s="10"/>
      <c r="B772" s="13"/>
      <c r="C772" s="13"/>
    </row>
    <row r="773" spans="1:3" ht="13" x14ac:dyDescent="0.15">
      <c r="A773" s="10"/>
      <c r="B773" s="13"/>
      <c r="C773" s="13"/>
    </row>
    <row r="774" spans="1:3" ht="13" x14ac:dyDescent="0.15">
      <c r="A774" s="10"/>
      <c r="B774" s="13"/>
      <c r="C774" s="13"/>
    </row>
    <row r="775" spans="1:3" ht="13" x14ac:dyDescent="0.15">
      <c r="A775" s="10"/>
      <c r="B775" s="13"/>
      <c r="C775" s="13"/>
    </row>
    <row r="776" spans="1:3" ht="13" x14ac:dyDescent="0.15">
      <c r="A776" s="10"/>
      <c r="B776" s="13"/>
      <c r="C776" s="13"/>
    </row>
    <row r="777" spans="1:3" ht="13" x14ac:dyDescent="0.15">
      <c r="A777" s="10"/>
      <c r="B777" s="13"/>
      <c r="C777" s="13"/>
    </row>
    <row r="778" spans="1:3" ht="13" x14ac:dyDescent="0.15">
      <c r="A778" s="10"/>
      <c r="B778" s="13"/>
      <c r="C778" s="13"/>
    </row>
    <row r="779" spans="1:3" ht="13" x14ac:dyDescent="0.15">
      <c r="A779" s="10"/>
      <c r="B779" s="13"/>
      <c r="C779" s="13"/>
    </row>
    <row r="780" spans="1:3" ht="13" x14ac:dyDescent="0.15">
      <c r="A780" s="10"/>
      <c r="B780" s="13"/>
      <c r="C780" s="13"/>
    </row>
    <row r="781" spans="1:3" ht="13" x14ac:dyDescent="0.15">
      <c r="A781" s="10"/>
      <c r="B781" s="13"/>
      <c r="C781" s="13"/>
    </row>
    <row r="782" spans="1:3" ht="13" x14ac:dyDescent="0.15">
      <c r="A782" s="10"/>
      <c r="B782" s="13"/>
      <c r="C782" s="13"/>
    </row>
    <row r="783" spans="1:3" ht="13" x14ac:dyDescent="0.15">
      <c r="A783" s="10"/>
      <c r="B783" s="13"/>
      <c r="C783" s="13"/>
    </row>
    <row r="784" spans="1:3" ht="13" x14ac:dyDescent="0.15">
      <c r="A784" s="10"/>
      <c r="B784" s="13"/>
      <c r="C784" s="13"/>
    </row>
    <row r="785" spans="1:3" ht="13" x14ac:dyDescent="0.15">
      <c r="A785" s="10"/>
      <c r="B785" s="13"/>
      <c r="C785" s="13"/>
    </row>
    <row r="786" spans="1:3" ht="13" x14ac:dyDescent="0.15">
      <c r="A786" s="10"/>
      <c r="B786" s="13"/>
      <c r="C786" s="13"/>
    </row>
    <row r="787" spans="1:3" ht="13" x14ac:dyDescent="0.15">
      <c r="A787" s="10"/>
      <c r="B787" s="13"/>
      <c r="C787" s="13"/>
    </row>
    <row r="788" spans="1:3" ht="13" x14ac:dyDescent="0.15">
      <c r="A788" s="10"/>
      <c r="B788" s="13"/>
      <c r="C788" s="13"/>
    </row>
    <row r="789" spans="1:3" ht="13" x14ac:dyDescent="0.15">
      <c r="A789" s="10"/>
      <c r="B789" s="13"/>
      <c r="C789" s="13"/>
    </row>
    <row r="790" spans="1:3" ht="13" x14ac:dyDescent="0.15">
      <c r="A790" s="10"/>
      <c r="B790" s="13"/>
      <c r="C790" s="13"/>
    </row>
    <row r="791" spans="1:3" ht="13" x14ac:dyDescent="0.15">
      <c r="A791" s="10"/>
      <c r="B791" s="13"/>
      <c r="C791" s="13"/>
    </row>
    <row r="792" spans="1:3" ht="13" x14ac:dyDescent="0.15">
      <c r="A792" s="10"/>
      <c r="B792" s="13"/>
      <c r="C792" s="13"/>
    </row>
    <row r="793" spans="1:3" ht="13" x14ac:dyDescent="0.15">
      <c r="A793" s="10"/>
      <c r="B793" s="13"/>
      <c r="C793" s="13"/>
    </row>
    <row r="794" spans="1:3" ht="13" x14ac:dyDescent="0.15">
      <c r="A794" s="10"/>
      <c r="B794" s="13"/>
      <c r="C794" s="13"/>
    </row>
    <row r="795" spans="1:3" ht="13" x14ac:dyDescent="0.15">
      <c r="A795" s="10"/>
      <c r="B795" s="13"/>
      <c r="C795" s="13"/>
    </row>
    <row r="796" spans="1:3" ht="13" x14ac:dyDescent="0.15">
      <c r="A796" s="10"/>
      <c r="B796" s="13"/>
      <c r="C796" s="13"/>
    </row>
    <row r="797" spans="1:3" ht="13" x14ac:dyDescent="0.15">
      <c r="A797" s="10"/>
      <c r="B797" s="13"/>
      <c r="C797" s="13"/>
    </row>
    <row r="798" spans="1:3" ht="13" x14ac:dyDescent="0.15">
      <c r="A798" s="10"/>
      <c r="B798" s="13"/>
      <c r="C798" s="13"/>
    </row>
    <row r="799" spans="1:3" ht="13" x14ac:dyDescent="0.15">
      <c r="A799" s="10"/>
      <c r="B799" s="13"/>
      <c r="C799" s="13"/>
    </row>
    <row r="800" spans="1:3" ht="13" x14ac:dyDescent="0.15">
      <c r="A800" s="10"/>
      <c r="B800" s="13"/>
      <c r="C800" s="13"/>
    </row>
    <row r="801" spans="1:3" ht="13" x14ac:dyDescent="0.15">
      <c r="A801" s="10"/>
      <c r="B801" s="13"/>
      <c r="C801" s="13"/>
    </row>
    <row r="802" spans="1:3" ht="13" x14ac:dyDescent="0.15">
      <c r="A802" s="10"/>
      <c r="B802" s="13"/>
      <c r="C802" s="13"/>
    </row>
    <row r="803" spans="1:3" ht="13" x14ac:dyDescent="0.15">
      <c r="A803" s="10"/>
      <c r="B803" s="13"/>
      <c r="C803" s="13"/>
    </row>
    <row r="804" spans="1:3" ht="13" x14ac:dyDescent="0.15">
      <c r="A804" s="10"/>
      <c r="B804" s="13"/>
      <c r="C804" s="13"/>
    </row>
    <row r="805" spans="1:3" ht="13" x14ac:dyDescent="0.15">
      <c r="A805" s="10"/>
      <c r="B805" s="13"/>
      <c r="C805" s="13"/>
    </row>
    <row r="806" spans="1:3" ht="13" x14ac:dyDescent="0.15">
      <c r="A806" s="10"/>
      <c r="B806" s="13"/>
      <c r="C806" s="13"/>
    </row>
    <row r="807" spans="1:3" ht="13" x14ac:dyDescent="0.15">
      <c r="A807" s="10"/>
      <c r="B807" s="13"/>
      <c r="C807" s="13"/>
    </row>
    <row r="808" spans="1:3" ht="13" x14ac:dyDescent="0.15">
      <c r="A808" s="10"/>
      <c r="B808" s="13"/>
      <c r="C808" s="13"/>
    </row>
    <row r="809" spans="1:3" ht="13" x14ac:dyDescent="0.15">
      <c r="A809" s="10"/>
      <c r="B809" s="13"/>
      <c r="C809" s="13"/>
    </row>
    <row r="810" spans="1:3" ht="13" x14ac:dyDescent="0.15">
      <c r="A810" s="10"/>
      <c r="B810" s="13"/>
      <c r="C810" s="13"/>
    </row>
    <row r="811" spans="1:3" ht="13" x14ac:dyDescent="0.15">
      <c r="A811" s="10"/>
      <c r="B811" s="13"/>
      <c r="C811" s="13"/>
    </row>
    <row r="812" spans="1:3" ht="13" x14ac:dyDescent="0.15">
      <c r="A812" s="10"/>
      <c r="B812" s="13"/>
      <c r="C812" s="13"/>
    </row>
    <row r="813" spans="1:3" ht="13" x14ac:dyDescent="0.15">
      <c r="A813" s="10"/>
      <c r="B813" s="13"/>
      <c r="C813" s="13"/>
    </row>
    <row r="814" spans="1:3" ht="13" x14ac:dyDescent="0.15">
      <c r="A814" s="10"/>
      <c r="B814" s="13"/>
      <c r="C814" s="13"/>
    </row>
    <row r="815" spans="1:3" ht="13" x14ac:dyDescent="0.15">
      <c r="A815" s="10"/>
      <c r="B815" s="13"/>
      <c r="C815" s="13"/>
    </row>
    <row r="816" spans="1:3" ht="13" x14ac:dyDescent="0.15">
      <c r="A816" s="10"/>
      <c r="B816" s="13"/>
      <c r="C816" s="13"/>
    </row>
    <row r="817" spans="1:3" ht="13" x14ac:dyDescent="0.15">
      <c r="A817" s="10"/>
      <c r="B817" s="13"/>
      <c r="C817" s="13"/>
    </row>
    <row r="818" spans="1:3" ht="13" x14ac:dyDescent="0.15">
      <c r="A818" s="10"/>
      <c r="B818" s="13"/>
      <c r="C818" s="13"/>
    </row>
    <row r="819" spans="1:3" ht="13" x14ac:dyDescent="0.15">
      <c r="A819" s="10"/>
      <c r="B819" s="13"/>
      <c r="C819" s="13"/>
    </row>
    <row r="820" spans="1:3" ht="13" x14ac:dyDescent="0.15">
      <c r="A820" s="10"/>
      <c r="B820" s="13"/>
      <c r="C820" s="13"/>
    </row>
    <row r="821" spans="1:3" ht="13" x14ac:dyDescent="0.15">
      <c r="A821" s="10"/>
      <c r="B821" s="13"/>
      <c r="C821" s="13"/>
    </row>
    <row r="822" spans="1:3" ht="13" x14ac:dyDescent="0.15">
      <c r="A822" s="10"/>
      <c r="B822" s="13"/>
      <c r="C822" s="13"/>
    </row>
    <row r="823" spans="1:3" ht="13" x14ac:dyDescent="0.15">
      <c r="A823" s="10"/>
      <c r="B823" s="13"/>
      <c r="C823" s="13"/>
    </row>
    <row r="824" spans="1:3" ht="13" x14ac:dyDescent="0.15">
      <c r="A824" s="10"/>
      <c r="B824" s="13"/>
      <c r="C824" s="13"/>
    </row>
    <row r="825" spans="1:3" ht="13" x14ac:dyDescent="0.15">
      <c r="A825" s="10"/>
      <c r="B825" s="13"/>
      <c r="C825" s="13"/>
    </row>
    <row r="826" spans="1:3" ht="13" x14ac:dyDescent="0.15">
      <c r="A826" s="10"/>
      <c r="B826" s="13"/>
      <c r="C826" s="13"/>
    </row>
    <row r="827" spans="1:3" ht="13" x14ac:dyDescent="0.15">
      <c r="A827" s="10"/>
      <c r="B827" s="13"/>
      <c r="C827" s="13"/>
    </row>
    <row r="828" spans="1:3" ht="13" x14ac:dyDescent="0.15">
      <c r="A828" s="10"/>
      <c r="B828" s="13"/>
      <c r="C828" s="13"/>
    </row>
    <row r="829" spans="1:3" ht="13" x14ac:dyDescent="0.15">
      <c r="A829" s="10"/>
      <c r="B829" s="13"/>
      <c r="C829" s="13"/>
    </row>
    <row r="830" spans="1:3" ht="13" x14ac:dyDescent="0.15">
      <c r="A830" s="10"/>
      <c r="B830" s="13"/>
      <c r="C830" s="13"/>
    </row>
    <row r="831" spans="1:3" ht="13" x14ac:dyDescent="0.15">
      <c r="A831" s="10"/>
      <c r="B831" s="13"/>
      <c r="C831" s="13"/>
    </row>
    <row r="832" spans="1:3" ht="13" x14ac:dyDescent="0.15">
      <c r="A832" s="10"/>
      <c r="B832" s="13"/>
      <c r="C832" s="13"/>
    </row>
    <row r="833" spans="1:3" ht="13" x14ac:dyDescent="0.15">
      <c r="A833" s="10"/>
      <c r="B833" s="13"/>
      <c r="C833" s="13"/>
    </row>
    <row r="834" spans="1:3" ht="13" x14ac:dyDescent="0.15">
      <c r="A834" s="10"/>
      <c r="B834" s="13"/>
      <c r="C834" s="13"/>
    </row>
    <row r="835" spans="1:3" ht="13" x14ac:dyDescent="0.15">
      <c r="A835" s="10"/>
      <c r="B835" s="13"/>
      <c r="C835" s="13"/>
    </row>
    <row r="836" spans="1:3" ht="13" x14ac:dyDescent="0.15">
      <c r="A836" s="10"/>
      <c r="B836" s="13"/>
      <c r="C836" s="13"/>
    </row>
    <row r="837" spans="1:3" ht="13" x14ac:dyDescent="0.15">
      <c r="A837" s="10"/>
      <c r="B837" s="13"/>
      <c r="C837" s="13"/>
    </row>
    <row r="838" spans="1:3" ht="13" x14ac:dyDescent="0.15">
      <c r="A838" s="10"/>
      <c r="B838" s="13"/>
      <c r="C838" s="13"/>
    </row>
    <row r="839" spans="1:3" ht="13" x14ac:dyDescent="0.15">
      <c r="A839" s="10"/>
      <c r="B839" s="13"/>
      <c r="C839" s="13"/>
    </row>
    <row r="840" spans="1:3" ht="13" x14ac:dyDescent="0.15">
      <c r="A840" s="10"/>
      <c r="B840" s="13"/>
      <c r="C840" s="13"/>
    </row>
    <row r="841" spans="1:3" ht="13" x14ac:dyDescent="0.15">
      <c r="A841" s="10"/>
      <c r="B841" s="13"/>
      <c r="C841" s="13"/>
    </row>
    <row r="842" spans="1:3" ht="13" x14ac:dyDescent="0.15">
      <c r="A842" s="10"/>
      <c r="B842" s="13"/>
      <c r="C842" s="13"/>
    </row>
    <row r="843" spans="1:3" ht="13" x14ac:dyDescent="0.15">
      <c r="A843" s="10"/>
      <c r="B843" s="13"/>
      <c r="C843" s="13"/>
    </row>
    <row r="844" spans="1:3" ht="13" x14ac:dyDescent="0.15">
      <c r="A844" s="10"/>
      <c r="B844" s="13"/>
      <c r="C844" s="13"/>
    </row>
    <row r="845" spans="1:3" ht="13" x14ac:dyDescent="0.15">
      <c r="A845" s="10"/>
      <c r="B845" s="13"/>
      <c r="C845" s="13"/>
    </row>
    <row r="846" spans="1:3" ht="13" x14ac:dyDescent="0.15">
      <c r="A846" s="10"/>
      <c r="B846" s="13"/>
      <c r="C846" s="13"/>
    </row>
    <row r="847" spans="1:3" ht="13" x14ac:dyDescent="0.15">
      <c r="A847" s="10"/>
      <c r="B847" s="13"/>
      <c r="C847" s="13"/>
    </row>
    <row r="848" spans="1:3" ht="13" x14ac:dyDescent="0.15">
      <c r="A848" s="10"/>
      <c r="B848" s="13"/>
      <c r="C848" s="13"/>
    </row>
    <row r="849" spans="1:3" ht="13" x14ac:dyDescent="0.15">
      <c r="A849" s="10"/>
      <c r="B849" s="13"/>
      <c r="C849" s="13"/>
    </row>
    <row r="850" spans="1:3" ht="13" x14ac:dyDescent="0.15">
      <c r="A850" s="10"/>
      <c r="B850" s="13"/>
      <c r="C850" s="13"/>
    </row>
    <row r="851" spans="1:3" ht="13" x14ac:dyDescent="0.15">
      <c r="A851" s="10"/>
      <c r="B851" s="13"/>
      <c r="C851" s="13"/>
    </row>
    <row r="852" spans="1:3" ht="13" x14ac:dyDescent="0.15">
      <c r="A852" s="10"/>
      <c r="B852" s="13"/>
      <c r="C852" s="13"/>
    </row>
    <row r="853" spans="1:3" ht="13" x14ac:dyDescent="0.15">
      <c r="A853" s="10"/>
      <c r="B853" s="13"/>
      <c r="C853" s="13"/>
    </row>
    <row r="854" spans="1:3" ht="13" x14ac:dyDescent="0.15">
      <c r="A854" s="10"/>
      <c r="B854" s="13"/>
      <c r="C854" s="13"/>
    </row>
    <row r="855" spans="1:3" ht="13" x14ac:dyDescent="0.15">
      <c r="A855" s="10"/>
      <c r="B855" s="13"/>
      <c r="C855" s="13"/>
    </row>
    <row r="856" spans="1:3" ht="13" x14ac:dyDescent="0.15">
      <c r="A856" s="10"/>
      <c r="B856" s="13"/>
      <c r="C856" s="13"/>
    </row>
    <row r="857" spans="1:3" ht="13" x14ac:dyDescent="0.15">
      <c r="A857" s="10"/>
      <c r="B857" s="13"/>
      <c r="C857" s="13"/>
    </row>
    <row r="858" spans="1:3" ht="13" x14ac:dyDescent="0.15">
      <c r="A858" s="10"/>
      <c r="B858" s="13"/>
      <c r="C858" s="13"/>
    </row>
    <row r="859" spans="1:3" ht="13" x14ac:dyDescent="0.15">
      <c r="A859" s="10"/>
      <c r="B859" s="13"/>
      <c r="C859" s="13"/>
    </row>
    <row r="860" spans="1:3" ht="13" x14ac:dyDescent="0.15">
      <c r="A860" s="10"/>
      <c r="B860" s="13"/>
      <c r="C860" s="13"/>
    </row>
    <row r="861" spans="1:3" ht="13" x14ac:dyDescent="0.15">
      <c r="A861" s="10"/>
      <c r="B861" s="13"/>
      <c r="C861" s="13"/>
    </row>
    <row r="862" spans="1:3" ht="13" x14ac:dyDescent="0.15">
      <c r="A862" s="10"/>
      <c r="B862" s="13"/>
      <c r="C862" s="13"/>
    </row>
    <row r="863" spans="1:3" ht="13" x14ac:dyDescent="0.15">
      <c r="A863" s="10"/>
      <c r="B863" s="13"/>
      <c r="C863" s="13"/>
    </row>
    <row r="864" spans="1:3" ht="13" x14ac:dyDescent="0.15">
      <c r="A864" s="10"/>
      <c r="B864" s="13"/>
      <c r="C864" s="13"/>
    </row>
    <row r="865" spans="1:3" ht="13" x14ac:dyDescent="0.15">
      <c r="A865" s="10"/>
      <c r="B865" s="13"/>
      <c r="C865" s="13"/>
    </row>
    <row r="866" spans="1:3" ht="13" x14ac:dyDescent="0.15">
      <c r="A866" s="10"/>
      <c r="B866" s="13"/>
      <c r="C866" s="13"/>
    </row>
    <row r="867" spans="1:3" ht="13" x14ac:dyDescent="0.15">
      <c r="A867" s="10"/>
      <c r="B867" s="13"/>
      <c r="C867" s="13"/>
    </row>
    <row r="868" spans="1:3" ht="13" x14ac:dyDescent="0.15">
      <c r="A868" s="10"/>
      <c r="B868" s="13"/>
      <c r="C868" s="13"/>
    </row>
    <row r="869" spans="1:3" ht="13" x14ac:dyDescent="0.15">
      <c r="A869" s="10"/>
      <c r="B869" s="13"/>
      <c r="C869" s="13"/>
    </row>
    <row r="870" spans="1:3" ht="13" x14ac:dyDescent="0.15">
      <c r="A870" s="10"/>
      <c r="B870" s="13"/>
      <c r="C870" s="13"/>
    </row>
    <row r="871" spans="1:3" ht="13" x14ac:dyDescent="0.15">
      <c r="A871" s="10"/>
      <c r="B871" s="13"/>
      <c r="C871" s="13"/>
    </row>
    <row r="872" spans="1:3" ht="13" x14ac:dyDescent="0.15">
      <c r="A872" s="10"/>
      <c r="B872" s="13"/>
      <c r="C872" s="13"/>
    </row>
    <row r="873" spans="1:3" ht="13" x14ac:dyDescent="0.15">
      <c r="A873" s="10"/>
      <c r="B873" s="13"/>
      <c r="C873" s="13"/>
    </row>
    <row r="874" spans="1:3" ht="13" x14ac:dyDescent="0.15">
      <c r="A874" s="10"/>
      <c r="B874" s="13"/>
      <c r="C874" s="13"/>
    </row>
    <row r="875" spans="1:3" ht="13" x14ac:dyDescent="0.15">
      <c r="A875" s="10"/>
      <c r="B875" s="13"/>
      <c r="C875" s="13"/>
    </row>
    <row r="876" spans="1:3" ht="13" x14ac:dyDescent="0.15">
      <c r="A876" s="10"/>
      <c r="B876" s="13"/>
      <c r="C876" s="13"/>
    </row>
    <row r="877" spans="1:3" ht="13" x14ac:dyDescent="0.15">
      <c r="A877" s="10"/>
      <c r="B877" s="13"/>
      <c r="C877" s="13"/>
    </row>
    <row r="878" spans="1:3" ht="13" x14ac:dyDescent="0.15">
      <c r="A878" s="10"/>
      <c r="B878" s="13"/>
      <c r="C878" s="13"/>
    </row>
    <row r="879" spans="1:3" ht="13" x14ac:dyDescent="0.15">
      <c r="A879" s="10"/>
      <c r="B879" s="13"/>
      <c r="C879" s="13"/>
    </row>
    <row r="880" spans="1:3" ht="13" x14ac:dyDescent="0.15">
      <c r="A880" s="10"/>
      <c r="B880" s="13"/>
      <c r="C880" s="13"/>
    </row>
    <row r="881" spans="1:3" ht="13" x14ac:dyDescent="0.15">
      <c r="A881" s="10"/>
      <c r="B881" s="13"/>
      <c r="C881" s="13"/>
    </row>
    <row r="882" spans="1:3" ht="13" x14ac:dyDescent="0.15">
      <c r="A882" s="10"/>
      <c r="B882" s="13"/>
      <c r="C882" s="13"/>
    </row>
    <row r="883" spans="1:3" ht="13" x14ac:dyDescent="0.15">
      <c r="A883" s="10"/>
      <c r="B883" s="13"/>
      <c r="C883" s="13"/>
    </row>
    <row r="884" spans="1:3" ht="13" x14ac:dyDescent="0.15">
      <c r="A884" s="10"/>
      <c r="B884" s="13"/>
      <c r="C884" s="13"/>
    </row>
    <row r="885" spans="1:3" ht="13" x14ac:dyDescent="0.15">
      <c r="A885" s="10"/>
      <c r="B885" s="13"/>
      <c r="C885" s="13"/>
    </row>
    <row r="886" spans="1:3" ht="13" x14ac:dyDescent="0.15">
      <c r="A886" s="10"/>
      <c r="B886" s="13"/>
      <c r="C886" s="13"/>
    </row>
    <row r="887" spans="1:3" ht="13" x14ac:dyDescent="0.15">
      <c r="A887" s="10"/>
      <c r="B887" s="13"/>
      <c r="C887" s="13"/>
    </row>
    <row r="888" spans="1:3" ht="13" x14ac:dyDescent="0.15">
      <c r="A888" s="10"/>
      <c r="B888" s="13"/>
      <c r="C888" s="13"/>
    </row>
    <row r="889" spans="1:3" ht="13" x14ac:dyDescent="0.15">
      <c r="A889" s="10"/>
      <c r="B889" s="13"/>
      <c r="C889" s="13"/>
    </row>
    <row r="890" spans="1:3" ht="13" x14ac:dyDescent="0.15">
      <c r="A890" s="10"/>
      <c r="B890" s="13"/>
      <c r="C890" s="13"/>
    </row>
    <row r="891" spans="1:3" ht="13" x14ac:dyDescent="0.15">
      <c r="A891" s="10"/>
      <c r="B891" s="13"/>
      <c r="C891" s="13"/>
    </row>
    <row r="892" spans="1:3" ht="13" x14ac:dyDescent="0.15">
      <c r="A892" s="10"/>
      <c r="B892" s="13"/>
      <c r="C892" s="13"/>
    </row>
    <row r="893" spans="1:3" ht="13" x14ac:dyDescent="0.15">
      <c r="A893" s="10"/>
      <c r="B893" s="13"/>
      <c r="C893" s="13"/>
    </row>
    <row r="894" spans="1:3" ht="13" x14ac:dyDescent="0.15">
      <c r="A894" s="10"/>
      <c r="B894" s="13"/>
      <c r="C894" s="13"/>
    </row>
    <row r="895" spans="1:3" ht="13" x14ac:dyDescent="0.15">
      <c r="A895" s="10"/>
      <c r="B895" s="13"/>
      <c r="C895" s="13"/>
    </row>
    <row r="896" spans="1:3" ht="13" x14ac:dyDescent="0.15">
      <c r="A896" s="10"/>
      <c r="B896" s="13"/>
      <c r="C896" s="13"/>
    </row>
    <row r="897" spans="1:3" ht="13" x14ac:dyDescent="0.15">
      <c r="A897" s="10"/>
      <c r="B897" s="13"/>
      <c r="C897" s="13"/>
    </row>
    <row r="898" spans="1:3" ht="13" x14ac:dyDescent="0.15">
      <c r="A898" s="10"/>
      <c r="B898" s="13"/>
      <c r="C898" s="13"/>
    </row>
    <row r="899" spans="1:3" ht="13" x14ac:dyDescent="0.15">
      <c r="A899" s="10"/>
      <c r="B899" s="13"/>
      <c r="C899" s="13"/>
    </row>
    <row r="900" spans="1:3" ht="13" x14ac:dyDescent="0.15">
      <c r="A900" s="10"/>
      <c r="B900" s="13"/>
      <c r="C900" s="13"/>
    </row>
    <row r="901" spans="1:3" ht="13" x14ac:dyDescent="0.15">
      <c r="A901" s="10"/>
      <c r="B901" s="13"/>
      <c r="C901" s="13"/>
    </row>
    <row r="902" spans="1:3" ht="13" x14ac:dyDescent="0.15">
      <c r="A902" s="10"/>
      <c r="B902" s="13"/>
      <c r="C902" s="13"/>
    </row>
    <row r="903" spans="1:3" ht="13" x14ac:dyDescent="0.15">
      <c r="A903" s="10"/>
      <c r="B903" s="13"/>
      <c r="C903" s="13"/>
    </row>
    <row r="904" spans="1:3" ht="13" x14ac:dyDescent="0.15">
      <c r="A904" s="10"/>
      <c r="B904" s="13"/>
      <c r="C904" s="13"/>
    </row>
    <row r="905" spans="1:3" ht="13" x14ac:dyDescent="0.15">
      <c r="A905" s="10"/>
      <c r="B905" s="13"/>
      <c r="C905" s="13"/>
    </row>
    <row r="906" spans="1:3" ht="13" x14ac:dyDescent="0.15">
      <c r="A906" s="10"/>
      <c r="B906" s="13"/>
      <c r="C906" s="13"/>
    </row>
    <row r="907" spans="1:3" ht="13" x14ac:dyDescent="0.15">
      <c r="A907" s="10"/>
      <c r="B907" s="13"/>
      <c r="C907" s="13"/>
    </row>
    <row r="908" spans="1:3" ht="13" x14ac:dyDescent="0.15">
      <c r="A908" s="10"/>
      <c r="B908" s="13"/>
      <c r="C908" s="13"/>
    </row>
    <row r="909" spans="1:3" ht="13" x14ac:dyDescent="0.15">
      <c r="A909" s="10"/>
      <c r="B909" s="13"/>
      <c r="C909" s="13"/>
    </row>
    <row r="910" spans="1:3" ht="13" x14ac:dyDescent="0.15">
      <c r="A910" s="10"/>
      <c r="B910" s="13"/>
      <c r="C910" s="13"/>
    </row>
    <row r="911" spans="1:3" ht="13" x14ac:dyDescent="0.15">
      <c r="A911" s="10"/>
      <c r="B911" s="13"/>
      <c r="C911" s="13"/>
    </row>
    <row r="912" spans="1:3" ht="13" x14ac:dyDescent="0.15">
      <c r="A912" s="10"/>
      <c r="B912" s="13"/>
      <c r="C912" s="13"/>
    </row>
    <row r="913" spans="1:3" ht="13" x14ac:dyDescent="0.15">
      <c r="A913" s="10"/>
      <c r="B913" s="13"/>
      <c r="C913" s="13"/>
    </row>
    <row r="914" spans="1:3" ht="13" x14ac:dyDescent="0.15">
      <c r="A914" s="10"/>
      <c r="B914" s="13"/>
      <c r="C914" s="13"/>
    </row>
    <row r="915" spans="1:3" ht="13" x14ac:dyDescent="0.15">
      <c r="A915" s="10"/>
      <c r="B915" s="13"/>
      <c r="C915" s="13"/>
    </row>
    <row r="916" spans="1:3" ht="13" x14ac:dyDescent="0.15">
      <c r="A916" s="10"/>
      <c r="B916" s="13"/>
      <c r="C916" s="13"/>
    </row>
    <row r="917" spans="1:3" ht="13" x14ac:dyDescent="0.15">
      <c r="A917" s="10"/>
      <c r="B917" s="13"/>
      <c r="C917" s="13"/>
    </row>
    <row r="918" spans="1:3" ht="13" x14ac:dyDescent="0.15">
      <c r="A918" s="10"/>
      <c r="B918" s="13"/>
      <c r="C918" s="13"/>
    </row>
    <row r="919" spans="1:3" ht="13" x14ac:dyDescent="0.15">
      <c r="A919" s="10"/>
      <c r="B919" s="13"/>
      <c r="C919" s="13"/>
    </row>
    <row r="920" spans="1:3" ht="13" x14ac:dyDescent="0.15">
      <c r="A920" s="10"/>
      <c r="B920" s="13"/>
      <c r="C920" s="13"/>
    </row>
    <row r="921" spans="1:3" ht="13" x14ac:dyDescent="0.15">
      <c r="A921" s="10"/>
      <c r="B921" s="13"/>
      <c r="C921" s="13"/>
    </row>
    <row r="922" spans="1:3" ht="13" x14ac:dyDescent="0.15">
      <c r="A922" s="10"/>
      <c r="B922" s="13"/>
      <c r="C922" s="13"/>
    </row>
    <row r="923" spans="1:3" ht="13" x14ac:dyDescent="0.15">
      <c r="A923" s="10"/>
      <c r="B923" s="13"/>
      <c r="C923" s="13"/>
    </row>
    <row r="924" spans="1:3" ht="13" x14ac:dyDescent="0.15">
      <c r="A924" s="10"/>
      <c r="B924" s="13"/>
      <c r="C924" s="13"/>
    </row>
    <row r="925" spans="1:3" ht="13" x14ac:dyDescent="0.15">
      <c r="A925" s="10"/>
      <c r="B925" s="13"/>
      <c r="C925" s="13"/>
    </row>
    <row r="926" spans="1:3" ht="13" x14ac:dyDescent="0.15">
      <c r="A926" s="10"/>
      <c r="B926" s="13"/>
      <c r="C926" s="13"/>
    </row>
    <row r="927" spans="1:3" ht="13" x14ac:dyDescent="0.15">
      <c r="A927" s="10"/>
      <c r="B927" s="13"/>
      <c r="C927" s="13"/>
    </row>
    <row r="928" spans="1:3" ht="13" x14ac:dyDescent="0.15">
      <c r="A928" s="10"/>
      <c r="B928" s="13"/>
      <c r="C928" s="13"/>
    </row>
    <row r="929" spans="1:3" ht="13" x14ac:dyDescent="0.15">
      <c r="A929" s="10"/>
      <c r="B929" s="13"/>
      <c r="C929" s="13"/>
    </row>
    <row r="930" spans="1:3" ht="13" x14ac:dyDescent="0.15">
      <c r="A930" s="10"/>
      <c r="B930" s="13"/>
      <c r="C930" s="13"/>
    </row>
    <row r="931" spans="1:3" ht="13" x14ac:dyDescent="0.15">
      <c r="A931" s="10"/>
      <c r="B931" s="13"/>
      <c r="C931" s="13"/>
    </row>
    <row r="932" spans="1:3" ht="13" x14ac:dyDescent="0.15">
      <c r="A932" s="10"/>
      <c r="B932" s="13"/>
      <c r="C932" s="13"/>
    </row>
    <row r="933" spans="1:3" ht="13" x14ac:dyDescent="0.15">
      <c r="A933" s="10"/>
      <c r="B933" s="13"/>
      <c r="C933" s="13"/>
    </row>
    <row r="934" spans="1:3" ht="13" x14ac:dyDescent="0.15">
      <c r="A934" s="10"/>
      <c r="B934" s="13"/>
      <c r="C934" s="13"/>
    </row>
    <row r="935" spans="1:3" ht="13" x14ac:dyDescent="0.15">
      <c r="A935" s="10"/>
      <c r="B935" s="13"/>
      <c r="C935" s="13"/>
    </row>
    <row r="936" spans="1:3" ht="13" x14ac:dyDescent="0.15">
      <c r="A936" s="10"/>
      <c r="B936" s="13"/>
      <c r="C936" s="13"/>
    </row>
    <row r="937" spans="1:3" ht="13" x14ac:dyDescent="0.15">
      <c r="A937" s="10"/>
      <c r="B937" s="13"/>
      <c r="C937" s="13"/>
    </row>
    <row r="938" spans="1:3" ht="13" x14ac:dyDescent="0.15">
      <c r="A938" s="10"/>
      <c r="B938" s="13"/>
      <c r="C938" s="13"/>
    </row>
    <row r="939" spans="1:3" ht="13" x14ac:dyDescent="0.15">
      <c r="A939" s="10"/>
      <c r="B939" s="13"/>
      <c r="C939" s="13"/>
    </row>
    <row r="940" spans="1:3" ht="13" x14ac:dyDescent="0.15">
      <c r="A940" s="10"/>
      <c r="B940" s="13"/>
      <c r="C940" s="13"/>
    </row>
    <row r="941" spans="1:3" ht="13" x14ac:dyDescent="0.15">
      <c r="A941" s="10"/>
      <c r="B941" s="13"/>
      <c r="C941" s="13"/>
    </row>
    <row r="942" spans="1:3" ht="13" x14ac:dyDescent="0.15">
      <c r="A942" s="10"/>
      <c r="B942" s="13"/>
      <c r="C942" s="13"/>
    </row>
    <row r="943" spans="1:3" ht="13" x14ac:dyDescent="0.15">
      <c r="A943" s="10"/>
      <c r="B943" s="13"/>
      <c r="C943" s="13"/>
    </row>
    <row r="944" spans="1:3" ht="13" x14ac:dyDescent="0.15">
      <c r="A944" s="10"/>
      <c r="B944" s="13"/>
      <c r="C944" s="13"/>
    </row>
    <row r="945" spans="1:3" ht="13" x14ac:dyDescent="0.15">
      <c r="A945" s="10"/>
      <c r="B945" s="13"/>
      <c r="C945" s="13"/>
    </row>
    <row r="946" spans="1:3" ht="13" x14ac:dyDescent="0.15">
      <c r="A946" s="10"/>
      <c r="B946" s="13"/>
      <c r="C946" s="13"/>
    </row>
    <row r="947" spans="1:3" ht="13" x14ac:dyDescent="0.15">
      <c r="A947" s="10"/>
      <c r="B947" s="13"/>
      <c r="C947" s="13"/>
    </row>
    <row r="948" spans="1:3" ht="13" x14ac:dyDescent="0.15">
      <c r="A948" s="10"/>
      <c r="B948" s="13"/>
      <c r="C948" s="13"/>
    </row>
    <row r="949" spans="1:3" ht="13" x14ac:dyDescent="0.15">
      <c r="A949" s="10"/>
      <c r="B949" s="13"/>
      <c r="C949" s="13"/>
    </row>
    <row r="950" spans="1:3" ht="13" x14ac:dyDescent="0.15">
      <c r="A950" s="10"/>
      <c r="B950" s="13"/>
      <c r="C950" s="13"/>
    </row>
    <row r="951" spans="1:3" ht="13" x14ac:dyDescent="0.15">
      <c r="A951" s="10"/>
      <c r="B951" s="13"/>
      <c r="C951" s="13"/>
    </row>
    <row r="952" spans="1:3" ht="13" x14ac:dyDescent="0.15">
      <c r="A952" s="10"/>
      <c r="B952" s="13"/>
      <c r="C952" s="13"/>
    </row>
    <row r="953" spans="1:3" ht="13" x14ac:dyDescent="0.15">
      <c r="A953" s="10"/>
      <c r="B953" s="13"/>
      <c r="C953" s="13"/>
    </row>
    <row r="954" spans="1:3" ht="13" x14ac:dyDescent="0.15">
      <c r="A954" s="10"/>
      <c r="B954" s="13"/>
      <c r="C954" s="13"/>
    </row>
    <row r="955" spans="1:3" ht="13" x14ac:dyDescent="0.15">
      <c r="A955" s="10"/>
      <c r="B955" s="13"/>
      <c r="C955" s="13"/>
    </row>
    <row r="956" spans="1:3" ht="13" x14ac:dyDescent="0.15">
      <c r="A956" s="10"/>
      <c r="B956" s="13"/>
      <c r="C956" s="13"/>
    </row>
    <row r="957" spans="1:3" ht="13" x14ac:dyDescent="0.15">
      <c r="A957" s="10"/>
      <c r="B957" s="13"/>
      <c r="C957" s="13"/>
    </row>
    <row r="958" spans="1:3" ht="13" x14ac:dyDescent="0.15">
      <c r="A958" s="10"/>
      <c r="B958" s="13"/>
      <c r="C958" s="13"/>
    </row>
    <row r="959" spans="1:3" ht="13" x14ac:dyDescent="0.15">
      <c r="A959" s="10"/>
      <c r="B959" s="13"/>
      <c r="C959" s="13"/>
    </row>
    <row r="960" spans="1:3" ht="13" x14ac:dyDescent="0.15">
      <c r="A960" s="10"/>
      <c r="B960" s="13"/>
      <c r="C960" s="13"/>
    </row>
    <row r="961" spans="1:3" ht="13" x14ac:dyDescent="0.15">
      <c r="A961" s="10"/>
      <c r="B961" s="13"/>
      <c r="C961" s="13"/>
    </row>
    <row r="962" spans="1:3" ht="13" x14ac:dyDescent="0.15">
      <c r="A962" s="10"/>
      <c r="B962" s="13"/>
      <c r="C962" s="13"/>
    </row>
    <row r="963" spans="1:3" ht="13" x14ac:dyDescent="0.15">
      <c r="A963" s="10"/>
      <c r="B963" s="13"/>
      <c r="C963" s="13"/>
    </row>
    <row r="964" spans="1:3" ht="13" x14ac:dyDescent="0.15">
      <c r="A964" s="10"/>
      <c r="B964" s="13"/>
      <c r="C964" s="13"/>
    </row>
    <row r="965" spans="1:3" ht="13" x14ac:dyDescent="0.15">
      <c r="A965" s="10"/>
      <c r="B965" s="13"/>
      <c r="C965" s="13"/>
    </row>
    <row r="966" spans="1:3" ht="13" x14ac:dyDescent="0.15">
      <c r="A966" s="10"/>
      <c r="B966" s="13"/>
      <c r="C966" s="13"/>
    </row>
    <row r="967" spans="1:3" ht="13" x14ac:dyDescent="0.15">
      <c r="A967" s="10"/>
      <c r="B967" s="13"/>
      <c r="C967" s="13"/>
    </row>
    <row r="968" spans="1:3" ht="13" x14ac:dyDescent="0.15">
      <c r="A968" s="10"/>
      <c r="B968" s="13"/>
      <c r="C968" s="13"/>
    </row>
    <row r="969" spans="1:3" ht="13" x14ac:dyDescent="0.15">
      <c r="A969" s="10"/>
      <c r="B969" s="13"/>
      <c r="C969" s="13"/>
    </row>
    <row r="970" spans="1:3" ht="13" x14ac:dyDescent="0.15">
      <c r="A970" s="10"/>
      <c r="B970" s="13"/>
      <c r="C970" s="13"/>
    </row>
    <row r="971" spans="1:3" ht="13" x14ac:dyDescent="0.15">
      <c r="A971" s="10"/>
      <c r="B971" s="13"/>
      <c r="C971" s="13"/>
    </row>
    <row r="972" spans="1:3" ht="13" x14ac:dyDescent="0.15">
      <c r="A972" s="10"/>
      <c r="B972" s="13"/>
      <c r="C972" s="13"/>
    </row>
    <row r="973" spans="1:3" ht="13" x14ac:dyDescent="0.15">
      <c r="A973" s="10"/>
      <c r="B973" s="13"/>
      <c r="C973" s="13"/>
    </row>
    <row r="974" spans="1:3" ht="13" x14ac:dyDescent="0.15">
      <c r="A974" s="10"/>
      <c r="B974" s="13"/>
      <c r="C974" s="13"/>
    </row>
    <row r="975" spans="1:3" ht="13" x14ac:dyDescent="0.15">
      <c r="A975" s="10"/>
      <c r="B975" s="13"/>
      <c r="C975" s="13"/>
    </row>
    <row r="976" spans="1:3" ht="13" x14ac:dyDescent="0.15">
      <c r="A976" s="10"/>
      <c r="B976" s="13"/>
      <c r="C976" s="13"/>
    </row>
    <row r="977" spans="1:3" ht="13" x14ac:dyDescent="0.15">
      <c r="A977" s="10"/>
      <c r="B977" s="13"/>
      <c r="C977" s="13"/>
    </row>
    <row r="978" spans="1:3" ht="13" x14ac:dyDescent="0.15">
      <c r="A978" s="10"/>
      <c r="B978" s="13"/>
      <c r="C978" s="13"/>
    </row>
    <row r="979" spans="1:3" ht="13" x14ac:dyDescent="0.15">
      <c r="A979" s="10"/>
      <c r="B979" s="13"/>
      <c r="C979" s="13"/>
    </row>
    <row r="980" spans="1:3" ht="13" x14ac:dyDescent="0.15">
      <c r="A980" s="10"/>
      <c r="B980" s="13"/>
      <c r="C980" s="13"/>
    </row>
    <row r="981" spans="1:3" ht="13" x14ac:dyDescent="0.15">
      <c r="A981" s="10"/>
      <c r="B981" s="13"/>
      <c r="C981" s="13"/>
    </row>
    <row r="982" spans="1:3" ht="13" x14ac:dyDescent="0.15">
      <c r="A982" s="10"/>
      <c r="B982" s="13"/>
      <c r="C982" s="13"/>
    </row>
    <row r="983" spans="1:3" ht="13" x14ac:dyDescent="0.15">
      <c r="A983" s="10"/>
      <c r="B983" s="13"/>
      <c r="C983" s="13"/>
    </row>
    <row r="984" spans="1:3" ht="13" x14ac:dyDescent="0.15">
      <c r="A984" s="10"/>
      <c r="B984" s="13"/>
      <c r="C984" s="13"/>
    </row>
    <row r="985" spans="1:3" ht="13" x14ac:dyDescent="0.15">
      <c r="A985" s="10"/>
      <c r="B985" s="13"/>
      <c r="C985" s="13"/>
    </row>
    <row r="986" spans="1:3" ht="13" x14ac:dyDescent="0.15">
      <c r="A986" s="10"/>
      <c r="B986" s="13"/>
      <c r="C986" s="13"/>
    </row>
    <row r="987" spans="1:3" ht="13" x14ac:dyDescent="0.15">
      <c r="A987" s="10"/>
      <c r="B987" s="13"/>
      <c r="C987" s="13"/>
    </row>
    <row r="988" spans="1:3" ht="13" x14ac:dyDescent="0.15">
      <c r="A988" s="10"/>
      <c r="B988" s="13"/>
      <c r="C988" s="13"/>
    </row>
    <row r="989" spans="1:3" ht="13" x14ac:dyDescent="0.15">
      <c r="A989" s="10"/>
      <c r="B989" s="13"/>
      <c r="C989" s="13"/>
    </row>
    <row r="990" spans="1:3" ht="13" x14ac:dyDescent="0.15">
      <c r="A990" s="10"/>
      <c r="B990" s="13"/>
      <c r="C990" s="13"/>
    </row>
    <row r="991" spans="1:3" ht="13" x14ac:dyDescent="0.15">
      <c r="A991" s="10"/>
      <c r="B991" s="13"/>
      <c r="C991" s="13"/>
    </row>
    <row r="992" spans="1:3" ht="13" x14ac:dyDescent="0.15">
      <c r="A992" s="10"/>
      <c r="B992" s="13"/>
      <c r="C992" s="13"/>
    </row>
    <row r="993" spans="1:3" ht="13" x14ac:dyDescent="0.15">
      <c r="A993" s="10"/>
      <c r="B993" s="13"/>
      <c r="C993" s="13"/>
    </row>
    <row r="994" spans="1:3" ht="13" x14ac:dyDescent="0.15">
      <c r="A994" s="10"/>
      <c r="B994" s="13"/>
      <c r="C994" s="13"/>
    </row>
    <row r="995" spans="1:3" ht="13" x14ac:dyDescent="0.15">
      <c r="A995" s="10"/>
      <c r="B995" s="13"/>
      <c r="C995" s="13"/>
    </row>
    <row r="996" spans="1:3" ht="13" x14ac:dyDescent="0.15">
      <c r="A996" s="10"/>
      <c r="B996" s="13"/>
      <c r="C996" s="13"/>
    </row>
    <row r="997" spans="1:3" ht="13" x14ac:dyDescent="0.15">
      <c r="A997" s="10"/>
      <c r="B997" s="13"/>
      <c r="C997" s="13"/>
    </row>
  </sheetData>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outlinePr summaryBelow="0" summaryRight="0"/>
  </sheetPr>
  <dimension ref="A1:D997"/>
  <sheetViews>
    <sheetView workbookViewId="0"/>
  </sheetViews>
  <sheetFormatPr baseColWidth="10" defaultColWidth="12.6640625" defaultRowHeight="15.75" customHeight="1" x14ac:dyDescent="0.15"/>
  <cols>
    <col min="1" max="1" width="71.5" customWidth="1"/>
    <col min="2" max="4" width="37.6640625" customWidth="1"/>
  </cols>
  <sheetData>
    <row r="1" spans="1:4" ht="15.75" customHeight="1" x14ac:dyDescent="0.15">
      <c r="A1" s="1"/>
      <c r="B1" s="12" t="str">
        <f ca="1">IFERROR(__xludf.DUMMYFUNCTION("IMPORTRANGE(""https://docs.google.com/spreadsheets/d/13SmE7eku7nG0PwUe_FIOCUfCnXVjPMNZ0Q_x8FW6s5I"",""A75!B1:B22"")"),"Josiah Bolton")</f>
        <v>Josiah Bolton</v>
      </c>
      <c r="C1" s="10" t="str">
        <f ca="1">IFERROR(__xludf.DUMMYFUNCTION("IMPORTRANGE(""https://docs.google.com/spreadsheets/u/0/d/1QLAeYl5D81_Myo-agZdCgYFm7rliPzxg4xkt-QHL9OA"", ""A75!B1:B22"")"),"Rin Godfrey")</f>
        <v>Rin Godfrey</v>
      </c>
      <c r="D1" s="2" t="s">
        <v>1</v>
      </c>
    </row>
    <row r="2" spans="1:4" ht="15.75" customHeight="1" x14ac:dyDescent="0.15">
      <c r="A2" s="3" t="s">
        <v>2</v>
      </c>
      <c r="B2" s="15" t="str">
        <f ca="1">IFERROR(__xludf.DUMMYFUNCTION("""COMPUTED_VALUE"""),"46678-47055 FOR.")</f>
        <v>46678-47055 FOR.</v>
      </c>
      <c r="C2" s="15" t="str">
        <f ca="1">IFERROR(__xludf.DUMMYFUNCTION("""COMPUTED_VALUE"""),"Start: 46678
Stop: 47055 FOR")</f>
        <v>Start: 46678
Stop: 47055 FOR</v>
      </c>
      <c r="D2" s="4"/>
    </row>
    <row r="3" spans="1:4" ht="15.75" customHeight="1" x14ac:dyDescent="0.15">
      <c r="A3" s="5" t="s">
        <v>3</v>
      </c>
      <c r="B3" s="17" t="str">
        <f ca="1">IFERROR(__xludf.DUMMYFUNCTION("""COMPUTED_VALUE"""),"74 in DNA Master
75 on Phamerator map")</f>
        <v>74 in DNA Master
75 on Phamerator map</v>
      </c>
      <c r="C3" s="17" t="str">
        <f ca="1">IFERROR(__xludf.DUMMYFUNCTION("""COMPUTED_VALUE"""),"DNA Master: 74
Phamerator: 75")</f>
        <v>DNA Master: 74
Phamerator: 75</v>
      </c>
      <c r="D3" s="6"/>
    </row>
    <row r="4" spans="1:4" ht="15.75" customHeight="1" x14ac:dyDescent="0.15">
      <c r="A4" s="5" t="s">
        <v>4</v>
      </c>
      <c r="B4" s="17" t="str">
        <f ca="1">IFERROR(__xludf.DUMMYFUNCTION("""COMPUTED_VALUE"""),"212997 3/17/2025")</f>
        <v>212997 3/17/2025</v>
      </c>
      <c r="C4" s="17" t="str">
        <f ca="1">IFERROR(__xludf.DUMMYFUNCTION("""COMPUTED_VALUE"""),"212997 3/17/25")</f>
        <v>212997 3/17/25</v>
      </c>
      <c r="D4" s="6"/>
    </row>
    <row r="5" spans="1:4" ht="15.75" customHeight="1" x14ac:dyDescent="0.15">
      <c r="A5" s="5" t="s">
        <v>5</v>
      </c>
      <c r="B5" s="17" t="str">
        <f ca="1">IFERROR(__xludf.DUMMYFUNCTION("""COMPUTED_VALUE"""),"Kovu 73 and Knarcho 51")</f>
        <v>Kovu 73 and Knarcho 51</v>
      </c>
      <c r="C5" s="17" t="str">
        <f ca="1">IFERROR(__xludf.DUMMYFUNCTION("""COMPUTED_VALUE"""),"Kovu_73
Altadena_29")</f>
        <v>Kovu_73
Altadena_29</v>
      </c>
      <c r="D5" s="6"/>
    </row>
    <row r="6" spans="1:4" ht="15.75" customHeight="1" x14ac:dyDescent="0.15">
      <c r="A6" s="5" t="s">
        <v>6</v>
      </c>
      <c r="B6" s="17" t="str">
        <f ca="1">IFERROR(__xludf.DUMMYFUNCTION("""COMPUTED_VALUE"""),"Both call at 46678.")</f>
        <v>Both call at 46678.</v>
      </c>
      <c r="C6" s="17" t="str">
        <f ca="1">IFERROR(__xludf.DUMMYFUNCTION("""COMPUTED_VALUE"""),"Both, strength 9.11")</f>
        <v>Both, strength 9.11</v>
      </c>
      <c r="D6" s="6"/>
    </row>
    <row r="7" spans="1:4" ht="15.75" customHeight="1" x14ac:dyDescent="0.15">
      <c r="A7" s="5" t="s">
        <v>7</v>
      </c>
      <c r="B7" s="31" t="str">
        <f ca="1">IFERROR(__xludf.DUMMYFUNCTION("""COMPUTED_VALUE"""),"Great coding potential. All coding potential is included.")</f>
        <v>Great coding potential. All coding potential is included.</v>
      </c>
      <c r="C7" s="17" t="str">
        <f ca="1">IFERROR(__xludf.DUMMYFUNCTION("""COMPUTED_VALUE"""),"This has very good coding potential all is included.")</f>
        <v>This has very good coding potential all is included.</v>
      </c>
      <c r="D7" s="6"/>
    </row>
    <row r="8" spans="1:4" ht="15.75" customHeight="1" x14ac:dyDescent="0.15">
      <c r="A8" s="5" t="s">
        <v>8</v>
      </c>
      <c r="B8" s="17" t="str">
        <f ca="1">IFERROR(__xludf.DUMMYFUNCTION("""COMPUTED_VALUE"""),"Yes this is the longest ORF.")</f>
        <v>Yes this is the longest ORF.</v>
      </c>
      <c r="C8" s="17" t="str">
        <f ca="1">IFERROR(__xludf.DUMMYFUNCTION("""COMPUTED_VALUE"""),"Yes there is no other starts to consider.")</f>
        <v>Yes there is no other starts to consider.</v>
      </c>
      <c r="D8" s="6"/>
    </row>
    <row r="9" spans="1:4" ht="15.75" customHeight="1" x14ac:dyDescent="0.15">
      <c r="A9" s="5" t="s">
        <v>9</v>
      </c>
      <c r="B9" s="17" t="str">
        <f ca="1">IFERROR(__xludf.DUMMYFUNCTION("""COMPUTED_VALUE"""),"start matches with stop of previous gene.")</f>
        <v>start matches with stop of previous gene.</v>
      </c>
      <c r="C9" s="17" t="str">
        <f ca="1">IFERROR(__xludf.DUMMYFUNCTION("""COMPUTED_VALUE"""),"The previous gene stops exactly where this gene starts.")</f>
        <v>The previous gene stops exactly where this gene starts.</v>
      </c>
      <c r="D9" s="6"/>
    </row>
    <row r="10" spans="1:4" ht="15.75" customHeight="1" x14ac:dyDescent="0.15">
      <c r="A10" s="5" t="s">
        <v>10</v>
      </c>
      <c r="B10" s="17" t="str">
        <f ca="1">IFERROR(__xludf.DUMMYFUNCTION("""COMPUTED_VALUE"""),"Z value is 2.072 with a final score of -4.409 and this is the best.")</f>
        <v>Z value is 2.072 with a final score of -4.409 and this is the best.</v>
      </c>
      <c r="C10" s="17" t="str">
        <f ca="1">IFERROR(__xludf.DUMMYFUNCTION("""COMPUTED_VALUE"""),"The z-score is 2.136 and F-score -5.503. This is the best score.")</f>
        <v>The z-score is 2.136 and F-score -5.503. This is the best score.</v>
      </c>
      <c r="D10" s="6"/>
    </row>
    <row r="11" spans="1:4" ht="15.75" customHeight="1" x14ac:dyDescent="0.15">
      <c r="A11" s="5" t="s">
        <v>11</v>
      </c>
      <c r="B11" s="17" t="str">
        <f ca="1">IFERROR(__xludf.DUMMYFUNCTION("""COMPUTED_VALUE"""),"Kovu 73 with % identity at 78.40. e value is 1.6e-43 q 1-125: s 1- 125.
Knarcho 51 is with 69.84% identity with e value 2.7e-40 q1 - 125: s 1 -126.")</f>
        <v>Kovu 73 with % identity at 78.40. e value is 1.6e-43 q 1-125: s 1- 125.
Knarcho 51 is with 69.84% identity with e value 2.7e-40 q1 - 125: s 1 -126.</v>
      </c>
      <c r="C11" s="17" t="str">
        <f ca="1">IFERROR(__xludf.DUMMYFUNCTION("""COMPUTED_VALUE"""),"Kovu_73
78.40% identity, 4e-54
Query: 1-125
Target: 1-125")</f>
        <v>Kovu_73
78.40% identity, 4e-54
Query: 1-125
Target: 1-125</v>
      </c>
      <c r="D11" s="6"/>
    </row>
    <row r="12" spans="1:4" ht="15.75" customHeight="1" x14ac:dyDescent="0.15">
      <c r="A12" s="5" t="s">
        <v>12</v>
      </c>
      <c r="B12" s="17" t="str">
        <f ca="1">IFERROR(__xludf.DUMMYFUNCTION("""COMPUTED_VALUE"""),"4 members are at start 12 which is called 100% of time when present.")</f>
        <v>4 members are at start 12 which is called 100% of time when present.</v>
      </c>
      <c r="C12" s="17" t="str">
        <f ca="1">IFERROR(__xludf.DUMMYFUNCTION("""COMPUTED_VALUE"""),"Only found in 20% of the pham. Called 100% of the time when present.")</f>
        <v>Only found in 20% of the pham. Called 100% of the time when present.</v>
      </c>
      <c r="D12" s="6"/>
    </row>
    <row r="13" spans="1:4" ht="15.75" customHeight="1" x14ac:dyDescent="0.15">
      <c r="A13" s="5" t="s">
        <v>13</v>
      </c>
      <c r="B13" s="17" t="str">
        <f ca="1">IFERROR(__xludf.DUMMYFUNCTION("""COMPUTED_VALUE"""),"No start choice this is the best.")</f>
        <v>No start choice this is the best.</v>
      </c>
      <c r="C13" s="17" t="str">
        <f ca="1">IFERROR(__xludf.DUMMYFUNCTION("""COMPUTED_VALUE"""),"No, there is no start to change it to and no reason to.")</f>
        <v>No, there is no start to change it to and no reason to.</v>
      </c>
      <c r="D13" s="6"/>
    </row>
    <row r="14" spans="1:4" ht="15.75" customHeight="1" x14ac:dyDescent="0.15">
      <c r="A14" s="5" t="s">
        <v>14</v>
      </c>
      <c r="B14" s="17" t="str">
        <f ca="1">IFERROR(__xludf.DUMMYFUNCTION("""COMPUTED_VALUE"""),"Kovu 73 e value of 9e-56 and Knarcho 51 e value 2e-46.")</f>
        <v>Kovu 73 e value of 9e-56 and Knarcho 51 e value 2e-46.</v>
      </c>
      <c r="C14" s="17" t="str">
        <f ca="1">IFERROR(__xludf.DUMMYFUNCTION("""COMPUTED_VALUE"""),"Kovu_73, 9e-56
Ottawa_51, 2e-46")</f>
        <v>Kovu_73, 9e-56
Ottawa_51, 2e-46</v>
      </c>
      <c r="D14" s="6"/>
    </row>
    <row r="15" spans="1:4" ht="15.75" customHeight="1" x14ac:dyDescent="0.15">
      <c r="A15" s="5" t="s">
        <v>15</v>
      </c>
      <c r="B15" s="17" t="str">
        <f ca="1">IFERROR(__xludf.DUMMYFUNCTION("""COMPUTED_VALUE"""),"Kovu 73 and Knarcho 51 are both holins.")</f>
        <v>Kovu 73 and Knarcho 51 are both holins.</v>
      </c>
      <c r="C15" s="17" t="str">
        <f ca="1">IFERROR(__xludf.DUMMYFUNCTION("""COMPUTED_VALUE"""),"holin for both Kovu_73 and Ottawa_51")</f>
        <v>holin for both Kovu_73 and Ottawa_51</v>
      </c>
      <c r="D15" s="6"/>
    </row>
    <row r="16" spans="1:4" ht="15.75" customHeight="1" x14ac:dyDescent="0.15">
      <c r="A16" s="5" t="s">
        <v>16</v>
      </c>
      <c r="B16" s="17" t="str">
        <f ca="1">IFERROR(__xludf.DUMMYFUNCTION("""COMPUTED_VALUE"""),"Synteny would be expected. Kovu 73 and Knarcho 51.")</f>
        <v>Synteny would be expected. Kovu 73 and Knarcho 51.</v>
      </c>
      <c r="C16" s="17" t="str">
        <f ca="1">IFERROR(__xludf.DUMMYFUNCTION("""COMPUTED_VALUE"""),"The synteny is really good and matches well with Kovu genes")</f>
        <v>The synteny is really good and matches well with Kovu genes</v>
      </c>
      <c r="D16" s="6"/>
    </row>
    <row r="17" spans="1:4" ht="15.75" customHeight="1" x14ac:dyDescent="0.15">
      <c r="A17" s="5" t="s">
        <v>17</v>
      </c>
      <c r="B17" s="17" t="str">
        <f ca="1">IFERROR(__xludf.DUMMYFUNCTION("""COMPUTED_VALUE"""),"Cell division protein CrgA; CrgA structure, Membrane protein, Hydrated lipid bilayer, CELL CYCLE; NMR {Mycobacterium tuberculosis} Probability: 59.3%, % alignment of query is 43.65% and the alignment of target is 54.46%. 
Functional domain is not in targe"&amp;"t part.")</f>
        <v>Cell division protein CrgA; CrgA structure, Membrane protein, Hydrated lipid bilayer, CELL CYCLE; NMR {Mycobacterium tuberculosis} Probability: 59.3%, % alignment of query is 43.65% and the alignment of target is 54.46%. 
Functional domain is not in target part.</v>
      </c>
      <c r="C17" s="17" t="str">
        <f ca="1">IFERROR(__xludf.DUMMYFUNCTION("""COMPUTED_VALUE"""),"2MMU_A Cell division protein CrgA; CrgA structure, Membrane protein, Hydrated lipid bilayer, CELL CYCLE; NMR {Mycobacterium tuberculosis}
Probability: 58.54%
Q: 44%
T: 54%
The functional domain is not a part of the targeted alignment.")</f>
        <v>2MMU_A Cell division protein CrgA; CrgA structure, Membrane protein, Hydrated lipid bilayer, CELL CYCLE; NMR {Mycobacterium tuberculosis}
Probability: 58.54%
Q: 44%
T: 54%
The functional domain is not a part of the targeted alignment.</v>
      </c>
      <c r="D17" s="6"/>
    </row>
    <row r="18" spans="1:4" ht="15.75" customHeight="1" x14ac:dyDescent="0.15">
      <c r="A18" s="5" t="s">
        <v>18</v>
      </c>
      <c r="B18" s="17" t="str">
        <f ca="1">IFERROR(__xludf.DUMMYFUNCTION("""COMPUTED_VALUE"""),"Not conserved.")</f>
        <v>Not conserved.</v>
      </c>
      <c r="C18" s="17" t="str">
        <f ca="1">IFERROR(__xludf.DUMMYFUNCTION("""COMPUTED_VALUE"""),"none")</f>
        <v>none</v>
      </c>
      <c r="D18" s="6"/>
    </row>
    <row r="19" spans="1:4" ht="15.75" customHeight="1" x14ac:dyDescent="0.15">
      <c r="A19" s="5" t="s">
        <v>19</v>
      </c>
      <c r="B19" s="17" t="str">
        <f ca="1">IFERROR(__xludf.DUMMYFUNCTION("""COMPUTED_VALUE"""),"Query Start (Amino Acid Position): 18
Query End (Amino Acid Position): 36
Type: transmembraneQuery Start (Amino Acid Position): 44
Query End (Amino Acid Position): 62
Type: transmembrane")</f>
        <v>Query Start (Amino Acid Position): 18
Query End (Amino Acid Position): 36
Type: transmembraneQuery Start (Amino Acid Position): 44
Query End (Amino Acid Position): 62
Type: transmembrane</v>
      </c>
      <c r="C19" s="17" t="str">
        <f ca="1">IFERROR(__xludf.DUMMYFUNCTION("""COMPUTED_VALUE"""),"deeptmhmm 
Query Start (Amino Acid Position): 18 
Query End (Amino Acid Position): 36 
Type: transmembrane")</f>
        <v>deeptmhmm 
Query Start (Amino Acid Position): 18 
Query End (Amino Acid Position): 36 
Type: transmembrane</v>
      </c>
      <c r="D19" s="6"/>
    </row>
    <row r="20" spans="1:4" ht="15.75" customHeight="1" x14ac:dyDescent="0.15">
      <c r="A20" s="5" t="s">
        <v>20</v>
      </c>
      <c r="B20" s="17" t="str">
        <f ca="1">IFERROR(__xludf.DUMMYFUNCTION("""COMPUTED_VALUE"""),"holin because there are two transmembrane proteins unlike the others. This matches to Kovu and Knarcho which code for a transmembrane protein in the specific gene.")</f>
        <v>holin because there are two transmembrane proteins unlike the others. This matches to Kovu and Knarcho which code for a transmembrane protein in the specific gene.</v>
      </c>
      <c r="C20" s="17" t="str">
        <f ca="1">IFERROR(__xludf.DUMMYFUNCTION("""COMPUTED_VALUE"""),"holin 
This is because it is a Membrane protein and has two TMHMM it would work out like that as other related genes are also holin functions.")</f>
        <v>holin 
This is because it is a Membrane protein and has two TMHMM it would work out like that as other related genes are also holin functions.</v>
      </c>
      <c r="D20" s="6"/>
    </row>
    <row r="21" spans="1:4" x14ac:dyDescent="0.2">
      <c r="A21" s="7"/>
      <c r="B21" s="19"/>
      <c r="C21" s="19"/>
      <c r="D21" s="8"/>
    </row>
    <row r="22" spans="1:4" ht="15.75" customHeight="1" x14ac:dyDescent="0.15">
      <c r="A22" s="9" t="s">
        <v>21</v>
      </c>
      <c r="B22" s="19"/>
      <c r="C22" s="19"/>
      <c r="D22" s="8"/>
    </row>
    <row r="23" spans="1:4" ht="15.75" customHeight="1" x14ac:dyDescent="0.15">
      <c r="A23" s="10"/>
      <c r="B23" s="13"/>
      <c r="C23" s="13"/>
    </row>
    <row r="24" spans="1:4" ht="15.75" customHeight="1" x14ac:dyDescent="0.15">
      <c r="A24" s="10"/>
      <c r="B24" s="13"/>
      <c r="C24" s="13"/>
    </row>
    <row r="25" spans="1:4" ht="15.75" customHeight="1" x14ac:dyDescent="0.15">
      <c r="A25" s="10"/>
      <c r="B25" s="13"/>
      <c r="C25" s="13"/>
    </row>
    <row r="26" spans="1:4" ht="15.75" customHeight="1" x14ac:dyDescent="0.15">
      <c r="A26" s="10"/>
      <c r="B26" s="13"/>
      <c r="C26" s="13"/>
    </row>
    <row r="27" spans="1:4" ht="15.75" customHeight="1" x14ac:dyDescent="0.15">
      <c r="A27" s="10"/>
      <c r="B27" s="13"/>
      <c r="C27" s="13"/>
    </row>
    <row r="28" spans="1:4" ht="15.75" customHeight="1" x14ac:dyDescent="0.15">
      <c r="A28" s="10"/>
      <c r="B28" s="13"/>
      <c r="C28" s="13"/>
    </row>
    <row r="29" spans="1:4" ht="15.75" customHeight="1" x14ac:dyDescent="0.15">
      <c r="A29" s="10"/>
      <c r="B29" s="13"/>
      <c r="C29" s="13"/>
    </row>
    <row r="30" spans="1:4" ht="15.75" customHeight="1" x14ac:dyDescent="0.15">
      <c r="A30" s="10"/>
      <c r="B30" s="13"/>
      <c r="C30" s="13"/>
    </row>
    <row r="31" spans="1:4" ht="15.75" customHeight="1" x14ac:dyDescent="0.15">
      <c r="A31" s="10"/>
      <c r="B31" s="13"/>
      <c r="C31" s="13"/>
    </row>
    <row r="32" spans="1:4" ht="15.75" customHeight="1" x14ac:dyDescent="0.15">
      <c r="A32" s="10"/>
      <c r="B32" s="13"/>
      <c r="C32" s="13"/>
    </row>
    <row r="33" spans="1:3" ht="15.75" customHeight="1" x14ac:dyDescent="0.15">
      <c r="A33" s="10"/>
      <c r="B33" s="13"/>
      <c r="C33" s="13"/>
    </row>
    <row r="34" spans="1:3" ht="15.75" customHeight="1" x14ac:dyDescent="0.15">
      <c r="A34" s="10"/>
      <c r="B34" s="13"/>
      <c r="C34" s="13"/>
    </row>
    <row r="35" spans="1:3" ht="15.75" customHeight="1" x14ac:dyDescent="0.15">
      <c r="A35" s="10"/>
      <c r="B35" s="13"/>
      <c r="C35" s="13"/>
    </row>
    <row r="36" spans="1:3" ht="15.75" customHeight="1" x14ac:dyDescent="0.15">
      <c r="A36" s="10"/>
      <c r="B36" s="13"/>
      <c r="C36" s="13"/>
    </row>
    <row r="37" spans="1:3" ht="15.75" customHeight="1" x14ac:dyDescent="0.15">
      <c r="A37" s="10"/>
      <c r="B37" s="13"/>
      <c r="C37" s="13"/>
    </row>
    <row r="38" spans="1:3" ht="15.75" customHeight="1" x14ac:dyDescent="0.15">
      <c r="A38" s="10"/>
      <c r="B38" s="13"/>
      <c r="C38" s="13"/>
    </row>
    <row r="39" spans="1:3" ht="13" x14ac:dyDescent="0.15">
      <c r="A39" s="10"/>
      <c r="B39" s="13"/>
      <c r="C39" s="13"/>
    </row>
    <row r="40" spans="1:3" ht="13" x14ac:dyDescent="0.15">
      <c r="A40" s="10"/>
      <c r="B40" s="13"/>
      <c r="C40" s="13"/>
    </row>
    <row r="41" spans="1:3" ht="13" x14ac:dyDescent="0.15">
      <c r="A41" s="10"/>
      <c r="B41" s="13"/>
      <c r="C41" s="13"/>
    </row>
    <row r="42" spans="1:3" ht="13" x14ac:dyDescent="0.15">
      <c r="A42" s="10"/>
      <c r="B42" s="13"/>
      <c r="C42" s="13"/>
    </row>
    <row r="43" spans="1:3" ht="13" x14ac:dyDescent="0.15">
      <c r="A43" s="10"/>
      <c r="B43" s="13"/>
      <c r="C43" s="13"/>
    </row>
    <row r="44" spans="1:3" ht="13" x14ac:dyDescent="0.15">
      <c r="A44" s="10"/>
      <c r="B44" s="13"/>
      <c r="C44" s="13"/>
    </row>
    <row r="45" spans="1:3" ht="13" x14ac:dyDescent="0.15">
      <c r="A45" s="10"/>
      <c r="B45" s="13"/>
      <c r="C45" s="13"/>
    </row>
    <row r="46" spans="1:3" ht="13" x14ac:dyDescent="0.15">
      <c r="A46" s="10"/>
      <c r="B46" s="13"/>
      <c r="C46" s="13"/>
    </row>
    <row r="47" spans="1:3" ht="13" x14ac:dyDescent="0.15">
      <c r="A47" s="10"/>
      <c r="B47" s="13"/>
      <c r="C47" s="13"/>
    </row>
    <row r="48" spans="1:3" ht="13" x14ac:dyDescent="0.15">
      <c r="A48" s="10"/>
      <c r="B48" s="13"/>
      <c r="C48" s="13"/>
    </row>
    <row r="49" spans="1:3" ht="13" x14ac:dyDescent="0.15">
      <c r="A49" s="10"/>
      <c r="B49" s="13"/>
      <c r="C49" s="13"/>
    </row>
    <row r="50" spans="1:3" ht="13" x14ac:dyDescent="0.15">
      <c r="A50" s="10"/>
      <c r="B50" s="13"/>
      <c r="C50" s="13"/>
    </row>
    <row r="51" spans="1:3" ht="13" x14ac:dyDescent="0.15">
      <c r="A51" s="10"/>
      <c r="B51" s="13"/>
      <c r="C51" s="13"/>
    </row>
    <row r="52" spans="1:3" ht="13" x14ac:dyDescent="0.15">
      <c r="A52" s="10"/>
      <c r="B52" s="13"/>
      <c r="C52" s="13"/>
    </row>
    <row r="53" spans="1:3" ht="13" x14ac:dyDescent="0.15">
      <c r="A53" s="10"/>
      <c r="B53" s="13"/>
      <c r="C53" s="13"/>
    </row>
    <row r="54" spans="1:3" ht="13" x14ac:dyDescent="0.15">
      <c r="A54" s="10"/>
      <c r="B54" s="13"/>
      <c r="C54" s="13"/>
    </row>
    <row r="55" spans="1:3" ht="13" x14ac:dyDescent="0.15">
      <c r="A55" s="10"/>
      <c r="B55" s="13"/>
      <c r="C55" s="13"/>
    </row>
    <row r="56" spans="1:3" ht="13" x14ac:dyDescent="0.15">
      <c r="A56" s="10"/>
      <c r="B56" s="13"/>
      <c r="C56" s="13"/>
    </row>
    <row r="57" spans="1:3" ht="13" x14ac:dyDescent="0.15">
      <c r="A57" s="10"/>
      <c r="B57" s="13"/>
      <c r="C57" s="13"/>
    </row>
    <row r="58" spans="1:3" ht="13" x14ac:dyDescent="0.15">
      <c r="A58" s="10"/>
      <c r="B58" s="13"/>
      <c r="C58" s="13"/>
    </row>
    <row r="59" spans="1:3" ht="13" x14ac:dyDescent="0.15">
      <c r="A59" s="10"/>
      <c r="B59" s="13"/>
      <c r="C59" s="13"/>
    </row>
    <row r="60" spans="1:3" ht="13" x14ac:dyDescent="0.15">
      <c r="A60" s="10"/>
      <c r="B60" s="13"/>
      <c r="C60" s="13"/>
    </row>
    <row r="61" spans="1:3" ht="13" x14ac:dyDescent="0.15">
      <c r="A61" s="10"/>
      <c r="B61" s="13"/>
      <c r="C61" s="13"/>
    </row>
    <row r="62" spans="1:3" ht="13" x14ac:dyDescent="0.15">
      <c r="A62" s="10"/>
      <c r="B62" s="13"/>
      <c r="C62" s="13"/>
    </row>
    <row r="63" spans="1:3" ht="13" x14ac:dyDescent="0.15">
      <c r="A63" s="10"/>
      <c r="B63" s="13"/>
      <c r="C63" s="13"/>
    </row>
    <row r="64" spans="1:3" ht="13" x14ac:dyDescent="0.15">
      <c r="A64" s="10"/>
      <c r="B64" s="13"/>
      <c r="C64" s="13"/>
    </row>
    <row r="65" spans="1:3" ht="13" x14ac:dyDescent="0.15">
      <c r="A65" s="10"/>
      <c r="B65" s="13"/>
      <c r="C65" s="13"/>
    </row>
    <row r="66" spans="1:3" ht="13" x14ac:dyDescent="0.15">
      <c r="A66" s="10"/>
      <c r="B66" s="13"/>
      <c r="C66" s="13"/>
    </row>
    <row r="67" spans="1:3" ht="13" x14ac:dyDescent="0.15">
      <c r="A67" s="10"/>
      <c r="B67" s="13"/>
      <c r="C67" s="13"/>
    </row>
    <row r="68" spans="1:3" ht="13" x14ac:dyDescent="0.15">
      <c r="A68" s="10"/>
      <c r="B68" s="13"/>
      <c r="C68" s="13"/>
    </row>
    <row r="69" spans="1:3" ht="13" x14ac:dyDescent="0.15">
      <c r="A69" s="10"/>
      <c r="B69" s="13"/>
      <c r="C69" s="13"/>
    </row>
    <row r="70" spans="1:3" ht="13" x14ac:dyDescent="0.15">
      <c r="A70" s="10"/>
      <c r="B70" s="13"/>
      <c r="C70" s="13"/>
    </row>
    <row r="71" spans="1:3" ht="13" x14ac:dyDescent="0.15">
      <c r="A71" s="10"/>
      <c r="B71" s="13"/>
      <c r="C71" s="13"/>
    </row>
    <row r="72" spans="1:3" ht="13" x14ac:dyDescent="0.15">
      <c r="A72" s="10"/>
      <c r="B72" s="13"/>
      <c r="C72" s="13"/>
    </row>
    <row r="73" spans="1:3" ht="13" x14ac:dyDescent="0.15">
      <c r="A73" s="10"/>
      <c r="B73" s="13"/>
      <c r="C73" s="13"/>
    </row>
    <row r="74" spans="1:3" ht="13" x14ac:dyDescent="0.15">
      <c r="A74" s="10"/>
      <c r="B74" s="13"/>
      <c r="C74" s="13"/>
    </row>
    <row r="75" spans="1:3" ht="13" x14ac:dyDescent="0.15">
      <c r="A75" s="10"/>
      <c r="B75" s="13"/>
      <c r="C75" s="13"/>
    </row>
    <row r="76" spans="1:3" ht="13" x14ac:dyDescent="0.15">
      <c r="A76" s="10"/>
      <c r="B76" s="13"/>
      <c r="C76" s="13"/>
    </row>
    <row r="77" spans="1:3" ht="13" x14ac:dyDescent="0.15">
      <c r="A77" s="10"/>
      <c r="B77" s="13"/>
      <c r="C77" s="13"/>
    </row>
    <row r="78" spans="1:3" ht="13" x14ac:dyDescent="0.15">
      <c r="A78" s="10"/>
      <c r="B78" s="13"/>
      <c r="C78" s="13"/>
    </row>
    <row r="79" spans="1:3" ht="13" x14ac:dyDescent="0.15">
      <c r="A79" s="10"/>
      <c r="B79" s="13"/>
      <c r="C79" s="13"/>
    </row>
    <row r="80" spans="1:3" ht="13" x14ac:dyDescent="0.15">
      <c r="A80" s="10"/>
      <c r="B80" s="13"/>
      <c r="C80" s="13"/>
    </row>
    <row r="81" spans="1:3" ht="13" x14ac:dyDescent="0.15">
      <c r="A81" s="10"/>
      <c r="B81" s="13"/>
      <c r="C81" s="13"/>
    </row>
    <row r="82" spans="1:3" ht="13" x14ac:dyDescent="0.15">
      <c r="A82" s="10"/>
      <c r="B82" s="13"/>
      <c r="C82" s="13"/>
    </row>
    <row r="83" spans="1:3" ht="13" x14ac:dyDescent="0.15">
      <c r="A83" s="10"/>
      <c r="B83" s="13"/>
      <c r="C83" s="13"/>
    </row>
    <row r="84" spans="1:3" ht="13" x14ac:dyDescent="0.15">
      <c r="A84" s="10"/>
      <c r="B84" s="13"/>
      <c r="C84" s="13"/>
    </row>
    <row r="85" spans="1:3" ht="13" x14ac:dyDescent="0.15">
      <c r="A85" s="10"/>
      <c r="B85" s="13"/>
      <c r="C85" s="13"/>
    </row>
    <row r="86" spans="1:3" ht="13" x14ac:dyDescent="0.15">
      <c r="A86" s="10"/>
      <c r="B86" s="13"/>
      <c r="C86" s="13"/>
    </row>
    <row r="87" spans="1:3" ht="13" x14ac:dyDescent="0.15">
      <c r="A87" s="10"/>
      <c r="B87" s="13"/>
      <c r="C87" s="13"/>
    </row>
    <row r="88" spans="1:3" ht="13" x14ac:dyDescent="0.15">
      <c r="A88" s="10"/>
      <c r="B88" s="13"/>
      <c r="C88" s="13"/>
    </row>
    <row r="89" spans="1:3" ht="13" x14ac:dyDescent="0.15">
      <c r="A89" s="10"/>
      <c r="B89" s="13"/>
      <c r="C89" s="13"/>
    </row>
    <row r="90" spans="1:3" ht="13" x14ac:dyDescent="0.15">
      <c r="A90" s="10"/>
      <c r="B90" s="13"/>
      <c r="C90" s="13"/>
    </row>
    <row r="91" spans="1:3" ht="13" x14ac:dyDescent="0.15">
      <c r="A91" s="10"/>
      <c r="B91" s="13"/>
      <c r="C91" s="13"/>
    </row>
    <row r="92" spans="1:3" ht="13" x14ac:dyDescent="0.15">
      <c r="A92" s="10"/>
      <c r="B92" s="13"/>
      <c r="C92" s="13"/>
    </row>
    <row r="93" spans="1:3" ht="13" x14ac:dyDescent="0.15">
      <c r="A93" s="10"/>
      <c r="B93" s="13"/>
      <c r="C93" s="13"/>
    </row>
    <row r="94" spans="1:3" ht="13" x14ac:dyDescent="0.15">
      <c r="A94" s="10"/>
      <c r="B94" s="13"/>
      <c r="C94" s="13"/>
    </row>
    <row r="95" spans="1:3" ht="13" x14ac:dyDescent="0.15">
      <c r="A95" s="10"/>
      <c r="B95" s="13"/>
      <c r="C95" s="13"/>
    </row>
    <row r="96" spans="1:3" ht="13" x14ac:dyDescent="0.15">
      <c r="A96" s="10"/>
      <c r="B96" s="13"/>
      <c r="C96" s="13"/>
    </row>
    <row r="97" spans="1:3" ht="13" x14ac:dyDescent="0.15">
      <c r="A97" s="10"/>
      <c r="B97" s="13"/>
      <c r="C97" s="13"/>
    </row>
    <row r="98" spans="1:3" ht="13" x14ac:dyDescent="0.15">
      <c r="A98" s="10"/>
      <c r="B98" s="13"/>
      <c r="C98" s="13"/>
    </row>
    <row r="99" spans="1:3" ht="13" x14ac:dyDescent="0.15">
      <c r="A99" s="10"/>
      <c r="B99" s="13"/>
      <c r="C99" s="13"/>
    </row>
    <row r="100" spans="1:3" ht="13" x14ac:dyDescent="0.15">
      <c r="A100" s="10"/>
      <c r="B100" s="13"/>
      <c r="C100" s="13"/>
    </row>
    <row r="101" spans="1:3" ht="13" x14ac:dyDescent="0.15">
      <c r="A101" s="10"/>
      <c r="B101" s="13"/>
      <c r="C101" s="13"/>
    </row>
    <row r="102" spans="1:3" ht="13" x14ac:dyDescent="0.15">
      <c r="A102" s="10"/>
      <c r="B102" s="13"/>
      <c r="C102" s="13"/>
    </row>
    <row r="103" spans="1:3" ht="13" x14ac:dyDescent="0.15">
      <c r="A103" s="10"/>
      <c r="B103" s="13"/>
      <c r="C103" s="13"/>
    </row>
    <row r="104" spans="1:3" ht="13" x14ac:dyDescent="0.15">
      <c r="A104" s="10"/>
      <c r="B104" s="13"/>
      <c r="C104" s="13"/>
    </row>
    <row r="105" spans="1:3" ht="13" x14ac:dyDescent="0.15">
      <c r="A105" s="10"/>
      <c r="B105" s="13"/>
      <c r="C105" s="13"/>
    </row>
    <row r="106" spans="1:3" ht="13" x14ac:dyDescent="0.15">
      <c r="A106" s="10"/>
      <c r="B106" s="13"/>
      <c r="C106" s="13"/>
    </row>
    <row r="107" spans="1:3" ht="13" x14ac:dyDescent="0.15">
      <c r="A107" s="10"/>
      <c r="B107" s="13"/>
      <c r="C107" s="13"/>
    </row>
    <row r="108" spans="1:3" ht="13" x14ac:dyDescent="0.15">
      <c r="A108" s="10"/>
      <c r="B108" s="13"/>
      <c r="C108" s="13"/>
    </row>
    <row r="109" spans="1:3" ht="13" x14ac:dyDescent="0.15">
      <c r="A109" s="10"/>
      <c r="B109" s="13"/>
      <c r="C109" s="13"/>
    </row>
    <row r="110" spans="1:3" ht="13" x14ac:dyDescent="0.15">
      <c r="A110" s="10"/>
      <c r="B110" s="13"/>
      <c r="C110" s="13"/>
    </row>
    <row r="111" spans="1:3" ht="13" x14ac:dyDescent="0.15">
      <c r="A111" s="10"/>
      <c r="B111" s="13"/>
      <c r="C111" s="13"/>
    </row>
    <row r="112" spans="1:3" ht="13" x14ac:dyDescent="0.15">
      <c r="A112" s="10"/>
      <c r="B112" s="13"/>
      <c r="C112" s="13"/>
    </row>
    <row r="113" spans="1:3" ht="13" x14ac:dyDescent="0.15">
      <c r="A113" s="10"/>
      <c r="B113" s="13"/>
      <c r="C113" s="13"/>
    </row>
    <row r="114" spans="1:3" ht="13" x14ac:dyDescent="0.15">
      <c r="A114" s="10"/>
      <c r="B114" s="13"/>
      <c r="C114" s="13"/>
    </row>
    <row r="115" spans="1:3" ht="13" x14ac:dyDescent="0.15">
      <c r="A115" s="10"/>
      <c r="B115" s="13"/>
      <c r="C115" s="13"/>
    </row>
    <row r="116" spans="1:3" ht="13" x14ac:dyDescent="0.15">
      <c r="A116" s="10"/>
      <c r="B116" s="13"/>
      <c r="C116" s="13"/>
    </row>
    <row r="117" spans="1:3" ht="13" x14ac:dyDescent="0.15">
      <c r="A117" s="10"/>
      <c r="B117" s="13"/>
      <c r="C117" s="13"/>
    </row>
    <row r="118" spans="1:3" ht="13" x14ac:dyDescent="0.15">
      <c r="A118" s="10"/>
      <c r="B118" s="13"/>
      <c r="C118" s="13"/>
    </row>
    <row r="119" spans="1:3" ht="13" x14ac:dyDescent="0.15">
      <c r="A119" s="10"/>
      <c r="B119" s="13"/>
      <c r="C119" s="13"/>
    </row>
    <row r="120" spans="1:3" ht="13" x14ac:dyDescent="0.15">
      <c r="A120" s="10"/>
      <c r="B120" s="13"/>
      <c r="C120" s="13"/>
    </row>
    <row r="121" spans="1:3" ht="13" x14ac:dyDescent="0.15">
      <c r="A121" s="10"/>
      <c r="B121" s="13"/>
      <c r="C121" s="13"/>
    </row>
    <row r="122" spans="1:3" ht="13" x14ac:dyDescent="0.15">
      <c r="A122" s="10"/>
      <c r="B122" s="13"/>
      <c r="C122" s="13"/>
    </row>
    <row r="123" spans="1:3" ht="13" x14ac:dyDescent="0.15">
      <c r="A123" s="10"/>
      <c r="B123" s="13"/>
      <c r="C123" s="13"/>
    </row>
    <row r="124" spans="1:3" ht="13" x14ac:dyDescent="0.15">
      <c r="A124" s="10"/>
      <c r="B124" s="13"/>
      <c r="C124" s="13"/>
    </row>
    <row r="125" spans="1:3" ht="13" x14ac:dyDescent="0.15">
      <c r="A125" s="10"/>
      <c r="B125" s="13"/>
      <c r="C125" s="13"/>
    </row>
    <row r="126" spans="1:3" ht="13" x14ac:dyDescent="0.15">
      <c r="A126" s="10"/>
      <c r="B126" s="13"/>
      <c r="C126" s="13"/>
    </row>
    <row r="127" spans="1:3" ht="13" x14ac:dyDescent="0.15">
      <c r="A127" s="10"/>
      <c r="B127" s="13"/>
      <c r="C127" s="13"/>
    </row>
    <row r="128" spans="1:3" ht="13" x14ac:dyDescent="0.15">
      <c r="A128" s="10"/>
      <c r="B128" s="13"/>
      <c r="C128" s="13"/>
    </row>
    <row r="129" spans="1:3" ht="13" x14ac:dyDescent="0.15">
      <c r="A129" s="10"/>
      <c r="B129" s="13"/>
      <c r="C129" s="13"/>
    </row>
    <row r="130" spans="1:3" ht="13" x14ac:dyDescent="0.15">
      <c r="A130" s="10"/>
      <c r="B130" s="13"/>
      <c r="C130" s="13"/>
    </row>
    <row r="131" spans="1:3" ht="13" x14ac:dyDescent="0.15">
      <c r="A131" s="10"/>
      <c r="B131" s="13"/>
      <c r="C131" s="13"/>
    </row>
    <row r="132" spans="1:3" ht="13" x14ac:dyDescent="0.15">
      <c r="A132" s="10"/>
      <c r="B132" s="13"/>
      <c r="C132" s="13"/>
    </row>
    <row r="133" spans="1:3" ht="13" x14ac:dyDescent="0.15">
      <c r="A133" s="10"/>
      <c r="B133" s="13"/>
      <c r="C133" s="13"/>
    </row>
    <row r="134" spans="1:3" ht="13" x14ac:dyDescent="0.15">
      <c r="A134" s="10"/>
      <c r="B134" s="13"/>
      <c r="C134" s="13"/>
    </row>
    <row r="135" spans="1:3" ht="13" x14ac:dyDescent="0.15">
      <c r="A135" s="10"/>
      <c r="B135" s="13"/>
      <c r="C135" s="13"/>
    </row>
    <row r="136" spans="1:3" ht="13" x14ac:dyDescent="0.15">
      <c r="A136" s="10"/>
      <c r="B136" s="13"/>
      <c r="C136" s="13"/>
    </row>
    <row r="137" spans="1:3" ht="13" x14ac:dyDescent="0.15">
      <c r="A137" s="10"/>
      <c r="B137" s="13"/>
      <c r="C137" s="13"/>
    </row>
    <row r="138" spans="1:3" ht="13" x14ac:dyDescent="0.15">
      <c r="A138" s="10"/>
      <c r="B138" s="13"/>
      <c r="C138" s="13"/>
    </row>
    <row r="139" spans="1:3" ht="13" x14ac:dyDescent="0.15">
      <c r="A139" s="10"/>
      <c r="B139" s="13"/>
      <c r="C139" s="13"/>
    </row>
    <row r="140" spans="1:3" ht="13" x14ac:dyDescent="0.15">
      <c r="A140" s="10"/>
      <c r="B140" s="13"/>
      <c r="C140" s="13"/>
    </row>
    <row r="141" spans="1:3" ht="13" x14ac:dyDescent="0.15">
      <c r="A141" s="10"/>
      <c r="B141" s="13"/>
      <c r="C141" s="13"/>
    </row>
    <row r="142" spans="1:3" ht="13" x14ac:dyDescent="0.15">
      <c r="A142" s="10"/>
      <c r="B142" s="13"/>
      <c r="C142" s="13"/>
    </row>
    <row r="143" spans="1:3" ht="13" x14ac:dyDescent="0.15">
      <c r="A143" s="10"/>
      <c r="B143" s="13"/>
      <c r="C143" s="13"/>
    </row>
    <row r="144" spans="1:3" ht="13" x14ac:dyDescent="0.15">
      <c r="A144" s="10"/>
      <c r="B144" s="13"/>
      <c r="C144" s="13"/>
    </row>
    <row r="145" spans="1:3" ht="13" x14ac:dyDescent="0.15">
      <c r="A145" s="10"/>
      <c r="B145" s="13"/>
      <c r="C145" s="13"/>
    </row>
    <row r="146" spans="1:3" ht="13" x14ac:dyDescent="0.15">
      <c r="A146" s="10"/>
      <c r="B146" s="13"/>
      <c r="C146" s="13"/>
    </row>
    <row r="147" spans="1:3" ht="13" x14ac:dyDescent="0.15">
      <c r="A147" s="10"/>
      <c r="B147" s="13"/>
      <c r="C147" s="13"/>
    </row>
    <row r="148" spans="1:3" ht="13" x14ac:dyDescent="0.15">
      <c r="A148" s="10"/>
      <c r="B148" s="13"/>
      <c r="C148" s="13"/>
    </row>
    <row r="149" spans="1:3" ht="13" x14ac:dyDescent="0.15">
      <c r="A149" s="10"/>
      <c r="B149" s="13"/>
      <c r="C149" s="13"/>
    </row>
    <row r="150" spans="1:3" ht="13" x14ac:dyDescent="0.15">
      <c r="A150" s="10"/>
      <c r="B150" s="13"/>
      <c r="C150" s="13"/>
    </row>
    <row r="151" spans="1:3" ht="13" x14ac:dyDescent="0.15">
      <c r="A151" s="10"/>
      <c r="B151" s="13"/>
      <c r="C151" s="13"/>
    </row>
    <row r="152" spans="1:3" ht="13" x14ac:dyDescent="0.15">
      <c r="A152" s="10"/>
      <c r="B152" s="13"/>
      <c r="C152" s="13"/>
    </row>
    <row r="153" spans="1:3" ht="13" x14ac:dyDescent="0.15">
      <c r="A153" s="10"/>
      <c r="B153" s="13"/>
      <c r="C153" s="13"/>
    </row>
    <row r="154" spans="1:3" ht="13" x14ac:dyDescent="0.15">
      <c r="A154" s="10"/>
      <c r="B154" s="13"/>
      <c r="C154" s="13"/>
    </row>
    <row r="155" spans="1:3" ht="13" x14ac:dyDescent="0.15">
      <c r="A155" s="10"/>
      <c r="B155" s="13"/>
      <c r="C155" s="13"/>
    </row>
    <row r="156" spans="1:3" ht="13" x14ac:dyDescent="0.15">
      <c r="A156" s="10"/>
      <c r="B156" s="13"/>
      <c r="C156" s="13"/>
    </row>
    <row r="157" spans="1:3" ht="13" x14ac:dyDescent="0.15">
      <c r="A157" s="10"/>
      <c r="B157" s="13"/>
      <c r="C157" s="13"/>
    </row>
    <row r="158" spans="1:3" ht="13" x14ac:dyDescent="0.15">
      <c r="A158" s="10"/>
      <c r="B158" s="13"/>
      <c r="C158" s="13"/>
    </row>
    <row r="159" spans="1:3" ht="13" x14ac:dyDescent="0.15">
      <c r="A159" s="10"/>
      <c r="B159" s="13"/>
      <c r="C159" s="13"/>
    </row>
    <row r="160" spans="1:3" ht="13" x14ac:dyDescent="0.15">
      <c r="A160" s="10"/>
      <c r="B160" s="13"/>
      <c r="C160" s="13"/>
    </row>
    <row r="161" spans="1:3" ht="13" x14ac:dyDescent="0.15">
      <c r="A161" s="10"/>
      <c r="B161" s="13"/>
      <c r="C161" s="13"/>
    </row>
    <row r="162" spans="1:3" ht="13" x14ac:dyDescent="0.15">
      <c r="A162" s="10"/>
      <c r="B162" s="13"/>
      <c r="C162" s="13"/>
    </row>
    <row r="163" spans="1:3" ht="13" x14ac:dyDescent="0.15">
      <c r="A163" s="10"/>
      <c r="B163" s="13"/>
      <c r="C163" s="13"/>
    </row>
    <row r="164" spans="1:3" ht="13" x14ac:dyDescent="0.15">
      <c r="A164" s="10"/>
      <c r="B164" s="13"/>
      <c r="C164" s="13"/>
    </row>
    <row r="165" spans="1:3" ht="13" x14ac:dyDescent="0.15">
      <c r="A165" s="10"/>
      <c r="B165" s="13"/>
      <c r="C165" s="13"/>
    </row>
    <row r="166" spans="1:3" ht="13" x14ac:dyDescent="0.15">
      <c r="A166" s="10"/>
      <c r="B166" s="13"/>
      <c r="C166" s="13"/>
    </row>
    <row r="167" spans="1:3" ht="13" x14ac:dyDescent="0.15">
      <c r="A167" s="10"/>
      <c r="B167" s="13"/>
      <c r="C167" s="13"/>
    </row>
    <row r="168" spans="1:3" ht="13" x14ac:dyDescent="0.15">
      <c r="A168" s="10"/>
      <c r="B168" s="13"/>
      <c r="C168" s="13"/>
    </row>
    <row r="169" spans="1:3" ht="13" x14ac:dyDescent="0.15">
      <c r="A169" s="10"/>
      <c r="B169" s="13"/>
      <c r="C169" s="13"/>
    </row>
    <row r="170" spans="1:3" ht="13" x14ac:dyDescent="0.15">
      <c r="A170" s="10"/>
      <c r="B170" s="13"/>
      <c r="C170" s="13"/>
    </row>
    <row r="171" spans="1:3" ht="13" x14ac:dyDescent="0.15">
      <c r="A171" s="10"/>
      <c r="B171" s="13"/>
      <c r="C171" s="13"/>
    </row>
    <row r="172" spans="1:3" ht="13" x14ac:dyDescent="0.15">
      <c r="A172" s="10"/>
      <c r="B172" s="13"/>
      <c r="C172" s="13"/>
    </row>
    <row r="173" spans="1:3" ht="13" x14ac:dyDescent="0.15">
      <c r="A173" s="10"/>
      <c r="B173" s="13"/>
      <c r="C173" s="13"/>
    </row>
    <row r="174" spans="1:3" ht="13" x14ac:dyDescent="0.15">
      <c r="A174" s="10"/>
      <c r="B174" s="13"/>
      <c r="C174" s="13"/>
    </row>
    <row r="175" spans="1:3" ht="13" x14ac:dyDescent="0.15">
      <c r="A175" s="10"/>
      <c r="B175" s="13"/>
      <c r="C175" s="13"/>
    </row>
    <row r="176" spans="1:3" ht="13" x14ac:dyDescent="0.15">
      <c r="A176" s="10"/>
      <c r="B176" s="13"/>
      <c r="C176" s="13"/>
    </row>
    <row r="177" spans="1:3" ht="13" x14ac:dyDescent="0.15">
      <c r="A177" s="10"/>
      <c r="B177" s="13"/>
      <c r="C177" s="13"/>
    </row>
    <row r="178" spans="1:3" ht="13" x14ac:dyDescent="0.15">
      <c r="A178" s="10"/>
      <c r="B178" s="13"/>
      <c r="C178" s="13"/>
    </row>
    <row r="179" spans="1:3" ht="13" x14ac:dyDescent="0.15">
      <c r="A179" s="10"/>
      <c r="B179" s="13"/>
      <c r="C179" s="13"/>
    </row>
    <row r="180" spans="1:3" ht="13" x14ac:dyDescent="0.15">
      <c r="A180" s="10"/>
      <c r="B180" s="13"/>
      <c r="C180" s="13"/>
    </row>
    <row r="181" spans="1:3" ht="13" x14ac:dyDescent="0.15">
      <c r="A181" s="10"/>
      <c r="B181" s="13"/>
      <c r="C181" s="13"/>
    </row>
    <row r="182" spans="1:3" ht="13" x14ac:dyDescent="0.15">
      <c r="A182" s="10"/>
      <c r="B182" s="13"/>
      <c r="C182" s="13"/>
    </row>
    <row r="183" spans="1:3" ht="13" x14ac:dyDescent="0.15">
      <c r="A183" s="10"/>
      <c r="B183" s="13"/>
      <c r="C183" s="13"/>
    </row>
    <row r="184" spans="1:3" ht="13" x14ac:dyDescent="0.15">
      <c r="A184" s="10"/>
      <c r="B184" s="13"/>
      <c r="C184" s="13"/>
    </row>
    <row r="185" spans="1:3" ht="13" x14ac:dyDescent="0.15">
      <c r="A185" s="10"/>
      <c r="B185" s="13"/>
      <c r="C185" s="13"/>
    </row>
    <row r="186" spans="1:3" ht="13" x14ac:dyDescent="0.15">
      <c r="A186" s="10"/>
      <c r="B186" s="13"/>
      <c r="C186" s="13"/>
    </row>
    <row r="187" spans="1:3" ht="13" x14ac:dyDescent="0.15">
      <c r="A187" s="10"/>
      <c r="B187" s="13"/>
      <c r="C187" s="13"/>
    </row>
    <row r="188" spans="1:3" ht="13" x14ac:dyDescent="0.15">
      <c r="A188" s="10"/>
      <c r="B188" s="13"/>
      <c r="C188" s="13"/>
    </row>
    <row r="189" spans="1:3" ht="13" x14ac:dyDescent="0.15">
      <c r="A189" s="10"/>
      <c r="B189" s="13"/>
      <c r="C189" s="13"/>
    </row>
    <row r="190" spans="1:3" ht="13" x14ac:dyDescent="0.15">
      <c r="A190" s="10"/>
      <c r="B190" s="13"/>
      <c r="C190" s="13"/>
    </row>
    <row r="191" spans="1:3" ht="13" x14ac:dyDescent="0.15">
      <c r="A191" s="10"/>
      <c r="B191" s="13"/>
      <c r="C191" s="13"/>
    </row>
    <row r="192" spans="1:3" ht="13" x14ac:dyDescent="0.15">
      <c r="A192" s="10"/>
      <c r="B192" s="13"/>
      <c r="C192" s="13"/>
    </row>
    <row r="193" spans="1:3" ht="13" x14ac:dyDescent="0.15">
      <c r="A193" s="10"/>
      <c r="B193" s="13"/>
      <c r="C193" s="13"/>
    </row>
    <row r="194" spans="1:3" ht="13" x14ac:dyDescent="0.15">
      <c r="A194" s="10"/>
      <c r="B194" s="13"/>
      <c r="C194" s="13"/>
    </row>
    <row r="195" spans="1:3" ht="13" x14ac:dyDescent="0.15">
      <c r="A195" s="10"/>
      <c r="B195" s="13"/>
      <c r="C195" s="13"/>
    </row>
    <row r="196" spans="1:3" ht="13" x14ac:dyDescent="0.15">
      <c r="A196" s="10"/>
      <c r="B196" s="13"/>
      <c r="C196" s="13"/>
    </row>
    <row r="197" spans="1:3" ht="13" x14ac:dyDescent="0.15">
      <c r="A197" s="10"/>
      <c r="B197" s="13"/>
      <c r="C197" s="13"/>
    </row>
    <row r="198" spans="1:3" ht="13" x14ac:dyDescent="0.15">
      <c r="A198" s="10"/>
      <c r="B198" s="13"/>
      <c r="C198" s="13"/>
    </row>
    <row r="199" spans="1:3" ht="13" x14ac:dyDescent="0.15">
      <c r="A199" s="10"/>
      <c r="B199" s="13"/>
      <c r="C199" s="13"/>
    </row>
    <row r="200" spans="1:3" ht="13" x14ac:dyDescent="0.15">
      <c r="A200" s="10"/>
      <c r="B200" s="13"/>
      <c r="C200" s="13"/>
    </row>
    <row r="201" spans="1:3" ht="13" x14ac:dyDescent="0.15">
      <c r="A201" s="10"/>
      <c r="B201" s="13"/>
      <c r="C201" s="13"/>
    </row>
    <row r="202" spans="1:3" ht="13" x14ac:dyDescent="0.15">
      <c r="A202" s="10"/>
      <c r="B202" s="13"/>
      <c r="C202" s="13"/>
    </row>
    <row r="203" spans="1:3" ht="13" x14ac:dyDescent="0.15">
      <c r="A203" s="10"/>
      <c r="B203" s="13"/>
      <c r="C203" s="13"/>
    </row>
    <row r="204" spans="1:3" ht="13" x14ac:dyDescent="0.15">
      <c r="A204" s="10"/>
      <c r="B204" s="13"/>
      <c r="C204" s="13"/>
    </row>
    <row r="205" spans="1:3" ht="13" x14ac:dyDescent="0.15">
      <c r="A205" s="10"/>
      <c r="B205" s="13"/>
      <c r="C205" s="13"/>
    </row>
    <row r="206" spans="1:3" ht="13" x14ac:dyDescent="0.15">
      <c r="A206" s="10"/>
      <c r="B206" s="13"/>
      <c r="C206" s="13"/>
    </row>
    <row r="207" spans="1:3" ht="13" x14ac:dyDescent="0.15">
      <c r="A207" s="10"/>
      <c r="B207" s="13"/>
      <c r="C207" s="13"/>
    </row>
    <row r="208" spans="1:3" ht="13" x14ac:dyDescent="0.15">
      <c r="A208" s="10"/>
      <c r="B208" s="13"/>
      <c r="C208" s="13"/>
    </row>
    <row r="209" spans="1:3" ht="13" x14ac:dyDescent="0.15">
      <c r="A209" s="10"/>
      <c r="B209" s="13"/>
      <c r="C209" s="13"/>
    </row>
    <row r="210" spans="1:3" ht="13" x14ac:dyDescent="0.15">
      <c r="A210" s="10"/>
      <c r="B210" s="13"/>
      <c r="C210" s="13"/>
    </row>
    <row r="211" spans="1:3" ht="13" x14ac:dyDescent="0.15">
      <c r="A211" s="10"/>
      <c r="B211" s="13"/>
      <c r="C211" s="13"/>
    </row>
    <row r="212" spans="1:3" ht="13" x14ac:dyDescent="0.15">
      <c r="A212" s="10"/>
      <c r="B212" s="13"/>
      <c r="C212" s="13"/>
    </row>
    <row r="213" spans="1:3" ht="13" x14ac:dyDescent="0.15">
      <c r="A213" s="10"/>
      <c r="B213" s="13"/>
      <c r="C213" s="13"/>
    </row>
    <row r="214" spans="1:3" ht="13" x14ac:dyDescent="0.15">
      <c r="A214" s="10"/>
      <c r="B214" s="13"/>
      <c r="C214" s="13"/>
    </row>
    <row r="215" spans="1:3" ht="13" x14ac:dyDescent="0.15">
      <c r="A215" s="10"/>
      <c r="B215" s="13"/>
      <c r="C215" s="13"/>
    </row>
    <row r="216" spans="1:3" ht="13" x14ac:dyDescent="0.15">
      <c r="A216" s="10"/>
      <c r="B216" s="13"/>
      <c r="C216" s="13"/>
    </row>
    <row r="217" spans="1:3" ht="13" x14ac:dyDescent="0.15">
      <c r="A217" s="10"/>
      <c r="B217" s="13"/>
      <c r="C217" s="13"/>
    </row>
    <row r="218" spans="1:3" ht="13" x14ac:dyDescent="0.15">
      <c r="A218" s="10"/>
      <c r="B218" s="13"/>
      <c r="C218" s="13"/>
    </row>
    <row r="219" spans="1:3" ht="13" x14ac:dyDescent="0.15">
      <c r="A219" s="10"/>
      <c r="B219" s="13"/>
      <c r="C219" s="13"/>
    </row>
    <row r="220" spans="1:3" ht="13" x14ac:dyDescent="0.15">
      <c r="A220" s="10"/>
      <c r="B220" s="13"/>
      <c r="C220" s="13"/>
    </row>
    <row r="221" spans="1:3" ht="13" x14ac:dyDescent="0.15">
      <c r="A221" s="10"/>
      <c r="B221" s="13"/>
      <c r="C221" s="13"/>
    </row>
    <row r="222" spans="1:3" ht="13" x14ac:dyDescent="0.15">
      <c r="A222" s="10"/>
      <c r="B222" s="13"/>
      <c r="C222" s="13"/>
    </row>
    <row r="223" spans="1:3" ht="13" x14ac:dyDescent="0.15">
      <c r="A223" s="10"/>
      <c r="B223" s="13"/>
      <c r="C223" s="13"/>
    </row>
    <row r="224" spans="1:3" ht="13" x14ac:dyDescent="0.15">
      <c r="A224" s="10"/>
      <c r="B224" s="13"/>
      <c r="C224" s="13"/>
    </row>
    <row r="225" spans="1:3" ht="13" x14ac:dyDescent="0.15">
      <c r="A225" s="10"/>
      <c r="B225" s="13"/>
      <c r="C225" s="13"/>
    </row>
    <row r="226" spans="1:3" ht="13" x14ac:dyDescent="0.15">
      <c r="A226" s="10"/>
      <c r="B226" s="13"/>
      <c r="C226" s="13"/>
    </row>
    <row r="227" spans="1:3" ht="13" x14ac:dyDescent="0.15">
      <c r="A227" s="10"/>
      <c r="B227" s="13"/>
      <c r="C227" s="13"/>
    </row>
    <row r="228" spans="1:3" ht="13" x14ac:dyDescent="0.15">
      <c r="A228" s="10"/>
      <c r="B228" s="13"/>
      <c r="C228" s="13"/>
    </row>
    <row r="229" spans="1:3" ht="13" x14ac:dyDescent="0.15">
      <c r="A229" s="10"/>
      <c r="B229" s="13"/>
      <c r="C229" s="13"/>
    </row>
    <row r="230" spans="1:3" ht="13" x14ac:dyDescent="0.15">
      <c r="A230" s="10"/>
      <c r="B230" s="13"/>
      <c r="C230" s="13"/>
    </row>
    <row r="231" spans="1:3" ht="13" x14ac:dyDescent="0.15">
      <c r="A231" s="10"/>
      <c r="B231" s="13"/>
      <c r="C231" s="13"/>
    </row>
    <row r="232" spans="1:3" ht="13" x14ac:dyDescent="0.15">
      <c r="A232" s="10"/>
      <c r="B232" s="13"/>
      <c r="C232" s="13"/>
    </row>
    <row r="233" spans="1:3" ht="13" x14ac:dyDescent="0.15">
      <c r="A233" s="10"/>
      <c r="B233" s="13"/>
      <c r="C233" s="13"/>
    </row>
    <row r="234" spans="1:3" ht="13" x14ac:dyDescent="0.15">
      <c r="A234" s="10"/>
      <c r="B234" s="13"/>
      <c r="C234" s="13"/>
    </row>
    <row r="235" spans="1:3" ht="13" x14ac:dyDescent="0.15">
      <c r="A235" s="10"/>
      <c r="B235" s="13"/>
      <c r="C235" s="13"/>
    </row>
    <row r="236" spans="1:3" ht="13" x14ac:dyDescent="0.15">
      <c r="A236" s="10"/>
      <c r="B236" s="13"/>
      <c r="C236" s="13"/>
    </row>
    <row r="237" spans="1:3" ht="13" x14ac:dyDescent="0.15">
      <c r="A237" s="10"/>
      <c r="B237" s="13"/>
      <c r="C237" s="13"/>
    </row>
    <row r="238" spans="1:3" ht="13" x14ac:dyDescent="0.15">
      <c r="A238" s="10"/>
      <c r="B238" s="13"/>
      <c r="C238" s="13"/>
    </row>
    <row r="239" spans="1:3" ht="13" x14ac:dyDescent="0.15">
      <c r="A239" s="10"/>
      <c r="B239" s="13"/>
      <c r="C239" s="13"/>
    </row>
    <row r="240" spans="1:3" ht="13" x14ac:dyDescent="0.15">
      <c r="A240" s="10"/>
      <c r="B240" s="13"/>
      <c r="C240" s="13"/>
    </row>
    <row r="241" spans="1:3" ht="13" x14ac:dyDescent="0.15">
      <c r="A241" s="10"/>
      <c r="B241" s="13"/>
      <c r="C241" s="13"/>
    </row>
    <row r="242" spans="1:3" ht="13" x14ac:dyDescent="0.15">
      <c r="A242" s="10"/>
      <c r="B242" s="13"/>
      <c r="C242" s="13"/>
    </row>
    <row r="243" spans="1:3" ht="13" x14ac:dyDescent="0.15">
      <c r="A243" s="10"/>
      <c r="B243" s="13"/>
      <c r="C243" s="13"/>
    </row>
    <row r="244" spans="1:3" ht="13" x14ac:dyDescent="0.15">
      <c r="A244" s="10"/>
      <c r="B244" s="13"/>
      <c r="C244" s="13"/>
    </row>
    <row r="245" spans="1:3" ht="13" x14ac:dyDescent="0.15">
      <c r="A245" s="10"/>
      <c r="B245" s="13"/>
      <c r="C245" s="13"/>
    </row>
    <row r="246" spans="1:3" ht="13" x14ac:dyDescent="0.15">
      <c r="A246" s="10"/>
      <c r="B246" s="13"/>
      <c r="C246" s="13"/>
    </row>
    <row r="247" spans="1:3" ht="13" x14ac:dyDescent="0.15">
      <c r="A247" s="10"/>
      <c r="B247" s="13"/>
      <c r="C247" s="13"/>
    </row>
    <row r="248" spans="1:3" ht="13" x14ac:dyDescent="0.15">
      <c r="A248" s="10"/>
      <c r="B248" s="13"/>
      <c r="C248" s="13"/>
    </row>
    <row r="249" spans="1:3" ht="13" x14ac:dyDescent="0.15">
      <c r="A249" s="10"/>
      <c r="B249" s="13"/>
      <c r="C249" s="13"/>
    </row>
    <row r="250" spans="1:3" ht="13" x14ac:dyDescent="0.15">
      <c r="A250" s="10"/>
      <c r="B250" s="13"/>
      <c r="C250" s="13"/>
    </row>
    <row r="251" spans="1:3" ht="13" x14ac:dyDescent="0.15">
      <c r="A251" s="10"/>
      <c r="B251" s="13"/>
      <c r="C251" s="13"/>
    </row>
    <row r="252" spans="1:3" ht="13" x14ac:dyDescent="0.15">
      <c r="A252" s="10"/>
      <c r="B252" s="13"/>
      <c r="C252" s="13"/>
    </row>
    <row r="253" spans="1:3" ht="13" x14ac:dyDescent="0.15">
      <c r="A253" s="10"/>
      <c r="B253" s="13"/>
      <c r="C253" s="13"/>
    </row>
    <row r="254" spans="1:3" ht="13" x14ac:dyDescent="0.15">
      <c r="A254" s="10"/>
      <c r="B254" s="13"/>
      <c r="C254" s="13"/>
    </row>
    <row r="255" spans="1:3" ht="13" x14ac:dyDescent="0.15">
      <c r="A255" s="10"/>
      <c r="B255" s="13"/>
      <c r="C255" s="13"/>
    </row>
    <row r="256" spans="1:3" ht="13" x14ac:dyDescent="0.15">
      <c r="A256" s="10"/>
      <c r="B256" s="13"/>
      <c r="C256" s="13"/>
    </row>
    <row r="257" spans="1:3" ht="13" x14ac:dyDescent="0.15">
      <c r="A257" s="10"/>
      <c r="B257" s="13"/>
      <c r="C257" s="13"/>
    </row>
    <row r="258" spans="1:3" ht="13" x14ac:dyDescent="0.15">
      <c r="A258" s="10"/>
      <c r="B258" s="13"/>
      <c r="C258" s="13"/>
    </row>
    <row r="259" spans="1:3" ht="13" x14ac:dyDescent="0.15">
      <c r="A259" s="10"/>
      <c r="B259" s="13"/>
      <c r="C259" s="13"/>
    </row>
    <row r="260" spans="1:3" ht="13" x14ac:dyDescent="0.15">
      <c r="A260" s="10"/>
      <c r="B260" s="13"/>
      <c r="C260" s="13"/>
    </row>
    <row r="261" spans="1:3" ht="13" x14ac:dyDescent="0.15">
      <c r="A261" s="10"/>
      <c r="B261" s="13"/>
      <c r="C261" s="13"/>
    </row>
    <row r="262" spans="1:3" ht="13" x14ac:dyDescent="0.15">
      <c r="A262" s="10"/>
      <c r="B262" s="13"/>
      <c r="C262" s="13"/>
    </row>
    <row r="263" spans="1:3" ht="13" x14ac:dyDescent="0.15">
      <c r="A263" s="10"/>
      <c r="B263" s="13"/>
      <c r="C263" s="13"/>
    </row>
    <row r="264" spans="1:3" ht="13" x14ac:dyDescent="0.15">
      <c r="A264" s="10"/>
      <c r="B264" s="13"/>
      <c r="C264" s="13"/>
    </row>
    <row r="265" spans="1:3" ht="13" x14ac:dyDescent="0.15">
      <c r="A265" s="10"/>
      <c r="B265" s="13"/>
      <c r="C265" s="13"/>
    </row>
    <row r="266" spans="1:3" ht="13" x14ac:dyDescent="0.15">
      <c r="A266" s="10"/>
      <c r="B266" s="13"/>
      <c r="C266" s="13"/>
    </row>
    <row r="267" spans="1:3" ht="13" x14ac:dyDescent="0.15">
      <c r="A267" s="10"/>
      <c r="B267" s="13"/>
      <c r="C267" s="13"/>
    </row>
    <row r="268" spans="1:3" ht="13" x14ac:dyDescent="0.15">
      <c r="A268" s="10"/>
      <c r="B268" s="13"/>
      <c r="C268" s="13"/>
    </row>
    <row r="269" spans="1:3" ht="13" x14ac:dyDescent="0.15">
      <c r="A269" s="10"/>
      <c r="B269" s="13"/>
      <c r="C269" s="13"/>
    </row>
    <row r="270" spans="1:3" ht="13" x14ac:dyDescent="0.15">
      <c r="A270" s="10"/>
      <c r="B270" s="13"/>
      <c r="C270" s="13"/>
    </row>
    <row r="271" spans="1:3" ht="13" x14ac:dyDescent="0.15">
      <c r="A271" s="10"/>
      <c r="B271" s="13"/>
      <c r="C271" s="13"/>
    </row>
    <row r="272" spans="1:3" ht="13" x14ac:dyDescent="0.15">
      <c r="A272" s="10"/>
      <c r="B272" s="13"/>
      <c r="C272" s="13"/>
    </row>
    <row r="273" spans="1:3" ht="13" x14ac:dyDescent="0.15">
      <c r="A273" s="10"/>
      <c r="B273" s="13"/>
      <c r="C273" s="13"/>
    </row>
    <row r="274" spans="1:3" ht="13" x14ac:dyDescent="0.15">
      <c r="A274" s="10"/>
      <c r="B274" s="13"/>
      <c r="C274" s="13"/>
    </row>
    <row r="275" spans="1:3" ht="13" x14ac:dyDescent="0.15">
      <c r="A275" s="10"/>
      <c r="B275" s="13"/>
      <c r="C275" s="13"/>
    </row>
    <row r="276" spans="1:3" ht="13" x14ac:dyDescent="0.15">
      <c r="A276" s="10"/>
      <c r="B276" s="13"/>
      <c r="C276" s="13"/>
    </row>
    <row r="277" spans="1:3" ht="13" x14ac:dyDescent="0.15">
      <c r="A277" s="10"/>
      <c r="B277" s="13"/>
      <c r="C277" s="13"/>
    </row>
    <row r="278" spans="1:3" ht="13" x14ac:dyDescent="0.15">
      <c r="A278" s="10"/>
      <c r="B278" s="13"/>
      <c r="C278" s="13"/>
    </row>
    <row r="279" spans="1:3" ht="13" x14ac:dyDescent="0.15">
      <c r="A279" s="10"/>
      <c r="B279" s="13"/>
      <c r="C279" s="13"/>
    </row>
    <row r="280" spans="1:3" ht="13" x14ac:dyDescent="0.15">
      <c r="A280" s="10"/>
      <c r="B280" s="13"/>
      <c r="C280" s="13"/>
    </row>
    <row r="281" spans="1:3" ht="13" x14ac:dyDescent="0.15">
      <c r="A281" s="10"/>
      <c r="B281" s="13"/>
      <c r="C281" s="13"/>
    </row>
    <row r="282" spans="1:3" ht="13" x14ac:dyDescent="0.15">
      <c r="A282" s="10"/>
      <c r="B282" s="13"/>
      <c r="C282" s="13"/>
    </row>
    <row r="283" spans="1:3" ht="13" x14ac:dyDescent="0.15">
      <c r="A283" s="10"/>
      <c r="B283" s="13"/>
      <c r="C283" s="13"/>
    </row>
    <row r="284" spans="1:3" ht="13" x14ac:dyDescent="0.15">
      <c r="A284" s="10"/>
      <c r="B284" s="13"/>
      <c r="C284" s="13"/>
    </row>
    <row r="285" spans="1:3" ht="13" x14ac:dyDescent="0.15">
      <c r="A285" s="10"/>
      <c r="B285" s="13"/>
      <c r="C285" s="13"/>
    </row>
    <row r="286" spans="1:3" ht="13" x14ac:dyDescent="0.15">
      <c r="A286" s="10"/>
      <c r="B286" s="13"/>
      <c r="C286" s="13"/>
    </row>
    <row r="287" spans="1:3" ht="13" x14ac:dyDescent="0.15">
      <c r="A287" s="10"/>
      <c r="B287" s="13"/>
      <c r="C287" s="13"/>
    </row>
    <row r="288" spans="1:3" ht="13" x14ac:dyDescent="0.15">
      <c r="A288" s="10"/>
      <c r="B288" s="13"/>
      <c r="C288" s="13"/>
    </row>
    <row r="289" spans="1:3" ht="13" x14ac:dyDescent="0.15">
      <c r="A289" s="10"/>
      <c r="B289" s="13"/>
      <c r="C289" s="13"/>
    </row>
    <row r="290" spans="1:3" ht="13" x14ac:dyDescent="0.15">
      <c r="A290" s="10"/>
      <c r="B290" s="13"/>
      <c r="C290" s="13"/>
    </row>
    <row r="291" spans="1:3" ht="13" x14ac:dyDescent="0.15">
      <c r="A291" s="10"/>
      <c r="B291" s="13"/>
      <c r="C291" s="13"/>
    </row>
    <row r="292" spans="1:3" ht="13" x14ac:dyDescent="0.15">
      <c r="A292" s="10"/>
      <c r="B292" s="13"/>
      <c r="C292" s="13"/>
    </row>
    <row r="293" spans="1:3" ht="13" x14ac:dyDescent="0.15">
      <c r="A293" s="10"/>
      <c r="B293" s="13"/>
      <c r="C293" s="13"/>
    </row>
    <row r="294" spans="1:3" ht="13" x14ac:dyDescent="0.15">
      <c r="A294" s="10"/>
      <c r="B294" s="13"/>
      <c r="C294" s="13"/>
    </row>
    <row r="295" spans="1:3" ht="13" x14ac:dyDescent="0.15">
      <c r="A295" s="10"/>
      <c r="B295" s="13"/>
      <c r="C295" s="13"/>
    </row>
    <row r="296" spans="1:3" ht="13" x14ac:dyDescent="0.15">
      <c r="A296" s="10"/>
      <c r="B296" s="13"/>
      <c r="C296" s="13"/>
    </row>
    <row r="297" spans="1:3" ht="13" x14ac:dyDescent="0.15">
      <c r="A297" s="10"/>
      <c r="B297" s="13"/>
      <c r="C297" s="13"/>
    </row>
    <row r="298" spans="1:3" ht="13" x14ac:dyDescent="0.15">
      <c r="A298" s="10"/>
      <c r="B298" s="13"/>
      <c r="C298" s="13"/>
    </row>
    <row r="299" spans="1:3" ht="13" x14ac:dyDescent="0.15">
      <c r="A299" s="10"/>
      <c r="B299" s="13"/>
      <c r="C299" s="13"/>
    </row>
    <row r="300" spans="1:3" ht="13" x14ac:dyDescent="0.15">
      <c r="A300" s="10"/>
      <c r="B300" s="13"/>
      <c r="C300" s="13"/>
    </row>
    <row r="301" spans="1:3" ht="13" x14ac:dyDescent="0.15">
      <c r="A301" s="10"/>
      <c r="B301" s="13"/>
      <c r="C301" s="13"/>
    </row>
    <row r="302" spans="1:3" ht="13" x14ac:dyDescent="0.15">
      <c r="A302" s="10"/>
      <c r="B302" s="13"/>
      <c r="C302" s="13"/>
    </row>
    <row r="303" spans="1:3" ht="13" x14ac:dyDescent="0.15">
      <c r="A303" s="10"/>
      <c r="B303" s="13"/>
      <c r="C303" s="13"/>
    </row>
    <row r="304" spans="1:3" ht="13" x14ac:dyDescent="0.15">
      <c r="A304" s="10"/>
      <c r="B304" s="13"/>
      <c r="C304" s="13"/>
    </row>
    <row r="305" spans="1:3" ht="13" x14ac:dyDescent="0.15">
      <c r="A305" s="10"/>
      <c r="B305" s="13"/>
      <c r="C305" s="13"/>
    </row>
    <row r="306" spans="1:3" ht="13" x14ac:dyDescent="0.15">
      <c r="A306" s="10"/>
      <c r="B306" s="13"/>
      <c r="C306" s="13"/>
    </row>
    <row r="307" spans="1:3" ht="13" x14ac:dyDescent="0.15">
      <c r="A307" s="10"/>
      <c r="B307" s="13"/>
      <c r="C307" s="13"/>
    </row>
    <row r="308" spans="1:3" ht="13" x14ac:dyDescent="0.15">
      <c r="A308" s="10"/>
      <c r="B308" s="13"/>
      <c r="C308" s="13"/>
    </row>
    <row r="309" spans="1:3" ht="13" x14ac:dyDescent="0.15">
      <c r="A309" s="10"/>
      <c r="B309" s="13"/>
      <c r="C309" s="13"/>
    </row>
    <row r="310" spans="1:3" ht="13" x14ac:dyDescent="0.15">
      <c r="A310" s="10"/>
      <c r="B310" s="13"/>
      <c r="C310" s="13"/>
    </row>
    <row r="311" spans="1:3" ht="13" x14ac:dyDescent="0.15">
      <c r="A311" s="10"/>
      <c r="B311" s="13"/>
      <c r="C311" s="13"/>
    </row>
    <row r="312" spans="1:3" ht="13" x14ac:dyDescent="0.15">
      <c r="A312" s="10"/>
      <c r="B312" s="13"/>
      <c r="C312" s="13"/>
    </row>
    <row r="313" spans="1:3" ht="13" x14ac:dyDescent="0.15">
      <c r="A313" s="10"/>
      <c r="B313" s="13"/>
      <c r="C313" s="13"/>
    </row>
    <row r="314" spans="1:3" ht="13" x14ac:dyDescent="0.15">
      <c r="A314" s="10"/>
      <c r="B314" s="13"/>
      <c r="C314" s="13"/>
    </row>
    <row r="315" spans="1:3" ht="13" x14ac:dyDescent="0.15">
      <c r="A315" s="10"/>
      <c r="B315" s="13"/>
      <c r="C315" s="13"/>
    </row>
    <row r="316" spans="1:3" ht="13" x14ac:dyDescent="0.15">
      <c r="A316" s="10"/>
      <c r="B316" s="13"/>
      <c r="C316" s="13"/>
    </row>
    <row r="317" spans="1:3" ht="13" x14ac:dyDescent="0.15">
      <c r="A317" s="10"/>
      <c r="B317" s="13"/>
      <c r="C317" s="13"/>
    </row>
    <row r="318" spans="1:3" ht="13" x14ac:dyDescent="0.15">
      <c r="A318" s="10"/>
      <c r="B318" s="13"/>
      <c r="C318" s="13"/>
    </row>
    <row r="319" spans="1:3" ht="13" x14ac:dyDescent="0.15">
      <c r="A319" s="10"/>
      <c r="B319" s="13"/>
      <c r="C319" s="13"/>
    </row>
    <row r="320" spans="1:3" ht="13" x14ac:dyDescent="0.15">
      <c r="A320" s="10"/>
      <c r="B320" s="13"/>
      <c r="C320" s="13"/>
    </row>
    <row r="321" spans="1:3" ht="13" x14ac:dyDescent="0.15">
      <c r="A321" s="10"/>
      <c r="B321" s="13"/>
      <c r="C321" s="13"/>
    </row>
    <row r="322" spans="1:3" ht="13" x14ac:dyDescent="0.15">
      <c r="A322" s="10"/>
      <c r="B322" s="13"/>
      <c r="C322" s="13"/>
    </row>
    <row r="323" spans="1:3" ht="13" x14ac:dyDescent="0.15">
      <c r="A323" s="10"/>
      <c r="B323" s="13"/>
      <c r="C323" s="13"/>
    </row>
    <row r="324" spans="1:3" ht="13" x14ac:dyDescent="0.15">
      <c r="A324" s="10"/>
      <c r="B324" s="13"/>
      <c r="C324" s="13"/>
    </row>
    <row r="325" spans="1:3" ht="13" x14ac:dyDescent="0.15">
      <c r="A325" s="10"/>
      <c r="B325" s="13"/>
      <c r="C325" s="13"/>
    </row>
    <row r="326" spans="1:3" ht="13" x14ac:dyDescent="0.15">
      <c r="A326" s="10"/>
      <c r="B326" s="13"/>
      <c r="C326" s="13"/>
    </row>
    <row r="327" spans="1:3" ht="13" x14ac:dyDescent="0.15">
      <c r="A327" s="10"/>
      <c r="B327" s="13"/>
      <c r="C327" s="13"/>
    </row>
    <row r="328" spans="1:3" ht="13" x14ac:dyDescent="0.15">
      <c r="A328" s="10"/>
      <c r="B328" s="13"/>
      <c r="C328" s="13"/>
    </row>
    <row r="329" spans="1:3" ht="13" x14ac:dyDescent="0.15">
      <c r="A329" s="10"/>
      <c r="B329" s="13"/>
      <c r="C329" s="13"/>
    </row>
    <row r="330" spans="1:3" ht="13" x14ac:dyDescent="0.15">
      <c r="A330" s="10"/>
      <c r="B330" s="13"/>
      <c r="C330" s="13"/>
    </row>
    <row r="331" spans="1:3" ht="13" x14ac:dyDescent="0.15">
      <c r="A331" s="10"/>
      <c r="B331" s="13"/>
      <c r="C331" s="13"/>
    </row>
    <row r="332" spans="1:3" ht="13" x14ac:dyDescent="0.15">
      <c r="A332" s="10"/>
      <c r="B332" s="13"/>
      <c r="C332" s="13"/>
    </row>
    <row r="333" spans="1:3" ht="13" x14ac:dyDescent="0.15">
      <c r="A333" s="10"/>
      <c r="B333" s="13"/>
      <c r="C333" s="13"/>
    </row>
    <row r="334" spans="1:3" ht="13" x14ac:dyDescent="0.15">
      <c r="A334" s="10"/>
      <c r="B334" s="13"/>
      <c r="C334" s="13"/>
    </row>
    <row r="335" spans="1:3" ht="13" x14ac:dyDescent="0.15">
      <c r="A335" s="10"/>
      <c r="B335" s="13"/>
      <c r="C335" s="13"/>
    </row>
    <row r="336" spans="1:3" ht="13" x14ac:dyDescent="0.15">
      <c r="A336" s="10"/>
      <c r="B336" s="13"/>
      <c r="C336" s="13"/>
    </row>
    <row r="337" spans="1:3" ht="13" x14ac:dyDescent="0.15">
      <c r="A337" s="10"/>
      <c r="B337" s="13"/>
      <c r="C337" s="13"/>
    </row>
    <row r="338" spans="1:3" ht="13" x14ac:dyDescent="0.15">
      <c r="A338" s="10"/>
      <c r="B338" s="13"/>
      <c r="C338" s="13"/>
    </row>
    <row r="339" spans="1:3" ht="13" x14ac:dyDescent="0.15">
      <c r="A339" s="10"/>
      <c r="B339" s="13"/>
      <c r="C339" s="13"/>
    </row>
    <row r="340" spans="1:3" ht="13" x14ac:dyDescent="0.15">
      <c r="A340" s="10"/>
      <c r="B340" s="13"/>
      <c r="C340" s="13"/>
    </row>
    <row r="341" spans="1:3" ht="13" x14ac:dyDescent="0.15">
      <c r="A341" s="10"/>
      <c r="B341" s="13"/>
      <c r="C341" s="13"/>
    </row>
    <row r="342" spans="1:3" ht="13" x14ac:dyDescent="0.15">
      <c r="A342" s="10"/>
      <c r="B342" s="13"/>
      <c r="C342" s="13"/>
    </row>
    <row r="343" spans="1:3" ht="13" x14ac:dyDescent="0.15">
      <c r="A343" s="10"/>
      <c r="B343" s="13"/>
      <c r="C343" s="13"/>
    </row>
    <row r="344" spans="1:3" ht="13" x14ac:dyDescent="0.15">
      <c r="A344" s="10"/>
      <c r="B344" s="13"/>
      <c r="C344" s="13"/>
    </row>
    <row r="345" spans="1:3" ht="13" x14ac:dyDescent="0.15">
      <c r="A345" s="10"/>
      <c r="B345" s="13"/>
      <c r="C345" s="13"/>
    </row>
    <row r="346" spans="1:3" ht="13" x14ac:dyDescent="0.15">
      <c r="A346" s="10"/>
      <c r="B346" s="13"/>
      <c r="C346" s="13"/>
    </row>
    <row r="347" spans="1:3" ht="13" x14ac:dyDescent="0.15">
      <c r="A347" s="10"/>
      <c r="B347" s="13"/>
      <c r="C347" s="13"/>
    </row>
    <row r="348" spans="1:3" ht="13" x14ac:dyDescent="0.15">
      <c r="A348" s="10"/>
      <c r="B348" s="13"/>
      <c r="C348" s="13"/>
    </row>
    <row r="349" spans="1:3" ht="13" x14ac:dyDescent="0.15">
      <c r="A349" s="10"/>
      <c r="B349" s="13"/>
      <c r="C349" s="13"/>
    </row>
    <row r="350" spans="1:3" ht="13" x14ac:dyDescent="0.15">
      <c r="A350" s="10"/>
      <c r="B350" s="13"/>
      <c r="C350" s="13"/>
    </row>
    <row r="351" spans="1:3" ht="13" x14ac:dyDescent="0.15">
      <c r="A351" s="10"/>
      <c r="B351" s="13"/>
      <c r="C351" s="13"/>
    </row>
    <row r="352" spans="1:3" ht="13" x14ac:dyDescent="0.15">
      <c r="A352" s="10"/>
      <c r="B352" s="13"/>
      <c r="C352" s="13"/>
    </row>
    <row r="353" spans="1:3" ht="13" x14ac:dyDescent="0.15">
      <c r="A353" s="10"/>
      <c r="B353" s="13"/>
      <c r="C353" s="13"/>
    </row>
    <row r="354" spans="1:3" ht="13" x14ac:dyDescent="0.15">
      <c r="A354" s="10"/>
      <c r="B354" s="13"/>
      <c r="C354" s="13"/>
    </row>
    <row r="355" spans="1:3" ht="13" x14ac:dyDescent="0.15">
      <c r="A355" s="10"/>
      <c r="B355" s="13"/>
      <c r="C355" s="13"/>
    </row>
    <row r="356" spans="1:3" ht="13" x14ac:dyDescent="0.15">
      <c r="A356" s="10"/>
      <c r="B356" s="13"/>
      <c r="C356" s="13"/>
    </row>
    <row r="357" spans="1:3" ht="13" x14ac:dyDescent="0.15">
      <c r="A357" s="10"/>
      <c r="B357" s="13"/>
      <c r="C357" s="13"/>
    </row>
    <row r="358" spans="1:3" ht="13" x14ac:dyDescent="0.15">
      <c r="A358" s="10"/>
      <c r="B358" s="13"/>
      <c r="C358" s="13"/>
    </row>
    <row r="359" spans="1:3" ht="13" x14ac:dyDescent="0.15">
      <c r="A359" s="10"/>
      <c r="B359" s="13"/>
      <c r="C359" s="13"/>
    </row>
    <row r="360" spans="1:3" ht="13" x14ac:dyDescent="0.15">
      <c r="A360" s="10"/>
      <c r="B360" s="13"/>
      <c r="C360" s="13"/>
    </row>
    <row r="361" spans="1:3" ht="13" x14ac:dyDescent="0.15">
      <c r="A361" s="10"/>
      <c r="B361" s="13"/>
      <c r="C361" s="13"/>
    </row>
    <row r="362" spans="1:3" ht="13" x14ac:dyDescent="0.15">
      <c r="A362" s="10"/>
      <c r="B362" s="13"/>
      <c r="C362" s="13"/>
    </row>
    <row r="363" spans="1:3" ht="13" x14ac:dyDescent="0.15">
      <c r="A363" s="10"/>
      <c r="B363" s="13"/>
      <c r="C363" s="13"/>
    </row>
    <row r="364" spans="1:3" ht="13" x14ac:dyDescent="0.15">
      <c r="A364" s="10"/>
      <c r="B364" s="13"/>
      <c r="C364" s="13"/>
    </row>
    <row r="365" spans="1:3" ht="13" x14ac:dyDescent="0.15">
      <c r="A365" s="10"/>
      <c r="B365" s="13"/>
      <c r="C365" s="13"/>
    </row>
    <row r="366" spans="1:3" ht="13" x14ac:dyDescent="0.15">
      <c r="A366" s="10"/>
      <c r="B366" s="13"/>
      <c r="C366" s="13"/>
    </row>
    <row r="367" spans="1:3" ht="13" x14ac:dyDescent="0.15">
      <c r="A367" s="10"/>
      <c r="B367" s="13"/>
      <c r="C367" s="13"/>
    </row>
    <row r="368" spans="1:3" ht="13" x14ac:dyDescent="0.15">
      <c r="A368" s="10"/>
      <c r="B368" s="13"/>
      <c r="C368" s="13"/>
    </row>
    <row r="369" spans="1:3" ht="13" x14ac:dyDescent="0.15">
      <c r="A369" s="10"/>
      <c r="B369" s="13"/>
      <c r="C369" s="13"/>
    </row>
    <row r="370" spans="1:3" ht="13" x14ac:dyDescent="0.15">
      <c r="A370" s="10"/>
      <c r="B370" s="13"/>
      <c r="C370" s="13"/>
    </row>
    <row r="371" spans="1:3" ht="13" x14ac:dyDescent="0.15">
      <c r="A371" s="10"/>
      <c r="B371" s="13"/>
      <c r="C371" s="13"/>
    </row>
    <row r="372" spans="1:3" ht="13" x14ac:dyDescent="0.15">
      <c r="A372" s="10"/>
      <c r="B372" s="13"/>
      <c r="C372" s="13"/>
    </row>
    <row r="373" spans="1:3" ht="13" x14ac:dyDescent="0.15">
      <c r="A373" s="10"/>
      <c r="B373" s="13"/>
      <c r="C373" s="13"/>
    </row>
    <row r="374" spans="1:3" ht="13" x14ac:dyDescent="0.15">
      <c r="A374" s="10"/>
      <c r="B374" s="13"/>
      <c r="C374" s="13"/>
    </row>
    <row r="375" spans="1:3" ht="13" x14ac:dyDescent="0.15">
      <c r="A375" s="10"/>
      <c r="B375" s="13"/>
      <c r="C375" s="13"/>
    </row>
    <row r="376" spans="1:3" ht="13" x14ac:dyDescent="0.15">
      <c r="A376" s="10"/>
      <c r="B376" s="13"/>
      <c r="C376" s="13"/>
    </row>
    <row r="377" spans="1:3" ht="13" x14ac:dyDescent="0.15">
      <c r="A377" s="10"/>
      <c r="B377" s="13"/>
      <c r="C377" s="13"/>
    </row>
    <row r="378" spans="1:3" ht="13" x14ac:dyDescent="0.15">
      <c r="A378" s="10"/>
      <c r="B378" s="13"/>
      <c r="C378" s="13"/>
    </row>
    <row r="379" spans="1:3" ht="13" x14ac:dyDescent="0.15">
      <c r="A379" s="10"/>
      <c r="B379" s="13"/>
      <c r="C379" s="13"/>
    </row>
    <row r="380" spans="1:3" ht="13" x14ac:dyDescent="0.15">
      <c r="A380" s="10"/>
      <c r="B380" s="13"/>
      <c r="C380" s="13"/>
    </row>
    <row r="381" spans="1:3" ht="13" x14ac:dyDescent="0.15">
      <c r="A381" s="10"/>
      <c r="B381" s="13"/>
      <c r="C381" s="13"/>
    </row>
    <row r="382" spans="1:3" ht="13" x14ac:dyDescent="0.15">
      <c r="A382" s="10"/>
      <c r="B382" s="13"/>
      <c r="C382" s="13"/>
    </row>
    <row r="383" spans="1:3" ht="13" x14ac:dyDescent="0.15">
      <c r="A383" s="10"/>
      <c r="B383" s="13"/>
      <c r="C383" s="13"/>
    </row>
    <row r="384" spans="1:3" ht="13" x14ac:dyDescent="0.15">
      <c r="A384" s="10"/>
      <c r="B384" s="13"/>
      <c r="C384" s="13"/>
    </row>
    <row r="385" spans="1:3" ht="13" x14ac:dyDescent="0.15">
      <c r="A385" s="10"/>
      <c r="B385" s="13"/>
      <c r="C385" s="13"/>
    </row>
    <row r="386" spans="1:3" ht="13" x14ac:dyDescent="0.15">
      <c r="A386" s="10"/>
      <c r="B386" s="13"/>
      <c r="C386" s="13"/>
    </row>
    <row r="387" spans="1:3" ht="13" x14ac:dyDescent="0.15">
      <c r="A387" s="10"/>
      <c r="B387" s="13"/>
      <c r="C387" s="13"/>
    </row>
    <row r="388" spans="1:3" ht="13" x14ac:dyDescent="0.15">
      <c r="A388" s="10"/>
      <c r="B388" s="13"/>
      <c r="C388" s="13"/>
    </row>
    <row r="389" spans="1:3" ht="13" x14ac:dyDescent="0.15">
      <c r="A389" s="10"/>
      <c r="B389" s="13"/>
      <c r="C389" s="13"/>
    </row>
    <row r="390" spans="1:3" ht="13" x14ac:dyDescent="0.15">
      <c r="A390" s="10"/>
      <c r="B390" s="13"/>
      <c r="C390" s="13"/>
    </row>
    <row r="391" spans="1:3" ht="13" x14ac:dyDescent="0.15">
      <c r="A391" s="10"/>
      <c r="B391" s="13"/>
      <c r="C391" s="13"/>
    </row>
    <row r="392" spans="1:3" ht="13" x14ac:dyDescent="0.15">
      <c r="A392" s="10"/>
      <c r="B392" s="13"/>
      <c r="C392" s="13"/>
    </row>
    <row r="393" spans="1:3" ht="13" x14ac:dyDescent="0.15">
      <c r="A393" s="10"/>
      <c r="B393" s="13"/>
      <c r="C393" s="13"/>
    </row>
    <row r="394" spans="1:3" ht="13" x14ac:dyDescent="0.15">
      <c r="A394" s="10"/>
      <c r="B394" s="13"/>
      <c r="C394" s="13"/>
    </row>
    <row r="395" spans="1:3" ht="13" x14ac:dyDescent="0.15">
      <c r="A395" s="10"/>
      <c r="B395" s="13"/>
      <c r="C395" s="13"/>
    </row>
    <row r="396" spans="1:3" ht="13" x14ac:dyDescent="0.15">
      <c r="A396" s="10"/>
      <c r="B396" s="13"/>
      <c r="C396" s="13"/>
    </row>
    <row r="397" spans="1:3" ht="13" x14ac:dyDescent="0.15">
      <c r="A397" s="10"/>
      <c r="B397" s="13"/>
      <c r="C397" s="13"/>
    </row>
    <row r="398" spans="1:3" ht="13" x14ac:dyDescent="0.15">
      <c r="A398" s="10"/>
      <c r="B398" s="13"/>
      <c r="C398" s="13"/>
    </row>
    <row r="399" spans="1:3" ht="13" x14ac:dyDescent="0.15">
      <c r="A399" s="10"/>
      <c r="B399" s="13"/>
      <c r="C399" s="13"/>
    </row>
    <row r="400" spans="1:3" ht="13" x14ac:dyDescent="0.15">
      <c r="A400" s="10"/>
      <c r="B400" s="13"/>
      <c r="C400" s="13"/>
    </row>
    <row r="401" spans="1:3" ht="13" x14ac:dyDescent="0.15">
      <c r="A401" s="10"/>
      <c r="B401" s="13"/>
      <c r="C401" s="13"/>
    </row>
    <row r="402" spans="1:3" ht="13" x14ac:dyDescent="0.15">
      <c r="A402" s="10"/>
      <c r="B402" s="13"/>
      <c r="C402" s="13"/>
    </row>
    <row r="403" spans="1:3" ht="13" x14ac:dyDescent="0.15">
      <c r="A403" s="10"/>
      <c r="B403" s="13"/>
      <c r="C403" s="13"/>
    </row>
    <row r="404" spans="1:3" ht="13" x14ac:dyDescent="0.15">
      <c r="A404" s="10"/>
      <c r="B404" s="13"/>
      <c r="C404" s="13"/>
    </row>
    <row r="405" spans="1:3" ht="13" x14ac:dyDescent="0.15">
      <c r="A405" s="10"/>
      <c r="B405" s="13"/>
      <c r="C405" s="13"/>
    </row>
    <row r="406" spans="1:3" ht="13" x14ac:dyDescent="0.15">
      <c r="A406" s="10"/>
      <c r="B406" s="13"/>
      <c r="C406" s="13"/>
    </row>
    <row r="407" spans="1:3" ht="13" x14ac:dyDescent="0.15">
      <c r="A407" s="10"/>
      <c r="B407" s="13"/>
      <c r="C407" s="13"/>
    </row>
    <row r="408" spans="1:3" ht="13" x14ac:dyDescent="0.15">
      <c r="A408" s="10"/>
      <c r="B408" s="13"/>
      <c r="C408" s="13"/>
    </row>
    <row r="409" spans="1:3" ht="13" x14ac:dyDescent="0.15">
      <c r="A409" s="10"/>
      <c r="B409" s="13"/>
      <c r="C409" s="13"/>
    </row>
    <row r="410" spans="1:3" ht="13" x14ac:dyDescent="0.15">
      <c r="A410" s="10"/>
      <c r="B410" s="13"/>
      <c r="C410" s="13"/>
    </row>
    <row r="411" spans="1:3" ht="13" x14ac:dyDescent="0.15">
      <c r="A411" s="10"/>
      <c r="B411" s="13"/>
      <c r="C411" s="13"/>
    </row>
    <row r="412" spans="1:3" ht="13" x14ac:dyDescent="0.15">
      <c r="A412" s="10"/>
      <c r="B412" s="13"/>
      <c r="C412" s="13"/>
    </row>
    <row r="413" spans="1:3" ht="13" x14ac:dyDescent="0.15">
      <c r="A413" s="10"/>
      <c r="B413" s="13"/>
      <c r="C413" s="13"/>
    </row>
    <row r="414" spans="1:3" ht="13" x14ac:dyDescent="0.15">
      <c r="A414" s="10"/>
      <c r="B414" s="13"/>
      <c r="C414" s="13"/>
    </row>
    <row r="415" spans="1:3" ht="13" x14ac:dyDescent="0.15">
      <c r="A415" s="10"/>
      <c r="B415" s="13"/>
      <c r="C415" s="13"/>
    </row>
    <row r="416" spans="1:3" ht="13" x14ac:dyDescent="0.15">
      <c r="A416" s="10"/>
      <c r="B416" s="13"/>
      <c r="C416" s="13"/>
    </row>
    <row r="417" spans="1:3" ht="13" x14ac:dyDescent="0.15">
      <c r="A417" s="10"/>
      <c r="B417" s="13"/>
      <c r="C417" s="13"/>
    </row>
    <row r="418" spans="1:3" ht="13" x14ac:dyDescent="0.15">
      <c r="A418" s="10"/>
      <c r="B418" s="13"/>
      <c r="C418" s="13"/>
    </row>
    <row r="419" spans="1:3" ht="13" x14ac:dyDescent="0.15">
      <c r="A419" s="10"/>
      <c r="B419" s="13"/>
      <c r="C419" s="13"/>
    </row>
    <row r="420" spans="1:3" ht="13" x14ac:dyDescent="0.15">
      <c r="A420" s="10"/>
      <c r="B420" s="13"/>
      <c r="C420" s="13"/>
    </row>
    <row r="421" spans="1:3" ht="13" x14ac:dyDescent="0.15">
      <c r="A421" s="10"/>
      <c r="B421" s="13"/>
      <c r="C421" s="13"/>
    </row>
    <row r="422" spans="1:3" ht="13" x14ac:dyDescent="0.15">
      <c r="A422" s="10"/>
      <c r="B422" s="13"/>
      <c r="C422" s="13"/>
    </row>
    <row r="423" spans="1:3" ht="13" x14ac:dyDescent="0.15">
      <c r="A423" s="10"/>
      <c r="B423" s="13"/>
      <c r="C423" s="13"/>
    </row>
    <row r="424" spans="1:3" ht="13" x14ac:dyDescent="0.15">
      <c r="A424" s="10"/>
      <c r="B424" s="13"/>
      <c r="C424" s="13"/>
    </row>
    <row r="425" spans="1:3" ht="13" x14ac:dyDescent="0.15">
      <c r="A425" s="10"/>
      <c r="B425" s="13"/>
      <c r="C425" s="13"/>
    </row>
    <row r="426" spans="1:3" ht="13" x14ac:dyDescent="0.15">
      <c r="A426" s="10"/>
      <c r="B426" s="13"/>
      <c r="C426" s="13"/>
    </row>
    <row r="427" spans="1:3" ht="13" x14ac:dyDescent="0.15">
      <c r="A427" s="10"/>
      <c r="B427" s="13"/>
      <c r="C427" s="13"/>
    </row>
    <row r="428" spans="1:3" ht="13" x14ac:dyDescent="0.15">
      <c r="A428" s="10"/>
      <c r="B428" s="13"/>
      <c r="C428" s="13"/>
    </row>
    <row r="429" spans="1:3" ht="13" x14ac:dyDescent="0.15">
      <c r="A429" s="10"/>
      <c r="B429" s="13"/>
      <c r="C429" s="13"/>
    </row>
    <row r="430" spans="1:3" ht="13" x14ac:dyDescent="0.15">
      <c r="A430" s="10"/>
      <c r="B430" s="13"/>
      <c r="C430" s="13"/>
    </row>
    <row r="431" spans="1:3" ht="13" x14ac:dyDescent="0.15">
      <c r="A431" s="10"/>
      <c r="B431" s="13"/>
      <c r="C431" s="13"/>
    </row>
    <row r="432" spans="1:3" ht="13" x14ac:dyDescent="0.15">
      <c r="A432" s="10"/>
      <c r="B432" s="13"/>
      <c r="C432" s="13"/>
    </row>
    <row r="433" spans="1:3" ht="13" x14ac:dyDescent="0.15">
      <c r="A433" s="10"/>
      <c r="B433" s="13"/>
      <c r="C433" s="13"/>
    </row>
    <row r="434" spans="1:3" ht="13" x14ac:dyDescent="0.15">
      <c r="A434" s="10"/>
      <c r="B434" s="13"/>
      <c r="C434" s="13"/>
    </row>
    <row r="435" spans="1:3" ht="13" x14ac:dyDescent="0.15">
      <c r="A435" s="10"/>
      <c r="B435" s="13"/>
      <c r="C435" s="13"/>
    </row>
    <row r="436" spans="1:3" ht="13" x14ac:dyDescent="0.15">
      <c r="A436" s="10"/>
      <c r="B436" s="13"/>
      <c r="C436" s="13"/>
    </row>
    <row r="437" spans="1:3" ht="13" x14ac:dyDescent="0.15">
      <c r="A437" s="10"/>
      <c r="B437" s="13"/>
      <c r="C437" s="13"/>
    </row>
    <row r="438" spans="1:3" ht="13" x14ac:dyDescent="0.15">
      <c r="A438" s="10"/>
      <c r="B438" s="13"/>
      <c r="C438" s="13"/>
    </row>
    <row r="439" spans="1:3" ht="13" x14ac:dyDescent="0.15">
      <c r="A439" s="10"/>
      <c r="B439" s="13"/>
      <c r="C439" s="13"/>
    </row>
    <row r="440" spans="1:3" ht="13" x14ac:dyDescent="0.15">
      <c r="A440" s="10"/>
      <c r="B440" s="13"/>
      <c r="C440" s="13"/>
    </row>
    <row r="441" spans="1:3" ht="13" x14ac:dyDescent="0.15">
      <c r="A441" s="10"/>
      <c r="B441" s="13"/>
      <c r="C441" s="13"/>
    </row>
    <row r="442" spans="1:3" ht="13" x14ac:dyDescent="0.15">
      <c r="A442" s="10"/>
      <c r="B442" s="13"/>
      <c r="C442" s="13"/>
    </row>
    <row r="443" spans="1:3" ht="13" x14ac:dyDescent="0.15">
      <c r="A443" s="10"/>
      <c r="B443" s="13"/>
      <c r="C443" s="13"/>
    </row>
    <row r="444" spans="1:3" ht="13" x14ac:dyDescent="0.15">
      <c r="A444" s="10"/>
      <c r="B444" s="13"/>
      <c r="C444" s="13"/>
    </row>
    <row r="445" spans="1:3" ht="13" x14ac:dyDescent="0.15">
      <c r="A445" s="10"/>
      <c r="B445" s="13"/>
      <c r="C445" s="13"/>
    </row>
    <row r="446" spans="1:3" ht="13" x14ac:dyDescent="0.15">
      <c r="A446" s="10"/>
      <c r="B446" s="13"/>
      <c r="C446" s="13"/>
    </row>
    <row r="447" spans="1:3" ht="13" x14ac:dyDescent="0.15">
      <c r="A447" s="10"/>
      <c r="B447" s="13"/>
      <c r="C447" s="13"/>
    </row>
    <row r="448" spans="1:3" ht="13" x14ac:dyDescent="0.15">
      <c r="A448" s="10"/>
      <c r="B448" s="13"/>
      <c r="C448" s="13"/>
    </row>
    <row r="449" spans="1:3" ht="13" x14ac:dyDescent="0.15">
      <c r="A449" s="10"/>
      <c r="B449" s="13"/>
      <c r="C449" s="13"/>
    </row>
    <row r="450" spans="1:3" ht="13" x14ac:dyDescent="0.15">
      <c r="A450" s="10"/>
      <c r="B450" s="13"/>
      <c r="C450" s="13"/>
    </row>
    <row r="451" spans="1:3" ht="13" x14ac:dyDescent="0.15">
      <c r="A451" s="10"/>
      <c r="B451" s="13"/>
      <c r="C451" s="13"/>
    </row>
    <row r="452" spans="1:3" ht="13" x14ac:dyDescent="0.15">
      <c r="A452" s="10"/>
      <c r="B452" s="13"/>
      <c r="C452" s="13"/>
    </row>
    <row r="453" spans="1:3" ht="13" x14ac:dyDescent="0.15">
      <c r="A453" s="10"/>
      <c r="B453" s="13"/>
      <c r="C453" s="13"/>
    </row>
    <row r="454" spans="1:3" ht="13" x14ac:dyDescent="0.15">
      <c r="A454" s="10"/>
      <c r="B454" s="13"/>
      <c r="C454" s="13"/>
    </row>
    <row r="455" spans="1:3" ht="13" x14ac:dyDescent="0.15">
      <c r="A455" s="10"/>
      <c r="B455" s="13"/>
      <c r="C455" s="13"/>
    </row>
    <row r="456" spans="1:3" ht="13" x14ac:dyDescent="0.15">
      <c r="A456" s="10"/>
      <c r="B456" s="13"/>
      <c r="C456" s="13"/>
    </row>
    <row r="457" spans="1:3" ht="13" x14ac:dyDescent="0.15">
      <c r="A457" s="10"/>
      <c r="B457" s="13"/>
      <c r="C457" s="13"/>
    </row>
    <row r="458" spans="1:3" ht="13" x14ac:dyDescent="0.15">
      <c r="A458" s="10"/>
      <c r="B458" s="13"/>
      <c r="C458" s="13"/>
    </row>
    <row r="459" spans="1:3" ht="13" x14ac:dyDescent="0.15">
      <c r="A459" s="10"/>
      <c r="B459" s="13"/>
      <c r="C459" s="13"/>
    </row>
    <row r="460" spans="1:3" ht="13" x14ac:dyDescent="0.15">
      <c r="A460" s="10"/>
      <c r="B460" s="13"/>
      <c r="C460" s="13"/>
    </row>
    <row r="461" spans="1:3" ht="13" x14ac:dyDescent="0.15">
      <c r="A461" s="10"/>
      <c r="B461" s="13"/>
      <c r="C461" s="13"/>
    </row>
    <row r="462" spans="1:3" ht="13" x14ac:dyDescent="0.15">
      <c r="A462" s="10"/>
      <c r="B462" s="13"/>
      <c r="C462" s="13"/>
    </row>
    <row r="463" spans="1:3" ht="13" x14ac:dyDescent="0.15">
      <c r="A463" s="10"/>
      <c r="B463" s="13"/>
      <c r="C463" s="13"/>
    </row>
    <row r="464" spans="1:3" ht="13" x14ac:dyDescent="0.15">
      <c r="A464" s="10"/>
      <c r="B464" s="13"/>
      <c r="C464" s="13"/>
    </row>
    <row r="465" spans="1:3" ht="13" x14ac:dyDescent="0.15">
      <c r="A465" s="10"/>
      <c r="B465" s="13"/>
      <c r="C465" s="13"/>
    </row>
    <row r="466" spans="1:3" ht="13" x14ac:dyDescent="0.15">
      <c r="A466" s="10"/>
      <c r="B466" s="13"/>
      <c r="C466" s="13"/>
    </row>
    <row r="467" spans="1:3" ht="13" x14ac:dyDescent="0.15">
      <c r="A467" s="10"/>
      <c r="B467" s="13"/>
      <c r="C467" s="13"/>
    </row>
    <row r="468" spans="1:3" ht="13" x14ac:dyDescent="0.15">
      <c r="A468" s="10"/>
      <c r="B468" s="13"/>
      <c r="C468" s="13"/>
    </row>
    <row r="469" spans="1:3" ht="13" x14ac:dyDescent="0.15">
      <c r="A469" s="10"/>
      <c r="B469" s="13"/>
      <c r="C469" s="13"/>
    </row>
    <row r="470" spans="1:3" ht="13" x14ac:dyDescent="0.15">
      <c r="A470" s="10"/>
      <c r="B470" s="13"/>
      <c r="C470" s="13"/>
    </row>
    <row r="471" spans="1:3" ht="13" x14ac:dyDescent="0.15">
      <c r="A471" s="10"/>
      <c r="B471" s="13"/>
      <c r="C471" s="13"/>
    </row>
    <row r="472" spans="1:3" ht="13" x14ac:dyDescent="0.15">
      <c r="A472" s="10"/>
      <c r="B472" s="13"/>
      <c r="C472" s="13"/>
    </row>
    <row r="473" spans="1:3" ht="13" x14ac:dyDescent="0.15">
      <c r="A473" s="10"/>
      <c r="B473" s="13"/>
      <c r="C473" s="13"/>
    </row>
    <row r="474" spans="1:3" ht="13" x14ac:dyDescent="0.15">
      <c r="A474" s="10"/>
      <c r="B474" s="13"/>
      <c r="C474" s="13"/>
    </row>
    <row r="475" spans="1:3" ht="13" x14ac:dyDescent="0.15">
      <c r="A475" s="10"/>
      <c r="B475" s="13"/>
      <c r="C475" s="13"/>
    </row>
    <row r="476" spans="1:3" ht="13" x14ac:dyDescent="0.15">
      <c r="A476" s="10"/>
      <c r="B476" s="13"/>
      <c r="C476" s="13"/>
    </row>
    <row r="477" spans="1:3" ht="13" x14ac:dyDescent="0.15">
      <c r="A477" s="10"/>
      <c r="B477" s="13"/>
      <c r="C477" s="13"/>
    </row>
    <row r="478" spans="1:3" ht="13" x14ac:dyDescent="0.15">
      <c r="A478" s="10"/>
      <c r="B478" s="13"/>
      <c r="C478" s="13"/>
    </row>
    <row r="479" spans="1:3" ht="13" x14ac:dyDescent="0.15">
      <c r="A479" s="10"/>
      <c r="B479" s="13"/>
      <c r="C479" s="13"/>
    </row>
    <row r="480" spans="1:3" ht="13" x14ac:dyDescent="0.15">
      <c r="A480" s="10"/>
      <c r="B480" s="13"/>
      <c r="C480" s="13"/>
    </row>
    <row r="481" spans="1:3" ht="13" x14ac:dyDescent="0.15">
      <c r="A481" s="10"/>
      <c r="B481" s="13"/>
      <c r="C481" s="13"/>
    </row>
    <row r="482" spans="1:3" ht="13" x14ac:dyDescent="0.15">
      <c r="A482" s="10"/>
      <c r="B482" s="13"/>
      <c r="C482" s="13"/>
    </row>
    <row r="483" spans="1:3" ht="13" x14ac:dyDescent="0.15">
      <c r="A483" s="10"/>
      <c r="B483" s="13"/>
      <c r="C483" s="13"/>
    </row>
    <row r="484" spans="1:3" ht="13" x14ac:dyDescent="0.15">
      <c r="A484" s="10"/>
      <c r="B484" s="13"/>
      <c r="C484" s="13"/>
    </row>
    <row r="485" spans="1:3" ht="13" x14ac:dyDescent="0.15">
      <c r="A485" s="10"/>
      <c r="B485" s="13"/>
      <c r="C485" s="13"/>
    </row>
    <row r="486" spans="1:3" ht="13" x14ac:dyDescent="0.15">
      <c r="A486" s="10"/>
      <c r="B486" s="13"/>
      <c r="C486" s="13"/>
    </row>
    <row r="487" spans="1:3" ht="13" x14ac:dyDescent="0.15">
      <c r="A487" s="10"/>
      <c r="B487" s="13"/>
      <c r="C487" s="13"/>
    </row>
    <row r="488" spans="1:3" ht="13" x14ac:dyDescent="0.15">
      <c r="A488" s="10"/>
      <c r="B488" s="13"/>
      <c r="C488" s="13"/>
    </row>
    <row r="489" spans="1:3" ht="13" x14ac:dyDescent="0.15">
      <c r="A489" s="10"/>
      <c r="B489" s="13"/>
      <c r="C489" s="13"/>
    </row>
    <row r="490" spans="1:3" ht="13" x14ac:dyDescent="0.15">
      <c r="A490" s="10"/>
      <c r="B490" s="13"/>
      <c r="C490" s="13"/>
    </row>
    <row r="491" spans="1:3" ht="13" x14ac:dyDescent="0.15">
      <c r="A491" s="10"/>
      <c r="B491" s="13"/>
      <c r="C491" s="13"/>
    </row>
    <row r="492" spans="1:3" ht="13" x14ac:dyDescent="0.15">
      <c r="A492" s="10"/>
      <c r="B492" s="13"/>
      <c r="C492" s="13"/>
    </row>
    <row r="493" spans="1:3" ht="13" x14ac:dyDescent="0.15">
      <c r="A493" s="10"/>
      <c r="B493" s="13"/>
      <c r="C493" s="13"/>
    </row>
    <row r="494" spans="1:3" ht="13" x14ac:dyDescent="0.15">
      <c r="A494" s="10"/>
      <c r="B494" s="13"/>
      <c r="C494" s="13"/>
    </row>
    <row r="495" spans="1:3" ht="13" x14ac:dyDescent="0.15">
      <c r="A495" s="10"/>
      <c r="B495" s="13"/>
      <c r="C495" s="13"/>
    </row>
    <row r="496" spans="1:3" ht="13" x14ac:dyDescent="0.15">
      <c r="A496" s="10"/>
      <c r="B496" s="13"/>
      <c r="C496" s="13"/>
    </row>
    <row r="497" spans="1:3" ht="13" x14ac:dyDescent="0.15">
      <c r="A497" s="10"/>
      <c r="B497" s="13"/>
      <c r="C497" s="13"/>
    </row>
    <row r="498" spans="1:3" ht="13" x14ac:dyDescent="0.15">
      <c r="A498" s="10"/>
      <c r="B498" s="13"/>
      <c r="C498" s="13"/>
    </row>
    <row r="499" spans="1:3" ht="13" x14ac:dyDescent="0.15">
      <c r="A499" s="10"/>
      <c r="B499" s="13"/>
      <c r="C499" s="13"/>
    </row>
    <row r="500" spans="1:3" ht="13" x14ac:dyDescent="0.15">
      <c r="A500" s="10"/>
      <c r="B500" s="13"/>
      <c r="C500" s="13"/>
    </row>
    <row r="501" spans="1:3" ht="13" x14ac:dyDescent="0.15">
      <c r="A501" s="10"/>
      <c r="B501" s="13"/>
      <c r="C501" s="13"/>
    </row>
    <row r="502" spans="1:3" ht="13" x14ac:dyDescent="0.15">
      <c r="A502" s="10"/>
      <c r="B502" s="13"/>
      <c r="C502" s="13"/>
    </row>
    <row r="503" spans="1:3" ht="13" x14ac:dyDescent="0.15">
      <c r="A503" s="10"/>
      <c r="B503" s="13"/>
      <c r="C503" s="13"/>
    </row>
    <row r="504" spans="1:3" ht="13" x14ac:dyDescent="0.15">
      <c r="A504" s="10"/>
      <c r="B504" s="13"/>
      <c r="C504" s="13"/>
    </row>
    <row r="505" spans="1:3" ht="13" x14ac:dyDescent="0.15">
      <c r="A505" s="10"/>
      <c r="B505" s="13"/>
      <c r="C505" s="13"/>
    </row>
    <row r="506" spans="1:3" ht="13" x14ac:dyDescent="0.15">
      <c r="A506" s="10"/>
      <c r="B506" s="13"/>
      <c r="C506" s="13"/>
    </row>
    <row r="507" spans="1:3" ht="13" x14ac:dyDescent="0.15">
      <c r="A507" s="10"/>
      <c r="B507" s="13"/>
      <c r="C507" s="13"/>
    </row>
    <row r="508" spans="1:3" ht="13" x14ac:dyDescent="0.15">
      <c r="A508" s="10"/>
      <c r="B508" s="13"/>
      <c r="C508" s="13"/>
    </row>
    <row r="509" spans="1:3" ht="13" x14ac:dyDescent="0.15">
      <c r="A509" s="10"/>
      <c r="B509" s="13"/>
      <c r="C509" s="13"/>
    </row>
    <row r="510" spans="1:3" ht="13" x14ac:dyDescent="0.15">
      <c r="A510" s="10"/>
      <c r="B510" s="13"/>
      <c r="C510" s="13"/>
    </row>
    <row r="511" spans="1:3" ht="13" x14ac:dyDescent="0.15">
      <c r="A511" s="10"/>
      <c r="B511" s="13"/>
      <c r="C511" s="13"/>
    </row>
    <row r="512" spans="1:3" ht="13" x14ac:dyDescent="0.15">
      <c r="A512" s="10"/>
      <c r="B512" s="13"/>
      <c r="C512" s="13"/>
    </row>
    <row r="513" spans="1:3" ht="13" x14ac:dyDescent="0.15">
      <c r="A513" s="10"/>
      <c r="B513" s="13"/>
      <c r="C513" s="13"/>
    </row>
    <row r="514" spans="1:3" ht="13" x14ac:dyDescent="0.15">
      <c r="A514" s="10"/>
      <c r="B514" s="13"/>
      <c r="C514" s="13"/>
    </row>
    <row r="515" spans="1:3" ht="13" x14ac:dyDescent="0.15">
      <c r="A515" s="10"/>
      <c r="B515" s="13"/>
      <c r="C515" s="13"/>
    </row>
    <row r="516" spans="1:3" ht="13" x14ac:dyDescent="0.15">
      <c r="A516" s="10"/>
      <c r="B516" s="13"/>
      <c r="C516" s="13"/>
    </row>
    <row r="517" spans="1:3" ht="13" x14ac:dyDescent="0.15">
      <c r="A517" s="10"/>
      <c r="B517" s="13"/>
      <c r="C517" s="13"/>
    </row>
    <row r="518" spans="1:3" ht="13" x14ac:dyDescent="0.15">
      <c r="A518" s="10"/>
      <c r="B518" s="13"/>
      <c r="C518" s="13"/>
    </row>
    <row r="519" spans="1:3" ht="13" x14ac:dyDescent="0.15">
      <c r="A519" s="10"/>
      <c r="B519" s="13"/>
      <c r="C519" s="13"/>
    </row>
    <row r="520" spans="1:3" ht="13" x14ac:dyDescent="0.15">
      <c r="A520" s="10"/>
      <c r="B520" s="13"/>
      <c r="C520" s="13"/>
    </row>
    <row r="521" spans="1:3" ht="13" x14ac:dyDescent="0.15">
      <c r="A521" s="10"/>
      <c r="B521" s="13"/>
      <c r="C521" s="13"/>
    </row>
    <row r="522" spans="1:3" ht="13" x14ac:dyDescent="0.15">
      <c r="A522" s="10"/>
      <c r="B522" s="13"/>
      <c r="C522" s="13"/>
    </row>
    <row r="523" spans="1:3" ht="13" x14ac:dyDescent="0.15">
      <c r="A523" s="10"/>
      <c r="B523" s="13"/>
      <c r="C523" s="13"/>
    </row>
    <row r="524" spans="1:3" ht="13" x14ac:dyDescent="0.15">
      <c r="A524" s="10"/>
      <c r="B524" s="13"/>
      <c r="C524" s="13"/>
    </row>
    <row r="525" spans="1:3" ht="13" x14ac:dyDescent="0.15">
      <c r="A525" s="10"/>
      <c r="B525" s="13"/>
      <c r="C525" s="13"/>
    </row>
    <row r="526" spans="1:3" ht="13" x14ac:dyDescent="0.15">
      <c r="A526" s="10"/>
      <c r="B526" s="13"/>
      <c r="C526" s="13"/>
    </row>
    <row r="527" spans="1:3" ht="13" x14ac:dyDescent="0.15">
      <c r="A527" s="10"/>
      <c r="B527" s="13"/>
      <c r="C527" s="13"/>
    </row>
    <row r="528" spans="1:3" ht="13" x14ac:dyDescent="0.15">
      <c r="A528" s="10"/>
      <c r="B528" s="13"/>
      <c r="C528" s="13"/>
    </row>
    <row r="529" spans="1:3" ht="13" x14ac:dyDescent="0.15">
      <c r="A529" s="10"/>
      <c r="B529" s="13"/>
      <c r="C529" s="13"/>
    </row>
    <row r="530" spans="1:3" ht="13" x14ac:dyDescent="0.15">
      <c r="A530" s="10"/>
      <c r="B530" s="13"/>
      <c r="C530" s="13"/>
    </row>
    <row r="531" spans="1:3" ht="13" x14ac:dyDescent="0.15">
      <c r="A531" s="10"/>
      <c r="B531" s="13"/>
      <c r="C531" s="13"/>
    </row>
    <row r="532" spans="1:3" ht="13" x14ac:dyDescent="0.15">
      <c r="A532" s="10"/>
      <c r="B532" s="13"/>
      <c r="C532" s="13"/>
    </row>
    <row r="533" spans="1:3" ht="13" x14ac:dyDescent="0.15">
      <c r="A533" s="10"/>
      <c r="B533" s="13"/>
      <c r="C533" s="13"/>
    </row>
    <row r="534" spans="1:3" ht="13" x14ac:dyDescent="0.15">
      <c r="A534" s="10"/>
      <c r="B534" s="13"/>
      <c r="C534" s="13"/>
    </row>
    <row r="535" spans="1:3" ht="13" x14ac:dyDescent="0.15">
      <c r="A535" s="10"/>
      <c r="B535" s="13"/>
      <c r="C535" s="13"/>
    </row>
    <row r="536" spans="1:3" ht="13" x14ac:dyDescent="0.15">
      <c r="A536" s="10"/>
      <c r="B536" s="13"/>
      <c r="C536" s="13"/>
    </row>
    <row r="537" spans="1:3" ht="13" x14ac:dyDescent="0.15">
      <c r="A537" s="10"/>
      <c r="B537" s="13"/>
      <c r="C537" s="13"/>
    </row>
    <row r="538" spans="1:3" ht="13" x14ac:dyDescent="0.15">
      <c r="A538" s="10"/>
      <c r="B538" s="13"/>
      <c r="C538" s="13"/>
    </row>
    <row r="539" spans="1:3" ht="13" x14ac:dyDescent="0.15">
      <c r="A539" s="10"/>
      <c r="B539" s="13"/>
      <c r="C539" s="13"/>
    </row>
    <row r="540" spans="1:3" ht="13" x14ac:dyDescent="0.15">
      <c r="A540" s="10"/>
      <c r="B540" s="13"/>
      <c r="C540" s="13"/>
    </row>
    <row r="541" spans="1:3" ht="13" x14ac:dyDescent="0.15">
      <c r="A541" s="10"/>
      <c r="B541" s="13"/>
      <c r="C541" s="13"/>
    </row>
    <row r="542" spans="1:3" ht="13" x14ac:dyDescent="0.15">
      <c r="A542" s="10"/>
      <c r="B542" s="13"/>
      <c r="C542" s="13"/>
    </row>
    <row r="543" spans="1:3" ht="13" x14ac:dyDescent="0.15">
      <c r="A543" s="10"/>
      <c r="B543" s="13"/>
      <c r="C543" s="13"/>
    </row>
    <row r="544" spans="1:3" ht="13" x14ac:dyDescent="0.15">
      <c r="A544" s="10"/>
      <c r="B544" s="13"/>
      <c r="C544" s="13"/>
    </row>
    <row r="545" spans="1:3" ht="13" x14ac:dyDescent="0.15">
      <c r="A545" s="10"/>
      <c r="B545" s="13"/>
      <c r="C545" s="13"/>
    </row>
    <row r="546" spans="1:3" ht="13" x14ac:dyDescent="0.15">
      <c r="A546" s="10"/>
      <c r="B546" s="13"/>
      <c r="C546" s="13"/>
    </row>
    <row r="547" spans="1:3" ht="13" x14ac:dyDescent="0.15">
      <c r="A547" s="10"/>
      <c r="B547" s="13"/>
      <c r="C547" s="13"/>
    </row>
    <row r="548" spans="1:3" ht="13" x14ac:dyDescent="0.15">
      <c r="A548" s="10"/>
      <c r="B548" s="13"/>
      <c r="C548" s="13"/>
    </row>
    <row r="549" spans="1:3" ht="13" x14ac:dyDescent="0.15">
      <c r="A549" s="10"/>
      <c r="B549" s="13"/>
      <c r="C549" s="13"/>
    </row>
    <row r="550" spans="1:3" ht="13" x14ac:dyDescent="0.15">
      <c r="A550" s="10"/>
      <c r="B550" s="13"/>
      <c r="C550" s="13"/>
    </row>
    <row r="551" spans="1:3" ht="13" x14ac:dyDescent="0.15">
      <c r="A551" s="10"/>
      <c r="B551" s="13"/>
      <c r="C551" s="13"/>
    </row>
    <row r="552" spans="1:3" ht="13" x14ac:dyDescent="0.15">
      <c r="A552" s="10"/>
      <c r="B552" s="13"/>
      <c r="C552" s="13"/>
    </row>
    <row r="553" spans="1:3" ht="13" x14ac:dyDescent="0.15">
      <c r="A553" s="10"/>
      <c r="B553" s="13"/>
      <c r="C553" s="13"/>
    </row>
    <row r="554" spans="1:3" ht="13" x14ac:dyDescent="0.15">
      <c r="A554" s="10"/>
      <c r="B554" s="13"/>
      <c r="C554" s="13"/>
    </row>
    <row r="555" spans="1:3" ht="13" x14ac:dyDescent="0.15">
      <c r="A555" s="10"/>
      <c r="B555" s="13"/>
      <c r="C555" s="13"/>
    </row>
    <row r="556" spans="1:3" ht="13" x14ac:dyDescent="0.15">
      <c r="A556" s="10"/>
      <c r="B556" s="13"/>
      <c r="C556" s="13"/>
    </row>
    <row r="557" spans="1:3" ht="13" x14ac:dyDescent="0.15">
      <c r="A557" s="10"/>
      <c r="B557" s="13"/>
      <c r="C557" s="13"/>
    </row>
    <row r="558" spans="1:3" ht="13" x14ac:dyDescent="0.15">
      <c r="A558" s="10"/>
      <c r="B558" s="13"/>
      <c r="C558" s="13"/>
    </row>
    <row r="559" spans="1:3" ht="13" x14ac:dyDescent="0.15">
      <c r="A559" s="10"/>
      <c r="B559" s="13"/>
      <c r="C559" s="13"/>
    </row>
    <row r="560" spans="1:3" ht="13" x14ac:dyDescent="0.15">
      <c r="A560" s="10"/>
      <c r="B560" s="13"/>
      <c r="C560" s="13"/>
    </row>
    <row r="561" spans="1:3" ht="13" x14ac:dyDescent="0.15">
      <c r="A561" s="10"/>
      <c r="B561" s="13"/>
      <c r="C561" s="13"/>
    </row>
    <row r="562" spans="1:3" ht="13" x14ac:dyDescent="0.15">
      <c r="A562" s="10"/>
      <c r="B562" s="13"/>
      <c r="C562" s="13"/>
    </row>
    <row r="563" spans="1:3" ht="13" x14ac:dyDescent="0.15">
      <c r="A563" s="10"/>
      <c r="B563" s="13"/>
      <c r="C563" s="13"/>
    </row>
    <row r="564" spans="1:3" ht="13" x14ac:dyDescent="0.15">
      <c r="A564" s="10"/>
      <c r="B564" s="13"/>
      <c r="C564" s="13"/>
    </row>
    <row r="565" spans="1:3" ht="13" x14ac:dyDescent="0.15">
      <c r="A565" s="10"/>
      <c r="B565" s="13"/>
      <c r="C565" s="13"/>
    </row>
    <row r="566" spans="1:3" ht="13" x14ac:dyDescent="0.15">
      <c r="A566" s="10"/>
      <c r="B566" s="13"/>
      <c r="C566" s="13"/>
    </row>
    <row r="567" spans="1:3" ht="13" x14ac:dyDescent="0.15">
      <c r="A567" s="10"/>
      <c r="B567" s="13"/>
      <c r="C567" s="13"/>
    </row>
    <row r="568" spans="1:3" ht="13" x14ac:dyDescent="0.15">
      <c r="A568" s="10"/>
      <c r="B568" s="13"/>
      <c r="C568" s="13"/>
    </row>
    <row r="569" spans="1:3" ht="13" x14ac:dyDescent="0.15">
      <c r="A569" s="10"/>
      <c r="B569" s="13"/>
      <c r="C569" s="13"/>
    </row>
    <row r="570" spans="1:3" ht="13" x14ac:dyDescent="0.15">
      <c r="A570" s="10"/>
      <c r="B570" s="13"/>
      <c r="C570" s="13"/>
    </row>
    <row r="571" spans="1:3" ht="13" x14ac:dyDescent="0.15">
      <c r="A571" s="10"/>
      <c r="B571" s="13"/>
      <c r="C571" s="13"/>
    </row>
    <row r="572" spans="1:3" ht="13" x14ac:dyDescent="0.15">
      <c r="A572" s="10"/>
      <c r="B572" s="13"/>
      <c r="C572" s="13"/>
    </row>
    <row r="573" spans="1:3" ht="13" x14ac:dyDescent="0.15">
      <c r="A573" s="10"/>
      <c r="B573" s="13"/>
      <c r="C573" s="13"/>
    </row>
    <row r="574" spans="1:3" ht="13" x14ac:dyDescent="0.15">
      <c r="A574" s="10"/>
      <c r="B574" s="13"/>
      <c r="C574" s="13"/>
    </row>
    <row r="575" spans="1:3" ht="13" x14ac:dyDescent="0.15">
      <c r="A575" s="10"/>
      <c r="B575" s="13"/>
      <c r="C575" s="13"/>
    </row>
    <row r="576" spans="1:3" ht="13" x14ac:dyDescent="0.15">
      <c r="A576" s="10"/>
      <c r="B576" s="13"/>
      <c r="C576" s="13"/>
    </row>
    <row r="577" spans="1:3" ht="13" x14ac:dyDescent="0.15">
      <c r="A577" s="10"/>
      <c r="B577" s="13"/>
      <c r="C577" s="13"/>
    </row>
    <row r="578" spans="1:3" ht="13" x14ac:dyDescent="0.15">
      <c r="A578" s="10"/>
      <c r="B578" s="13"/>
      <c r="C578" s="13"/>
    </row>
    <row r="579" spans="1:3" ht="13" x14ac:dyDescent="0.15">
      <c r="A579" s="10"/>
      <c r="B579" s="13"/>
      <c r="C579" s="13"/>
    </row>
    <row r="580" spans="1:3" ht="13" x14ac:dyDescent="0.15">
      <c r="A580" s="10"/>
      <c r="B580" s="13"/>
      <c r="C580" s="13"/>
    </row>
    <row r="581" spans="1:3" ht="13" x14ac:dyDescent="0.15">
      <c r="A581" s="10"/>
      <c r="B581" s="13"/>
      <c r="C581" s="13"/>
    </row>
    <row r="582" spans="1:3" ht="13" x14ac:dyDescent="0.15">
      <c r="A582" s="10"/>
      <c r="B582" s="13"/>
      <c r="C582" s="13"/>
    </row>
    <row r="583" spans="1:3" ht="13" x14ac:dyDescent="0.15">
      <c r="A583" s="10"/>
      <c r="B583" s="13"/>
      <c r="C583" s="13"/>
    </row>
    <row r="584" spans="1:3" ht="13" x14ac:dyDescent="0.15">
      <c r="A584" s="10"/>
      <c r="B584" s="13"/>
      <c r="C584" s="13"/>
    </row>
    <row r="585" spans="1:3" ht="13" x14ac:dyDescent="0.15">
      <c r="A585" s="10"/>
      <c r="B585" s="13"/>
      <c r="C585" s="13"/>
    </row>
    <row r="586" spans="1:3" ht="13" x14ac:dyDescent="0.15">
      <c r="A586" s="10"/>
      <c r="B586" s="13"/>
      <c r="C586" s="13"/>
    </row>
    <row r="587" spans="1:3" ht="13" x14ac:dyDescent="0.15">
      <c r="A587" s="10"/>
      <c r="B587" s="13"/>
      <c r="C587" s="13"/>
    </row>
    <row r="588" spans="1:3" ht="13" x14ac:dyDescent="0.15">
      <c r="A588" s="10"/>
      <c r="B588" s="13"/>
      <c r="C588" s="13"/>
    </row>
    <row r="589" spans="1:3" ht="13" x14ac:dyDescent="0.15">
      <c r="A589" s="10"/>
      <c r="B589" s="13"/>
      <c r="C589" s="13"/>
    </row>
    <row r="590" spans="1:3" ht="13" x14ac:dyDescent="0.15">
      <c r="A590" s="10"/>
      <c r="B590" s="13"/>
      <c r="C590" s="13"/>
    </row>
    <row r="591" spans="1:3" ht="13" x14ac:dyDescent="0.15">
      <c r="A591" s="10"/>
      <c r="B591" s="13"/>
      <c r="C591" s="13"/>
    </row>
    <row r="592" spans="1:3" ht="13" x14ac:dyDescent="0.15">
      <c r="A592" s="10"/>
      <c r="B592" s="13"/>
      <c r="C592" s="13"/>
    </row>
    <row r="593" spans="1:3" ht="13" x14ac:dyDescent="0.15">
      <c r="A593" s="10"/>
      <c r="B593" s="13"/>
      <c r="C593" s="13"/>
    </row>
    <row r="594" spans="1:3" ht="13" x14ac:dyDescent="0.15">
      <c r="A594" s="10"/>
      <c r="B594" s="13"/>
      <c r="C594" s="13"/>
    </row>
    <row r="595" spans="1:3" ht="13" x14ac:dyDescent="0.15">
      <c r="A595" s="10"/>
      <c r="B595" s="13"/>
      <c r="C595" s="13"/>
    </row>
    <row r="596" spans="1:3" ht="13" x14ac:dyDescent="0.15">
      <c r="A596" s="10"/>
      <c r="B596" s="13"/>
      <c r="C596" s="13"/>
    </row>
    <row r="597" spans="1:3" ht="13" x14ac:dyDescent="0.15">
      <c r="A597" s="10"/>
      <c r="B597" s="13"/>
      <c r="C597" s="13"/>
    </row>
    <row r="598" spans="1:3" ht="13" x14ac:dyDescent="0.15">
      <c r="A598" s="10"/>
      <c r="B598" s="13"/>
      <c r="C598" s="13"/>
    </row>
    <row r="599" spans="1:3" ht="13" x14ac:dyDescent="0.15">
      <c r="A599" s="10"/>
      <c r="B599" s="13"/>
      <c r="C599" s="13"/>
    </row>
    <row r="600" spans="1:3" ht="13" x14ac:dyDescent="0.15">
      <c r="A600" s="10"/>
      <c r="B600" s="13"/>
      <c r="C600" s="13"/>
    </row>
    <row r="601" spans="1:3" ht="13" x14ac:dyDescent="0.15">
      <c r="A601" s="10"/>
      <c r="B601" s="13"/>
      <c r="C601" s="13"/>
    </row>
    <row r="602" spans="1:3" ht="13" x14ac:dyDescent="0.15">
      <c r="A602" s="10"/>
      <c r="B602" s="13"/>
      <c r="C602" s="13"/>
    </row>
    <row r="603" spans="1:3" ht="13" x14ac:dyDescent="0.15">
      <c r="A603" s="10"/>
      <c r="B603" s="13"/>
      <c r="C603" s="13"/>
    </row>
    <row r="604" spans="1:3" ht="13" x14ac:dyDescent="0.15">
      <c r="A604" s="10"/>
      <c r="B604" s="13"/>
      <c r="C604" s="13"/>
    </row>
    <row r="605" spans="1:3" ht="13" x14ac:dyDescent="0.15">
      <c r="A605" s="10"/>
      <c r="B605" s="13"/>
      <c r="C605" s="13"/>
    </row>
    <row r="606" spans="1:3" ht="13" x14ac:dyDescent="0.15">
      <c r="A606" s="10"/>
      <c r="B606" s="13"/>
      <c r="C606" s="13"/>
    </row>
    <row r="607" spans="1:3" ht="13" x14ac:dyDescent="0.15">
      <c r="A607" s="10"/>
      <c r="B607" s="13"/>
      <c r="C607" s="13"/>
    </row>
    <row r="608" spans="1:3" ht="13" x14ac:dyDescent="0.15">
      <c r="A608" s="10"/>
      <c r="B608" s="13"/>
      <c r="C608" s="13"/>
    </row>
    <row r="609" spans="1:3" ht="13" x14ac:dyDescent="0.15">
      <c r="A609" s="10"/>
      <c r="B609" s="13"/>
      <c r="C609" s="13"/>
    </row>
    <row r="610" spans="1:3" ht="13" x14ac:dyDescent="0.15">
      <c r="A610" s="10"/>
      <c r="B610" s="13"/>
      <c r="C610" s="13"/>
    </row>
    <row r="611" spans="1:3" ht="13" x14ac:dyDescent="0.15">
      <c r="A611" s="10"/>
      <c r="B611" s="13"/>
      <c r="C611" s="13"/>
    </row>
    <row r="612" spans="1:3" ht="13" x14ac:dyDescent="0.15">
      <c r="A612" s="10"/>
      <c r="B612" s="13"/>
      <c r="C612" s="13"/>
    </row>
    <row r="613" spans="1:3" ht="13" x14ac:dyDescent="0.15">
      <c r="A613" s="10"/>
      <c r="B613" s="13"/>
      <c r="C613" s="13"/>
    </row>
    <row r="614" spans="1:3" ht="13" x14ac:dyDescent="0.15">
      <c r="A614" s="10"/>
      <c r="B614" s="13"/>
      <c r="C614" s="13"/>
    </row>
    <row r="615" spans="1:3" ht="13" x14ac:dyDescent="0.15">
      <c r="A615" s="10"/>
      <c r="B615" s="13"/>
      <c r="C615" s="13"/>
    </row>
    <row r="616" spans="1:3" ht="13" x14ac:dyDescent="0.15">
      <c r="A616" s="10"/>
      <c r="B616" s="13"/>
      <c r="C616" s="13"/>
    </row>
    <row r="617" spans="1:3" ht="13" x14ac:dyDescent="0.15">
      <c r="A617" s="10"/>
      <c r="B617" s="13"/>
      <c r="C617" s="13"/>
    </row>
    <row r="618" spans="1:3" ht="13" x14ac:dyDescent="0.15">
      <c r="A618" s="10"/>
      <c r="B618" s="13"/>
      <c r="C618" s="13"/>
    </row>
    <row r="619" spans="1:3" ht="13" x14ac:dyDescent="0.15">
      <c r="A619" s="10"/>
      <c r="B619" s="13"/>
      <c r="C619" s="13"/>
    </row>
    <row r="620" spans="1:3" ht="13" x14ac:dyDescent="0.15">
      <c r="A620" s="10"/>
      <c r="B620" s="13"/>
      <c r="C620" s="13"/>
    </row>
    <row r="621" spans="1:3" ht="13" x14ac:dyDescent="0.15">
      <c r="A621" s="10"/>
      <c r="B621" s="13"/>
      <c r="C621" s="13"/>
    </row>
    <row r="622" spans="1:3" ht="13" x14ac:dyDescent="0.15">
      <c r="A622" s="10"/>
      <c r="B622" s="13"/>
      <c r="C622" s="13"/>
    </row>
    <row r="623" spans="1:3" ht="13" x14ac:dyDescent="0.15">
      <c r="A623" s="10"/>
      <c r="B623" s="13"/>
      <c r="C623" s="13"/>
    </row>
    <row r="624" spans="1:3" ht="13" x14ac:dyDescent="0.15">
      <c r="A624" s="10"/>
      <c r="B624" s="13"/>
      <c r="C624" s="13"/>
    </row>
    <row r="625" spans="1:3" ht="13" x14ac:dyDescent="0.15">
      <c r="A625" s="10"/>
      <c r="B625" s="13"/>
      <c r="C625" s="13"/>
    </row>
    <row r="626" spans="1:3" ht="13" x14ac:dyDescent="0.15">
      <c r="A626" s="10"/>
      <c r="B626" s="13"/>
      <c r="C626" s="13"/>
    </row>
    <row r="627" spans="1:3" ht="13" x14ac:dyDescent="0.15">
      <c r="A627" s="10"/>
      <c r="B627" s="13"/>
      <c r="C627" s="13"/>
    </row>
    <row r="628" spans="1:3" ht="13" x14ac:dyDescent="0.15">
      <c r="A628" s="10"/>
      <c r="B628" s="13"/>
      <c r="C628" s="13"/>
    </row>
    <row r="629" spans="1:3" ht="13" x14ac:dyDescent="0.15">
      <c r="A629" s="10"/>
      <c r="B629" s="13"/>
      <c r="C629" s="13"/>
    </row>
    <row r="630" spans="1:3" ht="13" x14ac:dyDescent="0.15">
      <c r="A630" s="10"/>
      <c r="B630" s="13"/>
      <c r="C630" s="13"/>
    </row>
    <row r="631" spans="1:3" ht="13" x14ac:dyDescent="0.15">
      <c r="A631" s="10"/>
      <c r="B631" s="13"/>
      <c r="C631" s="13"/>
    </row>
    <row r="632" spans="1:3" ht="13" x14ac:dyDescent="0.15">
      <c r="A632" s="10"/>
      <c r="B632" s="13"/>
      <c r="C632" s="13"/>
    </row>
    <row r="633" spans="1:3" ht="13" x14ac:dyDescent="0.15">
      <c r="A633" s="10"/>
      <c r="B633" s="13"/>
      <c r="C633" s="13"/>
    </row>
    <row r="634" spans="1:3" ht="13" x14ac:dyDescent="0.15">
      <c r="A634" s="10"/>
      <c r="B634" s="13"/>
      <c r="C634" s="13"/>
    </row>
    <row r="635" spans="1:3" ht="13" x14ac:dyDescent="0.15">
      <c r="A635" s="10"/>
      <c r="B635" s="13"/>
      <c r="C635" s="13"/>
    </row>
    <row r="636" spans="1:3" ht="13" x14ac:dyDescent="0.15">
      <c r="A636" s="10"/>
      <c r="B636" s="13"/>
      <c r="C636" s="13"/>
    </row>
    <row r="637" spans="1:3" ht="13" x14ac:dyDescent="0.15">
      <c r="A637" s="10"/>
      <c r="B637" s="13"/>
      <c r="C637" s="13"/>
    </row>
    <row r="638" spans="1:3" ht="13" x14ac:dyDescent="0.15">
      <c r="A638" s="10"/>
      <c r="B638" s="13"/>
      <c r="C638" s="13"/>
    </row>
    <row r="639" spans="1:3" ht="13" x14ac:dyDescent="0.15">
      <c r="A639" s="10"/>
      <c r="B639" s="13"/>
      <c r="C639" s="13"/>
    </row>
    <row r="640" spans="1:3" ht="13" x14ac:dyDescent="0.15">
      <c r="A640" s="10"/>
      <c r="B640" s="13"/>
      <c r="C640" s="13"/>
    </row>
    <row r="641" spans="1:3" ht="13" x14ac:dyDescent="0.15">
      <c r="A641" s="10"/>
      <c r="B641" s="13"/>
      <c r="C641" s="13"/>
    </row>
    <row r="642" spans="1:3" ht="13" x14ac:dyDescent="0.15">
      <c r="A642" s="10"/>
      <c r="B642" s="13"/>
      <c r="C642" s="13"/>
    </row>
    <row r="643" spans="1:3" ht="13" x14ac:dyDescent="0.15">
      <c r="A643" s="10"/>
      <c r="B643" s="13"/>
      <c r="C643" s="13"/>
    </row>
    <row r="644" spans="1:3" ht="13" x14ac:dyDescent="0.15">
      <c r="A644" s="10"/>
      <c r="B644" s="13"/>
      <c r="C644" s="13"/>
    </row>
    <row r="645" spans="1:3" ht="13" x14ac:dyDescent="0.15">
      <c r="A645" s="10"/>
      <c r="B645" s="13"/>
      <c r="C645" s="13"/>
    </row>
    <row r="646" spans="1:3" ht="13" x14ac:dyDescent="0.15">
      <c r="A646" s="10"/>
      <c r="B646" s="13"/>
      <c r="C646" s="13"/>
    </row>
    <row r="647" spans="1:3" ht="13" x14ac:dyDescent="0.15">
      <c r="A647" s="10"/>
      <c r="B647" s="13"/>
      <c r="C647" s="13"/>
    </row>
    <row r="648" spans="1:3" ht="13" x14ac:dyDescent="0.15">
      <c r="A648" s="10"/>
      <c r="B648" s="13"/>
      <c r="C648" s="13"/>
    </row>
    <row r="649" spans="1:3" ht="13" x14ac:dyDescent="0.15">
      <c r="A649" s="10"/>
      <c r="B649" s="13"/>
      <c r="C649" s="13"/>
    </row>
    <row r="650" spans="1:3" ht="13" x14ac:dyDescent="0.15">
      <c r="A650" s="10"/>
      <c r="B650" s="13"/>
      <c r="C650" s="13"/>
    </row>
    <row r="651" spans="1:3" ht="13" x14ac:dyDescent="0.15">
      <c r="A651" s="10"/>
      <c r="B651" s="13"/>
      <c r="C651" s="13"/>
    </row>
    <row r="652" spans="1:3" ht="13" x14ac:dyDescent="0.15">
      <c r="A652" s="10"/>
      <c r="B652" s="13"/>
      <c r="C652" s="13"/>
    </row>
    <row r="653" spans="1:3" ht="13" x14ac:dyDescent="0.15">
      <c r="A653" s="10"/>
      <c r="B653" s="13"/>
      <c r="C653" s="13"/>
    </row>
    <row r="654" spans="1:3" ht="13" x14ac:dyDescent="0.15">
      <c r="A654" s="10"/>
      <c r="B654" s="13"/>
      <c r="C654" s="13"/>
    </row>
    <row r="655" spans="1:3" ht="13" x14ac:dyDescent="0.15">
      <c r="A655" s="10"/>
      <c r="B655" s="13"/>
      <c r="C655" s="13"/>
    </row>
    <row r="656" spans="1:3" ht="13" x14ac:dyDescent="0.15">
      <c r="A656" s="10"/>
      <c r="B656" s="13"/>
      <c r="C656" s="13"/>
    </row>
    <row r="657" spans="1:3" ht="13" x14ac:dyDescent="0.15">
      <c r="A657" s="10"/>
      <c r="B657" s="13"/>
      <c r="C657" s="13"/>
    </row>
    <row r="658" spans="1:3" ht="13" x14ac:dyDescent="0.15">
      <c r="A658" s="10"/>
      <c r="B658" s="13"/>
      <c r="C658" s="13"/>
    </row>
    <row r="659" spans="1:3" ht="13" x14ac:dyDescent="0.15">
      <c r="A659" s="10"/>
      <c r="B659" s="13"/>
      <c r="C659" s="13"/>
    </row>
    <row r="660" spans="1:3" ht="13" x14ac:dyDescent="0.15">
      <c r="A660" s="10"/>
      <c r="B660" s="13"/>
      <c r="C660" s="13"/>
    </row>
    <row r="661" spans="1:3" ht="13" x14ac:dyDescent="0.15">
      <c r="A661" s="10"/>
      <c r="B661" s="13"/>
      <c r="C661" s="13"/>
    </row>
    <row r="662" spans="1:3" ht="13" x14ac:dyDescent="0.15">
      <c r="A662" s="10"/>
      <c r="B662" s="13"/>
      <c r="C662" s="13"/>
    </row>
    <row r="663" spans="1:3" ht="13" x14ac:dyDescent="0.15">
      <c r="A663" s="10"/>
      <c r="B663" s="13"/>
      <c r="C663" s="13"/>
    </row>
    <row r="664" spans="1:3" ht="13" x14ac:dyDescent="0.15">
      <c r="A664" s="10"/>
      <c r="B664" s="13"/>
      <c r="C664" s="13"/>
    </row>
    <row r="665" spans="1:3" ht="13" x14ac:dyDescent="0.15">
      <c r="A665" s="10"/>
      <c r="B665" s="13"/>
      <c r="C665" s="13"/>
    </row>
    <row r="666" spans="1:3" ht="13" x14ac:dyDescent="0.15">
      <c r="A666" s="10"/>
      <c r="B666" s="13"/>
      <c r="C666" s="13"/>
    </row>
    <row r="667" spans="1:3" ht="13" x14ac:dyDescent="0.15">
      <c r="A667" s="10"/>
      <c r="B667" s="13"/>
      <c r="C667" s="13"/>
    </row>
    <row r="668" spans="1:3" ht="13" x14ac:dyDescent="0.15">
      <c r="A668" s="10"/>
      <c r="B668" s="13"/>
      <c r="C668" s="13"/>
    </row>
    <row r="669" spans="1:3" ht="13" x14ac:dyDescent="0.15">
      <c r="A669" s="10"/>
      <c r="B669" s="13"/>
      <c r="C669" s="13"/>
    </row>
    <row r="670" spans="1:3" ht="13" x14ac:dyDescent="0.15">
      <c r="A670" s="10"/>
      <c r="B670" s="13"/>
      <c r="C670" s="13"/>
    </row>
    <row r="671" spans="1:3" ht="13" x14ac:dyDescent="0.15">
      <c r="A671" s="10"/>
      <c r="B671" s="13"/>
      <c r="C671" s="13"/>
    </row>
    <row r="672" spans="1:3" ht="13" x14ac:dyDescent="0.15">
      <c r="A672" s="10"/>
      <c r="B672" s="13"/>
      <c r="C672" s="13"/>
    </row>
    <row r="673" spans="1:3" ht="13" x14ac:dyDescent="0.15">
      <c r="A673" s="10"/>
      <c r="B673" s="13"/>
      <c r="C673" s="13"/>
    </row>
    <row r="674" spans="1:3" ht="13" x14ac:dyDescent="0.15">
      <c r="A674" s="10"/>
      <c r="B674" s="13"/>
      <c r="C674" s="13"/>
    </row>
    <row r="675" spans="1:3" ht="13" x14ac:dyDescent="0.15">
      <c r="A675" s="10"/>
      <c r="B675" s="13"/>
      <c r="C675" s="13"/>
    </row>
    <row r="676" spans="1:3" ht="13" x14ac:dyDescent="0.15">
      <c r="A676" s="10"/>
      <c r="B676" s="13"/>
      <c r="C676" s="13"/>
    </row>
    <row r="677" spans="1:3" ht="13" x14ac:dyDescent="0.15">
      <c r="A677" s="10"/>
      <c r="B677" s="13"/>
      <c r="C677" s="13"/>
    </row>
    <row r="678" spans="1:3" ht="13" x14ac:dyDescent="0.15">
      <c r="A678" s="10"/>
      <c r="B678" s="13"/>
      <c r="C678" s="13"/>
    </row>
    <row r="679" spans="1:3" ht="13" x14ac:dyDescent="0.15">
      <c r="A679" s="10"/>
      <c r="B679" s="13"/>
      <c r="C679" s="13"/>
    </row>
    <row r="680" spans="1:3" ht="13" x14ac:dyDescent="0.15">
      <c r="A680" s="10"/>
      <c r="B680" s="13"/>
      <c r="C680" s="13"/>
    </row>
    <row r="681" spans="1:3" ht="13" x14ac:dyDescent="0.15">
      <c r="A681" s="10"/>
      <c r="B681" s="13"/>
      <c r="C681" s="13"/>
    </row>
    <row r="682" spans="1:3" ht="13" x14ac:dyDescent="0.15">
      <c r="A682" s="10"/>
      <c r="B682" s="13"/>
      <c r="C682" s="13"/>
    </row>
    <row r="683" spans="1:3" ht="13" x14ac:dyDescent="0.15">
      <c r="A683" s="10"/>
      <c r="B683" s="13"/>
      <c r="C683" s="13"/>
    </row>
    <row r="684" spans="1:3" ht="13" x14ac:dyDescent="0.15">
      <c r="A684" s="10"/>
      <c r="B684" s="13"/>
      <c r="C684" s="13"/>
    </row>
    <row r="685" spans="1:3" ht="13" x14ac:dyDescent="0.15">
      <c r="A685" s="10"/>
      <c r="B685" s="13"/>
      <c r="C685" s="13"/>
    </row>
    <row r="686" spans="1:3" ht="13" x14ac:dyDescent="0.15">
      <c r="A686" s="10"/>
      <c r="B686" s="13"/>
      <c r="C686" s="13"/>
    </row>
    <row r="687" spans="1:3" ht="13" x14ac:dyDescent="0.15">
      <c r="A687" s="10"/>
      <c r="B687" s="13"/>
      <c r="C687" s="13"/>
    </row>
    <row r="688" spans="1:3" ht="13" x14ac:dyDescent="0.15">
      <c r="A688" s="10"/>
      <c r="B688" s="13"/>
      <c r="C688" s="13"/>
    </row>
    <row r="689" spans="1:3" ht="13" x14ac:dyDescent="0.15">
      <c r="A689" s="10"/>
      <c r="B689" s="13"/>
      <c r="C689" s="13"/>
    </row>
    <row r="690" spans="1:3" ht="13" x14ac:dyDescent="0.15">
      <c r="A690" s="10"/>
      <c r="B690" s="13"/>
      <c r="C690" s="13"/>
    </row>
    <row r="691" spans="1:3" ht="13" x14ac:dyDescent="0.15">
      <c r="A691" s="10"/>
      <c r="B691" s="13"/>
      <c r="C691" s="13"/>
    </row>
    <row r="692" spans="1:3" ht="13" x14ac:dyDescent="0.15">
      <c r="A692" s="10"/>
      <c r="B692" s="13"/>
      <c r="C692" s="13"/>
    </row>
    <row r="693" spans="1:3" ht="13" x14ac:dyDescent="0.15">
      <c r="A693" s="10"/>
      <c r="B693" s="13"/>
      <c r="C693" s="13"/>
    </row>
    <row r="694" spans="1:3" ht="13" x14ac:dyDescent="0.15">
      <c r="A694" s="10"/>
      <c r="B694" s="13"/>
      <c r="C694" s="13"/>
    </row>
    <row r="695" spans="1:3" ht="13" x14ac:dyDescent="0.15">
      <c r="A695" s="10"/>
      <c r="B695" s="13"/>
      <c r="C695" s="13"/>
    </row>
    <row r="696" spans="1:3" ht="13" x14ac:dyDescent="0.15">
      <c r="A696" s="10"/>
      <c r="B696" s="13"/>
      <c r="C696" s="13"/>
    </row>
    <row r="697" spans="1:3" ht="13" x14ac:dyDescent="0.15">
      <c r="A697" s="10"/>
      <c r="B697" s="13"/>
      <c r="C697" s="13"/>
    </row>
    <row r="698" spans="1:3" ht="13" x14ac:dyDescent="0.15">
      <c r="A698" s="10"/>
      <c r="B698" s="13"/>
      <c r="C698" s="13"/>
    </row>
    <row r="699" spans="1:3" ht="13" x14ac:dyDescent="0.15">
      <c r="A699" s="10"/>
      <c r="B699" s="13"/>
      <c r="C699" s="13"/>
    </row>
    <row r="700" spans="1:3" ht="13" x14ac:dyDescent="0.15">
      <c r="A700" s="10"/>
      <c r="B700" s="13"/>
      <c r="C700" s="13"/>
    </row>
    <row r="701" spans="1:3" ht="13" x14ac:dyDescent="0.15">
      <c r="A701" s="10"/>
      <c r="B701" s="13"/>
      <c r="C701" s="13"/>
    </row>
    <row r="702" spans="1:3" ht="13" x14ac:dyDescent="0.15">
      <c r="A702" s="10"/>
      <c r="B702" s="13"/>
      <c r="C702" s="13"/>
    </row>
    <row r="703" spans="1:3" ht="13" x14ac:dyDescent="0.15">
      <c r="A703" s="10"/>
      <c r="B703" s="13"/>
      <c r="C703" s="13"/>
    </row>
    <row r="704" spans="1:3" ht="13" x14ac:dyDescent="0.15">
      <c r="A704" s="10"/>
      <c r="B704" s="13"/>
      <c r="C704" s="13"/>
    </row>
    <row r="705" spans="1:3" ht="13" x14ac:dyDescent="0.15">
      <c r="A705" s="10"/>
      <c r="B705" s="13"/>
      <c r="C705" s="13"/>
    </row>
    <row r="706" spans="1:3" ht="13" x14ac:dyDescent="0.15">
      <c r="A706" s="10"/>
      <c r="B706" s="13"/>
      <c r="C706" s="13"/>
    </row>
    <row r="707" spans="1:3" ht="13" x14ac:dyDescent="0.15">
      <c r="A707" s="10"/>
      <c r="B707" s="13"/>
      <c r="C707" s="13"/>
    </row>
    <row r="708" spans="1:3" ht="13" x14ac:dyDescent="0.15">
      <c r="A708" s="10"/>
      <c r="B708" s="13"/>
      <c r="C708" s="13"/>
    </row>
    <row r="709" spans="1:3" ht="13" x14ac:dyDescent="0.15">
      <c r="A709" s="10"/>
      <c r="B709" s="13"/>
      <c r="C709" s="13"/>
    </row>
    <row r="710" spans="1:3" ht="13" x14ac:dyDescent="0.15">
      <c r="A710" s="10"/>
      <c r="B710" s="13"/>
      <c r="C710" s="13"/>
    </row>
    <row r="711" spans="1:3" ht="13" x14ac:dyDescent="0.15">
      <c r="A711" s="10"/>
      <c r="B711" s="13"/>
      <c r="C711" s="13"/>
    </row>
    <row r="712" spans="1:3" ht="13" x14ac:dyDescent="0.15">
      <c r="A712" s="10"/>
      <c r="B712" s="13"/>
      <c r="C712" s="13"/>
    </row>
    <row r="713" spans="1:3" ht="13" x14ac:dyDescent="0.15">
      <c r="A713" s="10"/>
      <c r="B713" s="13"/>
      <c r="C713" s="13"/>
    </row>
    <row r="714" spans="1:3" ht="13" x14ac:dyDescent="0.15">
      <c r="A714" s="10"/>
      <c r="B714" s="13"/>
      <c r="C714" s="13"/>
    </row>
    <row r="715" spans="1:3" ht="13" x14ac:dyDescent="0.15">
      <c r="A715" s="10"/>
      <c r="B715" s="13"/>
      <c r="C715" s="13"/>
    </row>
    <row r="716" spans="1:3" ht="13" x14ac:dyDescent="0.15">
      <c r="A716" s="10"/>
      <c r="B716" s="13"/>
      <c r="C716" s="13"/>
    </row>
    <row r="717" spans="1:3" ht="13" x14ac:dyDescent="0.15">
      <c r="A717" s="10"/>
      <c r="B717" s="13"/>
      <c r="C717" s="13"/>
    </row>
    <row r="718" spans="1:3" ht="13" x14ac:dyDescent="0.15">
      <c r="A718" s="10"/>
      <c r="B718" s="13"/>
      <c r="C718" s="13"/>
    </row>
    <row r="719" spans="1:3" ht="13" x14ac:dyDescent="0.15">
      <c r="A719" s="10"/>
      <c r="B719" s="13"/>
      <c r="C719" s="13"/>
    </row>
    <row r="720" spans="1:3" ht="13" x14ac:dyDescent="0.15">
      <c r="A720" s="10"/>
      <c r="B720" s="13"/>
      <c r="C720" s="13"/>
    </row>
    <row r="721" spans="1:3" ht="13" x14ac:dyDescent="0.15">
      <c r="A721" s="10"/>
      <c r="B721" s="13"/>
      <c r="C721" s="13"/>
    </row>
    <row r="722" spans="1:3" ht="13" x14ac:dyDescent="0.15">
      <c r="A722" s="10"/>
      <c r="B722" s="13"/>
      <c r="C722" s="13"/>
    </row>
    <row r="723" spans="1:3" ht="13" x14ac:dyDescent="0.15">
      <c r="A723" s="10"/>
      <c r="B723" s="13"/>
      <c r="C723" s="13"/>
    </row>
    <row r="724" spans="1:3" ht="13" x14ac:dyDescent="0.15">
      <c r="A724" s="10"/>
      <c r="B724" s="13"/>
      <c r="C724" s="13"/>
    </row>
    <row r="725" spans="1:3" ht="13" x14ac:dyDescent="0.15">
      <c r="A725" s="10"/>
      <c r="B725" s="13"/>
      <c r="C725" s="13"/>
    </row>
    <row r="726" spans="1:3" ht="13" x14ac:dyDescent="0.15">
      <c r="A726" s="10"/>
      <c r="B726" s="13"/>
      <c r="C726" s="13"/>
    </row>
    <row r="727" spans="1:3" ht="13" x14ac:dyDescent="0.15">
      <c r="A727" s="10"/>
      <c r="B727" s="13"/>
      <c r="C727" s="13"/>
    </row>
    <row r="728" spans="1:3" ht="13" x14ac:dyDescent="0.15">
      <c r="A728" s="10"/>
      <c r="B728" s="13"/>
      <c r="C728" s="13"/>
    </row>
    <row r="729" spans="1:3" ht="13" x14ac:dyDescent="0.15">
      <c r="A729" s="10"/>
      <c r="B729" s="13"/>
      <c r="C729" s="13"/>
    </row>
    <row r="730" spans="1:3" ht="13" x14ac:dyDescent="0.15">
      <c r="A730" s="10"/>
      <c r="B730" s="13"/>
      <c r="C730" s="13"/>
    </row>
    <row r="731" spans="1:3" ht="13" x14ac:dyDescent="0.15">
      <c r="A731" s="10"/>
      <c r="B731" s="13"/>
      <c r="C731" s="13"/>
    </row>
    <row r="732" spans="1:3" ht="13" x14ac:dyDescent="0.15">
      <c r="A732" s="10"/>
      <c r="B732" s="13"/>
      <c r="C732" s="13"/>
    </row>
    <row r="733" spans="1:3" ht="13" x14ac:dyDescent="0.15">
      <c r="A733" s="10"/>
      <c r="B733" s="13"/>
      <c r="C733" s="13"/>
    </row>
    <row r="734" spans="1:3" ht="13" x14ac:dyDescent="0.15">
      <c r="A734" s="10"/>
      <c r="B734" s="13"/>
      <c r="C734" s="13"/>
    </row>
    <row r="735" spans="1:3" ht="13" x14ac:dyDescent="0.15">
      <c r="A735" s="10"/>
      <c r="B735" s="13"/>
      <c r="C735" s="13"/>
    </row>
    <row r="736" spans="1:3" ht="13" x14ac:dyDescent="0.15">
      <c r="A736" s="10"/>
      <c r="B736" s="13"/>
      <c r="C736" s="13"/>
    </row>
    <row r="737" spans="1:3" ht="13" x14ac:dyDescent="0.15">
      <c r="A737" s="10"/>
      <c r="B737" s="13"/>
      <c r="C737" s="13"/>
    </row>
    <row r="738" spans="1:3" ht="13" x14ac:dyDescent="0.15">
      <c r="A738" s="10"/>
      <c r="B738" s="13"/>
      <c r="C738" s="13"/>
    </row>
    <row r="739" spans="1:3" ht="13" x14ac:dyDescent="0.15">
      <c r="A739" s="10"/>
      <c r="B739" s="13"/>
      <c r="C739" s="13"/>
    </row>
    <row r="740" spans="1:3" ht="13" x14ac:dyDescent="0.15">
      <c r="A740" s="10"/>
      <c r="B740" s="13"/>
      <c r="C740" s="13"/>
    </row>
    <row r="741" spans="1:3" ht="13" x14ac:dyDescent="0.15">
      <c r="A741" s="10"/>
      <c r="B741" s="13"/>
      <c r="C741" s="13"/>
    </row>
    <row r="742" spans="1:3" ht="13" x14ac:dyDescent="0.15">
      <c r="A742" s="10"/>
      <c r="B742" s="13"/>
      <c r="C742" s="13"/>
    </row>
    <row r="743" spans="1:3" ht="13" x14ac:dyDescent="0.15">
      <c r="A743" s="10"/>
      <c r="B743" s="13"/>
      <c r="C743" s="13"/>
    </row>
    <row r="744" spans="1:3" ht="13" x14ac:dyDescent="0.15">
      <c r="A744" s="10"/>
      <c r="B744" s="13"/>
      <c r="C744" s="13"/>
    </row>
    <row r="745" spans="1:3" ht="13" x14ac:dyDescent="0.15">
      <c r="A745" s="10"/>
      <c r="B745" s="13"/>
      <c r="C745" s="13"/>
    </row>
    <row r="746" spans="1:3" ht="13" x14ac:dyDescent="0.15">
      <c r="A746" s="10"/>
      <c r="B746" s="13"/>
      <c r="C746" s="13"/>
    </row>
    <row r="747" spans="1:3" ht="13" x14ac:dyDescent="0.15">
      <c r="A747" s="10"/>
      <c r="B747" s="13"/>
      <c r="C747" s="13"/>
    </row>
    <row r="748" spans="1:3" ht="13" x14ac:dyDescent="0.15">
      <c r="A748" s="10"/>
      <c r="B748" s="13"/>
      <c r="C748" s="13"/>
    </row>
    <row r="749" spans="1:3" ht="13" x14ac:dyDescent="0.15">
      <c r="A749" s="10"/>
      <c r="B749" s="13"/>
      <c r="C749" s="13"/>
    </row>
    <row r="750" spans="1:3" ht="13" x14ac:dyDescent="0.15">
      <c r="A750" s="10"/>
      <c r="B750" s="13"/>
      <c r="C750" s="13"/>
    </row>
    <row r="751" spans="1:3" ht="13" x14ac:dyDescent="0.15">
      <c r="A751" s="10"/>
      <c r="B751" s="13"/>
      <c r="C751" s="13"/>
    </row>
    <row r="752" spans="1:3" ht="13" x14ac:dyDescent="0.15">
      <c r="A752" s="10"/>
      <c r="B752" s="13"/>
      <c r="C752" s="13"/>
    </row>
    <row r="753" spans="1:3" ht="13" x14ac:dyDescent="0.15">
      <c r="A753" s="10"/>
      <c r="B753" s="13"/>
      <c r="C753" s="13"/>
    </row>
    <row r="754" spans="1:3" ht="13" x14ac:dyDescent="0.15">
      <c r="A754" s="10"/>
      <c r="B754" s="13"/>
      <c r="C754" s="13"/>
    </row>
    <row r="755" spans="1:3" ht="13" x14ac:dyDescent="0.15">
      <c r="A755" s="10"/>
      <c r="B755" s="13"/>
      <c r="C755" s="13"/>
    </row>
    <row r="756" spans="1:3" ht="13" x14ac:dyDescent="0.15">
      <c r="A756" s="10"/>
      <c r="B756" s="13"/>
      <c r="C756" s="13"/>
    </row>
    <row r="757" spans="1:3" ht="13" x14ac:dyDescent="0.15">
      <c r="A757" s="10"/>
      <c r="B757" s="13"/>
      <c r="C757" s="13"/>
    </row>
    <row r="758" spans="1:3" ht="13" x14ac:dyDescent="0.15">
      <c r="A758" s="10"/>
      <c r="B758" s="13"/>
      <c r="C758" s="13"/>
    </row>
    <row r="759" spans="1:3" ht="13" x14ac:dyDescent="0.15">
      <c r="A759" s="10"/>
      <c r="B759" s="13"/>
      <c r="C759" s="13"/>
    </row>
    <row r="760" spans="1:3" ht="13" x14ac:dyDescent="0.15">
      <c r="A760" s="10"/>
      <c r="B760" s="13"/>
      <c r="C760" s="13"/>
    </row>
    <row r="761" spans="1:3" ht="13" x14ac:dyDescent="0.15">
      <c r="A761" s="10"/>
      <c r="B761" s="13"/>
      <c r="C761" s="13"/>
    </row>
    <row r="762" spans="1:3" ht="13" x14ac:dyDescent="0.15">
      <c r="A762" s="10"/>
      <c r="B762" s="13"/>
      <c r="C762" s="13"/>
    </row>
    <row r="763" spans="1:3" ht="13" x14ac:dyDescent="0.15">
      <c r="A763" s="10"/>
      <c r="B763" s="13"/>
      <c r="C763" s="13"/>
    </row>
    <row r="764" spans="1:3" ht="13" x14ac:dyDescent="0.15">
      <c r="A764" s="10"/>
      <c r="B764" s="13"/>
      <c r="C764" s="13"/>
    </row>
    <row r="765" spans="1:3" ht="13" x14ac:dyDescent="0.15">
      <c r="A765" s="10"/>
      <c r="B765" s="13"/>
      <c r="C765" s="13"/>
    </row>
    <row r="766" spans="1:3" ht="13" x14ac:dyDescent="0.15">
      <c r="A766" s="10"/>
      <c r="B766" s="13"/>
      <c r="C766" s="13"/>
    </row>
    <row r="767" spans="1:3" ht="13" x14ac:dyDescent="0.15">
      <c r="A767" s="10"/>
      <c r="B767" s="13"/>
      <c r="C767" s="13"/>
    </row>
    <row r="768" spans="1:3" ht="13" x14ac:dyDescent="0.15">
      <c r="A768" s="10"/>
      <c r="B768" s="13"/>
      <c r="C768" s="13"/>
    </row>
    <row r="769" spans="1:3" ht="13" x14ac:dyDescent="0.15">
      <c r="A769" s="10"/>
      <c r="B769" s="13"/>
      <c r="C769" s="13"/>
    </row>
    <row r="770" spans="1:3" ht="13" x14ac:dyDescent="0.15">
      <c r="A770" s="10"/>
      <c r="B770" s="13"/>
      <c r="C770" s="13"/>
    </row>
    <row r="771" spans="1:3" ht="13" x14ac:dyDescent="0.15">
      <c r="A771" s="10"/>
      <c r="B771" s="13"/>
      <c r="C771" s="13"/>
    </row>
    <row r="772" spans="1:3" ht="13" x14ac:dyDescent="0.15">
      <c r="A772" s="10"/>
      <c r="B772" s="13"/>
      <c r="C772" s="13"/>
    </row>
    <row r="773" spans="1:3" ht="13" x14ac:dyDescent="0.15">
      <c r="A773" s="10"/>
      <c r="B773" s="13"/>
      <c r="C773" s="13"/>
    </row>
    <row r="774" spans="1:3" ht="13" x14ac:dyDescent="0.15">
      <c r="A774" s="10"/>
      <c r="B774" s="13"/>
      <c r="C774" s="13"/>
    </row>
    <row r="775" spans="1:3" ht="13" x14ac:dyDescent="0.15">
      <c r="A775" s="10"/>
      <c r="B775" s="13"/>
      <c r="C775" s="13"/>
    </row>
    <row r="776" spans="1:3" ht="13" x14ac:dyDescent="0.15">
      <c r="A776" s="10"/>
      <c r="B776" s="13"/>
      <c r="C776" s="13"/>
    </row>
    <row r="777" spans="1:3" ht="13" x14ac:dyDescent="0.15">
      <c r="A777" s="10"/>
      <c r="B777" s="13"/>
      <c r="C777" s="13"/>
    </row>
    <row r="778" spans="1:3" ht="13" x14ac:dyDescent="0.15">
      <c r="A778" s="10"/>
      <c r="B778" s="13"/>
      <c r="C778" s="13"/>
    </row>
    <row r="779" spans="1:3" ht="13" x14ac:dyDescent="0.15">
      <c r="A779" s="10"/>
      <c r="B779" s="13"/>
      <c r="C779" s="13"/>
    </row>
    <row r="780" spans="1:3" ht="13" x14ac:dyDescent="0.15">
      <c r="A780" s="10"/>
      <c r="B780" s="13"/>
      <c r="C780" s="13"/>
    </row>
    <row r="781" spans="1:3" ht="13" x14ac:dyDescent="0.15">
      <c r="A781" s="10"/>
      <c r="B781" s="13"/>
      <c r="C781" s="13"/>
    </row>
    <row r="782" spans="1:3" ht="13" x14ac:dyDescent="0.15">
      <c r="A782" s="10"/>
      <c r="B782" s="13"/>
      <c r="C782" s="13"/>
    </row>
    <row r="783" spans="1:3" ht="13" x14ac:dyDescent="0.15">
      <c r="A783" s="10"/>
      <c r="B783" s="13"/>
      <c r="C783" s="13"/>
    </row>
    <row r="784" spans="1:3" ht="13" x14ac:dyDescent="0.15">
      <c r="A784" s="10"/>
      <c r="B784" s="13"/>
      <c r="C784" s="13"/>
    </row>
    <row r="785" spans="1:3" ht="13" x14ac:dyDescent="0.15">
      <c r="A785" s="10"/>
      <c r="B785" s="13"/>
      <c r="C785" s="13"/>
    </row>
    <row r="786" spans="1:3" ht="13" x14ac:dyDescent="0.15">
      <c r="A786" s="10"/>
      <c r="B786" s="13"/>
      <c r="C786" s="13"/>
    </row>
    <row r="787" spans="1:3" ht="13" x14ac:dyDescent="0.15">
      <c r="A787" s="10"/>
      <c r="B787" s="13"/>
      <c r="C787" s="13"/>
    </row>
    <row r="788" spans="1:3" ht="13" x14ac:dyDescent="0.15">
      <c r="A788" s="10"/>
      <c r="B788" s="13"/>
      <c r="C788" s="13"/>
    </row>
    <row r="789" spans="1:3" ht="13" x14ac:dyDescent="0.15">
      <c r="A789" s="10"/>
      <c r="B789" s="13"/>
      <c r="C789" s="13"/>
    </row>
    <row r="790" spans="1:3" ht="13" x14ac:dyDescent="0.15">
      <c r="A790" s="10"/>
      <c r="B790" s="13"/>
      <c r="C790" s="13"/>
    </row>
    <row r="791" spans="1:3" ht="13" x14ac:dyDescent="0.15">
      <c r="A791" s="10"/>
      <c r="B791" s="13"/>
      <c r="C791" s="13"/>
    </row>
    <row r="792" spans="1:3" ht="13" x14ac:dyDescent="0.15">
      <c r="A792" s="10"/>
      <c r="B792" s="13"/>
      <c r="C792" s="13"/>
    </row>
    <row r="793" spans="1:3" ht="13" x14ac:dyDescent="0.15">
      <c r="A793" s="10"/>
      <c r="B793" s="13"/>
      <c r="C793" s="13"/>
    </row>
    <row r="794" spans="1:3" ht="13" x14ac:dyDescent="0.15">
      <c r="A794" s="10"/>
      <c r="B794" s="13"/>
      <c r="C794" s="13"/>
    </row>
    <row r="795" spans="1:3" ht="13" x14ac:dyDescent="0.15">
      <c r="A795" s="10"/>
      <c r="B795" s="13"/>
      <c r="C795" s="13"/>
    </row>
    <row r="796" spans="1:3" ht="13" x14ac:dyDescent="0.15">
      <c r="A796" s="10"/>
      <c r="B796" s="13"/>
      <c r="C796" s="13"/>
    </row>
    <row r="797" spans="1:3" ht="13" x14ac:dyDescent="0.15">
      <c r="A797" s="10"/>
      <c r="B797" s="13"/>
      <c r="C797" s="13"/>
    </row>
    <row r="798" spans="1:3" ht="13" x14ac:dyDescent="0.15">
      <c r="A798" s="10"/>
      <c r="B798" s="13"/>
      <c r="C798" s="13"/>
    </row>
    <row r="799" spans="1:3" ht="13" x14ac:dyDescent="0.15">
      <c r="A799" s="10"/>
      <c r="B799" s="13"/>
      <c r="C799" s="13"/>
    </row>
    <row r="800" spans="1:3" ht="13" x14ac:dyDescent="0.15">
      <c r="A800" s="10"/>
      <c r="B800" s="13"/>
      <c r="C800" s="13"/>
    </row>
    <row r="801" spans="1:3" ht="13" x14ac:dyDescent="0.15">
      <c r="A801" s="10"/>
      <c r="B801" s="13"/>
      <c r="C801" s="13"/>
    </row>
    <row r="802" spans="1:3" ht="13" x14ac:dyDescent="0.15">
      <c r="A802" s="10"/>
      <c r="B802" s="13"/>
      <c r="C802" s="13"/>
    </row>
    <row r="803" spans="1:3" ht="13" x14ac:dyDescent="0.15">
      <c r="A803" s="10"/>
      <c r="B803" s="13"/>
      <c r="C803" s="13"/>
    </row>
    <row r="804" spans="1:3" ht="13" x14ac:dyDescent="0.15">
      <c r="A804" s="10"/>
      <c r="B804" s="13"/>
      <c r="C804" s="13"/>
    </row>
    <row r="805" spans="1:3" ht="13" x14ac:dyDescent="0.15">
      <c r="A805" s="10"/>
      <c r="B805" s="13"/>
      <c r="C805" s="13"/>
    </row>
    <row r="806" spans="1:3" ht="13" x14ac:dyDescent="0.15">
      <c r="A806" s="10"/>
      <c r="B806" s="13"/>
      <c r="C806" s="13"/>
    </row>
    <row r="807" spans="1:3" ht="13" x14ac:dyDescent="0.15">
      <c r="A807" s="10"/>
      <c r="B807" s="13"/>
      <c r="C807" s="13"/>
    </row>
    <row r="808" spans="1:3" ht="13" x14ac:dyDescent="0.15">
      <c r="A808" s="10"/>
      <c r="B808" s="13"/>
      <c r="C808" s="13"/>
    </row>
    <row r="809" spans="1:3" ht="13" x14ac:dyDescent="0.15">
      <c r="A809" s="10"/>
      <c r="B809" s="13"/>
      <c r="C809" s="13"/>
    </row>
    <row r="810" spans="1:3" ht="13" x14ac:dyDescent="0.15">
      <c r="A810" s="10"/>
      <c r="B810" s="13"/>
      <c r="C810" s="13"/>
    </row>
    <row r="811" spans="1:3" ht="13" x14ac:dyDescent="0.15">
      <c r="A811" s="10"/>
      <c r="B811" s="13"/>
      <c r="C811" s="13"/>
    </row>
    <row r="812" spans="1:3" ht="13" x14ac:dyDescent="0.15">
      <c r="A812" s="10"/>
      <c r="B812" s="13"/>
      <c r="C812" s="13"/>
    </row>
    <row r="813" spans="1:3" ht="13" x14ac:dyDescent="0.15">
      <c r="A813" s="10"/>
      <c r="B813" s="13"/>
      <c r="C813" s="13"/>
    </row>
    <row r="814" spans="1:3" ht="13" x14ac:dyDescent="0.15">
      <c r="A814" s="10"/>
      <c r="B814" s="13"/>
      <c r="C814" s="13"/>
    </row>
    <row r="815" spans="1:3" ht="13" x14ac:dyDescent="0.15">
      <c r="A815" s="10"/>
      <c r="B815" s="13"/>
      <c r="C815" s="13"/>
    </row>
    <row r="816" spans="1:3" ht="13" x14ac:dyDescent="0.15">
      <c r="A816" s="10"/>
      <c r="B816" s="13"/>
      <c r="C816" s="13"/>
    </row>
    <row r="817" spans="1:3" ht="13" x14ac:dyDescent="0.15">
      <c r="A817" s="10"/>
      <c r="B817" s="13"/>
      <c r="C817" s="13"/>
    </row>
    <row r="818" spans="1:3" ht="13" x14ac:dyDescent="0.15">
      <c r="A818" s="10"/>
      <c r="B818" s="13"/>
      <c r="C818" s="13"/>
    </row>
    <row r="819" spans="1:3" ht="13" x14ac:dyDescent="0.15">
      <c r="A819" s="10"/>
      <c r="B819" s="13"/>
      <c r="C819" s="13"/>
    </row>
    <row r="820" spans="1:3" ht="13" x14ac:dyDescent="0.15">
      <c r="A820" s="10"/>
      <c r="B820" s="13"/>
      <c r="C820" s="13"/>
    </row>
    <row r="821" spans="1:3" ht="13" x14ac:dyDescent="0.15">
      <c r="A821" s="10"/>
      <c r="B821" s="13"/>
      <c r="C821" s="13"/>
    </row>
    <row r="822" spans="1:3" ht="13" x14ac:dyDescent="0.15">
      <c r="A822" s="10"/>
      <c r="B822" s="13"/>
      <c r="C822" s="13"/>
    </row>
    <row r="823" spans="1:3" ht="13" x14ac:dyDescent="0.15">
      <c r="A823" s="10"/>
      <c r="B823" s="13"/>
      <c r="C823" s="13"/>
    </row>
    <row r="824" spans="1:3" ht="13" x14ac:dyDescent="0.15">
      <c r="A824" s="10"/>
      <c r="B824" s="13"/>
      <c r="C824" s="13"/>
    </row>
    <row r="825" spans="1:3" ht="13" x14ac:dyDescent="0.15">
      <c r="A825" s="10"/>
      <c r="B825" s="13"/>
      <c r="C825" s="13"/>
    </row>
    <row r="826" spans="1:3" ht="13" x14ac:dyDescent="0.15">
      <c r="A826" s="10"/>
      <c r="B826" s="13"/>
      <c r="C826" s="13"/>
    </row>
    <row r="827" spans="1:3" ht="13" x14ac:dyDescent="0.15">
      <c r="A827" s="10"/>
      <c r="B827" s="13"/>
      <c r="C827" s="13"/>
    </row>
    <row r="828" spans="1:3" ht="13" x14ac:dyDescent="0.15">
      <c r="A828" s="10"/>
      <c r="B828" s="13"/>
      <c r="C828" s="13"/>
    </row>
    <row r="829" spans="1:3" ht="13" x14ac:dyDescent="0.15">
      <c r="A829" s="10"/>
      <c r="B829" s="13"/>
      <c r="C829" s="13"/>
    </row>
    <row r="830" spans="1:3" ht="13" x14ac:dyDescent="0.15">
      <c r="A830" s="10"/>
      <c r="B830" s="13"/>
      <c r="C830" s="13"/>
    </row>
    <row r="831" spans="1:3" ht="13" x14ac:dyDescent="0.15">
      <c r="A831" s="10"/>
      <c r="B831" s="13"/>
      <c r="C831" s="13"/>
    </row>
    <row r="832" spans="1:3" ht="13" x14ac:dyDescent="0.15">
      <c r="A832" s="10"/>
      <c r="B832" s="13"/>
      <c r="C832" s="13"/>
    </row>
    <row r="833" spans="1:3" ht="13" x14ac:dyDescent="0.15">
      <c r="A833" s="10"/>
      <c r="B833" s="13"/>
      <c r="C833" s="13"/>
    </row>
    <row r="834" spans="1:3" ht="13" x14ac:dyDescent="0.15">
      <c r="A834" s="10"/>
      <c r="B834" s="13"/>
      <c r="C834" s="13"/>
    </row>
    <row r="835" spans="1:3" ht="13" x14ac:dyDescent="0.15">
      <c r="A835" s="10"/>
      <c r="B835" s="13"/>
      <c r="C835" s="13"/>
    </row>
    <row r="836" spans="1:3" ht="13" x14ac:dyDescent="0.15">
      <c r="A836" s="10"/>
      <c r="B836" s="13"/>
      <c r="C836" s="13"/>
    </row>
    <row r="837" spans="1:3" ht="13" x14ac:dyDescent="0.15">
      <c r="A837" s="10"/>
      <c r="B837" s="13"/>
      <c r="C837" s="13"/>
    </row>
    <row r="838" spans="1:3" ht="13" x14ac:dyDescent="0.15">
      <c r="A838" s="10"/>
      <c r="B838" s="13"/>
      <c r="C838" s="13"/>
    </row>
    <row r="839" spans="1:3" ht="13" x14ac:dyDescent="0.15">
      <c r="A839" s="10"/>
      <c r="B839" s="13"/>
      <c r="C839" s="13"/>
    </row>
    <row r="840" spans="1:3" ht="13" x14ac:dyDescent="0.15">
      <c r="A840" s="10"/>
      <c r="B840" s="13"/>
      <c r="C840" s="13"/>
    </row>
    <row r="841" spans="1:3" ht="13" x14ac:dyDescent="0.15">
      <c r="A841" s="10"/>
      <c r="B841" s="13"/>
      <c r="C841" s="13"/>
    </row>
    <row r="842" spans="1:3" ht="13" x14ac:dyDescent="0.15">
      <c r="A842" s="10"/>
      <c r="B842" s="13"/>
      <c r="C842" s="13"/>
    </row>
    <row r="843" spans="1:3" ht="13" x14ac:dyDescent="0.15">
      <c r="A843" s="10"/>
      <c r="B843" s="13"/>
      <c r="C843" s="13"/>
    </row>
    <row r="844" spans="1:3" ht="13" x14ac:dyDescent="0.15">
      <c r="A844" s="10"/>
      <c r="B844" s="13"/>
      <c r="C844" s="13"/>
    </row>
    <row r="845" spans="1:3" ht="13" x14ac:dyDescent="0.15">
      <c r="A845" s="10"/>
      <c r="B845" s="13"/>
      <c r="C845" s="13"/>
    </row>
    <row r="846" spans="1:3" ht="13" x14ac:dyDescent="0.15">
      <c r="A846" s="10"/>
      <c r="B846" s="13"/>
      <c r="C846" s="13"/>
    </row>
    <row r="847" spans="1:3" ht="13" x14ac:dyDescent="0.15">
      <c r="A847" s="10"/>
      <c r="B847" s="13"/>
      <c r="C847" s="13"/>
    </row>
    <row r="848" spans="1:3" ht="13" x14ac:dyDescent="0.15">
      <c r="A848" s="10"/>
      <c r="B848" s="13"/>
      <c r="C848" s="13"/>
    </row>
    <row r="849" spans="1:3" ht="13" x14ac:dyDescent="0.15">
      <c r="A849" s="10"/>
      <c r="B849" s="13"/>
      <c r="C849" s="13"/>
    </row>
    <row r="850" spans="1:3" ht="13" x14ac:dyDescent="0.15">
      <c r="A850" s="10"/>
      <c r="B850" s="13"/>
      <c r="C850" s="13"/>
    </row>
    <row r="851" spans="1:3" ht="13" x14ac:dyDescent="0.15">
      <c r="A851" s="10"/>
      <c r="B851" s="13"/>
      <c r="C851" s="13"/>
    </row>
    <row r="852" spans="1:3" ht="13" x14ac:dyDescent="0.15">
      <c r="A852" s="10"/>
      <c r="B852" s="13"/>
      <c r="C852" s="13"/>
    </row>
    <row r="853" spans="1:3" ht="13" x14ac:dyDescent="0.15">
      <c r="A853" s="10"/>
      <c r="B853" s="13"/>
      <c r="C853" s="13"/>
    </row>
    <row r="854" spans="1:3" ht="13" x14ac:dyDescent="0.15">
      <c r="A854" s="10"/>
      <c r="B854" s="13"/>
      <c r="C854" s="13"/>
    </row>
    <row r="855" spans="1:3" ht="13" x14ac:dyDescent="0.15">
      <c r="A855" s="10"/>
      <c r="B855" s="13"/>
      <c r="C855" s="13"/>
    </row>
    <row r="856" spans="1:3" ht="13" x14ac:dyDescent="0.15">
      <c r="A856" s="10"/>
      <c r="B856" s="13"/>
      <c r="C856" s="13"/>
    </row>
    <row r="857" spans="1:3" ht="13" x14ac:dyDescent="0.15">
      <c r="A857" s="10"/>
      <c r="B857" s="13"/>
      <c r="C857" s="13"/>
    </row>
    <row r="858" spans="1:3" ht="13" x14ac:dyDescent="0.15">
      <c r="A858" s="10"/>
      <c r="B858" s="13"/>
      <c r="C858" s="13"/>
    </row>
    <row r="859" spans="1:3" ht="13" x14ac:dyDescent="0.15">
      <c r="A859" s="10"/>
      <c r="B859" s="13"/>
      <c r="C859" s="13"/>
    </row>
    <row r="860" spans="1:3" ht="13" x14ac:dyDescent="0.15">
      <c r="A860" s="10"/>
      <c r="B860" s="13"/>
      <c r="C860" s="13"/>
    </row>
    <row r="861" spans="1:3" ht="13" x14ac:dyDescent="0.15">
      <c r="A861" s="10"/>
      <c r="B861" s="13"/>
      <c r="C861" s="13"/>
    </row>
    <row r="862" spans="1:3" ht="13" x14ac:dyDescent="0.15">
      <c r="A862" s="10"/>
      <c r="B862" s="13"/>
      <c r="C862" s="13"/>
    </row>
    <row r="863" spans="1:3" ht="13" x14ac:dyDescent="0.15">
      <c r="A863" s="10"/>
      <c r="B863" s="13"/>
      <c r="C863" s="13"/>
    </row>
    <row r="864" spans="1:3" ht="13" x14ac:dyDescent="0.15">
      <c r="A864" s="10"/>
      <c r="B864" s="13"/>
      <c r="C864" s="13"/>
    </row>
    <row r="865" spans="1:3" ht="13" x14ac:dyDescent="0.15">
      <c r="A865" s="10"/>
      <c r="B865" s="13"/>
      <c r="C865" s="13"/>
    </row>
    <row r="866" spans="1:3" ht="13" x14ac:dyDescent="0.15">
      <c r="A866" s="10"/>
      <c r="B866" s="13"/>
      <c r="C866" s="13"/>
    </row>
    <row r="867" spans="1:3" ht="13" x14ac:dyDescent="0.15">
      <c r="A867" s="10"/>
      <c r="B867" s="13"/>
      <c r="C867" s="13"/>
    </row>
    <row r="868" spans="1:3" ht="13" x14ac:dyDescent="0.15">
      <c r="A868" s="10"/>
      <c r="B868" s="13"/>
      <c r="C868" s="13"/>
    </row>
    <row r="869" spans="1:3" ht="13" x14ac:dyDescent="0.15">
      <c r="A869" s="10"/>
      <c r="B869" s="13"/>
      <c r="C869" s="13"/>
    </row>
    <row r="870" spans="1:3" ht="13" x14ac:dyDescent="0.15">
      <c r="A870" s="10"/>
      <c r="B870" s="13"/>
      <c r="C870" s="13"/>
    </row>
    <row r="871" spans="1:3" ht="13" x14ac:dyDescent="0.15">
      <c r="A871" s="10"/>
      <c r="B871" s="13"/>
      <c r="C871" s="13"/>
    </row>
    <row r="872" spans="1:3" ht="13" x14ac:dyDescent="0.15">
      <c r="A872" s="10"/>
      <c r="B872" s="13"/>
      <c r="C872" s="13"/>
    </row>
    <row r="873" spans="1:3" ht="13" x14ac:dyDescent="0.15">
      <c r="A873" s="10"/>
      <c r="B873" s="13"/>
      <c r="C873" s="13"/>
    </row>
    <row r="874" spans="1:3" ht="13" x14ac:dyDescent="0.15">
      <c r="A874" s="10"/>
      <c r="B874" s="13"/>
      <c r="C874" s="13"/>
    </row>
    <row r="875" spans="1:3" ht="13" x14ac:dyDescent="0.15">
      <c r="A875" s="10"/>
      <c r="B875" s="13"/>
      <c r="C875" s="13"/>
    </row>
    <row r="876" spans="1:3" ht="13" x14ac:dyDescent="0.15">
      <c r="A876" s="10"/>
      <c r="B876" s="13"/>
      <c r="C876" s="13"/>
    </row>
    <row r="877" spans="1:3" ht="13" x14ac:dyDescent="0.15">
      <c r="A877" s="10"/>
      <c r="B877" s="13"/>
      <c r="C877" s="13"/>
    </row>
    <row r="878" spans="1:3" ht="13" x14ac:dyDescent="0.15">
      <c r="A878" s="10"/>
      <c r="B878" s="13"/>
      <c r="C878" s="13"/>
    </row>
    <row r="879" spans="1:3" ht="13" x14ac:dyDescent="0.15">
      <c r="A879" s="10"/>
      <c r="B879" s="13"/>
      <c r="C879" s="13"/>
    </row>
    <row r="880" spans="1:3" ht="13" x14ac:dyDescent="0.15">
      <c r="A880" s="10"/>
      <c r="B880" s="13"/>
      <c r="C880" s="13"/>
    </row>
    <row r="881" spans="1:3" ht="13" x14ac:dyDescent="0.15">
      <c r="A881" s="10"/>
      <c r="B881" s="13"/>
      <c r="C881" s="13"/>
    </row>
    <row r="882" spans="1:3" ht="13" x14ac:dyDescent="0.15">
      <c r="A882" s="10"/>
      <c r="B882" s="13"/>
      <c r="C882" s="13"/>
    </row>
    <row r="883" spans="1:3" ht="13" x14ac:dyDescent="0.15">
      <c r="A883" s="10"/>
      <c r="B883" s="13"/>
      <c r="C883" s="13"/>
    </row>
    <row r="884" spans="1:3" ht="13" x14ac:dyDescent="0.15">
      <c r="A884" s="10"/>
      <c r="B884" s="13"/>
      <c r="C884" s="13"/>
    </row>
    <row r="885" spans="1:3" ht="13" x14ac:dyDescent="0.15">
      <c r="A885" s="10"/>
      <c r="B885" s="13"/>
      <c r="C885" s="13"/>
    </row>
    <row r="886" spans="1:3" ht="13" x14ac:dyDescent="0.15">
      <c r="A886" s="10"/>
      <c r="B886" s="13"/>
      <c r="C886" s="13"/>
    </row>
    <row r="887" spans="1:3" ht="13" x14ac:dyDescent="0.15">
      <c r="A887" s="10"/>
      <c r="B887" s="13"/>
      <c r="C887" s="13"/>
    </row>
    <row r="888" spans="1:3" ht="13" x14ac:dyDescent="0.15">
      <c r="A888" s="10"/>
      <c r="B888" s="13"/>
      <c r="C888" s="13"/>
    </row>
    <row r="889" spans="1:3" ht="13" x14ac:dyDescent="0.15">
      <c r="A889" s="10"/>
      <c r="B889" s="13"/>
      <c r="C889" s="13"/>
    </row>
    <row r="890" spans="1:3" ht="13" x14ac:dyDescent="0.15">
      <c r="A890" s="10"/>
      <c r="B890" s="13"/>
      <c r="C890" s="13"/>
    </row>
    <row r="891" spans="1:3" ht="13" x14ac:dyDescent="0.15">
      <c r="A891" s="10"/>
      <c r="B891" s="13"/>
      <c r="C891" s="13"/>
    </row>
    <row r="892" spans="1:3" ht="13" x14ac:dyDescent="0.15">
      <c r="A892" s="10"/>
      <c r="B892" s="13"/>
      <c r="C892" s="13"/>
    </row>
    <row r="893" spans="1:3" ht="13" x14ac:dyDescent="0.15">
      <c r="A893" s="10"/>
      <c r="B893" s="13"/>
      <c r="C893" s="13"/>
    </row>
    <row r="894" spans="1:3" ht="13" x14ac:dyDescent="0.15">
      <c r="A894" s="10"/>
      <c r="B894" s="13"/>
      <c r="C894" s="13"/>
    </row>
    <row r="895" spans="1:3" ht="13" x14ac:dyDescent="0.15">
      <c r="A895" s="10"/>
      <c r="B895" s="13"/>
      <c r="C895" s="13"/>
    </row>
    <row r="896" spans="1:3" ht="13" x14ac:dyDescent="0.15">
      <c r="A896" s="10"/>
      <c r="B896" s="13"/>
      <c r="C896" s="13"/>
    </row>
    <row r="897" spans="1:3" ht="13" x14ac:dyDescent="0.15">
      <c r="A897" s="10"/>
      <c r="B897" s="13"/>
      <c r="C897" s="13"/>
    </row>
    <row r="898" spans="1:3" ht="13" x14ac:dyDescent="0.15">
      <c r="A898" s="10"/>
      <c r="B898" s="13"/>
      <c r="C898" s="13"/>
    </row>
    <row r="899" spans="1:3" ht="13" x14ac:dyDescent="0.15">
      <c r="A899" s="10"/>
      <c r="B899" s="13"/>
      <c r="C899" s="13"/>
    </row>
    <row r="900" spans="1:3" ht="13" x14ac:dyDescent="0.15">
      <c r="A900" s="10"/>
      <c r="B900" s="13"/>
      <c r="C900" s="13"/>
    </row>
    <row r="901" spans="1:3" ht="13" x14ac:dyDescent="0.15">
      <c r="A901" s="10"/>
      <c r="B901" s="13"/>
      <c r="C901" s="13"/>
    </row>
    <row r="902" spans="1:3" ht="13" x14ac:dyDescent="0.15">
      <c r="A902" s="10"/>
      <c r="B902" s="13"/>
      <c r="C902" s="13"/>
    </row>
    <row r="903" spans="1:3" ht="13" x14ac:dyDescent="0.15">
      <c r="A903" s="10"/>
      <c r="B903" s="13"/>
      <c r="C903" s="13"/>
    </row>
    <row r="904" spans="1:3" ht="13" x14ac:dyDescent="0.15">
      <c r="A904" s="10"/>
      <c r="B904" s="13"/>
      <c r="C904" s="13"/>
    </row>
    <row r="905" spans="1:3" ht="13" x14ac:dyDescent="0.15">
      <c r="A905" s="10"/>
      <c r="B905" s="13"/>
      <c r="C905" s="13"/>
    </row>
    <row r="906" spans="1:3" ht="13" x14ac:dyDescent="0.15">
      <c r="A906" s="10"/>
      <c r="B906" s="13"/>
      <c r="C906" s="13"/>
    </row>
    <row r="907" spans="1:3" ht="13" x14ac:dyDescent="0.15">
      <c r="A907" s="10"/>
      <c r="B907" s="13"/>
      <c r="C907" s="13"/>
    </row>
    <row r="908" spans="1:3" ht="13" x14ac:dyDescent="0.15">
      <c r="A908" s="10"/>
      <c r="B908" s="13"/>
      <c r="C908" s="13"/>
    </row>
    <row r="909" spans="1:3" ht="13" x14ac:dyDescent="0.15">
      <c r="A909" s="10"/>
      <c r="B909" s="13"/>
      <c r="C909" s="13"/>
    </row>
    <row r="910" spans="1:3" ht="13" x14ac:dyDescent="0.15">
      <c r="A910" s="10"/>
      <c r="B910" s="13"/>
      <c r="C910" s="13"/>
    </row>
    <row r="911" spans="1:3" ht="13" x14ac:dyDescent="0.15">
      <c r="A911" s="10"/>
      <c r="B911" s="13"/>
      <c r="C911" s="13"/>
    </row>
    <row r="912" spans="1:3" ht="13" x14ac:dyDescent="0.15">
      <c r="A912" s="10"/>
      <c r="B912" s="13"/>
      <c r="C912" s="13"/>
    </row>
    <row r="913" spans="1:3" ht="13" x14ac:dyDescent="0.15">
      <c r="A913" s="10"/>
      <c r="B913" s="13"/>
      <c r="C913" s="13"/>
    </row>
    <row r="914" spans="1:3" ht="13" x14ac:dyDescent="0.15">
      <c r="A914" s="10"/>
      <c r="B914" s="13"/>
      <c r="C914" s="13"/>
    </row>
    <row r="915" spans="1:3" ht="13" x14ac:dyDescent="0.15">
      <c r="A915" s="10"/>
      <c r="B915" s="13"/>
      <c r="C915" s="13"/>
    </row>
    <row r="916" spans="1:3" ht="13" x14ac:dyDescent="0.15">
      <c r="A916" s="10"/>
      <c r="B916" s="13"/>
      <c r="C916" s="13"/>
    </row>
    <row r="917" spans="1:3" ht="13" x14ac:dyDescent="0.15">
      <c r="A917" s="10"/>
      <c r="B917" s="13"/>
      <c r="C917" s="13"/>
    </row>
    <row r="918" spans="1:3" ht="13" x14ac:dyDescent="0.15">
      <c r="A918" s="10"/>
      <c r="B918" s="13"/>
      <c r="C918" s="13"/>
    </row>
    <row r="919" spans="1:3" ht="13" x14ac:dyDescent="0.15">
      <c r="A919" s="10"/>
      <c r="B919" s="13"/>
      <c r="C919" s="13"/>
    </row>
    <row r="920" spans="1:3" ht="13" x14ac:dyDescent="0.15">
      <c r="A920" s="10"/>
      <c r="B920" s="13"/>
      <c r="C920" s="13"/>
    </row>
    <row r="921" spans="1:3" ht="13" x14ac:dyDescent="0.15">
      <c r="A921" s="10"/>
      <c r="B921" s="13"/>
      <c r="C921" s="13"/>
    </row>
    <row r="922" spans="1:3" ht="13" x14ac:dyDescent="0.15">
      <c r="A922" s="10"/>
      <c r="B922" s="13"/>
      <c r="C922" s="13"/>
    </row>
    <row r="923" spans="1:3" ht="13" x14ac:dyDescent="0.15">
      <c r="A923" s="10"/>
      <c r="B923" s="13"/>
      <c r="C923" s="13"/>
    </row>
    <row r="924" spans="1:3" ht="13" x14ac:dyDescent="0.15">
      <c r="A924" s="10"/>
      <c r="B924" s="13"/>
      <c r="C924" s="13"/>
    </row>
    <row r="925" spans="1:3" ht="13" x14ac:dyDescent="0.15">
      <c r="A925" s="10"/>
      <c r="B925" s="13"/>
      <c r="C925" s="13"/>
    </row>
    <row r="926" spans="1:3" ht="13" x14ac:dyDescent="0.15">
      <c r="A926" s="10"/>
      <c r="B926" s="13"/>
      <c r="C926" s="13"/>
    </row>
    <row r="927" spans="1:3" ht="13" x14ac:dyDescent="0.15">
      <c r="A927" s="10"/>
      <c r="B927" s="13"/>
      <c r="C927" s="13"/>
    </row>
    <row r="928" spans="1:3" ht="13" x14ac:dyDescent="0.15">
      <c r="A928" s="10"/>
      <c r="B928" s="13"/>
      <c r="C928" s="13"/>
    </row>
    <row r="929" spans="1:3" ht="13" x14ac:dyDescent="0.15">
      <c r="A929" s="10"/>
      <c r="B929" s="13"/>
      <c r="C929" s="13"/>
    </row>
    <row r="930" spans="1:3" ht="13" x14ac:dyDescent="0.15">
      <c r="A930" s="10"/>
      <c r="B930" s="13"/>
      <c r="C930" s="13"/>
    </row>
    <row r="931" spans="1:3" ht="13" x14ac:dyDescent="0.15">
      <c r="A931" s="10"/>
      <c r="B931" s="13"/>
      <c r="C931" s="13"/>
    </row>
    <row r="932" spans="1:3" ht="13" x14ac:dyDescent="0.15">
      <c r="A932" s="10"/>
      <c r="B932" s="13"/>
      <c r="C932" s="13"/>
    </row>
    <row r="933" spans="1:3" ht="13" x14ac:dyDescent="0.15">
      <c r="A933" s="10"/>
      <c r="B933" s="13"/>
      <c r="C933" s="13"/>
    </row>
    <row r="934" spans="1:3" ht="13" x14ac:dyDescent="0.15">
      <c r="A934" s="10"/>
      <c r="B934" s="13"/>
      <c r="C934" s="13"/>
    </row>
    <row r="935" spans="1:3" ht="13" x14ac:dyDescent="0.15">
      <c r="A935" s="10"/>
      <c r="B935" s="13"/>
      <c r="C935" s="13"/>
    </row>
    <row r="936" spans="1:3" ht="13" x14ac:dyDescent="0.15">
      <c r="A936" s="10"/>
      <c r="B936" s="13"/>
      <c r="C936" s="13"/>
    </row>
    <row r="937" spans="1:3" ht="13" x14ac:dyDescent="0.15">
      <c r="A937" s="10"/>
      <c r="B937" s="13"/>
      <c r="C937" s="13"/>
    </row>
    <row r="938" spans="1:3" ht="13" x14ac:dyDescent="0.15">
      <c r="A938" s="10"/>
      <c r="B938" s="13"/>
      <c r="C938" s="13"/>
    </row>
    <row r="939" spans="1:3" ht="13" x14ac:dyDescent="0.15">
      <c r="A939" s="10"/>
      <c r="B939" s="13"/>
      <c r="C939" s="13"/>
    </row>
    <row r="940" spans="1:3" ht="13" x14ac:dyDescent="0.15">
      <c r="A940" s="10"/>
      <c r="B940" s="13"/>
      <c r="C940" s="13"/>
    </row>
    <row r="941" spans="1:3" ht="13" x14ac:dyDescent="0.15">
      <c r="A941" s="10"/>
      <c r="B941" s="13"/>
      <c r="C941" s="13"/>
    </row>
    <row r="942" spans="1:3" ht="13" x14ac:dyDescent="0.15">
      <c r="A942" s="10"/>
      <c r="B942" s="13"/>
      <c r="C942" s="13"/>
    </row>
    <row r="943" spans="1:3" ht="13" x14ac:dyDescent="0.15">
      <c r="A943" s="10"/>
      <c r="B943" s="13"/>
      <c r="C943" s="13"/>
    </row>
    <row r="944" spans="1:3" ht="13" x14ac:dyDescent="0.15">
      <c r="A944" s="10"/>
      <c r="B944" s="13"/>
      <c r="C944" s="13"/>
    </row>
    <row r="945" spans="1:3" ht="13" x14ac:dyDescent="0.15">
      <c r="A945" s="10"/>
      <c r="B945" s="13"/>
      <c r="C945" s="13"/>
    </row>
    <row r="946" spans="1:3" ht="13" x14ac:dyDescent="0.15">
      <c r="A946" s="10"/>
      <c r="B946" s="13"/>
      <c r="C946" s="13"/>
    </row>
    <row r="947" spans="1:3" ht="13" x14ac:dyDescent="0.15">
      <c r="A947" s="10"/>
      <c r="B947" s="13"/>
      <c r="C947" s="13"/>
    </row>
    <row r="948" spans="1:3" ht="13" x14ac:dyDescent="0.15">
      <c r="A948" s="10"/>
      <c r="B948" s="13"/>
      <c r="C948" s="13"/>
    </row>
    <row r="949" spans="1:3" ht="13" x14ac:dyDescent="0.15">
      <c r="A949" s="10"/>
      <c r="B949" s="13"/>
      <c r="C949" s="13"/>
    </row>
    <row r="950" spans="1:3" ht="13" x14ac:dyDescent="0.15">
      <c r="A950" s="10"/>
      <c r="B950" s="13"/>
      <c r="C950" s="13"/>
    </row>
    <row r="951" spans="1:3" ht="13" x14ac:dyDescent="0.15">
      <c r="A951" s="10"/>
      <c r="B951" s="13"/>
      <c r="C951" s="13"/>
    </row>
    <row r="952" spans="1:3" ht="13" x14ac:dyDescent="0.15">
      <c r="A952" s="10"/>
      <c r="B952" s="13"/>
      <c r="C952" s="13"/>
    </row>
    <row r="953" spans="1:3" ht="13" x14ac:dyDescent="0.15">
      <c r="A953" s="10"/>
      <c r="B953" s="13"/>
      <c r="C953" s="13"/>
    </row>
    <row r="954" spans="1:3" ht="13" x14ac:dyDescent="0.15">
      <c r="A954" s="10"/>
      <c r="B954" s="13"/>
      <c r="C954" s="13"/>
    </row>
    <row r="955" spans="1:3" ht="13" x14ac:dyDescent="0.15">
      <c r="A955" s="10"/>
      <c r="B955" s="13"/>
      <c r="C955" s="13"/>
    </row>
    <row r="956" spans="1:3" ht="13" x14ac:dyDescent="0.15">
      <c r="A956" s="10"/>
      <c r="B956" s="13"/>
      <c r="C956" s="13"/>
    </row>
    <row r="957" spans="1:3" ht="13" x14ac:dyDescent="0.15">
      <c r="A957" s="10"/>
      <c r="B957" s="13"/>
      <c r="C957" s="13"/>
    </row>
    <row r="958" spans="1:3" ht="13" x14ac:dyDescent="0.15">
      <c r="A958" s="10"/>
      <c r="B958" s="13"/>
      <c r="C958" s="13"/>
    </row>
    <row r="959" spans="1:3" ht="13" x14ac:dyDescent="0.15">
      <c r="A959" s="10"/>
      <c r="B959" s="13"/>
      <c r="C959" s="13"/>
    </row>
    <row r="960" spans="1:3" ht="13" x14ac:dyDescent="0.15">
      <c r="A960" s="10"/>
      <c r="B960" s="13"/>
      <c r="C960" s="13"/>
    </row>
    <row r="961" spans="1:3" ht="13" x14ac:dyDescent="0.15">
      <c r="A961" s="10"/>
      <c r="B961" s="13"/>
      <c r="C961" s="13"/>
    </row>
    <row r="962" spans="1:3" ht="13" x14ac:dyDescent="0.15">
      <c r="A962" s="10"/>
      <c r="B962" s="13"/>
      <c r="C962" s="13"/>
    </row>
    <row r="963" spans="1:3" ht="13" x14ac:dyDescent="0.15">
      <c r="A963" s="10"/>
      <c r="B963" s="13"/>
      <c r="C963" s="13"/>
    </row>
    <row r="964" spans="1:3" ht="13" x14ac:dyDescent="0.15">
      <c r="A964" s="10"/>
      <c r="B964" s="13"/>
      <c r="C964" s="13"/>
    </row>
    <row r="965" spans="1:3" ht="13" x14ac:dyDescent="0.15">
      <c r="A965" s="10"/>
      <c r="B965" s="13"/>
      <c r="C965" s="13"/>
    </row>
    <row r="966" spans="1:3" ht="13" x14ac:dyDescent="0.15">
      <c r="A966" s="10"/>
      <c r="B966" s="13"/>
      <c r="C966" s="13"/>
    </row>
    <row r="967" spans="1:3" ht="13" x14ac:dyDescent="0.15">
      <c r="A967" s="10"/>
      <c r="B967" s="13"/>
      <c r="C967" s="13"/>
    </row>
    <row r="968" spans="1:3" ht="13" x14ac:dyDescent="0.15">
      <c r="A968" s="10"/>
      <c r="B968" s="13"/>
      <c r="C968" s="13"/>
    </row>
    <row r="969" spans="1:3" ht="13" x14ac:dyDescent="0.15">
      <c r="A969" s="10"/>
      <c r="B969" s="13"/>
      <c r="C969" s="13"/>
    </row>
    <row r="970" spans="1:3" ht="13" x14ac:dyDescent="0.15">
      <c r="A970" s="10"/>
      <c r="B970" s="13"/>
      <c r="C970" s="13"/>
    </row>
    <row r="971" spans="1:3" ht="13" x14ac:dyDescent="0.15">
      <c r="A971" s="10"/>
      <c r="B971" s="13"/>
      <c r="C971" s="13"/>
    </row>
    <row r="972" spans="1:3" ht="13" x14ac:dyDescent="0.15">
      <c r="A972" s="10"/>
      <c r="B972" s="13"/>
      <c r="C972" s="13"/>
    </row>
    <row r="973" spans="1:3" ht="13" x14ac:dyDescent="0.15">
      <c r="A973" s="10"/>
      <c r="B973" s="13"/>
      <c r="C973" s="13"/>
    </row>
    <row r="974" spans="1:3" ht="13" x14ac:dyDescent="0.15">
      <c r="A974" s="10"/>
      <c r="B974" s="13"/>
      <c r="C974" s="13"/>
    </row>
    <row r="975" spans="1:3" ht="13" x14ac:dyDescent="0.15">
      <c r="A975" s="10"/>
      <c r="B975" s="13"/>
      <c r="C975" s="13"/>
    </row>
    <row r="976" spans="1:3" ht="13" x14ac:dyDescent="0.15">
      <c r="A976" s="10"/>
      <c r="B976" s="13"/>
      <c r="C976" s="13"/>
    </row>
    <row r="977" spans="1:3" ht="13" x14ac:dyDescent="0.15">
      <c r="A977" s="10"/>
      <c r="B977" s="13"/>
      <c r="C977" s="13"/>
    </row>
    <row r="978" spans="1:3" ht="13" x14ac:dyDescent="0.15">
      <c r="A978" s="10"/>
      <c r="B978" s="13"/>
      <c r="C978" s="13"/>
    </row>
    <row r="979" spans="1:3" ht="13" x14ac:dyDescent="0.15">
      <c r="A979" s="10"/>
      <c r="B979" s="13"/>
      <c r="C979" s="13"/>
    </row>
    <row r="980" spans="1:3" ht="13" x14ac:dyDescent="0.15">
      <c r="A980" s="10"/>
      <c r="B980" s="13"/>
      <c r="C980" s="13"/>
    </row>
    <row r="981" spans="1:3" ht="13" x14ac:dyDescent="0.15">
      <c r="A981" s="10"/>
      <c r="B981" s="13"/>
      <c r="C981" s="13"/>
    </row>
    <row r="982" spans="1:3" ht="13" x14ac:dyDescent="0.15">
      <c r="A982" s="10"/>
      <c r="B982" s="13"/>
      <c r="C982" s="13"/>
    </row>
    <row r="983" spans="1:3" ht="13" x14ac:dyDescent="0.15">
      <c r="A983" s="10"/>
      <c r="B983" s="13"/>
      <c r="C983" s="13"/>
    </row>
    <row r="984" spans="1:3" ht="13" x14ac:dyDescent="0.15">
      <c r="A984" s="10"/>
      <c r="B984" s="13"/>
      <c r="C984" s="13"/>
    </row>
    <row r="985" spans="1:3" ht="13" x14ac:dyDescent="0.15">
      <c r="A985" s="10"/>
      <c r="B985" s="13"/>
      <c r="C985" s="13"/>
    </row>
    <row r="986" spans="1:3" ht="13" x14ac:dyDescent="0.15">
      <c r="A986" s="10"/>
      <c r="B986" s="13"/>
      <c r="C986" s="13"/>
    </row>
    <row r="987" spans="1:3" ht="13" x14ac:dyDescent="0.15">
      <c r="A987" s="10"/>
      <c r="B987" s="13"/>
      <c r="C987" s="13"/>
    </row>
    <row r="988" spans="1:3" ht="13" x14ac:dyDescent="0.15">
      <c r="A988" s="10"/>
      <c r="B988" s="13"/>
      <c r="C988" s="13"/>
    </row>
    <row r="989" spans="1:3" ht="13" x14ac:dyDescent="0.15">
      <c r="A989" s="10"/>
      <c r="B989" s="13"/>
      <c r="C989" s="13"/>
    </row>
    <row r="990" spans="1:3" ht="13" x14ac:dyDescent="0.15">
      <c r="A990" s="10"/>
      <c r="B990" s="13"/>
      <c r="C990" s="13"/>
    </row>
    <row r="991" spans="1:3" ht="13" x14ac:dyDescent="0.15">
      <c r="A991" s="10"/>
      <c r="B991" s="13"/>
      <c r="C991" s="13"/>
    </row>
    <row r="992" spans="1:3" ht="13" x14ac:dyDescent="0.15">
      <c r="A992" s="10"/>
      <c r="B992" s="13"/>
      <c r="C992" s="13"/>
    </row>
    <row r="993" spans="1:3" ht="13" x14ac:dyDescent="0.15">
      <c r="A993" s="10"/>
      <c r="B993" s="13"/>
      <c r="C993" s="13"/>
    </row>
    <row r="994" spans="1:3" ht="13" x14ac:dyDescent="0.15">
      <c r="A994" s="10"/>
      <c r="B994" s="13"/>
      <c r="C994" s="13"/>
    </row>
    <row r="995" spans="1:3" ht="13" x14ac:dyDescent="0.15">
      <c r="A995" s="10"/>
      <c r="B995" s="13"/>
      <c r="C995" s="13"/>
    </row>
    <row r="996" spans="1:3" ht="13" x14ac:dyDescent="0.15">
      <c r="A996" s="10"/>
      <c r="B996" s="13"/>
      <c r="C996" s="13"/>
    </row>
    <row r="997" spans="1:3" ht="13" x14ac:dyDescent="0.15">
      <c r="A997" s="10"/>
      <c r="B997" s="13"/>
      <c r="C997" s="13"/>
    </row>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outlinePr summaryBelow="0" summaryRight="0"/>
  </sheetPr>
  <dimension ref="A1:D997"/>
  <sheetViews>
    <sheetView workbookViewId="0"/>
  </sheetViews>
  <sheetFormatPr baseColWidth="10" defaultColWidth="12.6640625" defaultRowHeight="15.75" customHeight="1" x14ac:dyDescent="0.15"/>
  <cols>
    <col min="1" max="1" width="71.5" customWidth="1"/>
    <col min="2" max="4" width="37.6640625" customWidth="1"/>
  </cols>
  <sheetData>
    <row r="1" spans="1:4" ht="15.75" customHeight="1" x14ac:dyDescent="0.15">
      <c r="A1" s="1"/>
      <c r="B1" s="10" t="str">
        <f ca="1">IFERROR(__xludf.DUMMYFUNCTION("IMPORTRANGE(""https://docs.google.com/spreadsheets/u/0/d/1DTeUShR903oScgwuFGuA8V8JqIoXmME8W-T3lNP0oHM"", ""A76!B1:B22"")"),"McKinzie Novak")</f>
        <v>McKinzie Novak</v>
      </c>
      <c r="C1" s="10" t="str">
        <f ca="1">IFERROR(__xludf.DUMMYFUNCTION("IMPORTRANGE(""https://docs.google.com/spreadsheets/u/0/d/1QLAeYl5D81_Myo-agZdCgYFm7rliPzxg4xkt-QHL9OA"", ""A76!B1:B22"")"),"Rin Godfrey")</f>
        <v>Rin Godfrey</v>
      </c>
      <c r="D1" s="2" t="s">
        <v>1</v>
      </c>
    </row>
    <row r="2" spans="1:4" ht="15.75" customHeight="1" x14ac:dyDescent="0.15">
      <c r="A2" s="3" t="s">
        <v>2</v>
      </c>
      <c r="B2" s="15" t="str">
        <f ca="1">IFERROR(__xludf.DUMMYFUNCTION("""COMPUTED_VALUE"""),"START: 47456
STOP: 47139
REVERSE")</f>
        <v>START: 47456
STOP: 47139
REVERSE</v>
      </c>
      <c r="C2" s="15" t="str">
        <f ca="1">IFERROR(__xludf.DUMMYFUNCTION("""COMPUTED_VALUE"""),"REV 47456 - 47139")</f>
        <v>REV 47456 - 47139</v>
      </c>
      <c r="D2" s="4"/>
    </row>
    <row r="3" spans="1:4" ht="15.75" customHeight="1" x14ac:dyDescent="0.15">
      <c r="A3" s="5" t="s">
        <v>3</v>
      </c>
      <c r="B3" s="17" t="str">
        <f ca="1">IFERROR(__xludf.DUMMYFUNCTION("""COMPUTED_VALUE"""),"DNAM: 75
PHAM: 76
Phagesdb: 76")</f>
        <v>DNAM: 75
PHAM: 76
Phagesdb: 76</v>
      </c>
      <c r="C3" s="17" t="str">
        <f ca="1">IFERROR(__xludf.DUMMYFUNCTION("""COMPUTED_VALUE"""),"DNA Master 75
Phamerator 76")</f>
        <v>DNA Master 75
Phamerator 76</v>
      </c>
      <c r="D3" s="6"/>
    </row>
    <row r="4" spans="1:4" ht="15.75" customHeight="1" x14ac:dyDescent="0.15">
      <c r="A4" s="5" t="s">
        <v>4</v>
      </c>
      <c r="B4" s="17" t="str">
        <f ca="1">IFERROR(__xludf.DUMMYFUNCTION("""COMPUTED_VALUE"""),"#222459  3/19/25")</f>
        <v>#222459  3/19/25</v>
      </c>
      <c r="C4" s="17" t="str">
        <f ca="1">IFERROR(__xludf.DUMMYFUNCTION("""COMPUTED_VALUE""")," 222459 3/21/25")</f>
        <v xml:space="preserve"> 222459 3/21/25</v>
      </c>
      <c r="D4" s="6"/>
    </row>
    <row r="5" spans="1:4" ht="15.75" customHeight="1" x14ac:dyDescent="0.15">
      <c r="A5" s="5" t="s">
        <v>5</v>
      </c>
      <c r="B5" s="17" t="str">
        <f ca="1">IFERROR(__xludf.DUMMYFUNCTION("""COMPUTED_VALUE"""),"Kovu #74")</f>
        <v>Kovu #74</v>
      </c>
      <c r="C5" s="17" t="str">
        <f ca="1">IFERROR(__xludf.DUMMYFUNCTION("""COMPUTED_VALUE"""),"Kovu_74")</f>
        <v>Kovu_74</v>
      </c>
      <c r="D5" s="6"/>
    </row>
    <row r="6" spans="1:4" ht="15.75" customHeight="1" x14ac:dyDescent="0.15">
      <c r="A6" s="5" t="s">
        <v>6</v>
      </c>
      <c r="B6" s="17" t="str">
        <f ca="1">IFERROR(__xludf.DUMMYFUNCTION("""COMPUTED_VALUE"""),"Glimmer and genemark both call the start 47456")</f>
        <v>Glimmer and genemark both call the start 47456</v>
      </c>
      <c r="C6" s="17" t="str">
        <f ca="1">IFERROR(__xludf.DUMMYFUNCTION("""COMPUTED_VALUE"""),"Both with a strength of 5.47")</f>
        <v>Both with a strength of 5.47</v>
      </c>
      <c r="D6" s="6"/>
    </row>
    <row r="7" spans="1:4" ht="15.75" customHeight="1" x14ac:dyDescent="0.15">
      <c r="A7" s="5" t="s">
        <v>7</v>
      </c>
      <c r="B7" s="17" t="str">
        <f ca="1">IFERROR(__xludf.DUMMYFUNCTION("""COMPUTED_VALUE"""),"It for the most part has good coding potential but in the back half it crashes down. All the coding potential is caught, even the spike is picked up as well.")</f>
        <v>It for the most part has good coding potential but in the back half it crashes down. All the coding potential is caught, even the spike is picked up as well.</v>
      </c>
      <c r="C7" s="17" t="str">
        <f ca="1">IFERROR(__xludf.DUMMYFUNCTION("""COMPUTED_VALUE"""),"It is good but not the best does not have all of the potential in the beginning.")</f>
        <v>It is good but not the best does not have all of the potential in the beginning.</v>
      </c>
      <c r="D7" s="6"/>
    </row>
    <row r="8" spans="1:4" ht="15.75" customHeight="1" x14ac:dyDescent="0.15">
      <c r="A8" s="5" t="s">
        <v>8</v>
      </c>
      <c r="B8" s="17" t="str">
        <f ca="1">IFERROR(__xludf.DUMMYFUNCTION("""COMPUTED_VALUE"""),"No, there is an earlier start at 47600")</f>
        <v>No, there is an earlier start at 47600</v>
      </c>
      <c r="C8" s="17" t="str">
        <f ca="1">IFERROR(__xludf.DUMMYFUNCTION("""COMPUTED_VALUE"""),"No there is only one other start.")</f>
        <v>No there is only one other start.</v>
      </c>
      <c r="D8" s="6"/>
    </row>
    <row r="9" spans="1:4" ht="15.75" customHeight="1" x14ac:dyDescent="0.15">
      <c r="A9" s="5" t="s">
        <v>9</v>
      </c>
      <c r="B9" s="17" t="str">
        <f ca="1">IFERROR(__xludf.DUMMYFUNCTION("""COMPUTED_VALUE"""),"The called start has a 3 basepair overlap, but the earlier start would have a 147 base pair overlap")</f>
        <v>The called start has a 3 basepair overlap, but the earlier start would have a 147 base pair overlap</v>
      </c>
      <c r="C9" s="17" t="str">
        <f ca="1">IFERROR(__xludf.DUMMYFUNCTION("""COMPUTED_VALUE"""),"There is only a 3 nucleotide overlap with the previous gene.")</f>
        <v>There is only a 3 nucleotide overlap with the previous gene.</v>
      </c>
      <c r="D9" s="6"/>
    </row>
    <row r="10" spans="1:4" ht="15.75" customHeight="1" x14ac:dyDescent="0.15">
      <c r="A10" s="5" t="s">
        <v>10</v>
      </c>
      <c r="B10" s="17" t="str">
        <f ca="1">IFERROR(__xludf.DUMMYFUNCTION("""COMPUTED_VALUE"""),"Start: 47456
Z-score: 2.488 RBS: -3.5")</f>
        <v>Start: 47456
Z-score: 2.488 RBS: -3.5</v>
      </c>
      <c r="C10" s="17" t="str">
        <f ca="1">IFERROR(__xludf.DUMMYFUNCTION("""COMPUTED_VALUE"""),"Raw score -2.757, Z-score 2.488, and F-score -3.532. but that is not the best score. there is only one other score that is better but it overlap with the next gene to much to be used.")</f>
        <v>Raw score -2.757, Z-score 2.488, and F-score -3.532. but that is not the best score. there is only one other score that is better but it overlap with the next gene to much to be used.</v>
      </c>
      <c r="D10" s="6"/>
    </row>
    <row r="11" spans="1:4" ht="15.75" customHeight="1" x14ac:dyDescent="0.15">
      <c r="A11" s="5" t="s">
        <v>11</v>
      </c>
      <c r="B11" s="17" t="str">
        <f ca="1">IFERROR(__xludf.DUMMYFUNCTION("""COMPUTED_VALUE"""),"Kovu #74 %ID:65.22 e-val:0.04
Q:80 S:83")</f>
        <v>Kovu #74 %ID:65.22 e-val:0.04
Q:80 S:83</v>
      </c>
      <c r="C11" s="17" t="str">
        <f ca="1">IFERROR(__xludf.DUMMYFUNCTION("""COMPUTED_VALUE"""),"Kovu_74, 66.36%, 2e-32
Q: 80-102 
T: 83-105")</f>
        <v>Kovu_74, 66.36%, 2e-32
Q: 80-102 
T: 83-105</v>
      </c>
      <c r="D11" s="6"/>
    </row>
    <row r="12" spans="1:4" ht="15.75" customHeight="1" x14ac:dyDescent="0.15">
      <c r="A12" s="5" t="s">
        <v>12</v>
      </c>
      <c r="B12" s="17" t="str">
        <f ca="1">IFERROR(__xludf.DUMMYFUNCTION("""COMPUTED_VALUE"""),"Yes, the start is conserved 100% of the time. The only other phage with this protein is Kovu, and they both call start #2")</f>
        <v>Yes, the start is conserved 100% of the time. The only other phage with this protein is Kovu, and they both call start #2</v>
      </c>
      <c r="C12" s="17" t="str">
        <f ca="1">IFERROR(__xludf.DUMMYFUNCTION("""COMPUTED_VALUE"""),"Yes the start conserved is in all pham it was called 100% of the time.")</f>
        <v>Yes the start conserved is in all pham it was called 100% of the time.</v>
      </c>
      <c r="D12" s="6"/>
    </row>
    <row r="13" spans="1:4" ht="15.75" customHeight="1" x14ac:dyDescent="0.15">
      <c r="A13" s="5" t="s">
        <v>13</v>
      </c>
      <c r="B13" s="17" t="str">
        <f ca="1">IFERROR(__xludf.DUMMYFUNCTION("""COMPUTED_VALUE"""),"No, this start has the highest z-score, prevents serious gaps or overlaps, and catches all coding potential")</f>
        <v>No, this start has the highest z-score, prevents serious gaps or overlaps, and catches all coding potential</v>
      </c>
      <c r="C13" s="17" t="str">
        <f ca="1">IFERROR(__xludf.DUMMYFUNCTION("""COMPUTED_VALUE"""),"No change to the start it would have to much of an over lap to reasonable change the start.")</f>
        <v>No change to the start it would have to much of an over lap to reasonable change the start.</v>
      </c>
      <c r="D13" s="6"/>
    </row>
    <row r="14" spans="1:4" ht="15.75" customHeight="1" x14ac:dyDescent="0.15">
      <c r="A14" s="5" t="s">
        <v>14</v>
      </c>
      <c r="B14" s="17" t="str">
        <f ca="1">IFERROR(__xludf.DUMMYFUNCTION("""COMPUTED_VALUE"""),"Kovu #74 e-val:0.04")</f>
        <v>Kovu #74 e-val:0.04</v>
      </c>
      <c r="C14" s="17" t="str">
        <f ca="1">IFERROR(__xludf.DUMMYFUNCTION("""COMPUTED_VALUE"""),"Kovu_74, 2e-32
Cen1621_35, 1e-06 ")</f>
        <v xml:space="preserve">Kovu_74, 2e-32
Cen1621_35, 1e-06 </v>
      </c>
      <c r="D14" s="6"/>
    </row>
    <row r="15" spans="1:4" ht="15.75" customHeight="1" x14ac:dyDescent="0.15">
      <c r="A15" s="5" t="s">
        <v>15</v>
      </c>
      <c r="B15" s="17" t="str">
        <f ca="1">IFERROR(__xludf.DUMMYFUNCTION("""COMPUTED_VALUE"""),"Kovu #74 hypothetical protein")</f>
        <v>Kovu #74 hypothetical protein</v>
      </c>
      <c r="C15" s="17" t="str">
        <f ca="1">IFERROR(__xludf.DUMMYFUNCTION("""COMPUTED_VALUE""")," function unknown")</f>
        <v xml:space="preserve"> function unknown</v>
      </c>
      <c r="D15" s="6"/>
    </row>
    <row r="16" spans="1:4" ht="15.75" customHeight="1" x14ac:dyDescent="0.15">
      <c r="A16" s="5" t="s">
        <v>16</v>
      </c>
      <c r="B16" s="17" t="str">
        <f ca="1">IFERROR(__xludf.DUMMYFUNCTION("""COMPUTED_VALUE"""),"Yes, the gene appears to match its genetic environment. There is an adjacent holin on the left and a hypothetical protein on the right")</f>
        <v>Yes, the gene appears to match its genetic environment. There is an adjacent holin on the left and a hypothetical protein on the right</v>
      </c>
      <c r="C16" s="17" t="str">
        <f ca="1">IFERROR(__xludf.DUMMYFUNCTION("""COMPUTED_VALUE"""),"It matches well and looks like it belongs.")</f>
        <v>It matches well and looks like it belongs.</v>
      </c>
      <c r="D16" s="6"/>
    </row>
    <row r="17" spans="1:4" ht="15.75" customHeight="1" x14ac:dyDescent="0.15">
      <c r="A17" s="5" t="s">
        <v>17</v>
      </c>
      <c r="B17" s="17" t="str">
        <f ca="1">IFERROR(__xludf.DUMMYFUNCTION("""COMPUTED_VALUE"""),"DESC: Uncharacterized lipoprotein YifL; Lipopolysaccharide, Lipoprotein, LptDE, MEMBRANE PROTEIN
Prob:97.5 %ALQ:21.9 %ALT:34.3
No, this probably needs more research")</f>
        <v>DESC: Uncharacterized lipoprotein YifL; Lipopolysaccharide, Lipoprotein, LptDE, MEMBRANE PROTEIN
Prob:97.5 %ALQ:21.9 %ALT:34.3
No, this probably needs more research</v>
      </c>
      <c r="C17" s="17" t="str">
        <f ca="1">IFERROR(__xludf.DUMMYFUNCTION("""COMPUTED_VALUE"""),"8H1R_F Uncharacterized lipoprotein YifL; Lipopolysaccharide, Lipoprotein, LptDE, MEMBRANE PROTEIN; HET: PCJ; 2.98A {Pseudomonas aeruginosa (strain ATCC 15692 / DSM 22644 / CIP 104116 / JCM 14847 / LMG 12228 / 1C / PRS 101 / PAO1)}
Probability: 97.52%
Quer"&amp;"y: 22%
Target: 34%
The functional domain is shown but it is not present where the target alignment should be.")</f>
        <v>8H1R_F Uncharacterized lipoprotein YifL; Lipopolysaccharide, Lipoprotein, LptDE, MEMBRANE PROTEIN; HET: PCJ; 2.98A {Pseudomonas aeruginosa (strain ATCC 15692 / DSM 22644 / CIP 104116 / JCM 14847 / LMG 12228 / 1C / PRS 101 / PAO1)}
Probability: 97.52%
Query: 22%
Target: 34%
The functional domain is shown but it is not present where the target alignment should be.</v>
      </c>
      <c r="D17" s="6"/>
    </row>
    <row r="18" spans="1:4" ht="15.75" customHeight="1" x14ac:dyDescent="0.15">
      <c r="A18" s="5" t="s">
        <v>18</v>
      </c>
      <c r="B18" s="17" t="str">
        <f ca="1">IFERROR(__xludf.DUMMYFUNCTION("""COMPUTED_VALUE"""),"No, DUF, but it does have a signal pathway that could lead to something")</f>
        <v>No, DUF, but it does have a signal pathway that could lead to something</v>
      </c>
      <c r="C18" s="17" t="str">
        <f ca="1">IFERROR(__xludf.DUMMYFUNCTION("""COMPUTED_VALUE"""),"none")</f>
        <v>none</v>
      </c>
      <c r="D18" s="6"/>
    </row>
    <row r="19" spans="1:4" ht="15.75" customHeight="1" x14ac:dyDescent="0.15">
      <c r="A19" s="5" t="s">
        <v>19</v>
      </c>
      <c r="B19" s="17" t="str">
        <f ca="1">IFERROR(__xludf.DUMMYFUNCTION("""COMPUTED_VALUE"""),"Yes, specifically a ""signal"" membrane domain AA: 1-19")</f>
        <v>Yes, specifically a "signal" membrane domain AA: 1-19</v>
      </c>
      <c r="C19" s="17" t="str">
        <f ca="1">IFERROR(__xludf.DUMMYFUNCTION("""COMPUTED_VALUE"""),"deeptmhmm
Query Start (Amino Acid Position): 1
Query End (Amino Acid Position): 19
Type: signal")</f>
        <v>deeptmhmm
Query Start (Amino Acid Position): 1
Query End (Amino Acid Position): 19
Type: signal</v>
      </c>
      <c r="D19" s="6"/>
    </row>
    <row r="20" spans="1:4" ht="15.75" customHeight="1" x14ac:dyDescent="0.15">
      <c r="A20" s="5" t="s">
        <v>20</v>
      </c>
      <c r="B20" s="17" t="str">
        <f ca="1">IFERROR(__xludf.DUMMYFUNCTION("""COMPUTED_VALUE"""),"membrane protein (supported by deepTMHMM)")</f>
        <v>membrane protein (supported by deepTMHMM)</v>
      </c>
      <c r="C20" s="17" t="str">
        <f ca="1">IFERROR(__xludf.DUMMYFUNCTION("""COMPUTED_VALUE"""),"lipoprotein 
This is the most likely function of this gene there is evidence that in other HHPred matches that they were some type of Lipid Protein. There could be some more insight and opinion on this though.")</f>
        <v>lipoprotein 
This is the most likely function of this gene there is evidence that in other HHPred matches that they were some type of Lipid Protein. There could be some more insight and opinion on this though.</v>
      </c>
      <c r="D20" s="6"/>
    </row>
    <row r="21" spans="1:4" x14ac:dyDescent="0.2">
      <c r="A21" s="7"/>
      <c r="B21" s="19"/>
      <c r="C21" s="19"/>
      <c r="D21" s="8"/>
    </row>
    <row r="22" spans="1:4" ht="15.75" customHeight="1" x14ac:dyDescent="0.15">
      <c r="A22" s="9" t="s">
        <v>21</v>
      </c>
      <c r="B22" s="19"/>
      <c r="C22" s="19"/>
      <c r="D22" s="8"/>
    </row>
    <row r="23" spans="1:4" ht="15.75" customHeight="1" x14ac:dyDescent="0.15">
      <c r="A23" s="10"/>
      <c r="B23" s="13"/>
      <c r="C23" s="13"/>
    </row>
    <row r="24" spans="1:4" ht="15.75" customHeight="1" x14ac:dyDescent="0.15">
      <c r="A24" s="10"/>
      <c r="B24" s="13"/>
      <c r="C24" s="13"/>
    </row>
    <row r="25" spans="1:4" ht="15.75" customHeight="1" x14ac:dyDescent="0.15">
      <c r="A25" s="10"/>
      <c r="B25" s="13"/>
      <c r="C25" s="13"/>
    </row>
    <row r="26" spans="1:4" ht="15.75" customHeight="1" x14ac:dyDescent="0.15">
      <c r="A26" s="10"/>
      <c r="B26" s="13"/>
      <c r="C26" s="13"/>
    </row>
    <row r="27" spans="1:4" ht="15.75" customHeight="1" x14ac:dyDescent="0.15">
      <c r="A27" s="10"/>
      <c r="B27" s="13"/>
      <c r="C27" s="13"/>
    </row>
    <row r="28" spans="1:4" ht="15.75" customHeight="1" x14ac:dyDescent="0.15">
      <c r="A28" s="10"/>
      <c r="B28" s="13"/>
      <c r="C28" s="13"/>
    </row>
    <row r="29" spans="1:4" ht="15.75" customHeight="1" x14ac:dyDescent="0.15">
      <c r="A29" s="10"/>
      <c r="B29" s="13"/>
      <c r="C29" s="13"/>
    </row>
    <row r="30" spans="1:4" ht="15.75" customHeight="1" x14ac:dyDescent="0.15">
      <c r="A30" s="10"/>
      <c r="B30" s="13"/>
      <c r="C30" s="13"/>
    </row>
    <row r="31" spans="1:4" ht="15.75" customHeight="1" x14ac:dyDescent="0.15">
      <c r="A31" s="10"/>
      <c r="B31" s="13"/>
      <c r="C31" s="13"/>
    </row>
    <row r="32" spans="1:4" ht="15.75" customHeight="1" x14ac:dyDescent="0.15">
      <c r="A32" s="10"/>
      <c r="B32" s="13"/>
      <c r="C32" s="13"/>
    </row>
    <row r="33" spans="1:3" ht="15.75" customHeight="1" x14ac:dyDescent="0.15">
      <c r="A33" s="10"/>
      <c r="B33" s="13"/>
      <c r="C33" s="13"/>
    </row>
    <row r="34" spans="1:3" ht="15.75" customHeight="1" x14ac:dyDescent="0.15">
      <c r="A34" s="10"/>
      <c r="B34" s="13"/>
      <c r="C34" s="13"/>
    </row>
    <row r="35" spans="1:3" ht="15.75" customHeight="1" x14ac:dyDescent="0.15">
      <c r="A35" s="10"/>
      <c r="B35" s="13"/>
      <c r="C35" s="13"/>
    </row>
    <row r="36" spans="1:3" ht="15.75" customHeight="1" x14ac:dyDescent="0.15">
      <c r="A36" s="10"/>
      <c r="B36" s="13"/>
      <c r="C36" s="13"/>
    </row>
    <row r="37" spans="1:3" ht="15.75" customHeight="1" x14ac:dyDescent="0.15">
      <c r="A37" s="10"/>
      <c r="B37" s="13"/>
      <c r="C37" s="13"/>
    </row>
    <row r="38" spans="1:3" ht="15.75" customHeight="1" x14ac:dyDescent="0.15">
      <c r="A38" s="10"/>
      <c r="B38" s="13"/>
      <c r="C38" s="13"/>
    </row>
    <row r="39" spans="1:3" ht="13" x14ac:dyDescent="0.15">
      <c r="A39" s="10"/>
      <c r="B39" s="13"/>
      <c r="C39" s="13"/>
    </row>
    <row r="40" spans="1:3" ht="13" x14ac:dyDescent="0.15">
      <c r="A40" s="10"/>
      <c r="B40" s="13"/>
      <c r="C40" s="13"/>
    </row>
    <row r="41" spans="1:3" ht="13" x14ac:dyDescent="0.15">
      <c r="A41" s="10"/>
      <c r="B41" s="13"/>
      <c r="C41" s="13"/>
    </row>
    <row r="42" spans="1:3" ht="13" x14ac:dyDescent="0.15">
      <c r="A42" s="10"/>
      <c r="B42" s="13"/>
      <c r="C42" s="13"/>
    </row>
    <row r="43" spans="1:3" ht="13" x14ac:dyDescent="0.15">
      <c r="A43" s="10"/>
      <c r="B43" s="13"/>
      <c r="C43" s="13"/>
    </row>
    <row r="44" spans="1:3" ht="13" x14ac:dyDescent="0.15">
      <c r="A44" s="10"/>
      <c r="B44" s="13"/>
      <c r="C44" s="13"/>
    </row>
    <row r="45" spans="1:3" ht="13" x14ac:dyDescent="0.15">
      <c r="A45" s="10"/>
      <c r="B45" s="13"/>
      <c r="C45" s="13"/>
    </row>
    <row r="46" spans="1:3" ht="13" x14ac:dyDescent="0.15">
      <c r="A46" s="10"/>
      <c r="B46" s="13"/>
      <c r="C46" s="13"/>
    </row>
    <row r="47" spans="1:3" ht="13" x14ac:dyDescent="0.15">
      <c r="A47" s="10"/>
      <c r="B47" s="13"/>
      <c r="C47" s="13"/>
    </row>
    <row r="48" spans="1:3" ht="13" x14ac:dyDescent="0.15">
      <c r="A48" s="10"/>
      <c r="B48" s="13"/>
      <c r="C48" s="13"/>
    </row>
    <row r="49" spans="1:3" ht="13" x14ac:dyDescent="0.15">
      <c r="A49" s="10"/>
      <c r="B49" s="13"/>
      <c r="C49" s="13"/>
    </row>
    <row r="50" spans="1:3" ht="13" x14ac:dyDescent="0.15">
      <c r="A50" s="10"/>
      <c r="B50" s="13"/>
      <c r="C50" s="13"/>
    </row>
    <row r="51" spans="1:3" ht="13" x14ac:dyDescent="0.15">
      <c r="A51" s="10"/>
      <c r="B51" s="13"/>
      <c r="C51" s="13"/>
    </row>
    <row r="52" spans="1:3" ht="13" x14ac:dyDescent="0.15">
      <c r="A52" s="10"/>
      <c r="B52" s="13"/>
      <c r="C52" s="13"/>
    </row>
    <row r="53" spans="1:3" ht="13" x14ac:dyDescent="0.15">
      <c r="A53" s="10"/>
      <c r="B53" s="13"/>
      <c r="C53" s="13"/>
    </row>
    <row r="54" spans="1:3" ht="13" x14ac:dyDescent="0.15">
      <c r="A54" s="10"/>
      <c r="B54" s="13"/>
      <c r="C54" s="13"/>
    </row>
    <row r="55" spans="1:3" ht="13" x14ac:dyDescent="0.15">
      <c r="A55" s="10"/>
      <c r="B55" s="13"/>
      <c r="C55" s="13"/>
    </row>
    <row r="56" spans="1:3" ht="13" x14ac:dyDescent="0.15">
      <c r="A56" s="10"/>
      <c r="B56" s="13"/>
      <c r="C56" s="13"/>
    </row>
    <row r="57" spans="1:3" ht="13" x14ac:dyDescent="0.15">
      <c r="A57" s="10"/>
      <c r="B57" s="13"/>
      <c r="C57" s="13"/>
    </row>
    <row r="58" spans="1:3" ht="13" x14ac:dyDescent="0.15">
      <c r="A58" s="10"/>
      <c r="B58" s="13"/>
      <c r="C58" s="13"/>
    </row>
    <row r="59" spans="1:3" ht="13" x14ac:dyDescent="0.15">
      <c r="A59" s="10"/>
      <c r="B59" s="13"/>
      <c r="C59" s="13"/>
    </row>
    <row r="60" spans="1:3" ht="13" x14ac:dyDescent="0.15">
      <c r="A60" s="10"/>
      <c r="B60" s="13"/>
      <c r="C60" s="13"/>
    </row>
    <row r="61" spans="1:3" ht="13" x14ac:dyDescent="0.15">
      <c r="A61" s="10"/>
      <c r="B61" s="13"/>
      <c r="C61" s="13"/>
    </row>
    <row r="62" spans="1:3" ht="13" x14ac:dyDescent="0.15">
      <c r="A62" s="10"/>
      <c r="B62" s="13"/>
      <c r="C62" s="13"/>
    </row>
    <row r="63" spans="1:3" ht="13" x14ac:dyDescent="0.15">
      <c r="A63" s="10"/>
      <c r="B63" s="13"/>
      <c r="C63" s="13"/>
    </row>
    <row r="64" spans="1:3" ht="13" x14ac:dyDescent="0.15">
      <c r="A64" s="10"/>
      <c r="B64" s="13"/>
      <c r="C64" s="13"/>
    </row>
    <row r="65" spans="1:3" ht="13" x14ac:dyDescent="0.15">
      <c r="A65" s="10"/>
      <c r="B65" s="13"/>
      <c r="C65" s="13"/>
    </row>
    <row r="66" spans="1:3" ht="13" x14ac:dyDescent="0.15">
      <c r="A66" s="10"/>
      <c r="B66" s="13"/>
      <c r="C66" s="13"/>
    </row>
    <row r="67" spans="1:3" ht="13" x14ac:dyDescent="0.15">
      <c r="A67" s="10"/>
      <c r="B67" s="13"/>
      <c r="C67" s="13"/>
    </row>
    <row r="68" spans="1:3" ht="13" x14ac:dyDescent="0.15">
      <c r="A68" s="10"/>
      <c r="B68" s="13"/>
      <c r="C68" s="13"/>
    </row>
    <row r="69" spans="1:3" ht="13" x14ac:dyDescent="0.15">
      <c r="A69" s="10"/>
      <c r="B69" s="13"/>
      <c r="C69" s="13"/>
    </row>
    <row r="70" spans="1:3" ht="13" x14ac:dyDescent="0.15">
      <c r="A70" s="10"/>
      <c r="B70" s="13"/>
      <c r="C70" s="13"/>
    </row>
    <row r="71" spans="1:3" ht="13" x14ac:dyDescent="0.15">
      <c r="A71" s="10"/>
      <c r="B71" s="13"/>
      <c r="C71" s="13"/>
    </row>
    <row r="72" spans="1:3" ht="13" x14ac:dyDescent="0.15">
      <c r="A72" s="10"/>
      <c r="B72" s="13"/>
      <c r="C72" s="13"/>
    </row>
    <row r="73" spans="1:3" ht="13" x14ac:dyDescent="0.15">
      <c r="A73" s="10"/>
      <c r="B73" s="13"/>
      <c r="C73" s="13"/>
    </row>
    <row r="74" spans="1:3" ht="13" x14ac:dyDescent="0.15">
      <c r="A74" s="10"/>
      <c r="B74" s="13"/>
      <c r="C74" s="13"/>
    </row>
    <row r="75" spans="1:3" ht="13" x14ac:dyDescent="0.15">
      <c r="A75" s="10"/>
      <c r="B75" s="13"/>
      <c r="C75" s="13"/>
    </row>
    <row r="76" spans="1:3" ht="13" x14ac:dyDescent="0.15">
      <c r="A76" s="10"/>
      <c r="B76" s="13"/>
      <c r="C76" s="13"/>
    </row>
    <row r="77" spans="1:3" ht="13" x14ac:dyDescent="0.15">
      <c r="A77" s="10"/>
      <c r="B77" s="13"/>
      <c r="C77" s="13"/>
    </row>
    <row r="78" spans="1:3" ht="13" x14ac:dyDescent="0.15">
      <c r="A78" s="10"/>
      <c r="B78" s="13"/>
      <c r="C78" s="13"/>
    </row>
    <row r="79" spans="1:3" ht="13" x14ac:dyDescent="0.15">
      <c r="A79" s="10"/>
      <c r="B79" s="13"/>
      <c r="C79" s="13"/>
    </row>
    <row r="80" spans="1:3" ht="13" x14ac:dyDescent="0.15">
      <c r="A80" s="10"/>
      <c r="B80" s="13"/>
      <c r="C80" s="13"/>
    </row>
    <row r="81" spans="1:3" ht="13" x14ac:dyDescent="0.15">
      <c r="A81" s="10"/>
      <c r="B81" s="13"/>
      <c r="C81" s="13"/>
    </row>
    <row r="82" spans="1:3" ht="13" x14ac:dyDescent="0.15">
      <c r="A82" s="10"/>
      <c r="B82" s="13"/>
      <c r="C82" s="13"/>
    </row>
    <row r="83" spans="1:3" ht="13" x14ac:dyDescent="0.15">
      <c r="A83" s="10"/>
      <c r="B83" s="13"/>
      <c r="C83" s="13"/>
    </row>
    <row r="84" spans="1:3" ht="13" x14ac:dyDescent="0.15">
      <c r="A84" s="10"/>
      <c r="B84" s="13"/>
      <c r="C84" s="13"/>
    </row>
    <row r="85" spans="1:3" ht="13" x14ac:dyDescent="0.15">
      <c r="A85" s="10"/>
      <c r="B85" s="13"/>
      <c r="C85" s="13"/>
    </row>
    <row r="86" spans="1:3" ht="13" x14ac:dyDescent="0.15">
      <c r="A86" s="10"/>
      <c r="B86" s="13"/>
      <c r="C86" s="13"/>
    </row>
    <row r="87" spans="1:3" ht="13" x14ac:dyDescent="0.15">
      <c r="A87" s="10"/>
      <c r="B87" s="13"/>
      <c r="C87" s="13"/>
    </row>
    <row r="88" spans="1:3" ht="13" x14ac:dyDescent="0.15">
      <c r="A88" s="10"/>
      <c r="B88" s="13"/>
      <c r="C88" s="13"/>
    </row>
    <row r="89" spans="1:3" ht="13" x14ac:dyDescent="0.15">
      <c r="A89" s="10"/>
      <c r="B89" s="13"/>
      <c r="C89" s="13"/>
    </row>
    <row r="90" spans="1:3" ht="13" x14ac:dyDescent="0.15">
      <c r="A90" s="10"/>
      <c r="B90" s="13"/>
      <c r="C90" s="13"/>
    </row>
    <row r="91" spans="1:3" ht="13" x14ac:dyDescent="0.15">
      <c r="A91" s="10"/>
      <c r="B91" s="13"/>
      <c r="C91" s="13"/>
    </row>
    <row r="92" spans="1:3" ht="13" x14ac:dyDescent="0.15">
      <c r="A92" s="10"/>
      <c r="B92" s="13"/>
      <c r="C92" s="13"/>
    </row>
    <row r="93" spans="1:3" ht="13" x14ac:dyDescent="0.15">
      <c r="A93" s="10"/>
      <c r="B93" s="13"/>
      <c r="C93" s="13"/>
    </row>
    <row r="94" spans="1:3" ht="13" x14ac:dyDescent="0.15">
      <c r="A94" s="10"/>
      <c r="B94" s="13"/>
      <c r="C94" s="13"/>
    </row>
    <row r="95" spans="1:3" ht="13" x14ac:dyDescent="0.15">
      <c r="A95" s="10"/>
      <c r="B95" s="13"/>
      <c r="C95" s="13"/>
    </row>
    <row r="96" spans="1:3" ht="13" x14ac:dyDescent="0.15">
      <c r="A96" s="10"/>
      <c r="B96" s="13"/>
      <c r="C96" s="13"/>
    </row>
    <row r="97" spans="1:3" ht="13" x14ac:dyDescent="0.15">
      <c r="A97" s="10"/>
      <c r="B97" s="13"/>
      <c r="C97" s="13"/>
    </row>
    <row r="98" spans="1:3" ht="13" x14ac:dyDescent="0.15">
      <c r="A98" s="10"/>
      <c r="B98" s="13"/>
      <c r="C98" s="13"/>
    </row>
    <row r="99" spans="1:3" ht="13" x14ac:dyDescent="0.15">
      <c r="A99" s="10"/>
      <c r="B99" s="13"/>
      <c r="C99" s="13"/>
    </row>
    <row r="100" spans="1:3" ht="13" x14ac:dyDescent="0.15">
      <c r="A100" s="10"/>
      <c r="B100" s="13"/>
      <c r="C100" s="13"/>
    </row>
    <row r="101" spans="1:3" ht="13" x14ac:dyDescent="0.15">
      <c r="A101" s="10"/>
      <c r="B101" s="13"/>
      <c r="C101" s="13"/>
    </row>
    <row r="102" spans="1:3" ht="13" x14ac:dyDescent="0.15">
      <c r="A102" s="10"/>
      <c r="B102" s="13"/>
      <c r="C102" s="13"/>
    </row>
    <row r="103" spans="1:3" ht="13" x14ac:dyDescent="0.15">
      <c r="A103" s="10"/>
      <c r="B103" s="13"/>
      <c r="C103" s="13"/>
    </row>
    <row r="104" spans="1:3" ht="13" x14ac:dyDescent="0.15">
      <c r="A104" s="10"/>
      <c r="B104" s="13"/>
      <c r="C104" s="13"/>
    </row>
    <row r="105" spans="1:3" ht="13" x14ac:dyDescent="0.15">
      <c r="A105" s="10"/>
      <c r="B105" s="13"/>
      <c r="C105" s="13"/>
    </row>
    <row r="106" spans="1:3" ht="13" x14ac:dyDescent="0.15">
      <c r="A106" s="10"/>
      <c r="B106" s="13"/>
      <c r="C106" s="13"/>
    </row>
    <row r="107" spans="1:3" ht="13" x14ac:dyDescent="0.15">
      <c r="A107" s="10"/>
      <c r="B107" s="13"/>
      <c r="C107" s="13"/>
    </row>
    <row r="108" spans="1:3" ht="13" x14ac:dyDescent="0.15">
      <c r="A108" s="10"/>
      <c r="B108" s="13"/>
      <c r="C108" s="13"/>
    </row>
    <row r="109" spans="1:3" ht="13" x14ac:dyDescent="0.15">
      <c r="A109" s="10"/>
      <c r="B109" s="13"/>
      <c r="C109" s="13"/>
    </row>
    <row r="110" spans="1:3" ht="13" x14ac:dyDescent="0.15">
      <c r="A110" s="10"/>
      <c r="B110" s="13"/>
      <c r="C110" s="13"/>
    </row>
    <row r="111" spans="1:3" ht="13" x14ac:dyDescent="0.15">
      <c r="A111" s="10"/>
      <c r="B111" s="13"/>
      <c r="C111" s="13"/>
    </row>
    <row r="112" spans="1:3" ht="13" x14ac:dyDescent="0.15">
      <c r="A112" s="10"/>
      <c r="B112" s="13"/>
      <c r="C112" s="13"/>
    </row>
    <row r="113" spans="1:3" ht="13" x14ac:dyDescent="0.15">
      <c r="A113" s="10"/>
      <c r="B113" s="13"/>
      <c r="C113" s="13"/>
    </row>
    <row r="114" spans="1:3" ht="13" x14ac:dyDescent="0.15">
      <c r="A114" s="10"/>
      <c r="B114" s="13"/>
      <c r="C114" s="13"/>
    </row>
    <row r="115" spans="1:3" ht="13" x14ac:dyDescent="0.15">
      <c r="A115" s="10"/>
      <c r="B115" s="13"/>
      <c r="C115" s="13"/>
    </row>
    <row r="116" spans="1:3" ht="13" x14ac:dyDescent="0.15">
      <c r="A116" s="10"/>
      <c r="B116" s="13"/>
      <c r="C116" s="13"/>
    </row>
    <row r="117" spans="1:3" ht="13" x14ac:dyDescent="0.15">
      <c r="A117" s="10"/>
      <c r="B117" s="13"/>
      <c r="C117" s="13"/>
    </row>
    <row r="118" spans="1:3" ht="13" x14ac:dyDescent="0.15">
      <c r="A118" s="10"/>
      <c r="B118" s="13"/>
      <c r="C118" s="13"/>
    </row>
    <row r="119" spans="1:3" ht="13" x14ac:dyDescent="0.15">
      <c r="A119" s="10"/>
      <c r="B119" s="13"/>
      <c r="C119" s="13"/>
    </row>
    <row r="120" spans="1:3" ht="13" x14ac:dyDescent="0.15">
      <c r="A120" s="10"/>
      <c r="B120" s="13"/>
      <c r="C120" s="13"/>
    </row>
    <row r="121" spans="1:3" ht="13" x14ac:dyDescent="0.15">
      <c r="A121" s="10"/>
      <c r="B121" s="13"/>
      <c r="C121" s="13"/>
    </row>
    <row r="122" spans="1:3" ht="13" x14ac:dyDescent="0.15">
      <c r="A122" s="10"/>
      <c r="B122" s="13"/>
      <c r="C122" s="13"/>
    </row>
    <row r="123" spans="1:3" ht="13" x14ac:dyDescent="0.15">
      <c r="A123" s="10"/>
      <c r="B123" s="13"/>
      <c r="C123" s="13"/>
    </row>
    <row r="124" spans="1:3" ht="13" x14ac:dyDescent="0.15">
      <c r="A124" s="10"/>
      <c r="B124" s="13"/>
      <c r="C124" s="13"/>
    </row>
    <row r="125" spans="1:3" ht="13" x14ac:dyDescent="0.15">
      <c r="A125" s="10"/>
      <c r="B125" s="13"/>
      <c r="C125" s="13"/>
    </row>
    <row r="126" spans="1:3" ht="13" x14ac:dyDescent="0.15">
      <c r="A126" s="10"/>
      <c r="B126" s="13"/>
      <c r="C126" s="13"/>
    </row>
    <row r="127" spans="1:3" ht="13" x14ac:dyDescent="0.15">
      <c r="A127" s="10"/>
      <c r="B127" s="13"/>
      <c r="C127" s="13"/>
    </row>
    <row r="128" spans="1:3" ht="13" x14ac:dyDescent="0.15">
      <c r="A128" s="10"/>
      <c r="B128" s="13"/>
      <c r="C128" s="13"/>
    </row>
    <row r="129" spans="1:3" ht="13" x14ac:dyDescent="0.15">
      <c r="A129" s="10"/>
      <c r="B129" s="13"/>
      <c r="C129" s="13"/>
    </row>
    <row r="130" spans="1:3" ht="13" x14ac:dyDescent="0.15">
      <c r="A130" s="10"/>
      <c r="B130" s="13"/>
      <c r="C130" s="13"/>
    </row>
    <row r="131" spans="1:3" ht="13" x14ac:dyDescent="0.15">
      <c r="A131" s="10"/>
      <c r="B131" s="13"/>
      <c r="C131" s="13"/>
    </row>
    <row r="132" spans="1:3" ht="13" x14ac:dyDescent="0.15">
      <c r="A132" s="10"/>
      <c r="B132" s="13"/>
      <c r="C132" s="13"/>
    </row>
    <row r="133" spans="1:3" ht="13" x14ac:dyDescent="0.15">
      <c r="A133" s="10"/>
      <c r="B133" s="13"/>
      <c r="C133" s="13"/>
    </row>
    <row r="134" spans="1:3" ht="13" x14ac:dyDescent="0.15">
      <c r="A134" s="10"/>
      <c r="B134" s="13"/>
      <c r="C134" s="13"/>
    </row>
    <row r="135" spans="1:3" ht="13" x14ac:dyDescent="0.15">
      <c r="A135" s="10"/>
      <c r="B135" s="13"/>
      <c r="C135" s="13"/>
    </row>
    <row r="136" spans="1:3" ht="13" x14ac:dyDescent="0.15">
      <c r="A136" s="10"/>
      <c r="B136" s="13"/>
      <c r="C136" s="13"/>
    </row>
    <row r="137" spans="1:3" ht="13" x14ac:dyDescent="0.15">
      <c r="A137" s="10"/>
      <c r="B137" s="13"/>
      <c r="C137" s="13"/>
    </row>
    <row r="138" spans="1:3" ht="13" x14ac:dyDescent="0.15">
      <c r="A138" s="10"/>
      <c r="B138" s="13"/>
      <c r="C138" s="13"/>
    </row>
    <row r="139" spans="1:3" ht="13" x14ac:dyDescent="0.15">
      <c r="A139" s="10"/>
      <c r="B139" s="13"/>
      <c r="C139" s="13"/>
    </row>
    <row r="140" spans="1:3" ht="13" x14ac:dyDescent="0.15">
      <c r="A140" s="10"/>
      <c r="B140" s="13"/>
      <c r="C140" s="13"/>
    </row>
    <row r="141" spans="1:3" ht="13" x14ac:dyDescent="0.15">
      <c r="A141" s="10"/>
      <c r="B141" s="13"/>
      <c r="C141" s="13"/>
    </row>
    <row r="142" spans="1:3" ht="13" x14ac:dyDescent="0.15">
      <c r="A142" s="10"/>
      <c r="B142" s="13"/>
      <c r="C142" s="13"/>
    </row>
    <row r="143" spans="1:3" ht="13" x14ac:dyDescent="0.15">
      <c r="A143" s="10"/>
      <c r="B143" s="13"/>
      <c r="C143" s="13"/>
    </row>
    <row r="144" spans="1:3" ht="13" x14ac:dyDescent="0.15">
      <c r="A144" s="10"/>
      <c r="B144" s="13"/>
      <c r="C144" s="13"/>
    </row>
    <row r="145" spans="1:3" ht="13" x14ac:dyDescent="0.15">
      <c r="A145" s="10"/>
      <c r="B145" s="13"/>
      <c r="C145" s="13"/>
    </row>
    <row r="146" spans="1:3" ht="13" x14ac:dyDescent="0.15">
      <c r="A146" s="10"/>
      <c r="B146" s="13"/>
      <c r="C146" s="13"/>
    </row>
    <row r="147" spans="1:3" ht="13" x14ac:dyDescent="0.15">
      <c r="A147" s="10"/>
      <c r="B147" s="13"/>
      <c r="C147" s="13"/>
    </row>
    <row r="148" spans="1:3" ht="13" x14ac:dyDescent="0.15">
      <c r="A148" s="10"/>
      <c r="B148" s="13"/>
      <c r="C148" s="13"/>
    </row>
    <row r="149" spans="1:3" ht="13" x14ac:dyDescent="0.15">
      <c r="A149" s="10"/>
      <c r="B149" s="13"/>
      <c r="C149" s="13"/>
    </row>
    <row r="150" spans="1:3" ht="13" x14ac:dyDescent="0.15">
      <c r="A150" s="10"/>
      <c r="B150" s="13"/>
      <c r="C150" s="13"/>
    </row>
    <row r="151" spans="1:3" ht="13" x14ac:dyDescent="0.15">
      <c r="A151" s="10"/>
      <c r="B151" s="13"/>
      <c r="C151" s="13"/>
    </row>
    <row r="152" spans="1:3" ht="13" x14ac:dyDescent="0.15">
      <c r="A152" s="10"/>
      <c r="B152" s="13"/>
      <c r="C152" s="13"/>
    </row>
    <row r="153" spans="1:3" ht="13" x14ac:dyDescent="0.15">
      <c r="A153" s="10"/>
      <c r="B153" s="13"/>
      <c r="C153" s="13"/>
    </row>
    <row r="154" spans="1:3" ht="13" x14ac:dyDescent="0.15">
      <c r="A154" s="10"/>
      <c r="B154" s="13"/>
      <c r="C154" s="13"/>
    </row>
    <row r="155" spans="1:3" ht="13" x14ac:dyDescent="0.15">
      <c r="A155" s="10"/>
      <c r="B155" s="13"/>
      <c r="C155" s="13"/>
    </row>
    <row r="156" spans="1:3" ht="13" x14ac:dyDescent="0.15">
      <c r="A156" s="10"/>
      <c r="B156" s="13"/>
      <c r="C156" s="13"/>
    </row>
    <row r="157" spans="1:3" ht="13" x14ac:dyDescent="0.15">
      <c r="A157" s="10"/>
      <c r="B157" s="13"/>
      <c r="C157" s="13"/>
    </row>
    <row r="158" spans="1:3" ht="13" x14ac:dyDescent="0.15">
      <c r="A158" s="10"/>
      <c r="B158" s="13"/>
      <c r="C158" s="13"/>
    </row>
    <row r="159" spans="1:3" ht="13" x14ac:dyDescent="0.15">
      <c r="A159" s="10"/>
      <c r="B159" s="13"/>
      <c r="C159" s="13"/>
    </row>
    <row r="160" spans="1:3" ht="13" x14ac:dyDescent="0.15">
      <c r="A160" s="10"/>
      <c r="B160" s="13"/>
      <c r="C160" s="13"/>
    </row>
    <row r="161" spans="1:3" ht="13" x14ac:dyDescent="0.15">
      <c r="A161" s="10"/>
      <c r="B161" s="13"/>
      <c r="C161" s="13"/>
    </row>
    <row r="162" spans="1:3" ht="13" x14ac:dyDescent="0.15">
      <c r="A162" s="10"/>
      <c r="B162" s="13"/>
      <c r="C162" s="13"/>
    </row>
    <row r="163" spans="1:3" ht="13" x14ac:dyDescent="0.15">
      <c r="A163" s="10"/>
      <c r="B163" s="13"/>
      <c r="C163" s="13"/>
    </row>
    <row r="164" spans="1:3" ht="13" x14ac:dyDescent="0.15">
      <c r="A164" s="10"/>
      <c r="B164" s="13"/>
      <c r="C164" s="13"/>
    </row>
    <row r="165" spans="1:3" ht="13" x14ac:dyDescent="0.15">
      <c r="A165" s="10"/>
      <c r="B165" s="13"/>
      <c r="C165" s="13"/>
    </row>
    <row r="166" spans="1:3" ht="13" x14ac:dyDescent="0.15">
      <c r="A166" s="10"/>
      <c r="B166" s="13"/>
      <c r="C166" s="13"/>
    </row>
    <row r="167" spans="1:3" ht="13" x14ac:dyDescent="0.15">
      <c r="A167" s="10"/>
      <c r="B167" s="13"/>
      <c r="C167" s="13"/>
    </row>
    <row r="168" spans="1:3" ht="13" x14ac:dyDescent="0.15">
      <c r="A168" s="10"/>
      <c r="B168" s="13"/>
      <c r="C168" s="13"/>
    </row>
    <row r="169" spans="1:3" ht="13" x14ac:dyDescent="0.15">
      <c r="A169" s="10"/>
      <c r="B169" s="13"/>
      <c r="C169" s="13"/>
    </row>
    <row r="170" spans="1:3" ht="13" x14ac:dyDescent="0.15">
      <c r="A170" s="10"/>
      <c r="B170" s="13"/>
      <c r="C170" s="13"/>
    </row>
    <row r="171" spans="1:3" ht="13" x14ac:dyDescent="0.15">
      <c r="A171" s="10"/>
      <c r="B171" s="13"/>
      <c r="C171" s="13"/>
    </row>
    <row r="172" spans="1:3" ht="13" x14ac:dyDescent="0.15">
      <c r="A172" s="10"/>
      <c r="B172" s="13"/>
      <c r="C172" s="13"/>
    </row>
    <row r="173" spans="1:3" ht="13" x14ac:dyDescent="0.15">
      <c r="A173" s="10"/>
      <c r="B173" s="13"/>
      <c r="C173" s="13"/>
    </row>
    <row r="174" spans="1:3" ht="13" x14ac:dyDescent="0.15">
      <c r="A174" s="10"/>
      <c r="B174" s="13"/>
      <c r="C174" s="13"/>
    </row>
    <row r="175" spans="1:3" ht="13" x14ac:dyDescent="0.15">
      <c r="A175" s="10"/>
      <c r="B175" s="13"/>
      <c r="C175" s="13"/>
    </row>
    <row r="176" spans="1:3" ht="13" x14ac:dyDescent="0.15">
      <c r="A176" s="10"/>
      <c r="B176" s="13"/>
      <c r="C176" s="13"/>
    </row>
    <row r="177" spans="1:3" ht="13" x14ac:dyDescent="0.15">
      <c r="A177" s="10"/>
      <c r="B177" s="13"/>
      <c r="C177" s="13"/>
    </row>
    <row r="178" spans="1:3" ht="13" x14ac:dyDescent="0.15">
      <c r="A178" s="10"/>
      <c r="B178" s="13"/>
      <c r="C178" s="13"/>
    </row>
    <row r="179" spans="1:3" ht="13" x14ac:dyDescent="0.15">
      <c r="A179" s="10"/>
      <c r="B179" s="13"/>
      <c r="C179" s="13"/>
    </row>
    <row r="180" spans="1:3" ht="13" x14ac:dyDescent="0.15">
      <c r="A180" s="10"/>
      <c r="B180" s="13"/>
      <c r="C180" s="13"/>
    </row>
    <row r="181" spans="1:3" ht="13" x14ac:dyDescent="0.15">
      <c r="A181" s="10"/>
      <c r="B181" s="13"/>
      <c r="C181" s="13"/>
    </row>
    <row r="182" spans="1:3" ht="13" x14ac:dyDescent="0.15">
      <c r="A182" s="10"/>
      <c r="B182" s="13"/>
      <c r="C182" s="13"/>
    </row>
    <row r="183" spans="1:3" ht="13" x14ac:dyDescent="0.15">
      <c r="A183" s="10"/>
      <c r="B183" s="13"/>
      <c r="C183" s="13"/>
    </row>
    <row r="184" spans="1:3" ht="13" x14ac:dyDescent="0.15">
      <c r="A184" s="10"/>
      <c r="B184" s="13"/>
      <c r="C184" s="13"/>
    </row>
    <row r="185" spans="1:3" ht="13" x14ac:dyDescent="0.15">
      <c r="A185" s="10"/>
      <c r="B185" s="13"/>
      <c r="C185" s="13"/>
    </row>
    <row r="186" spans="1:3" ht="13" x14ac:dyDescent="0.15">
      <c r="A186" s="10"/>
      <c r="B186" s="13"/>
      <c r="C186" s="13"/>
    </row>
    <row r="187" spans="1:3" ht="13" x14ac:dyDescent="0.15">
      <c r="A187" s="10"/>
      <c r="B187" s="13"/>
      <c r="C187" s="13"/>
    </row>
    <row r="188" spans="1:3" ht="13" x14ac:dyDescent="0.15">
      <c r="A188" s="10"/>
      <c r="B188" s="13"/>
      <c r="C188" s="13"/>
    </row>
    <row r="189" spans="1:3" ht="13" x14ac:dyDescent="0.15">
      <c r="A189" s="10"/>
      <c r="B189" s="13"/>
      <c r="C189" s="13"/>
    </row>
    <row r="190" spans="1:3" ht="13" x14ac:dyDescent="0.15">
      <c r="A190" s="10"/>
      <c r="B190" s="13"/>
      <c r="C190" s="13"/>
    </row>
    <row r="191" spans="1:3" ht="13" x14ac:dyDescent="0.15">
      <c r="A191" s="10"/>
      <c r="B191" s="13"/>
      <c r="C191" s="13"/>
    </row>
    <row r="192" spans="1:3" ht="13" x14ac:dyDescent="0.15">
      <c r="A192" s="10"/>
      <c r="B192" s="13"/>
      <c r="C192" s="13"/>
    </row>
    <row r="193" spans="1:3" ht="13" x14ac:dyDescent="0.15">
      <c r="A193" s="10"/>
      <c r="B193" s="13"/>
      <c r="C193" s="13"/>
    </row>
    <row r="194" spans="1:3" ht="13" x14ac:dyDescent="0.15">
      <c r="A194" s="10"/>
      <c r="B194" s="13"/>
      <c r="C194" s="13"/>
    </row>
    <row r="195" spans="1:3" ht="13" x14ac:dyDescent="0.15">
      <c r="A195" s="10"/>
      <c r="B195" s="13"/>
      <c r="C195" s="13"/>
    </row>
    <row r="196" spans="1:3" ht="13" x14ac:dyDescent="0.15">
      <c r="A196" s="10"/>
      <c r="B196" s="13"/>
      <c r="C196" s="13"/>
    </row>
    <row r="197" spans="1:3" ht="13" x14ac:dyDescent="0.15">
      <c r="A197" s="10"/>
      <c r="B197" s="13"/>
      <c r="C197" s="13"/>
    </row>
    <row r="198" spans="1:3" ht="13" x14ac:dyDescent="0.15">
      <c r="A198" s="10"/>
      <c r="B198" s="13"/>
      <c r="C198" s="13"/>
    </row>
    <row r="199" spans="1:3" ht="13" x14ac:dyDescent="0.15">
      <c r="A199" s="10"/>
      <c r="B199" s="13"/>
      <c r="C199" s="13"/>
    </row>
    <row r="200" spans="1:3" ht="13" x14ac:dyDescent="0.15">
      <c r="A200" s="10"/>
      <c r="B200" s="13"/>
      <c r="C200" s="13"/>
    </row>
    <row r="201" spans="1:3" ht="13" x14ac:dyDescent="0.15">
      <c r="A201" s="10"/>
      <c r="B201" s="13"/>
      <c r="C201" s="13"/>
    </row>
    <row r="202" spans="1:3" ht="13" x14ac:dyDescent="0.15">
      <c r="A202" s="10"/>
      <c r="B202" s="13"/>
      <c r="C202" s="13"/>
    </row>
    <row r="203" spans="1:3" ht="13" x14ac:dyDescent="0.15">
      <c r="A203" s="10"/>
      <c r="B203" s="13"/>
      <c r="C203" s="13"/>
    </row>
    <row r="204" spans="1:3" ht="13" x14ac:dyDescent="0.15">
      <c r="A204" s="10"/>
      <c r="B204" s="13"/>
      <c r="C204" s="13"/>
    </row>
    <row r="205" spans="1:3" ht="13" x14ac:dyDescent="0.15">
      <c r="A205" s="10"/>
      <c r="B205" s="13"/>
      <c r="C205" s="13"/>
    </row>
    <row r="206" spans="1:3" ht="13" x14ac:dyDescent="0.15">
      <c r="A206" s="10"/>
      <c r="B206" s="13"/>
      <c r="C206" s="13"/>
    </row>
    <row r="207" spans="1:3" ht="13" x14ac:dyDescent="0.15">
      <c r="A207" s="10"/>
      <c r="B207" s="13"/>
      <c r="C207" s="13"/>
    </row>
    <row r="208" spans="1:3" ht="13" x14ac:dyDescent="0.15">
      <c r="A208" s="10"/>
      <c r="B208" s="13"/>
      <c r="C208" s="13"/>
    </row>
    <row r="209" spans="1:3" ht="13" x14ac:dyDescent="0.15">
      <c r="A209" s="10"/>
      <c r="B209" s="13"/>
      <c r="C209" s="13"/>
    </row>
    <row r="210" spans="1:3" ht="13" x14ac:dyDescent="0.15">
      <c r="A210" s="10"/>
      <c r="B210" s="13"/>
      <c r="C210" s="13"/>
    </row>
    <row r="211" spans="1:3" ht="13" x14ac:dyDescent="0.15">
      <c r="A211" s="10"/>
      <c r="B211" s="13"/>
      <c r="C211" s="13"/>
    </row>
    <row r="212" spans="1:3" ht="13" x14ac:dyDescent="0.15">
      <c r="A212" s="10"/>
      <c r="B212" s="13"/>
      <c r="C212" s="13"/>
    </row>
    <row r="213" spans="1:3" ht="13" x14ac:dyDescent="0.15">
      <c r="A213" s="10"/>
      <c r="B213" s="13"/>
      <c r="C213" s="13"/>
    </row>
    <row r="214" spans="1:3" ht="13" x14ac:dyDescent="0.15">
      <c r="A214" s="10"/>
      <c r="B214" s="13"/>
      <c r="C214" s="13"/>
    </row>
    <row r="215" spans="1:3" ht="13" x14ac:dyDescent="0.15">
      <c r="A215" s="10"/>
      <c r="B215" s="13"/>
      <c r="C215" s="13"/>
    </row>
    <row r="216" spans="1:3" ht="13" x14ac:dyDescent="0.15">
      <c r="A216" s="10"/>
      <c r="B216" s="13"/>
      <c r="C216" s="13"/>
    </row>
    <row r="217" spans="1:3" ht="13" x14ac:dyDescent="0.15">
      <c r="A217" s="10"/>
      <c r="B217" s="13"/>
      <c r="C217" s="13"/>
    </row>
    <row r="218" spans="1:3" ht="13" x14ac:dyDescent="0.15">
      <c r="A218" s="10"/>
      <c r="B218" s="13"/>
      <c r="C218" s="13"/>
    </row>
    <row r="219" spans="1:3" ht="13" x14ac:dyDescent="0.15">
      <c r="A219" s="10"/>
      <c r="B219" s="13"/>
      <c r="C219" s="13"/>
    </row>
    <row r="220" spans="1:3" ht="13" x14ac:dyDescent="0.15">
      <c r="A220" s="10"/>
      <c r="B220" s="13"/>
      <c r="C220" s="13"/>
    </row>
    <row r="221" spans="1:3" ht="13" x14ac:dyDescent="0.15">
      <c r="A221" s="10"/>
      <c r="B221" s="13"/>
      <c r="C221" s="13"/>
    </row>
    <row r="222" spans="1:3" ht="13" x14ac:dyDescent="0.15">
      <c r="A222" s="10"/>
      <c r="B222" s="13"/>
      <c r="C222" s="13"/>
    </row>
    <row r="223" spans="1:3" ht="13" x14ac:dyDescent="0.15">
      <c r="A223" s="10"/>
      <c r="B223" s="13"/>
      <c r="C223" s="13"/>
    </row>
    <row r="224" spans="1:3" ht="13" x14ac:dyDescent="0.15">
      <c r="A224" s="10"/>
      <c r="B224" s="13"/>
      <c r="C224" s="13"/>
    </row>
    <row r="225" spans="1:3" ht="13" x14ac:dyDescent="0.15">
      <c r="A225" s="10"/>
      <c r="B225" s="13"/>
      <c r="C225" s="13"/>
    </row>
    <row r="226" spans="1:3" ht="13" x14ac:dyDescent="0.15">
      <c r="A226" s="10"/>
      <c r="B226" s="13"/>
      <c r="C226" s="13"/>
    </row>
    <row r="227" spans="1:3" ht="13" x14ac:dyDescent="0.15">
      <c r="A227" s="10"/>
      <c r="B227" s="13"/>
      <c r="C227" s="13"/>
    </row>
    <row r="228" spans="1:3" ht="13" x14ac:dyDescent="0.15">
      <c r="A228" s="10"/>
      <c r="B228" s="13"/>
      <c r="C228" s="13"/>
    </row>
    <row r="229" spans="1:3" ht="13" x14ac:dyDescent="0.15">
      <c r="A229" s="10"/>
      <c r="B229" s="13"/>
      <c r="C229" s="13"/>
    </row>
    <row r="230" spans="1:3" ht="13" x14ac:dyDescent="0.15">
      <c r="A230" s="10"/>
      <c r="B230" s="13"/>
      <c r="C230" s="13"/>
    </row>
    <row r="231" spans="1:3" ht="13" x14ac:dyDescent="0.15">
      <c r="A231" s="10"/>
      <c r="B231" s="13"/>
      <c r="C231" s="13"/>
    </row>
    <row r="232" spans="1:3" ht="13" x14ac:dyDescent="0.15">
      <c r="A232" s="10"/>
      <c r="B232" s="13"/>
      <c r="C232" s="13"/>
    </row>
    <row r="233" spans="1:3" ht="13" x14ac:dyDescent="0.15">
      <c r="A233" s="10"/>
      <c r="B233" s="13"/>
      <c r="C233" s="13"/>
    </row>
    <row r="234" spans="1:3" ht="13" x14ac:dyDescent="0.15">
      <c r="A234" s="10"/>
      <c r="B234" s="13"/>
      <c r="C234" s="13"/>
    </row>
    <row r="235" spans="1:3" ht="13" x14ac:dyDescent="0.15">
      <c r="A235" s="10"/>
      <c r="B235" s="13"/>
      <c r="C235" s="13"/>
    </row>
    <row r="236" spans="1:3" ht="13" x14ac:dyDescent="0.15">
      <c r="A236" s="10"/>
      <c r="B236" s="13"/>
      <c r="C236" s="13"/>
    </row>
    <row r="237" spans="1:3" ht="13" x14ac:dyDescent="0.15">
      <c r="A237" s="10"/>
      <c r="B237" s="13"/>
      <c r="C237" s="13"/>
    </row>
    <row r="238" spans="1:3" ht="13" x14ac:dyDescent="0.15">
      <c r="A238" s="10"/>
      <c r="B238" s="13"/>
      <c r="C238" s="13"/>
    </row>
    <row r="239" spans="1:3" ht="13" x14ac:dyDescent="0.15">
      <c r="A239" s="10"/>
      <c r="B239" s="13"/>
      <c r="C239" s="13"/>
    </row>
    <row r="240" spans="1:3" ht="13" x14ac:dyDescent="0.15">
      <c r="A240" s="10"/>
      <c r="B240" s="13"/>
      <c r="C240" s="13"/>
    </row>
    <row r="241" spans="1:3" ht="13" x14ac:dyDescent="0.15">
      <c r="A241" s="10"/>
      <c r="B241" s="13"/>
      <c r="C241" s="13"/>
    </row>
    <row r="242" spans="1:3" ht="13" x14ac:dyDescent="0.15">
      <c r="A242" s="10"/>
      <c r="B242" s="13"/>
      <c r="C242" s="13"/>
    </row>
    <row r="243" spans="1:3" ht="13" x14ac:dyDescent="0.15">
      <c r="A243" s="10"/>
      <c r="B243" s="13"/>
      <c r="C243" s="13"/>
    </row>
    <row r="244" spans="1:3" ht="13" x14ac:dyDescent="0.15">
      <c r="A244" s="10"/>
      <c r="B244" s="13"/>
      <c r="C244" s="13"/>
    </row>
    <row r="245" spans="1:3" ht="13" x14ac:dyDescent="0.15">
      <c r="A245" s="10"/>
      <c r="B245" s="13"/>
      <c r="C245" s="13"/>
    </row>
    <row r="246" spans="1:3" ht="13" x14ac:dyDescent="0.15">
      <c r="A246" s="10"/>
      <c r="B246" s="13"/>
      <c r="C246" s="13"/>
    </row>
    <row r="247" spans="1:3" ht="13" x14ac:dyDescent="0.15">
      <c r="A247" s="10"/>
      <c r="B247" s="13"/>
      <c r="C247" s="13"/>
    </row>
    <row r="248" spans="1:3" ht="13" x14ac:dyDescent="0.15">
      <c r="A248" s="10"/>
      <c r="B248" s="13"/>
      <c r="C248" s="13"/>
    </row>
    <row r="249" spans="1:3" ht="13" x14ac:dyDescent="0.15">
      <c r="A249" s="10"/>
      <c r="B249" s="13"/>
      <c r="C249" s="13"/>
    </row>
    <row r="250" spans="1:3" ht="13" x14ac:dyDescent="0.15">
      <c r="A250" s="10"/>
      <c r="B250" s="13"/>
      <c r="C250" s="13"/>
    </row>
    <row r="251" spans="1:3" ht="13" x14ac:dyDescent="0.15">
      <c r="A251" s="10"/>
      <c r="B251" s="13"/>
      <c r="C251" s="13"/>
    </row>
    <row r="252" spans="1:3" ht="13" x14ac:dyDescent="0.15">
      <c r="A252" s="10"/>
      <c r="B252" s="13"/>
      <c r="C252" s="13"/>
    </row>
    <row r="253" spans="1:3" ht="13" x14ac:dyDescent="0.15">
      <c r="A253" s="10"/>
      <c r="B253" s="13"/>
      <c r="C253" s="13"/>
    </row>
    <row r="254" spans="1:3" ht="13" x14ac:dyDescent="0.15">
      <c r="A254" s="10"/>
      <c r="B254" s="13"/>
      <c r="C254" s="13"/>
    </row>
    <row r="255" spans="1:3" ht="13" x14ac:dyDescent="0.15">
      <c r="A255" s="10"/>
      <c r="B255" s="13"/>
      <c r="C255" s="13"/>
    </row>
    <row r="256" spans="1:3" ht="13" x14ac:dyDescent="0.15">
      <c r="A256" s="10"/>
      <c r="B256" s="13"/>
      <c r="C256" s="13"/>
    </row>
    <row r="257" spans="1:3" ht="13" x14ac:dyDescent="0.15">
      <c r="A257" s="10"/>
      <c r="B257" s="13"/>
      <c r="C257" s="13"/>
    </row>
    <row r="258" spans="1:3" ht="13" x14ac:dyDescent="0.15">
      <c r="A258" s="10"/>
      <c r="B258" s="13"/>
      <c r="C258" s="13"/>
    </row>
    <row r="259" spans="1:3" ht="13" x14ac:dyDescent="0.15">
      <c r="A259" s="10"/>
      <c r="B259" s="13"/>
      <c r="C259" s="13"/>
    </row>
    <row r="260" spans="1:3" ht="13" x14ac:dyDescent="0.15">
      <c r="A260" s="10"/>
      <c r="B260" s="13"/>
      <c r="C260" s="13"/>
    </row>
    <row r="261" spans="1:3" ht="13" x14ac:dyDescent="0.15">
      <c r="A261" s="10"/>
      <c r="B261" s="13"/>
      <c r="C261" s="13"/>
    </row>
    <row r="262" spans="1:3" ht="13" x14ac:dyDescent="0.15">
      <c r="A262" s="10"/>
      <c r="B262" s="13"/>
      <c r="C262" s="13"/>
    </row>
    <row r="263" spans="1:3" ht="13" x14ac:dyDescent="0.15">
      <c r="A263" s="10"/>
      <c r="B263" s="13"/>
      <c r="C263" s="13"/>
    </row>
    <row r="264" spans="1:3" ht="13" x14ac:dyDescent="0.15">
      <c r="A264" s="10"/>
      <c r="B264" s="13"/>
      <c r="C264" s="13"/>
    </row>
    <row r="265" spans="1:3" ht="13" x14ac:dyDescent="0.15">
      <c r="A265" s="10"/>
      <c r="B265" s="13"/>
      <c r="C265" s="13"/>
    </row>
    <row r="266" spans="1:3" ht="13" x14ac:dyDescent="0.15">
      <c r="A266" s="10"/>
      <c r="B266" s="13"/>
      <c r="C266" s="13"/>
    </row>
    <row r="267" spans="1:3" ht="13" x14ac:dyDescent="0.15">
      <c r="A267" s="10"/>
      <c r="B267" s="13"/>
      <c r="C267" s="13"/>
    </row>
    <row r="268" spans="1:3" ht="13" x14ac:dyDescent="0.15">
      <c r="A268" s="10"/>
      <c r="B268" s="13"/>
      <c r="C268" s="13"/>
    </row>
    <row r="269" spans="1:3" ht="13" x14ac:dyDescent="0.15">
      <c r="A269" s="10"/>
      <c r="B269" s="13"/>
      <c r="C269" s="13"/>
    </row>
    <row r="270" spans="1:3" ht="13" x14ac:dyDescent="0.15">
      <c r="A270" s="10"/>
      <c r="B270" s="13"/>
      <c r="C270" s="13"/>
    </row>
    <row r="271" spans="1:3" ht="13" x14ac:dyDescent="0.15">
      <c r="A271" s="10"/>
      <c r="B271" s="13"/>
      <c r="C271" s="13"/>
    </row>
    <row r="272" spans="1:3" ht="13" x14ac:dyDescent="0.15">
      <c r="A272" s="10"/>
      <c r="B272" s="13"/>
      <c r="C272" s="13"/>
    </row>
    <row r="273" spans="1:3" ht="13" x14ac:dyDescent="0.15">
      <c r="A273" s="10"/>
      <c r="B273" s="13"/>
      <c r="C273" s="13"/>
    </row>
    <row r="274" spans="1:3" ht="13" x14ac:dyDescent="0.15">
      <c r="A274" s="10"/>
      <c r="B274" s="13"/>
      <c r="C274" s="13"/>
    </row>
    <row r="275" spans="1:3" ht="13" x14ac:dyDescent="0.15">
      <c r="A275" s="10"/>
      <c r="B275" s="13"/>
      <c r="C275" s="13"/>
    </row>
    <row r="276" spans="1:3" ht="13" x14ac:dyDescent="0.15">
      <c r="A276" s="10"/>
      <c r="B276" s="13"/>
      <c r="C276" s="13"/>
    </row>
    <row r="277" spans="1:3" ht="13" x14ac:dyDescent="0.15">
      <c r="A277" s="10"/>
      <c r="B277" s="13"/>
      <c r="C277" s="13"/>
    </row>
    <row r="278" spans="1:3" ht="13" x14ac:dyDescent="0.15">
      <c r="A278" s="10"/>
      <c r="B278" s="13"/>
      <c r="C278" s="13"/>
    </row>
    <row r="279" spans="1:3" ht="13" x14ac:dyDescent="0.15">
      <c r="A279" s="10"/>
      <c r="B279" s="13"/>
      <c r="C279" s="13"/>
    </row>
    <row r="280" spans="1:3" ht="13" x14ac:dyDescent="0.15">
      <c r="A280" s="10"/>
      <c r="B280" s="13"/>
      <c r="C280" s="13"/>
    </row>
    <row r="281" spans="1:3" ht="13" x14ac:dyDescent="0.15">
      <c r="A281" s="10"/>
      <c r="B281" s="13"/>
      <c r="C281" s="13"/>
    </row>
    <row r="282" spans="1:3" ht="13" x14ac:dyDescent="0.15">
      <c r="A282" s="10"/>
      <c r="B282" s="13"/>
      <c r="C282" s="13"/>
    </row>
    <row r="283" spans="1:3" ht="13" x14ac:dyDescent="0.15">
      <c r="A283" s="10"/>
      <c r="B283" s="13"/>
      <c r="C283" s="13"/>
    </row>
    <row r="284" spans="1:3" ht="13" x14ac:dyDescent="0.15">
      <c r="A284" s="10"/>
      <c r="B284" s="13"/>
      <c r="C284" s="13"/>
    </row>
    <row r="285" spans="1:3" ht="13" x14ac:dyDescent="0.15">
      <c r="A285" s="10"/>
      <c r="B285" s="13"/>
      <c r="C285" s="13"/>
    </row>
    <row r="286" spans="1:3" ht="13" x14ac:dyDescent="0.15">
      <c r="A286" s="10"/>
      <c r="B286" s="13"/>
      <c r="C286" s="13"/>
    </row>
    <row r="287" spans="1:3" ht="13" x14ac:dyDescent="0.15">
      <c r="A287" s="10"/>
      <c r="B287" s="13"/>
      <c r="C287" s="13"/>
    </row>
    <row r="288" spans="1:3" ht="13" x14ac:dyDescent="0.15">
      <c r="A288" s="10"/>
      <c r="B288" s="13"/>
      <c r="C288" s="13"/>
    </row>
    <row r="289" spans="1:3" ht="13" x14ac:dyDescent="0.15">
      <c r="A289" s="10"/>
      <c r="B289" s="13"/>
      <c r="C289" s="13"/>
    </row>
    <row r="290" spans="1:3" ht="13" x14ac:dyDescent="0.15">
      <c r="A290" s="10"/>
      <c r="B290" s="13"/>
      <c r="C290" s="13"/>
    </row>
    <row r="291" spans="1:3" ht="13" x14ac:dyDescent="0.15">
      <c r="A291" s="10"/>
      <c r="B291" s="13"/>
      <c r="C291" s="13"/>
    </row>
    <row r="292" spans="1:3" ht="13" x14ac:dyDescent="0.15">
      <c r="A292" s="10"/>
      <c r="B292" s="13"/>
      <c r="C292" s="13"/>
    </row>
    <row r="293" spans="1:3" ht="13" x14ac:dyDescent="0.15">
      <c r="A293" s="10"/>
      <c r="B293" s="13"/>
      <c r="C293" s="13"/>
    </row>
    <row r="294" spans="1:3" ht="13" x14ac:dyDescent="0.15">
      <c r="A294" s="10"/>
      <c r="B294" s="13"/>
      <c r="C294" s="13"/>
    </row>
    <row r="295" spans="1:3" ht="13" x14ac:dyDescent="0.15">
      <c r="A295" s="10"/>
      <c r="B295" s="13"/>
      <c r="C295" s="13"/>
    </row>
    <row r="296" spans="1:3" ht="13" x14ac:dyDescent="0.15">
      <c r="A296" s="10"/>
      <c r="B296" s="13"/>
      <c r="C296" s="13"/>
    </row>
    <row r="297" spans="1:3" ht="13" x14ac:dyDescent="0.15">
      <c r="A297" s="10"/>
      <c r="B297" s="13"/>
      <c r="C297" s="13"/>
    </row>
    <row r="298" spans="1:3" ht="13" x14ac:dyDescent="0.15">
      <c r="A298" s="10"/>
      <c r="B298" s="13"/>
      <c r="C298" s="13"/>
    </row>
    <row r="299" spans="1:3" ht="13" x14ac:dyDescent="0.15">
      <c r="A299" s="10"/>
      <c r="B299" s="13"/>
      <c r="C299" s="13"/>
    </row>
    <row r="300" spans="1:3" ht="13" x14ac:dyDescent="0.15">
      <c r="A300" s="10"/>
      <c r="B300" s="13"/>
      <c r="C300" s="13"/>
    </row>
    <row r="301" spans="1:3" ht="13" x14ac:dyDescent="0.15">
      <c r="A301" s="10"/>
      <c r="B301" s="13"/>
      <c r="C301" s="13"/>
    </row>
    <row r="302" spans="1:3" ht="13" x14ac:dyDescent="0.15">
      <c r="A302" s="10"/>
      <c r="B302" s="13"/>
      <c r="C302" s="13"/>
    </row>
    <row r="303" spans="1:3" ht="13" x14ac:dyDescent="0.15">
      <c r="A303" s="10"/>
      <c r="B303" s="13"/>
      <c r="C303" s="13"/>
    </row>
    <row r="304" spans="1:3" ht="13" x14ac:dyDescent="0.15">
      <c r="A304" s="10"/>
      <c r="B304" s="13"/>
      <c r="C304" s="13"/>
    </row>
    <row r="305" spans="1:3" ht="13" x14ac:dyDescent="0.15">
      <c r="A305" s="10"/>
      <c r="B305" s="13"/>
      <c r="C305" s="13"/>
    </row>
    <row r="306" spans="1:3" ht="13" x14ac:dyDescent="0.15">
      <c r="A306" s="10"/>
      <c r="B306" s="13"/>
      <c r="C306" s="13"/>
    </row>
    <row r="307" spans="1:3" ht="13" x14ac:dyDescent="0.15">
      <c r="A307" s="10"/>
      <c r="B307" s="13"/>
      <c r="C307" s="13"/>
    </row>
    <row r="308" spans="1:3" ht="13" x14ac:dyDescent="0.15">
      <c r="A308" s="10"/>
      <c r="B308" s="13"/>
      <c r="C308" s="13"/>
    </row>
    <row r="309" spans="1:3" ht="13" x14ac:dyDescent="0.15">
      <c r="A309" s="10"/>
      <c r="B309" s="13"/>
      <c r="C309" s="13"/>
    </row>
    <row r="310" spans="1:3" ht="13" x14ac:dyDescent="0.15">
      <c r="A310" s="10"/>
      <c r="B310" s="13"/>
      <c r="C310" s="13"/>
    </row>
    <row r="311" spans="1:3" ht="13" x14ac:dyDescent="0.15">
      <c r="A311" s="10"/>
      <c r="B311" s="13"/>
      <c r="C311" s="13"/>
    </row>
    <row r="312" spans="1:3" ht="13" x14ac:dyDescent="0.15">
      <c r="A312" s="10"/>
      <c r="B312" s="13"/>
      <c r="C312" s="13"/>
    </row>
    <row r="313" spans="1:3" ht="13" x14ac:dyDescent="0.15">
      <c r="A313" s="10"/>
      <c r="B313" s="13"/>
      <c r="C313" s="13"/>
    </row>
    <row r="314" spans="1:3" ht="13" x14ac:dyDescent="0.15">
      <c r="A314" s="10"/>
      <c r="B314" s="13"/>
      <c r="C314" s="13"/>
    </row>
    <row r="315" spans="1:3" ht="13" x14ac:dyDescent="0.15">
      <c r="A315" s="10"/>
      <c r="B315" s="13"/>
      <c r="C315" s="13"/>
    </row>
    <row r="316" spans="1:3" ht="13" x14ac:dyDescent="0.15">
      <c r="A316" s="10"/>
      <c r="B316" s="13"/>
      <c r="C316" s="13"/>
    </row>
    <row r="317" spans="1:3" ht="13" x14ac:dyDescent="0.15">
      <c r="A317" s="10"/>
      <c r="B317" s="13"/>
      <c r="C317" s="13"/>
    </row>
    <row r="318" spans="1:3" ht="13" x14ac:dyDescent="0.15">
      <c r="A318" s="10"/>
      <c r="B318" s="13"/>
      <c r="C318" s="13"/>
    </row>
    <row r="319" spans="1:3" ht="13" x14ac:dyDescent="0.15">
      <c r="A319" s="10"/>
      <c r="B319" s="13"/>
      <c r="C319" s="13"/>
    </row>
    <row r="320" spans="1:3" ht="13" x14ac:dyDescent="0.15">
      <c r="A320" s="10"/>
      <c r="B320" s="13"/>
      <c r="C320" s="13"/>
    </row>
    <row r="321" spans="1:3" ht="13" x14ac:dyDescent="0.15">
      <c r="A321" s="10"/>
      <c r="B321" s="13"/>
      <c r="C321" s="13"/>
    </row>
    <row r="322" spans="1:3" ht="13" x14ac:dyDescent="0.15">
      <c r="A322" s="10"/>
      <c r="B322" s="13"/>
      <c r="C322" s="13"/>
    </row>
    <row r="323" spans="1:3" ht="13" x14ac:dyDescent="0.15">
      <c r="A323" s="10"/>
      <c r="B323" s="13"/>
      <c r="C323" s="13"/>
    </row>
    <row r="324" spans="1:3" ht="13" x14ac:dyDescent="0.15">
      <c r="A324" s="10"/>
      <c r="B324" s="13"/>
      <c r="C324" s="13"/>
    </row>
    <row r="325" spans="1:3" ht="13" x14ac:dyDescent="0.15">
      <c r="A325" s="10"/>
      <c r="B325" s="13"/>
      <c r="C325" s="13"/>
    </row>
    <row r="326" spans="1:3" ht="13" x14ac:dyDescent="0.15">
      <c r="A326" s="10"/>
      <c r="B326" s="13"/>
      <c r="C326" s="13"/>
    </row>
    <row r="327" spans="1:3" ht="13" x14ac:dyDescent="0.15">
      <c r="A327" s="10"/>
      <c r="B327" s="13"/>
      <c r="C327" s="13"/>
    </row>
    <row r="328" spans="1:3" ht="13" x14ac:dyDescent="0.15">
      <c r="A328" s="10"/>
      <c r="B328" s="13"/>
      <c r="C328" s="13"/>
    </row>
    <row r="329" spans="1:3" ht="13" x14ac:dyDescent="0.15">
      <c r="A329" s="10"/>
      <c r="B329" s="13"/>
      <c r="C329" s="13"/>
    </row>
    <row r="330" spans="1:3" ht="13" x14ac:dyDescent="0.15">
      <c r="A330" s="10"/>
      <c r="B330" s="13"/>
      <c r="C330" s="13"/>
    </row>
    <row r="331" spans="1:3" ht="13" x14ac:dyDescent="0.15">
      <c r="A331" s="10"/>
      <c r="B331" s="13"/>
      <c r="C331" s="13"/>
    </row>
    <row r="332" spans="1:3" ht="13" x14ac:dyDescent="0.15">
      <c r="A332" s="10"/>
      <c r="B332" s="13"/>
      <c r="C332" s="13"/>
    </row>
    <row r="333" spans="1:3" ht="13" x14ac:dyDescent="0.15">
      <c r="A333" s="10"/>
      <c r="B333" s="13"/>
      <c r="C333" s="13"/>
    </row>
    <row r="334" spans="1:3" ht="13" x14ac:dyDescent="0.15">
      <c r="A334" s="10"/>
      <c r="B334" s="13"/>
      <c r="C334" s="13"/>
    </row>
    <row r="335" spans="1:3" ht="13" x14ac:dyDescent="0.15">
      <c r="A335" s="10"/>
      <c r="B335" s="13"/>
      <c r="C335" s="13"/>
    </row>
    <row r="336" spans="1:3" ht="13" x14ac:dyDescent="0.15">
      <c r="A336" s="10"/>
      <c r="B336" s="13"/>
      <c r="C336" s="13"/>
    </row>
    <row r="337" spans="1:3" ht="13" x14ac:dyDescent="0.15">
      <c r="A337" s="10"/>
      <c r="B337" s="13"/>
      <c r="C337" s="13"/>
    </row>
    <row r="338" spans="1:3" ht="13" x14ac:dyDescent="0.15">
      <c r="A338" s="10"/>
      <c r="B338" s="13"/>
      <c r="C338" s="13"/>
    </row>
    <row r="339" spans="1:3" ht="13" x14ac:dyDescent="0.15">
      <c r="A339" s="10"/>
      <c r="B339" s="13"/>
      <c r="C339" s="13"/>
    </row>
    <row r="340" spans="1:3" ht="13" x14ac:dyDescent="0.15">
      <c r="A340" s="10"/>
      <c r="B340" s="13"/>
      <c r="C340" s="13"/>
    </row>
    <row r="341" spans="1:3" ht="13" x14ac:dyDescent="0.15">
      <c r="A341" s="10"/>
      <c r="B341" s="13"/>
      <c r="C341" s="13"/>
    </row>
    <row r="342" spans="1:3" ht="13" x14ac:dyDescent="0.15">
      <c r="A342" s="10"/>
      <c r="B342" s="13"/>
      <c r="C342" s="13"/>
    </row>
    <row r="343" spans="1:3" ht="13" x14ac:dyDescent="0.15">
      <c r="A343" s="10"/>
      <c r="B343" s="13"/>
      <c r="C343" s="13"/>
    </row>
    <row r="344" spans="1:3" ht="13" x14ac:dyDescent="0.15">
      <c r="A344" s="10"/>
      <c r="B344" s="13"/>
      <c r="C344" s="13"/>
    </row>
    <row r="345" spans="1:3" ht="13" x14ac:dyDescent="0.15">
      <c r="A345" s="10"/>
      <c r="B345" s="13"/>
      <c r="C345" s="13"/>
    </row>
    <row r="346" spans="1:3" ht="13" x14ac:dyDescent="0.15">
      <c r="A346" s="10"/>
      <c r="B346" s="13"/>
      <c r="C346" s="13"/>
    </row>
    <row r="347" spans="1:3" ht="13" x14ac:dyDescent="0.15">
      <c r="A347" s="10"/>
      <c r="B347" s="13"/>
      <c r="C347" s="13"/>
    </row>
    <row r="348" spans="1:3" ht="13" x14ac:dyDescent="0.15">
      <c r="A348" s="10"/>
      <c r="B348" s="13"/>
      <c r="C348" s="13"/>
    </row>
    <row r="349" spans="1:3" ht="13" x14ac:dyDescent="0.15">
      <c r="A349" s="10"/>
      <c r="B349" s="13"/>
      <c r="C349" s="13"/>
    </row>
    <row r="350" spans="1:3" ht="13" x14ac:dyDescent="0.15">
      <c r="A350" s="10"/>
      <c r="B350" s="13"/>
      <c r="C350" s="13"/>
    </row>
    <row r="351" spans="1:3" ht="13" x14ac:dyDescent="0.15">
      <c r="A351" s="10"/>
      <c r="B351" s="13"/>
      <c r="C351" s="13"/>
    </row>
    <row r="352" spans="1:3" ht="13" x14ac:dyDescent="0.15">
      <c r="A352" s="10"/>
      <c r="B352" s="13"/>
      <c r="C352" s="13"/>
    </row>
    <row r="353" spans="1:3" ht="13" x14ac:dyDescent="0.15">
      <c r="A353" s="10"/>
      <c r="B353" s="13"/>
      <c r="C353" s="13"/>
    </row>
    <row r="354" spans="1:3" ht="13" x14ac:dyDescent="0.15">
      <c r="A354" s="10"/>
      <c r="B354" s="13"/>
      <c r="C354" s="13"/>
    </row>
    <row r="355" spans="1:3" ht="13" x14ac:dyDescent="0.15">
      <c r="A355" s="10"/>
      <c r="B355" s="13"/>
      <c r="C355" s="13"/>
    </row>
    <row r="356" spans="1:3" ht="13" x14ac:dyDescent="0.15">
      <c r="A356" s="10"/>
      <c r="B356" s="13"/>
      <c r="C356" s="13"/>
    </row>
    <row r="357" spans="1:3" ht="13" x14ac:dyDescent="0.15">
      <c r="A357" s="10"/>
      <c r="B357" s="13"/>
      <c r="C357" s="13"/>
    </row>
    <row r="358" spans="1:3" ht="13" x14ac:dyDescent="0.15">
      <c r="A358" s="10"/>
      <c r="B358" s="13"/>
      <c r="C358" s="13"/>
    </row>
    <row r="359" spans="1:3" ht="13" x14ac:dyDescent="0.15">
      <c r="A359" s="10"/>
      <c r="B359" s="13"/>
      <c r="C359" s="13"/>
    </row>
    <row r="360" spans="1:3" ht="13" x14ac:dyDescent="0.15">
      <c r="A360" s="10"/>
      <c r="B360" s="13"/>
      <c r="C360" s="13"/>
    </row>
    <row r="361" spans="1:3" ht="13" x14ac:dyDescent="0.15">
      <c r="A361" s="10"/>
      <c r="B361" s="13"/>
      <c r="C361" s="13"/>
    </row>
    <row r="362" spans="1:3" ht="13" x14ac:dyDescent="0.15">
      <c r="A362" s="10"/>
      <c r="B362" s="13"/>
      <c r="C362" s="13"/>
    </row>
    <row r="363" spans="1:3" ht="13" x14ac:dyDescent="0.15">
      <c r="A363" s="10"/>
      <c r="B363" s="13"/>
      <c r="C363" s="13"/>
    </row>
    <row r="364" spans="1:3" ht="13" x14ac:dyDescent="0.15">
      <c r="A364" s="10"/>
      <c r="B364" s="13"/>
      <c r="C364" s="13"/>
    </row>
    <row r="365" spans="1:3" ht="13" x14ac:dyDescent="0.15">
      <c r="A365" s="10"/>
      <c r="B365" s="13"/>
      <c r="C365" s="13"/>
    </row>
    <row r="366" spans="1:3" ht="13" x14ac:dyDescent="0.15">
      <c r="A366" s="10"/>
      <c r="B366" s="13"/>
      <c r="C366" s="13"/>
    </row>
    <row r="367" spans="1:3" ht="13" x14ac:dyDescent="0.15">
      <c r="A367" s="10"/>
      <c r="B367" s="13"/>
      <c r="C367" s="13"/>
    </row>
    <row r="368" spans="1:3" ht="13" x14ac:dyDescent="0.15">
      <c r="A368" s="10"/>
      <c r="B368" s="13"/>
      <c r="C368" s="13"/>
    </row>
    <row r="369" spans="1:3" ht="13" x14ac:dyDescent="0.15">
      <c r="A369" s="10"/>
      <c r="B369" s="13"/>
      <c r="C369" s="13"/>
    </row>
    <row r="370" spans="1:3" ht="13" x14ac:dyDescent="0.15">
      <c r="A370" s="10"/>
      <c r="B370" s="13"/>
      <c r="C370" s="13"/>
    </row>
    <row r="371" spans="1:3" ht="13" x14ac:dyDescent="0.15">
      <c r="A371" s="10"/>
      <c r="B371" s="13"/>
      <c r="C371" s="13"/>
    </row>
    <row r="372" spans="1:3" ht="13" x14ac:dyDescent="0.15">
      <c r="A372" s="10"/>
      <c r="B372" s="13"/>
      <c r="C372" s="13"/>
    </row>
    <row r="373" spans="1:3" ht="13" x14ac:dyDescent="0.15">
      <c r="A373" s="10"/>
      <c r="B373" s="13"/>
      <c r="C373" s="13"/>
    </row>
    <row r="374" spans="1:3" ht="13" x14ac:dyDescent="0.15">
      <c r="A374" s="10"/>
      <c r="B374" s="13"/>
      <c r="C374" s="13"/>
    </row>
    <row r="375" spans="1:3" ht="13" x14ac:dyDescent="0.15">
      <c r="A375" s="10"/>
      <c r="B375" s="13"/>
      <c r="C375" s="13"/>
    </row>
    <row r="376" spans="1:3" ht="13" x14ac:dyDescent="0.15">
      <c r="A376" s="10"/>
      <c r="B376" s="13"/>
      <c r="C376" s="13"/>
    </row>
    <row r="377" spans="1:3" ht="13" x14ac:dyDescent="0.15">
      <c r="A377" s="10"/>
      <c r="B377" s="13"/>
      <c r="C377" s="13"/>
    </row>
    <row r="378" spans="1:3" ht="13" x14ac:dyDescent="0.15">
      <c r="A378" s="10"/>
      <c r="B378" s="13"/>
      <c r="C378" s="13"/>
    </row>
    <row r="379" spans="1:3" ht="13" x14ac:dyDescent="0.15">
      <c r="A379" s="10"/>
      <c r="B379" s="13"/>
      <c r="C379" s="13"/>
    </row>
    <row r="380" spans="1:3" ht="13" x14ac:dyDescent="0.15">
      <c r="A380" s="10"/>
      <c r="B380" s="13"/>
      <c r="C380" s="13"/>
    </row>
    <row r="381" spans="1:3" ht="13" x14ac:dyDescent="0.15">
      <c r="A381" s="10"/>
      <c r="B381" s="13"/>
      <c r="C381" s="13"/>
    </row>
    <row r="382" spans="1:3" ht="13" x14ac:dyDescent="0.15">
      <c r="A382" s="10"/>
      <c r="B382" s="13"/>
      <c r="C382" s="13"/>
    </row>
    <row r="383" spans="1:3" ht="13" x14ac:dyDescent="0.15">
      <c r="A383" s="10"/>
      <c r="B383" s="13"/>
      <c r="C383" s="13"/>
    </row>
    <row r="384" spans="1:3" ht="13" x14ac:dyDescent="0.15">
      <c r="A384" s="10"/>
      <c r="B384" s="13"/>
      <c r="C384" s="13"/>
    </row>
    <row r="385" spans="1:3" ht="13" x14ac:dyDescent="0.15">
      <c r="A385" s="10"/>
      <c r="B385" s="13"/>
      <c r="C385" s="13"/>
    </row>
    <row r="386" spans="1:3" ht="13" x14ac:dyDescent="0.15">
      <c r="A386" s="10"/>
      <c r="B386" s="13"/>
      <c r="C386" s="13"/>
    </row>
    <row r="387" spans="1:3" ht="13" x14ac:dyDescent="0.15">
      <c r="A387" s="10"/>
      <c r="B387" s="13"/>
      <c r="C387" s="13"/>
    </row>
    <row r="388" spans="1:3" ht="13" x14ac:dyDescent="0.15">
      <c r="A388" s="10"/>
      <c r="B388" s="13"/>
      <c r="C388" s="13"/>
    </row>
    <row r="389" spans="1:3" ht="13" x14ac:dyDescent="0.15">
      <c r="A389" s="10"/>
      <c r="B389" s="13"/>
      <c r="C389" s="13"/>
    </row>
    <row r="390" spans="1:3" ht="13" x14ac:dyDescent="0.15">
      <c r="A390" s="10"/>
      <c r="B390" s="13"/>
      <c r="C390" s="13"/>
    </row>
    <row r="391" spans="1:3" ht="13" x14ac:dyDescent="0.15">
      <c r="A391" s="10"/>
      <c r="B391" s="13"/>
      <c r="C391" s="13"/>
    </row>
    <row r="392" spans="1:3" ht="13" x14ac:dyDescent="0.15">
      <c r="A392" s="10"/>
      <c r="B392" s="13"/>
      <c r="C392" s="13"/>
    </row>
    <row r="393" spans="1:3" ht="13" x14ac:dyDescent="0.15">
      <c r="A393" s="10"/>
      <c r="B393" s="13"/>
      <c r="C393" s="13"/>
    </row>
    <row r="394" spans="1:3" ht="13" x14ac:dyDescent="0.15">
      <c r="A394" s="10"/>
      <c r="B394" s="13"/>
      <c r="C394" s="13"/>
    </row>
    <row r="395" spans="1:3" ht="13" x14ac:dyDescent="0.15">
      <c r="A395" s="10"/>
      <c r="B395" s="13"/>
      <c r="C395" s="13"/>
    </row>
    <row r="396" spans="1:3" ht="13" x14ac:dyDescent="0.15">
      <c r="A396" s="10"/>
      <c r="B396" s="13"/>
      <c r="C396" s="13"/>
    </row>
    <row r="397" spans="1:3" ht="13" x14ac:dyDescent="0.15">
      <c r="A397" s="10"/>
      <c r="B397" s="13"/>
      <c r="C397" s="13"/>
    </row>
    <row r="398" spans="1:3" ht="13" x14ac:dyDescent="0.15">
      <c r="A398" s="10"/>
      <c r="B398" s="13"/>
      <c r="C398" s="13"/>
    </row>
    <row r="399" spans="1:3" ht="13" x14ac:dyDescent="0.15">
      <c r="A399" s="10"/>
      <c r="B399" s="13"/>
      <c r="C399" s="13"/>
    </row>
    <row r="400" spans="1:3" ht="13" x14ac:dyDescent="0.15">
      <c r="A400" s="10"/>
      <c r="B400" s="13"/>
      <c r="C400" s="13"/>
    </row>
    <row r="401" spans="1:3" ht="13" x14ac:dyDescent="0.15">
      <c r="A401" s="10"/>
      <c r="B401" s="13"/>
      <c r="C401" s="13"/>
    </row>
    <row r="402" spans="1:3" ht="13" x14ac:dyDescent="0.15">
      <c r="A402" s="10"/>
      <c r="B402" s="13"/>
      <c r="C402" s="13"/>
    </row>
    <row r="403" spans="1:3" ht="13" x14ac:dyDescent="0.15">
      <c r="A403" s="10"/>
      <c r="B403" s="13"/>
      <c r="C403" s="13"/>
    </row>
    <row r="404" spans="1:3" ht="13" x14ac:dyDescent="0.15">
      <c r="A404" s="10"/>
      <c r="B404" s="13"/>
      <c r="C404" s="13"/>
    </row>
    <row r="405" spans="1:3" ht="13" x14ac:dyDescent="0.15">
      <c r="A405" s="10"/>
      <c r="B405" s="13"/>
      <c r="C405" s="13"/>
    </row>
    <row r="406" spans="1:3" ht="13" x14ac:dyDescent="0.15">
      <c r="A406" s="10"/>
      <c r="B406" s="13"/>
      <c r="C406" s="13"/>
    </row>
    <row r="407" spans="1:3" ht="13" x14ac:dyDescent="0.15">
      <c r="A407" s="10"/>
      <c r="B407" s="13"/>
      <c r="C407" s="13"/>
    </row>
    <row r="408" spans="1:3" ht="13" x14ac:dyDescent="0.15">
      <c r="A408" s="10"/>
      <c r="B408" s="13"/>
      <c r="C408" s="13"/>
    </row>
    <row r="409" spans="1:3" ht="13" x14ac:dyDescent="0.15">
      <c r="A409" s="10"/>
      <c r="B409" s="13"/>
      <c r="C409" s="13"/>
    </row>
    <row r="410" spans="1:3" ht="13" x14ac:dyDescent="0.15">
      <c r="A410" s="10"/>
      <c r="B410" s="13"/>
      <c r="C410" s="13"/>
    </row>
    <row r="411" spans="1:3" ht="13" x14ac:dyDescent="0.15">
      <c r="A411" s="10"/>
      <c r="B411" s="13"/>
      <c r="C411" s="13"/>
    </row>
    <row r="412" spans="1:3" ht="13" x14ac:dyDescent="0.15">
      <c r="A412" s="10"/>
      <c r="B412" s="13"/>
      <c r="C412" s="13"/>
    </row>
    <row r="413" spans="1:3" ht="13" x14ac:dyDescent="0.15">
      <c r="A413" s="10"/>
      <c r="B413" s="13"/>
      <c r="C413" s="13"/>
    </row>
    <row r="414" spans="1:3" ht="13" x14ac:dyDescent="0.15">
      <c r="A414" s="10"/>
      <c r="B414" s="13"/>
      <c r="C414" s="13"/>
    </row>
    <row r="415" spans="1:3" ht="13" x14ac:dyDescent="0.15">
      <c r="A415" s="10"/>
      <c r="B415" s="13"/>
      <c r="C415" s="13"/>
    </row>
    <row r="416" spans="1:3" ht="13" x14ac:dyDescent="0.15">
      <c r="A416" s="10"/>
      <c r="B416" s="13"/>
      <c r="C416" s="13"/>
    </row>
    <row r="417" spans="1:3" ht="13" x14ac:dyDescent="0.15">
      <c r="A417" s="10"/>
      <c r="B417" s="13"/>
      <c r="C417" s="13"/>
    </row>
    <row r="418" spans="1:3" ht="13" x14ac:dyDescent="0.15">
      <c r="A418" s="10"/>
      <c r="B418" s="13"/>
      <c r="C418" s="13"/>
    </row>
    <row r="419" spans="1:3" ht="13" x14ac:dyDescent="0.15">
      <c r="A419" s="10"/>
      <c r="B419" s="13"/>
      <c r="C419" s="13"/>
    </row>
    <row r="420" spans="1:3" ht="13" x14ac:dyDescent="0.15">
      <c r="A420" s="10"/>
      <c r="B420" s="13"/>
      <c r="C420" s="13"/>
    </row>
    <row r="421" spans="1:3" ht="13" x14ac:dyDescent="0.15">
      <c r="A421" s="10"/>
      <c r="B421" s="13"/>
      <c r="C421" s="13"/>
    </row>
    <row r="422" spans="1:3" ht="13" x14ac:dyDescent="0.15">
      <c r="A422" s="10"/>
      <c r="B422" s="13"/>
      <c r="C422" s="13"/>
    </row>
    <row r="423" spans="1:3" ht="13" x14ac:dyDescent="0.15">
      <c r="A423" s="10"/>
      <c r="B423" s="13"/>
      <c r="C423" s="13"/>
    </row>
    <row r="424" spans="1:3" ht="13" x14ac:dyDescent="0.15">
      <c r="A424" s="10"/>
      <c r="B424" s="13"/>
      <c r="C424" s="13"/>
    </row>
    <row r="425" spans="1:3" ht="13" x14ac:dyDescent="0.15">
      <c r="A425" s="10"/>
      <c r="B425" s="13"/>
      <c r="C425" s="13"/>
    </row>
    <row r="426" spans="1:3" ht="13" x14ac:dyDescent="0.15">
      <c r="A426" s="10"/>
      <c r="B426" s="13"/>
      <c r="C426" s="13"/>
    </row>
    <row r="427" spans="1:3" ht="13" x14ac:dyDescent="0.15">
      <c r="A427" s="10"/>
      <c r="B427" s="13"/>
      <c r="C427" s="13"/>
    </row>
    <row r="428" spans="1:3" ht="13" x14ac:dyDescent="0.15">
      <c r="A428" s="10"/>
      <c r="B428" s="13"/>
      <c r="C428" s="13"/>
    </row>
    <row r="429" spans="1:3" ht="13" x14ac:dyDescent="0.15">
      <c r="A429" s="10"/>
      <c r="B429" s="13"/>
      <c r="C429" s="13"/>
    </row>
    <row r="430" spans="1:3" ht="13" x14ac:dyDescent="0.15">
      <c r="A430" s="10"/>
      <c r="B430" s="13"/>
      <c r="C430" s="13"/>
    </row>
    <row r="431" spans="1:3" ht="13" x14ac:dyDescent="0.15">
      <c r="A431" s="10"/>
      <c r="B431" s="13"/>
      <c r="C431" s="13"/>
    </row>
    <row r="432" spans="1:3" ht="13" x14ac:dyDescent="0.15">
      <c r="A432" s="10"/>
      <c r="B432" s="13"/>
      <c r="C432" s="13"/>
    </row>
    <row r="433" spans="1:3" ht="13" x14ac:dyDescent="0.15">
      <c r="A433" s="10"/>
      <c r="B433" s="13"/>
      <c r="C433" s="13"/>
    </row>
    <row r="434" spans="1:3" ht="13" x14ac:dyDescent="0.15">
      <c r="A434" s="10"/>
      <c r="B434" s="13"/>
      <c r="C434" s="13"/>
    </row>
    <row r="435" spans="1:3" ht="13" x14ac:dyDescent="0.15">
      <c r="A435" s="10"/>
      <c r="B435" s="13"/>
      <c r="C435" s="13"/>
    </row>
    <row r="436" spans="1:3" ht="13" x14ac:dyDescent="0.15">
      <c r="A436" s="10"/>
      <c r="B436" s="13"/>
      <c r="C436" s="13"/>
    </row>
    <row r="437" spans="1:3" ht="13" x14ac:dyDescent="0.15">
      <c r="A437" s="10"/>
      <c r="B437" s="13"/>
      <c r="C437" s="13"/>
    </row>
    <row r="438" spans="1:3" ht="13" x14ac:dyDescent="0.15">
      <c r="A438" s="10"/>
      <c r="B438" s="13"/>
      <c r="C438" s="13"/>
    </row>
    <row r="439" spans="1:3" ht="13" x14ac:dyDescent="0.15">
      <c r="A439" s="10"/>
      <c r="B439" s="13"/>
      <c r="C439" s="13"/>
    </row>
    <row r="440" spans="1:3" ht="13" x14ac:dyDescent="0.15">
      <c r="A440" s="10"/>
      <c r="B440" s="13"/>
      <c r="C440" s="13"/>
    </row>
    <row r="441" spans="1:3" ht="13" x14ac:dyDescent="0.15">
      <c r="A441" s="10"/>
      <c r="B441" s="13"/>
      <c r="C441" s="13"/>
    </row>
    <row r="442" spans="1:3" ht="13" x14ac:dyDescent="0.15">
      <c r="A442" s="10"/>
      <c r="B442" s="13"/>
      <c r="C442" s="13"/>
    </row>
    <row r="443" spans="1:3" ht="13" x14ac:dyDescent="0.15">
      <c r="A443" s="10"/>
      <c r="B443" s="13"/>
      <c r="C443" s="13"/>
    </row>
    <row r="444" spans="1:3" ht="13" x14ac:dyDescent="0.15">
      <c r="A444" s="10"/>
      <c r="B444" s="13"/>
      <c r="C444" s="13"/>
    </row>
    <row r="445" spans="1:3" ht="13" x14ac:dyDescent="0.15">
      <c r="A445" s="10"/>
      <c r="B445" s="13"/>
      <c r="C445" s="13"/>
    </row>
    <row r="446" spans="1:3" ht="13" x14ac:dyDescent="0.15">
      <c r="A446" s="10"/>
      <c r="B446" s="13"/>
      <c r="C446" s="13"/>
    </row>
    <row r="447" spans="1:3" ht="13" x14ac:dyDescent="0.15">
      <c r="A447" s="10"/>
      <c r="B447" s="13"/>
      <c r="C447" s="13"/>
    </row>
    <row r="448" spans="1:3" ht="13" x14ac:dyDescent="0.15">
      <c r="A448" s="10"/>
      <c r="B448" s="13"/>
      <c r="C448" s="13"/>
    </row>
    <row r="449" spans="1:3" ht="13" x14ac:dyDescent="0.15">
      <c r="A449" s="10"/>
      <c r="B449" s="13"/>
      <c r="C449" s="13"/>
    </row>
    <row r="450" spans="1:3" ht="13" x14ac:dyDescent="0.15">
      <c r="A450" s="10"/>
      <c r="B450" s="13"/>
      <c r="C450" s="13"/>
    </row>
    <row r="451" spans="1:3" ht="13" x14ac:dyDescent="0.15">
      <c r="A451" s="10"/>
      <c r="B451" s="13"/>
      <c r="C451" s="13"/>
    </row>
    <row r="452" spans="1:3" ht="13" x14ac:dyDescent="0.15">
      <c r="A452" s="10"/>
      <c r="B452" s="13"/>
      <c r="C452" s="13"/>
    </row>
    <row r="453" spans="1:3" ht="13" x14ac:dyDescent="0.15">
      <c r="A453" s="10"/>
      <c r="B453" s="13"/>
      <c r="C453" s="13"/>
    </row>
    <row r="454" spans="1:3" ht="13" x14ac:dyDescent="0.15">
      <c r="A454" s="10"/>
      <c r="B454" s="13"/>
      <c r="C454" s="13"/>
    </row>
    <row r="455" spans="1:3" ht="13" x14ac:dyDescent="0.15">
      <c r="A455" s="10"/>
      <c r="B455" s="13"/>
      <c r="C455" s="13"/>
    </row>
    <row r="456" spans="1:3" ht="13" x14ac:dyDescent="0.15">
      <c r="A456" s="10"/>
      <c r="B456" s="13"/>
      <c r="C456" s="13"/>
    </row>
    <row r="457" spans="1:3" ht="13" x14ac:dyDescent="0.15">
      <c r="A457" s="10"/>
      <c r="B457" s="13"/>
      <c r="C457" s="13"/>
    </row>
    <row r="458" spans="1:3" ht="13" x14ac:dyDescent="0.15">
      <c r="A458" s="10"/>
      <c r="B458" s="13"/>
      <c r="C458" s="13"/>
    </row>
    <row r="459" spans="1:3" ht="13" x14ac:dyDescent="0.15">
      <c r="A459" s="10"/>
      <c r="B459" s="13"/>
      <c r="C459" s="13"/>
    </row>
    <row r="460" spans="1:3" ht="13" x14ac:dyDescent="0.15">
      <c r="A460" s="10"/>
      <c r="B460" s="13"/>
      <c r="C460" s="13"/>
    </row>
    <row r="461" spans="1:3" ht="13" x14ac:dyDescent="0.15">
      <c r="A461" s="10"/>
      <c r="B461" s="13"/>
      <c r="C461" s="13"/>
    </row>
    <row r="462" spans="1:3" ht="13" x14ac:dyDescent="0.15">
      <c r="A462" s="10"/>
      <c r="B462" s="13"/>
      <c r="C462" s="13"/>
    </row>
    <row r="463" spans="1:3" ht="13" x14ac:dyDescent="0.15">
      <c r="A463" s="10"/>
      <c r="B463" s="13"/>
      <c r="C463" s="13"/>
    </row>
    <row r="464" spans="1:3" ht="13" x14ac:dyDescent="0.15">
      <c r="A464" s="10"/>
      <c r="B464" s="13"/>
      <c r="C464" s="13"/>
    </row>
    <row r="465" spans="1:3" ht="13" x14ac:dyDescent="0.15">
      <c r="A465" s="10"/>
      <c r="B465" s="13"/>
      <c r="C465" s="13"/>
    </row>
    <row r="466" spans="1:3" ht="13" x14ac:dyDescent="0.15">
      <c r="A466" s="10"/>
      <c r="B466" s="13"/>
      <c r="C466" s="13"/>
    </row>
    <row r="467" spans="1:3" ht="13" x14ac:dyDescent="0.15">
      <c r="A467" s="10"/>
      <c r="B467" s="13"/>
      <c r="C467" s="13"/>
    </row>
    <row r="468" spans="1:3" ht="13" x14ac:dyDescent="0.15">
      <c r="A468" s="10"/>
      <c r="B468" s="13"/>
      <c r="C468" s="13"/>
    </row>
    <row r="469" spans="1:3" ht="13" x14ac:dyDescent="0.15">
      <c r="A469" s="10"/>
      <c r="B469" s="13"/>
      <c r="C469" s="13"/>
    </row>
    <row r="470" spans="1:3" ht="13" x14ac:dyDescent="0.15">
      <c r="A470" s="10"/>
      <c r="B470" s="13"/>
      <c r="C470" s="13"/>
    </row>
    <row r="471" spans="1:3" ht="13" x14ac:dyDescent="0.15">
      <c r="A471" s="10"/>
      <c r="B471" s="13"/>
      <c r="C471" s="13"/>
    </row>
    <row r="472" spans="1:3" ht="13" x14ac:dyDescent="0.15">
      <c r="A472" s="10"/>
      <c r="B472" s="13"/>
      <c r="C472" s="13"/>
    </row>
    <row r="473" spans="1:3" ht="13" x14ac:dyDescent="0.15">
      <c r="A473" s="10"/>
      <c r="B473" s="13"/>
      <c r="C473" s="13"/>
    </row>
    <row r="474" spans="1:3" ht="13" x14ac:dyDescent="0.15">
      <c r="A474" s="10"/>
      <c r="B474" s="13"/>
      <c r="C474" s="13"/>
    </row>
    <row r="475" spans="1:3" ht="13" x14ac:dyDescent="0.15">
      <c r="A475" s="10"/>
      <c r="B475" s="13"/>
      <c r="C475" s="13"/>
    </row>
    <row r="476" spans="1:3" ht="13" x14ac:dyDescent="0.15">
      <c r="A476" s="10"/>
      <c r="B476" s="13"/>
      <c r="C476" s="13"/>
    </row>
    <row r="477" spans="1:3" ht="13" x14ac:dyDescent="0.15">
      <c r="A477" s="10"/>
      <c r="B477" s="13"/>
      <c r="C477" s="13"/>
    </row>
    <row r="478" spans="1:3" ht="13" x14ac:dyDescent="0.15">
      <c r="A478" s="10"/>
      <c r="B478" s="13"/>
      <c r="C478" s="13"/>
    </row>
    <row r="479" spans="1:3" ht="13" x14ac:dyDescent="0.15">
      <c r="A479" s="10"/>
      <c r="B479" s="13"/>
      <c r="C479" s="13"/>
    </row>
    <row r="480" spans="1:3" ht="13" x14ac:dyDescent="0.15">
      <c r="A480" s="10"/>
      <c r="B480" s="13"/>
      <c r="C480" s="13"/>
    </row>
    <row r="481" spans="1:3" ht="13" x14ac:dyDescent="0.15">
      <c r="A481" s="10"/>
      <c r="B481" s="13"/>
      <c r="C481" s="13"/>
    </row>
    <row r="482" spans="1:3" ht="13" x14ac:dyDescent="0.15">
      <c r="A482" s="10"/>
      <c r="B482" s="13"/>
      <c r="C482" s="13"/>
    </row>
    <row r="483" spans="1:3" ht="13" x14ac:dyDescent="0.15">
      <c r="A483" s="10"/>
      <c r="B483" s="13"/>
      <c r="C483" s="13"/>
    </row>
    <row r="484" spans="1:3" ht="13" x14ac:dyDescent="0.15">
      <c r="A484" s="10"/>
      <c r="B484" s="13"/>
      <c r="C484" s="13"/>
    </row>
    <row r="485" spans="1:3" ht="13" x14ac:dyDescent="0.15">
      <c r="A485" s="10"/>
      <c r="B485" s="13"/>
      <c r="C485" s="13"/>
    </row>
    <row r="486" spans="1:3" ht="13" x14ac:dyDescent="0.15">
      <c r="A486" s="10"/>
      <c r="B486" s="13"/>
      <c r="C486" s="13"/>
    </row>
    <row r="487" spans="1:3" ht="13" x14ac:dyDescent="0.15">
      <c r="A487" s="10"/>
      <c r="B487" s="13"/>
      <c r="C487" s="13"/>
    </row>
    <row r="488" spans="1:3" ht="13" x14ac:dyDescent="0.15">
      <c r="A488" s="10"/>
      <c r="B488" s="13"/>
      <c r="C488" s="13"/>
    </row>
    <row r="489" spans="1:3" ht="13" x14ac:dyDescent="0.15">
      <c r="A489" s="10"/>
      <c r="B489" s="13"/>
      <c r="C489" s="13"/>
    </row>
    <row r="490" spans="1:3" ht="13" x14ac:dyDescent="0.15">
      <c r="A490" s="10"/>
      <c r="B490" s="13"/>
      <c r="C490" s="13"/>
    </row>
    <row r="491" spans="1:3" ht="13" x14ac:dyDescent="0.15">
      <c r="A491" s="10"/>
      <c r="B491" s="13"/>
      <c r="C491" s="13"/>
    </row>
    <row r="492" spans="1:3" ht="13" x14ac:dyDescent="0.15">
      <c r="A492" s="10"/>
      <c r="B492" s="13"/>
      <c r="C492" s="13"/>
    </row>
    <row r="493" spans="1:3" ht="13" x14ac:dyDescent="0.15">
      <c r="A493" s="10"/>
      <c r="B493" s="13"/>
      <c r="C493" s="13"/>
    </row>
    <row r="494" spans="1:3" ht="13" x14ac:dyDescent="0.15">
      <c r="A494" s="10"/>
      <c r="B494" s="13"/>
      <c r="C494" s="13"/>
    </row>
    <row r="495" spans="1:3" ht="13" x14ac:dyDescent="0.15">
      <c r="A495" s="10"/>
      <c r="B495" s="13"/>
      <c r="C495" s="13"/>
    </row>
    <row r="496" spans="1:3" ht="13" x14ac:dyDescent="0.15">
      <c r="A496" s="10"/>
      <c r="B496" s="13"/>
      <c r="C496" s="13"/>
    </row>
    <row r="497" spans="1:3" ht="13" x14ac:dyDescent="0.15">
      <c r="A497" s="10"/>
      <c r="B497" s="13"/>
      <c r="C497" s="13"/>
    </row>
    <row r="498" spans="1:3" ht="13" x14ac:dyDescent="0.15">
      <c r="A498" s="10"/>
      <c r="B498" s="13"/>
      <c r="C498" s="13"/>
    </row>
    <row r="499" spans="1:3" ht="13" x14ac:dyDescent="0.15">
      <c r="A499" s="10"/>
      <c r="B499" s="13"/>
      <c r="C499" s="13"/>
    </row>
    <row r="500" spans="1:3" ht="13" x14ac:dyDescent="0.15">
      <c r="A500" s="10"/>
      <c r="B500" s="13"/>
      <c r="C500" s="13"/>
    </row>
    <row r="501" spans="1:3" ht="13" x14ac:dyDescent="0.15">
      <c r="A501" s="10"/>
      <c r="B501" s="13"/>
      <c r="C501" s="13"/>
    </row>
    <row r="502" spans="1:3" ht="13" x14ac:dyDescent="0.15">
      <c r="A502" s="10"/>
      <c r="B502" s="13"/>
      <c r="C502" s="13"/>
    </row>
    <row r="503" spans="1:3" ht="13" x14ac:dyDescent="0.15">
      <c r="A503" s="10"/>
      <c r="B503" s="13"/>
      <c r="C503" s="13"/>
    </row>
    <row r="504" spans="1:3" ht="13" x14ac:dyDescent="0.15">
      <c r="A504" s="10"/>
      <c r="B504" s="13"/>
      <c r="C504" s="13"/>
    </row>
    <row r="505" spans="1:3" ht="13" x14ac:dyDescent="0.15">
      <c r="A505" s="10"/>
      <c r="B505" s="13"/>
      <c r="C505" s="13"/>
    </row>
    <row r="506" spans="1:3" ht="13" x14ac:dyDescent="0.15">
      <c r="A506" s="10"/>
      <c r="B506" s="13"/>
      <c r="C506" s="13"/>
    </row>
    <row r="507" spans="1:3" ht="13" x14ac:dyDescent="0.15">
      <c r="A507" s="10"/>
      <c r="B507" s="13"/>
      <c r="C507" s="13"/>
    </row>
    <row r="508" spans="1:3" ht="13" x14ac:dyDescent="0.15">
      <c r="A508" s="10"/>
      <c r="B508" s="13"/>
      <c r="C508" s="13"/>
    </row>
    <row r="509" spans="1:3" ht="13" x14ac:dyDescent="0.15">
      <c r="A509" s="10"/>
      <c r="B509" s="13"/>
      <c r="C509" s="13"/>
    </row>
    <row r="510" spans="1:3" ht="13" x14ac:dyDescent="0.15">
      <c r="A510" s="10"/>
      <c r="B510" s="13"/>
      <c r="C510" s="13"/>
    </row>
    <row r="511" spans="1:3" ht="13" x14ac:dyDescent="0.15">
      <c r="A511" s="10"/>
      <c r="B511" s="13"/>
      <c r="C511" s="13"/>
    </row>
    <row r="512" spans="1:3" ht="13" x14ac:dyDescent="0.15">
      <c r="A512" s="10"/>
      <c r="B512" s="13"/>
      <c r="C512" s="13"/>
    </row>
    <row r="513" spans="1:3" ht="13" x14ac:dyDescent="0.15">
      <c r="A513" s="10"/>
      <c r="B513" s="13"/>
      <c r="C513" s="13"/>
    </row>
    <row r="514" spans="1:3" ht="13" x14ac:dyDescent="0.15">
      <c r="A514" s="10"/>
      <c r="B514" s="13"/>
      <c r="C514" s="13"/>
    </row>
    <row r="515" spans="1:3" ht="13" x14ac:dyDescent="0.15">
      <c r="A515" s="10"/>
      <c r="B515" s="13"/>
      <c r="C515" s="13"/>
    </row>
    <row r="516" spans="1:3" ht="13" x14ac:dyDescent="0.15">
      <c r="A516" s="10"/>
      <c r="B516" s="13"/>
      <c r="C516" s="13"/>
    </row>
    <row r="517" spans="1:3" ht="13" x14ac:dyDescent="0.15">
      <c r="A517" s="10"/>
      <c r="B517" s="13"/>
      <c r="C517" s="13"/>
    </row>
    <row r="518" spans="1:3" ht="13" x14ac:dyDescent="0.15">
      <c r="A518" s="10"/>
      <c r="B518" s="13"/>
      <c r="C518" s="13"/>
    </row>
    <row r="519" spans="1:3" ht="13" x14ac:dyDescent="0.15">
      <c r="A519" s="10"/>
      <c r="B519" s="13"/>
      <c r="C519" s="13"/>
    </row>
    <row r="520" spans="1:3" ht="13" x14ac:dyDescent="0.15">
      <c r="A520" s="10"/>
      <c r="B520" s="13"/>
      <c r="C520" s="13"/>
    </row>
    <row r="521" spans="1:3" ht="13" x14ac:dyDescent="0.15">
      <c r="A521" s="10"/>
      <c r="B521" s="13"/>
      <c r="C521" s="13"/>
    </row>
    <row r="522" spans="1:3" ht="13" x14ac:dyDescent="0.15">
      <c r="A522" s="10"/>
      <c r="B522" s="13"/>
      <c r="C522" s="13"/>
    </row>
    <row r="523" spans="1:3" ht="13" x14ac:dyDescent="0.15">
      <c r="A523" s="10"/>
      <c r="B523" s="13"/>
      <c r="C523" s="13"/>
    </row>
    <row r="524" spans="1:3" ht="13" x14ac:dyDescent="0.15">
      <c r="A524" s="10"/>
      <c r="B524" s="13"/>
      <c r="C524" s="13"/>
    </row>
    <row r="525" spans="1:3" ht="13" x14ac:dyDescent="0.15">
      <c r="A525" s="10"/>
      <c r="B525" s="13"/>
      <c r="C525" s="13"/>
    </row>
    <row r="526" spans="1:3" ht="13" x14ac:dyDescent="0.15">
      <c r="A526" s="10"/>
      <c r="B526" s="13"/>
      <c r="C526" s="13"/>
    </row>
    <row r="527" spans="1:3" ht="13" x14ac:dyDescent="0.15">
      <c r="A527" s="10"/>
      <c r="B527" s="13"/>
      <c r="C527" s="13"/>
    </row>
    <row r="528" spans="1:3" ht="13" x14ac:dyDescent="0.15">
      <c r="A528" s="10"/>
      <c r="B528" s="13"/>
      <c r="C528" s="13"/>
    </row>
    <row r="529" spans="1:3" ht="13" x14ac:dyDescent="0.15">
      <c r="A529" s="10"/>
      <c r="B529" s="13"/>
      <c r="C529" s="13"/>
    </row>
    <row r="530" spans="1:3" ht="13" x14ac:dyDescent="0.15">
      <c r="A530" s="10"/>
      <c r="B530" s="13"/>
      <c r="C530" s="13"/>
    </row>
    <row r="531" spans="1:3" ht="13" x14ac:dyDescent="0.15">
      <c r="A531" s="10"/>
      <c r="B531" s="13"/>
      <c r="C531" s="13"/>
    </row>
    <row r="532" spans="1:3" ht="13" x14ac:dyDescent="0.15">
      <c r="A532" s="10"/>
      <c r="B532" s="13"/>
      <c r="C532" s="13"/>
    </row>
    <row r="533" spans="1:3" ht="13" x14ac:dyDescent="0.15">
      <c r="A533" s="10"/>
      <c r="B533" s="13"/>
      <c r="C533" s="13"/>
    </row>
    <row r="534" spans="1:3" ht="13" x14ac:dyDescent="0.15">
      <c r="A534" s="10"/>
      <c r="B534" s="13"/>
      <c r="C534" s="13"/>
    </row>
    <row r="535" spans="1:3" ht="13" x14ac:dyDescent="0.15">
      <c r="A535" s="10"/>
      <c r="B535" s="13"/>
      <c r="C535" s="13"/>
    </row>
    <row r="536" spans="1:3" ht="13" x14ac:dyDescent="0.15">
      <c r="A536" s="10"/>
      <c r="B536" s="13"/>
      <c r="C536" s="13"/>
    </row>
    <row r="537" spans="1:3" ht="13" x14ac:dyDescent="0.15">
      <c r="A537" s="10"/>
      <c r="B537" s="13"/>
      <c r="C537" s="13"/>
    </row>
    <row r="538" spans="1:3" ht="13" x14ac:dyDescent="0.15">
      <c r="A538" s="10"/>
      <c r="B538" s="13"/>
      <c r="C538" s="13"/>
    </row>
    <row r="539" spans="1:3" ht="13" x14ac:dyDescent="0.15">
      <c r="A539" s="10"/>
      <c r="B539" s="13"/>
      <c r="C539" s="13"/>
    </row>
    <row r="540" spans="1:3" ht="13" x14ac:dyDescent="0.15">
      <c r="A540" s="10"/>
      <c r="B540" s="13"/>
      <c r="C540" s="13"/>
    </row>
    <row r="541" spans="1:3" ht="13" x14ac:dyDescent="0.15">
      <c r="A541" s="10"/>
      <c r="B541" s="13"/>
      <c r="C541" s="13"/>
    </row>
    <row r="542" spans="1:3" ht="13" x14ac:dyDescent="0.15">
      <c r="A542" s="10"/>
      <c r="B542" s="13"/>
      <c r="C542" s="13"/>
    </row>
    <row r="543" spans="1:3" ht="13" x14ac:dyDescent="0.15">
      <c r="A543" s="10"/>
      <c r="B543" s="13"/>
      <c r="C543" s="13"/>
    </row>
    <row r="544" spans="1:3" ht="13" x14ac:dyDescent="0.15">
      <c r="A544" s="10"/>
      <c r="B544" s="13"/>
      <c r="C544" s="13"/>
    </row>
    <row r="545" spans="1:3" ht="13" x14ac:dyDescent="0.15">
      <c r="A545" s="10"/>
      <c r="B545" s="13"/>
      <c r="C545" s="13"/>
    </row>
    <row r="546" spans="1:3" ht="13" x14ac:dyDescent="0.15">
      <c r="A546" s="10"/>
      <c r="B546" s="13"/>
      <c r="C546" s="13"/>
    </row>
    <row r="547" spans="1:3" ht="13" x14ac:dyDescent="0.15">
      <c r="A547" s="10"/>
      <c r="B547" s="13"/>
      <c r="C547" s="13"/>
    </row>
    <row r="548" spans="1:3" ht="13" x14ac:dyDescent="0.15">
      <c r="A548" s="10"/>
      <c r="B548" s="13"/>
      <c r="C548" s="13"/>
    </row>
    <row r="549" spans="1:3" ht="13" x14ac:dyDescent="0.15">
      <c r="A549" s="10"/>
      <c r="B549" s="13"/>
      <c r="C549" s="13"/>
    </row>
    <row r="550" spans="1:3" ht="13" x14ac:dyDescent="0.15">
      <c r="A550" s="10"/>
      <c r="B550" s="13"/>
      <c r="C550" s="13"/>
    </row>
    <row r="551" spans="1:3" ht="13" x14ac:dyDescent="0.15">
      <c r="A551" s="10"/>
      <c r="B551" s="13"/>
      <c r="C551" s="13"/>
    </row>
    <row r="552" spans="1:3" ht="13" x14ac:dyDescent="0.15">
      <c r="A552" s="10"/>
      <c r="B552" s="13"/>
      <c r="C552" s="13"/>
    </row>
    <row r="553" spans="1:3" ht="13" x14ac:dyDescent="0.15">
      <c r="A553" s="10"/>
      <c r="B553" s="13"/>
      <c r="C553" s="13"/>
    </row>
    <row r="554" spans="1:3" ht="13" x14ac:dyDescent="0.15">
      <c r="A554" s="10"/>
      <c r="B554" s="13"/>
      <c r="C554" s="13"/>
    </row>
    <row r="555" spans="1:3" ht="13" x14ac:dyDescent="0.15">
      <c r="A555" s="10"/>
      <c r="B555" s="13"/>
      <c r="C555" s="13"/>
    </row>
    <row r="556" spans="1:3" ht="13" x14ac:dyDescent="0.15">
      <c r="A556" s="10"/>
      <c r="B556" s="13"/>
      <c r="C556" s="13"/>
    </row>
    <row r="557" spans="1:3" ht="13" x14ac:dyDescent="0.15">
      <c r="A557" s="10"/>
      <c r="B557" s="13"/>
      <c r="C557" s="13"/>
    </row>
    <row r="558" spans="1:3" ht="13" x14ac:dyDescent="0.15">
      <c r="A558" s="10"/>
      <c r="B558" s="13"/>
      <c r="C558" s="13"/>
    </row>
    <row r="559" spans="1:3" ht="13" x14ac:dyDescent="0.15">
      <c r="A559" s="10"/>
      <c r="B559" s="13"/>
      <c r="C559" s="13"/>
    </row>
    <row r="560" spans="1:3" ht="13" x14ac:dyDescent="0.15">
      <c r="A560" s="10"/>
      <c r="B560" s="13"/>
      <c r="C560" s="13"/>
    </row>
    <row r="561" spans="1:3" ht="13" x14ac:dyDescent="0.15">
      <c r="A561" s="10"/>
      <c r="B561" s="13"/>
      <c r="C561" s="13"/>
    </row>
    <row r="562" spans="1:3" ht="13" x14ac:dyDescent="0.15">
      <c r="A562" s="10"/>
      <c r="B562" s="13"/>
      <c r="C562" s="13"/>
    </row>
    <row r="563" spans="1:3" ht="13" x14ac:dyDescent="0.15">
      <c r="A563" s="10"/>
      <c r="B563" s="13"/>
      <c r="C563" s="13"/>
    </row>
    <row r="564" spans="1:3" ht="13" x14ac:dyDescent="0.15">
      <c r="A564" s="10"/>
      <c r="B564" s="13"/>
      <c r="C564" s="13"/>
    </row>
    <row r="565" spans="1:3" ht="13" x14ac:dyDescent="0.15">
      <c r="A565" s="10"/>
      <c r="B565" s="13"/>
      <c r="C565" s="13"/>
    </row>
    <row r="566" spans="1:3" ht="13" x14ac:dyDescent="0.15">
      <c r="A566" s="10"/>
      <c r="B566" s="13"/>
      <c r="C566" s="13"/>
    </row>
    <row r="567" spans="1:3" ht="13" x14ac:dyDescent="0.15">
      <c r="A567" s="10"/>
      <c r="B567" s="13"/>
      <c r="C567" s="13"/>
    </row>
    <row r="568" spans="1:3" ht="13" x14ac:dyDescent="0.15">
      <c r="A568" s="10"/>
      <c r="B568" s="13"/>
      <c r="C568" s="13"/>
    </row>
    <row r="569" spans="1:3" ht="13" x14ac:dyDescent="0.15">
      <c r="A569" s="10"/>
      <c r="B569" s="13"/>
      <c r="C569" s="13"/>
    </row>
    <row r="570" spans="1:3" ht="13" x14ac:dyDescent="0.15">
      <c r="A570" s="10"/>
      <c r="B570" s="13"/>
      <c r="C570" s="13"/>
    </row>
    <row r="571" spans="1:3" ht="13" x14ac:dyDescent="0.15">
      <c r="A571" s="10"/>
      <c r="B571" s="13"/>
      <c r="C571" s="13"/>
    </row>
    <row r="572" spans="1:3" ht="13" x14ac:dyDescent="0.15">
      <c r="A572" s="10"/>
      <c r="B572" s="13"/>
      <c r="C572" s="13"/>
    </row>
    <row r="573" spans="1:3" ht="13" x14ac:dyDescent="0.15">
      <c r="A573" s="10"/>
      <c r="B573" s="13"/>
      <c r="C573" s="13"/>
    </row>
    <row r="574" spans="1:3" ht="13" x14ac:dyDescent="0.15">
      <c r="A574" s="10"/>
      <c r="B574" s="13"/>
      <c r="C574" s="13"/>
    </row>
    <row r="575" spans="1:3" ht="13" x14ac:dyDescent="0.15">
      <c r="A575" s="10"/>
      <c r="B575" s="13"/>
      <c r="C575" s="13"/>
    </row>
    <row r="576" spans="1:3" ht="13" x14ac:dyDescent="0.15">
      <c r="A576" s="10"/>
      <c r="B576" s="13"/>
      <c r="C576" s="13"/>
    </row>
    <row r="577" spans="1:3" ht="13" x14ac:dyDescent="0.15">
      <c r="A577" s="10"/>
      <c r="B577" s="13"/>
      <c r="C577" s="13"/>
    </row>
    <row r="578" spans="1:3" ht="13" x14ac:dyDescent="0.15">
      <c r="A578" s="10"/>
      <c r="B578" s="13"/>
      <c r="C578" s="13"/>
    </row>
    <row r="579" spans="1:3" ht="13" x14ac:dyDescent="0.15">
      <c r="A579" s="10"/>
      <c r="B579" s="13"/>
      <c r="C579" s="13"/>
    </row>
    <row r="580" spans="1:3" ht="13" x14ac:dyDescent="0.15">
      <c r="A580" s="10"/>
      <c r="B580" s="13"/>
      <c r="C580" s="13"/>
    </row>
    <row r="581" spans="1:3" ht="13" x14ac:dyDescent="0.15">
      <c r="A581" s="10"/>
      <c r="B581" s="13"/>
      <c r="C581" s="13"/>
    </row>
    <row r="582" spans="1:3" ht="13" x14ac:dyDescent="0.15">
      <c r="A582" s="10"/>
      <c r="B582" s="13"/>
      <c r="C582" s="13"/>
    </row>
    <row r="583" spans="1:3" ht="13" x14ac:dyDescent="0.15">
      <c r="A583" s="10"/>
      <c r="B583" s="13"/>
      <c r="C583" s="13"/>
    </row>
    <row r="584" spans="1:3" ht="13" x14ac:dyDescent="0.15">
      <c r="A584" s="10"/>
      <c r="B584" s="13"/>
      <c r="C584" s="13"/>
    </row>
    <row r="585" spans="1:3" ht="13" x14ac:dyDescent="0.15">
      <c r="A585" s="10"/>
      <c r="B585" s="13"/>
      <c r="C585" s="13"/>
    </row>
    <row r="586" spans="1:3" ht="13" x14ac:dyDescent="0.15">
      <c r="A586" s="10"/>
      <c r="B586" s="13"/>
      <c r="C586" s="13"/>
    </row>
    <row r="587" spans="1:3" ht="13" x14ac:dyDescent="0.15">
      <c r="A587" s="10"/>
      <c r="B587" s="13"/>
      <c r="C587" s="13"/>
    </row>
    <row r="588" spans="1:3" ht="13" x14ac:dyDescent="0.15">
      <c r="A588" s="10"/>
      <c r="B588" s="13"/>
      <c r="C588" s="13"/>
    </row>
    <row r="589" spans="1:3" ht="13" x14ac:dyDescent="0.15">
      <c r="A589" s="10"/>
      <c r="B589" s="13"/>
      <c r="C589" s="13"/>
    </row>
    <row r="590" spans="1:3" ht="13" x14ac:dyDescent="0.15">
      <c r="A590" s="10"/>
      <c r="B590" s="13"/>
      <c r="C590" s="13"/>
    </row>
    <row r="591" spans="1:3" ht="13" x14ac:dyDescent="0.15">
      <c r="A591" s="10"/>
      <c r="B591" s="13"/>
      <c r="C591" s="13"/>
    </row>
    <row r="592" spans="1:3" ht="13" x14ac:dyDescent="0.15">
      <c r="A592" s="10"/>
      <c r="B592" s="13"/>
      <c r="C592" s="13"/>
    </row>
    <row r="593" spans="1:3" ht="13" x14ac:dyDescent="0.15">
      <c r="A593" s="10"/>
      <c r="B593" s="13"/>
      <c r="C593" s="13"/>
    </row>
    <row r="594" spans="1:3" ht="13" x14ac:dyDescent="0.15">
      <c r="A594" s="10"/>
      <c r="B594" s="13"/>
      <c r="C594" s="13"/>
    </row>
    <row r="595" spans="1:3" ht="13" x14ac:dyDescent="0.15">
      <c r="A595" s="10"/>
      <c r="B595" s="13"/>
      <c r="C595" s="13"/>
    </row>
    <row r="596" spans="1:3" ht="13" x14ac:dyDescent="0.15">
      <c r="A596" s="10"/>
      <c r="B596" s="13"/>
      <c r="C596" s="13"/>
    </row>
    <row r="597" spans="1:3" ht="13" x14ac:dyDescent="0.15">
      <c r="A597" s="10"/>
      <c r="B597" s="13"/>
      <c r="C597" s="13"/>
    </row>
    <row r="598" spans="1:3" ht="13" x14ac:dyDescent="0.15">
      <c r="A598" s="10"/>
      <c r="B598" s="13"/>
      <c r="C598" s="13"/>
    </row>
    <row r="599" spans="1:3" ht="13" x14ac:dyDescent="0.15">
      <c r="A599" s="10"/>
      <c r="B599" s="13"/>
      <c r="C599" s="13"/>
    </row>
    <row r="600" spans="1:3" ht="13" x14ac:dyDescent="0.15">
      <c r="A600" s="10"/>
      <c r="B600" s="13"/>
      <c r="C600" s="13"/>
    </row>
    <row r="601" spans="1:3" ht="13" x14ac:dyDescent="0.15">
      <c r="A601" s="10"/>
      <c r="B601" s="13"/>
      <c r="C601" s="13"/>
    </row>
    <row r="602" spans="1:3" ht="13" x14ac:dyDescent="0.15">
      <c r="A602" s="10"/>
      <c r="B602" s="13"/>
      <c r="C602" s="13"/>
    </row>
    <row r="603" spans="1:3" ht="13" x14ac:dyDescent="0.15">
      <c r="A603" s="10"/>
      <c r="B603" s="13"/>
      <c r="C603" s="13"/>
    </row>
    <row r="604" spans="1:3" ht="13" x14ac:dyDescent="0.15">
      <c r="A604" s="10"/>
      <c r="B604" s="13"/>
      <c r="C604" s="13"/>
    </row>
    <row r="605" spans="1:3" ht="13" x14ac:dyDescent="0.15">
      <c r="A605" s="10"/>
      <c r="B605" s="13"/>
      <c r="C605" s="13"/>
    </row>
    <row r="606" spans="1:3" ht="13" x14ac:dyDescent="0.15">
      <c r="A606" s="10"/>
      <c r="B606" s="13"/>
      <c r="C606" s="13"/>
    </row>
    <row r="607" spans="1:3" ht="13" x14ac:dyDescent="0.15">
      <c r="A607" s="10"/>
      <c r="B607" s="13"/>
      <c r="C607" s="13"/>
    </row>
    <row r="608" spans="1:3" ht="13" x14ac:dyDescent="0.15">
      <c r="A608" s="10"/>
      <c r="B608" s="13"/>
      <c r="C608" s="13"/>
    </row>
    <row r="609" spans="1:3" ht="13" x14ac:dyDescent="0.15">
      <c r="A609" s="10"/>
      <c r="B609" s="13"/>
      <c r="C609" s="13"/>
    </row>
    <row r="610" spans="1:3" ht="13" x14ac:dyDescent="0.15">
      <c r="A610" s="10"/>
      <c r="B610" s="13"/>
      <c r="C610" s="13"/>
    </row>
    <row r="611" spans="1:3" ht="13" x14ac:dyDescent="0.15">
      <c r="A611" s="10"/>
      <c r="B611" s="13"/>
      <c r="C611" s="13"/>
    </row>
    <row r="612" spans="1:3" ht="13" x14ac:dyDescent="0.15">
      <c r="A612" s="10"/>
      <c r="B612" s="13"/>
      <c r="C612" s="13"/>
    </row>
    <row r="613" spans="1:3" ht="13" x14ac:dyDescent="0.15">
      <c r="A613" s="10"/>
      <c r="B613" s="13"/>
      <c r="C613" s="13"/>
    </row>
    <row r="614" spans="1:3" ht="13" x14ac:dyDescent="0.15">
      <c r="A614" s="10"/>
      <c r="B614" s="13"/>
      <c r="C614" s="13"/>
    </row>
    <row r="615" spans="1:3" ht="13" x14ac:dyDescent="0.15">
      <c r="A615" s="10"/>
      <c r="B615" s="13"/>
      <c r="C615" s="13"/>
    </row>
    <row r="616" spans="1:3" ht="13" x14ac:dyDescent="0.15">
      <c r="A616" s="10"/>
      <c r="B616" s="13"/>
      <c r="C616" s="13"/>
    </row>
    <row r="617" spans="1:3" ht="13" x14ac:dyDescent="0.15">
      <c r="A617" s="10"/>
      <c r="B617" s="13"/>
      <c r="C617" s="13"/>
    </row>
    <row r="618" spans="1:3" ht="13" x14ac:dyDescent="0.15">
      <c r="A618" s="10"/>
      <c r="B618" s="13"/>
      <c r="C618" s="13"/>
    </row>
    <row r="619" spans="1:3" ht="13" x14ac:dyDescent="0.15">
      <c r="A619" s="10"/>
      <c r="B619" s="13"/>
      <c r="C619" s="13"/>
    </row>
    <row r="620" spans="1:3" ht="13" x14ac:dyDescent="0.15">
      <c r="A620" s="10"/>
      <c r="B620" s="13"/>
      <c r="C620" s="13"/>
    </row>
    <row r="621" spans="1:3" ht="13" x14ac:dyDescent="0.15">
      <c r="A621" s="10"/>
      <c r="B621" s="13"/>
      <c r="C621" s="13"/>
    </row>
    <row r="622" spans="1:3" ht="13" x14ac:dyDescent="0.15">
      <c r="A622" s="10"/>
      <c r="B622" s="13"/>
      <c r="C622" s="13"/>
    </row>
    <row r="623" spans="1:3" ht="13" x14ac:dyDescent="0.15">
      <c r="A623" s="10"/>
      <c r="B623" s="13"/>
      <c r="C623" s="13"/>
    </row>
    <row r="624" spans="1:3" ht="13" x14ac:dyDescent="0.15">
      <c r="A624" s="10"/>
      <c r="B624" s="13"/>
      <c r="C624" s="13"/>
    </row>
    <row r="625" spans="1:3" ht="13" x14ac:dyDescent="0.15">
      <c r="A625" s="10"/>
      <c r="B625" s="13"/>
      <c r="C625" s="13"/>
    </row>
    <row r="626" spans="1:3" ht="13" x14ac:dyDescent="0.15">
      <c r="A626" s="10"/>
      <c r="B626" s="13"/>
      <c r="C626" s="13"/>
    </row>
    <row r="627" spans="1:3" ht="13" x14ac:dyDescent="0.15">
      <c r="A627" s="10"/>
      <c r="B627" s="13"/>
      <c r="C627" s="13"/>
    </row>
    <row r="628" spans="1:3" ht="13" x14ac:dyDescent="0.15">
      <c r="A628" s="10"/>
      <c r="B628" s="13"/>
      <c r="C628" s="13"/>
    </row>
    <row r="629" spans="1:3" ht="13" x14ac:dyDescent="0.15">
      <c r="A629" s="10"/>
      <c r="B629" s="13"/>
      <c r="C629" s="13"/>
    </row>
    <row r="630" spans="1:3" ht="13" x14ac:dyDescent="0.15">
      <c r="A630" s="10"/>
      <c r="B630" s="13"/>
      <c r="C630" s="13"/>
    </row>
    <row r="631" spans="1:3" ht="13" x14ac:dyDescent="0.15">
      <c r="A631" s="10"/>
      <c r="B631" s="13"/>
      <c r="C631" s="13"/>
    </row>
    <row r="632" spans="1:3" ht="13" x14ac:dyDescent="0.15">
      <c r="A632" s="10"/>
      <c r="B632" s="13"/>
      <c r="C632" s="13"/>
    </row>
    <row r="633" spans="1:3" ht="13" x14ac:dyDescent="0.15">
      <c r="A633" s="10"/>
      <c r="B633" s="13"/>
      <c r="C633" s="13"/>
    </row>
    <row r="634" spans="1:3" ht="13" x14ac:dyDescent="0.15">
      <c r="A634" s="10"/>
      <c r="B634" s="13"/>
      <c r="C634" s="13"/>
    </row>
    <row r="635" spans="1:3" ht="13" x14ac:dyDescent="0.15">
      <c r="A635" s="10"/>
      <c r="B635" s="13"/>
      <c r="C635" s="13"/>
    </row>
    <row r="636" spans="1:3" ht="13" x14ac:dyDescent="0.15">
      <c r="A636" s="10"/>
      <c r="B636" s="13"/>
      <c r="C636" s="13"/>
    </row>
    <row r="637" spans="1:3" ht="13" x14ac:dyDescent="0.15">
      <c r="A637" s="10"/>
      <c r="B637" s="13"/>
      <c r="C637" s="13"/>
    </row>
    <row r="638" spans="1:3" ht="13" x14ac:dyDescent="0.15">
      <c r="A638" s="10"/>
      <c r="B638" s="13"/>
      <c r="C638" s="13"/>
    </row>
    <row r="639" spans="1:3" ht="13" x14ac:dyDescent="0.15">
      <c r="A639" s="10"/>
      <c r="B639" s="13"/>
      <c r="C639" s="13"/>
    </row>
    <row r="640" spans="1:3" ht="13" x14ac:dyDescent="0.15">
      <c r="A640" s="10"/>
      <c r="B640" s="13"/>
      <c r="C640" s="13"/>
    </row>
    <row r="641" spans="1:3" ht="13" x14ac:dyDescent="0.15">
      <c r="A641" s="10"/>
      <c r="B641" s="13"/>
      <c r="C641" s="13"/>
    </row>
    <row r="642" spans="1:3" ht="13" x14ac:dyDescent="0.15">
      <c r="A642" s="10"/>
      <c r="B642" s="13"/>
      <c r="C642" s="13"/>
    </row>
    <row r="643" spans="1:3" ht="13" x14ac:dyDescent="0.15">
      <c r="A643" s="10"/>
      <c r="B643" s="13"/>
      <c r="C643" s="13"/>
    </row>
    <row r="644" spans="1:3" ht="13" x14ac:dyDescent="0.15">
      <c r="A644" s="10"/>
      <c r="B644" s="13"/>
      <c r="C644" s="13"/>
    </row>
    <row r="645" spans="1:3" ht="13" x14ac:dyDescent="0.15">
      <c r="A645" s="10"/>
      <c r="B645" s="13"/>
      <c r="C645" s="13"/>
    </row>
    <row r="646" spans="1:3" ht="13" x14ac:dyDescent="0.15">
      <c r="A646" s="10"/>
      <c r="B646" s="13"/>
      <c r="C646" s="13"/>
    </row>
    <row r="647" spans="1:3" ht="13" x14ac:dyDescent="0.15">
      <c r="A647" s="10"/>
      <c r="B647" s="13"/>
      <c r="C647" s="13"/>
    </row>
    <row r="648" spans="1:3" ht="13" x14ac:dyDescent="0.15">
      <c r="A648" s="10"/>
      <c r="B648" s="13"/>
      <c r="C648" s="13"/>
    </row>
    <row r="649" spans="1:3" ht="13" x14ac:dyDescent="0.15">
      <c r="A649" s="10"/>
      <c r="B649" s="13"/>
      <c r="C649" s="13"/>
    </row>
    <row r="650" spans="1:3" ht="13" x14ac:dyDescent="0.15">
      <c r="A650" s="10"/>
      <c r="B650" s="13"/>
      <c r="C650" s="13"/>
    </row>
    <row r="651" spans="1:3" ht="13" x14ac:dyDescent="0.15">
      <c r="A651" s="10"/>
      <c r="B651" s="13"/>
      <c r="C651" s="13"/>
    </row>
    <row r="652" spans="1:3" ht="13" x14ac:dyDescent="0.15">
      <c r="A652" s="10"/>
      <c r="B652" s="13"/>
      <c r="C652" s="13"/>
    </row>
    <row r="653" spans="1:3" ht="13" x14ac:dyDescent="0.15">
      <c r="A653" s="10"/>
      <c r="B653" s="13"/>
      <c r="C653" s="13"/>
    </row>
    <row r="654" spans="1:3" ht="13" x14ac:dyDescent="0.15">
      <c r="A654" s="10"/>
      <c r="B654" s="13"/>
      <c r="C654" s="13"/>
    </row>
    <row r="655" spans="1:3" ht="13" x14ac:dyDescent="0.15">
      <c r="A655" s="10"/>
      <c r="B655" s="13"/>
      <c r="C655" s="13"/>
    </row>
    <row r="656" spans="1:3" ht="13" x14ac:dyDescent="0.15">
      <c r="A656" s="10"/>
      <c r="B656" s="13"/>
      <c r="C656" s="13"/>
    </row>
    <row r="657" spans="1:3" ht="13" x14ac:dyDescent="0.15">
      <c r="A657" s="10"/>
      <c r="B657" s="13"/>
      <c r="C657" s="13"/>
    </row>
    <row r="658" spans="1:3" ht="13" x14ac:dyDescent="0.15">
      <c r="A658" s="10"/>
      <c r="B658" s="13"/>
      <c r="C658" s="13"/>
    </row>
    <row r="659" spans="1:3" ht="13" x14ac:dyDescent="0.15">
      <c r="A659" s="10"/>
      <c r="B659" s="13"/>
      <c r="C659" s="13"/>
    </row>
    <row r="660" spans="1:3" ht="13" x14ac:dyDescent="0.15">
      <c r="A660" s="10"/>
      <c r="B660" s="13"/>
      <c r="C660" s="13"/>
    </row>
    <row r="661" spans="1:3" ht="13" x14ac:dyDescent="0.15">
      <c r="A661" s="10"/>
      <c r="B661" s="13"/>
      <c r="C661" s="13"/>
    </row>
    <row r="662" spans="1:3" ht="13" x14ac:dyDescent="0.15">
      <c r="A662" s="10"/>
      <c r="B662" s="13"/>
      <c r="C662" s="13"/>
    </row>
    <row r="663" spans="1:3" ht="13" x14ac:dyDescent="0.15">
      <c r="A663" s="10"/>
      <c r="B663" s="13"/>
      <c r="C663" s="13"/>
    </row>
    <row r="664" spans="1:3" ht="13" x14ac:dyDescent="0.15">
      <c r="A664" s="10"/>
      <c r="B664" s="13"/>
      <c r="C664" s="13"/>
    </row>
    <row r="665" spans="1:3" ht="13" x14ac:dyDescent="0.15">
      <c r="A665" s="10"/>
      <c r="B665" s="13"/>
      <c r="C665" s="13"/>
    </row>
    <row r="666" spans="1:3" ht="13" x14ac:dyDescent="0.15">
      <c r="A666" s="10"/>
      <c r="B666" s="13"/>
      <c r="C666" s="13"/>
    </row>
    <row r="667" spans="1:3" ht="13" x14ac:dyDescent="0.15">
      <c r="A667" s="10"/>
      <c r="B667" s="13"/>
      <c r="C667" s="13"/>
    </row>
    <row r="668" spans="1:3" ht="13" x14ac:dyDescent="0.15">
      <c r="A668" s="10"/>
      <c r="B668" s="13"/>
      <c r="C668" s="13"/>
    </row>
    <row r="669" spans="1:3" ht="13" x14ac:dyDescent="0.15">
      <c r="A669" s="10"/>
      <c r="B669" s="13"/>
      <c r="C669" s="13"/>
    </row>
    <row r="670" spans="1:3" ht="13" x14ac:dyDescent="0.15">
      <c r="A670" s="10"/>
      <c r="B670" s="13"/>
      <c r="C670" s="13"/>
    </row>
    <row r="671" spans="1:3" ht="13" x14ac:dyDescent="0.15">
      <c r="A671" s="10"/>
      <c r="B671" s="13"/>
      <c r="C671" s="13"/>
    </row>
    <row r="672" spans="1:3" ht="13" x14ac:dyDescent="0.15">
      <c r="A672" s="10"/>
      <c r="B672" s="13"/>
      <c r="C672" s="13"/>
    </row>
    <row r="673" spans="1:3" ht="13" x14ac:dyDescent="0.15">
      <c r="A673" s="10"/>
      <c r="B673" s="13"/>
      <c r="C673" s="13"/>
    </row>
    <row r="674" spans="1:3" ht="13" x14ac:dyDescent="0.15">
      <c r="A674" s="10"/>
      <c r="B674" s="13"/>
      <c r="C674" s="13"/>
    </row>
    <row r="675" spans="1:3" ht="13" x14ac:dyDescent="0.15">
      <c r="A675" s="10"/>
      <c r="B675" s="13"/>
      <c r="C675" s="13"/>
    </row>
    <row r="676" spans="1:3" ht="13" x14ac:dyDescent="0.15">
      <c r="A676" s="10"/>
      <c r="B676" s="13"/>
      <c r="C676" s="13"/>
    </row>
    <row r="677" spans="1:3" ht="13" x14ac:dyDescent="0.15">
      <c r="A677" s="10"/>
      <c r="B677" s="13"/>
      <c r="C677" s="13"/>
    </row>
    <row r="678" spans="1:3" ht="13" x14ac:dyDescent="0.15">
      <c r="A678" s="10"/>
      <c r="B678" s="13"/>
      <c r="C678" s="13"/>
    </row>
    <row r="679" spans="1:3" ht="13" x14ac:dyDescent="0.15">
      <c r="A679" s="10"/>
      <c r="B679" s="13"/>
      <c r="C679" s="13"/>
    </row>
    <row r="680" spans="1:3" ht="13" x14ac:dyDescent="0.15">
      <c r="A680" s="10"/>
      <c r="B680" s="13"/>
      <c r="C680" s="13"/>
    </row>
    <row r="681" spans="1:3" ht="13" x14ac:dyDescent="0.15">
      <c r="A681" s="10"/>
      <c r="B681" s="13"/>
      <c r="C681" s="13"/>
    </row>
    <row r="682" spans="1:3" ht="13" x14ac:dyDescent="0.15">
      <c r="A682" s="10"/>
      <c r="B682" s="13"/>
      <c r="C682" s="13"/>
    </row>
    <row r="683" spans="1:3" ht="13" x14ac:dyDescent="0.15">
      <c r="A683" s="10"/>
      <c r="B683" s="13"/>
      <c r="C683" s="13"/>
    </row>
    <row r="684" spans="1:3" ht="13" x14ac:dyDescent="0.15">
      <c r="A684" s="10"/>
      <c r="B684" s="13"/>
      <c r="C684" s="13"/>
    </row>
    <row r="685" spans="1:3" ht="13" x14ac:dyDescent="0.15">
      <c r="A685" s="10"/>
      <c r="B685" s="13"/>
      <c r="C685" s="13"/>
    </row>
    <row r="686" spans="1:3" ht="13" x14ac:dyDescent="0.15">
      <c r="A686" s="10"/>
      <c r="B686" s="13"/>
      <c r="C686" s="13"/>
    </row>
    <row r="687" spans="1:3" ht="13" x14ac:dyDescent="0.15">
      <c r="A687" s="10"/>
      <c r="B687" s="13"/>
      <c r="C687" s="13"/>
    </row>
    <row r="688" spans="1:3" ht="13" x14ac:dyDescent="0.15">
      <c r="A688" s="10"/>
      <c r="B688" s="13"/>
      <c r="C688" s="13"/>
    </row>
    <row r="689" spans="1:3" ht="13" x14ac:dyDescent="0.15">
      <c r="A689" s="10"/>
      <c r="B689" s="13"/>
      <c r="C689" s="13"/>
    </row>
    <row r="690" spans="1:3" ht="13" x14ac:dyDescent="0.15">
      <c r="A690" s="10"/>
      <c r="B690" s="13"/>
      <c r="C690" s="13"/>
    </row>
    <row r="691" spans="1:3" ht="13" x14ac:dyDescent="0.15">
      <c r="A691" s="10"/>
      <c r="B691" s="13"/>
      <c r="C691" s="13"/>
    </row>
    <row r="692" spans="1:3" ht="13" x14ac:dyDescent="0.15">
      <c r="A692" s="10"/>
      <c r="B692" s="13"/>
      <c r="C692" s="13"/>
    </row>
    <row r="693" spans="1:3" ht="13" x14ac:dyDescent="0.15">
      <c r="A693" s="10"/>
      <c r="B693" s="13"/>
      <c r="C693" s="13"/>
    </row>
    <row r="694" spans="1:3" ht="13" x14ac:dyDescent="0.15">
      <c r="A694" s="10"/>
      <c r="B694" s="13"/>
      <c r="C694" s="13"/>
    </row>
    <row r="695" spans="1:3" ht="13" x14ac:dyDescent="0.15">
      <c r="A695" s="10"/>
      <c r="B695" s="13"/>
      <c r="C695" s="13"/>
    </row>
    <row r="696" spans="1:3" ht="13" x14ac:dyDescent="0.15">
      <c r="A696" s="10"/>
      <c r="B696" s="13"/>
      <c r="C696" s="13"/>
    </row>
    <row r="697" spans="1:3" ht="13" x14ac:dyDescent="0.15">
      <c r="A697" s="10"/>
      <c r="B697" s="13"/>
      <c r="C697" s="13"/>
    </row>
    <row r="698" spans="1:3" ht="13" x14ac:dyDescent="0.15">
      <c r="A698" s="10"/>
      <c r="B698" s="13"/>
      <c r="C698" s="13"/>
    </row>
    <row r="699" spans="1:3" ht="13" x14ac:dyDescent="0.15">
      <c r="A699" s="10"/>
      <c r="B699" s="13"/>
      <c r="C699" s="13"/>
    </row>
    <row r="700" spans="1:3" ht="13" x14ac:dyDescent="0.15">
      <c r="A700" s="10"/>
      <c r="B700" s="13"/>
      <c r="C700" s="13"/>
    </row>
    <row r="701" spans="1:3" ht="13" x14ac:dyDescent="0.15">
      <c r="A701" s="10"/>
      <c r="B701" s="13"/>
      <c r="C701" s="13"/>
    </row>
    <row r="702" spans="1:3" ht="13" x14ac:dyDescent="0.15">
      <c r="A702" s="10"/>
      <c r="B702" s="13"/>
      <c r="C702" s="13"/>
    </row>
    <row r="703" spans="1:3" ht="13" x14ac:dyDescent="0.15">
      <c r="A703" s="10"/>
      <c r="B703" s="13"/>
      <c r="C703" s="13"/>
    </row>
    <row r="704" spans="1:3" ht="13" x14ac:dyDescent="0.15">
      <c r="A704" s="10"/>
      <c r="B704" s="13"/>
      <c r="C704" s="13"/>
    </row>
    <row r="705" spans="1:3" ht="13" x14ac:dyDescent="0.15">
      <c r="A705" s="10"/>
      <c r="B705" s="13"/>
      <c r="C705" s="13"/>
    </row>
    <row r="706" spans="1:3" ht="13" x14ac:dyDescent="0.15">
      <c r="A706" s="10"/>
      <c r="B706" s="13"/>
      <c r="C706" s="13"/>
    </row>
    <row r="707" spans="1:3" ht="13" x14ac:dyDescent="0.15">
      <c r="A707" s="10"/>
      <c r="B707" s="13"/>
      <c r="C707" s="13"/>
    </row>
    <row r="708" spans="1:3" ht="13" x14ac:dyDescent="0.15">
      <c r="A708" s="10"/>
      <c r="B708" s="13"/>
      <c r="C708" s="13"/>
    </row>
    <row r="709" spans="1:3" ht="13" x14ac:dyDescent="0.15">
      <c r="A709" s="10"/>
      <c r="B709" s="13"/>
      <c r="C709" s="13"/>
    </row>
    <row r="710" spans="1:3" ht="13" x14ac:dyDescent="0.15">
      <c r="A710" s="10"/>
      <c r="B710" s="13"/>
      <c r="C710" s="13"/>
    </row>
    <row r="711" spans="1:3" ht="13" x14ac:dyDescent="0.15">
      <c r="A711" s="10"/>
      <c r="B711" s="13"/>
      <c r="C711" s="13"/>
    </row>
    <row r="712" spans="1:3" ht="13" x14ac:dyDescent="0.15">
      <c r="A712" s="10"/>
      <c r="B712" s="13"/>
      <c r="C712" s="13"/>
    </row>
    <row r="713" spans="1:3" ht="13" x14ac:dyDescent="0.15">
      <c r="A713" s="10"/>
      <c r="B713" s="13"/>
      <c r="C713" s="13"/>
    </row>
    <row r="714" spans="1:3" ht="13" x14ac:dyDescent="0.15">
      <c r="A714" s="10"/>
      <c r="B714" s="13"/>
      <c r="C714" s="13"/>
    </row>
    <row r="715" spans="1:3" ht="13" x14ac:dyDescent="0.15">
      <c r="A715" s="10"/>
      <c r="B715" s="13"/>
      <c r="C715" s="13"/>
    </row>
    <row r="716" spans="1:3" ht="13" x14ac:dyDescent="0.15">
      <c r="A716" s="10"/>
      <c r="B716" s="13"/>
      <c r="C716" s="13"/>
    </row>
    <row r="717" spans="1:3" ht="13" x14ac:dyDescent="0.15">
      <c r="A717" s="10"/>
      <c r="B717" s="13"/>
      <c r="C717" s="13"/>
    </row>
    <row r="718" spans="1:3" ht="13" x14ac:dyDescent="0.15">
      <c r="A718" s="10"/>
      <c r="B718" s="13"/>
      <c r="C718" s="13"/>
    </row>
    <row r="719" spans="1:3" ht="13" x14ac:dyDescent="0.15">
      <c r="A719" s="10"/>
      <c r="B719" s="13"/>
      <c r="C719" s="13"/>
    </row>
    <row r="720" spans="1:3" ht="13" x14ac:dyDescent="0.15">
      <c r="A720" s="10"/>
      <c r="B720" s="13"/>
      <c r="C720" s="13"/>
    </row>
    <row r="721" spans="1:3" ht="13" x14ac:dyDescent="0.15">
      <c r="A721" s="10"/>
      <c r="B721" s="13"/>
      <c r="C721" s="13"/>
    </row>
    <row r="722" spans="1:3" ht="13" x14ac:dyDescent="0.15">
      <c r="A722" s="10"/>
      <c r="B722" s="13"/>
      <c r="C722" s="13"/>
    </row>
    <row r="723" spans="1:3" ht="13" x14ac:dyDescent="0.15">
      <c r="A723" s="10"/>
      <c r="B723" s="13"/>
      <c r="C723" s="13"/>
    </row>
    <row r="724" spans="1:3" ht="13" x14ac:dyDescent="0.15">
      <c r="A724" s="10"/>
      <c r="B724" s="13"/>
      <c r="C724" s="13"/>
    </row>
    <row r="725" spans="1:3" ht="13" x14ac:dyDescent="0.15">
      <c r="A725" s="10"/>
      <c r="B725" s="13"/>
      <c r="C725" s="13"/>
    </row>
    <row r="726" spans="1:3" ht="13" x14ac:dyDescent="0.15">
      <c r="A726" s="10"/>
      <c r="B726" s="13"/>
      <c r="C726" s="13"/>
    </row>
    <row r="727" spans="1:3" ht="13" x14ac:dyDescent="0.15">
      <c r="A727" s="10"/>
      <c r="B727" s="13"/>
      <c r="C727" s="13"/>
    </row>
    <row r="728" spans="1:3" ht="13" x14ac:dyDescent="0.15">
      <c r="A728" s="10"/>
      <c r="B728" s="13"/>
      <c r="C728" s="13"/>
    </row>
    <row r="729" spans="1:3" ht="13" x14ac:dyDescent="0.15">
      <c r="A729" s="10"/>
      <c r="B729" s="13"/>
      <c r="C729" s="13"/>
    </row>
    <row r="730" spans="1:3" ht="13" x14ac:dyDescent="0.15">
      <c r="A730" s="10"/>
      <c r="B730" s="13"/>
      <c r="C730" s="13"/>
    </row>
    <row r="731" spans="1:3" ht="13" x14ac:dyDescent="0.15">
      <c r="A731" s="10"/>
      <c r="B731" s="13"/>
      <c r="C731" s="13"/>
    </row>
    <row r="732" spans="1:3" ht="13" x14ac:dyDescent="0.15">
      <c r="A732" s="10"/>
      <c r="B732" s="13"/>
      <c r="C732" s="13"/>
    </row>
    <row r="733" spans="1:3" ht="13" x14ac:dyDescent="0.15">
      <c r="A733" s="10"/>
      <c r="B733" s="13"/>
      <c r="C733" s="13"/>
    </row>
    <row r="734" spans="1:3" ht="13" x14ac:dyDescent="0.15">
      <c r="A734" s="10"/>
      <c r="B734" s="13"/>
      <c r="C734" s="13"/>
    </row>
    <row r="735" spans="1:3" ht="13" x14ac:dyDescent="0.15">
      <c r="A735" s="10"/>
      <c r="B735" s="13"/>
      <c r="C735" s="13"/>
    </row>
    <row r="736" spans="1:3" ht="13" x14ac:dyDescent="0.15">
      <c r="A736" s="10"/>
      <c r="B736" s="13"/>
      <c r="C736" s="13"/>
    </row>
    <row r="737" spans="1:3" ht="13" x14ac:dyDescent="0.15">
      <c r="A737" s="10"/>
      <c r="B737" s="13"/>
      <c r="C737" s="13"/>
    </row>
    <row r="738" spans="1:3" ht="13" x14ac:dyDescent="0.15">
      <c r="A738" s="10"/>
      <c r="B738" s="13"/>
      <c r="C738" s="13"/>
    </row>
    <row r="739" spans="1:3" ht="13" x14ac:dyDescent="0.15">
      <c r="A739" s="10"/>
      <c r="B739" s="13"/>
      <c r="C739" s="13"/>
    </row>
    <row r="740" spans="1:3" ht="13" x14ac:dyDescent="0.15">
      <c r="A740" s="10"/>
      <c r="B740" s="13"/>
      <c r="C740" s="13"/>
    </row>
    <row r="741" spans="1:3" ht="13" x14ac:dyDescent="0.15">
      <c r="A741" s="10"/>
      <c r="B741" s="13"/>
      <c r="C741" s="13"/>
    </row>
    <row r="742" spans="1:3" ht="13" x14ac:dyDescent="0.15">
      <c r="A742" s="10"/>
      <c r="B742" s="13"/>
      <c r="C742" s="13"/>
    </row>
    <row r="743" spans="1:3" ht="13" x14ac:dyDescent="0.15">
      <c r="A743" s="10"/>
      <c r="B743" s="13"/>
      <c r="C743" s="13"/>
    </row>
    <row r="744" spans="1:3" ht="13" x14ac:dyDescent="0.15">
      <c r="A744" s="10"/>
      <c r="B744" s="13"/>
      <c r="C744" s="13"/>
    </row>
    <row r="745" spans="1:3" ht="13" x14ac:dyDescent="0.15">
      <c r="A745" s="10"/>
      <c r="B745" s="13"/>
      <c r="C745" s="13"/>
    </row>
    <row r="746" spans="1:3" ht="13" x14ac:dyDescent="0.15">
      <c r="A746" s="10"/>
      <c r="B746" s="13"/>
      <c r="C746" s="13"/>
    </row>
    <row r="747" spans="1:3" ht="13" x14ac:dyDescent="0.15">
      <c r="A747" s="10"/>
      <c r="B747" s="13"/>
      <c r="C747" s="13"/>
    </row>
    <row r="748" spans="1:3" ht="13" x14ac:dyDescent="0.15">
      <c r="A748" s="10"/>
      <c r="B748" s="13"/>
      <c r="C748" s="13"/>
    </row>
    <row r="749" spans="1:3" ht="13" x14ac:dyDescent="0.15">
      <c r="A749" s="10"/>
      <c r="B749" s="13"/>
      <c r="C749" s="13"/>
    </row>
    <row r="750" spans="1:3" ht="13" x14ac:dyDescent="0.15">
      <c r="A750" s="10"/>
      <c r="B750" s="13"/>
      <c r="C750" s="13"/>
    </row>
    <row r="751" spans="1:3" ht="13" x14ac:dyDescent="0.15">
      <c r="A751" s="10"/>
      <c r="B751" s="13"/>
      <c r="C751" s="13"/>
    </row>
    <row r="752" spans="1:3" ht="13" x14ac:dyDescent="0.15">
      <c r="A752" s="10"/>
      <c r="B752" s="13"/>
      <c r="C752" s="13"/>
    </row>
    <row r="753" spans="1:3" ht="13" x14ac:dyDescent="0.15">
      <c r="A753" s="10"/>
      <c r="B753" s="13"/>
      <c r="C753" s="13"/>
    </row>
    <row r="754" spans="1:3" ht="13" x14ac:dyDescent="0.15">
      <c r="A754" s="10"/>
      <c r="B754" s="13"/>
      <c r="C754" s="13"/>
    </row>
    <row r="755" spans="1:3" ht="13" x14ac:dyDescent="0.15">
      <c r="A755" s="10"/>
      <c r="B755" s="13"/>
      <c r="C755" s="13"/>
    </row>
    <row r="756" spans="1:3" ht="13" x14ac:dyDescent="0.15">
      <c r="A756" s="10"/>
      <c r="B756" s="13"/>
      <c r="C756" s="13"/>
    </row>
    <row r="757" spans="1:3" ht="13" x14ac:dyDescent="0.15">
      <c r="A757" s="10"/>
      <c r="B757" s="13"/>
      <c r="C757" s="13"/>
    </row>
    <row r="758" spans="1:3" ht="13" x14ac:dyDescent="0.15">
      <c r="A758" s="10"/>
      <c r="B758" s="13"/>
      <c r="C758" s="13"/>
    </row>
    <row r="759" spans="1:3" ht="13" x14ac:dyDescent="0.15">
      <c r="A759" s="10"/>
      <c r="B759" s="13"/>
      <c r="C759" s="13"/>
    </row>
    <row r="760" spans="1:3" ht="13" x14ac:dyDescent="0.15">
      <c r="A760" s="10"/>
      <c r="B760" s="13"/>
      <c r="C760" s="13"/>
    </row>
    <row r="761" spans="1:3" ht="13" x14ac:dyDescent="0.15">
      <c r="A761" s="10"/>
      <c r="B761" s="13"/>
      <c r="C761" s="13"/>
    </row>
    <row r="762" spans="1:3" ht="13" x14ac:dyDescent="0.15">
      <c r="A762" s="10"/>
      <c r="B762" s="13"/>
      <c r="C762" s="13"/>
    </row>
    <row r="763" spans="1:3" ht="13" x14ac:dyDescent="0.15">
      <c r="A763" s="10"/>
      <c r="B763" s="13"/>
      <c r="C763" s="13"/>
    </row>
    <row r="764" spans="1:3" ht="13" x14ac:dyDescent="0.15">
      <c r="A764" s="10"/>
      <c r="B764" s="13"/>
      <c r="C764" s="13"/>
    </row>
    <row r="765" spans="1:3" ht="13" x14ac:dyDescent="0.15">
      <c r="A765" s="10"/>
      <c r="B765" s="13"/>
      <c r="C765" s="13"/>
    </row>
    <row r="766" spans="1:3" ht="13" x14ac:dyDescent="0.15">
      <c r="A766" s="10"/>
      <c r="B766" s="13"/>
      <c r="C766" s="13"/>
    </row>
    <row r="767" spans="1:3" ht="13" x14ac:dyDescent="0.15">
      <c r="A767" s="10"/>
      <c r="B767" s="13"/>
      <c r="C767" s="13"/>
    </row>
    <row r="768" spans="1:3" ht="13" x14ac:dyDescent="0.15">
      <c r="A768" s="10"/>
      <c r="B768" s="13"/>
      <c r="C768" s="13"/>
    </row>
    <row r="769" spans="1:3" ht="13" x14ac:dyDescent="0.15">
      <c r="A769" s="10"/>
      <c r="B769" s="13"/>
      <c r="C769" s="13"/>
    </row>
    <row r="770" spans="1:3" ht="13" x14ac:dyDescent="0.15">
      <c r="A770" s="10"/>
      <c r="B770" s="13"/>
      <c r="C770" s="13"/>
    </row>
    <row r="771" spans="1:3" ht="13" x14ac:dyDescent="0.15">
      <c r="A771" s="10"/>
      <c r="B771" s="13"/>
      <c r="C771" s="13"/>
    </row>
    <row r="772" spans="1:3" ht="13" x14ac:dyDescent="0.15">
      <c r="A772" s="10"/>
      <c r="B772" s="13"/>
      <c r="C772" s="13"/>
    </row>
    <row r="773" spans="1:3" ht="13" x14ac:dyDescent="0.15">
      <c r="A773" s="10"/>
      <c r="B773" s="13"/>
      <c r="C773" s="13"/>
    </row>
    <row r="774" spans="1:3" ht="13" x14ac:dyDescent="0.15">
      <c r="A774" s="10"/>
      <c r="B774" s="13"/>
      <c r="C774" s="13"/>
    </row>
    <row r="775" spans="1:3" ht="13" x14ac:dyDescent="0.15">
      <c r="A775" s="10"/>
      <c r="B775" s="13"/>
      <c r="C775" s="13"/>
    </row>
    <row r="776" spans="1:3" ht="13" x14ac:dyDescent="0.15">
      <c r="A776" s="10"/>
      <c r="B776" s="13"/>
      <c r="C776" s="13"/>
    </row>
    <row r="777" spans="1:3" ht="13" x14ac:dyDescent="0.15">
      <c r="A777" s="10"/>
      <c r="B777" s="13"/>
      <c r="C777" s="13"/>
    </row>
    <row r="778" spans="1:3" ht="13" x14ac:dyDescent="0.15">
      <c r="A778" s="10"/>
      <c r="B778" s="13"/>
      <c r="C778" s="13"/>
    </row>
    <row r="779" spans="1:3" ht="13" x14ac:dyDescent="0.15">
      <c r="A779" s="10"/>
      <c r="B779" s="13"/>
      <c r="C779" s="13"/>
    </row>
    <row r="780" spans="1:3" ht="13" x14ac:dyDescent="0.15">
      <c r="A780" s="10"/>
      <c r="B780" s="13"/>
      <c r="C780" s="13"/>
    </row>
    <row r="781" spans="1:3" ht="13" x14ac:dyDescent="0.15">
      <c r="A781" s="10"/>
      <c r="B781" s="13"/>
      <c r="C781" s="13"/>
    </row>
    <row r="782" spans="1:3" ht="13" x14ac:dyDescent="0.15">
      <c r="A782" s="10"/>
      <c r="B782" s="13"/>
      <c r="C782" s="13"/>
    </row>
    <row r="783" spans="1:3" ht="13" x14ac:dyDescent="0.15">
      <c r="A783" s="10"/>
      <c r="B783" s="13"/>
      <c r="C783" s="13"/>
    </row>
    <row r="784" spans="1:3" ht="13" x14ac:dyDescent="0.15">
      <c r="A784" s="10"/>
      <c r="B784" s="13"/>
      <c r="C784" s="13"/>
    </row>
    <row r="785" spans="1:3" ht="13" x14ac:dyDescent="0.15">
      <c r="A785" s="10"/>
      <c r="B785" s="13"/>
      <c r="C785" s="13"/>
    </row>
    <row r="786" spans="1:3" ht="13" x14ac:dyDescent="0.15">
      <c r="A786" s="10"/>
      <c r="B786" s="13"/>
      <c r="C786" s="13"/>
    </row>
    <row r="787" spans="1:3" ht="13" x14ac:dyDescent="0.15">
      <c r="A787" s="10"/>
      <c r="B787" s="13"/>
      <c r="C787" s="13"/>
    </row>
    <row r="788" spans="1:3" ht="13" x14ac:dyDescent="0.15">
      <c r="A788" s="10"/>
      <c r="B788" s="13"/>
      <c r="C788" s="13"/>
    </row>
    <row r="789" spans="1:3" ht="13" x14ac:dyDescent="0.15">
      <c r="A789" s="10"/>
      <c r="B789" s="13"/>
      <c r="C789" s="13"/>
    </row>
    <row r="790" spans="1:3" ht="13" x14ac:dyDescent="0.15">
      <c r="A790" s="10"/>
      <c r="B790" s="13"/>
      <c r="C790" s="13"/>
    </row>
    <row r="791" spans="1:3" ht="13" x14ac:dyDescent="0.15">
      <c r="A791" s="10"/>
      <c r="B791" s="13"/>
      <c r="C791" s="13"/>
    </row>
    <row r="792" spans="1:3" ht="13" x14ac:dyDescent="0.15">
      <c r="A792" s="10"/>
      <c r="B792" s="13"/>
      <c r="C792" s="13"/>
    </row>
    <row r="793" spans="1:3" ht="13" x14ac:dyDescent="0.15">
      <c r="A793" s="10"/>
      <c r="B793" s="13"/>
      <c r="C793" s="13"/>
    </row>
    <row r="794" spans="1:3" ht="13" x14ac:dyDescent="0.15">
      <c r="A794" s="10"/>
      <c r="B794" s="13"/>
      <c r="C794" s="13"/>
    </row>
    <row r="795" spans="1:3" ht="13" x14ac:dyDescent="0.15">
      <c r="A795" s="10"/>
      <c r="B795" s="13"/>
      <c r="C795" s="13"/>
    </row>
    <row r="796" spans="1:3" ht="13" x14ac:dyDescent="0.15">
      <c r="A796" s="10"/>
      <c r="B796" s="13"/>
      <c r="C796" s="13"/>
    </row>
    <row r="797" spans="1:3" ht="13" x14ac:dyDescent="0.15">
      <c r="A797" s="10"/>
      <c r="B797" s="13"/>
      <c r="C797" s="13"/>
    </row>
    <row r="798" spans="1:3" ht="13" x14ac:dyDescent="0.15">
      <c r="A798" s="10"/>
      <c r="B798" s="13"/>
      <c r="C798" s="13"/>
    </row>
    <row r="799" spans="1:3" ht="13" x14ac:dyDescent="0.15">
      <c r="A799" s="10"/>
      <c r="B799" s="13"/>
      <c r="C799" s="13"/>
    </row>
    <row r="800" spans="1:3" ht="13" x14ac:dyDescent="0.15">
      <c r="A800" s="10"/>
      <c r="B800" s="13"/>
      <c r="C800" s="13"/>
    </row>
    <row r="801" spans="1:3" ht="13" x14ac:dyDescent="0.15">
      <c r="A801" s="10"/>
      <c r="B801" s="13"/>
      <c r="C801" s="13"/>
    </row>
    <row r="802" spans="1:3" ht="13" x14ac:dyDescent="0.15">
      <c r="A802" s="10"/>
      <c r="B802" s="13"/>
      <c r="C802" s="13"/>
    </row>
    <row r="803" spans="1:3" ht="13" x14ac:dyDescent="0.15">
      <c r="A803" s="10"/>
      <c r="B803" s="13"/>
      <c r="C803" s="13"/>
    </row>
    <row r="804" spans="1:3" ht="13" x14ac:dyDescent="0.15">
      <c r="A804" s="10"/>
      <c r="B804" s="13"/>
      <c r="C804" s="13"/>
    </row>
    <row r="805" spans="1:3" ht="13" x14ac:dyDescent="0.15">
      <c r="A805" s="10"/>
      <c r="B805" s="13"/>
      <c r="C805" s="13"/>
    </row>
    <row r="806" spans="1:3" ht="13" x14ac:dyDescent="0.15">
      <c r="A806" s="10"/>
      <c r="B806" s="13"/>
      <c r="C806" s="13"/>
    </row>
    <row r="807" spans="1:3" ht="13" x14ac:dyDescent="0.15">
      <c r="A807" s="10"/>
      <c r="B807" s="13"/>
      <c r="C807" s="13"/>
    </row>
    <row r="808" spans="1:3" ht="13" x14ac:dyDescent="0.15">
      <c r="A808" s="10"/>
      <c r="B808" s="13"/>
      <c r="C808" s="13"/>
    </row>
    <row r="809" spans="1:3" ht="13" x14ac:dyDescent="0.15">
      <c r="A809" s="10"/>
      <c r="B809" s="13"/>
      <c r="C809" s="13"/>
    </row>
    <row r="810" spans="1:3" ht="13" x14ac:dyDescent="0.15">
      <c r="A810" s="10"/>
      <c r="B810" s="13"/>
      <c r="C810" s="13"/>
    </row>
    <row r="811" spans="1:3" ht="13" x14ac:dyDescent="0.15">
      <c r="A811" s="10"/>
      <c r="B811" s="13"/>
      <c r="C811" s="13"/>
    </row>
    <row r="812" spans="1:3" ht="13" x14ac:dyDescent="0.15">
      <c r="A812" s="10"/>
      <c r="B812" s="13"/>
      <c r="C812" s="13"/>
    </row>
    <row r="813" spans="1:3" ht="13" x14ac:dyDescent="0.15">
      <c r="A813" s="10"/>
      <c r="B813" s="13"/>
      <c r="C813" s="13"/>
    </row>
    <row r="814" spans="1:3" ht="13" x14ac:dyDescent="0.15">
      <c r="A814" s="10"/>
      <c r="B814" s="13"/>
      <c r="C814" s="13"/>
    </row>
    <row r="815" spans="1:3" ht="13" x14ac:dyDescent="0.15">
      <c r="A815" s="10"/>
      <c r="B815" s="13"/>
      <c r="C815" s="13"/>
    </row>
    <row r="816" spans="1:3" ht="13" x14ac:dyDescent="0.15">
      <c r="A816" s="10"/>
      <c r="B816" s="13"/>
      <c r="C816" s="13"/>
    </row>
    <row r="817" spans="1:3" ht="13" x14ac:dyDescent="0.15">
      <c r="A817" s="10"/>
      <c r="B817" s="13"/>
      <c r="C817" s="13"/>
    </row>
    <row r="818" spans="1:3" ht="13" x14ac:dyDescent="0.15">
      <c r="A818" s="10"/>
      <c r="B818" s="13"/>
      <c r="C818" s="13"/>
    </row>
    <row r="819" spans="1:3" ht="13" x14ac:dyDescent="0.15">
      <c r="A819" s="10"/>
      <c r="B819" s="13"/>
      <c r="C819" s="13"/>
    </row>
    <row r="820" spans="1:3" ht="13" x14ac:dyDescent="0.15">
      <c r="A820" s="10"/>
      <c r="B820" s="13"/>
      <c r="C820" s="13"/>
    </row>
    <row r="821" spans="1:3" ht="13" x14ac:dyDescent="0.15">
      <c r="A821" s="10"/>
      <c r="B821" s="13"/>
      <c r="C821" s="13"/>
    </row>
    <row r="822" spans="1:3" ht="13" x14ac:dyDescent="0.15">
      <c r="A822" s="10"/>
      <c r="B822" s="13"/>
      <c r="C822" s="13"/>
    </row>
    <row r="823" spans="1:3" ht="13" x14ac:dyDescent="0.15">
      <c r="A823" s="10"/>
      <c r="B823" s="13"/>
      <c r="C823" s="13"/>
    </row>
    <row r="824" spans="1:3" ht="13" x14ac:dyDescent="0.15">
      <c r="A824" s="10"/>
      <c r="B824" s="13"/>
      <c r="C824" s="13"/>
    </row>
    <row r="825" spans="1:3" ht="13" x14ac:dyDescent="0.15">
      <c r="A825" s="10"/>
      <c r="B825" s="13"/>
      <c r="C825" s="13"/>
    </row>
    <row r="826" spans="1:3" ht="13" x14ac:dyDescent="0.15">
      <c r="A826" s="10"/>
      <c r="B826" s="13"/>
      <c r="C826" s="13"/>
    </row>
    <row r="827" spans="1:3" ht="13" x14ac:dyDescent="0.15">
      <c r="A827" s="10"/>
      <c r="B827" s="13"/>
      <c r="C827" s="13"/>
    </row>
    <row r="828" spans="1:3" ht="13" x14ac:dyDescent="0.15">
      <c r="A828" s="10"/>
      <c r="B828" s="13"/>
      <c r="C828" s="13"/>
    </row>
    <row r="829" spans="1:3" ht="13" x14ac:dyDescent="0.15">
      <c r="A829" s="10"/>
      <c r="B829" s="13"/>
      <c r="C829" s="13"/>
    </row>
    <row r="830" spans="1:3" ht="13" x14ac:dyDescent="0.15">
      <c r="A830" s="10"/>
      <c r="B830" s="13"/>
      <c r="C830" s="13"/>
    </row>
    <row r="831" spans="1:3" ht="13" x14ac:dyDescent="0.15">
      <c r="A831" s="10"/>
      <c r="B831" s="13"/>
      <c r="C831" s="13"/>
    </row>
    <row r="832" spans="1:3" ht="13" x14ac:dyDescent="0.15">
      <c r="A832" s="10"/>
      <c r="B832" s="13"/>
      <c r="C832" s="13"/>
    </row>
    <row r="833" spans="1:3" ht="13" x14ac:dyDescent="0.15">
      <c r="A833" s="10"/>
      <c r="B833" s="13"/>
      <c r="C833" s="13"/>
    </row>
    <row r="834" spans="1:3" ht="13" x14ac:dyDescent="0.15">
      <c r="A834" s="10"/>
      <c r="B834" s="13"/>
      <c r="C834" s="13"/>
    </row>
    <row r="835" spans="1:3" ht="13" x14ac:dyDescent="0.15">
      <c r="A835" s="10"/>
      <c r="B835" s="13"/>
      <c r="C835" s="13"/>
    </row>
    <row r="836" spans="1:3" ht="13" x14ac:dyDescent="0.15">
      <c r="A836" s="10"/>
      <c r="B836" s="13"/>
      <c r="C836" s="13"/>
    </row>
    <row r="837" spans="1:3" ht="13" x14ac:dyDescent="0.15">
      <c r="A837" s="10"/>
      <c r="B837" s="13"/>
      <c r="C837" s="13"/>
    </row>
    <row r="838" spans="1:3" ht="13" x14ac:dyDescent="0.15">
      <c r="A838" s="10"/>
      <c r="B838" s="13"/>
      <c r="C838" s="13"/>
    </row>
    <row r="839" spans="1:3" ht="13" x14ac:dyDescent="0.15">
      <c r="A839" s="10"/>
      <c r="B839" s="13"/>
      <c r="C839" s="13"/>
    </row>
    <row r="840" spans="1:3" ht="13" x14ac:dyDescent="0.15">
      <c r="A840" s="10"/>
      <c r="B840" s="13"/>
      <c r="C840" s="13"/>
    </row>
    <row r="841" spans="1:3" ht="13" x14ac:dyDescent="0.15">
      <c r="A841" s="10"/>
      <c r="B841" s="13"/>
      <c r="C841" s="13"/>
    </row>
    <row r="842" spans="1:3" ht="13" x14ac:dyDescent="0.15">
      <c r="A842" s="10"/>
      <c r="B842" s="13"/>
      <c r="C842" s="13"/>
    </row>
    <row r="843" spans="1:3" ht="13" x14ac:dyDescent="0.15">
      <c r="A843" s="10"/>
      <c r="B843" s="13"/>
      <c r="C843" s="13"/>
    </row>
    <row r="844" spans="1:3" ht="13" x14ac:dyDescent="0.15">
      <c r="A844" s="10"/>
      <c r="B844" s="13"/>
      <c r="C844" s="13"/>
    </row>
    <row r="845" spans="1:3" ht="13" x14ac:dyDescent="0.15">
      <c r="A845" s="10"/>
      <c r="B845" s="13"/>
      <c r="C845" s="13"/>
    </row>
    <row r="846" spans="1:3" ht="13" x14ac:dyDescent="0.15">
      <c r="A846" s="10"/>
      <c r="B846" s="13"/>
      <c r="C846" s="13"/>
    </row>
    <row r="847" spans="1:3" ht="13" x14ac:dyDescent="0.15">
      <c r="A847" s="10"/>
      <c r="B847" s="13"/>
      <c r="C847" s="13"/>
    </row>
    <row r="848" spans="1:3" ht="13" x14ac:dyDescent="0.15">
      <c r="A848" s="10"/>
      <c r="B848" s="13"/>
      <c r="C848" s="13"/>
    </row>
    <row r="849" spans="1:3" ht="13" x14ac:dyDescent="0.15">
      <c r="A849" s="10"/>
      <c r="B849" s="13"/>
      <c r="C849" s="13"/>
    </row>
    <row r="850" spans="1:3" ht="13" x14ac:dyDescent="0.15">
      <c r="A850" s="10"/>
      <c r="B850" s="13"/>
      <c r="C850" s="13"/>
    </row>
    <row r="851" spans="1:3" ht="13" x14ac:dyDescent="0.15">
      <c r="A851" s="10"/>
      <c r="B851" s="13"/>
      <c r="C851" s="13"/>
    </row>
    <row r="852" spans="1:3" ht="13" x14ac:dyDescent="0.15">
      <c r="A852" s="10"/>
      <c r="B852" s="13"/>
      <c r="C852" s="13"/>
    </row>
    <row r="853" spans="1:3" ht="13" x14ac:dyDescent="0.15">
      <c r="A853" s="10"/>
      <c r="B853" s="13"/>
      <c r="C853" s="13"/>
    </row>
    <row r="854" spans="1:3" ht="13" x14ac:dyDescent="0.15">
      <c r="A854" s="10"/>
      <c r="B854" s="13"/>
      <c r="C854" s="13"/>
    </row>
    <row r="855" spans="1:3" ht="13" x14ac:dyDescent="0.15">
      <c r="A855" s="10"/>
      <c r="B855" s="13"/>
      <c r="C855" s="13"/>
    </row>
    <row r="856" spans="1:3" ht="13" x14ac:dyDescent="0.15">
      <c r="A856" s="10"/>
      <c r="B856" s="13"/>
      <c r="C856" s="13"/>
    </row>
    <row r="857" spans="1:3" ht="13" x14ac:dyDescent="0.15">
      <c r="A857" s="10"/>
      <c r="B857" s="13"/>
      <c r="C857" s="13"/>
    </row>
    <row r="858" spans="1:3" ht="13" x14ac:dyDescent="0.15">
      <c r="A858" s="10"/>
      <c r="B858" s="13"/>
      <c r="C858" s="13"/>
    </row>
    <row r="859" spans="1:3" ht="13" x14ac:dyDescent="0.15">
      <c r="A859" s="10"/>
      <c r="B859" s="13"/>
      <c r="C859" s="13"/>
    </row>
    <row r="860" spans="1:3" ht="13" x14ac:dyDescent="0.15">
      <c r="A860" s="10"/>
      <c r="B860" s="13"/>
      <c r="C860" s="13"/>
    </row>
    <row r="861" spans="1:3" ht="13" x14ac:dyDescent="0.15">
      <c r="A861" s="10"/>
      <c r="B861" s="13"/>
      <c r="C861" s="13"/>
    </row>
    <row r="862" spans="1:3" ht="13" x14ac:dyDescent="0.15">
      <c r="A862" s="10"/>
      <c r="B862" s="13"/>
      <c r="C862" s="13"/>
    </row>
    <row r="863" spans="1:3" ht="13" x14ac:dyDescent="0.15">
      <c r="A863" s="10"/>
      <c r="B863" s="13"/>
      <c r="C863" s="13"/>
    </row>
    <row r="864" spans="1:3" ht="13" x14ac:dyDescent="0.15">
      <c r="A864" s="10"/>
      <c r="B864" s="13"/>
      <c r="C864" s="13"/>
    </row>
    <row r="865" spans="1:3" ht="13" x14ac:dyDescent="0.15">
      <c r="A865" s="10"/>
      <c r="B865" s="13"/>
      <c r="C865" s="13"/>
    </row>
    <row r="866" spans="1:3" ht="13" x14ac:dyDescent="0.15">
      <c r="A866" s="10"/>
      <c r="B866" s="13"/>
      <c r="C866" s="13"/>
    </row>
    <row r="867" spans="1:3" ht="13" x14ac:dyDescent="0.15">
      <c r="A867" s="10"/>
      <c r="B867" s="13"/>
      <c r="C867" s="13"/>
    </row>
    <row r="868" spans="1:3" ht="13" x14ac:dyDescent="0.15">
      <c r="A868" s="10"/>
      <c r="B868" s="13"/>
      <c r="C868" s="13"/>
    </row>
    <row r="869" spans="1:3" ht="13" x14ac:dyDescent="0.15">
      <c r="A869" s="10"/>
      <c r="B869" s="13"/>
      <c r="C869" s="13"/>
    </row>
    <row r="870" spans="1:3" ht="13" x14ac:dyDescent="0.15">
      <c r="A870" s="10"/>
      <c r="B870" s="13"/>
      <c r="C870" s="13"/>
    </row>
    <row r="871" spans="1:3" ht="13" x14ac:dyDescent="0.15">
      <c r="A871" s="10"/>
      <c r="B871" s="13"/>
      <c r="C871" s="13"/>
    </row>
    <row r="872" spans="1:3" ht="13" x14ac:dyDescent="0.15">
      <c r="A872" s="10"/>
      <c r="B872" s="13"/>
      <c r="C872" s="13"/>
    </row>
    <row r="873" spans="1:3" ht="13" x14ac:dyDescent="0.15">
      <c r="A873" s="10"/>
      <c r="B873" s="13"/>
      <c r="C873" s="13"/>
    </row>
    <row r="874" spans="1:3" ht="13" x14ac:dyDescent="0.15">
      <c r="A874" s="10"/>
      <c r="B874" s="13"/>
      <c r="C874" s="13"/>
    </row>
    <row r="875" spans="1:3" ht="13" x14ac:dyDescent="0.15">
      <c r="A875" s="10"/>
      <c r="B875" s="13"/>
      <c r="C875" s="13"/>
    </row>
    <row r="876" spans="1:3" ht="13" x14ac:dyDescent="0.15">
      <c r="A876" s="10"/>
      <c r="B876" s="13"/>
      <c r="C876" s="13"/>
    </row>
    <row r="877" spans="1:3" ht="13" x14ac:dyDescent="0.15">
      <c r="A877" s="10"/>
      <c r="B877" s="13"/>
      <c r="C877" s="13"/>
    </row>
    <row r="878" spans="1:3" ht="13" x14ac:dyDescent="0.15">
      <c r="A878" s="10"/>
      <c r="B878" s="13"/>
      <c r="C878" s="13"/>
    </row>
    <row r="879" spans="1:3" ht="13" x14ac:dyDescent="0.15">
      <c r="A879" s="10"/>
      <c r="B879" s="13"/>
      <c r="C879" s="13"/>
    </row>
    <row r="880" spans="1:3" ht="13" x14ac:dyDescent="0.15">
      <c r="A880" s="10"/>
      <c r="B880" s="13"/>
      <c r="C880" s="13"/>
    </row>
    <row r="881" spans="1:3" ht="13" x14ac:dyDescent="0.15">
      <c r="A881" s="10"/>
      <c r="B881" s="13"/>
      <c r="C881" s="13"/>
    </row>
    <row r="882" spans="1:3" ht="13" x14ac:dyDescent="0.15">
      <c r="A882" s="10"/>
      <c r="B882" s="13"/>
      <c r="C882" s="13"/>
    </row>
    <row r="883" spans="1:3" ht="13" x14ac:dyDescent="0.15">
      <c r="A883" s="10"/>
      <c r="B883" s="13"/>
      <c r="C883" s="13"/>
    </row>
    <row r="884" spans="1:3" ht="13" x14ac:dyDescent="0.15">
      <c r="A884" s="10"/>
      <c r="B884" s="13"/>
      <c r="C884" s="13"/>
    </row>
    <row r="885" spans="1:3" ht="13" x14ac:dyDescent="0.15">
      <c r="A885" s="10"/>
      <c r="B885" s="13"/>
      <c r="C885" s="13"/>
    </row>
    <row r="886" spans="1:3" ht="13" x14ac:dyDescent="0.15">
      <c r="A886" s="10"/>
      <c r="B886" s="13"/>
      <c r="C886" s="13"/>
    </row>
    <row r="887" spans="1:3" ht="13" x14ac:dyDescent="0.15">
      <c r="A887" s="10"/>
      <c r="B887" s="13"/>
      <c r="C887" s="13"/>
    </row>
    <row r="888" spans="1:3" ht="13" x14ac:dyDescent="0.15">
      <c r="A888" s="10"/>
      <c r="B888" s="13"/>
      <c r="C888" s="13"/>
    </row>
    <row r="889" spans="1:3" ht="13" x14ac:dyDescent="0.15">
      <c r="A889" s="10"/>
      <c r="B889" s="13"/>
      <c r="C889" s="13"/>
    </row>
    <row r="890" spans="1:3" ht="13" x14ac:dyDescent="0.15">
      <c r="A890" s="10"/>
      <c r="B890" s="13"/>
      <c r="C890" s="13"/>
    </row>
    <row r="891" spans="1:3" ht="13" x14ac:dyDescent="0.15">
      <c r="A891" s="10"/>
      <c r="B891" s="13"/>
      <c r="C891" s="13"/>
    </row>
    <row r="892" spans="1:3" ht="13" x14ac:dyDescent="0.15">
      <c r="A892" s="10"/>
      <c r="B892" s="13"/>
      <c r="C892" s="13"/>
    </row>
    <row r="893" spans="1:3" ht="13" x14ac:dyDescent="0.15">
      <c r="A893" s="10"/>
      <c r="B893" s="13"/>
      <c r="C893" s="13"/>
    </row>
    <row r="894" spans="1:3" ht="13" x14ac:dyDescent="0.15">
      <c r="A894" s="10"/>
      <c r="B894" s="13"/>
      <c r="C894" s="13"/>
    </row>
    <row r="895" spans="1:3" ht="13" x14ac:dyDescent="0.15">
      <c r="A895" s="10"/>
      <c r="B895" s="13"/>
      <c r="C895" s="13"/>
    </row>
    <row r="896" spans="1:3" ht="13" x14ac:dyDescent="0.15">
      <c r="A896" s="10"/>
      <c r="B896" s="13"/>
      <c r="C896" s="13"/>
    </row>
    <row r="897" spans="1:3" ht="13" x14ac:dyDescent="0.15">
      <c r="A897" s="10"/>
      <c r="B897" s="13"/>
      <c r="C897" s="13"/>
    </row>
    <row r="898" spans="1:3" ht="13" x14ac:dyDescent="0.15">
      <c r="A898" s="10"/>
      <c r="B898" s="13"/>
      <c r="C898" s="13"/>
    </row>
    <row r="899" spans="1:3" ht="13" x14ac:dyDescent="0.15">
      <c r="A899" s="10"/>
      <c r="B899" s="13"/>
      <c r="C899" s="13"/>
    </row>
    <row r="900" spans="1:3" ht="13" x14ac:dyDescent="0.15">
      <c r="A900" s="10"/>
      <c r="B900" s="13"/>
      <c r="C900" s="13"/>
    </row>
    <row r="901" spans="1:3" ht="13" x14ac:dyDescent="0.15">
      <c r="A901" s="10"/>
      <c r="B901" s="13"/>
      <c r="C901" s="13"/>
    </row>
    <row r="902" spans="1:3" ht="13" x14ac:dyDescent="0.15">
      <c r="A902" s="10"/>
      <c r="B902" s="13"/>
      <c r="C902" s="13"/>
    </row>
    <row r="903" spans="1:3" ht="13" x14ac:dyDescent="0.15">
      <c r="A903" s="10"/>
      <c r="B903" s="13"/>
      <c r="C903" s="13"/>
    </row>
    <row r="904" spans="1:3" ht="13" x14ac:dyDescent="0.15">
      <c r="A904" s="10"/>
      <c r="B904" s="13"/>
      <c r="C904" s="13"/>
    </row>
    <row r="905" spans="1:3" ht="13" x14ac:dyDescent="0.15">
      <c r="A905" s="10"/>
      <c r="B905" s="13"/>
      <c r="C905" s="13"/>
    </row>
    <row r="906" spans="1:3" ht="13" x14ac:dyDescent="0.15">
      <c r="A906" s="10"/>
      <c r="B906" s="13"/>
      <c r="C906" s="13"/>
    </row>
    <row r="907" spans="1:3" ht="13" x14ac:dyDescent="0.15">
      <c r="A907" s="10"/>
      <c r="B907" s="13"/>
      <c r="C907" s="13"/>
    </row>
    <row r="908" spans="1:3" ht="13" x14ac:dyDescent="0.15">
      <c r="A908" s="10"/>
      <c r="B908" s="13"/>
      <c r="C908" s="13"/>
    </row>
    <row r="909" spans="1:3" ht="13" x14ac:dyDescent="0.15">
      <c r="A909" s="10"/>
      <c r="B909" s="13"/>
      <c r="C909" s="13"/>
    </row>
    <row r="910" spans="1:3" ht="13" x14ac:dyDescent="0.15">
      <c r="A910" s="10"/>
      <c r="B910" s="13"/>
      <c r="C910" s="13"/>
    </row>
    <row r="911" spans="1:3" ht="13" x14ac:dyDescent="0.15">
      <c r="A911" s="10"/>
      <c r="B911" s="13"/>
      <c r="C911" s="13"/>
    </row>
    <row r="912" spans="1:3" ht="13" x14ac:dyDescent="0.15">
      <c r="A912" s="10"/>
      <c r="B912" s="13"/>
      <c r="C912" s="13"/>
    </row>
    <row r="913" spans="1:3" ht="13" x14ac:dyDescent="0.15">
      <c r="A913" s="10"/>
      <c r="B913" s="13"/>
      <c r="C913" s="13"/>
    </row>
    <row r="914" spans="1:3" ht="13" x14ac:dyDescent="0.15">
      <c r="A914" s="10"/>
      <c r="B914" s="13"/>
      <c r="C914" s="13"/>
    </row>
    <row r="915" spans="1:3" ht="13" x14ac:dyDescent="0.15">
      <c r="A915" s="10"/>
      <c r="B915" s="13"/>
      <c r="C915" s="13"/>
    </row>
    <row r="916" spans="1:3" ht="13" x14ac:dyDescent="0.15">
      <c r="A916" s="10"/>
      <c r="B916" s="13"/>
      <c r="C916" s="13"/>
    </row>
    <row r="917" spans="1:3" ht="13" x14ac:dyDescent="0.15">
      <c r="A917" s="10"/>
      <c r="B917" s="13"/>
      <c r="C917" s="13"/>
    </row>
    <row r="918" spans="1:3" ht="13" x14ac:dyDescent="0.15">
      <c r="A918" s="10"/>
      <c r="B918" s="13"/>
      <c r="C918" s="13"/>
    </row>
    <row r="919" spans="1:3" ht="13" x14ac:dyDescent="0.15">
      <c r="A919" s="10"/>
      <c r="B919" s="13"/>
      <c r="C919" s="13"/>
    </row>
    <row r="920" spans="1:3" ht="13" x14ac:dyDescent="0.15">
      <c r="A920" s="10"/>
      <c r="B920" s="13"/>
      <c r="C920" s="13"/>
    </row>
    <row r="921" spans="1:3" ht="13" x14ac:dyDescent="0.15">
      <c r="A921" s="10"/>
      <c r="B921" s="13"/>
      <c r="C921" s="13"/>
    </row>
    <row r="922" spans="1:3" ht="13" x14ac:dyDescent="0.15">
      <c r="A922" s="10"/>
      <c r="B922" s="13"/>
      <c r="C922" s="13"/>
    </row>
    <row r="923" spans="1:3" ht="13" x14ac:dyDescent="0.15">
      <c r="A923" s="10"/>
      <c r="B923" s="13"/>
      <c r="C923" s="13"/>
    </row>
    <row r="924" spans="1:3" ht="13" x14ac:dyDescent="0.15">
      <c r="A924" s="10"/>
      <c r="B924" s="13"/>
      <c r="C924" s="13"/>
    </row>
    <row r="925" spans="1:3" ht="13" x14ac:dyDescent="0.15">
      <c r="A925" s="10"/>
      <c r="B925" s="13"/>
      <c r="C925" s="13"/>
    </row>
    <row r="926" spans="1:3" ht="13" x14ac:dyDescent="0.15">
      <c r="A926" s="10"/>
      <c r="B926" s="13"/>
      <c r="C926" s="13"/>
    </row>
    <row r="927" spans="1:3" ht="13" x14ac:dyDescent="0.15">
      <c r="A927" s="10"/>
      <c r="B927" s="13"/>
      <c r="C927" s="13"/>
    </row>
    <row r="928" spans="1:3" ht="13" x14ac:dyDescent="0.15">
      <c r="A928" s="10"/>
      <c r="B928" s="13"/>
      <c r="C928" s="13"/>
    </row>
    <row r="929" spans="1:3" ht="13" x14ac:dyDescent="0.15">
      <c r="A929" s="10"/>
      <c r="B929" s="13"/>
      <c r="C929" s="13"/>
    </row>
    <row r="930" spans="1:3" ht="13" x14ac:dyDescent="0.15">
      <c r="A930" s="10"/>
      <c r="B930" s="13"/>
      <c r="C930" s="13"/>
    </row>
    <row r="931" spans="1:3" ht="13" x14ac:dyDescent="0.15">
      <c r="A931" s="10"/>
      <c r="B931" s="13"/>
      <c r="C931" s="13"/>
    </row>
    <row r="932" spans="1:3" ht="13" x14ac:dyDescent="0.15">
      <c r="A932" s="10"/>
      <c r="B932" s="13"/>
      <c r="C932" s="13"/>
    </row>
    <row r="933" spans="1:3" ht="13" x14ac:dyDescent="0.15">
      <c r="A933" s="10"/>
      <c r="B933" s="13"/>
      <c r="C933" s="13"/>
    </row>
    <row r="934" spans="1:3" ht="13" x14ac:dyDescent="0.15">
      <c r="A934" s="10"/>
      <c r="B934" s="13"/>
      <c r="C934" s="13"/>
    </row>
    <row r="935" spans="1:3" ht="13" x14ac:dyDescent="0.15">
      <c r="A935" s="10"/>
      <c r="B935" s="13"/>
      <c r="C935" s="13"/>
    </row>
    <row r="936" spans="1:3" ht="13" x14ac:dyDescent="0.15">
      <c r="A936" s="10"/>
      <c r="B936" s="13"/>
      <c r="C936" s="13"/>
    </row>
    <row r="937" spans="1:3" ht="13" x14ac:dyDescent="0.15">
      <c r="A937" s="10"/>
      <c r="B937" s="13"/>
      <c r="C937" s="13"/>
    </row>
    <row r="938" spans="1:3" ht="13" x14ac:dyDescent="0.15">
      <c r="A938" s="10"/>
      <c r="B938" s="13"/>
      <c r="C938" s="13"/>
    </row>
    <row r="939" spans="1:3" ht="13" x14ac:dyDescent="0.15">
      <c r="A939" s="10"/>
      <c r="B939" s="13"/>
      <c r="C939" s="13"/>
    </row>
    <row r="940" spans="1:3" ht="13" x14ac:dyDescent="0.15">
      <c r="A940" s="10"/>
      <c r="B940" s="13"/>
      <c r="C940" s="13"/>
    </row>
    <row r="941" spans="1:3" ht="13" x14ac:dyDescent="0.15">
      <c r="A941" s="10"/>
      <c r="B941" s="13"/>
      <c r="C941" s="13"/>
    </row>
    <row r="942" spans="1:3" ht="13" x14ac:dyDescent="0.15">
      <c r="A942" s="10"/>
      <c r="B942" s="13"/>
      <c r="C942" s="13"/>
    </row>
    <row r="943" spans="1:3" ht="13" x14ac:dyDescent="0.15">
      <c r="A943" s="10"/>
      <c r="B943" s="13"/>
      <c r="C943" s="13"/>
    </row>
    <row r="944" spans="1:3" ht="13" x14ac:dyDescent="0.15">
      <c r="A944" s="10"/>
      <c r="B944" s="13"/>
      <c r="C944" s="13"/>
    </row>
    <row r="945" spans="1:3" ht="13" x14ac:dyDescent="0.15">
      <c r="A945" s="10"/>
      <c r="B945" s="13"/>
      <c r="C945" s="13"/>
    </row>
    <row r="946" spans="1:3" ht="13" x14ac:dyDescent="0.15">
      <c r="A946" s="10"/>
      <c r="B946" s="13"/>
      <c r="C946" s="13"/>
    </row>
    <row r="947" spans="1:3" ht="13" x14ac:dyDescent="0.15">
      <c r="A947" s="10"/>
      <c r="B947" s="13"/>
      <c r="C947" s="13"/>
    </row>
    <row r="948" spans="1:3" ht="13" x14ac:dyDescent="0.15">
      <c r="A948" s="10"/>
      <c r="B948" s="13"/>
      <c r="C948" s="13"/>
    </row>
    <row r="949" spans="1:3" ht="13" x14ac:dyDescent="0.15">
      <c r="A949" s="10"/>
      <c r="B949" s="13"/>
      <c r="C949" s="13"/>
    </row>
    <row r="950" spans="1:3" ht="13" x14ac:dyDescent="0.15">
      <c r="A950" s="10"/>
      <c r="B950" s="13"/>
      <c r="C950" s="13"/>
    </row>
    <row r="951" spans="1:3" ht="13" x14ac:dyDescent="0.15">
      <c r="A951" s="10"/>
      <c r="B951" s="13"/>
      <c r="C951" s="13"/>
    </row>
    <row r="952" spans="1:3" ht="13" x14ac:dyDescent="0.15">
      <c r="A952" s="10"/>
      <c r="B952" s="13"/>
      <c r="C952" s="13"/>
    </row>
    <row r="953" spans="1:3" ht="13" x14ac:dyDescent="0.15">
      <c r="A953" s="10"/>
      <c r="B953" s="13"/>
      <c r="C953" s="13"/>
    </row>
    <row r="954" spans="1:3" ht="13" x14ac:dyDescent="0.15">
      <c r="A954" s="10"/>
      <c r="B954" s="13"/>
      <c r="C954" s="13"/>
    </row>
    <row r="955" spans="1:3" ht="13" x14ac:dyDescent="0.15">
      <c r="A955" s="10"/>
      <c r="B955" s="13"/>
      <c r="C955" s="13"/>
    </row>
    <row r="956" spans="1:3" ht="13" x14ac:dyDescent="0.15">
      <c r="A956" s="10"/>
      <c r="B956" s="13"/>
      <c r="C956" s="13"/>
    </row>
    <row r="957" spans="1:3" ht="13" x14ac:dyDescent="0.15">
      <c r="A957" s="10"/>
      <c r="B957" s="13"/>
      <c r="C957" s="13"/>
    </row>
    <row r="958" spans="1:3" ht="13" x14ac:dyDescent="0.15">
      <c r="A958" s="10"/>
      <c r="B958" s="13"/>
      <c r="C958" s="13"/>
    </row>
    <row r="959" spans="1:3" ht="13" x14ac:dyDescent="0.15">
      <c r="A959" s="10"/>
      <c r="B959" s="13"/>
      <c r="C959" s="13"/>
    </row>
    <row r="960" spans="1:3" ht="13" x14ac:dyDescent="0.15">
      <c r="A960" s="10"/>
      <c r="B960" s="13"/>
      <c r="C960" s="13"/>
    </row>
    <row r="961" spans="1:3" ht="13" x14ac:dyDescent="0.15">
      <c r="A961" s="10"/>
      <c r="B961" s="13"/>
      <c r="C961" s="13"/>
    </row>
    <row r="962" spans="1:3" ht="13" x14ac:dyDescent="0.15">
      <c r="A962" s="10"/>
      <c r="B962" s="13"/>
      <c r="C962" s="13"/>
    </row>
    <row r="963" spans="1:3" ht="13" x14ac:dyDescent="0.15">
      <c r="A963" s="10"/>
      <c r="B963" s="13"/>
      <c r="C963" s="13"/>
    </row>
    <row r="964" spans="1:3" ht="13" x14ac:dyDescent="0.15">
      <c r="A964" s="10"/>
      <c r="B964" s="13"/>
      <c r="C964" s="13"/>
    </row>
    <row r="965" spans="1:3" ht="13" x14ac:dyDescent="0.15">
      <c r="A965" s="10"/>
      <c r="B965" s="13"/>
      <c r="C965" s="13"/>
    </row>
    <row r="966" spans="1:3" ht="13" x14ac:dyDescent="0.15">
      <c r="A966" s="10"/>
      <c r="B966" s="13"/>
      <c r="C966" s="13"/>
    </row>
    <row r="967" spans="1:3" ht="13" x14ac:dyDescent="0.15">
      <c r="A967" s="10"/>
      <c r="B967" s="13"/>
      <c r="C967" s="13"/>
    </row>
    <row r="968" spans="1:3" ht="13" x14ac:dyDescent="0.15">
      <c r="A968" s="10"/>
      <c r="B968" s="13"/>
      <c r="C968" s="13"/>
    </row>
    <row r="969" spans="1:3" ht="13" x14ac:dyDescent="0.15">
      <c r="A969" s="10"/>
      <c r="B969" s="13"/>
      <c r="C969" s="13"/>
    </row>
    <row r="970" spans="1:3" ht="13" x14ac:dyDescent="0.15">
      <c r="A970" s="10"/>
      <c r="B970" s="13"/>
      <c r="C970" s="13"/>
    </row>
    <row r="971" spans="1:3" ht="13" x14ac:dyDescent="0.15">
      <c r="A971" s="10"/>
      <c r="B971" s="13"/>
      <c r="C971" s="13"/>
    </row>
    <row r="972" spans="1:3" ht="13" x14ac:dyDescent="0.15">
      <c r="A972" s="10"/>
      <c r="B972" s="13"/>
      <c r="C972" s="13"/>
    </row>
    <row r="973" spans="1:3" ht="13" x14ac:dyDescent="0.15">
      <c r="A973" s="10"/>
      <c r="B973" s="13"/>
      <c r="C973" s="13"/>
    </row>
    <row r="974" spans="1:3" ht="13" x14ac:dyDescent="0.15">
      <c r="A974" s="10"/>
      <c r="B974" s="13"/>
      <c r="C974" s="13"/>
    </row>
    <row r="975" spans="1:3" ht="13" x14ac:dyDescent="0.15">
      <c r="A975" s="10"/>
      <c r="B975" s="13"/>
      <c r="C975" s="13"/>
    </row>
    <row r="976" spans="1:3" ht="13" x14ac:dyDescent="0.15">
      <c r="A976" s="10"/>
      <c r="B976" s="13"/>
      <c r="C976" s="13"/>
    </row>
    <row r="977" spans="1:3" ht="13" x14ac:dyDescent="0.15">
      <c r="A977" s="10"/>
      <c r="B977" s="13"/>
      <c r="C977" s="13"/>
    </row>
    <row r="978" spans="1:3" ht="13" x14ac:dyDescent="0.15">
      <c r="A978" s="10"/>
      <c r="B978" s="13"/>
      <c r="C978" s="13"/>
    </row>
    <row r="979" spans="1:3" ht="13" x14ac:dyDescent="0.15">
      <c r="A979" s="10"/>
      <c r="B979" s="13"/>
      <c r="C979" s="13"/>
    </row>
    <row r="980" spans="1:3" ht="13" x14ac:dyDescent="0.15">
      <c r="A980" s="10"/>
      <c r="B980" s="13"/>
      <c r="C980" s="13"/>
    </row>
    <row r="981" spans="1:3" ht="13" x14ac:dyDescent="0.15">
      <c r="A981" s="10"/>
      <c r="B981" s="13"/>
      <c r="C981" s="13"/>
    </row>
    <row r="982" spans="1:3" ht="13" x14ac:dyDescent="0.15">
      <c r="A982" s="10"/>
      <c r="B982" s="13"/>
      <c r="C982" s="13"/>
    </row>
    <row r="983" spans="1:3" ht="13" x14ac:dyDescent="0.15">
      <c r="A983" s="10"/>
      <c r="B983" s="13"/>
      <c r="C983" s="13"/>
    </row>
    <row r="984" spans="1:3" ht="13" x14ac:dyDescent="0.15">
      <c r="A984" s="10"/>
      <c r="B984" s="13"/>
      <c r="C984" s="13"/>
    </row>
    <row r="985" spans="1:3" ht="13" x14ac:dyDescent="0.15">
      <c r="A985" s="10"/>
      <c r="B985" s="13"/>
      <c r="C985" s="13"/>
    </row>
    <row r="986" spans="1:3" ht="13" x14ac:dyDescent="0.15">
      <c r="A986" s="10"/>
      <c r="B986" s="13"/>
      <c r="C986" s="13"/>
    </row>
    <row r="987" spans="1:3" ht="13" x14ac:dyDescent="0.15">
      <c r="A987" s="10"/>
      <c r="B987" s="13"/>
      <c r="C987" s="13"/>
    </row>
    <row r="988" spans="1:3" ht="13" x14ac:dyDescent="0.15">
      <c r="A988" s="10"/>
      <c r="B988" s="13"/>
      <c r="C988" s="13"/>
    </row>
    <row r="989" spans="1:3" ht="13" x14ac:dyDescent="0.15">
      <c r="A989" s="10"/>
      <c r="B989" s="13"/>
      <c r="C989" s="13"/>
    </row>
    <row r="990" spans="1:3" ht="13" x14ac:dyDescent="0.15">
      <c r="A990" s="10"/>
      <c r="B990" s="13"/>
      <c r="C990" s="13"/>
    </row>
    <row r="991" spans="1:3" ht="13" x14ac:dyDescent="0.15">
      <c r="A991" s="10"/>
      <c r="B991" s="13"/>
      <c r="C991" s="13"/>
    </row>
    <row r="992" spans="1:3" ht="13" x14ac:dyDescent="0.15">
      <c r="A992" s="10"/>
      <c r="B992" s="13"/>
      <c r="C992" s="13"/>
    </row>
    <row r="993" spans="1:3" ht="13" x14ac:dyDescent="0.15">
      <c r="A993" s="10"/>
      <c r="B993" s="13"/>
      <c r="C993" s="13"/>
    </row>
    <row r="994" spans="1:3" ht="13" x14ac:dyDescent="0.15">
      <c r="A994" s="10"/>
      <c r="B994" s="13"/>
      <c r="C994" s="13"/>
    </row>
    <row r="995" spans="1:3" ht="13" x14ac:dyDescent="0.15">
      <c r="A995" s="10"/>
      <c r="B995" s="13"/>
      <c r="C995" s="13"/>
    </row>
    <row r="996" spans="1:3" ht="13" x14ac:dyDescent="0.15">
      <c r="A996" s="10"/>
      <c r="B996" s="13"/>
      <c r="C996" s="13"/>
    </row>
    <row r="997" spans="1:3" ht="13" x14ac:dyDescent="0.15">
      <c r="A997" s="10"/>
      <c r="B997" s="13"/>
      <c r="C997" s="13"/>
    </row>
  </sheetData>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outlinePr summaryBelow="0" summaryRight="0"/>
  </sheetPr>
  <dimension ref="A1:D997"/>
  <sheetViews>
    <sheetView workbookViewId="0"/>
  </sheetViews>
  <sheetFormatPr baseColWidth="10" defaultColWidth="12.6640625" defaultRowHeight="15.75" customHeight="1" x14ac:dyDescent="0.15"/>
  <cols>
    <col min="1" max="1" width="71.5" customWidth="1"/>
    <col min="2" max="4" width="37.6640625" customWidth="1"/>
  </cols>
  <sheetData>
    <row r="1" spans="1:4" ht="15.75" customHeight="1" x14ac:dyDescent="0.15">
      <c r="A1" s="1"/>
      <c r="B1" s="12" t="str">
        <f ca="1">IFERROR(__xludf.DUMMYFUNCTION("IMPORTRANGE(""https://docs.google.com/spreadsheets/d/19FYWDv6QyCNB_zbElAOE5cOI1IJ2jraXGOFWNs-qsQM"",""A77!B1:B22"")"),"Braden Brennan")</f>
        <v>Braden Brennan</v>
      </c>
      <c r="C1" s="10" t="str">
        <f ca="1">IFERROR(__xludf.DUMMYFUNCTION("IMPORTRANGE(""https://docs.google.com/spreadsheets/u/0/d/1v3alDV9sI-Ng7OoZouCf4a0CI5tv_Xg2T3WprxxRGRs"", ""A77!B1:B22"")"),"Tyler")</f>
        <v>Tyler</v>
      </c>
      <c r="D1" s="2" t="s">
        <v>1</v>
      </c>
    </row>
    <row r="2" spans="1:4" ht="15.75" customHeight="1" x14ac:dyDescent="0.15">
      <c r="A2" s="3" t="s">
        <v>2</v>
      </c>
      <c r="B2" s="15" t="str">
        <f ca="1">IFERROR(__xludf.DUMMYFUNCTION("""COMPUTED_VALUE"""),"47701 - 47453")</f>
        <v>47701 - 47453</v>
      </c>
      <c r="C2" s="15" t="str">
        <f ca="1">IFERROR(__xludf.DUMMYFUNCTION("""COMPUTED_VALUE"""),"47701 - 47453 REV")</f>
        <v>47701 - 47453 REV</v>
      </c>
      <c r="D2" s="4"/>
    </row>
    <row r="3" spans="1:4" ht="15.75" customHeight="1" x14ac:dyDescent="0.15">
      <c r="A3" s="5" t="s">
        <v>3</v>
      </c>
      <c r="B3" s="17" t="str">
        <f ca="1">IFERROR(__xludf.DUMMYFUNCTION("""COMPUTED_VALUE"""),"PHAM:77  DNAM:")</f>
        <v>PHAM:77  DNAM:</v>
      </c>
      <c r="C3" s="17" t="str">
        <f ca="1">IFERROR(__xludf.DUMMYFUNCTION("""COMPUTED_VALUE"""),"DNA Master_76 
Phamerator_77")</f>
        <v>DNA Master_76 
Phamerator_77</v>
      </c>
      <c r="D3" s="6"/>
    </row>
    <row r="4" spans="1:4" ht="15.75" customHeight="1" x14ac:dyDescent="0.15">
      <c r="A4" s="5" t="s">
        <v>4</v>
      </c>
      <c r="B4" s="17" t="str">
        <f ca="1">IFERROR(__xludf.DUMMYFUNCTION("""COMPUTED_VALUE"""),"pham 199357 3/21/2025")</f>
        <v>pham 199357 3/21/2025</v>
      </c>
      <c r="C4" s="17" t="str">
        <f ca="1">IFERROR(__xludf.DUMMYFUNCTION("""COMPUTED_VALUE"""),"199357 3/17/25")</f>
        <v>199357 3/17/25</v>
      </c>
      <c r="D4" s="6"/>
    </row>
    <row r="5" spans="1:4" ht="15.75" customHeight="1" x14ac:dyDescent="0.15">
      <c r="A5" s="5" t="s">
        <v>5</v>
      </c>
      <c r="B5" s="17"/>
      <c r="C5" s="17" t="str">
        <f ca="1">IFERROR(__xludf.DUMMYFUNCTION("""COMPUTED_VALUE"""),"Kovu_75")</f>
        <v>Kovu_75</v>
      </c>
      <c r="D5" s="6"/>
    </row>
    <row r="6" spans="1:4" ht="15.75" customHeight="1" x14ac:dyDescent="0.15">
      <c r="A6" s="5" t="s">
        <v>6</v>
      </c>
      <c r="B6" s="17" t="str">
        <f ca="1">IFERROR(__xludf.DUMMYFUNCTION("""COMPUTED_VALUE"""),"Glimmer call @bp 47701 has strength 11.07")</f>
        <v>Glimmer call @bp 47701 has strength 11.07</v>
      </c>
      <c r="C6" s="17" t="str">
        <f ca="1">IFERROR(__xludf.DUMMYFUNCTION("""COMPUTED_VALUE"""),"both call @bp 47701 strength 11.07")</f>
        <v>both call @bp 47701 strength 11.07</v>
      </c>
      <c r="D6" s="6"/>
    </row>
    <row r="7" spans="1:4" ht="15.75" customHeight="1" x14ac:dyDescent="0.15">
      <c r="A7" s="5" t="s">
        <v>7</v>
      </c>
      <c r="B7" s="17" t="str">
        <f ca="1">IFERROR(__xludf.DUMMYFUNCTION("""COMPUTED_VALUE"""),"Good coding potential")</f>
        <v>Good coding potential</v>
      </c>
      <c r="C7" s="17" t="str">
        <f ca="1">IFERROR(__xludf.DUMMYFUNCTION("""COMPUTED_VALUE"""),"ok coding potential, current start captures all but it has low poetential. ")</f>
        <v xml:space="preserve">ok coding potential, current start captures all but it has low poetential. </v>
      </c>
      <c r="D7" s="6"/>
    </row>
    <row r="8" spans="1:4" ht="15.75" customHeight="1" x14ac:dyDescent="0.15">
      <c r="A8" s="5" t="s">
        <v>8</v>
      </c>
      <c r="B8" s="17" t="str">
        <f ca="1">IFERROR(__xludf.DUMMYFUNCTION("""COMPUTED_VALUE"""),"Not quite the longest")</f>
        <v>Not quite the longest</v>
      </c>
      <c r="C8" s="17" t="str">
        <f ca="1">IFERROR(__xludf.DUMMYFUNCTION("""COMPUTED_VALUE"""),"yes")</f>
        <v>yes</v>
      </c>
      <c r="D8" s="6"/>
    </row>
    <row r="9" spans="1:4" ht="15.75" customHeight="1" x14ac:dyDescent="0.15">
      <c r="A9" s="5" t="s">
        <v>9</v>
      </c>
      <c r="B9" s="17" t="str">
        <f ca="1">IFERROR(__xludf.DUMMYFUNCTION("""COMPUTED_VALUE"""),"3 nucleotide overlap")</f>
        <v>3 nucleotide overlap</v>
      </c>
      <c r="C9" s="17" t="str">
        <f ca="1">IFERROR(__xludf.DUMMYFUNCTION("""COMPUTED_VALUE"""),"overlap of about 4nt")</f>
        <v>overlap of about 4nt</v>
      </c>
      <c r="D9" s="6"/>
    </row>
    <row r="10" spans="1:4" ht="15.75" customHeight="1" x14ac:dyDescent="0.15">
      <c r="A10" s="5" t="s">
        <v>10</v>
      </c>
      <c r="B10" s="17" t="str">
        <f ca="1">IFERROR(__xludf.DUMMYFUNCTION("""COMPUTED_VALUE"""),"SD: -2.310 Z: 2.697 Final: -3.465")</f>
        <v>SD: -2.310 Z: 2.697 Final: -3.465</v>
      </c>
      <c r="C10" s="17" t="str">
        <f ca="1">IFERROR(__xludf.DUMMYFUNCTION("""COMPUTED_VALUE"""),"current start has the best Z score (2.136)")</f>
        <v>current start has the best Z score (2.136)</v>
      </c>
      <c r="D10" s="6"/>
    </row>
    <row r="11" spans="1:4" ht="15.75" customHeight="1" x14ac:dyDescent="0.15">
      <c r="A11" s="5" t="s">
        <v>11</v>
      </c>
      <c r="B11" s="17" t="str">
        <f ca="1">IFERROR(__xludf.DUMMYFUNCTION("""COMPUTED_VALUE"""),"Membrane protein Kovu, 52.56% identity, 5.5E-4")</f>
        <v>Membrane protein Kovu, 52.56% identity, 5.5E-4</v>
      </c>
      <c r="C11" s="17" t="str">
        <f ca="1">IFERROR(__xludf.DUMMYFUNCTION("""COMPUTED_VALUE"""),"Kovu_75; 52.56% identity; 5.5E-4; Q:3 T:4")</f>
        <v>Kovu_75; 52.56% identity; 5.5E-4; Q:3 T:4</v>
      </c>
      <c r="D11" s="6"/>
    </row>
    <row r="12" spans="1:4" ht="15.75" customHeight="1" x14ac:dyDescent="0.15">
      <c r="A12" s="5" t="s">
        <v>12</v>
      </c>
      <c r="B12" s="17" t="str">
        <f ca="1">IFERROR(__xludf.DUMMYFUNCTION("""COMPUTED_VALUE"""),"Found in 2 of 2 ( 100.0% ) of genes in pham called 100% of the time")</f>
        <v>Found in 2 of 2 ( 100.0% ) of genes in pham called 100% of the time</v>
      </c>
      <c r="C12" s="17" t="str">
        <f ca="1">IFERROR(__xludf.DUMMYFUNCTION("""COMPUTED_VALUE"""),"yes start is conserved
called 2 out of the 2 times ")</f>
        <v xml:space="preserve">yes start is conserved
called 2 out of the 2 times </v>
      </c>
      <c r="D12" s="6"/>
    </row>
    <row r="13" spans="1:4" ht="15.75" customHeight="1" x14ac:dyDescent="0.15">
      <c r="A13" s="5" t="s">
        <v>13</v>
      </c>
      <c r="B13" s="17" t="str">
        <f ca="1">IFERROR(__xludf.DUMMYFUNCTION("""COMPUTED_VALUE"""),"No evidence to consider a change in start")</f>
        <v>No evidence to consider a change in start</v>
      </c>
      <c r="C13" s="17" t="str">
        <f ca="1">IFERROR(__xludf.DUMMYFUNCTION("""COMPUTED_VALUE"""),"No")</f>
        <v>No</v>
      </c>
      <c r="D13" s="6"/>
    </row>
    <row r="14" spans="1:4" ht="15.75" customHeight="1" x14ac:dyDescent="0.15">
      <c r="A14" s="5" t="s">
        <v>14</v>
      </c>
      <c r="B14" s="17" t="str">
        <f ca="1">IFERROR(__xludf.DUMMYFUNCTION("""COMPUTED_VALUE"""),"Kovu 75")</f>
        <v>Kovu 75</v>
      </c>
      <c r="C14" s="17" t="str">
        <f ca="1">IFERROR(__xludf.DUMMYFUNCTION("""COMPUTED_VALUE"""),"Kovu_75
RedFox_15")</f>
        <v>Kovu_75
RedFox_15</v>
      </c>
      <c r="D14" s="6"/>
    </row>
    <row r="15" spans="1:4" ht="15.75" customHeight="1" x14ac:dyDescent="0.15">
      <c r="A15" s="5" t="s">
        <v>15</v>
      </c>
      <c r="B15" s="17" t="str">
        <f ca="1">IFERROR(__xludf.DUMMYFUNCTION("""COMPUTED_VALUE"""),"Membrane protein ")</f>
        <v xml:space="preserve">Membrane protein </v>
      </c>
      <c r="C15" s="17" t="str">
        <f ca="1">IFERROR(__xludf.DUMMYFUNCTION("""COMPUTED_VALUE"""),"funcion unknown; 2e-42 
tape measure protein;  2e-17 ")</f>
        <v xml:space="preserve">funcion unknown; 2e-42 
tape measure protein;  2e-17 </v>
      </c>
      <c r="D15" s="6"/>
    </row>
    <row r="16" spans="1:4" ht="15.75" customHeight="1" x14ac:dyDescent="0.15">
      <c r="A16" s="5" t="s">
        <v>16</v>
      </c>
      <c r="B16" s="17" t="str">
        <f ca="1">IFERROR(__xludf.DUMMYFUNCTION("""COMPUTED_VALUE"""),"gene fits well when compared to its kovu counter parts ")</f>
        <v xml:space="preserve">gene fits well when compared to its kovu counter parts </v>
      </c>
      <c r="C16" s="17" t="str">
        <f ca="1">IFERROR(__xludf.DUMMYFUNCTION("""COMPUTED_VALUE"""),"yes")</f>
        <v>yes</v>
      </c>
      <c r="D16" s="6"/>
    </row>
    <row r="17" spans="1:4" ht="15.75" customHeight="1" x14ac:dyDescent="0.15">
      <c r="A17" s="5" t="s">
        <v>17</v>
      </c>
      <c r="B17" s="17" t="str">
        <f ca="1">IFERROR(__xludf.DUMMYFUNCTION("""COMPUTED_VALUE"""),"SLC-NCS1sbd_u1; uncharacterized nucleobase-cation-symport-1, 86.29% probability, % align Q: 91.46,% align T:16.2")</f>
        <v>SLC-NCS1sbd_u1; uncharacterized nucleobase-cation-symport-1, 86.29% probability, % align Q: 91.46,% align T:16.2</v>
      </c>
      <c r="C17" s="17" t="str">
        <f ca="1">IFERROR(__xludf.DUMMYFUNCTION("""COMPUTED_VALUE"""),"Protein of unknown function
probability: 79%
% alignment Q: 38.84%
% alignment T: 61.84%
Domain of unknown function
probability:  76.1%
% alignment Q: 36.36%
% alignment T: 13.21%")</f>
        <v>Protein of unknown function
probability: 79%
% alignment Q: 38.84%
% alignment T: 61.84%
Domain of unknown function
probability:  76.1%
% alignment Q: 36.36%
% alignment T: 13.21%</v>
      </c>
      <c r="D17" s="6"/>
    </row>
    <row r="18" spans="1:4" ht="15.75" customHeight="1" x14ac:dyDescent="0.15">
      <c r="A18" s="5" t="s">
        <v>18</v>
      </c>
      <c r="B18" s="17" t="str">
        <f ca="1">IFERROR(__xludf.DUMMYFUNCTION("""COMPUTED_VALUE"""),"No conserved domain listed on Pham")</f>
        <v>No conserved domain listed on Pham</v>
      </c>
      <c r="C18" s="17" t="str">
        <f ca="1">IFERROR(__xludf.DUMMYFUNCTION("""COMPUTED_VALUE"""),"no")</f>
        <v>no</v>
      </c>
      <c r="D18" s="6"/>
    </row>
    <row r="19" spans="1:4" ht="15.75" customHeight="1" x14ac:dyDescent="0.15">
      <c r="A19" s="5" t="s">
        <v>19</v>
      </c>
      <c r="B19" s="17" t="str">
        <f ca="1">IFERROR(__xludf.DUMMYFUNCTION("""COMPUTED_VALUE"""),"goes through whole membrane")</f>
        <v>goes through whole membrane</v>
      </c>
      <c r="C19" s="17" t="str">
        <f ca="1">IFERROR(__xludf.DUMMYFUNCTION("""COMPUTED_VALUE"""),"transmembrane protien ")</f>
        <v xml:space="preserve">transmembrane protien </v>
      </c>
      <c r="D19" s="6"/>
    </row>
    <row r="20" spans="1:4" ht="15.75" customHeight="1" x14ac:dyDescent="0.15">
      <c r="A20" s="5" t="s">
        <v>20</v>
      </c>
      <c r="B20" s="17" t="str">
        <f ca="1">IFERROR(__xludf.DUMMYFUNCTION("""COMPUTED_VALUE"""),"uncharacterized membrane protein ")</f>
        <v xml:space="preserve">uncharacterized membrane protein </v>
      </c>
      <c r="C20" s="17" t="str">
        <f ca="1">IFERROR(__xludf.DUMMYFUNCTION("""COMPUTED_VALUE"""),"hypothetical protein ")</f>
        <v xml:space="preserve">hypothetical protein </v>
      </c>
      <c r="D20" s="6"/>
    </row>
    <row r="21" spans="1:4" x14ac:dyDescent="0.2">
      <c r="A21" s="7"/>
      <c r="B21" s="19"/>
      <c r="C21" s="19"/>
      <c r="D21" s="8"/>
    </row>
    <row r="22" spans="1:4" ht="15.75" customHeight="1" x14ac:dyDescent="0.15">
      <c r="A22" s="9" t="s">
        <v>21</v>
      </c>
      <c r="B22" s="19"/>
      <c r="C22" s="19"/>
      <c r="D22" s="8"/>
    </row>
    <row r="23" spans="1:4" ht="15.75" customHeight="1" x14ac:dyDescent="0.15">
      <c r="A23" s="10"/>
      <c r="B23" s="13"/>
      <c r="C23" s="13"/>
    </row>
    <row r="24" spans="1:4" ht="15.75" customHeight="1" x14ac:dyDescent="0.15">
      <c r="A24" s="10"/>
      <c r="B24" s="13"/>
      <c r="C24" s="13"/>
    </row>
    <row r="25" spans="1:4" ht="15.75" customHeight="1" x14ac:dyDescent="0.15">
      <c r="A25" s="10"/>
      <c r="B25" s="13"/>
      <c r="C25" s="13"/>
    </row>
    <row r="26" spans="1:4" ht="15.75" customHeight="1" x14ac:dyDescent="0.15">
      <c r="A26" s="10"/>
      <c r="B26" s="13"/>
      <c r="C26" s="13"/>
    </row>
    <row r="27" spans="1:4" ht="15.75" customHeight="1" x14ac:dyDescent="0.15">
      <c r="A27" s="10"/>
      <c r="B27" s="13"/>
      <c r="C27" s="13"/>
    </row>
    <row r="28" spans="1:4" ht="15.75" customHeight="1" x14ac:dyDescent="0.15">
      <c r="A28" s="10"/>
      <c r="B28" s="13"/>
      <c r="C28" s="13"/>
    </row>
    <row r="29" spans="1:4" ht="15.75" customHeight="1" x14ac:dyDescent="0.15">
      <c r="A29" s="10"/>
      <c r="B29" s="13"/>
      <c r="C29" s="13"/>
    </row>
    <row r="30" spans="1:4" ht="15.75" customHeight="1" x14ac:dyDescent="0.15">
      <c r="A30" s="10"/>
      <c r="B30" s="13"/>
      <c r="C30" s="13"/>
    </row>
    <row r="31" spans="1:4" ht="15.75" customHeight="1" x14ac:dyDescent="0.15">
      <c r="A31" s="10"/>
      <c r="B31" s="13"/>
      <c r="C31" s="13"/>
    </row>
    <row r="32" spans="1:4" ht="15.75" customHeight="1" x14ac:dyDescent="0.15">
      <c r="A32" s="10"/>
      <c r="B32" s="13"/>
      <c r="C32" s="13"/>
    </row>
    <row r="33" spans="1:3" ht="15.75" customHeight="1" x14ac:dyDescent="0.15">
      <c r="A33" s="10"/>
      <c r="B33" s="13"/>
      <c r="C33" s="13"/>
    </row>
    <row r="34" spans="1:3" ht="15.75" customHeight="1" x14ac:dyDescent="0.15">
      <c r="A34" s="10"/>
      <c r="B34" s="13"/>
      <c r="C34" s="13"/>
    </row>
    <row r="35" spans="1:3" ht="15.75" customHeight="1" x14ac:dyDescent="0.15">
      <c r="A35" s="10"/>
      <c r="B35" s="13"/>
      <c r="C35" s="13"/>
    </row>
    <row r="36" spans="1:3" ht="15.75" customHeight="1" x14ac:dyDescent="0.15">
      <c r="A36" s="10"/>
      <c r="B36" s="13"/>
      <c r="C36" s="13"/>
    </row>
    <row r="37" spans="1:3" ht="15.75" customHeight="1" x14ac:dyDescent="0.15">
      <c r="A37" s="10"/>
      <c r="B37" s="13"/>
      <c r="C37" s="13"/>
    </row>
    <row r="38" spans="1:3" ht="15.75" customHeight="1" x14ac:dyDescent="0.15">
      <c r="A38" s="10"/>
      <c r="B38" s="13"/>
      <c r="C38" s="13"/>
    </row>
    <row r="39" spans="1:3" ht="13" x14ac:dyDescent="0.15">
      <c r="A39" s="10"/>
      <c r="B39" s="13"/>
      <c r="C39" s="13"/>
    </row>
    <row r="40" spans="1:3" ht="13" x14ac:dyDescent="0.15">
      <c r="A40" s="10"/>
      <c r="B40" s="13"/>
      <c r="C40" s="13"/>
    </row>
    <row r="41" spans="1:3" ht="13" x14ac:dyDescent="0.15">
      <c r="A41" s="10"/>
      <c r="B41" s="13"/>
      <c r="C41" s="13"/>
    </row>
    <row r="42" spans="1:3" ht="13" x14ac:dyDescent="0.15">
      <c r="A42" s="10"/>
      <c r="B42" s="13"/>
      <c r="C42" s="13"/>
    </row>
    <row r="43" spans="1:3" ht="13" x14ac:dyDescent="0.15">
      <c r="A43" s="10"/>
      <c r="B43" s="13"/>
      <c r="C43" s="13"/>
    </row>
    <row r="44" spans="1:3" ht="13" x14ac:dyDescent="0.15">
      <c r="A44" s="10"/>
      <c r="B44" s="13"/>
      <c r="C44" s="13"/>
    </row>
    <row r="45" spans="1:3" ht="13" x14ac:dyDescent="0.15">
      <c r="A45" s="10"/>
      <c r="B45" s="13"/>
      <c r="C45" s="13"/>
    </row>
    <row r="46" spans="1:3" ht="13" x14ac:dyDescent="0.15">
      <c r="A46" s="10"/>
      <c r="B46" s="13"/>
      <c r="C46" s="13"/>
    </row>
    <row r="47" spans="1:3" ht="13" x14ac:dyDescent="0.15">
      <c r="A47" s="10"/>
      <c r="B47" s="13"/>
      <c r="C47" s="13"/>
    </row>
    <row r="48" spans="1:3" ht="13" x14ac:dyDescent="0.15">
      <c r="A48" s="10"/>
      <c r="B48" s="13"/>
      <c r="C48" s="13"/>
    </row>
    <row r="49" spans="1:3" ht="13" x14ac:dyDescent="0.15">
      <c r="A49" s="10"/>
      <c r="B49" s="13"/>
      <c r="C49" s="13"/>
    </row>
    <row r="50" spans="1:3" ht="13" x14ac:dyDescent="0.15">
      <c r="A50" s="10"/>
      <c r="B50" s="13"/>
      <c r="C50" s="13"/>
    </row>
    <row r="51" spans="1:3" ht="13" x14ac:dyDescent="0.15">
      <c r="A51" s="10"/>
      <c r="B51" s="13"/>
      <c r="C51" s="13"/>
    </row>
    <row r="52" spans="1:3" ht="13" x14ac:dyDescent="0.15">
      <c r="A52" s="10"/>
      <c r="B52" s="13"/>
      <c r="C52" s="13"/>
    </row>
    <row r="53" spans="1:3" ht="13" x14ac:dyDescent="0.15">
      <c r="A53" s="10"/>
      <c r="B53" s="13"/>
      <c r="C53" s="13"/>
    </row>
    <row r="54" spans="1:3" ht="13" x14ac:dyDescent="0.15">
      <c r="A54" s="10"/>
      <c r="B54" s="13"/>
      <c r="C54" s="13"/>
    </row>
    <row r="55" spans="1:3" ht="13" x14ac:dyDescent="0.15">
      <c r="A55" s="10"/>
      <c r="B55" s="13"/>
      <c r="C55" s="13"/>
    </row>
    <row r="56" spans="1:3" ht="13" x14ac:dyDescent="0.15">
      <c r="A56" s="10"/>
      <c r="B56" s="13"/>
      <c r="C56" s="13"/>
    </row>
    <row r="57" spans="1:3" ht="13" x14ac:dyDescent="0.15">
      <c r="A57" s="10"/>
      <c r="B57" s="13"/>
      <c r="C57" s="13"/>
    </row>
    <row r="58" spans="1:3" ht="13" x14ac:dyDescent="0.15">
      <c r="A58" s="10"/>
      <c r="B58" s="13"/>
      <c r="C58" s="13"/>
    </row>
    <row r="59" spans="1:3" ht="13" x14ac:dyDescent="0.15">
      <c r="A59" s="10"/>
      <c r="B59" s="13"/>
      <c r="C59" s="13"/>
    </row>
    <row r="60" spans="1:3" ht="13" x14ac:dyDescent="0.15">
      <c r="A60" s="10"/>
      <c r="B60" s="13"/>
      <c r="C60" s="13"/>
    </row>
    <row r="61" spans="1:3" ht="13" x14ac:dyDescent="0.15">
      <c r="A61" s="10"/>
      <c r="B61" s="13"/>
      <c r="C61" s="13"/>
    </row>
    <row r="62" spans="1:3" ht="13" x14ac:dyDescent="0.15">
      <c r="A62" s="10"/>
      <c r="B62" s="13"/>
      <c r="C62" s="13"/>
    </row>
    <row r="63" spans="1:3" ht="13" x14ac:dyDescent="0.15">
      <c r="A63" s="10"/>
      <c r="B63" s="13"/>
      <c r="C63" s="13"/>
    </row>
    <row r="64" spans="1:3" ht="13" x14ac:dyDescent="0.15">
      <c r="A64" s="10"/>
      <c r="B64" s="13"/>
      <c r="C64" s="13"/>
    </row>
    <row r="65" spans="1:3" ht="13" x14ac:dyDescent="0.15">
      <c r="A65" s="10"/>
      <c r="B65" s="13"/>
      <c r="C65" s="13"/>
    </row>
    <row r="66" spans="1:3" ht="13" x14ac:dyDescent="0.15">
      <c r="A66" s="10"/>
      <c r="B66" s="13"/>
      <c r="C66" s="13"/>
    </row>
    <row r="67" spans="1:3" ht="13" x14ac:dyDescent="0.15">
      <c r="A67" s="10"/>
      <c r="B67" s="13"/>
      <c r="C67" s="13"/>
    </row>
    <row r="68" spans="1:3" ht="13" x14ac:dyDescent="0.15">
      <c r="A68" s="10"/>
      <c r="B68" s="13"/>
      <c r="C68" s="13"/>
    </row>
    <row r="69" spans="1:3" ht="13" x14ac:dyDescent="0.15">
      <c r="A69" s="10"/>
      <c r="B69" s="13"/>
      <c r="C69" s="13"/>
    </row>
    <row r="70" spans="1:3" ht="13" x14ac:dyDescent="0.15">
      <c r="A70" s="10"/>
      <c r="B70" s="13"/>
      <c r="C70" s="13"/>
    </row>
    <row r="71" spans="1:3" ht="13" x14ac:dyDescent="0.15">
      <c r="A71" s="10"/>
      <c r="B71" s="13"/>
      <c r="C71" s="13"/>
    </row>
    <row r="72" spans="1:3" ht="13" x14ac:dyDescent="0.15">
      <c r="A72" s="10"/>
      <c r="B72" s="13"/>
      <c r="C72" s="13"/>
    </row>
    <row r="73" spans="1:3" ht="13" x14ac:dyDescent="0.15">
      <c r="A73" s="10"/>
      <c r="B73" s="13"/>
      <c r="C73" s="13"/>
    </row>
    <row r="74" spans="1:3" ht="13" x14ac:dyDescent="0.15">
      <c r="A74" s="10"/>
      <c r="B74" s="13"/>
      <c r="C74" s="13"/>
    </row>
    <row r="75" spans="1:3" ht="13" x14ac:dyDescent="0.15">
      <c r="A75" s="10"/>
      <c r="B75" s="13"/>
      <c r="C75" s="13"/>
    </row>
    <row r="76" spans="1:3" ht="13" x14ac:dyDescent="0.15">
      <c r="A76" s="10"/>
      <c r="B76" s="13"/>
      <c r="C76" s="13"/>
    </row>
    <row r="77" spans="1:3" ht="13" x14ac:dyDescent="0.15">
      <c r="A77" s="10"/>
      <c r="B77" s="13"/>
      <c r="C77" s="13"/>
    </row>
    <row r="78" spans="1:3" ht="13" x14ac:dyDescent="0.15">
      <c r="A78" s="10"/>
      <c r="B78" s="13"/>
      <c r="C78" s="13"/>
    </row>
    <row r="79" spans="1:3" ht="13" x14ac:dyDescent="0.15">
      <c r="A79" s="10"/>
      <c r="B79" s="13"/>
      <c r="C79" s="13"/>
    </row>
    <row r="80" spans="1:3" ht="13" x14ac:dyDescent="0.15">
      <c r="A80" s="10"/>
      <c r="B80" s="13"/>
      <c r="C80" s="13"/>
    </row>
    <row r="81" spans="1:3" ht="13" x14ac:dyDescent="0.15">
      <c r="A81" s="10"/>
      <c r="B81" s="13"/>
      <c r="C81" s="13"/>
    </row>
    <row r="82" spans="1:3" ht="13" x14ac:dyDescent="0.15">
      <c r="A82" s="10"/>
      <c r="B82" s="13"/>
      <c r="C82" s="13"/>
    </row>
    <row r="83" spans="1:3" ht="13" x14ac:dyDescent="0.15">
      <c r="A83" s="10"/>
      <c r="B83" s="13"/>
      <c r="C83" s="13"/>
    </row>
    <row r="84" spans="1:3" ht="13" x14ac:dyDescent="0.15">
      <c r="A84" s="10"/>
      <c r="B84" s="13"/>
      <c r="C84" s="13"/>
    </row>
    <row r="85" spans="1:3" ht="13" x14ac:dyDescent="0.15">
      <c r="A85" s="10"/>
      <c r="B85" s="13"/>
      <c r="C85" s="13"/>
    </row>
    <row r="86" spans="1:3" ht="13" x14ac:dyDescent="0.15">
      <c r="A86" s="10"/>
      <c r="B86" s="13"/>
      <c r="C86" s="13"/>
    </row>
    <row r="87" spans="1:3" ht="13" x14ac:dyDescent="0.15">
      <c r="A87" s="10"/>
      <c r="B87" s="13"/>
      <c r="C87" s="13"/>
    </row>
    <row r="88" spans="1:3" ht="13" x14ac:dyDescent="0.15">
      <c r="A88" s="10"/>
      <c r="B88" s="13"/>
      <c r="C88" s="13"/>
    </row>
    <row r="89" spans="1:3" ht="13" x14ac:dyDescent="0.15">
      <c r="A89" s="10"/>
      <c r="B89" s="13"/>
      <c r="C89" s="13"/>
    </row>
    <row r="90" spans="1:3" ht="13" x14ac:dyDescent="0.15">
      <c r="A90" s="10"/>
      <c r="B90" s="13"/>
      <c r="C90" s="13"/>
    </row>
    <row r="91" spans="1:3" ht="13" x14ac:dyDescent="0.15">
      <c r="A91" s="10"/>
      <c r="B91" s="13"/>
      <c r="C91" s="13"/>
    </row>
    <row r="92" spans="1:3" ht="13" x14ac:dyDescent="0.15">
      <c r="A92" s="10"/>
      <c r="B92" s="13"/>
      <c r="C92" s="13"/>
    </row>
    <row r="93" spans="1:3" ht="13" x14ac:dyDescent="0.15">
      <c r="A93" s="10"/>
      <c r="B93" s="13"/>
      <c r="C93" s="13"/>
    </row>
    <row r="94" spans="1:3" ht="13" x14ac:dyDescent="0.15">
      <c r="A94" s="10"/>
      <c r="B94" s="13"/>
      <c r="C94" s="13"/>
    </row>
    <row r="95" spans="1:3" ht="13" x14ac:dyDescent="0.15">
      <c r="A95" s="10"/>
      <c r="B95" s="13"/>
      <c r="C95" s="13"/>
    </row>
    <row r="96" spans="1:3" ht="13" x14ac:dyDescent="0.15">
      <c r="A96" s="10"/>
      <c r="B96" s="13"/>
      <c r="C96" s="13"/>
    </row>
    <row r="97" spans="1:3" ht="13" x14ac:dyDescent="0.15">
      <c r="A97" s="10"/>
      <c r="B97" s="13"/>
      <c r="C97" s="13"/>
    </row>
    <row r="98" spans="1:3" ht="13" x14ac:dyDescent="0.15">
      <c r="A98" s="10"/>
      <c r="B98" s="13"/>
      <c r="C98" s="13"/>
    </row>
    <row r="99" spans="1:3" ht="13" x14ac:dyDescent="0.15">
      <c r="A99" s="10"/>
      <c r="B99" s="13"/>
      <c r="C99" s="13"/>
    </row>
    <row r="100" spans="1:3" ht="13" x14ac:dyDescent="0.15">
      <c r="A100" s="10"/>
      <c r="B100" s="13"/>
      <c r="C100" s="13"/>
    </row>
    <row r="101" spans="1:3" ht="13" x14ac:dyDescent="0.15">
      <c r="A101" s="10"/>
      <c r="B101" s="13"/>
      <c r="C101" s="13"/>
    </row>
    <row r="102" spans="1:3" ht="13" x14ac:dyDescent="0.15">
      <c r="A102" s="10"/>
      <c r="B102" s="13"/>
      <c r="C102" s="13"/>
    </row>
    <row r="103" spans="1:3" ht="13" x14ac:dyDescent="0.15">
      <c r="A103" s="10"/>
      <c r="B103" s="13"/>
      <c r="C103" s="13"/>
    </row>
    <row r="104" spans="1:3" ht="13" x14ac:dyDescent="0.15">
      <c r="A104" s="10"/>
      <c r="B104" s="13"/>
      <c r="C104" s="13"/>
    </row>
    <row r="105" spans="1:3" ht="13" x14ac:dyDescent="0.15">
      <c r="A105" s="10"/>
      <c r="B105" s="13"/>
      <c r="C105" s="13"/>
    </row>
    <row r="106" spans="1:3" ht="13" x14ac:dyDescent="0.15">
      <c r="A106" s="10"/>
      <c r="B106" s="13"/>
      <c r="C106" s="13"/>
    </row>
    <row r="107" spans="1:3" ht="13" x14ac:dyDescent="0.15">
      <c r="A107" s="10"/>
      <c r="B107" s="13"/>
      <c r="C107" s="13"/>
    </row>
    <row r="108" spans="1:3" ht="13" x14ac:dyDescent="0.15">
      <c r="A108" s="10"/>
      <c r="B108" s="13"/>
      <c r="C108" s="13"/>
    </row>
    <row r="109" spans="1:3" ht="13" x14ac:dyDescent="0.15">
      <c r="A109" s="10"/>
      <c r="B109" s="13"/>
      <c r="C109" s="13"/>
    </row>
    <row r="110" spans="1:3" ht="13" x14ac:dyDescent="0.15">
      <c r="A110" s="10"/>
      <c r="B110" s="13"/>
      <c r="C110" s="13"/>
    </row>
    <row r="111" spans="1:3" ht="13" x14ac:dyDescent="0.15">
      <c r="A111" s="10"/>
      <c r="B111" s="13"/>
      <c r="C111" s="13"/>
    </row>
    <row r="112" spans="1:3" ht="13" x14ac:dyDescent="0.15">
      <c r="A112" s="10"/>
      <c r="B112" s="13"/>
      <c r="C112" s="13"/>
    </row>
    <row r="113" spans="1:3" ht="13" x14ac:dyDescent="0.15">
      <c r="A113" s="10"/>
      <c r="B113" s="13"/>
      <c r="C113" s="13"/>
    </row>
    <row r="114" spans="1:3" ht="13" x14ac:dyDescent="0.15">
      <c r="A114" s="10"/>
      <c r="B114" s="13"/>
      <c r="C114" s="13"/>
    </row>
    <row r="115" spans="1:3" ht="13" x14ac:dyDescent="0.15">
      <c r="A115" s="10"/>
      <c r="B115" s="13"/>
      <c r="C115" s="13"/>
    </row>
    <row r="116" spans="1:3" ht="13" x14ac:dyDescent="0.15">
      <c r="A116" s="10"/>
      <c r="B116" s="13"/>
      <c r="C116" s="13"/>
    </row>
    <row r="117" spans="1:3" ht="13" x14ac:dyDescent="0.15">
      <c r="A117" s="10"/>
      <c r="B117" s="13"/>
      <c r="C117" s="13"/>
    </row>
    <row r="118" spans="1:3" ht="13" x14ac:dyDescent="0.15">
      <c r="A118" s="10"/>
      <c r="B118" s="13"/>
      <c r="C118" s="13"/>
    </row>
    <row r="119" spans="1:3" ht="13" x14ac:dyDescent="0.15">
      <c r="A119" s="10"/>
      <c r="B119" s="13"/>
      <c r="C119" s="13"/>
    </row>
    <row r="120" spans="1:3" ht="13" x14ac:dyDescent="0.15">
      <c r="A120" s="10"/>
      <c r="B120" s="13"/>
      <c r="C120" s="13"/>
    </row>
    <row r="121" spans="1:3" ht="13" x14ac:dyDescent="0.15">
      <c r="A121" s="10"/>
      <c r="B121" s="13"/>
      <c r="C121" s="13"/>
    </row>
    <row r="122" spans="1:3" ht="13" x14ac:dyDescent="0.15">
      <c r="A122" s="10"/>
      <c r="B122" s="13"/>
      <c r="C122" s="13"/>
    </row>
    <row r="123" spans="1:3" ht="13" x14ac:dyDescent="0.15">
      <c r="A123" s="10"/>
      <c r="B123" s="13"/>
      <c r="C123" s="13"/>
    </row>
    <row r="124" spans="1:3" ht="13" x14ac:dyDescent="0.15">
      <c r="A124" s="10"/>
      <c r="B124" s="13"/>
      <c r="C124" s="13"/>
    </row>
    <row r="125" spans="1:3" ht="13" x14ac:dyDescent="0.15">
      <c r="A125" s="10"/>
      <c r="B125" s="13"/>
      <c r="C125" s="13"/>
    </row>
    <row r="126" spans="1:3" ht="13" x14ac:dyDescent="0.15">
      <c r="A126" s="10"/>
      <c r="B126" s="13"/>
      <c r="C126" s="13"/>
    </row>
    <row r="127" spans="1:3" ht="13" x14ac:dyDescent="0.15">
      <c r="A127" s="10"/>
      <c r="B127" s="13"/>
      <c r="C127" s="13"/>
    </row>
    <row r="128" spans="1:3" ht="13" x14ac:dyDescent="0.15">
      <c r="A128" s="10"/>
      <c r="B128" s="13"/>
      <c r="C128" s="13"/>
    </row>
    <row r="129" spans="1:3" ht="13" x14ac:dyDescent="0.15">
      <c r="A129" s="10"/>
      <c r="B129" s="13"/>
      <c r="C129" s="13"/>
    </row>
    <row r="130" spans="1:3" ht="13" x14ac:dyDescent="0.15">
      <c r="A130" s="10"/>
      <c r="B130" s="13"/>
      <c r="C130" s="13"/>
    </row>
    <row r="131" spans="1:3" ht="13" x14ac:dyDescent="0.15">
      <c r="A131" s="10"/>
      <c r="B131" s="13"/>
      <c r="C131" s="13"/>
    </row>
    <row r="132" spans="1:3" ht="13" x14ac:dyDescent="0.15">
      <c r="A132" s="10"/>
      <c r="B132" s="13"/>
      <c r="C132" s="13"/>
    </row>
    <row r="133" spans="1:3" ht="13" x14ac:dyDescent="0.15">
      <c r="A133" s="10"/>
      <c r="B133" s="13"/>
      <c r="C133" s="13"/>
    </row>
    <row r="134" spans="1:3" ht="13" x14ac:dyDescent="0.15">
      <c r="A134" s="10"/>
      <c r="B134" s="13"/>
      <c r="C134" s="13"/>
    </row>
    <row r="135" spans="1:3" ht="13" x14ac:dyDescent="0.15">
      <c r="A135" s="10"/>
      <c r="B135" s="13"/>
      <c r="C135" s="13"/>
    </row>
    <row r="136" spans="1:3" ht="13" x14ac:dyDescent="0.15">
      <c r="A136" s="10"/>
      <c r="B136" s="13"/>
      <c r="C136" s="13"/>
    </row>
    <row r="137" spans="1:3" ht="13" x14ac:dyDescent="0.15">
      <c r="A137" s="10"/>
      <c r="B137" s="13"/>
      <c r="C137" s="13"/>
    </row>
    <row r="138" spans="1:3" ht="13" x14ac:dyDescent="0.15">
      <c r="A138" s="10"/>
      <c r="B138" s="13"/>
      <c r="C138" s="13"/>
    </row>
    <row r="139" spans="1:3" ht="13" x14ac:dyDescent="0.15">
      <c r="A139" s="10"/>
      <c r="B139" s="13"/>
      <c r="C139" s="13"/>
    </row>
    <row r="140" spans="1:3" ht="13" x14ac:dyDescent="0.15">
      <c r="A140" s="10"/>
      <c r="B140" s="13"/>
      <c r="C140" s="13"/>
    </row>
    <row r="141" spans="1:3" ht="13" x14ac:dyDescent="0.15">
      <c r="A141" s="10"/>
      <c r="B141" s="13"/>
      <c r="C141" s="13"/>
    </row>
    <row r="142" spans="1:3" ht="13" x14ac:dyDescent="0.15">
      <c r="A142" s="10"/>
      <c r="B142" s="13"/>
      <c r="C142" s="13"/>
    </row>
    <row r="143" spans="1:3" ht="13" x14ac:dyDescent="0.15">
      <c r="A143" s="10"/>
      <c r="B143" s="13"/>
      <c r="C143" s="13"/>
    </row>
    <row r="144" spans="1:3" ht="13" x14ac:dyDescent="0.15">
      <c r="A144" s="10"/>
      <c r="B144" s="13"/>
      <c r="C144" s="13"/>
    </row>
    <row r="145" spans="1:3" ht="13" x14ac:dyDescent="0.15">
      <c r="A145" s="10"/>
      <c r="B145" s="13"/>
      <c r="C145" s="13"/>
    </row>
    <row r="146" spans="1:3" ht="13" x14ac:dyDescent="0.15">
      <c r="A146" s="10"/>
      <c r="B146" s="13"/>
      <c r="C146" s="13"/>
    </row>
    <row r="147" spans="1:3" ht="13" x14ac:dyDescent="0.15">
      <c r="A147" s="10"/>
      <c r="B147" s="13"/>
      <c r="C147" s="13"/>
    </row>
    <row r="148" spans="1:3" ht="13" x14ac:dyDescent="0.15">
      <c r="A148" s="10"/>
      <c r="B148" s="13"/>
      <c r="C148" s="13"/>
    </row>
    <row r="149" spans="1:3" ht="13" x14ac:dyDescent="0.15">
      <c r="A149" s="10"/>
      <c r="B149" s="13"/>
      <c r="C149" s="13"/>
    </row>
    <row r="150" spans="1:3" ht="13" x14ac:dyDescent="0.15">
      <c r="A150" s="10"/>
      <c r="B150" s="13"/>
      <c r="C150" s="13"/>
    </row>
    <row r="151" spans="1:3" ht="13" x14ac:dyDescent="0.15">
      <c r="A151" s="10"/>
      <c r="B151" s="13"/>
      <c r="C151" s="13"/>
    </row>
    <row r="152" spans="1:3" ht="13" x14ac:dyDescent="0.15">
      <c r="A152" s="10"/>
      <c r="B152" s="13"/>
      <c r="C152" s="13"/>
    </row>
    <row r="153" spans="1:3" ht="13" x14ac:dyDescent="0.15">
      <c r="A153" s="10"/>
      <c r="B153" s="13"/>
      <c r="C153" s="13"/>
    </row>
    <row r="154" spans="1:3" ht="13" x14ac:dyDescent="0.15">
      <c r="A154" s="10"/>
      <c r="B154" s="13"/>
      <c r="C154" s="13"/>
    </row>
    <row r="155" spans="1:3" ht="13" x14ac:dyDescent="0.15">
      <c r="A155" s="10"/>
      <c r="B155" s="13"/>
      <c r="C155" s="13"/>
    </row>
    <row r="156" spans="1:3" ht="13" x14ac:dyDescent="0.15">
      <c r="A156" s="10"/>
      <c r="B156" s="13"/>
      <c r="C156" s="13"/>
    </row>
    <row r="157" spans="1:3" ht="13" x14ac:dyDescent="0.15">
      <c r="A157" s="10"/>
      <c r="B157" s="13"/>
      <c r="C157" s="13"/>
    </row>
    <row r="158" spans="1:3" ht="13" x14ac:dyDescent="0.15">
      <c r="A158" s="10"/>
      <c r="B158" s="13"/>
      <c r="C158" s="13"/>
    </row>
    <row r="159" spans="1:3" ht="13" x14ac:dyDescent="0.15">
      <c r="A159" s="10"/>
      <c r="B159" s="13"/>
      <c r="C159" s="13"/>
    </row>
    <row r="160" spans="1:3" ht="13" x14ac:dyDescent="0.15">
      <c r="A160" s="10"/>
      <c r="B160" s="13"/>
      <c r="C160" s="13"/>
    </row>
    <row r="161" spans="1:3" ht="13" x14ac:dyDescent="0.15">
      <c r="A161" s="10"/>
      <c r="B161" s="13"/>
      <c r="C161" s="13"/>
    </row>
    <row r="162" spans="1:3" ht="13" x14ac:dyDescent="0.15">
      <c r="A162" s="10"/>
      <c r="B162" s="13"/>
      <c r="C162" s="13"/>
    </row>
    <row r="163" spans="1:3" ht="13" x14ac:dyDescent="0.15">
      <c r="A163" s="10"/>
      <c r="B163" s="13"/>
      <c r="C163" s="13"/>
    </row>
    <row r="164" spans="1:3" ht="13" x14ac:dyDescent="0.15">
      <c r="A164" s="10"/>
      <c r="B164" s="13"/>
      <c r="C164" s="13"/>
    </row>
    <row r="165" spans="1:3" ht="13" x14ac:dyDescent="0.15">
      <c r="A165" s="10"/>
      <c r="B165" s="13"/>
      <c r="C165" s="13"/>
    </row>
    <row r="166" spans="1:3" ht="13" x14ac:dyDescent="0.15">
      <c r="A166" s="10"/>
      <c r="B166" s="13"/>
      <c r="C166" s="13"/>
    </row>
    <row r="167" spans="1:3" ht="13" x14ac:dyDescent="0.15">
      <c r="A167" s="10"/>
      <c r="B167" s="13"/>
      <c r="C167" s="13"/>
    </row>
    <row r="168" spans="1:3" ht="13" x14ac:dyDescent="0.15">
      <c r="A168" s="10"/>
      <c r="B168" s="13"/>
      <c r="C168" s="13"/>
    </row>
    <row r="169" spans="1:3" ht="13" x14ac:dyDescent="0.15">
      <c r="A169" s="10"/>
      <c r="B169" s="13"/>
      <c r="C169" s="13"/>
    </row>
    <row r="170" spans="1:3" ht="13" x14ac:dyDescent="0.15">
      <c r="A170" s="10"/>
      <c r="B170" s="13"/>
      <c r="C170" s="13"/>
    </row>
    <row r="171" spans="1:3" ht="13" x14ac:dyDescent="0.15">
      <c r="A171" s="10"/>
      <c r="B171" s="13"/>
      <c r="C171" s="13"/>
    </row>
    <row r="172" spans="1:3" ht="13" x14ac:dyDescent="0.15">
      <c r="A172" s="10"/>
      <c r="B172" s="13"/>
      <c r="C172" s="13"/>
    </row>
    <row r="173" spans="1:3" ht="13" x14ac:dyDescent="0.15">
      <c r="A173" s="10"/>
      <c r="B173" s="13"/>
      <c r="C173" s="13"/>
    </row>
    <row r="174" spans="1:3" ht="13" x14ac:dyDescent="0.15">
      <c r="A174" s="10"/>
      <c r="B174" s="13"/>
      <c r="C174" s="13"/>
    </row>
    <row r="175" spans="1:3" ht="13" x14ac:dyDescent="0.15">
      <c r="A175" s="10"/>
      <c r="B175" s="13"/>
      <c r="C175" s="13"/>
    </row>
    <row r="176" spans="1:3" ht="13" x14ac:dyDescent="0.15">
      <c r="A176" s="10"/>
      <c r="B176" s="13"/>
      <c r="C176" s="13"/>
    </row>
    <row r="177" spans="1:3" ht="13" x14ac:dyDescent="0.15">
      <c r="A177" s="10"/>
      <c r="B177" s="13"/>
      <c r="C177" s="13"/>
    </row>
    <row r="178" spans="1:3" ht="13" x14ac:dyDescent="0.15">
      <c r="A178" s="10"/>
      <c r="B178" s="13"/>
      <c r="C178" s="13"/>
    </row>
    <row r="179" spans="1:3" ht="13" x14ac:dyDescent="0.15">
      <c r="A179" s="10"/>
      <c r="B179" s="13"/>
      <c r="C179" s="13"/>
    </row>
    <row r="180" spans="1:3" ht="13" x14ac:dyDescent="0.15">
      <c r="A180" s="10"/>
      <c r="B180" s="13"/>
      <c r="C180" s="13"/>
    </row>
    <row r="181" spans="1:3" ht="13" x14ac:dyDescent="0.15">
      <c r="A181" s="10"/>
      <c r="B181" s="13"/>
      <c r="C181" s="13"/>
    </row>
    <row r="182" spans="1:3" ht="13" x14ac:dyDescent="0.15">
      <c r="A182" s="10"/>
      <c r="B182" s="13"/>
      <c r="C182" s="13"/>
    </row>
    <row r="183" spans="1:3" ht="13" x14ac:dyDescent="0.15">
      <c r="A183" s="10"/>
      <c r="B183" s="13"/>
      <c r="C183" s="13"/>
    </row>
    <row r="184" spans="1:3" ht="13" x14ac:dyDescent="0.15">
      <c r="A184" s="10"/>
      <c r="B184" s="13"/>
      <c r="C184" s="13"/>
    </row>
    <row r="185" spans="1:3" ht="13" x14ac:dyDescent="0.15">
      <c r="A185" s="10"/>
      <c r="B185" s="13"/>
      <c r="C185" s="13"/>
    </row>
    <row r="186" spans="1:3" ht="13" x14ac:dyDescent="0.15">
      <c r="A186" s="10"/>
      <c r="B186" s="13"/>
      <c r="C186" s="13"/>
    </row>
    <row r="187" spans="1:3" ht="13" x14ac:dyDescent="0.15">
      <c r="A187" s="10"/>
      <c r="B187" s="13"/>
      <c r="C187" s="13"/>
    </row>
    <row r="188" spans="1:3" ht="13" x14ac:dyDescent="0.15">
      <c r="A188" s="10"/>
      <c r="B188" s="13"/>
      <c r="C188" s="13"/>
    </row>
    <row r="189" spans="1:3" ht="13" x14ac:dyDescent="0.15">
      <c r="A189" s="10"/>
      <c r="B189" s="13"/>
      <c r="C189" s="13"/>
    </row>
    <row r="190" spans="1:3" ht="13" x14ac:dyDescent="0.15">
      <c r="A190" s="10"/>
      <c r="B190" s="13"/>
      <c r="C190" s="13"/>
    </row>
    <row r="191" spans="1:3" ht="13" x14ac:dyDescent="0.15">
      <c r="A191" s="10"/>
      <c r="B191" s="13"/>
      <c r="C191" s="13"/>
    </row>
    <row r="192" spans="1:3" ht="13" x14ac:dyDescent="0.15">
      <c r="A192" s="10"/>
      <c r="B192" s="13"/>
      <c r="C192" s="13"/>
    </row>
    <row r="193" spans="1:3" ht="13" x14ac:dyDescent="0.15">
      <c r="A193" s="10"/>
      <c r="B193" s="13"/>
      <c r="C193" s="13"/>
    </row>
    <row r="194" spans="1:3" ht="13" x14ac:dyDescent="0.15">
      <c r="A194" s="10"/>
      <c r="B194" s="13"/>
      <c r="C194" s="13"/>
    </row>
    <row r="195" spans="1:3" ht="13" x14ac:dyDescent="0.15">
      <c r="A195" s="10"/>
      <c r="B195" s="13"/>
      <c r="C195" s="13"/>
    </row>
    <row r="196" spans="1:3" ht="13" x14ac:dyDescent="0.15">
      <c r="A196" s="10"/>
      <c r="B196" s="13"/>
      <c r="C196" s="13"/>
    </row>
    <row r="197" spans="1:3" ht="13" x14ac:dyDescent="0.15">
      <c r="A197" s="10"/>
      <c r="B197" s="13"/>
      <c r="C197" s="13"/>
    </row>
    <row r="198" spans="1:3" ht="13" x14ac:dyDescent="0.15">
      <c r="A198" s="10"/>
      <c r="B198" s="13"/>
      <c r="C198" s="13"/>
    </row>
    <row r="199" spans="1:3" ht="13" x14ac:dyDescent="0.15">
      <c r="A199" s="10"/>
      <c r="B199" s="13"/>
      <c r="C199" s="13"/>
    </row>
    <row r="200" spans="1:3" ht="13" x14ac:dyDescent="0.15">
      <c r="A200" s="10"/>
      <c r="B200" s="13"/>
      <c r="C200" s="13"/>
    </row>
    <row r="201" spans="1:3" ht="13" x14ac:dyDescent="0.15">
      <c r="A201" s="10"/>
      <c r="B201" s="13"/>
      <c r="C201" s="13"/>
    </row>
    <row r="202" spans="1:3" ht="13" x14ac:dyDescent="0.15">
      <c r="A202" s="10"/>
      <c r="B202" s="13"/>
      <c r="C202" s="13"/>
    </row>
    <row r="203" spans="1:3" ht="13" x14ac:dyDescent="0.15">
      <c r="A203" s="10"/>
      <c r="B203" s="13"/>
      <c r="C203" s="13"/>
    </row>
    <row r="204" spans="1:3" ht="13" x14ac:dyDescent="0.15">
      <c r="A204" s="10"/>
      <c r="B204" s="13"/>
      <c r="C204" s="13"/>
    </row>
    <row r="205" spans="1:3" ht="13" x14ac:dyDescent="0.15">
      <c r="A205" s="10"/>
      <c r="B205" s="13"/>
      <c r="C205" s="13"/>
    </row>
    <row r="206" spans="1:3" ht="13" x14ac:dyDescent="0.15">
      <c r="A206" s="10"/>
      <c r="B206" s="13"/>
      <c r="C206" s="13"/>
    </row>
    <row r="207" spans="1:3" ht="13" x14ac:dyDescent="0.15">
      <c r="A207" s="10"/>
      <c r="B207" s="13"/>
      <c r="C207" s="13"/>
    </row>
    <row r="208" spans="1:3" ht="13" x14ac:dyDescent="0.15">
      <c r="A208" s="10"/>
      <c r="B208" s="13"/>
      <c r="C208" s="13"/>
    </row>
    <row r="209" spans="1:3" ht="13" x14ac:dyDescent="0.15">
      <c r="A209" s="10"/>
      <c r="B209" s="13"/>
      <c r="C209" s="13"/>
    </row>
    <row r="210" spans="1:3" ht="13" x14ac:dyDescent="0.15">
      <c r="A210" s="10"/>
      <c r="B210" s="13"/>
      <c r="C210" s="13"/>
    </row>
    <row r="211" spans="1:3" ht="13" x14ac:dyDescent="0.15">
      <c r="A211" s="10"/>
      <c r="B211" s="13"/>
      <c r="C211" s="13"/>
    </row>
    <row r="212" spans="1:3" ht="13" x14ac:dyDescent="0.15">
      <c r="A212" s="10"/>
      <c r="B212" s="13"/>
      <c r="C212" s="13"/>
    </row>
    <row r="213" spans="1:3" ht="13" x14ac:dyDescent="0.15">
      <c r="A213" s="10"/>
      <c r="B213" s="13"/>
      <c r="C213" s="13"/>
    </row>
    <row r="214" spans="1:3" ht="13" x14ac:dyDescent="0.15">
      <c r="A214" s="10"/>
      <c r="B214" s="13"/>
      <c r="C214" s="13"/>
    </row>
    <row r="215" spans="1:3" ht="13" x14ac:dyDescent="0.15">
      <c r="A215" s="10"/>
      <c r="B215" s="13"/>
      <c r="C215" s="13"/>
    </row>
    <row r="216" spans="1:3" ht="13" x14ac:dyDescent="0.15">
      <c r="A216" s="10"/>
      <c r="B216" s="13"/>
      <c r="C216" s="13"/>
    </row>
    <row r="217" spans="1:3" ht="13" x14ac:dyDescent="0.15">
      <c r="A217" s="10"/>
      <c r="B217" s="13"/>
      <c r="C217" s="13"/>
    </row>
    <row r="218" spans="1:3" ht="13" x14ac:dyDescent="0.15">
      <c r="A218" s="10"/>
      <c r="B218" s="13"/>
      <c r="C218" s="13"/>
    </row>
    <row r="219" spans="1:3" ht="13" x14ac:dyDescent="0.15">
      <c r="A219" s="10"/>
      <c r="B219" s="13"/>
      <c r="C219" s="13"/>
    </row>
    <row r="220" spans="1:3" ht="13" x14ac:dyDescent="0.15">
      <c r="A220" s="10"/>
      <c r="B220" s="13"/>
      <c r="C220" s="13"/>
    </row>
    <row r="221" spans="1:3" ht="13" x14ac:dyDescent="0.15">
      <c r="A221" s="10"/>
      <c r="B221" s="13"/>
      <c r="C221" s="13"/>
    </row>
    <row r="222" spans="1:3" ht="13" x14ac:dyDescent="0.15">
      <c r="A222" s="10"/>
      <c r="B222" s="13"/>
      <c r="C222" s="13"/>
    </row>
    <row r="223" spans="1:3" ht="13" x14ac:dyDescent="0.15">
      <c r="A223" s="10"/>
      <c r="B223" s="13"/>
      <c r="C223" s="13"/>
    </row>
    <row r="224" spans="1:3" ht="13" x14ac:dyDescent="0.15">
      <c r="A224" s="10"/>
      <c r="B224" s="13"/>
      <c r="C224" s="13"/>
    </row>
    <row r="225" spans="1:3" ht="13" x14ac:dyDescent="0.15">
      <c r="A225" s="10"/>
      <c r="B225" s="13"/>
      <c r="C225" s="13"/>
    </row>
    <row r="226" spans="1:3" ht="13" x14ac:dyDescent="0.15">
      <c r="A226" s="10"/>
      <c r="B226" s="13"/>
      <c r="C226" s="13"/>
    </row>
    <row r="227" spans="1:3" ht="13" x14ac:dyDescent="0.15">
      <c r="A227" s="10"/>
      <c r="B227" s="13"/>
      <c r="C227" s="13"/>
    </row>
    <row r="228" spans="1:3" ht="13" x14ac:dyDescent="0.15">
      <c r="A228" s="10"/>
      <c r="B228" s="13"/>
      <c r="C228" s="13"/>
    </row>
    <row r="229" spans="1:3" ht="13" x14ac:dyDescent="0.15">
      <c r="A229" s="10"/>
      <c r="B229" s="13"/>
      <c r="C229" s="13"/>
    </row>
    <row r="230" spans="1:3" ht="13" x14ac:dyDescent="0.15">
      <c r="A230" s="10"/>
      <c r="B230" s="13"/>
      <c r="C230" s="13"/>
    </row>
    <row r="231" spans="1:3" ht="13" x14ac:dyDescent="0.15">
      <c r="A231" s="10"/>
      <c r="B231" s="13"/>
      <c r="C231" s="13"/>
    </row>
    <row r="232" spans="1:3" ht="13" x14ac:dyDescent="0.15">
      <c r="A232" s="10"/>
      <c r="B232" s="13"/>
      <c r="C232" s="13"/>
    </row>
    <row r="233" spans="1:3" ht="13" x14ac:dyDescent="0.15">
      <c r="A233" s="10"/>
      <c r="B233" s="13"/>
      <c r="C233" s="13"/>
    </row>
    <row r="234" spans="1:3" ht="13" x14ac:dyDescent="0.15">
      <c r="A234" s="10"/>
      <c r="B234" s="13"/>
      <c r="C234" s="13"/>
    </row>
    <row r="235" spans="1:3" ht="13" x14ac:dyDescent="0.15">
      <c r="A235" s="10"/>
      <c r="B235" s="13"/>
      <c r="C235" s="13"/>
    </row>
    <row r="236" spans="1:3" ht="13" x14ac:dyDescent="0.15">
      <c r="A236" s="10"/>
      <c r="B236" s="13"/>
      <c r="C236" s="13"/>
    </row>
    <row r="237" spans="1:3" ht="13" x14ac:dyDescent="0.15">
      <c r="A237" s="10"/>
      <c r="B237" s="13"/>
      <c r="C237" s="13"/>
    </row>
    <row r="238" spans="1:3" ht="13" x14ac:dyDescent="0.15">
      <c r="A238" s="10"/>
      <c r="B238" s="13"/>
      <c r="C238" s="13"/>
    </row>
    <row r="239" spans="1:3" ht="13" x14ac:dyDescent="0.15">
      <c r="A239" s="10"/>
      <c r="B239" s="13"/>
      <c r="C239" s="13"/>
    </row>
    <row r="240" spans="1:3" ht="13" x14ac:dyDescent="0.15">
      <c r="A240" s="10"/>
      <c r="B240" s="13"/>
      <c r="C240" s="13"/>
    </row>
    <row r="241" spans="1:3" ht="13" x14ac:dyDescent="0.15">
      <c r="A241" s="10"/>
      <c r="B241" s="13"/>
      <c r="C241" s="13"/>
    </row>
    <row r="242" spans="1:3" ht="13" x14ac:dyDescent="0.15">
      <c r="A242" s="10"/>
      <c r="B242" s="13"/>
      <c r="C242" s="13"/>
    </row>
    <row r="243" spans="1:3" ht="13" x14ac:dyDescent="0.15">
      <c r="A243" s="10"/>
      <c r="B243" s="13"/>
      <c r="C243" s="13"/>
    </row>
    <row r="244" spans="1:3" ht="13" x14ac:dyDescent="0.15">
      <c r="A244" s="10"/>
      <c r="B244" s="13"/>
      <c r="C244" s="13"/>
    </row>
    <row r="245" spans="1:3" ht="13" x14ac:dyDescent="0.15">
      <c r="A245" s="10"/>
      <c r="B245" s="13"/>
      <c r="C245" s="13"/>
    </row>
    <row r="246" spans="1:3" ht="13" x14ac:dyDescent="0.15">
      <c r="A246" s="10"/>
      <c r="B246" s="13"/>
      <c r="C246" s="13"/>
    </row>
    <row r="247" spans="1:3" ht="13" x14ac:dyDescent="0.15">
      <c r="A247" s="10"/>
      <c r="B247" s="13"/>
      <c r="C247" s="13"/>
    </row>
    <row r="248" spans="1:3" ht="13" x14ac:dyDescent="0.15">
      <c r="A248" s="10"/>
      <c r="B248" s="13"/>
      <c r="C248" s="13"/>
    </row>
    <row r="249" spans="1:3" ht="13" x14ac:dyDescent="0.15">
      <c r="A249" s="10"/>
      <c r="B249" s="13"/>
      <c r="C249" s="13"/>
    </row>
    <row r="250" spans="1:3" ht="13" x14ac:dyDescent="0.15">
      <c r="A250" s="10"/>
      <c r="B250" s="13"/>
      <c r="C250" s="13"/>
    </row>
    <row r="251" spans="1:3" ht="13" x14ac:dyDescent="0.15">
      <c r="A251" s="10"/>
      <c r="B251" s="13"/>
      <c r="C251" s="13"/>
    </row>
    <row r="252" spans="1:3" ht="13" x14ac:dyDescent="0.15">
      <c r="A252" s="10"/>
      <c r="B252" s="13"/>
      <c r="C252" s="13"/>
    </row>
    <row r="253" spans="1:3" ht="13" x14ac:dyDescent="0.15">
      <c r="A253" s="10"/>
      <c r="B253" s="13"/>
      <c r="C253" s="13"/>
    </row>
    <row r="254" spans="1:3" ht="13" x14ac:dyDescent="0.15">
      <c r="A254" s="10"/>
      <c r="B254" s="13"/>
      <c r="C254" s="13"/>
    </row>
    <row r="255" spans="1:3" ht="13" x14ac:dyDescent="0.15">
      <c r="A255" s="10"/>
      <c r="B255" s="13"/>
      <c r="C255" s="13"/>
    </row>
    <row r="256" spans="1:3" ht="13" x14ac:dyDescent="0.15">
      <c r="A256" s="10"/>
      <c r="B256" s="13"/>
      <c r="C256" s="13"/>
    </row>
    <row r="257" spans="1:3" ht="13" x14ac:dyDescent="0.15">
      <c r="A257" s="10"/>
      <c r="B257" s="13"/>
      <c r="C257" s="13"/>
    </row>
    <row r="258" spans="1:3" ht="13" x14ac:dyDescent="0.15">
      <c r="A258" s="10"/>
      <c r="B258" s="13"/>
      <c r="C258" s="13"/>
    </row>
    <row r="259" spans="1:3" ht="13" x14ac:dyDescent="0.15">
      <c r="A259" s="10"/>
      <c r="B259" s="13"/>
      <c r="C259" s="13"/>
    </row>
    <row r="260" spans="1:3" ht="13" x14ac:dyDescent="0.15">
      <c r="A260" s="10"/>
      <c r="B260" s="13"/>
      <c r="C260" s="13"/>
    </row>
    <row r="261" spans="1:3" ht="13" x14ac:dyDescent="0.15">
      <c r="A261" s="10"/>
      <c r="B261" s="13"/>
      <c r="C261" s="13"/>
    </row>
    <row r="262" spans="1:3" ht="13" x14ac:dyDescent="0.15">
      <c r="A262" s="10"/>
      <c r="B262" s="13"/>
      <c r="C262" s="13"/>
    </row>
    <row r="263" spans="1:3" ht="13" x14ac:dyDescent="0.15">
      <c r="A263" s="10"/>
      <c r="B263" s="13"/>
      <c r="C263" s="13"/>
    </row>
    <row r="264" spans="1:3" ht="13" x14ac:dyDescent="0.15">
      <c r="A264" s="10"/>
      <c r="B264" s="13"/>
      <c r="C264" s="13"/>
    </row>
    <row r="265" spans="1:3" ht="13" x14ac:dyDescent="0.15">
      <c r="A265" s="10"/>
      <c r="B265" s="13"/>
      <c r="C265" s="13"/>
    </row>
    <row r="266" spans="1:3" ht="13" x14ac:dyDescent="0.15">
      <c r="A266" s="10"/>
      <c r="B266" s="13"/>
      <c r="C266" s="13"/>
    </row>
    <row r="267" spans="1:3" ht="13" x14ac:dyDescent="0.15">
      <c r="A267" s="10"/>
      <c r="B267" s="13"/>
      <c r="C267" s="13"/>
    </row>
    <row r="268" spans="1:3" ht="13" x14ac:dyDescent="0.15">
      <c r="A268" s="10"/>
      <c r="B268" s="13"/>
      <c r="C268" s="13"/>
    </row>
    <row r="269" spans="1:3" ht="13" x14ac:dyDescent="0.15">
      <c r="A269" s="10"/>
      <c r="B269" s="13"/>
      <c r="C269" s="13"/>
    </row>
    <row r="270" spans="1:3" ht="13" x14ac:dyDescent="0.15">
      <c r="A270" s="10"/>
      <c r="B270" s="13"/>
      <c r="C270" s="13"/>
    </row>
    <row r="271" spans="1:3" ht="13" x14ac:dyDescent="0.15">
      <c r="A271" s="10"/>
      <c r="B271" s="13"/>
      <c r="C271" s="13"/>
    </row>
    <row r="272" spans="1:3" ht="13" x14ac:dyDescent="0.15">
      <c r="A272" s="10"/>
      <c r="B272" s="13"/>
      <c r="C272" s="13"/>
    </row>
    <row r="273" spans="1:3" ht="13" x14ac:dyDescent="0.15">
      <c r="A273" s="10"/>
      <c r="B273" s="13"/>
      <c r="C273" s="13"/>
    </row>
    <row r="274" spans="1:3" ht="13" x14ac:dyDescent="0.15">
      <c r="A274" s="10"/>
      <c r="B274" s="13"/>
      <c r="C274" s="13"/>
    </row>
    <row r="275" spans="1:3" ht="13" x14ac:dyDescent="0.15">
      <c r="A275" s="10"/>
      <c r="B275" s="13"/>
      <c r="C275" s="13"/>
    </row>
    <row r="276" spans="1:3" ht="13" x14ac:dyDescent="0.15">
      <c r="A276" s="10"/>
      <c r="B276" s="13"/>
      <c r="C276" s="13"/>
    </row>
    <row r="277" spans="1:3" ht="13" x14ac:dyDescent="0.15">
      <c r="A277" s="10"/>
      <c r="B277" s="13"/>
      <c r="C277" s="13"/>
    </row>
    <row r="278" spans="1:3" ht="13" x14ac:dyDescent="0.15">
      <c r="A278" s="10"/>
      <c r="B278" s="13"/>
      <c r="C278" s="13"/>
    </row>
    <row r="279" spans="1:3" ht="13" x14ac:dyDescent="0.15">
      <c r="A279" s="10"/>
      <c r="B279" s="13"/>
      <c r="C279" s="13"/>
    </row>
    <row r="280" spans="1:3" ht="13" x14ac:dyDescent="0.15">
      <c r="A280" s="10"/>
      <c r="B280" s="13"/>
      <c r="C280" s="13"/>
    </row>
    <row r="281" spans="1:3" ht="13" x14ac:dyDescent="0.15">
      <c r="A281" s="10"/>
      <c r="B281" s="13"/>
      <c r="C281" s="13"/>
    </row>
    <row r="282" spans="1:3" ht="13" x14ac:dyDescent="0.15">
      <c r="A282" s="10"/>
      <c r="B282" s="13"/>
      <c r="C282" s="13"/>
    </row>
    <row r="283" spans="1:3" ht="13" x14ac:dyDescent="0.15">
      <c r="A283" s="10"/>
      <c r="B283" s="13"/>
      <c r="C283" s="13"/>
    </row>
    <row r="284" spans="1:3" ht="13" x14ac:dyDescent="0.15">
      <c r="A284" s="10"/>
      <c r="B284" s="13"/>
      <c r="C284" s="13"/>
    </row>
    <row r="285" spans="1:3" ht="13" x14ac:dyDescent="0.15">
      <c r="A285" s="10"/>
      <c r="B285" s="13"/>
      <c r="C285" s="13"/>
    </row>
    <row r="286" spans="1:3" ht="13" x14ac:dyDescent="0.15">
      <c r="A286" s="10"/>
      <c r="B286" s="13"/>
      <c r="C286" s="13"/>
    </row>
    <row r="287" spans="1:3" ht="13" x14ac:dyDescent="0.15">
      <c r="A287" s="10"/>
      <c r="B287" s="13"/>
      <c r="C287" s="13"/>
    </row>
    <row r="288" spans="1:3" ht="13" x14ac:dyDescent="0.15">
      <c r="A288" s="10"/>
      <c r="B288" s="13"/>
      <c r="C288" s="13"/>
    </row>
    <row r="289" spans="1:3" ht="13" x14ac:dyDescent="0.15">
      <c r="A289" s="10"/>
      <c r="B289" s="13"/>
      <c r="C289" s="13"/>
    </row>
    <row r="290" spans="1:3" ht="13" x14ac:dyDescent="0.15">
      <c r="A290" s="10"/>
      <c r="B290" s="13"/>
      <c r="C290" s="13"/>
    </row>
    <row r="291" spans="1:3" ht="13" x14ac:dyDescent="0.15">
      <c r="A291" s="10"/>
      <c r="B291" s="13"/>
      <c r="C291" s="13"/>
    </row>
    <row r="292" spans="1:3" ht="13" x14ac:dyDescent="0.15">
      <c r="A292" s="10"/>
      <c r="B292" s="13"/>
      <c r="C292" s="13"/>
    </row>
    <row r="293" spans="1:3" ht="13" x14ac:dyDescent="0.15">
      <c r="A293" s="10"/>
      <c r="B293" s="13"/>
      <c r="C293" s="13"/>
    </row>
    <row r="294" spans="1:3" ht="13" x14ac:dyDescent="0.15">
      <c r="A294" s="10"/>
      <c r="B294" s="13"/>
      <c r="C294" s="13"/>
    </row>
    <row r="295" spans="1:3" ht="13" x14ac:dyDescent="0.15">
      <c r="A295" s="10"/>
      <c r="B295" s="13"/>
      <c r="C295" s="13"/>
    </row>
    <row r="296" spans="1:3" ht="13" x14ac:dyDescent="0.15">
      <c r="A296" s="10"/>
      <c r="B296" s="13"/>
      <c r="C296" s="13"/>
    </row>
    <row r="297" spans="1:3" ht="13" x14ac:dyDescent="0.15">
      <c r="A297" s="10"/>
      <c r="B297" s="13"/>
      <c r="C297" s="13"/>
    </row>
    <row r="298" spans="1:3" ht="13" x14ac:dyDescent="0.15">
      <c r="A298" s="10"/>
      <c r="B298" s="13"/>
      <c r="C298" s="13"/>
    </row>
    <row r="299" spans="1:3" ht="13" x14ac:dyDescent="0.15">
      <c r="A299" s="10"/>
      <c r="B299" s="13"/>
      <c r="C299" s="13"/>
    </row>
    <row r="300" spans="1:3" ht="13" x14ac:dyDescent="0.15">
      <c r="A300" s="10"/>
      <c r="B300" s="13"/>
      <c r="C300" s="13"/>
    </row>
    <row r="301" spans="1:3" ht="13" x14ac:dyDescent="0.15">
      <c r="A301" s="10"/>
      <c r="B301" s="13"/>
      <c r="C301" s="13"/>
    </row>
    <row r="302" spans="1:3" ht="13" x14ac:dyDescent="0.15">
      <c r="A302" s="10"/>
      <c r="B302" s="13"/>
      <c r="C302" s="13"/>
    </row>
    <row r="303" spans="1:3" ht="13" x14ac:dyDescent="0.15">
      <c r="A303" s="10"/>
      <c r="B303" s="13"/>
      <c r="C303" s="13"/>
    </row>
    <row r="304" spans="1:3" ht="13" x14ac:dyDescent="0.15">
      <c r="A304" s="10"/>
      <c r="B304" s="13"/>
      <c r="C304" s="13"/>
    </row>
    <row r="305" spans="1:3" ht="13" x14ac:dyDescent="0.15">
      <c r="A305" s="10"/>
      <c r="B305" s="13"/>
      <c r="C305" s="13"/>
    </row>
    <row r="306" spans="1:3" ht="13" x14ac:dyDescent="0.15">
      <c r="A306" s="10"/>
      <c r="B306" s="13"/>
      <c r="C306" s="13"/>
    </row>
    <row r="307" spans="1:3" ht="13" x14ac:dyDescent="0.15">
      <c r="A307" s="10"/>
      <c r="B307" s="13"/>
      <c r="C307" s="13"/>
    </row>
    <row r="308" spans="1:3" ht="13" x14ac:dyDescent="0.15">
      <c r="A308" s="10"/>
      <c r="B308" s="13"/>
      <c r="C308" s="13"/>
    </row>
    <row r="309" spans="1:3" ht="13" x14ac:dyDescent="0.15">
      <c r="A309" s="10"/>
      <c r="B309" s="13"/>
      <c r="C309" s="13"/>
    </row>
    <row r="310" spans="1:3" ht="13" x14ac:dyDescent="0.15">
      <c r="A310" s="10"/>
      <c r="B310" s="13"/>
      <c r="C310" s="13"/>
    </row>
    <row r="311" spans="1:3" ht="13" x14ac:dyDescent="0.15">
      <c r="A311" s="10"/>
      <c r="B311" s="13"/>
      <c r="C311" s="13"/>
    </row>
    <row r="312" spans="1:3" ht="13" x14ac:dyDescent="0.15">
      <c r="A312" s="10"/>
      <c r="B312" s="13"/>
      <c r="C312" s="13"/>
    </row>
    <row r="313" spans="1:3" ht="13" x14ac:dyDescent="0.15">
      <c r="A313" s="10"/>
      <c r="B313" s="13"/>
      <c r="C313" s="13"/>
    </row>
    <row r="314" spans="1:3" ht="13" x14ac:dyDescent="0.15">
      <c r="A314" s="10"/>
      <c r="B314" s="13"/>
      <c r="C314" s="13"/>
    </row>
    <row r="315" spans="1:3" ht="13" x14ac:dyDescent="0.15">
      <c r="A315" s="10"/>
      <c r="B315" s="13"/>
      <c r="C315" s="13"/>
    </row>
    <row r="316" spans="1:3" ht="13" x14ac:dyDescent="0.15">
      <c r="A316" s="10"/>
      <c r="B316" s="13"/>
      <c r="C316" s="13"/>
    </row>
    <row r="317" spans="1:3" ht="13" x14ac:dyDescent="0.15">
      <c r="A317" s="10"/>
      <c r="B317" s="13"/>
      <c r="C317" s="13"/>
    </row>
    <row r="318" spans="1:3" ht="13" x14ac:dyDescent="0.15">
      <c r="A318" s="10"/>
      <c r="B318" s="13"/>
      <c r="C318" s="13"/>
    </row>
    <row r="319" spans="1:3" ht="13" x14ac:dyDescent="0.15">
      <c r="A319" s="10"/>
      <c r="B319" s="13"/>
      <c r="C319" s="13"/>
    </row>
    <row r="320" spans="1:3" ht="13" x14ac:dyDescent="0.15">
      <c r="A320" s="10"/>
      <c r="B320" s="13"/>
      <c r="C320" s="13"/>
    </row>
    <row r="321" spans="1:3" ht="13" x14ac:dyDescent="0.15">
      <c r="A321" s="10"/>
      <c r="B321" s="13"/>
      <c r="C321" s="13"/>
    </row>
    <row r="322" spans="1:3" ht="13" x14ac:dyDescent="0.15">
      <c r="A322" s="10"/>
      <c r="B322" s="13"/>
      <c r="C322" s="13"/>
    </row>
    <row r="323" spans="1:3" ht="13" x14ac:dyDescent="0.15">
      <c r="A323" s="10"/>
      <c r="B323" s="13"/>
      <c r="C323" s="13"/>
    </row>
    <row r="324" spans="1:3" ht="13" x14ac:dyDescent="0.15">
      <c r="A324" s="10"/>
      <c r="B324" s="13"/>
      <c r="C324" s="13"/>
    </row>
    <row r="325" spans="1:3" ht="13" x14ac:dyDescent="0.15">
      <c r="A325" s="10"/>
      <c r="B325" s="13"/>
      <c r="C325" s="13"/>
    </row>
    <row r="326" spans="1:3" ht="13" x14ac:dyDescent="0.15">
      <c r="A326" s="10"/>
      <c r="B326" s="13"/>
      <c r="C326" s="13"/>
    </row>
    <row r="327" spans="1:3" ht="13" x14ac:dyDescent="0.15">
      <c r="A327" s="10"/>
      <c r="B327" s="13"/>
      <c r="C327" s="13"/>
    </row>
    <row r="328" spans="1:3" ht="13" x14ac:dyDescent="0.15">
      <c r="A328" s="10"/>
      <c r="B328" s="13"/>
      <c r="C328" s="13"/>
    </row>
    <row r="329" spans="1:3" ht="13" x14ac:dyDescent="0.15">
      <c r="A329" s="10"/>
      <c r="B329" s="13"/>
      <c r="C329" s="13"/>
    </row>
    <row r="330" spans="1:3" ht="13" x14ac:dyDescent="0.15">
      <c r="A330" s="10"/>
      <c r="B330" s="13"/>
      <c r="C330" s="13"/>
    </row>
    <row r="331" spans="1:3" ht="13" x14ac:dyDescent="0.15">
      <c r="A331" s="10"/>
      <c r="B331" s="13"/>
      <c r="C331" s="13"/>
    </row>
    <row r="332" spans="1:3" ht="13" x14ac:dyDescent="0.15">
      <c r="A332" s="10"/>
      <c r="B332" s="13"/>
      <c r="C332" s="13"/>
    </row>
    <row r="333" spans="1:3" ht="13" x14ac:dyDescent="0.15">
      <c r="A333" s="10"/>
      <c r="B333" s="13"/>
      <c r="C333" s="13"/>
    </row>
    <row r="334" spans="1:3" ht="13" x14ac:dyDescent="0.15">
      <c r="A334" s="10"/>
      <c r="B334" s="13"/>
      <c r="C334" s="13"/>
    </row>
    <row r="335" spans="1:3" ht="13" x14ac:dyDescent="0.15">
      <c r="A335" s="10"/>
      <c r="B335" s="13"/>
      <c r="C335" s="13"/>
    </row>
    <row r="336" spans="1:3" ht="13" x14ac:dyDescent="0.15">
      <c r="A336" s="10"/>
      <c r="B336" s="13"/>
      <c r="C336" s="13"/>
    </row>
    <row r="337" spans="1:3" ht="13" x14ac:dyDescent="0.15">
      <c r="A337" s="10"/>
      <c r="B337" s="13"/>
      <c r="C337" s="13"/>
    </row>
    <row r="338" spans="1:3" ht="13" x14ac:dyDescent="0.15">
      <c r="A338" s="10"/>
      <c r="B338" s="13"/>
      <c r="C338" s="13"/>
    </row>
    <row r="339" spans="1:3" ht="13" x14ac:dyDescent="0.15">
      <c r="A339" s="10"/>
      <c r="B339" s="13"/>
      <c r="C339" s="13"/>
    </row>
    <row r="340" spans="1:3" ht="13" x14ac:dyDescent="0.15">
      <c r="A340" s="10"/>
      <c r="B340" s="13"/>
      <c r="C340" s="13"/>
    </row>
    <row r="341" spans="1:3" ht="13" x14ac:dyDescent="0.15">
      <c r="A341" s="10"/>
      <c r="B341" s="13"/>
      <c r="C341" s="13"/>
    </row>
    <row r="342" spans="1:3" ht="13" x14ac:dyDescent="0.15">
      <c r="A342" s="10"/>
      <c r="B342" s="13"/>
      <c r="C342" s="13"/>
    </row>
    <row r="343" spans="1:3" ht="13" x14ac:dyDescent="0.15">
      <c r="A343" s="10"/>
      <c r="B343" s="13"/>
      <c r="C343" s="13"/>
    </row>
    <row r="344" spans="1:3" ht="13" x14ac:dyDescent="0.15">
      <c r="A344" s="10"/>
      <c r="B344" s="13"/>
      <c r="C344" s="13"/>
    </row>
    <row r="345" spans="1:3" ht="13" x14ac:dyDescent="0.15">
      <c r="A345" s="10"/>
      <c r="B345" s="13"/>
      <c r="C345" s="13"/>
    </row>
    <row r="346" spans="1:3" ht="13" x14ac:dyDescent="0.15">
      <c r="A346" s="10"/>
      <c r="B346" s="13"/>
      <c r="C346" s="13"/>
    </row>
    <row r="347" spans="1:3" ht="13" x14ac:dyDescent="0.15">
      <c r="A347" s="10"/>
      <c r="B347" s="13"/>
      <c r="C347" s="13"/>
    </row>
    <row r="348" spans="1:3" ht="13" x14ac:dyDescent="0.15">
      <c r="A348" s="10"/>
      <c r="B348" s="13"/>
      <c r="C348" s="13"/>
    </row>
    <row r="349" spans="1:3" ht="13" x14ac:dyDescent="0.15">
      <c r="A349" s="10"/>
      <c r="B349" s="13"/>
      <c r="C349" s="13"/>
    </row>
    <row r="350" spans="1:3" ht="13" x14ac:dyDescent="0.15">
      <c r="A350" s="10"/>
      <c r="B350" s="13"/>
      <c r="C350" s="13"/>
    </row>
    <row r="351" spans="1:3" ht="13" x14ac:dyDescent="0.15">
      <c r="A351" s="10"/>
      <c r="B351" s="13"/>
      <c r="C351" s="13"/>
    </row>
    <row r="352" spans="1:3" ht="13" x14ac:dyDescent="0.15">
      <c r="A352" s="10"/>
      <c r="B352" s="13"/>
      <c r="C352" s="13"/>
    </row>
    <row r="353" spans="1:3" ht="13" x14ac:dyDescent="0.15">
      <c r="A353" s="10"/>
      <c r="B353" s="13"/>
      <c r="C353" s="13"/>
    </row>
    <row r="354" spans="1:3" ht="13" x14ac:dyDescent="0.15">
      <c r="A354" s="10"/>
      <c r="B354" s="13"/>
      <c r="C354" s="13"/>
    </row>
    <row r="355" spans="1:3" ht="13" x14ac:dyDescent="0.15">
      <c r="A355" s="10"/>
      <c r="B355" s="13"/>
      <c r="C355" s="13"/>
    </row>
    <row r="356" spans="1:3" ht="13" x14ac:dyDescent="0.15">
      <c r="A356" s="10"/>
      <c r="B356" s="13"/>
      <c r="C356" s="13"/>
    </row>
    <row r="357" spans="1:3" ht="13" x14ac:dyDescent="0.15">
      <c r="A357" s="10"/>
      <c r="B357" s="13"/>
      <c r="C357" s="13"/>
    </row>
    <row r="358" spans="1:3" ht="13" x14ac:dyDescent="0.15">
      <c r="A358" s="10"/>
      <c r="B358" s="13"/>
      <c r="C358" s="13"/>
    </row>
    <row r="359" spans="1:3" ht="13" x14ac:dyDescent="0.15">
      <c r="A359" s="10"/>
      <c r="B359" s="13"/>
      <c r="C359" s="13"/>
    </row>
    <row r="360" spans="1:3" ht="13" x14ac:dyDescent="0.15">
      <c r="A360" s="10"/>
      <c r="B360" s="13"/>
      <c r="C360" s="13"/>
    </row>
    <row r="361" spans="1:3" ht="13" x14ac:dyDescent="0.15">
      <c r="A361" s="10"/>
      <c r="B361" s="13"/>
      <c r="C361" s="13"/>
    </row>
    <row r="362" spans="1:3" ht="13" x14ac:dyDescent="0.15">
      <c r="A362" s="10"/>
      <c r="B362" s="13"/>
      <c r="C362" s="13"/>
    </row>
    <row r="363" spans="1:3" ht="13" x14ac:dyDescent="0.15">
      <c r="A363" s="10"/>
      <c r="B363" s="13"/>
      <c r="C363" s="13"/>
    </row>
    <row r="364" spans="1:3" ht="13" x14ac:dyDescent="0.15">
      <c r="A364" s="10"/>
      <c r="B364" s="13"/>
      <c r="C364" s="13"/>
    </row>
    <row r="365" spans="1:3" ht="13" x14ac:dyDescent="0.15">
      <c r="A365" s="10"/>
      <c r="B365" s="13"/>
      <c r="C365" s="13"/>
    </row>
    <row r="366" spans="1:3" ht="13" x14ac:dyDescent="0.15">
      <c r="A366" s="10"/>
      <c r="B366" s="13"/>
      <c r="C366" s="13"/>
    </row>
    <row r="367" spans="1:3" ht="13" x14ac:dyDescent="0.15">
      <c r="A367" s="10"/>
      <c r="B367" s="13"/>
      <c r="C367" s="13"/>
    </row>
    <row r="368" spans="1:3" ht="13" x14ac:dyDescent="0.15">
      <c r="A368" s="10"/>
      <c r="B368" s="13"/>
      <c r="C368" s="13"/>
    </row>
    <row r="369" spans="1:3" ht="13" x14ac:dyDescent="0.15">
      <c r="A369" s="10"/>
      <c r="B369" s="13"/>
      <c r="C369" s="13"/>
    </row>
    <row r="370" spans="1:3" ht="13" x14ac:dyDescent="0.15">
      <c r="A370" s="10"/>
      <c r="B370" s="13"/>
      <c r="C370" s="13"/>
    </row>
    <row r="371" spans="1:3" ht="13" x14ac:dyDescent="0.15">
      <c r="A371" s="10"/>
      <c r="B371" s="13"/>
      <c r="C371" s="13"/>
    </row>
    <row r="372" spans="1:3" ht="13" x14ac:dyDescent="0.15">
      <c r="A372" s="10"/>
      <c r="B372" s="13"/>
      <c r="C372" s="13"/>
    </row>
    <row r="373" spans="1:3" ht="13" x14ac:dyDescent="0.15">
      <c r="A373" s="10"/>
      <c r="B373" s="13"/>
      <c r="C373" s="13"/>
    </row>
    <row r="374" spans="1:3" ht="13" x14ac:dyDescent="0.15">
      <c r="A374" s="10"/>
      <c r="B374" s="13"/>
      <c r="C374" s="13"/>
    </row>
    <row r="375" spans="1:3" ht="13" x14ac:dyDescent="0.15">
      <c r="A375" s="10"/>
      <c r="B375" s="13"/>
      <c r="C375" s="13"/>
    </row>
    <row r="376" spans="1:3" ht="13" x14ac:dyDescent="0.15">
      <c r="A376" s="10"/>
      <c r="B376" s="13"/>
      <c r="C376" s="13"/>
    </row>
    <row r="377" spans="1:3" ht="13" x14ac:dyDescent="0.15">
      <c r="A377" s="10"/>
      <c r="B377" s="13"/>
      <c r="C377" s="13"/>
    </row>
    <row r="378" spans="1:3" ht="13" x14ac:dyDescent="0.15">
      <c r="A378" s="10"/>
      <c r="B378" s="13"/>
      <c r="C378" s="13"/>
    </row>
    <row r="379" spans="1:3" ht="13" x14ac:dyDescent="0.15">
      <c r="A379" s="10"/>
      <c r="B379" s="13"/>
      <c r="C379" s="13"/>
    </row>
    <row r="380" spans="1:3" ht="13" x14ac:dyDescent="0.15">
      <c r="A380" s="10"/>
      <c r="B380" s="13"/>
      <c r="C380" s="13"/>
    </row>
    <row r="381" spans="1:3" ht="13" x14ac:dyDescent="0.15">
      <c r="A381" s="10"/>
      <c r="B381" s="13"/>
      <c r="C381" s="13"/>
    </row>
    <row r="382" spans="1:3" ht="13" x14ac:dyDescent="0.15">
      <c r="A382" s="10"/>
      <c r="B382" s="13"/>
      <c r="C382" s="13"/>
    </row>
    <row r="383" spans="1:3" ht="13" x14ac:dyDescent="0.15">
      <c r="A383" s="10"/>
      <c r="B383" s="13"/>
      <c r="C383" s="13"/>
    </row>
    <row r="384" spans="1:3" ht="13" x14ac:dyDescent="0.15">
      <c r="A384" s="10"/>
      <c r="B384" s="13"/>
      <c r="C384" s="13"/>
    </row>
    <row r="385" spans="1:3" ht="13" x14ac:dyDescent="0.15">
      <c r="A385" s="10"/>
      <c r="B385" s="13"/>
      <c r="C385" s="13"/>
    </row>
    <row r="386" spans="1:3" ht="13" x14ac:dyDescent="0.15">
      <c r="A386" s="10"/>
      <c r="B386" s="13"/>
      <c r="C386" s="13"/>
    </row>
    <row r="387" spans="1:3" ht="13" x14ac:dyDescent="0.15">
      <c r="A387" s="10"/>
      <c r="B387" s="13"/>
      <c r="C387" s="13"/>
    </row>
    <row r="388" spans="1:3" ht="13" x14ac:dyDescent="0.15">
      <c r="A388" s="10"/>
      <c r="B388" s="13"/>
      <c r="C388" s="13"/>
    </row>
    <row r="389" spans="1:3" ht="13" x14ac:dyDescent="0.15">
      <c r="A389" s="10"/>
      <c r="B389" s="13"/>
      <c r="C389" s="13"/>
    </row>
    <row r="390" spans="1:3" ht="13" x14ac:dyDescent="0.15">
      <c r="A390" s="10"/>
      <c r="B390" s="13"/>
      <c r="C390" s="13"/>
    </row>
    <row r="391" spans="1:3" ht="13" x14ac:dyDescent="0.15">
      <c r="A391" s="10"/>
      <c r="B391" s="13"/>
      <c r="C391" s="13"/>
    </row>
    <row r="392" spans="1:3" ht="13" x14ac:dyDescent="0.15">
      <c r="A392" s="10"/>
      <c r="B392" s="13"/>
      <c r="C392" s="13"/>
    </row>
    <row r="393" spans="1:3" ht="13" x14ac:dyDescent="0.15">
      <c r="A393" s="10"/>
      <c r="B393" s="13"/>
      <c r="C393" s="13"/>
    </row>
    <row r="394" spans="1:3" ht="13" x14ac:dyDescent="0.15">
      <c r="A394" s="10"/>
      <c r="B394" s="13"/>
      <c r="C394" s="13"/>
    </row>
    <row r="395" spans="1:3" ht="13" x14ac:dyDescent="0.15">
      <c r="A395" s="10"/>
      <c r="B395" s="13"/>
      <c r="C395" s="13"/>
    </row>
    <row r="396" spans="1:3" ht="13" x14ac:dyDescent="0.15">
      <c r="A396" s="10"/>
      <c r="B396" s="13"/>
      <c r="C396" s="13"/>
    </row>
    <row r="397" spans="1:3" ht="13" x14ac:dyDescent="0.15">
      <c r="A397" s="10"/>
      <c r="B397" s="13"/>
      <c r="C397" s="13"/>
    </row>
    <row r="398" spans="1:3" ht="13" x14ac:dyDescent="0.15">
      <c r="A398" s="10"/>
      <c r="B398" s="13"/>
      <c r="C398" s="13"/>
    </row>
    <row r="399" spans="1:3" ht="13" x14ac:dyDescent="0.15">
      <c r="A399" s="10"/>
      <c r="B399" s="13"/>
      <c r="C399" s="13"/>
    </row>
    <row r="400" spans="1:3" ht="13" x14ac:dyDescent="0.15">
      <c r="A400" s="10"/>
      <c r="B400" s="13"/>
      <c r="C400" s="13"/>
    </row>
    <row r="401" spans="1:3" ht="13" x14ac:dyDescent="0.15">
      <c r="A401" s="10"/>
      <c r="B401" s="13"/>
      <c r="C401" s="13"/>
    </row>
    <row r="402" spans="1:3" ht="13" x14ac:dyDescent="0.15">
      <c r="A402" s="10"/>
      <c r="B402" s="13"/>
      <c r="C402" s="13"/>
    </row>
    <row r="403" spans="1:3" ht="13" x14ac:dyDescent="0.15">
      <c r="A403" s="10"/>
      <c r="B403" s="13"/>
      <c r="C403" s="13"/>
    </row>
    <row r="404" spans="1:3" ht="13" x14ac:dyDescent="0.15">
      <c r="A404" s="10"/>
      <c r="B404" s="13"/>
      <c r="C404" s="13"/>
    </row>
    <row r="405" spans="1:3" ht="13" x14ac:dyDescent="0.15">
      <c r="A405" s="10"/>
      <c r="B405" s="13"/>
      <c r="C405" s="13"/>
    </row>
    <row r="406" spans="1:3" ht="13" x14ac:dyDescent="0.15">
      <c r="A406" s="10"/>
      <c r="B406" s="13"/>
      <c r="C406" s="13"/>
    </row>
    <row r="407" spans="1:3" ht="13" x14ac:dyDescent="0.15">
      <c r="A407" s="10"/>
      <c r="B407" s="13"/>
      <c r="C407" s="13"/>
    </row>
    <row r="408" spans="1:3" ht="13" x14ac:dyDescent="0.15">
      <c r="A408" s="10"/>
      <c r="B408" s="13"/>
      <c r="C408" s="13"/>
    </row>
    <row r="409" spans="1:3" ht="13" x14ac:dyDescent="0.15">
      <c r="A409" s="10"/>
      <c r="B409" s="13"/>
      <c r="C409" s="13"/>
    </row>
    <row r="410" spans="1:3" ht="13" x14ac:dyDescent="0.15">
      <c r="A410" s="10"/>
      <c r="B410" s="13"/>
      <c r="C410" s="13"/>
    </row>
    <row r="411" spans="1:3" ht="13" x14ac:dyDescent="0.15">
      <c r="A411" s="10"/>
      <c r="B411" s="13"/>
      <c r="C411" s="13"/>
    </row>
    <row r="412" spans="1:3" ht="13" x14ac:dyDescent="0.15">
      <c r="A412" s="10"/>
      <c r="B412" s="13"/>
      <c r="C412" s="13"/>
    </row>
    <row r="413" spans="1:3" ht="13" x14ac:dyDescent="0.15">
      <c r="A413" s="10"/>
      <c r="B413" s="13"/>
      <c r="C413" s="13"/>
    </row>
    <row r="414" spans="1:3" ht="13" x14ac:dyDescent="0.15">
      <c r="A414" s="10"/>
      <c r="B414" s="13"/>
      <c r="C414" s="13"/>
    </row>
    <row r="415" spans="1:3" ht="13" x14ac:dyDescent="0.15">
      <c r="A415" s="10"/>
      <c r="B415" s="13"/>
      <c r="C415" s="13"/>
    </row>
    <row r="416" spans="1:3" ht="13" x14ac:dyDescent="0.15">
      <c r="A416" s="10"/>
      <c r="B416" s="13"/>
      <c r="C416" s="13"/>
    </row>
    <row r="417" spans="1:3" ht="13" x14ac:dyDescent="0.15">
      <c r="A417" s="10"/>
      <c r="B417" s="13"/>
      <c r="C417" s="13"/>
    </row>
    <row r="418" spans="1:3" ht="13" x14ac:dyDescent="0.15">
      <c r="A418" s="10"/>
      <c r="B418" s="13"/>
      <c r="C418" s="13"/>
    </row>
    <row r="419" spans="1:3" ht="13" x14ac:dyDescent="0.15">
      <c r="A419" s="10"/>
      <c r="B419" s="13"/>
      <c r="C419" s="13"/>
    </row>
    <row r="420" spans="1:3" ht="13" x14ac:dyDescent="0.15">
      <c r="A420" s="10"/>
      <c r="B420" s="13"/>
      <c r="C420" s="13"/>
    </row>
    <row r="421" spans="1:3" ht="13" x14ac:dyDescent="0.15">
      <c r="A421" s="10"/>
      <c r="B421" s="13"/>
      <c r="C421" s="13"/>
    </row>
    <row r="422" spans="1:3" ht="13" x14ac:dyDescent="0.15">
      <c r="A422" s="10"/>
      <c r="B422" s="13"/>
      <c r="C422" s="13"/>
    </row>
    <row r="423" spans="1:3" ht="13" x14ac:dyDescent="0.15">
      <c r="A423" s="10"/>
      <c r="B423" s="13"/>
      <c r="C423" s="13"/>
    </row>
    <row r="424" spans="1:3" ht="13" x14ac:dyDescent="0.15">
      <c r="A424" s="10"/>
      <c r="B424" s="13"/>
      <c r="C424" s="13"/>
    </row>
    <row r="425" spans="1:3" ht="13" x14ac:dyDescent="0.15">
      <c r="A425" s="10"/>
      <c r="B425" s="13"/>
      <c r="C425" s="13"/>
    </row>
    <row r="426" spans="1:3" ht="13" x14ac:dyDescent="0.15">
      <c r="A426" s="10"/>
      <c r="B426" s="13"/>
      <c r="C426" s="13"/>
    </row>
    <row r="427" spans="1:3" ht="13" x14ac:dyDescent="0.15">
      <c r="A427" s="10"/>
      <c r="B427" s="13"/>
      <c r="C427" s="13"/>
    </row>
    <row r="428" spans="1:3" ht="13" x14ac:dyDescent="0.15">
      <c r="A428" s="10"/>
      <c r="B428" s="13"/>
      <c r="C428" s="13"/>
    </row>
    <row r="429" spans="1:3" ht="13" x14ac:dyDescent="0.15">
      <c r="A429" s="10"/>
      <c r="B429" s="13"/>
      <c r="C429" s="13"/>
    </row>
    <row r="430" spans="1:3" ht="13" x14ac:dyDescent="0.15">
      <c r="A430" s="10"/>
      <c r="B430" s="13"/>
      <c r="C430" s="13"/>
    </row>
    <row r="431" spans="1:3" ht="13" x14ac:dyDescent="0.15">
      <c r="A431" s="10"/>
      <c r="B431" s="13"/>
      <c r="C431" s="13"/>
    </row>
    <row r="432" spans="1:3" ht="13" x14ac:dyDescent="0.15">
      <c r="A432" s="10"/>
      <c r="B432" s="13"/>
      <c r="C432" s="13"/>
    </row>
    <row r="433" spans="1:3" ht="13" x14ac:dyDescent="0.15">
      <c r="A433" s="10"/>
      <c r="B433" s="13"/>
      <c r="C433" s="13"/>
    </row>
    <row r="434" spans="1:3" ht="13" x14ac:dyDescent="0.15">
      <c r="A434" s="10"/>
      <c r="B434" s="13"/>
      <c r="C434" s="13"/>
    </row>
    <row r="435" spans="1:3" ht="13" x14ac:dyDescent="0.15">
      <c r="A435" s="10"/>
      <c r="B435" s="13"/>
      <c r="C435" s="13"/>
    </row>
    <row r="436" spans="1:3" ht="13" x14ac:dyDescent="0.15">
      <c r="A436" s="10"/>
      <c r="B436" s="13"/>
      <c r="C436" s="13"/>
    </row>
    <row r="437" spans="1:3" ht="13" x14ac:dyDescent="0.15">
      <c r="A437" s="10"/>
      <c r="B437" s="13"/>
      <c r="C437" s="13"/>
    </row>
    <row r="438" spans="1:3" ht="13" x14ac:dyDescent="0.15">
      <c r="A438" s="10"/>
      <c r="B438" s="13"/>
      <c r="C438" s="13"/>
    </row>
    <row r="439" spans="1:3" ht="13" x14ac:dyDescent="0.15">
      <c r="A439" s="10"/>
      <c r="B439" s="13"/>
      <c r="C439" s="13"/>
    </row>
    <row r="440" spans="1:3" ht="13" x14ac:dyDescent="0.15">
      <c r="A440" s="10"/>
      <c r="B440" s="13"/>
      <c r="C440" s="13"/>
    </row>
    <row r="441" spans="1:3" ht="13" x14ac:dyDescent="0.15">
      <c r="A441" s="10"/>
      <c r="B441" s="13"/>
      <c r="C441" s="13"/>
    </row>
    <row r="442" spans="1:3" ht="13" x14ac:dyDescent="0.15">
      <c r="A442" s="10"/>
      <c r="B442" s="13"/>
      <c r="C442" s="13"/>
    </row>
    <row r="443" spans="1:3" ht="13" x14ac:dyDescent="0.15">
      <c r="A443" s="10"/>
      <c r="B443" s="13"/>
      <c r="C443" s="13"/>
    </row>
    <row r="444" spans="1:3" ht="13" x14ac:dyDescent="0.15">
      <c r="A444" s="10"/>
      <c r="B444" s="13"/>
      <c r="C444" s="13"/>
    </row>
    <row r="445" spans="1:3" ht="13" x14ac:dyDescent="0.15">
      <c r="A445" s="10"/>
      <c r="B445" s="13"/>
      <c r="C445" s="13"/>
    </row>
    <row r="446" spans="1:3" ht="13" x14ac:dyDescent="0.15">
      <c r="A446" s="10"/>
      <c r="B446" s="13"/>
      <c r="C446" s="13"/>
    </row>
    <row r="447" spans="1:3" ht="13" x14ac:dyDescent="0.15">
      <c r="A447" s="10"/>
      <c r="B447" s="13"/>
      <c r="C447" s="13"/>
    </row>
    <row r="448" spans="1:3" ht="13" x14ac:dyDescent="0.15">
      <c r="A448" s="10"/>
      <c r="B448" s="13"/>
      <c r="C448" s="13"/>
    </row>
    <row r="449" spans="1:3" ht="13" x14ac:dyDescent="0.15">
      <c r="A449" s="10"/>
      <c r="B449" s="13"/>
      <c r="C449" s="13"/>
    </row>
    <row r="450" spans="1:3" ht="13" x14ac:dyDescent="0.15">
      <c r="A450" s="10"/>
      <c r="B450" s="13"/>
      <c r="C450" s="13"/>
    </row>
    <row r="451" spans="1:3" ht="13" x14ac:dyDescent="0.15">
      <c r="A451" s="10"/>
      <c r="B451" s="13"/>
      <c r="C451" s="13"/>
    </row>
    <row r="452" spans="1:3" ht="13" x14ac:dyDescent="0.15">
      <c r="A452" s="10"/>
      <c r="B452" s="13"/>
      <c r="C452" s="13"/>
    </row>
    <row r="453" spans="1:3" ht="13" x14ac:dyDescent="0.15">
      <c r="A453" s="10"/>
      <c r="B453" s="13"/>
      <c r="C453" s="13"/>
    </row>
    <row r="454" spans="1:3" ht="13" x14ac:dyDescent="0.15">
      <c r="A454" s="10"/>
      <c r="B454" s="13"/>
      <c r="C454" s="13"/>
    </row>
    <row r="455" spans="1:3" ht="13" x14ac:dyDescent="0.15">
      <c r="A455" s="10"/>
      <c r="B455" s="13"/>
      <c r="C455" s="13"/>
    </row>
    <row r="456" spans="1:3" ht="13" x14ac:dyDescent="0.15">
      <c r="A456" s="10"/>
      <c r="B456" s="13"/>
      <c r="C456" s="13"/>
    </row>
    <row r="457" spans="1:3" ht="13" x14ac:dyDescent="0.15">
      <c r="A457" s="10"/>
      <c r="B457" s="13"/>
      <c r="C457" s="13"/>
    </row>
    <row r="458" spans="1:3" ht="13" x14ac:dyDescent="0.15">
      <c r="A458" s="10"/>
      <c r="B458" s="13"/>
      <c r="C458" s="13"/>
    </row>
    <row r="459" spans="1:3" ht="13" x14ac:dyDescent="0.15">
      <c r="A459" s="10"/>
      <c r="B459" s="13"/>
      <c r="C459" s="13"/>
    </row>
    <row r="460" spans="1:3" ht="13" x14ac:dyDescent="0.15">
      <c r="A460" s="10"/>
      <c r="B460" s="13"/>
      <c r="C460" s="13"/>
    </row>
    <row r="461" spans="1:3" ht="13" x14ac:dyDescent="0.15">
      <c r="A461" s="10"/>
      <c r="B461" s="13"/>
      <c r="C461" s="13"/>
    </row>
    <row r="462" spans="1:3" ht="13" x14ac:dyDescent="0.15">
      <c r="A462" s="10"/>
      <c r="B462" s="13"/>
      <c r="C462" s="13"/>
    </row>
    <row r="463" spans="1:3" ht="13" x14ac:dyDescent="0.15">
      <c r="A463" s="10"/>
      <c r="B463" s="13"/>
      <c r="C463" s="13"/>
    </row>
    <row r="464" spans="1:3" ht="13" x14ac:dyDescent="0.15">
      <c r="A464" s="10"/>
      <c r="B464" s="13"/>
      <c r="C464" s="13"/>
    </row>
    <row r="465" spans="1:3" ht="13" x14ac:dyDescent="0.15">
      <c r="A465" s="10"/>
      <c r="B465" s="13"/>
      <c r="C465" s="13"/>
    </row>
    <row r="466" spans="1:3" ht="13" x14ac:dyDescent="0.15">
      <c r="A466" s="10"/>
      <c r="B466" s="13"/>
      <c r="C466" s="13"/>
    </row>
    <row r="467" spans="1:3" ht="13" x14ac:dyDescent="0.15">
      <c r="A467" s="10"/>
      <c r="B467" s="13"/>
      <c r="C467" s="13"/>
    </row>
    <row r="468" spans="1:3" ht="13" x14ac:dyDescent="0.15">
      <c r="A468" s="10"/>
      <c r="B468" s="13"/>
      <c r="C468" s="13"/>
    </row>
    <row r="469" spans="1:3" ht="13" x14ac:dyDescent="0.15">
      <c r="A469" s="10"/>
      <c r="B469" s="13"/>
      <c r="C469" s="13"/>
    </row>
    <row r="470" spans="1:3" ht="13" x14ac:dyDescent="0.15">
      <c r="A470" s="10"/>
      <c r="B470" s="13"/>
      <c r="C470" s="13"/>
    </row>
    <row r="471" spans="1:3" ht="13" x14ac:dyDescent="0.15">
      <c r="A471" s="10"/>
      <c r="B471" s="13"/>
      <c r="C471" s="13"/>
    </row>
    <row r="472" spans="1:3" ht="13" x14ac:dyDescent="0.15">
      <c r="A472" s="10"/>
      <c r="B472" s="13"/>
      <c r="C472" s="13"/>
    </row>
    <row r="473" spans="1:3" ht="13" x14ac:dyDescent="0.15">
      <c r="A473" s="10"/>
      <c r="B473" s="13"/>
      <c r="C473" s="13"/>
    </row>
    <row r="474" spans="1:3" ht="13" x14ac:dyDescent="0.15">
      <c r="A474" s="10"/>
      <c r="B474" s="13"/>
      <c r="C474" s="13"/>
    </row>
    <row r="475" spans="1:3" ht="13" x14ac:dyDescent="0.15">
      <c r="A475" s="10"/>
      <c r="B475" s="13"/>
      <c r="C475" s="13"/>
    </row>
    <row r="476" spans="1:3" ht="13" x14ac:dyDescent="0.15">
      <c r="A476" s="10"/>
      <c r="B476" s="13"/>
      <c r="C476" s="13"/>
    </row>
    <row r="477" spans="1:3" ht="13" x14ac:dyDescent="0.15">
      <c r="A477" s="10"/>
      <c r="B477" s="13"/>
      <c r="C477" s="13"/>
    </row>
    <row r="478" spans="1:3" ht="13" x14ac:dyDescent="0.15">
      <c r="A478" s="10"/>
      <c r="B478" s="13"/>
      <c r="C478" s="13"/>
    </row>
    <row r="479" spans="1:3" ht="13" x14ac:dyDescent="0.15">
      <c r="A479" s="10"/>
      <c r="B479" s="13"/>
      <c r="C479" s="13"/>
    </row>
    <row r="480" spans="1:3" ht="13" x14ac:dyDescent="0.15">
      <c r="A480" s="10"/>
      <c r="B480" s="13"/>
      <c r="C480" s="13"/>
    </row>
    <row r="481" spans="1:3" ht="13" x14ac:dyDescent="0.15">
      <c r="A481" s="10"/>
      <c r="B481" s="13"/>
      <c r="C481" s="13"/>
    </row>
    <row r="482" spans="1:3" ht="13" x14ac:dyDescent="0.15">
      <c r="A482" s="10"/>
      <c r="B482" s="13"/>
      <c r="C482" s="13"/>
    </row>
    <row r="483" spans="1:3" ht="13" x14ac:dyDescent="0.15">
      <c r="A483" s="10"/>
      <c r="B483" s="13"/>
      <c r="C483" s="13"/>
    </row>
    <row r="484" spans="1:3" ht="13" x14ac:dyDescent="0.15">
      <c r="A484" s="10"/>
      <c r="B484" s="13"/>
      <c r="C484" s="13"/>
    </row>
    <row r="485" spans="1:3" ht="13" x14ac:dyDescent="0.15">
      <c r="A485" s="10"/>
      <c r="B485" s="13"/>
      <c r="C485" s="13"/>
    </row>
    <row r="486" spans="1:3" ht="13" x14ac:dyDescent="0.15">
      <c r="A486" s="10"/>
      <c r="B486" s="13"/>
      <c r="C486" s="13"/>
    </row>
    <row r="487" spans="1:3" ht="13" x14ac:dyDescent="0.15">
      <c r="A487" s="10"/>
      <c r="B487" s="13"/>
      <c r="C487" s="13"/>
    </row>
    <row r="488" spans="1:3" ht="13" x14ac:dyDescent="0.15">
      <c r="A488" s="10"/>
      <c r="B488" s="13"/>
      <c r="C488" s="13"/>
    </row>
    <row r="489" spans="1:3" ht="13" x14ac:dyDescent="0.15">
      <c r="A489" s="10"/>
      <c r="B489" s="13"/>
      <c r="C489" s="13"/>
    </row>
    <row r="490" spans="1:3" ht="13" x14ac:dyDescent="0.15">
      <c r="A490" s="10"/>
      <c r="B490" s="13"/>
      <c r="C490" s="13"/>
    </row>
    <row r="491" spans="1:3" ht="13" x14ac:dyDescent="0.15">
      <c r="A491" s="10"/>
      <c r="B491" s="13"/>
      <c r="C491" s="13"/>
    </row>
    <row r="492" spans="1:3" ht="13" x14ac:dyDescent="0.15">
      <c r="A492" s="10"/>
      <c r="B492" s="13"/>
      <c r="C492" s="13"/>
    </row>
    <row r="493" spans="1:3" ht="13" x14ac:dyDescent="0.15">
      <c r="A493" s="10"/>
      <c r="B493" s="13"/>
      <c r="C493" s="13"/>
    </row>
    <row r="494" spans="1:3" ht="13" x14ac:dyDescent="0.15">
      <c r="A494" s="10"/>
      <c r="B494" s="13"/>
      <c r="C494" s="13"/>
    </row>
    <row r="495" spans="1:3" ht="13" x14ac:dyDescent="0.15">
      <c r="A495" s="10"/>
      <c r="B495" s="13"/>
      <c r="C495" s="13"/>
    </row>
    <row r="496" spans="1:3" ht="13" x14ac:dyDescent="0.15">
      <c r="A496" s="10"/>
      <c r="B496" s="13"/>
      <c r="C496" s="13"/>
    </row>
    <row r="497" spans="1:3" ht="13" x14ac:dyDescent="0.15">
      <c r="A497" s="10"/>
      <c r="B497" s="13"/>
      <c r="C497" s="13"/>
    </row>
    <row r="498" spans="1:3" ht="13" x14ac:dyDescent="0.15">
      <c r="A498" s="10"/>
      <c r="B498" s="13"/>
      <c r="C498" s="13"/>
    </row>
    <row r="499" spans="1:3" ht="13" x14ac:dyDescent="0.15">
      <c r="A499" s="10"/>
      <c r="B499" s="13"/>
      <c r="C499" s="13"/>
    </row>
    <row r="500" spans="1:3" ht="13" x14ac:dyDescent="0.15">
      <c r="A500" s="10"/>
      <c r="B500" s="13"/>
      <c r="C500" s="13"/>
    </row>
    <row r="501" spans="1:3" ht="13" x14ac:dyDescent="0.15">
      <c r="A501" s="10"/>
      <c r="B501" s="13"/>
      <c r="C501" s="13"/>
    </row>
    <row r="502" spans="1:3" ht="13" x14ac:dyDescent="0.15">
      <c r="A502" s="10"/>
      <c r="B502" s="13"/>
      <c r="C502" s="13"/>
    </row>
    <row r="503" spans="1:3" ht="13" x14ac:dyDescent="0.15">
      <c r="A503" s="10"/>
      <c r="B503" s="13"/>
      <c r="C503" s="13"/>
    </row>
    <row r="504" spans="1:3" ht="13" x14ac:dyDescent="0.15">
      <c r="A504" s="10"/>
      <c r="B504" s="13"/>
      <c r="C504" s="13"/>
    </row>
    <row r="505" spans="1:3" ht="13" x14ac:dyDescent="0.15">
      <c r="A505" s="10"/>
      <c r="B505" s="13"/>
      <c r="C505" s="13"/>
    </row>
    <row r="506" spans="1:3" ht="13" x14ac:dyDescent="0.15">
      <c r="A506" s="10"/>
      <c r="B506" s="13"/>
      <c r="C506" s="13"/>
    </row>
    <row r="507" spans="1:3" ht="13" x14ac:dyDescent="0.15">
      <c r="A507" s="10"/>
      <c r="B507" s="13"/>
      <c r="C507" s="13"/>
    </row>
    <row r="508" spans="1:3" ht="13" x14ac:dyDescent="0.15">
      <c r="A508" s="10"/>
      <c r="B508" s="13"/>
      <c r="C508" s="13"/>
    </row>
    <row r="509" spans="1:3" ht="13" x14ac:dyDescent="0.15">
      <c r="A509" s="10"/>
      <c r="B509" s="13"/>
      <c r="C509" s="13"/>
    </row>
    <row r="510" spans="1:3" ht="13" x14ac:dyDescent="0.15">
      <c r="A510" s="10"/>
      <c r="B510" s="13"/>
      <c r="C510" s="13"/>
    </row>
    <row r="511" spans="1:3" ht="13" x14ac:dyDescent="0.15">
      <c r="A511" s="10"/>
      <c r="B511" s="13"/>
      <c r="C511" s="13"/>
    </row>
    <row r="512" spans="1:3" ht="13" x14ac:dyDescent="0.15">
      <c r="A512" s="10"/>
      <c r="B512" s="13"/>
      <c r="C512" s="13"/>
    </row>
    <row r="513" spans="1:3" ht="13" x14ac:dyDescent="0.15">
      <c r="A513" s="10"/>
      <c r="B513" s="13"/>
      <c r="C513" s="13"/>
    </row>
    <row r="514" spans="1:3" ht="13" x14ac:dyDescent="0.15">
      <c r="A514" s="10"/>
      <c r="B514" s="13"/>
      <c r="C514" s="13"/>
    </row>
    <row r="515" spans="1:3" ht="13" x14ac:dyDescent="0.15">
      <c r="A515" s="10"/>
      <c r="B515" s="13"/>
      <c r="C515" s="13"/>
    </row>
    <row r="516" spans="1:3" ht="13" x14ac:dyDescent="0.15">
      <c r="A516" s="10"/>
      <c r="B516" s="13"/>
      <c r="C516" s="13"/>
    </row>
    <row r="517" spans="1:3" ht="13" x14ac:dyDescent="0.15">
      <c r="A517" s="10"/>
      <c r="B517" s="13"/>
      <c r="C517" s="13"/>
    </row>
    <row r="518" spans="1:3" ht="13" x14ac:dyDescent="0.15">
      <c r="A518" s="10"/>
      <c r="B518" s="13"/>
      <c r="C518" s="13"/>
    </row>
    <row r="519" spans="1:3" ht="13" x14ac:dyDescent="0.15">
      <c r="A519" s="10"/>
      <c r="B519" s="13"/>
      <c r="C519" s="13"/>
    </row>
    <row r="520" spans="1:3" ht="13" x14ac:dyDescent="0.15">
      <c r="A520" s="10"/>
      <c r="B520" s="13"/>
      <c r="C520" s="13"/>
    </row>
    <row r="521" spans="1:3" ht="13" x14ac:dyDescent="0.15">
      <c r="A521" s="10"/>
      <c r="B521" s="13"/>
      <c r="C521" s="13"/>
    </row>
    <row r="522" spans="1:3" ht="13" x14ac:dyDescent="0.15">
      <c r="A522" s="10"/>
      <c r="B522" s="13"/>
      <c r="C522" s="13"/>
    </row>
    <row r="523" spans="1:3" ht="13" x14ac:dyDescent="0.15">
      <c r="A523" s="10"/>
      <c r="B523" s="13"/>
      <c r="C523" s="13"/>
    </row>
    <row r="524" spans="1:3" ht="13" x14ac:dyDescent="0.15">
      <c r="A524" s="10"/>
      <c r="B524" s="13"/>
      <c r="C524" s="13"/>
    </row>
    <row r="525" spans="1:3" ht="13" x14ac:dyDescent="0.15">
      <c r="A525" s="10"/>
      <c r="B525" s="13"/>
      <c r="C525" s="13"/>
    </row>
    <row r="526" spans="1:3" ht="13" x14ac:dyDescent="0.15">
      <c r="A526" s="10"/>
      <c r="B526" s="13"/>
      <c r="C526" s="13"/>
    </row>
    <row r="527" spans="1:3" ht="13" x14ac:dyDescent="0.15">
      <c r="A527" s="10"/>
      <c r="B527" s="13"/>
      <c r="C527" s="13"/>
    </row>
    <row r="528" spans="1:3" ht="13" x14ac:dyDescent="0.15">
      <c r="A528" s="10"/>
      <c r="B528" s="13"/>
      <c r="C528" s="13"/>
    </row>
    <row r="529" spans="1:3" ht="13" x14ac:dyDescent="0.15">
      <c r="A529" s="10"/>
      <c r="B529" s="13"/>
      <c r="C529" s="13"/>
    </row>
    <row r="530" spans="1:3" ht="13" x14ac:dyDescent="0.15">
      <c r="A530" s="10"/>
      <c r="B530" s="13"/>
      <c r="C530" s="13"/>
    </row>
    <row r="531" spans="1:3" ht="13" x14ac:dyDescent="0.15">
      <c r="A531" s="10"/>
      <c r="B531" s="13"/>
      <c r="C531" s="13"/>
    </row>
    <row r="532" spans="1:3" ht="13" x14ac:dyDescent="0.15">
      <c r="A532" s="10"/>
      <c r="B532" s="13"/>
      <c r="C532" s="13"/>
    </row>
    <row r="533" spans="1:3" ht="13" x14ac:dyDescent="0.15">
      <c r="A533" s="10"/>
      <c r="B533" s="13"/>
      <c r="C533" s="13"/>
    </row>
    <row r="534" spans="1:3" ht="13" x14ac:dyDescent="0.15">
      <c r="A534" s="10"/>
      <c r="B534" s="13"/>
      <c r="C534" s="13"/>
    </row>
    <row r="535" spans="1:3" ht="13" x14ac:dyDescent="0.15">
      <c r="A535" s="10"/>
      <c r="B535" s="13"/>
      <c r="C535" s="13"/>
    </row>
    <row r="536" spans="1:3" ht="13" x14ac:dyDescent="0.15">
      <c r="A536" s="10"/>
      <c r="B536" s="13"/>
      <c r="C536" s="13"/>
    </row>
    <row r="537" spans="1:3" ht="13" x14ac:dyDescent="0.15">
      <c r="A537" s="10"/>
      <c r="B537" s="13"/>
      <c r="C537" s="13"/>
    </row>
    <row r="538" spans="1:3" ht="13" x14ac:dyDescent="0.15">
      <c r="A538" s="10"/>
      <c r="B538" s="13"/>
      <c r="C538" s="13"/>
    </row>
    <row r="539" spans="1:3" ht="13" x14ac:dyDescent="0.15">
      <c r="A539" s="10"/>
      <c r="B539" s="13"/>
      <c r="C539" s="13"/>
    </row>
    <row r="540" spans="1:3" ht="13" x14ac:dyDescent="0.15">
      <c r="A540" s="10"/>
      <c r="B540" s="13"/>
      <c r="C540" s="13"/>
    </row>
    <row r="541" spans="1:3" ht="13" x14ac:dyDescent="0.15">
      <c r="A541" s="10"/>
      <c r="B541" s="13"/>
      <c r="C541" s="13"/>
    </row>
    <row r="542" spans="1:3" ht="13" x14ac:dyDescent="0.15">
      <c r="A542" s="10"/>
      <c r="B542" s="13"/>
      <c r="C542" s="13"/>
    </row>
    <row r="543" spans="1:3" ht="13" x14ac:dyDescent="0.15">
      <c r="A543" s="10"/>
      <c r="B543" s="13"/>
      <c r="C543" s="13"/>
    </row>
    <row r="544" spans="1:3" ht="13" x14ac:dyDescent="0.15">
      <c r="A544" s="10"/>
      <c r="B544" s="13"/>
      <c r="C544" s="13"/>
    </row>
    <row r="545" spans="1:3" ht="13" x14ac:dyDescent="0.15">
      <c r="A545" s="10"/>
      <c r="B545" s="13"/>
      <c r="C545" s="13"/>
    </row>
    <row r="546" spans="1:3" ht="13" x14ac:dyDescent="0.15">
      <c r="A546" s="10"/>
      <c r="B546" s="13"/>
      <c r="C546" s="13"/>
    </row>
    <row r="547" spans="1:3" ht="13" x14ac:dyDescent="0.15">
      <c r="A547" s="10"/>
      <c r="B547" s="13"/>
      <c r="C547" s="13"/>
    </row>
    <row r="548" spans="1:3" ht="13" x14ac:dyDescent="0.15">
      <c r="A548" s="10"/>
      <c r="B548" s="13"/>
      <c r="C548" s="13"/>
    </row>
    <row r="549" spans="1:3" ht="13" x14ac:dyDescent="0.15">
      <c r="A549" s="10"/>
      <c r="B549" s="13"/>
      <c r="C549" s="13"/>
    </row>
    <row r="550" spans="1:3" ht="13" x14ac:dyDescent="0.15">
      <c r="A550" s="10"/>
      <c r="B550" s="13"/>
      <c r="C550" s="13"/>
    </row>
    <row r="551" spans="1:3" ht="13" x14ac:dyDescent="0.15">
      <c r="A551" s="10"/>
      <c r="B551" s="13"/>
      <c r="C551" s="13"/>
    </row>
    <row r="552" spans="1:3" ht="13" x14ac:dyDescent="0.15">
      <c r="A552" s="10"/>
      <c r="B552" s="13"/>
      <c r="C552" s="13"/>
    </row>
    <row r="553" spans="1:3" ht="13" x14ac:dyDescent="0.15">
      <c r="A553" s="10"/>
      <c r="B553" s="13"/>
      <c r="C553" s="13"/>
    </row>
    <row r="554" spans="1:3" ht="13" x14ac:dyDescent="0.15">
      <c r="A554" s="10"/>
      <c r="B554" s="13"/>
      <c r="C554" s="13"/>
    </row>
    <row r="555" spans="1:3" ht="13" x14ac:dyDescent="0.15">
      <c r="A555" s="10"/>
      <c r="B555" s="13"/>
      <c r="C555" s="13"/>
    </row>
    <row r="556" spans="1:3" ht="13" x14ac:dyDescent="0.15">
      <c r="A556" s="10"/>
      <c r="B556" s="13"/>
      <c r="C556" s="13"/>
    </row>
    <row r="557" spans="1:3" ht="13" x14ac:dyDescent="0.15">
      <c r="A557" s="10"/>
      <c r="B557" s="13"/>
      <c r="C557" s="13"/>
    </row>
    <row r="558" spans="1:3" ht="13" x14ac:dyDescent="0.15">
      <c r="A558" s="10"/>
      <c r="B558" s="13"/>
      <c r="C558" s="13"/>
    </row>
    <row r="559" spans="1:3" ht="13" x14ac:dyDescent="0.15">
      <c r="A559" s="10"/>
      <c r="B559" s="13"/>
      <c r="C559" s="13"/>
    </row>
    <row r="560" spans="1:3" ht="13" x14ac:dyDescent="0.15">
      <c r="A560" s="10"/>
      <c r="B560" s="13"/>
      <c r="C560" s="13"/>
    </row>
    <row r="561" spans="1:3" ht="13" x14ac:dyDescent="0.15">
      <c r="A561" s="10"/>
      <c r="B561" s="13"/>
      <c r="C561" s="13"/>
    </row>
    <row r="562" spans="1:3" ht="13" x14ac:dyDescent="0.15">
      <c r="A562" s="10"/>
      <c r="B562" s="13"/>
      <c r="C562" s="13"/>
    </row>
    <row r="563" spans="1:3" ht="13" x14ac:dyDescent="0.15">
      <c r="A563" s="10"/>
      <c r="B563" s="13"/>
      <c r="C563" s="13"/>
    </row>
    <row r="564" spans="1:3" ht="13" x14ac:dyDescent="0.15">
      <c r="A564" s="10"/>
      <c r="B564" s="13"/>
      <c r="C564" s="13"/>
    </row>
    <row r="565" spans="1:3" ht="13" x14ac:dyDescent="0.15">
      <c r="A565" s="10"/>
      <c r="B565" s="13"/>
      <c r="C565" s="13"/>
    </row>
    <row r="566" spans="1:3" ht="13" x14ac:dyDescent="0.15">
      <c r="A566" s="10"/>
      <c r="B566" s="13"/>
      <c r="C566" s="13"/>
    </row>
    <row r="567" spans="1:3" ht="13" x14ac:dyDescent="0.15">
      <c r="A567" s="10"/>
      <c r="B567" s="13"/>
      <c r="C567" s="13"/>
    </row>
    <row r="568" spans="1:3" ht="13" x14ac:dyDescent="0.15">
      <c r="A568" s="10"/>
      <c r="B568" s="13"/>
      <c r="C568" s="13"/>
    </row>
    <row r="569" spans="1:3" ht="13" x14ac:dyDescent="0.15">
      <c r="A569" s="10"/>
      <c r="B569" s="13"/>
      <c r="C569" s="13"/>
    </row>
    <row r="570" spans="1:3" ht="13" x14ac:dyDescent="0.15">
      <c r="A570" s="10"/>
      <c r="B570" s="13"/>
      <c r="C570" s="13"/>
    </row>
    <row r="571" spans="1:3" ht="13" x14ac:dyDescent="0.15">
      <c r="A571" s="10"/>
      <c r="B571" s="13"/>
      <c r="C571" s="13"/>
    </row>
    <row r="572" spans="1:3" ht="13" x14ac:dyDescent="0.15">
      <c r="A572" s="10"/>
      <c r="B572" s="13"/>
      <c r="C572" s="13"/>
    </row>
    <row r="573" spans="1:3" ht="13" x14ac:dyDescent="0.15">
      <c r="A573" s="10"/>
      <c r="B573" s="13"/>
      <c r="C573" s="13"/>
    </row>
    <row r="574" spans="1:3" ht="13" x14ac:dyDescent="0.15">
      <c r="A574" s="10"/>
      <c r="B574" s="13"/>
      <c r="C574" s="13"/>
    </row>
    <row r="575" spans="1:3" ht="13" x14ac:dyDescent="0.15">
      <c r="A575" s="10"/>
      <c r="B575" s="13"/>
      <c r="C575" s="13"/>
    </row>
    <row r="576" spans="1:3" ht="13" x14ac:dyDescent="0.15">
      <c r="A576" s="10"/>
      <c r="B576" s="13"/>
      <c r="C576" s="13"/>
    </row>
    <row r="577" spans="1:3" ht="13" x14ac:dyDescent="0.15">
      <c r="A577" s="10"/>
      <c r="B577" s="13"/>
      <c r="C577" s="13"/>
    </row>
    <row r="578" spans="1:3" ht="13" x14ac:dyDescent="0.15">
      <c r="A578" s="10"/>
      <c r="B578" s="13"/>
      <c r="C578" s="13"/>
    </row>
    <row r="579" spans="1:3" ht="13" x14ac:dyDescent="0.15">
      <c r="A579" s="10"/>
      <c r="B579" s="13"/>
      <c r="C579" s="13"/>
    </row>
    <row r="580" spans="1:3" ht="13" x14ac:dyDescent="0.15">
      <c r="A580" s="10"/>
      <c r="B580" s="13"/>
      <c r="C580" s="13"/>
    </row>
    <row r="581" spans="1:3" ht="13" x14ac:dyDescent="0.15">
      <c r="A581" s="10"/>
      <c r="B581" s="13"/>
      <c r="C581" s="13"/>
    </row>
    <row r="582" spans="1:3" ht="13" x14ac:dyDescent="0.15">
      <c r="A582" s="10"/>
      <c r="B582" s="13"/>
      <c r="C582" s="13"/>
    </row>
    <row r="583" spans="1:3" ht="13" x14ac:dyDescent="0.15">
      <c r="A583" s="10"/>
      <c r="B583" s="13"/>
      <c r="C583" s="13"/>
    </row>
    <row r="584" spans="1:3" ht="13" x14ac:dyDescent="0.15">
      <c r="A584" s="10"/>
      <c r="B584" s="13"/>
      <c r="C584" s="13"/>
    </row>
    <row r="585" spans="1:3" ht="13" x14ac:dyDescent="0.15">
      <c r="A585" s="10"/>
      <c r="B585" s="13"/>
      <c r="C585" s="13"/>
    </row>
    <row r="586" spans="1:3" ht="13" x14ac:dyDescent="0.15">
      <c r="A586" s="10"/>
      <c r="B586" s="13"/>
      <c r="C586" s="13"/>
    </row>
    <row r="587" spans="1:3" ht="13" x14ac:dyDescent="0.15">
      <c r="A587" s="10"/>
      <c r="B587" s="13"/>
      <c r="C587" s="13"/>
    </row>
    <row r="588" spans="1:3" ht="13" x14ac:dyDescent="0.15">
      <c r="A588" s="10"/>
      <c r="B588" s="13"/>
      <c r="C588" s="13"/>
    </row>
    <row r="589" spans="1:3" ht="13" x14ac:dyDescent="0.15">
      <c r="A589" s="10"/>
      <c r="B589" s="13"/>
      <c r="C589" s="13"/>
    </row>
    <row r="590" spans="1:3" ht="13" x14ac:dyDescent="0.15">
      <c r="A590" s="10"/>
      <c r="B590" s="13"/>
      <c r="C590" s="13"/>
    </row>
    <row r="591" spans="1:3" ht="13" x14ac:dyDescent="0.15">
      <c r="A591" s="10"/>
      <c r="B591" s="13"/>
      <c r="C591" s="13"/>
    </row>
    <row r="592" spans="1:3" ht="13" x14ac:dyDescent="0.15">
      <c r="A592" s="10"/>
      <c r="B592" s="13"/>
      <c r="C592" s="13"/>
    </row>
    <row r="593" spans="1:3" ht="13" x14ac:dyDescent="0.15">
      <c r="A593" s="10"/>
      <c r="B593" s="13"/>
      <c r="C593" s="13"/>
    </row>
    <row r="594" spans="1:3" ht="13" x14ac:dyDescent="0.15">
      <c r="A594" s="10"/>
      <c r="B594" s="13"/>
      <c r="C594" s="13"/>
    </row>
    <row r="595" spans="1:3" ht="13" x14ac:dyDescent="0.15">
      <c r="A595" s="10"/>
      <c r="B595" s="13"/>
      <c r="C595" s="13"/>
    </row>
    <row r="596" spans="1:3" ht="13" x14ac:dyDescent="0.15">
      <c r="A596" s="10"/>
      <c r="B596" s="13"/>
      <c r="C596" s="13"/>
    </row>
    <row r="597" spans="1:3" ht="13" x14ac:dyDescent="0.15">
      <c r="A597" s="10"/>
      <c r="B597" s="13"/>
      <c r="C597" s="13"/>
    </row>
    <row r="598" spans="1:3" ht="13" x14ac:dyDescent="0.15">
      <c r="A598" s="10"/>
      <c r="B598" s="13"/>
      <c r="C598" s="13"/>
    </row>
    <row r="599" spans="1:3" ht="13" x14ac:dyDescent="0.15">
      <c r="A599" s="10"/>
      <c r="B599" s="13"/>
      <c r="C599" s="13"/>
    </row>
    <row r="600" spans="1:3" ht="13" x14ac:dyDescent="0.15">
      <c r="A600" s="10"/>
      <c r="B600" s="13"/>
      <c r="C600" s="13"/>
    </row>
    <row r="601" spans="1:3" ht="13" x14ac:dyDescent="0.15">
      <c r="A601" s="10"/>
      <c r="B601" s="13"/>
      <c r="C601" s="13"/>
    </row>
    <row r="602" spans="1:3" ht="13" x14ac:dyDescent="0.15">
      <c r="A602" s="10"/>
      <c r="B602" s="13"/>
      <c r="C602" s="13"/>
    </row>
    <row r="603" spans="1:3" ht="13" x14ac:dyDescent="0.15">
      <c r="A603" s="10"/>
      <c r="B603" s="13"/>
      <c r="C603" s="13"/>
    </row>
    <row r="604" spans="1:3" ht="13" x14ac:dyDescent="0.15">
      <c r="A604" s="10"/>
      <c r="B604" s="13"/>
      <c r="C604" s="13"/>
    </row>
    <row r="605" spans="1:3" ht="13" x14ac:dyDescent="0.15">
      <c r="A605" s="10"/>
      <c r="B605" s="13"/>
      <c r="C605" s="13"/>
    </row>
    <row r="606" spans="1:3" ht="13" x14ac:dyDescent="0.15">
      <c r="A606" s="10"/>
      <c r="B606" s="13"/>
      <c r="C606" s="13"/>
    </row>
    <row r="607" spans="1:3" ht="13" x14ac:dyDescent="0.15">
      <c r="A607" s="10"/>
      <c r="B607" s="13"/>
      <c r="C607" s="13"/>
    </row>
    <row r="608" spans="1:3" ht="13" x14ac:dyDescent="0.15">
      <c r="A608" s="10"/>
      <c r="B608" s="13"/>
      <c r="C608" s="13"/>
    </row>
    <row r="609" spans="1:3" ht="13" x14ac:dyDescent="0.15">
      <c r="A609" s="10"/>
      <c r="B609" s="13"/>
      <c r="C609" s="13"/>
    </row>
    <row r="610" spans="1:3" ht="13" x14ac:dyDescent="0.15">
      <c r="A610" s="10"/>
      <c r="B610" s="13"/>
      <c r="C610" s="13"/>
    </row>
    <row r="611" spans="1:3" ht="13" x14ac:dyDescent="0.15">
      <c r="A611" s="10"/>
      <c r="B611" s="13"/>
      <c r="C611" s="13"/>
    </row>
    <row r="612" spans="1:3" ht="13" x14ac:dyDescent="0.15">
      <c r="A612" s="10"/>
      <c r="B612" s="13"/>
      <c r="C612" s="13"/>
    </row>
    <row r="613" spans="1:3" ht="13" x14ac:dyDescent="0.15">
      <c r="A613" s="10"/>
      <c r="B613" s="13"/>
      <c r="C613" s="13"/>
    </row>
    <row r="614" spans="1:3" ht="13" x14ac:dyDescent="0.15">
      <c r="A614" s="10"/>
      <c r="B614" s="13"/>
      <c r="C614" s="13"/>
    </row>
    <row r="615" spans="1:3" ht="13" x14ac:dyDescent="0.15">
      <c r="A615" s="10"/>
      <c r="B615" s="13"/>
      <c r="C615" s="13"/>
    </row>
    <row r="616" spans="1:3" ht="13" x14ac:dyDescent="0.15">
      <c r="A616" s="10"/>
      <c r="B616" s="13"/>
      <c r="C616" s="13"/>
    </row>
    <row r="617" spans="1:3" ht="13" x14ac:dyDescent="0.15">
      <c r="A617" s="10"/>
      <c r="B617" s="13"/>
      <c r="C617" s="13"/>
    </row>
    <row r="618" spans="1:3" ht="13" x14ac:dyDescent="0.15">
      <c r="A618" s="10"/>
      <c r="B618" s="13"/>
      <c r="C618" s="13"/>
    </row>
    <row r="619" spans="1:3" ht="13" x14ac:dyDescent="0.15">
      <c r="A619" s="10"/>
      <c r="B619" s="13"/>
      <c r="C619" s="13"/>
    </row>
    <row r="620" spans="1:3" ht="13" x14ac:dyDescent="0.15">
      <c r="A620" s="10"/>
      <c r="B620" s="13"/>
      <c r="C620" s="13"/>
    </row>
    <row r="621" spans="1:3" ht="13" x14ac:dyDescent="0.15">
      <c r="A621" s="10"/>
      <c r="B621" s="13"/>
      <c r="C621" s="13"/>
    </row>
    <row r="622" spans="1:3" ht="13" x14ac:dyDescent="0.15">
      <c r="A622" s="10"/>
      <c r="B622" s="13"/>
      <c r="C622" s="13"/>
    </row>
    <row r="623" spans="1:3" ht="13" x14ac:dyDescent="0.15">
      <c r="A623" s="10"/>
      <c r="B623" s="13"/>
      <c r="C623" s="13"/>
    </row>
    <row r="624" spans="1:3" ht="13" x14ac:dyDescent="0.15">
      <c r="A624" s="10"/>
      <c r="B624" s="13"/>
      <c r="C624" s="13"/>
    </row>
    <row r="625" spans="1:3" ht="13" x14ac:dyDescent="0.15">
      <c r="A625" s="10"/>
      <c r="B625" s="13"/>
      <c r="C625" s="13"/>
    </row>
    <row r="626" spans="1:3" ht="13" x14ac:dyDescent="0.15">
      <c r="A626" s="10"/>
      <c r="B626" s="13"/>
      <c r="C626" s="13"/>
    </row>
    <row r="627" spans="1:3" ht="13" x14ac:dyDescent="0.15">
      <c r="A627" s="10"/>
      <c r="B627" s="13"/>
      <c r="C627" s="13"/>
    </row>
    <row r="628" spans="1:3" ht="13" x14ac:dyDescent="0.15">
      <c r="A628" s="10"/>
      <c r="B628" s="13"/>
      <c r="C628" s="13"/>
    </row>
    <row r="629" spans="1:3" ht="13" x14ac:dyDescent="0.15">
      <c r="A629" s="10"/>
      <c r="B629" s="13"/>
      <c r="C629" s="13"/>
    </row>
    <row r="630" spans="1:3" ht="13" x14ac:dyDescent="0.15">
      <c r="A630" s="10"/>
      <c r="B630" s="13"/>
      <c r="C630" s="13"/>
    </row>
    <row r="631" spans="1:3" ht="13" x14ac:dyDescent="0.15">
      <c r="A631" s="10"/>
      <c r="B631" s="13"/>
      <c r="C631" s="13"/>
    </row>
    <row r="632" spans="1:3" ht="13" x14ac:dyDescent="0.15">
      <c r="A632" s="10"/>
      <c r="B632" s="13"/>
      <c r="C632" s="13"/>
    </row>
    <row r="633" spans="1:3" ht="13" x14ac:dyDescent="0.15">
      <c r="A633" s="10"/>
      <c r="B633" s="13"/>
      <c r="C633" s="13"/>
    </row>
    <row r="634" spans="1:3" ht="13" x14ac:dyDescent="0.15">
      <c r="A634" s="10"/>
      <c r="B634" s="13"/>
      <c r="C634" s="13"/>
    </row>
    <row r="635" spans="1:3" ht="13" x14ac:dyDescent="0.15">
      <c r="A635" s="10"/>
      <c r="B635" s="13"/>
      <c r="C635" s="13"/>
    </row>
    <row r="636" spans="1:3" ht="13" x14ac:dyDescent="0.15">
      <c r="A636" s="10"/>
      <c r="B636" s="13"/>
      <c r="C636" s="13"/>
    </row>
    <row r="637" spans="1:3" ht="13" x14ac:dyDescent="0.15">
      <c r="A637" s="10"/>
      <c r="B637" s="13"/>
      <c r="C637" s="13"/>
    </row>
    <row r="638" spans="1:3" ht="13" x14ac:dyDescent="0.15">
      <c r="A638" s="10"/>
      <c r="B638" s="13"/>
      <c r="C638" s="13"/>
    </row>
    <row r="639" spans="1:3" ht="13" x14ac:dyDescent="0.15">
      <c r="A639" s="10"/>
      <c r="B639" s="13"/>
      <c r="C639" s="13"/>
    </row>
    <row r="640" spans="1:3" ht="13" x14ac:dyDescent="0.15">
      <c r="A640" s="10"/>
      <c r="B640" s="13"/>
      <c r="C640" s="13"/>
    </row>
    <row r="641" spans="1:3" ht="13" x14ac:dyDescent="0.15">
      <c r="A641" s="10"/>
      <c r="B641" s="13"/>
      <c r="C641" s="13"/>
    </row>
    <row r="642" spans="1:3" ht="13" x14ac:dyDescent="0.15">
      <c r="A642" s="10"/>
      <c r="B642" s="13"/>
      <c r="C642" s="13"/>
    </row>
    <row r="643" spans="1:3" ht="13" x14ac:dyDescent="0.15">
      <c r="A643" s="10"/>
      <c r="B643" s="13"/>
      <c r="C643" s="13"/>
    </row>
    <row r="644" spans="1:3" ht="13" x14ac:dyDescent="0.15">
      <c r="A644" s="10"/>
      <c r="B644" s="13"/>
      <c r="C644" s="13"/>
    </row>
    <row r="645" spans="1:3" ht="13" x14ac:dyDescent="0.15">
      <c r="A645" s="10"/>
      <c r="B645" s="13"/>
      <c r="C645" s="13"/>
    </row>
    <row r="646" spans="1:3" ht="13" x14ac:dyDescent="0.15">
      <c r="A646" s="10"/>
      <c r="B646" s="13"/>
      <c r="C646" s="13"/>
    </row>
    <row r="647" spans="1:3" ht="13" x14ac:dyDescent="0.15">
      <c r="A647" s="10"/>
      <c r="B647" s="13"/>
      <c r="C647" s="13"/>
    </row>
    <row r="648" spans="1:3" ht="13" x14ac:dyDescent="0.15">
      <c r="A648" s="10"/>
      <c r="B648" s="13"/>
      <c r="C648" s="13"/>
    </row>
    <row r="649" spans="1:3" ht="13" x14ac:dyDescent="0.15">
      <c r="A649" s="10"/>
      <c r="B649" s="13"/>
      <c r="C649" s="13"/>
    </row>
    <row r="650" spans="1:3" ht="13" x14ac:dyDescent="0.15">
      <c r="A650" s="10"/>
      <c r="B650" s="13"/>
      <c r="C650" s="13"/>
    </row>
    <row r="651" spans="1:3" ht="13" x14ac:dyDescent="0.15">
      <c r="A651" s="10"/>
      <c r="B651" s="13"/>
      <c r="C651" s="13"/>
    </row>
    <row r="652" spans="1:3" ht="13" x14ac:dyDescent="0.15">
      <c r="A652" s="10"/>
      <c r="B652" s="13"/>
      <c r="C652" s="13"/>
    </row>
    <row r="653" spans="1:3" ht="13" x14ac:dyDescent="0.15">
      <c r="A653" s="10"/>
      <c r="B653" s="13"/>
      <c r="C653" s="13"/>
    </row>
    <row r="654" spans="1:3" ht="13" x14ac:dyDescent="0.15">
      <c r="A654" s="10"/>
      <c r="B654" s="13"/>
      <c r="C654" s="13"/>
    </row>
    <row r="655" spans="1:3" ht="13" x14ac:dyDescent="0.15">
      <c r="A655" s="10"/>
      <c r="B655" s="13"/>
      <c r="C655" s="13"/>
    </row>
    <row r="656" spans="1:3" ht="13" x14ac:dyDescent="0.15">
      <c r="A656" s="10"/>
      <c r="B656" s="13"/>
      <c r="C656" s="13"/>
    </row>
    <row r="657" spans="1:3" ht="13" x14ac:dyDescent="0.15">
      <c r="A657" s="10"/>
      <c r="B657" s="13"/>
      <c r="C657" s="13"/>
    </row>
    <row r="658" spans="1:3" ht="13" x14ac:dyDescent="0.15">
      <c r="A658" s="10"/>
      <c r="B658" s="13"/>
      <c r="C658" s="13"/>
    </row>
    <row r="659" spans="1:3" ht="13" x14ac:dyDescent="0.15">
      <c r="A659" s="10"/>
      <c r="B659" s="13"/>
      <c r="C659" s="13"/>
    </row>
    <row r="660" spans="1:3" ht="13" x14ac:dyDescent="0.15">
      <c r="A660" s="10"/>
      <c r="B660" s="13"/>
      <c r="C660" s="13"/>
    </row>
    <row r="661" spans="1:3" ht="13" x14ac:dyDescent="0.15">
      <c r="A661" s="10"/>
      <c r="B661" s="13"/>
      <c r="C661" s="13"/>
    </row>
    <row r="662" spans="1:3" ht="13" x14ac:dyDescent="0.15">
      <c r="A662" s="10"/>
      <c r="B662" s="13"/>
      <c r="C662" s="13"/>
    </row>
    <row r="663" spans="1:3" ht="13" x14ac:dyDescent="0.15">
      <c r="A663" s="10"/>
      <c r="B663" s="13"/>
      <c r="C663" s="13"/>
    </row>
    <row r="664" spans="1:3" ht="13" x14ac:dyDescent="0.15">
      <c r="A664" s="10"/>
      <c r="B664" s="13"/>
      <c r="C664" s="13"/>
    </row>
    <row r="665" spans="1:3" ht="13" x14ac:dyDescent="0.15">
      <c r="A665" s="10"/>
      <c r="B665" s="13"/>
      <c r="C665" s="13"/>
    </row>
    <row r="666" spans="1:3" ht="13" x14ac:dyDescent="0.15">
      <c r="A666" s="10"/>
      <c r="B666" s="13"/>
      <c r="C666" s="13"/>
    </row>
    <row r="667" spans="1:3" ht="13" x14ac:dyDescent="0.15">
      <c r="A667" s="10"/>
      <c r="B667" s="13"/>
      <c r="C667" s="13"/>
    </row>
    <row r="668" spans="1:3" ht="13" x14ac:dyDescent="0.15">
      <c r="A668" s="10"/>
      <c r="B668" s="13"/>
      <c r="C668" s="13"/>
    </row>
    <row r="669" spans="1:3" ht="13" x14ac:dyDescent="0.15">
      <c r="A669" s="10"/>
      <c r="B669" s="13"/>
      <c r="C669" s="13"/>
    </row>
    <row r="670" spans="1:3" ht="13" x14ac:dyDescent="0.15">
      <c r="A670" s="10"/>
      <c r="B670" s="13"/>
      <c r="C670" s="13"/>
    </row>
    <row r="671" spans="1:3" ht="13" x14ac:dyDescent="0.15">
      <c r="A671" s="10"/>
      <c r="B671" s="13"/>
      <c r="C671" s="13"/>
    </row>
    <row r="672" spans="1:3" ht="13" x14ac:dyDescent="0.15">
      <c r="A672" s="10"/>
      <c r="B672" s="13"/>
      <c r="C672" s="13"/>
    </row>
    <row r="673" spans="1:3" ht="13" x14ac:dyDescent="0.15">
      <c r="A673" s="10"/>
      <c r="B673" s="13"/>
      <c r="C673" s="13"/>
    </row>
    <row r="674" spans="1:3" ht="13" x14ac:dyDescent="0.15">
      <c r="A674" s="10"/>
      <c r="B674" s="13"/>
      <c r="C674" s="13"/>
    </row>
    <row r="675" spans="1:3" ht="13" x14ac:dyDescent="0.15">
      <c r="A675" s="10"/>
      <c r="B675" s="13"/>
      <c r="C675" s="13"/>
    </row>
    <row r="676" spans="1:3" ht="13" x14ac:dyDescent="0.15">
      <c r="A676" s="10"/>
      <c r="B676" s="13"/>
      <c r="C676" s="13"/>
    </row>
    <row r="677" spans="1:3" ht="13" x14ac:dyDescent="0.15">
      <c r="A677" s="10"/>
      <c r="B677" s="13"/>
      <c r="C677" s="13"/>
    </row>
    <row r="678" spans="1:3" ht="13" x14ac:dyDescent="0.15">
      <c r="A678" s="10"/>
      <c r="B678" s="13"/>
      <c r="C678" s="13"/>
    </row>
    <row r="679" spans="1:3" ht="13" x14ac:dyDescent="0.15">
      <c r="A679" s="10"/>
      <c r="B679" s="13"/>
      <c r="C679" s="13"/>
    </row>
    <row r="680" spans="1:3" ht="13" x14ac:dyDescent="0.15">
      <c r="A680" s="10"/>
      <c r="B680" s="13"/>
      <c r="C680" s="13"/>
    </row>
    <row r="681" spans="1:3" ht="13" x14ac:dyDescent="0.15">
      <c r="A681" s="10"/>
      <c r="B681" s="13"/>
      <c r="C681" s="13"/>
    </row>
    <row r="682" spans="1:3" ht="13" x14ac:dyDescent="0.15">
      <c r="A682" s="10"/>
      <c r="B682" s="13"/>
      <c r="C682" s="13"/>
    </row>
    <row r="683" spans="1:3" ht="13" x14ac:dyDescent="0.15">
      <c r="A683" s="10"/>
      <c r="B683" s="13"/>
      <c r="C683" s="13"/>
    </row>
    <row r="684" spans="1:3" ht="13" x14ac:dyDescent="0.15">
      <c r="A684" s="10"/>
      <c r="B684" s="13"/>
      <c r="C684" s="13"/>
    </row>
    <row r="685" spans="1:3" ht="13" x14ac:dyDescent="0.15">
      <c r="A685" s="10"/>
      <c r="B685" s="13"/>
      <c r="C685" s="13"/>
    </row>
    <row r="686" spans="1:3" ht="13" x14ac:dyDescent="0.15">
      <c r="A686" s="10"/>
      <c r="B686" s="13"/>
      <c r="C686" s="13"/>
    </row>
    <row r="687" spans="1:3" ht="13" x14ac:dyDescent="0.15">
      <c r="A687" s="10"/>
      <c r="B687" s="13"/>
      <c r="C687" s="13"/>
    </row>
    <row r="688" spans="1:3" ht="13" x14ac:dyDescent="0.15">
      <c r="A688" s="10"/>
      <c r="B688" s="13"/>
      <c r="C688" s="13"/>
    </row>
    <row r="689" spans="1:3" ht="13" x14ac:dyDescent="0.15">
      <c r="A689" s="10"/>
      <c r="B689" s="13"/>
      <c r="C689" s="13"/>
    </row>
    <row r="690" spans="1:3" ht="13" x14ac:dyDescent="0.15">
      <c r="A690" s="10"/>
      <c r="B690" s="13"/>
      <c r="C690" s="13"/>
    </row>
    <row r="691" spans="1:3" ht="13" x14ac:dyDescent="0.15">
      <c r="A691" s="10"/>
      <c r="B691" s="13"/>
      <c r="C691" s="13"/>
    </row>
    <row r="692" spans="1:3" ht="13" x14ac:dyDescent="0.15">
      <c r="A692" s="10"/>
      <c r="B692" s="13"/>
      <c r="C692" s="13"/>
    </row>
    <row r="693" spans="1:3" ht="13" x14ac:dyDescent="0.15">
      <c r="A693" s="10"/>
      <c r="B693" s="13"/>
      <c r="C693" s="13"/>
    </row>
    <row r="694" spans="1:3" ht="13" x14ac:dyDescent="0.15">
      <c r="A694" s="10"/>
      <c r="B694" s="13"/>
      <c r="C694" s="13"/>
    </row>
    <row r="695" spans="1:3" ht="13" x14ac:dyDescent="0.15">
      <c r="A695" s="10"/>
      <c r="B695" s="13"/>
      <c r="C695" s="13"/>
    </row>
    <row r="696" spans="1:3" ht="13" x14ac:dyDescent="0.15">
      <c r="A696" s="10"/>
      <c r="B696" s="13"/>
      <c r="C696" s="13"/>
    </row>
    <row r="697" spans="1:3" ht="13" x14ac:dyDescent="0.15">
      <c r="A697" s="10"/>
      <c r="B697" s="13"/>
      <c r="C697" s="13"/>
    </row>
    <row r="698" spans="1:3" ht="13" x14ac:dyDescent="0.15">
      <c r="A698" s="10"/>
      <c r="B698" s="13"/>
      <c r="C698" s="13"/>
    </row>
    <row r="699" spans="1:3" ht="13" x14ac:dyDescent="0.15">
      <c r="A699" s="10"/>
      <c r="B699" s="13"/>
      <c r="C699" s="13"/>
    </row>
    <row r="700" spans="1:3" ht="13" x14ac:dyDescent="0.15">
      <c r="A700" s="10"/>
      <c r="B700" s="13"/>
      <c r="C700" s="13"/>
    </row>
    <row r="701" spans="1:3" ht="13" x14ac:dyDescent="0.15">
      <c r="A701" s="10"/>
      <c r="B701" s="13"/>
      <c r="C701" s="13"/>
    </row>
    <row r="702" spans="1:3" ht="13" x14ac:dyDescent="0.15">
      <c r="A702" s="10"/>
      <c r="B702" s="13"/>
      <c r="C702" s="13"/>
    </row>
    <row r="703" spans="1:3" ht="13" x14ac:dyDescent="0.15">
      <c r="A703" s="10"/>
      <c r="B703" s="13"/>
      <c r="C703" s="13"/>
    </row>
    <row r="704" spans="1:3" ht="13" x14ac:dyDescent="0.15">
      <c r="A704" s="10"/>
      <c r="B704" s="13"/>
      <c r="C704" s="13"/>
    </row>
    <row r="705" spans="1:3" ht="13" x14ac:dyDescent="0.15">
      <c r="A705" s="10"/>
      <c r="B705" s="13"/>
      <c r="C705" s="13"/>
    </row>
    <row r="706" spans="1:3" ht="13" x14ac:dyDescent="0.15">
      <c r="A706" s="10"/>
      <c r="B706" s="13"/>
      <c r="C706" s="13"/>
    </row>
    <row r="707" spans="1:3" ht="13" x14ac:dyDescent="0.15">
      <c r="A707" s="10"/>
      <c r="B707" s="13"/>
      <c r="C707" s="13"/>
    </row>
    <row r="708" spans="1:3" ht="13" x14ac:dyDescent="0.15">
      <c r="A708" s="10"/>
      <c r="B708" s="13"/>
      <c r="C708" s="13"/>
    </row>
    <row r="709" spans="1:3" ht="13" x14ac:dyDescent="0.15">
      <c r="A709" s="10"/>
      <c r="B709" s="13"/>
      <c r="C709" s="13"/>
    </row>
    <row r="710" spans="1:3" ht="13" x14ac:dyDescent="0.15">
      <c r="A710" s="10"/>
      <c r="B710" s="13"/>
      <c r="C710" s="13"/>
    </row>
    <row r="711" spans="1:3" ht="13" x14ac:dyDescent="0.15">
      <c r="A711" s="10"/>
      <c r="B711" s="13"/>
      <c r="C711" s="13"/>
    </row>
    <row r="712" spans="1:3" ht="13" x14ac:dyDescent="0.15">
      <c r="A712" s="10"/>
      <c r="B712" s="13"/>
      <c r="C712" s="13"/>
    </row>
    <row r="713" spans="1:3" ht="13" x14ac:dyDescent="0.15">
      <c r="A713" s="10"/>
      <c r="B713" s="13"/>
      <c r="C713" s="13"/>
    </row>
    <row r="714" spans="1:3" ht="13" x14ac:dyDescent="0.15">
      <c r="A714" s="10"/>
      <c r="B714" s="13"/>
      <c r="C714" s="13"/>
    </row>
    <row r="715" spans="1:3" ht="13" x14ac:dyDescent="0.15">
      <c r="A715" s="10"/>
      <c r="B715" s="13"/>
      <c r="C715" s="13"/>
    </row>
    <row r="716" spans="1:3" ht="13" x14ac:dyDescent="0.15">
      <c r="A716" s="10"/>
      <c r="B716" s="13"/>
      <c r="C716" s="13"/>
    </row>
    <row r="717" spans="1:3" ht="13" x14ac:dyDescent="0.15">
      <c r="A717" s="10"/>
      <c r="B717" s="13"/>
      <c r="C717" s="13"/>
    </row>
    <row r="718" spans="1:3" ht="13" x14ac:dyDescent="0.15">
      <c r="A718" s="10"/>
      <c r="B718" s="13"/>
      <c r="C718" s="13"/>
    </row>
    <row r="719" spans="1:3" ht="13" x14ac:dyDescent="0.15">
      <c r="A719" s="10"/>
      <c r="B719" s="13"/>
      <c r="C719" s="13"/>
    </row>
    <row r="720" spans="1:3" ht="13" x14ac:dyDescent="0.15">
      <c r="A720" s="10"/>
      <c r="B720" s="13"/>
      <c r="C720" s="13"/>
    </row>
    <row r="721" spans="1:3" ht="13" x14ac:dyDescent="0.15">
      <c r="A721" s="10"/>
      <c r="B721" s="13"/>
      <c r="C721" s="13"/>
    </row>
    <row r="722" spans="1:3" ht="13" x14ac:dyDescent="0.15">
      <c r="A722" s="10"/>
      <c r="B722" s="13"/>
      <c r="C722" s="13"/>
    </row>
    <row r="723" spans="1:3" ht="13" x14ac:dyDescent="0.15">
      <c r="A723" s="10"/>
      <c r="B723" s="13"/>
      <c r="C723" s="13"/>
    </row>
    <row r="724" spans="1:3" ht="13" x14ac:dyDescent="0.15">
      <c r="A724" s="10"/>
      <c r="B724" s="13"/>
      <c r="C724" s="13"/>
    </row>
    <row r="725" spans="1:3" ht="13" x14ac:dyDescent="0.15">
      <c r="A725" s="10"/>
      <c r="B725" s="13"/>
      <c r="C725" s="13"/>
    </row>
    <row r="726" spans="1:3" ht="13" x14ac:dyDescent="0.15">
      <c r="A726" s="10"/>
      <c r="B726" s="13"/>
      <c r="C726" s="13"/>
    </row>
    <row r="727" spans="1:3" ht="13" x14ac:dyDescent="0.15">
      <c r="A727" s="10"/>
      <c r="B727" s="13"/>
      <c r="C727" s="13"/>
    </row>
    <row r="728" spans="1:3" ht="13" x14ac:dyDescent="0.15">
      <c r="A728" s="10"/>
      <c r="B728" s="13"/>
      <c r="C728" s="13"/>
    </row>
    <row r="729" spans="1:3" ht="13" x14ac:dyDescent="0.15">
      <c r="A729" s="10"/>
      <c r="B729" s="13"/>
      <c r="C729" s="13"/>
    </row>
    <row r="730" spans="1:3" ht="13" x14ac:dyDescent="0.15">
      <c r="A730" s="10"/>
      <c r="B730" s="13"/>
      <c r="C730" s="13"/>
    </row>
    <row r="731" spans="1:3" ht="13" x14ac:dyDescent="0.15">
      <c r="A731" s="10"/>
      <c r="B731" s="13"/>
      <c r="C731" s="13"/>
    </row>
    <row r="732" spans="1:3" ht="13" x14ac:dyDescent="0.15">
      <c r="A732" s="10"/>
      <c r="B732" s="13"/>
      <c r="C732" s="13"/>
    </row>
    <row r="733" spans="1:3" ht="13" x14ac:dyDescent="0.15">
      <c r="A733" s="10"/>
      <c r="B733" s="13"/>
      <c r="C733" s="13"/>
    </row>
    <row r="734" spans="1:3" ht="13" x14ac:dyDescent="0.15">
      <c r="A734" s="10"/>
      <c r="B734" s="13"/>
      <c r="C734" s="13"/>
    </row>
    <row r="735" spans="1:3" ht="13" x14ac:dyDescent="0.15">
      <c r="A735" s="10"/>
      <c r="B735" s="13"/>
      <c r="C735" s="13"/>
    </row>
    <row r="736" spans="1:3" ht="13" x14ac:dyDescent="0.15">
      <c r="A736" s="10"/>
      <c r="B736" s="13"/>
      <c r="C736" s="13"/>
    </row>
    <row r="737" spans="1:3" ht="13" x14ac:dyDescent="0.15">
      <c r="A737" s="10"/>
      <c r="B737" s="13"/>
      <c r="C737" s="13"/>
    </row>
    <row r="738" spans="1:3" ht="13" x14ac:dyDescent="0.15">
      <c r="A738" s="10"/>
      <c r="B738" s="13"/>
      <c r="C738" s="13"/>
    </row>
    <row r="739" spans="1:3" ht="13" x14ac:dyDescent="0.15">
      <c r="A739" s="10"/>
      <c r="B739" s="13"/>
      <c r="C739" s="13"/>
    </row>
    <row r="740" spans="1:3" ht="13" x14ac:dyDescent="0.15">
      <c r="A740" s="10"/>
      <c r="B740" s="13"/>
      <c r="C740" s="13"/>
    </row>
    <row r="741" spans="1:3" ht="13" x14ac:dyDescent="0.15">
      <c r="A741" s="10"/>
      <c r="B741" s="13"/>
      <c r="C741" s="13"/>
    </row>
    <row r="742" spans="1:3" ht="13" x14ac:dyDescent="0.15">
      <c r="A742" s="10"/>
      <c r="B742" s="13"/>
      <c r="C742" s="13"/>
    </row>
    <row r="743" spans="1:3" ht="13" x14ac:dyDescent="0.15">
      <c r="A743" s="10"/>
      <c r="B743" s="13"/>
      <c r="C743" s="13"/>
    </row>
    <row r="744" spans="1:3" ht="13" x14ac:dyDescent="0.15">
      <c r="A744" s="10"/>
      <c r="B744" s="13"/>
      <c r="C744" s="13"/>
    </row>
    <row r="745" spans="1:3" ht="13" x14ac:dyDescent="0.15">
      <c r="A745" s="10"/>
      <c r="B745" s="13"/>
      <c r="C745" s="13"/>
    </row>
    <row r="746" spans="1:3" ht="13" x14ac:dyDescent="0.15">
      <c r="A746" s="10"/>
      <c r="B746" s="13"/>
      <c r="C746" s="13"/>
    </row>
    <row r="747" spans="1:3" ht="13" x14ac:dyDescent="0.15">
      <c r="A747" s="10"/>
      <c r="B747" s="13"/>
      <c r="C747" s="13"/>
    </row>
    <row r="748" spans="1:3" ht="13" x14ac:dyDescent="0.15">
      <c r="A748" s="10"/>
      <c r="B748" s="13"/>
      <c r="C748" s="13"/>
    </row>
    <row r="749" spans="1:3" ht="13" x14ac:dyDescent="0.15">
      <c r="A749" s="10"/>
      <c r="B749" s="13"/>
      <c r="C749" s="13"/>
    </row>
    <row r="750" spans="1:3" ht="13" x14ac:dyDescent="0.15">
      <c r="A750" s="10"/>
      <c r="B750" s="13"/>
      <c r="C750" s="13"/>
    </row>
    <row r="751" spans="1:3" ht="13" x14ac:dyDescent="0.15">
      <c r="A751" s="10"/>
      <c r="B751" s="13"/>
      <c r="C751" s="13"/>
    </row>
    <row r="752" spans="1:3" ht="13" x14ac:dyDescent="0.15">
      <c r="A752" s="10"/>
      <c r="B752" s="13"/>
      <c r="C752" s="13"/>
    </row>
    <row r="753" spans="1:3" ht="13" x14ac:dyDescent="0.15">
      <c r="A753" s="10"/>
      <c r="B753" s="13"/>
      <c r="C753" s="13"/>
    </row>
    <row r="754" spans="1:3" ht="13" x14ac:dyDescent="0.15">
      <c r="A754" s="10"/>
      <c r="B754" s="13"/>
      <c r="C754" s="13"/>
    </row>
    <row r="755" spans="1:3" ht="13" x14ac:dyDescent="0.15">
      <c r="A755" s="10"/>
      <c r="B755" s="13"/>
      <c r="C755" s="13"/>
    </row>
    <row r="756" spans="1:3" ht="13" x14ac:dyDescent="0.15">
      <c r="A756" s="10"/>
      <c r="B756" s="13"/>
      <c r="C756" s="13"/>
    </row>
    <row r="757" spans="1:3" ht="13" x14ac:dyDescent="0.15">
      <c r="A757" s="10"/>
      <c r="B757" s="13"/>
      <c r="C757" s="13"/>
    </row>
    <row r="758" spans="1:3" ht="13" x14ac:dyDescent="0.15">
      <c r="A758" s="10"/>
      <c r="B758" s="13"/>
      <c r="C758" s="13"/>
    </row>
    <row r="759" spans="1:3" ht="13" x14ac:dyDescent="0.15">
      <c r="A759" s="10"/>
      <c r="B759" s="13"/>
      <c r="C759" s="13"/>
    </row>
    <row r="760" spans="1:3" ht="13" x14ac:dyDescent="0.15">
      <c r="A760" s="10"/>
      <c r="B760" s="13"/>
      <c r="C760" s="13"/>
    </row>
    <row r="761" spans="1:3" ht="13" x14ac:dyDescent="0.15">
      <c r="A761" s="10"/>
      <c r="B761" s="13"/>
      <c r="C761" s="13"/>
    </row>
    <row r="762" spans="1:3" ht="13" x14ac:dyDescent="0.15">
      <c r="A762" s="10"/>
      <c r="B762" s="13"/>
      <c r="C762" s="13"/>
    </row>
    <row r="763" spans="1:3" ht="13" x14ac:dyDescent="0.15">
      <c r="A763" s="10"/>
      <c r="B763" s="13"/>
      <c r="C763" s="13"/>
    </row>
    <row r="764" spans="1:3" ht="13" x14ac:dyDescent="0.15">
      <c r="A764" s="10"/>
      <c r="B764" s="13"/>
      <c r="C764" s="13"/>
    </row>
    <row r="765" spans="1:3" ht="13" x14ac:dyDescent="0.15">
      <c r="A765" s="10"/>
      <c r="B765" s="13"/>
      <c r="C765" s="13"/>
    </row>
    <row r="766" spans="1:3" ht="13" x14ac:dyDescent="0.15">
      <c r="A766" s="10"/>
      <c r="B766" s="13"/>
      <c r="C766" s="13"/>
    </row>
    <row r="767" spans="1:3" ht="13" x14ac:dyDescent="0.15">
      <c r="A767" s="10"/>
      <c r="B767" s="13"/>
      <c r="C767" s="13"/>
    </row>
    <row r="768" spans="1:3" ht="13" x14ac:dyDescent="0.15">
      <c r="A768" s="10"/>
      <c r="B768" s="13"/>
      <c r="C768" s="13"/>
    </row>
    <row r="769" spans="1:3" ht="13" x14ac:dyDescent="0.15">
      <c r="A769" s="10"/>
      <c r="B769" s="13"/>
      <c r="C769" s="13"/>
    </row>
    <row r="770" spans="1:3" ht="13" x14ac:dyDescent="0.15">
      <c r="A770" s="10"/>
      <c r="B770" s="13"/>
      <c r="C770" s="13"/>
    </row>
    <row r="771" spans="1:3" ht="13" x14ac:dyDescent="0.15">
      <c r="A771" s="10"/>
      <c r="B771" s="13"/>
      <c r="C771" s="13"/>
    </row>
    <row r="772" spans="1:3" ht="13" x14ac:dyDescent="0.15">
      <c r="A772" s="10"/>
      <c r="B772" s="13"/>
      <c r="C772" s="13"/>
    </row>
    <row r="773" spans="1:3" ht="13" x14ac:dyDescent="0.15">
      <c r="A773" s="10"/>
      <c r="B773" s="13"/>
      <c r="C773" s="13"/>
    </row>
    <row r="774" spans="1:3" ht="13" x14ac:dyDescent="0.15">
      <c r="A774" s="10"/>
      <c r="B774" s="13"/>
      <c r="C774" s="13"/>
    </row>
    <row r="775" spans="1:3" ht="13" x14ac:dyDescent="0.15">
      <c r="A775" s="10"/>
      <c r="B775" s="13"/>
      <c r="C775" s="13"/>
    </row>
    <row r="776" spans="1:3" ht="13" x14ac:dyDescent="0.15">
      <c r="A776" s="10"/>
      <c r="B776" s="13"/>
      <c r="C776" s="13"/>
    </row>
    <row r="777" spans="1:3" ht="13" x14ac:dyDescent="0.15">
      <c r="A777" s="10"/>
      <c r="B777" s="13"/>
      <c r="C777" s="13"/>
    </row>
    <row r="778" spans="1:3" ht="13" x14ac:dyDescent="0.15">
      <c r="A778" s="10"/>
      <c r="B778" s="13"/>
      <c r="C778" s="13"/>
    </row>
    <row r="779" spans="1:3" ht="13" x14ac:dyDescent="0.15">
      <c r="A779" s="10"/>
      <c r="B779" s="13"/>
      <c r="C779" s="13"/>
    </row>
    <row r="780" spans="1:3" ht="13" x14ac:dyDescent="0.15">
      <c r="A780" s="10"/>
      <c r="B780" s="13"/>
      <c r="C780" s="13"/>
    </row>
    <row r="781" spans="1:3" ht="13" x14ac:dyDescent="0.15">
      <c r="A781" s="10"/>
      <c r="B781" s="13"/>
      <c r="C781" s="13"/>
    </row>
    <row r="782" spans="1:3" ht="13" x14ac:dyDescent="0.15">
      <c r="A782" s="10"/>
      <c r="B782" s="13"/>
      <c r="C782" s="13"/>
    </row>
    <row r="783" spans="1:3" ht="13" x14ac:dyDescent="0.15">
      <c r="A783" s="10"/>
      <c r="B783" s="13"/>
      <c r="C783" s="13"/>
    </row>
    <row r="784" spans="1:3" ht="13" x14ac:dyDescent="0.15">
      <c r="A784" s="10"/>
      <c r="B784" s="13"/>
      <c r="C784" s="13"/>
    </row>
    <row r="785" spans="1:3" ht="13" x14ac:dyDescent="0.15">
      <c r="A785" s="10"/>
      <c r="B785" s="13"/>
      <c r="C785" s="13"/>
    </row>
    <row r="786" spans="1:3" ht="13" x14ac:dyDescent="0.15">
      <c r="A786" s="10"/>
      <c r="B786" s="13"/>
      <c r="C786" s="13"/>
    </row>
    <row r="787" spans="1:3" ht="13" x14ac:dyDescent="0.15">
      <c r="A787" s="10"/>
      <c r="B787" s="13"/>
      <c r="C787" s="13"/>
    </row>
    <row r="788" spans="1:3" ht="13" x14ac:dyDescent="0.15">
      <c r="A788" s="10"/>
      <c r="B788" s="13"/>
      <c r="C788" s="13"/>
    </row>
    <row r="789" spans="1:3" ht="13" x14ac:dyDescent="0.15">
      <c r="A789" s="10"/>
      <c r="B789" s="13"/>
      <c r="C789" s="13"/>
    </row>
    <row r="790" spans="1:3" ht="13" x14ac:dyDescent="0.15">
      <c r="A790" s="10"/>
      <c r="B790" s="13"/>
      <c r="C790" s="13"/>
    </row>
    <row r="791" spans="1:3" ht="13" x14ac:dyDescent="0.15">
      <c r="A791" s="10"/>
      <c r="B791" s="13"/>
      <c r="C791" s="13"/>
    </row>
    <row r="792" spans="1:3" ht="13" x14ac:dyDescent="0.15">
      <c r="A792" s="10"/>
      <c r="B792" s="13"/>
      <c r="C792" s="13"/>
    </row>
    <row r="793" spans="1:3" ht="13" x14ac:dyDescent="0.15">
      <c r="A793" s="10"/>
      <c r="B793" s="13"/>
      <c r="C793" s="13"/>
    </row>
    <row r="794" spans="1:3" ht="13" x14ac:dyDescent="0.15">
      <c r="A794" s="10"/>
      <c r="B794" s="13"/>
      <c r="C794" s="13"/>
    </row>
    <row r="795" spans="1:3" ht="13" x14ac:dyDescent="0.15">
      <c r="A795" s="10"/>
      <c r="B795" s="13"/>
      <c r="C795" s="13"/>
    </row>
    <row r="796" spans="1:3" ht="13" x14ac:dyDescent="0.15">
      <c r="A796" s="10"/>
      <c r="B796" s="13"/>
      <c r="C796" s="13"/>
    </row>
    <row r="797" spans="1:3" ht="13" x14ac:dyDescent="0.15">
      <c r="A797" s="10"/>
      <c r="B797" s="13"/>
      <c r="C797" s="13"/>
    </row>
    <row r="798" spans="1:3" ht="13" x14ac:dyDescent="0.15">
      <c r="A798" s="10"/>
      <c r="B798" s="13"/>
      <c r="C798" s="13"/>
    </row>
    <row r="799" spans="1:3" ht="13" x14ac:dyDescent="0.15">
      <c r="A799" s="10"/>
      <c r="B799" s="13"/>
      <c r="C799" s="13"/>
    </row>
    <row r="800" spans="1:3" ht="13" x14ac:dyDescent="0.15">
      <c r="A800" s="10"/>
      <c r="B800" s="13"/>
      <c r="C800" s="13"/>
    </row>
    <row r="801" spans="1:3" ht="13" x14ac:dyDescent="0.15">
      <c r="A801" s="10"/>
      <c r="B801" s="13"/>
      <c r="C801" s="13"/>
    </row>
    <row r="802" spans="1:3" ht="13" x14ac:dyDescent="0.15">
      <c r="A802" s="10"/>
      <c r="B802" s="13"/>
      <c r="C802" s="13"/>
    </row>
    <row r="803" spans="1:3" ht="13" x14ac:dyDescent="0.15">
      <c r="A803" s="10"/>
      <c r="B803" s="13"/>
      <c r="C803" s="13"/>
    </row>
    <row r="804" spans="1:3" ht="13" x14ac:dyDescent="0.15">
      <c r="A804" s="10"/>
      <c r="B804" s="13"/>
      <c r="C804" s="13"/>
    </row>
    <row r="805" spans="1:3" ht="13" x14ac:dyDescent="0.15">
      <c r="A805" s="10"/>
      <c r="B805" s="13"/>
      <c r="C805" s="13"/>
    </row>
    <row r="806" spans="1:3" ht="13" x14ac:dyDescent="0.15">
      <c r="A806" s="10"/>
      <c r="B806" s="13"/>
      <c r="C806" s="13"/>
    </row>
    <row r="807" spans="1:3" ht="13" x14ac:dyDescent="0.15">
      <c r="A807" s="10"/>
      <c r="B807" s="13"/>
      <c r="C807" s="13"/>
    </row>
    <row r="808" spans="1:3" ht="13" x14ac:dyDescent="0.15">
      <c r="A808" s="10"/>
      <c r="B808" s="13"/>
      <c r="C808" s="13"/>
    </row>
    <row r="809" spans="1:3" ht="13" x14ac:dyDescent="0.15">
      <c r="A809" s="10"/>
      <c r="B809" s="13"/>
      <c r="C809" s="13"/>
    </row>
    <row r="810" spans="1:3" ht="13" x14ac:dyDescent="0.15">
      <c r="A810" s="10"/>
      <c r="B810" s="13"/>
      <c r="C810" s="13"/>
    </row>
    <row r="811" spans="1:3" ht="13" x14ac:dyDescent="0.15">
      <c r="A811" s="10"/>
      <c r="B811" s="13"/>
      <c r="C811" s="13"/>
    </row>
    <row r="812" spans="1:3" ht="13" x14ac:dyDescent="0.15">
      <c r="A812" s="10"/>
      <c r="B812" s="13"/>
      <c r="C812" s="13"/>
    </row>
    <row r="813" spans="1:3" ht="13" x14ac:dyDescent="0.15">
      <c r="A813" s="10"/>
      <c r="B813" s="13"/>
      <c r="C813" s="13"/>
    </row>
    <row r="814" spans="1:3" ht="13" x14ac:dyDescent="0.15">
      <c r="A814" s="10"/>
      <c r="B814" s="13"/>
      <c r="C814" s="13"/>
    </row>
    <row r="815" spans="1:3" ht="13" x14ac:dyDescent="0.15">
      <c r="A815" s="10"/>
      <c r="B815" s="13"/>
      <c r="C815" s="13"/>
    </row>
    <row r="816" spans="1:3" ht="13" x14ac:dyDescent="0.15">
      <c r="A816" s="10"/>
      <c r="B816" s="13"/>
      <c r="C816" s="13"/>
    </row>
    <row r="817" spans="1:3" ht="13" x14ac:dyDescent="0.15">
      <c r="A817" s="10"/>
      <c r="B817" s="13"/>
      <c r="C817" s="13"/>
    </row>
    <row r="818" spans="1:3" ht="13" x14ac:dyDescent="0.15">
      <c r="A818" s="10"/>
      <c r="B818" s="13"/>
      <c r="C818" s="13"/>
    </row>
    <row r="819" spans="1:3" ht="13" x14ac:dyDescent="0.15">
      <c r="A819" s="10"/>
      <c r="B819" s="13"/>
      <c r="C819" s="13"/>
    </row>
    <row r="820" spans="1:3" ht="13" x14ac:dyDescent="0.15">
      <c r="A820" s="10"/>
      <c r="B820" s="13"/>
      <c r="C820" s="13"/>
    </row>
    <row r="821" spans="1:3" ht="13" x14ac:dyDescent="0.15">
      <c r="A821" s="10"/>
      <c r="B821" s="13"/>
      <c r="C821" s="13"/>
    </row>
    <row r="822" spans="1:3" ht="13" x14ac:dyDescent="0.15">
      <c r="A822" s="10"/>
      <c r="B822" s="13"/>
      <c r="C822" s="13"/>
    </row>
    <row r="823" spans="1:3" ht="13" x14ac:dyDescent="0.15">
      <c r="A823" s="10"/>
      <c r="B823" s="13"/>
      <c r="C823" s="13"/>
    </row>
    <row r="824" spans="1:3" ht="13" x14ac:dyDescent="0.15">
      <c r="A824" s="10"/>
      <c r="B824" s="13"/>
      <c r="C824" s="13"/>
    </row>
    <row r="825" spans="1:3" ht="13" x14ac:dyDescent="0.15">
      <c r="A825" s="10"/>
      <c r="B825" s="13"/>
      <c r="C825" s="13"/>
    </row>
    <row r="826" spans="1:3" ht="13" x14ac:dyDescent="0.15">
      <c r="A826" s="10"/>
      <c r="B826" s="13"/>
      <c r="C826" s="13"/>
    </row>
    <row r="827" spans="1:3" ht="13" x14ac:dyDescent="0.15">
      <c r="A827" s="10"/>
      <c r="B827" s="13"/>
      <c r="C827" s="13"/>
    </row>
    <row r="828" spans="1:3" ht="13" x14ac:dyDescent="0.15">
      <c r="A828" s="10"/>
      <c r="B828" s="13"/>
      <c r="C828" s="13"/>
    </row>
    <row r="829" spans="1:3" ht="13" x14ac:dyDescent="0.15">
      <c r="A829" s="10"/>
      <c r="B829" s="13"/>
      <c r="C829" s="13"/>
    </row>
    <row r="830" spans="1:3" ht="13" x14ac:dyDescent="0.15">
      <c r="A830" s="10"/>
      <c r="B830" s="13"/>
      <c r="C830" s="13"/>
    </row>
    <row r="831" spans="1:3" ht="13" x14ac:dyDescent="0.15">
      <c r="A831" s="10"/>
      <c r="B831" s="13"/>
      <c r="C831" s="13"/>
    </row>
    <row r="832" spans="1:3" ht="13" x14ac:dyDescent="0.15">
      <c r="A832" s="10"/>
      <c r="B832" s="13"/>
      <c r="C832" s="13"/>
    </row>
    <row r="833" spans="1:3" ht="13" x14ac:dyDescent="0.15">
      <c r="A833" s="10"/>
      <c r="B833" s="13"/>
      <c r="C833" s="13"/>
    </row>
    <row r="834" spans="1:3" ht="13" x14ac:dyDescent="0.15">
      <c r="A834" s="10"/>
      <c r="B834" s="13"/>
      <c r="C834" s="13"/>
    </row>
    <row r="835" spans="1:3" ht="13" x14ac:dyDescent="0.15">
      <c r="A835" s="10"/>
      <c r="B835" s="13"/>
      <c r="C835" s="13"/>
    </row>
    <row r="836" spans="1:3" ht="13" x14ac:dyDescent="0.15">
      <c r="A836" s="10"/>
      <c r="B836" s="13"/>
      <c r="C836" s="13"/>
    </row>
    <row r="837" spans="1:3" ht="13" x14ac:dyDescent="0.15">
      <c r="A837" s="10"/>
      <c r="B837" s="13"/>
      <c r="C837" s="13"/>
    </row>
    <row r="838" spans="1:3" ht="13" x14ac:dyDescent="0.15">
      <c r="A838" s="10"/>
      <c r="B838" s="13"/>
      <c r="C838" s="13"/>
    </row>
    <row r="839" spans="1:3" ht="13" x14ac:dyDescent="0.15">
      <c r="A839" s="10"/>
      <c r="B839" s="13"/>
      <c r="C839" s="13"/>
    </row>
    <row r="840" spans="1:3" ht="13" x14ac:dyDescent="0.15">
      <c r="A840" s="10"/>
      <c r="B840" s="13"/>
      <c r="C840" s="13"/>
    </row>
    <row r="841" spans="1:3" ht="13" x14ac:dyDescent="0.15">
      <c r="A841" s="10"/>
      <c r="B841" s="13"/>
      <c r="C841" s="13"/>
    </row>
    <row r="842" spans="1:3" ht="13" x14ac:dyDescent="0.15">
      <c r="A842" s="10"/>
      <c r="B842" s="13"/>
      <c r="C842" s="13"/>
    </row>
    <row r="843" spans="1:3" ht="13" x14ac:dyDescent="0.15">
      <c r="A843" s="10"/>
      <c r="B843" s="13"/>
      <c r="C843" s="13"/>
    </row>
    <row r="844" spans="1:3" ht="13" x14ac:dyDescent="0.15">
      <c r="A844" s="10"/>
      <c r="B844" s="13"/>
      <c r="C844" s="13"/>
    </row>
    <row r="845" spans="1:3" ht="13" x14ac:dyDescent="0.15">
      <c r="A845" s="10"/>
      <c r="B845" s="13"/>
      <c r="C845" s="13"/>
    </row>
    <row r="846" spans="1:3" ht="13" x14ac:dyDescent="0.15">
      <c r="A846" s="10"/>
      <c r="B846" s="13"/>
      <c r="C846" s="13"/>
    </row>
    <row r="847" spans="1:3" ht="13" x14ac:dyDescent="0.15">
      <c r="A847" s="10"/>
      <c r="B847" s="13"/>
      <c r="C847" s="13"/>
    </row>
    <row r="848" spans="1:3" ht="13" x14ac:dyDescent="0.15">
      <c r="A848" s="10"/>
      <c r="B848" s="13"/>
      <c r="C848" s="13"/>
    </row>
    <row r="849" spans="1:3" ht="13" x14ac:dyDescent="0.15">
      <c r="A849" s="10"/>
      <c r="B849" s="13"/>
      <c r="C849" s="13"/>
    </row>
    <row r="850" spans="1:3" ht="13" x14ac:dyDescent="0.15">
      <c r="A850" s="10"/>
      <c r="B850" s="13"/>
      <c r="C850" s="13"/>
    </row>
    <row r="851" spans="1:3" ht="13" x14ac:dyDescent="0.15">
      <c r="A851" s="10"/>
      <c r="B851" s="13"/>
      <c r="C851" s="13"/>
    </row>
    <row r="852" spans="1:3" ht="13" x14ac:dyDescent="0.15">
      <c r="A852" s="10"/>
      <c r="B852" s="13"/>
      <c r="C852" s="13"/>
    </row>
    <row r="853" spans="1:3" ht="13" x14ac:dyDescent="0.15">
      <c r="A853" s="10"/>
      <c r="B853" s="13"/>
      <c r="C853" s="13"/>
    </row>
    <row r="854" spans="1:3" ht="13" x14ac:dyDescent="0.15">
      <c r="A854" s="10"/>
      <c r="B854" s="13"/>
      <c r="C854" s="13"/>
    </row>
    <row r="855" spans="1:3" ht="13" x14ac:dyDescent="0.15">
      <c r="A855" s="10"/>
      <c r="B855" s="13"/>
      <c r="C855" s="13"/>
    </row>
    <row r="856" spans="1:3" ht="13" x14ac:dyDescent="0.15">
      <c r="A856" s="10"/>
      <c r="B856" s="13"/>
      <c r="C856" s="13"/>
    </row>
    <row r="857" spans="1:3" ht="13" x14ac:dyDescent="0.15">
      <c r="A857" s="10"/>
      <c r="B857" s="13"/>
      <c r="C857" s="13"/>
    </row>
    <row r="858" spans="1:3" ht="13" x14ac:dyDescent="0.15">
      <c r="A858" s="10"/>
      <c r="B858" s="13"/>
      <c r="C858" s="13"/>
    </row>
    <row r="859" spans="1:3" ht="13" x14ac:dyDescent="0.15">
      <c r="A859" s="10"/>
      <c r="B859" s="13"/>
      <c r="C859" s="13"/>
    </row>
    <row r="860" spans="1:3" ht="13" x14ac:dyDescent="0.15">
      <c r="A860" s="10"/>
      <c r="B860" s="13"/>
      <c r="C860" s="13"/>
    </row>
    <row r="861" spans="1:3" ht="13" x14ac:dyDescent="0.15">
      <c r="A861" s="10"/>
      <c r="B861" s="13"/>
      <c r="C861" s="13"/>
    </row>
    <row r="862" spans="1:3" ht="13" x14ac:dyDescent="0.15">
      <c r="A862" s="10"/>
      <c r="B862" s="13"/>
      <c r="C862" s="13"/>
    </row>
    <row r="863" spans="1:3" ht="13" x14ac:dyDescent="0.15">
      <c r="A863" s="10"/>
      <c r="B863" s="13"/>
      <c r="C863" s="13"/>
    </row>
    <row r="864" spans="1:3" ht="13" x14ac:dyDescent="0.15">
      <c r="A864" s="10"/>
      <c r="B864" s="13"/>
      <c r="C864" s="13"/>
    </row>
    <row r="865" spans="1:3" ht="13" x14ac:dyDescent="0.15">
      <c r="A865" s="10"/>
      <c r="B865" s="13"/>
      <c r="C865" s="13"/>
    </row>
    <row r="866" spans="1:3" ht="13" x14ac:dyDescent="0.15">
      <c r="A866" s="10"/>
      <c r="B866" s="13"/>
      <c r="C866" s="13"/>
    </row>
    <row r="867" spans="1:3" ht="13" x14ac:dyDescent="0.15">
      <c r="A867" s="10"/>
      <c r="B867" s="13"/>
      <c r="C867" s="13"/>
    </row>
    <row r="868" spans="1:3" ht="13" x14ac:dyDescent="0.15">
      <c r="A868" s="10"/>
      <c r="B868" s="13"/>
      <c r="C868" s="13"/>
    </row>
    <row r="869" spans="1:3" ht="13" x14ac:dyDescent="0.15">
      <c r="A869" s="10"/>
      <c r="B869" s="13"/>
      <c r="C869" s="13"/>
    </row>
    <row r="870" spans="1:3" ht="13" x14ac:dyDescent="0.15">
      <c r="A870" s="10"/>
      <c r="B870" s="13"/>
      <c r="C870" s="13"/>
    </row>
    <row r="871" spans="1:3" ht="13" x14ac:dyDescent="0.15">
      <c r="A871" s="10"/>
      <c r="B871" s="13"/>
      <c r="C871" s="13"/>
    </row>
    <row r="872" spans="1:3" ht="13" x14ac:dyDescent="0.15">
      <c r="A872" s="10"/>
      <c r="B872" s="13"/>
      <c r="C872" s="13"/>
    </row>
    <row r="873" spans="1:3" ht="13" x14ac:dyDescent="0.15">
      <c r="A873" s="10"/>
      <c r="B873" s="13"/>
      <c r="C873" s="13"/>
    </row>
    <row r="874" spans="1:3" ht="13" x14ac:dyDescent="0.15">
      <c r="A874" s="10"/>
      <c r="B874" s="13"/>
      <c r="C874" s="13"/>
    </row>
    <row r="875" spans="1:3" ht="13" x14ac:dyDescent="0.15">
      <c r="A875" s="10"/>
      <c r="B875" s="13"/>
      <c r="C875" s="13"/>
    </row>
    <row r="876" spans="1:3" ht="13" x14ac:dyDescent="0.15">
      <c r="A876" s="10"/>
      <c r="B876" s="13"/>
      <c r="C876" s="13"/>
    </row>
    <row r="877" spans="1:3" ht="13" x14ac:dyDescent="0.15">
      <c r="A877" s="10"/>
      <c r="B877" s="13"/>
      <c r="C877" s="13"/>
    </row>
    <row r="878" spans="1:3" ht="13" x14ac:dyDescent="0.15">
      <c r="A878" s="10"/>
      <c r="B878" s="13"/>
      <c r="C878" s="13"/>
    </row>
    <row r="879" spans="1:3" ht="13" x14ac:dyDescent="0.15">
      <c r="A879" s="10"/>
      <c r="B879" s="13"/>
      <c r="C879" s="13"/>
    </row>
    <row r="880" spans="1:3" ht="13" x14ac:dyDescent="0.15">
      <c r="A880" s="10"/>
      <c r="B880" s="13"/>
      <c r="C880" s="13"/>
    </row>
    <row r="881" spans="1:3" ht="13" x14ac:dyDescent="0.15">
      <c r="A881" s="10"/>
      <c r="B881" s="13"/>
      <c r="C881" s="13"/>
    </row>
    <row r="882" spans="1:3" ht="13" x14ac:dyDescent="0.15">
      <c r="A882" s="10"/>
      <c r="B882" s="13"/>
      <c r="C882" s="13"/>
    </row>
    <row r="883" spans="1:3" ht="13" x14ac:dyDescent="0.15">
      <c r="A883" s="10"/>
      <c r="B883" s="13"/>
      <c r="C883" s="13"/>
    </row>
    <row r="884" spans="1:3" ht="13" x14ac:dyDescent="0.15">
      <c r="A884" s="10"/>
      <c r="B884" s="13"/>
      <c r="C884" s="13"/>
    </row>
    <row r="885" spans="1:3" ht="13" x14ac:dyDescent="0.15">
      <c r="A885" s="10"/>
      <c r="B885" s="13"/>
      <c r="C885" s="13"/>
    </row>
    <row r="886" spans="1:3" ht="13" x14ac:dyDescent="0.15">
      <c r="A886" s="10"/>
      <c r="B886" s="13"/>
      <c r="C886" s="13"/>
    </row>
    <row r="887" spans="1:3" ht="13" x14ac:dyDescent="0.15">
      <c r="A887" s="10"/>
      <c r="B887" s="13"/>
      <c r="C887" s="13"/>
    </row>
    <row r="888" spans="1:3" ht="13" x14ac:dyDescent="0.15">
      <c r="A888" s="10"/>
      <c r="B888" s="13"/>
      <c r="C888" s="13"/>
    </row>
    <row r="889" spans="1:3" ht="13" x14ac:dyDescent="0.15">
      <c r="A889" s="10"/>
      <c r="B889" s="13"/>
      <c r="C889" s="13"/>
    </row>
    <row r="890" spans="1:3" ht="13" x14ac:dyDescent="0.15">
      <c r="A890" s="10"/>
      <c r="B890" s="13"/>
      <c r="C890" s="13"/>
    </row>
    <row r="891" spans="1:3" ht="13" x14ac:dyDescent="0.15">
      <c r="A891" s="10"/>
      <c r="B891" s="13"/>
      <c r="C891" s="13"/>
    </row>
    <row r="892" spans="1:3" ht="13" x14ac:dyDescent="0.15">
      <c r="A892" s="10"/>
      <c r="B892" s="13"/>
      <c r="C892" s="13"/>
    </row>
    <row r="893" spans="1:3" ht="13" x14ac:dyDescent="0.15">
      <c r="A893" s="10"/>
      <c r="B893" s="13"/>
      <c r="C893" s="13"/>
    </row>
    <row r="894" spans="1:3" ht="13" x14ac:dyDescent="0.15">
      <c r="A894" s="10"/>
      <c r="B894" s="13"/>
      <c r="C894" s="13"/>
    </row>
    <row r="895" spans="1:3" ht="13" x14ac:dyDescent="0.15">
      <c r="A895" s="10"/>
      <c r="B895" s="13"/>
      <c r="C895" s="13"/>
    </row>
    <row r="896" spans="1:3" ht="13" x14ac:dyDescent="0.15">
      <c r="A896" s="10"/>
      <c r="B896" s="13"/>
      <c r="C896" s="13"/>
    </row>
    <row r="897" spans="1:3" ht="13" x14ac:dyDescent="0.15">
      <c r="A897" s="10"/>
      <c r="B897" s="13"/>
      <c r="C897" s="13"/>
    </row>
    <row r="898" spans="1:3" ht="13" x14ac:dyDescent="0.15">
      <c r="A898" s="10"/>
      <c r="B898" s="13"/>
      <c r="C898" s="13"/>
    </row>
    <row r="899" spans="1:3" ht="13" x14ac:dyDescent="0.15">
      <c r="A899" s="10"/>
      <c r="B899" s="13"/>
      <c r="C899" s="13"/>
    </row>
    <row r="900" spans="1:3" ht="13" x14ac:dyDescent="0.15">
      <c r="A900" s="10"/>
      <c r="B900" s="13"/>
      <c r="C900" s="13"/>
    </row>
    <row r="901" spans="1:3" ht="13" x14ac:dyDescent="0.15">
      <c r="A901" s="10"/>
      <c r="B901" s="13"/>
      <c r="C901" s="13"/>
    </row>
    <row r="902" spans="1:3" ht="13" x14ac:dyDescent="0.15">
      <c r="A902" s="10"/>
      <c r="B902" s="13"/>
      <c r="C902" s="13"/>
    </row>
    <row r="903" spans="1:3" ht="13" x14ac:dyDescent="0.15">
      <c r="A903" s="10"/>
      <c r="B903" s="13"/>
      <c r="C903" s="13"/>
    </row>
    <row r="904" spans="1:3" ht="13" x14ac:dyDescent="0.15">
      <c r="A904" s="10"/>
      <c r="B904" s="13"/>
      <c r="C904" s="13"/>
    </row>
    <row r="905" spans="1:3" ht="13" x14ac:dyDescent="0.15">
      <c r="A905" s="10"/>
      <c r="B905" s="13"/>
      <c r="C905" s="13"/>
    </row>
    <row r="906" spans="1:3" ht="13" x14ac:dyDescent="0.15">
      <c r="A906" s="10"/>
      <c r="B906" s="13"/>
      <c r="C906" s="13"/>
    </row>
    <row r="907" spans="1:3" ht="13" x14ac:dyDescent="0.15">
      <c r="A907" s="10"/>
      <c r="B907" s="13"/>
      <c r="C907" s="13"/>
    </row>
    <row r="908" spans="1:3" ht="13" x14ac:dyDescent="0.15">
      <c r="A908" s="10"/>
      <c r="B908" s="13"/>
      <c r="C908" s="13"/>
    </row>
    <row r="909" spans="1:3" ht="13" x14ac:dyDescent="0.15">
      <c r="A909" s="10"/>
      <c r="B909" s="13"/>
      <c r="C909" s="13"/>
    </row>
    <row r="910" spans="1:3" ht="13" x14ac:dyDescent="0.15">
      <c r="A910" s="10"/>
      <c r="B910" s="13"/>
      <c r="C910" s="13"/>
    </row>
    <row r="911" spans="1:3" ht="13" x14ac:dyDescent="0.15">
      <c r="A911" s="10"/>
      <c r="B911" s="13"/>
      <c r="C911" s="13"/>
    </row>
    <row r="912" spans="1:3" ht="13" x14ac:dyDescent="0.15">
      <c r="A912" s="10"/>
      <c r="B912" s="13"/>
      <c r="C912" s="13"/>
    </row>
    <row r="913" spans="1:3" ht="13" x14ac:dyDescent="0.15">
      <c r="A913" s="10"/>
      <c r="B913" s="13"/>
      <c r="C913" s="13"/>
    </row>
    <row r="914" spans="1:3" ht="13" x14ac:dyDescent="0.15">
      <c r="A914" s="10"/>
      <c r="B914" s="13"/>
      <c r="C914" s="13"/>
    </row>
    <row r="915" spans="1:3" ht="13" x14ac:dyDescent="0.15">
      <c r="A915" s="10"/>
      <c r="B915" s="13"/>
      <c r="C915" s="13"/>
    </row>
    <row r="916" spans="1:3" ht="13" x14ac:dyDescent="0.15">
      <c r="A916" s="10"/>
      <c r="B916" s="13"/>
      <c r="C916" s="13"/>
    </row>
    <row r="917" spans="1:3" ht="13" x14ac:dyDescent="0.15">
      <c r="A917" s="10"/>
      <c r="B917" s="13"/>
      <c r="C917" s="13"/>
    </row>
    <row r="918" spans="1:3" ht="13" x14ac:dyDescent="0.15">
      <c r="A918" s="10"/>
      <c r="B918" s="13"/>
      <c r="C918" s="13"/>
    </row>
    <row r="919" spans="1:3" ht="13" x14ac:dyDescent="0.15">
      <c r="A919" s="10"/>
      <c r="B919" s="13"/>
      <c r="C919" s="13"/>
    </row>
    <row r="920" spans="1:3" ht="13" x14ac:dyDescent="0.15">
      <c r="A920" s="10"/>
      <c r="B920" s="13"/>
      <c r="C920" s="13"/>
    </row>
    <row r="921" spans="1:3" ht="13" x14ac:dyDescent="0.15">
      <c r="A921" s="10"/>
      <c r="B921" s="13"/>
      <c r="C921" s="13"/>
    </row>
    <row r="922" spans="1:3" ht="13" x14ac:dyDescent="0.15">
      <c r="A922" s="10"/>
      <c r="B922" s="13"/>
      <c r="C922" s="13"/>
    </row>
    <row r="923" spans="1:3" ht="13" x14ac:dyDescent="0.15">
      <c r="A923" s="10"/>
      <c r="B923" s="13"/>
      <c r="C923" s="13"/>
    </row>
    <row r="924" spans="1:3" ht="13" x14ac:dyDescent="0.15">
      <c r="A924" s="10"/>
      <c r="B924" s="13"/>
      <c r="C924" s="13"/>
    </row>
    <row r="925" spans="1:3" ht="13" x14ac:dyDescent="0.15">
      <c r="A925" s="10"/>
      <c r="B925" s="13"/>
      <c r="C925" s="13"/>
    </row>
    <row r="926" spans="1:3" ht="13" x14ac:dyDescent="0.15">
      <c r="A926" s="10"/>
      <c r="B926" s="13"/>
      <c r="C926" s="13"/>
    </row>
    <row r="927" spans="1:3" ht="13" x14ac:dyDescent="0.15">
      <c r="A927" s="10"/>
      <c r="B927" s="13"/>
      <c r="C927" s="13"/>
    </row>
    <row r="928" spans="1:3" ht="13" x14ac:dyDescent="0.15">
      <c r="A928" s="10"/>
      <c r="B928" s="13"/>
      <c r="C928" s="13"/>
    </row>
    <row r="929" spans="1:3" ht="13" x14ac:dyDescent="0.15">
      <c r="A929" s="10"/>
      <c r="B929" s="13"/>
      <c r="C929" s="13"/>
    </row>
    <row r="930" spans="1:3" ht="13" x14ac:dyDescent="0.15">
      <c r="A930" s="10"/>
      <c r="B930" s="13"/>
      <c r="C930" s="13"/>
    </row>
    <row r="931" spans="1:3" ht="13" x14ac:dyDescent="0.15">
      <c r="A931" s="10"/>
      <c r="B931" s="13"/>
      <c r="C931" s="13"/>
    </row>
    <row r="932" spans="1:3" ht="13" x14ac:dyDescent="0.15">
      <c r="A932" s="10"/>
      <c r="B932" s="13"/>
      <c r="C932" s="13"/>
    </row>
    <row r="933" spans="1:3" ht="13" x14ac:dyDescent="0.15">
      <c r="A933" s="10"/>
      <c r="B933" s="13"/>
      <c r="C933" s="13"/>
    </row>
    <row r="934" spans="1:3" ht="13" x14ac:dyDescent="0.15">
      <c r="A934" s="10"/>
      <c r="B934" s="13"/>
      <c r="C934" s="13"/>
    </row>
    <row r="935" spans="1:3" ht="13" x14ac:dyDescent="0.15">
      <c r="A935" s="10"/>
      <c r="B935" s="13"/>
      <c r="C935" s="13"/>
    </row>
    <row r="936" spans="1:3" ht="13" x14ac:dyDescent="0.15">
      <c r="A936" s="10"/>
      <c r="B936" s="13"/>
      <c r="C936" s="13"/>
    </row>
    <row r="937" spans="1:3" ht="13" x14ac:dyDescent="0.15">
      <c r="A937" s="10"/>
      <c r="B937" s="13"/>
      <c r="C937" s="13"/>
    </row>
    <row r="938" spans="1:3" ht="13" x14ac:dyDescent="0.15">
      <c r="A938" s="10"/>
      <c r="B938" s="13"/>
      <c r="C938" s="13"/>
    </row>
    <row r="939" spans="1:3" ht="13" x14ac:dyDescent="0.15">
      <c r="A939" s="10"/>
      <c r="B939" s="13"/>
      <c r="C939" s="13"/>
    </row>
    <row r="940" spans="1:3" ht="13" x14ac:dyDescent="0.15">
      <c r="A940" s="10"/>
      <c r="B940" s="13"/>
      <c r="C940" s="13"/>
    </row>
    <row r="941" spans="1:3" ht="13" x14ac:dyDescent="0.15">
      <c r="A941" s="10"/>
      <c r="B941" s="13"/>
      <c r="C941" s="13"/>
    </row>
    <row r="942" spans="1:3" ht="13" x14ac:dyDescent="0.15">
      <c r="A942" s="10"/>
      <c r="B942" s="13"/>
      <c r="C942" s="13"/>
    </row>
    <row r="943" spans="1:3" ht="13" x14ac:dyDescent="0.15">
      <c r="A943" s="10"/>
      <c r="B943" s="13"/>
      <c r="C943" s="13"/>
    </row>
    <row r="944" spans="1:3" ht="13" x14ac:dyDescent="0.15">
      <c r="A944" s="10"/>
      <c r="B944" s="13"/>
      <c r="C944" s="13"/>
    </row>
    <row r="945" spans="1:3" ht="13" x14ac:dyDescent="0.15">
      <c r="A945" s="10"/>
      <c r="B945" s="13"/>
      <c r="C945" s="13"/>
    </row>
    <row r="946" spans="1:3" ht="13" x14ac:dyDescent="0.15">
      <c r="A946" s="10"/>
      <c r="B946" s="13"/>
      <c r="C946" s="13"/>
    </row>
    <row r="947" spans="1:3" ht="13" x14ac:dyDescent="0.15">
      <c r="A947" s="10"/>
      <c r="B947" s="13"/>
      <c r="C947" s="13"/>
    </row>
    <row r="948" spans="1:3" ht="13" x14ac:dyDescent="0.15">
      <c r="A948" s="10"/>
      <c r="B948" s="13"/>
      <c r="C948" s="13"/>
    </row>
    <row r="949" spans="1:3" ht="13" x14ac:dyDescent="0.15">
      <c r="A949" s="10"/>
      <c r="B949" s="13"/>
      <c r="C949" s="13"/>
    </row>
    <row r="950" spans="1:3" ht="13" x14ac:dyDescent="0.15">
      <c r="A950" s="10"/>
      <c r="B950" s="13"/>
      <c r="C950" s="13"/>
    </row>
    <row r="951" spans="1:3" ht="13" x14ac:dyDescent="0.15">
      <c r="A951" s="10"/>
      <c r="B951" s="13"/>
      <c r="C951" s="13"/>
    </row>
    <row r="952" spans="1:3" ht="13" x14ac:dyDescent="0.15">
      <c r="A952" s="10"/>
      <c r="B952" s="13"/>
      <c r="C952" s="13"/>
    </row>
    <row r="953" spans="1:3" ht="13" x14ac:dyDescent="0.15">
      <c r="A953" s="10"/>
      <c r="B953" s="13"/>
      <c r="C953" s="13"/>
    </row>
    <row r="954" spans="1:3" ht="13" x14ac:dyDescent="0.15">
      <c r="A954" s="10"/>
      <c r="B954" s="13"/>
      <c r="C954" s="13"/>
    </row>
    <row r="955" spans="1:3" ht="13" x14ac:dyDescent="0.15">
      <c r="A955" s="10"/>
      <c r="B955" s="13"/>
      <c r="C955" s="13"/>
    </row>
    <row r="956" spans="1:3" ht="13" x14ac:dyDescent="0.15">
      <c r="A956" s="10"/>
      <c r="B956" s="13"/>
      <c r="C956" s="13"/>
    </row>
    <row r="957" spans="1:3" ht="13" x14ac:dyDescent="0.15">
      <c r="A957" s="10"/>
      <c r="B957" s="13"/>
      <c r="C957" s="13"/>
    </row>
    <row r="958" spans="1:3" ht="13" x14ac:dyDescent="0.15">
      <c r="A958" s="10"/>
      <c r="B958" s="13"/>
      <c r="C958" s="13"/>
    </row>
    <row r="959" spans="1:3" ht="13" x14ac:dyDescent="0.15">
      <c r="A959" s="10"/>
      <c r="B959" s="13"/>
      <c r="C959" s="13"/>
    </row>
    <row r="960" spans="1:3" ht="13" x14ac:dyDescent="0.15">
      <c r="A960" s="10"/>
      <c r="B960" s="13"/>
      <c r="C960" s="13"/>
    </row>
    <row r="961" spans="1:3" ht="13" x14ac:dyDescent="0.15">
      <c r="A961" s="10"/>
      <c r="B961" s="13"/>
      <c r="C961" s="13"/>
    </row>
    <row r="962" spans="1:3" ht="13" x14ac:dyDescent="0.15">
      <c r="A962" s="10"/>
      <c r="B962" s="13"/>
      <c r="C962" s="13"/>
    </row>
    <row r="963" spans="1:3" ht="13" x14ac:dyDescent="0.15">
      <c r="A963" s="10"/>
      <c r="B963" s="13"/>
      <c r="C963" s="13"/>
    </row>
    <row r="964" spans="1:3" ht="13" x14ac:dyDescent="0.15">
      <c r="A964" s="10"/>
      <c r="B964" s="13"/>
      <c r="C964" s="13"/>
    </row>
    <row r="965" spans="1:3" ht="13" x14ac:dyDescent="0.15">
      <c r="A965" s="10"/>
      <c r="B965" s="13"/>
      <c r="C965" s="13"/>
    </row>
    <row r="966" spans="1:3" ht="13" x14ac:dyDescent="0.15">
      <c r="A966" s="10"/>
      <c r="B966" s="13"/>
      <c r="C966" s="13"/>
    </row>
    <row r="967" spans="1:3" ht="13" x14ac:dyDescent="0.15">
      <c r="A967" s="10"/>
      <c r="B967" s="13"/>
      <c r="C967" s="13"/>
    </row>
    <row r="968" spans="1:3" ht="13" x14ac:dyDescent="0.15">
      <c r="A968" s="10"/>
      <c r="B968" s="13"/>
      <c r="C968" s="13"/>
    </row>
    <row r="969" spans="1:3" ht="13" x14ac:dyDescent="0.15">
      <c r="A969" s="10"/>
      <c r="B969" s="13"/>
      <c r="C969" s="13"/>
    </row>
    <row r="970" spans="1:3" ht="13" x14ac:dyDescent="0.15">
      <c r="A970" s="10"/>
      <c r="B970" s="13"/>
      <c r="C970" s="13"/>
    </row>
    <row r="971" spans="1:3" ht="13" x14ac:dyDescent="0.15">
      <c r="A971" s="10"/>
      <c r="B971" s="13"/>
      <c r="C971" s="13"/>
    </row>
    <row r="972" spans="1:3" ht="13" x14ac:dyDescent="0.15">
      <c r="A972" s="10"/>
      <c r="B972" s="13"/>
      <c r="C972" s="13"/>
    </row>
    <row r="973" spans="1:3" ht="13" x14ac:dyDescent="0.15">
      <c r="A973" s="10"/>
      <c r="B973" s="13"/>
      <c r="C973" s="13"/>
    </row>
    <row r="974" spans="1:3" ht="13" x14ac:dyDescent="0.15">
      <c r="A974" s="10"/>
      <c r="B974" s="13"/>
      <c r="C974" s="13"/>
    </row>
    <row r="975" spans="1:3" ht="13" x14ac:dyDescent="0.15">
      <c r="A975" s="10"/>
      <c r="B975" s="13"/>
      <c r="C975" s="13"/>
    </row>
    <row r="976" spans="1:3" ht="13" x14ac:dyDescent="0.15">
      <c r="A976" s="10"/>
      <c r="B976" s="13"/>
      <c r="C976" s="13"/>
    </row>
    <row r="977" spans="1:3" ht="13" x14ac:dyDescent="0.15">
      <c r="A977" s="10"/>
      <c r="B977" s="13"/>
      <c r="C977" s="13"/>
    </row>
    <row r="978" spans="1:3" ht="13" x14ac:dyDescent="0.15">
      <c r="A978" s="10"/>
      <c r="B978" s="13"/>
      <c r="C978" s="13"/>
    </row>
    <row r="979" spans="1:3" ht="13" x14ac:dyDescent="0.15">
      <c r="A979" s="10"/>
      <c r="B979" s="13"/>
      <c r="C979" s="13"/>
    </row>
    <row r="980" spans="1:3" ht="13" x14ac:dyDescent="0.15">
      <c r="A980" s="10"/>
      <c r="B980" s="13"/>
      <c r="C980" s="13"/>
    </row>
    <row r="981" spans="1:3" ht="13" x14ac:dyDescent="0.15">
      <c r="A981" s="10"/>
      <c r="B981" s="13"/>
      <c r="C981" s="13"/>
    </row>
    <row r="982" spans="1:3" ht="13" x14ac:dyDescent="0.15">
      <c r="A982" s="10"/>
      <c r="B982" s="13"/>
      <c r="C982" s="13"/>
    </row>
    <row r="983" spans="1:3" ht="13" x14ac:dyDescent="0.15">
      <c r="A983" s="10"/>
      <c r="B983" s="13"/>
      <c r="C983" s="13"/>
    </row>
    <row r="984" spans="1:3" ht="13" x14ac:dyDescent="0.15">
      <c r="A984" s="10"/>
      <c r="B984" s="13"/>
      <c r="C984" s="13"/>
    </row>
    <row r="985" spans="1:3" ht="13" x14ac:dyDescent="0.15">
      <c r="A985" s="10"/>
      <c r="B985" s="13"/>
      <c r="C985" s="13"/>
    </row>
    <row r="986" spans="1:3" ht="13" x14ac:dyDescent="0.15">
      <c r="A986" s="10"/>
      <c r="B986" s="13"/>
      <c r="C986" s="13"/>
    </row>
    <row r="987" spans="1:3" ht="13" x14ac:dyDescent="0.15">
      <c r="A987" s="10"/>
      <c r="B987" s="13"/>
      <c r="C987" s="13"/>
    </row>
    <row r="988" spans="1:3" ht="13" x14ac:dyDescent="0.15">
      <c r="A988" s="10"/>
      <c r="B988" s="13"/>
      <c r="C988" s="13"/>
    </row>
    <row r="989" spans="1:3" ht="13" x14ac:dyDescent="0.15">
      <c r="A989" s="10"/>
      <c r="B989" s="13"/>
      <c r="C989" s="13"/>
    </row>
    <row r="990" spans="1:3" ht="13" x14ac:dyDescent="0.15">
      <c r="A990" s="10"/>
      <c r="B990" s="13"/>
      <c r="C990" s="13"/>
    </row>
    <row r="991" spans="1:3" ht="13" x14ac:dyDescent="0.15">
      <c r="A991" s="10"/>
      <c r="B991" s="13"/>
      <c r="C991" s="13"/>
    </row>
    <row r="992" spans="1:3" ht="13" x14ac:dyDescent="0.15">
      <c r="A992" s="10"/>
      <c r="B992" s="13"/>
      <c r="C992" s="13"/>
    </row>
    <row r="993" spans="1:3" ht="13" x14ac:dyDescent="0.15">
      <c r="A993" s="10"/>
      <c r="B993" s="13"/>
      <c r="C993" s="13"/>
    </row>
    <row r="994" spans="1:3" ht="13" x14ac:dyDescent="0.15">
      <c r="A994" s="10"/>
      <c r="B994" s="13"/>
      <c r="C994" s="13"/>
    </row>
    <row r="995" spans="1:3" ht="13" x14ac:dyDescent="0.15">
      <c r="A995" s="10"/>
      <c r="B995" s="13"/>
      <c r="C995" s="13"/>
    </row>
    <row r="996" spans="1:3" ht="13" x14ac:dyDescent="0.15">
      <c r="A996" s="10"/>
      <c r="B996" s="13"/>
      <c r="C996" s="13"/>
    </row>
    <row r="997" spans="1:3" ht="13" x14ac:dyDescent="0.15">
      <c r="A997" s="10"/>
      <c r="B997" s="13"/>
      <c r="C997" s="13"/>
    </row>
  </sheetData>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outlinePr summaryBelow="0" summaryRight="0"/>
  </sheetPr>
  <dimension ref="A1:D997"/>
  <sheetViews>
    <sheetView workbookViewId="0"/>
  </sheetViews>
  <sheetFormatPr baseColWidth="10" defaultColWidth="12.6640625" defaultRowHeight="15.75" customHeight="1" x14ac:dyDescent="0.15"/>
  <cols>
    <col min="1" max="1" width="71.5" customWidth="1"/>
    <col min="2" max="4" width="37.6640625" customWidth="1"/>
  </cols>
  <sheetData>
    <row r="1" spans="1:4" ht="15.75" customHeight="1" x14ac:dyDescent="0.15">
      <c r="A1" s="1"/>
      <c r="B1" s="12" t="str">
        <f ca="1">IFERROR(__xludf.DUMMYFUNCTION("IMPORTRANGE(""https://docs.google.com/spreadsheets/u/0/d/1_NcUY7_L0-VKMwwoDwesshr7eGsHFBVPNg4YI6jkjhk"", ""A78!B1:B22"")"),"Noelle Labadens")</f>
        <v>Noelle Labadens</v>
      </c>
      <c r="C1" s="10" t="str">
        <f ca="1">IFERROR(__xludf.DUMMYFUNCTION("IMPORTRANGE(""https://docs.google.com/spreadsheets/d/19FYWDv6QyCNB_zbElAOE5cOI1IJ2jraXGOFWNs-qsQM"", ""A78!B1:B22"")"),"Braden")</f>
        <v>Braden</v>
      </c>
      <c r="D1" s="2" t="s">
        <v>1</v>
      </c>
    </row>
    <row r="2" spans="1:4" ht="15.75" customHeight="1" x14ac:dyDescent="0.15">
      <c r="A2" s="3" t="s">
        <v>2</v>
      </c>
      <c r="B2" s="15" t="str">
        <f ca="1">IFERROR(__xludf.DUMMYFUNCTION("""COMPUTED_VALUE"""),"47892-47698 REV")</f>
        <v>47892-47698 REV</v>
      </c>
      <c r="C2" s="15"/>
      <c r="D2" s="4"/>
    </row>
    <row r="3" spans="1:4" ht="15.75" customHeight="1" x14ac:dyDescent="0.15">
      <c r="A3" s="5" t="s">
        <v>3</v>
      </c>
      <c r="B3" s="17" t="str">
        <f ca="1">IFERROR(__xludf.DUMMYFUNCTION("""COMPUTED_VALUE"""),"DNA Master: 77; Phamerator: 78")</f>
        <v>DNA Master: 77; Phamerator: 78</v>
      </c>
      <c r="C3" s="17"/>
      <c r="D3" s="6"/>
    </row>
    <row r="4" spans="1:4" ht="15.75" customHeight="1" x14ac:dyDescent="0.15">
      <c r="A4" s="5" t="s">
        <v>4</v>
      </c>
      <c r="B4" s="17" t="str">
        <f ca="1">IFERROR(__xludf.DUMMYFUNCTION("""COMPUTED_VALUE"""),"pham 220308 3/17/25")</f>
        <v>pham 220308 3/17/25</v>
      </c>
      <c r="C4" s="17"/>
      <c r="D4" s="6"/>
    </row>
    <row r="5" spans="1:4" ht="15.75" customHeight="1" x14ac:dyDescent="0.15">
      <c r="A5" s="5" t="s">
        <v>5</v>
      </c>
      <c r="B5" s="17" t="str">
        <f ca="1">IFERROR(__xludf.DUMMYFUNCTION("""COMPUTED_VALUE"""),"Kovu_76, LiSara_75")</f>
        <v>Kovu_76, LiSara_75</v>
      </c>
      <c r="C5" s="17"/>
      <c r="D5" s="6"/>
    </row>
    <row r="6" spans="1:4" ht="15.75" customHeight="1" x14ac:dyDescent="0.15">
      <c r="A6" s="5" t="s">
        <v>6</v>
      </c>
      <c r="B6" s="17" t="str">
        <f ca="1">IFERROR(__xludf.DUMMYFUNCTION("""COMPUTED_VALUE"""),"both")</f>
        <v>both</v>
      </c>
      <c r="C6" s="17"/>
      <c r="D6" s="6"/>
    </row>
    <row r="7" spans="1:4" ht="15.75" customHeight="1" x14ac:dyDescent="0.15">
      <c r="A7" s="5" t="s">
        <v>7</v>
      </c>
      <c r="B7" s="17" t="str">
        <f ca="1">IFERROR(__xludf.DUMMYFUNCTION("""COMPUTED_VALUE"""),"good coding potential, captures all potential")</f>
        <v>good coding potential, captures all potential</v>
      </c>
      <c r="C7" s="17"/>
      <c r="D7" s="6"/>
    </row>
    <row r="8" spans="1:4" ht="15.75" customHeight="1" x14ac:dyDescent="0.15">
      <c r="A8" s="5" t="s">
        <v>8</v>
      </c>
      <c r="B8" s="17" t="str">
        <f ca="1">IFERROR(__xludf.DUMMYFUNCTION("""COMPUTED_VALUE"""),"no, there are two starts after it (and one start before it).")</f>
        <v>no, there are two starts after it (and one start before it).</v>
      </c>
      <c r="C8" s="17"/>
      <c r="D8" s="6"/>
    </row>
    <row r="9" spans="1:4" ht="15.75" customHeight="1" x14ac:dyDescent="0.15">
      <c r="A9" s="5" t="s">
        <v>9</v>
      </c>
      <c r="B9" s="17" t="str">
        <f ca="1">IFERROR(__xludf.DUMMYFUNCTION("""COMPUTED_VALUE"""),"3 nt gap")</f>
        <v>3 nt gap</v>
      </c>
      <c r="C9" s="17"/>
      <c r="D9" s="6"/>
    </row>
    <row r="10" spans="1:4" ht="15.75" customHeight="1" x14ac:dyDescent="0.15">
      <c r="A10" s="5" t="s">
        <v>10</v>
      </c>
      <c r="B10" s="17" t="str">
        <f ca="1">IFERROR(__xludf.DUMMYFUNCTION("""COMPUTED_VALUE"""),"Z score: 3.010, start #2 has a Z score of 2.1392 but creates an overlap with the next gene")</f>
        <v>Z score: 3.010, start #2 has a Z score of 2.1392 but creates an overlap with the next gene</v>
      </c>
      <c r="C10" s="17"/>
      <c r="D10" s="6"/>
    </row>
    <row r="11" spans="1:4" ht="15.75" customHeight="1" x14ac:dyDescent="0.15">
      <c r="A11" s="5" t="s">
        <v>11</v>
      </c>
      <c r="B11" s="17" t="str">
        <f ca="1">IFERROR(__xludf.DUMMYFUNCTION("""COMPUTED_VALUE"""),"Kovu_76, 82%, 1e-24, q:2, s:3. none of the quereis or subjects line up perfectly")</f>
        <v>Kovu_76, 82%, 1e-24, q:2, s:3. none of the quereis or subjects line up perfectly</v>
      </c>
      <c r="C11" s="17"/>
      <c r="D11" s="6"/>
    </row>
    <row r="12" spans="1:4" ht="15.75" customHeight="1" x14ac:dyDescent="0.15">
      <c r="A12" s="5" t="s">
        <v>12</v>
      </c>
      <c r="B12" s="17" t="str">
        <f ca="1">IFERROR(__xludf.DUMMYFUNCTION("""COMPUTED_VALUE"""),"only Kovu and ApoKipo have this start, and they both call it.")</f>
        <v>only Kovu and ApoKipo have this start, and they both call it.</v>
      </c>
      <c r="C12" s="17"/>
      <c r="D12" s="6"/>
    </row>
    <row r="13" spans="1:4" ht="15.75" customHeight="1" x14ac:dyDescent="0.15">
      <c r="A13" s="5" t="s">
        <v>13</v>
      </c>
      <c r="B13" s="17" t="str">
        <f ca="1">IFERROR(__xludf.DUMMYFUNCTION("""COMPUTED_VALUE"""),"no. Kovu calls this start, the start before it has a worse z score and the one after it creates an overlap, and it has good coding potential")</f>
        <v>no. Kovu calls this start, the start before it has a worse z score and the one after it creates an overlap, and it has good coding potential</v>
      </c>
      <c r="C13" s="17"/>
      <c r="D13" s="6"/>
    </row>
    <row r="14" spans="1:4" ht="15.75" customHeight="1" x14ac:dyDescent="0.15">
      <c r="A14" s="5" t="s">
        <v>14</v>
      </c>
      <c r="B14" s="17" t="str">
        <f ca="1">IFERROR(__xludf.DUMMYFUNCTION("""COMPUTED_VALUE"""),"Kovu_76, 1e-24, Waltz_75, 3e-20 ")</f>
        <v xml:space="preserve">Kovu_76, 1e-24, Waltz_75, 3e-20 </v>
      </c>
      <c r="C14" s="17"/>
      <c r="D14" s="6"/>
    </row>
    <row r="15" spans="1:4" ht="15.75" customHeight="1" x14ac:dyDescent="0.15">
      <c r="A15" s="5" t="s">
        <v>15</v>
      </c>
      <c r="B15" s="17" t="str">
        <f ca="1">IFERROR(__xludf.DUMMYFUNCTION("""COMPUTED_VALUE"""),"helix-turn-helix DNA binding domain, Kovu_76")</f>
        <v>helix-turn-helix DNA binding domain, Kovu_76</v>
      </c>
      <c r="C15" s="17"/>
      <c r="D15" s="6"/>
    </row>
    <row r="16" spans="1:4" ht="15.75" customHeight="1" x14ac:dyDescent="0.15">
      <c r="A16" s="5" t="s">
        <v>16</v>
      </c>
      <c r="B16" s="17" t="str">
        <f ca="1">IFERROR(__xludf.DUMMYFUNCTION("""COMPUTED_VALUE"""),"yes, good synteny. adjacent genes are to be expected")</f>
        <v>yes, good synteny. adjacent genes are to be expected</v>
      </c>
      <c r="C16" s="17"/>
      <c r="D16" s="6"/>
    </row>
    <row r="17" spans="1:4" ht="15.75" customHeight="1" x14ac:dyDescent="0.15">
      <c r="A17" s="5" t="s">
        <v>17</v>
      </c>
      <c r="B17" s="17" t="str">
        <f ca="1">IFERROR(__xludf.DUMMYFUNCTION("""COMPUTED_VALUE"""),"Recombination Directionality Factor RdfS; Excisionase, Recombination Directionality Factor, winged helix-turn-helix, superhelix, DNA BINDING PROTEIN; HET: GOL; 2.45A {Mesorhizobium japonicum R7A}; 98.99%, q:83.94% t:60.44%; good alignment. no. also aligns"&amp;" with an HTH.")</f>
        <v>Recombination Directionality Factor RdfS; Excisionase, Recombination Directionality Factor, winged helix-turn-helix, superhelix, DNA BINDING PROTEIN; HET: GOL; 2.45A {Mesorhizobium japonicum R7A}; 98.99%, q:83.94% t:60.44%; good alignment. no. also aligns with an HTH.</v>
      </c>
      <c r="C17" s="17"/>
      <c r="D17" s="6"/>
    </row>
    <row r="18" spans="1:4" ht="15.75" customHeight="1" x14ac:dyDescent="0.15">
      <c r="A18" s="5" t="s">
        <v>18</v>
      </c>
      <c r="B18" s="17" t="str">
        <f ca="1">IFERROR(__xludf.DUMMYFUNCTION("""COMPUTED_VALUE"""),"none")</f>
        <v>none</v>
      </c>
      <c r="C18" s="17"/>
      <c r="D18" s="6"/>
    </row>
    <row r="19" spans="1:4" ht="15.75" customHeight="1" x14ac:dyDescent="0.15">
      <c r="A19" s="5" t="s">
        <v>19</v>
      </c>
      <c r="B19" s="17" t="str">
        <f ca="1">IFERROR(__xludf.DUMMYFUNCTION("""COMPUTED_VALUE"""),"none")</f>
        <v>none</v>
      </c>
      <c r="C19" s="17"/>
      <c r="D19" s="6"/>
    </row>
    <row r="20" spans="1:4" ht="15.75" customHeight="1" x14ac:dyDescent="0.15">
      <c r="A20" s="5" t="s">
        <v>20</v>
      </c>
      <c r="B20" s="17" t="str">
        <f ca="1">IFERROR(__xludf.DUMMYFUNCTION("""COMPUTED_VALUE"""),"helix-turn-helix DNA binding domain. it's similar to Kovu, matches with multiple helix-turn-helixes, and also matches to an HTH so we can call it a domain.")</f>
        <v>helix-turn-helix DNA binding domain. it's similar to Kovu, matches with multiple helix-turn-helixes, and also matches to an HTH so we can call it a domain.</v>
      </c>
      <c r="C20" s="17"/>
      <c r="D20" s="6"/>
    </row>
    <row r="21" spans="1:4" x14ac:dyDescent="0.2">
      <c r="A21" s="7"/>
      <c r="B21" s="19"/>
      <c r="C21" s="19"/>
      <c r="D21" s="8"/>
    </row>
    <row r="22" spans="1:4" ht="15.75" customHeight="1" x14ac:dyDescent="0.15">
      <c r="A22" s="9" t="s">
        <v>21</v>
      </c>
      <c r="B22" s="19"/>
      <c r="C22" s="19"/>
      <c r="D22" s="8"/>
    </row>
    <row r="23" spans="1:4" ht="15.75" customHeight="1" x14ac:dyDescent="0.15">
      <c r="A23" s="10"/>
      <c r="B23" s="13"/>
      <c r="C23" s="13"/>
    </row>
    <row r="24" spans="1:4" ht="15.75" customHeight="1" x14ac:dyDescent="0.15">
      <c r="A24" s="10"/>
      <c r="B24" s="13"/>
      <c r="C24" s="13"/>
    </row>
    <row r="25" spans="1:4" ht="15.75" customHeight="1" x14ac:dyDescent="0.15">
      <c r="A25" s="10"/>
      <c r="B25" s="13"/>
      <c r="C25" s="13"/>
    </row>
    <row r="26" spans="1:4" ht="15.75" customHeight="1" x14ac:dyDescent="0.15">
      <c r="A26" s="10"/>
      <c r="B26" s="13"/>
      <c r="C26" s="13"/>
    </row>
    <row r="27" spans="1:4" ht="15.75" customHeight="1" x14ac:dyDescent="0.15">
      <c r="A27" s="10"/>
      <c r="B27" s="13"/>
      <c r="C27" s="13"/>
    </row>
    <row r="28" spans="1:4" ht="15.75" customHeight="1" x14ac:dyDescent="0.15">
      <c r="A28" s="10"/>
      <c r="B28" s="13"/>
      <c r="C28" s="13"/>
    </row>
    <row r="29" spans="1:4" ht="15.75" customHeight="1" x14ac:dyDescent="0.15">
      <c r="A29" s="10"/>
      <c r="B29" s="13"/>
      <c r="C29" s="13"/>
    </row>
    <row r="30" spans="1:4" ht="15.75" customHeight="1" x14ac:dyDescent="0.15">
      <c r="A30" s="10"/>
      <c r="B30" s="13"/>
      <c r="C30" s="13"/>
    </row>
    <row r="31" spans="1:4" ht="15.75" customHeight="1" x14ac:dyDescent="0.15">
      <c r="A31" s="10"/>
      <c r="B31" s="13"/>
      <c r="C31" s="13"/>
    </row>
    <row r="32" spans="1:4" ht="15.75" customHeight="1" x14ac:dyDescent="0.15">
      <c r="A32" s="10"/>
      <c r="B32" s="13"/>
      <c r="C32" s="13"/>
    </row>
    <row r="33" spans="1:3" ht="15.75" customHeight="1" x14ac:dyDescent="0.15">
      <c r="A33" s="10"/>
      <c r="B33" s="13"/>
      <c r="C33" s="13"/>
    </row>
    <row r="34" spans="1:3" ht="15.75" customHeight="1" x14ac:dyDescent="0.15">
      <c r="A34" s="10"/>
      <c r="B34" s="13"/>
      <c r="C34" s="13"/>
    </row>
    <row r="35" spans="1:3" ht="15.75" customHeight="1" x14ac:dyDescent="0.15">
      <c r="A35" s="10"/>
      <c r="B35" s="13"/>
      <c r="C35" s="13"/>
    </row>
    <row r="36" spans="1:3" ht="15.75" customHeight="1" x14ac:dyDescent="0.15">
      <c r="A36" s="10"/>
      <c r="B36" s="13"/>
      <c r="C36" s="13"/>
    </row>
    <row r="37" spans="1:3" ht="15.75" customHeight="1" x14ac:dyDescent="0.15">
      <c r="A37" s="10"/>
      <c r="B37" s="13"/>
      <c r="C37" s="13"/>
    </row>
    <row r="38" spans="1:3" ht="15.75" customHeight="1" x14ac:dyDescent="0.15">
      <c r="A38" s="10"/>
      <c r="B38" s="13"/>
      <c r="C38" s="13"/>
    </row>
    <row r="39" spans="1:3" ht="13" x14ac:dyDescent="0.15">
      <c r="A39" s="10"/>
      <c r="B39" s="13"/>
      <c r="C39" s="13"/>
    </row>
    <row r="40" spans="1:3" ht="13" x14ac:dyDescent="0.15">
      <c r="A40" s="10"/>
      <c r="B40" s="13"/>
      <c r="C40" s="13"/>
    </row>
    <row r="41" spans="1:3" ht="13" x14ac:dyDescent="0.15">
      <c r="A41" s="10"/>
      <c r="B41" s="13"/>
      <c r="C41" s="13"/>
    </row>
    <row r="42" spans="1:3" ht="13" x14ac:dyDescent="0.15">
      <c r="A42" s="10"/>
      <c r="B42" s="13"/>
      <c r="C42" s="13"/>
    </row>
    <row r="43" spans="1:3" ht="13" x14ac:dyDescent="0.15">
      <c r="A43" s="10"/>
      <c r="B43" s="13"/>
      <c r="C43" s="13"/>
    </row>
    <row r="44" spans="1:3" ht="13" x14ac:dyDescent="0.15">
      <c r="A44" s="10"/>
      <c r="B44" s="13"/>
      <c r="C44" s="13"/>
    </row>
    <row r="45" spans="1:3" ht="13" x14ac:dyDescent="0.15">
      <c r="A45" s="10"/>
      <c r="B45" s="13"/>
      <c r="C45" s="13"/>
    </row>
    <row r="46" spans="1:3" ht="13" x14ac:dyDescent="0.15">
      <c r="A46" s="10"/>
      <c r="B46" s="13"/>
      <c r="C46" s="13"/>
    </row>
    <row r="47" spans="1:3" ht="13" x14ac:dyDescent="0.15">
      <c r="A47" s="10"/>
      <c r="B47" s="13"/>
      <c r="C47" s="13"/>
    </row>
    <row r="48" spans="1:3" ht="13" x14ac:dyDescent="0.15">
      <c r="A48" s="10"/>
      <c r="B48" s="13"/>
      <c r="C48" s="13"/>
    </row>
    <row r="49" spans="1:3" ht="13" x14ac:dyDescent="0.15">
      <c r="A49" s="10"/>
      <c r="B49" s="13"/>
      <c r="C49" s="13"/>
    </row>
    <row r="50" spans="1:3" ht="13" x14ac:dyDescent="0.15">
      <c r="A50" s="10"/>
      <c r="B50" s="13"/>
      <c r="C50" s="13"/>
    </row>
    <row r="51" spans="1:3" ht="13" x14ac:dyDescent="0.15">
      <c r="A51" s="10"/>
      <c r="B51" s="13"/>
      <c r="C51" s="13"/>
    </row>
    <row r="52" spans="1:3" ht="13" x14ac:dyDescent="0.15">
      <c r="A52" s="10"/>
      <c r="B52" s="13"/>
      <c r="C52" s="13"/>
    </row>
    <row r="53" spans="1:3" ht="13" x14ac:dyDescent="0.15">
      <c r="A53" s="10"/>
      <c r="B53" s="13"/>
      <c r="C53" s="13"/>
    </row>
    <row r="54" spans="1:3" ht="13" x14ac:dyDescent="0.15">
      <c r="A54" s="10"/>
      <c r="B54" s="13"/>
      <c r="C54" s="13"/>
    </row>
    <row r="55" spans="1:3" ht="13" x14ac:dyDescent="0.15">
      <c r="A55" s="10"/>
      <c r="B55" s="13"/>
      <c r="C55" s="13"/>
    </row>
    <row r="56" spans="1:3" ht="13" x14ac:dyDescent="0.15">
      <c r="A56" s="10"/>
      <c r="B56" s="13"/>
      <c r="C56" s="13"/>
    </row>
    <row r="57" spans="1:3" ht="13" x14ac:dyDescent="0.15">
      <c r="A57" s="10"/>
      <c r="B57" s="13"/>
      <c r="C57" s="13"/>
    </row>
    <row r="58" spans="1:3" ht="13" x14ac:dyDescent="0.15">
      <c r="A58" s="10"/>
      <c r="B58" s="13"/>
      <c r="C58" s="13"/>
    </row>
    <row r="59" spans="1:3" ht="13" x14ac:dyDescent="0.15">
      <c r="A59" s="10"/>
      <c r="B59" s="13"/>
      <c r="C59" s="13"/>
    </row>
    <row r="60" spans="1:3" ht="13" x14ac:dyDescent="0.15">
      <c r="A60" s="10"/>
      <c r="B60" s="13"/>
      <c r="C60" s="13"/>
    </row>
    <row r="61" spans="1:3" ht="13" x14ac:dyDescent="0.15">
      <c r="A61" s="10"/>
      <c r="B61" s="13"/>
      <c r="C61" s="13"/>
    </row>
    <row r="62" spans="1:3" ht="13" x14ac:dyDescent="0.15">
      <c r="A62" s="10"/>
      <c r="B62" s="13"/>
      <c r="C62" s="13"/>
    </row>
    <row r="63" spans="1:3" ht="13" x14ac:dyDescent="0.15">
      <c r="A63" s="10"/>
      <c r="B63" s="13"/>
      <c r="C63" s="13"/>
    </row>
    <row r="64" spans="1:3" ht="13" x14ac:dyDescent="0.15">
      <c r="A64" s="10"/>
      <c r="B64" s="13"/>
      <c r="C64" s="13"/>
    </row>
    <row r="65" spans="1:3" ht="13" x14ac:dyDescent="0.15">
      <c r="A65" s="10"/>
      <c r="B65" s="13"/>
      <c r="C65" s="13"/>
    </row>
    <row r="66" spans="1:3" ht="13" x14ac:dyDescent="0.15">
      <c r="A66" s="10"/>
      <c r="B66" s="13"/>
      <c r="C66" s="13"/>
    </row>
    <row r="67" spans="1:3" ht="13" x14ac:dyDescent="0.15">
      <c r="A67" s="10"/>
      <c r="B67" s="13"/>
      <c r="C67" s="13"/>
    </row>
    <row r="68" spans="1:3" ht="13" x14ac:dyDescent="0.15">
      <c r="A68" s="10"/>
      <c r="B68" s="13"/>
      <c r="C68" s="13"/>
    </row>
    <row r="69" spans="1:3" ht="13" x14ac:dyDescent="0.15">
      <c r="A69" s="10"/>
      <c r="B69" s="13"/>
      <c r="C69" s="13"/>
    </row>
    <row r="70" spans="1:3" ht="13" x14ac:dyDescent="0.15">
      <c r="A70" s="10"/>
      <c r="B70" s="13"/>
      <c r="C70" s="13"/>
    </row>
    <row r="71" spans="1:3" ht="13" x14ac:dyDescent="0.15">
      <c r="A71" s="10"/>
      <c r="B71" s="13"/>
      <c r="C71" s="13"/>
    </row>
    <row r="72" spans="1:3" ht="13" x14ac:dyDescent="0.15">
      <c r="A72" s="10"/>
      <c r="B72" s="13"/>
      <c r="C72" s="13"/>
    </row>
    <row r="73" spans="1:3" ht="13" x14ac:dyDescent="0.15">
      <c r="A73" s="10"/>
      <c r="B73" s="13"/>
      <c r="C73" s="13"/>
    </row>
    <row r="74" spans="1:3" ht="13" x14ac:dyDescent="0.15">
      <c r="A74" s="10"/>
      <c r="B74" s="13"/>
      <c r="C74" s="13"/>
    </row>
    <row r="75" spans="1:3" ht="13" x14ac:dyDescent="0.15">
      <c r="A75" s="10"/>
      <c r="B75" s="13"/>
      <c r="C75" s="13"/>
    </row>
    <row r="76" spans="1:3" ht="13" x14ac:dyDescent="0.15">
      <c r="A76" s="10"/>
      <c r="B76" s="13"/>
      <c r="C76" s="13"/>
    </row>
    <row r="77" spans="1:3" ht="13" x14ac:dyDescent="0.15">
      <c r="A77" s="10"/>
      <c r="B77" s="13"/>
      <c r="C77" s="13"/>
    </row>
    <row r="78" spans="1:3" ht="13" x14ac:dyDescent="0.15">
      <c r="A78" s="10"/>
      <c r="B78" s="13"/>
      <c r="C78" s="13"/>
    </row>
    <row r="79" spans="1:3" ht="13" x14ac:dyDescent="0.15">
      <c r="A79" s="10"/>
      <c r="B79" s="13"/>
      <c r="C79" s="13"/>
    </row>
    <row r="80" spans="1:3" ht="13" x14ac:dyDescent="0.15">
      <c r="A80" s="10"/>
      <c r="B80" s="13"/>
      <c r="C80" s="13"/>
    </row>
    <row r="81" spans="1:3" ht="13" x14ac:dyDescent="0.15">
      <c r="A81" s="10"/>
      <c r="B81" s="13"/>
      <c r="C81" s="13"/>
    </row>
    <row r="82" spans="1:3" ht="13" x14ac:dyDescent="0.15">
      <c r="A82" s="10"/>
      <c r="B82" s="13"/>
      <c r="C82" s="13"/>
    </row>
    <row r="83" spans="1:3" ht="13" x14ac:dyDescent="0.15">
      <c r="A83" s="10"/>
      <c r="B83" s="13"/>
      <c r="C83" s="13"/>
    </row>
    <row r="84" spans="1:3" ht="13" x14ac:dyDescent="0.15">
      <c r="A84" s="10"/>
      <c r="B84" s="13"/>
      <c r="C84" s="13"/>
    </row>
    <row r="85" spans="1:3" ht="13" x14ac:dyDescent="0.15">
      <c r="A85" s="10"/>
      <c r="B85" s="13"/>
      <c r="C85" s="13"/>
    </row>
    <row r="86" spans="1:3" ht="13" x14ac:dyDescent="0.15">
      <c r="A86" s="10"/>
      <c r="B86" s="13"/>
      <c r="C86" s="13"/>
    </row>
    <row r="87" spans="1:3" ht="13" x14ac:dyDescent="0.15">
      <c r="A87" s="10"/>
      <c r="B87" s="13"/>
      <c r="C87" s="13"/>
    </row>
    <row r="88" spans="1:3" ht="13" x14ac:dyDescent="0.15">
      <c r="A88" s="10"/>
      <c r="B88" s="13"/>
      <c r="C88" s="13"/>
    </row>
    <row r="89" spans="1:3" ht="13" x14ac:dyDescent="0.15">
      <c r="A89" s="10"/>
      <c r="B89" s="13"/>
      <c r="C89" s="13"/>
    </row>
    <row r="90" spans="1:3" ht="13" x14ac:dyDescent="0.15">
      <c r="A90" s="10"/>
      <c r="B90" s="13"/>
      <c r="C90" s="13"/>
    </row>
    <row r="91" spans="1:3" ht="13" x14ac:dyDescent="0.15">
      <c r="A91" s="10"/>
      <c r="B91" s="13"/>
      <c r="C91" s="13"/>
    </row>
    <row r="92" spans="1:3" ht="13" x14ac:dyDescent="0.15">
      <c r="A92" s="10"/>
      <c r="B92" s="13"/>
      <c r="C92" s="13"/>
    </row>
    <row r="93" spans="1:3" ht="13" x14ac:dyDescent="0.15">
      <c r="A93" s="10"/>
      <c r="B93" s="13"/>
      <c r="C93" s="13"/>
    </row>
    <row r="94" spans="1:3" ht="13" x14ac:dyDescent="0.15">
      <c r="A94" s="10"/>
      <c r="B94" s="13"/>
      <c r="C94" s="13"/>
    </row>
    <row r="95" spans="1:3" ht="13" x14ac:dyDescent="0.15">
      <c r="A95" s="10"/>
      <c r="B95" s="13"/>
      <c r="C95" s="13"/>
    </row>
    <row r="96" spans="1:3" ht="13" x14ac:dyDescent="0.15">
      <c r="A96" s="10"/>
      <c r="B96" s="13"/>
      <c r="C96" s="13"/>
    </row>
    <row r="97" spans="1:3" ht="13" x14ac:dyDescent="0.15">
      <c r="A97" s="10"/>
      <c r="B97" s="13"/>
      <c r="C97" s="13"/>
    </row>
    <row r="98" spans="1:3" ht="13" x14ac:dyDescent="0.15">
      <c r="A98" s="10"/>
      <c r="B98" s="13"/>
      <c r="C98" s="13"/>
    </row>
    <row r="99" spans="1:3" ht="13" x14ac:dyDescent="0.15">
      <c r="A99" s="10"/>
      <c r="B99" s="13"/>
      <c r="C99" s="13"/>
    </row>
    <row r="100" spans="1:3" ht="13" x14ac:dyDescent="0.15">
      <c r="A100" s="10"/>
      <c r="B100" s="13"/>
      <c r="C100" s="13"/>
    </row>
    <row r="101" spans="1:3" ht="13" x14ac:dyDescent="0.15">
      <c r="A101" s="10"/>
      <c r="B101" s="13"/>
      <c r="C101" s="13"/>
    </row>
    <row r="102" spans="1:3" ht="13" x14ac:dyDescent="0.15">
      <c r="A102" s="10"/>
      <c r="B102" s="13"/>
      <c r="C102" s="13"/>
    </row>
    <row r="103" spans="1:3" ht="13" x14ac:dyDescent="0.15">
      <c r="A103" s="10"/>
      <c r="B103" s="13"/>
      <c r="C103" s="13"/>
    </row>
    <row r="104" spans="1:3" ht="13" x14ac:dyDescent="0.15">
      <c r="A104" s="10"/>
      <c r="B104" s="13"/>
      <c r="C104" s="13"/>
    </row>
    <row r="105" spans="1:3" ht="13" x14ac:dyDescent="0.15">
      <c r="A105" s="10"/>
      <c r="B105" s="13"/>
      <c r="C105" s="13"/>
    </row>
    <row r="106" spans="1:3" ht="13" x14ac:dyDescent="0.15">
      <c r="A106" s="10"/>
      <c r="B106" s="13"/>
      <c r="C106" s="13"/>
    </row>
    <row r="107" spans="1:3" ht="13" x14ac:dyDescent="0.15">
      <c r="A107" s="10"/>
      <c r="B107" s="13"/>
      <c r="C107" s="13"/>
    </row>
    <row r="108" spans="1:3" ht="13" x14ac:dyDescent="0.15">
      <c r="A108" s="10"/>
      <c r="B108" s="13"/>
      <c r="C108" s="13"/>
    </row>
    <row r="109" spans="1:3" ht="13" x14ac:dyDescent="0.15">
      <c r="A109" s="10"/>
      <c r="B109" s="13"/>
      <c r="C109" s="13"/>
    </row>
    <row r="110" spans="1:3" ht="13" x14ac:dyDescent="0.15">
      <c r="A110" s="10"/>
      <c r="B110" s="13"/>
      <c r="C110" s="13"/>
    </row>
    <row r="111" spans="1:3" ht="13" x14ac:dyDescent="0.15">
      <c r="A111" s="10"/>
      <c r="B111" s="13"/>
      <c r="C111" s="13"/>
    </row>
    <row r="112" spans="1:3" ht="13" x14ac:dyDescent="0.15">
      <c r="A112" s="10"/>
      <c r="B112" s="13"/>
      <c r="C112" s="13"/>
    </row>
    <row r="113" spans="1:3" ht="13" x14ac:dyDescent="0.15">
      <c r="A113" s="10"/>
      <c r="B113" s="13"/>
      <c r="C113" s="13"/>
    </row>
    <row r="114" spans="1:3" ht="13" x14ac:dyDescent="0.15">
      <c r="A114" s="10"/>
      <c r="B114" s="13"/>
      <c r="C114" s="13"/>
    </row>
    <row r="115" spans="1:3" ht="13" x14ac:dyDescent="0.15">
      <c r="A115" s="10"/>
      <c r="B115" s="13"/>
      <c r="C115" s="13"/>
    </row>
    <row r="116" spans="1:3" ht="13" x14ac:dyDescent="0.15">
      <c r="A116" s="10"/>
      <c r="B116" s="13"/>
      <c r="C116" s="13"/>
    </row>
    <row r="117" spans="1:3" ht="13" x14ac:dyDescent="0.15">
      <c r="A117" s="10"/>
      <c r="B117" s="13"/>
      <c r="C117" s="13"/>
    </row>
    <row r="118" spans="1:3" ht="13" x14ac:dyDescent="0.15">
      <c r="A118" s="10"/>
      <c r="B118" s="13"/>
      <c r="C118" s="13"/>
    </row>
    <row r="119" spans="1:3" ht="13" x14ac:dyDescent="0.15">
      <c r="A119" s="10"/>
      <c r="B119" s="13"/>
      <c r="C119" s="13"/>
    </row>
    <row r="120" spans="1:3" ht="13" x14ac:dyDescent="0.15">
      <c r="A120" s="10"/>
      <c r="B120" s="13"/>
      <c r="C120" s="13"/>
    </row>
    <row r="121" spans="1:3" ht="13" x14ac:dyDescent="0.15">
      <c r="A121" s="10"/>
      <c r="B121" s="13"/>
      <c r="C121" s="13"/>
    </row>
    <row r="122" spans="1:3" ht="13" x14ac:dyDescent="0.15">
      <c r="A122" s="10"/>
      <c r="B122" s="13"/>
      <c r="C122" s="13"/>
    </row>
    <row r="123" spans="1:3" ht="13" x14ac:dyDescent="0.15">
      <c r="A123" s="10"/>
      <c r="B123" s="13"/>
      <c r="C123" s="13"/>
    </row>
    <row r="124" spans="1:3" ht="13" x14ac:dyDescent="0.15">
      <c r="A124" s="10"/>
      <c r="B124" s="13"/>
      <c r="C124" s="13"/>
    </row>
    <row r="125" spans="1:3" ht="13" x14ac:dyDescent="0.15">
      <c r="A125" s="10"/>
      <c r="B125" s="13"/>
      <c r="C125" s="13"/>
    </row>
    <row r="126" spans="1:3" ht="13" x14ac:dyDescent="0.15">
      <c r="A126" s="10"/>
      <c r="B126" s="13"/>
      <c r="C126" s="13"/>
    </row>
    <row r="127" spans="1:3" ht="13" x14ac:dyDescent="0.15">
      <c r="A127" s="10"/>
      <c r="B127" s="13"/>
      <c r="C127" s="13"/>
    </row>
    <row r="128" spans="1:3" ht="13" x14ac:dyDescent="0.15">
      <c r="A128" s="10"/>
      <c r="B128" s="13"/>
      <c r="C128" s="13"/>
    </row>
    <row r="129" spans="1:3" ht="13" x14ac:dyDescent="0.15">
      <c r="A129" s="10"/>
      <c r="B129" s="13"/>
      <c r="C129" s="13"/>
    </row>
    <row r="130" spans="1:3" ht="13" x14ac:dyDescent="0.15">
      <c r="A130" s="10"/>
      <c r="B130" s="13"/>
      <c r="C130" s="13"/>
    </row>
    <row r="131" spans="1:3" ht="13" x14ac:dyDescent="0.15">
      <c r="A131" s="10"/>
      <c r="B131" s="13"/>
      <c r="C131" s="13"/>
    </row>
    <row r="132" spans="1:3" ht="13" x14ac:dyDescent="0.15">
      <c r="A132" s="10"/>
      <c r="B132" s="13"/>
      <c r="C132" s="13"/>
    </row>
    <row r="133" spans="1:3" ht="13" x14ac:dyDescent="0.15">
      <c r="A133" s="10"/>
      <c r="B133" s="13"/>
      <c r="C133" s="13"/>
    </row>
    <row r="134" spans="1:3" ht="13" x14ac:dyDescent="0.15">
      <c r="A134" s="10"/>
      <c r="B134" s="13"/>
      <c r="C134" s="13"/>
    </row>
    <row r="135" spans="1:3" ht="13" x14ac:dyDescent="0.15">
      <c r="A135" s="10"/>
      <c r="B135" s="13"/>
      <c r="C135" s="13"/>
    </row>
    <row r="136" spans="1:3" ht="13" x14ac:dyDescent="0.15">
      <c r="A136" s="10"/>
      <c r="B136" s="13"/>
      <c r="C136" s="13"/>
    </row>
    <row r="137" spans="1:3" ht="13" x14ac:dyDescent="0.15">
      <c r="A137" s="10"/>
      <c r="B137" s="13"/>
      <c r="C137" s="13"/>
    </row>
    <row r="138" spans="1:3" ht="13" x14ac:dyDescent="0.15">
      <c r="A138" s="10"/>
      <c r="B138" s="13"/>
      <c r="C138" s="13"/>
    </row>
    <row r="139" spans="1:3" ht="13" x14ac:dyDescent="0.15">
      <c r="A139" s="10"/>
      <c r="B139" s="13"/>
      <c r="C139" s="13"/>
    </row>
    <row r="140" spans="1:3" ht="13" x14ac:dyDescent="0.15">
      <c r="A140" s="10"/>
      <c r="B140" s="13"/>
      <c r="C140" s="13"/>
    </row>
    <row r="141" spans="1:3" ht="13" x14ac:dyDescent="0.15">
      <c r="A141" s="10"/>
      <c r="B141" s="13"/>
      <c r="C141" s="13"/>
    </row>
    <row r="142" spans="1:3" ht="13" x14ac:dyDescent="0.15">
      <c r="A142" s="10"/>
      <c r="B142" s="13"/>
      <c r="C142" s="13"/>
    </row>
    <row r="143" spans="1:3" ht="13" x14ac:dyDescent="0.15">
      <c r="A143" s="10"/>
      <c r="B143" s="13"/>
      <c r="C143" s="13"/>
    </row>
    <row r="144" spans="1:3" ht="13" x14ac:dyDescent="0.15">
      <c r="A144" s="10"/>
      <c r="B144" s="13"/>
      <c r="C144" s="13"/>
    </row>
    <row r="145" spans="1:3" ht="13" x14ac:dyDescent="0.15">
      <c r="A145" s="10"/>
      <c r="B145" s="13"/>
      <c r="C145" s="13"/>
    </row>
    <row r="146" spans="1:3" ht="13" x14ac:dyDescent="0.15">
      <c r="A146" s="10"/>
      <c r="B146" s="13"/>
      <c r="C146" s="13"/>
    </row>
    <row r="147" spans="1:3" ht="13" x14ac:dyDescent="0.15">
      <c r="A147" s="10"/>
      <c r="B147" s="13"/>
      <c r="C147" s="13"/>
    </row>
    <row r="148" spans="1:3" ht="13" x14ac:dyDescent="0.15">
      <c r="A148" s="10"/>
      <c r="B148" s="13"/>
      <c r="C148" s="13"/>
    </row>
    <row r="149" spans="1:3" ht="13" x14ac:dyDescent="0.15">
      <c r="A149" s="10"/>
      <c r="B149" s="13"/>
      <c r="C149" s="13"/>
    </row>
    <row r="150" spans="1:3" ht="13" x14ac:dyDescent="0.15">
      <c r="A150" s="10"/>
      <c r="B150" s="13"/>
      <c r="C150" s="13"/>
    </row>
    <row r="151" spans="1:3" ht="13" x14ac:dyDescent="0.15">
      <c r="A151" s="10"/>
      <c r="B151" s="13"/>
      <c r="C151" s="13"/>
    </row>
    <row r="152" spans="1:3" ht="13" x14ac:dyDescent="0.15">
      <c r="A152" s="10"/>
      <c r="B152" s="13"/>
      <c r="C152" s="13"/>
    </row>
    <row r="153" spans="1:3" ht="13" x14ac:dyDescent="0.15">
      <c r="A153" s="10"/>
      <c r="B153" s="13"/>
      <c r="C153" s="13"/>
    </row>
    <row r="154" spans="1:3" ht="13" x14ac:dyDescent="0.15">
      <c r="A154" s="10"/>
      <c r="B154" s="13"/>
      <c r="C154" s="13"/>
    </row>
    <row r="155" spans="1:3" ht="13" x14ac:dyDescent="0.15">
      <c r="A155" s="10"/>
      <c r="B155" s="13"/>
      <c r="C155" s="13"/>
    </row>
    <row r="156" spans="1:3" ht="13" x14ac:dyDescent="0.15">
      <c r="A156" s="10"/>
      <c r="B156" s="13"/>
      <c r="C156" s="13"/>
    </row>
    <row r="157" spans="1:3" ht="13" x14ac:dyDescent="0.15">
      <c r="A157" s="10"/>
      <c r="B157" s="13"/>
      <c r="C157" s="13"/>
    </row>
    <row r="158" spans="1:3" ht="13" x14ac:dyDescent="0.15">
      <c r="A158" s="10"/>
      <c r="B158" s="13"/>
      <c r="C158" s="13"/>
    </row>
    <row r="159" spans="1:3" ht="13" x14ac:dyDescent="0.15">
      <c r="A159" s="10"/>
      <c r="B159" s="13"/>
      <c r="C159" s="13"/>
    </row>
    <row r="160" spans="1:3" ht="13" x14ac:dyDescent="0.15">
      <c r="A160" s="10"/>
      <c r="B160" s="13"/>
      <c r="C160" s="13"/>
    </row>
    <row r="161" spans="1:3" ht="13" x14ac:dyDescent="0.15">
      <c r="A161" s="10"/>
      <c r="B161" s="13"/>
      <c r="C161" s="13"/>
    </row>
    <row r="162" spans="1:3" ht="13" x14ac:dyDescent="0.15">
      <c r="A162" s="10"/>
      <c r="B162" s="13"/>
      <c r="C162" s="13"/>
    </row>
    <row r="163" spans="1:3" ht="13" x14ac:dyDescent="0.15">
      <c r="A163" s="10"/>
      <c r="B163" s="13"/>
      <c r="C163" s="13"/>
    </row>
    <row r="164" spans="1:3" ht="13" x14ac:dyDescent="0.15">
      <c r="A164" s="10"/>
      <c r="B164" s="13"/>
      <c r="C164" s="13"/>
    </row>
    <row r="165" spans="1:3" ht="13" x14ac:dyDescent="0.15">
      <c r="A165" s="10"/>
      <c r="B165" s="13"/>
      <c r="C165" s="13"/>
    </row>
    <row r="166" spans="1:3" ht="13" x14ac:dyDescent="0.15">
      <c r="A166" s="10"/>
      <c r="B166" s="13"/>
      <c r="C166" s="13"/>
    </row>
    <row r="167" spans="1:3" ht="13" x14ac:dyDescent="0.15">
      <c r="A167" s="10"/>
      <c r="B167" s="13"/>
      <c r="C167" s="13"/>
    </row>
    <row r="168" spans="1:3" ht="13" x14ac:dyDescent="0.15">
      <c r="A168" s="10"/>
      <c r="B168" s="13"/>
      <c r="C168" s="13"/>
    </row>
    <row r="169" spans="1:3" ht="13" x14ac:dyDescent="0.15">
      <c r="A169" s="10"/>
      <c r="B169" s="13"/>
      <c r="C169" s="13"/>
    </row>
    <row r="170" spans="1:3" ht="13" x14ac:dyDescent="0.15">
      <c r="A170" s="10"/>
      <c r="B170" s="13"/>
      <c r="C170" s="13"/>
    </row>
    <row r="171" spans="1:3" ht="13" x14ac:dyDescent="0.15">
      <c r="A171" s="10"/>
      <c r="B171" s="13"/>
      <c r="C171" s="13"/>
    </row>
    <row r="172" spans="1:3" ht="13" x14ac:dyDescent="0.15">
      <c r="A172" s="10"/>
      <c r="B172" s="13"/>
      <c r="C172" s="13"/>
    </row>
    <row r="173" spans="1:3" ht="13" x14ac:dyDescent="0.15">
      <c r="A173" s="10"/>
      <c r="B173" s="13"/>
      <c r="C173" s="13"/>
    </row>
    <row r="174" spans="1:3" ht="13" x14ac:dyDescent="0.15">
      <c r="A174" s="10"/>
      <c r="B174" s="13"/>
      <c r="C174" s="13"/>
    </row>
    <row r="175" spans="1:3" ht="13" x14ac:dyDescent="0.15">
      <c r="A175" s="10"/>
      <c r="B175" s="13"/>
      <c r="C175" s="13"/>
    </row>
    <row r="176" spans="1:3" ht="13" x14ac:dyDescent="0.15">
      <c r="A176" s="10"/>
      <c r="B176" s="13"/>
      <c r="C176" s="13"/>
    </row>
    <row r="177" spans="1:3" ht="13" x14ac:dyDescent="0.15">
      <c r="A177" s="10"/>
      <c r="B177" s="13"/>
      <c r="C177" s="13"/>
    </row>
    <row r="178" spans="1:3" ht="13" x14ac:dyDescent="0.15">
      <c r="A178" s="10"/>
      <c r="B178" s="13"/>
      <c r="C178" s="13"/>
    </row>
    <row r="179" spans="1:3" ht="13" x14ac:dyDescent="0.15">
      <c r="A179" s="10"/>
      <c r="B179" s="13"/>
      <c r="C179" s="13"/>
    </row>
    <row r="180" spans="1:3" ht="13" x14ac:dyDescent="0.15">
      <c r="A180" s="10"/>
      <c r="B180" s="13"/>
      <c r="C180" s="13"/>
    </row>
    <row r="181" spans="1:3" ht="13" x14ac:dyDescent="0.15">
      <c r="A181" s="10"/>
      <c r="B181" s="13"/>
      <c r="C181" s="13"/>
    </row>
    <row r="182" spans="1:3" ht="13" x14ac:dyDescent="0.15">
      <c r="A182" s="10"/>
      <c r="B182" s="13"/>
      <c r="C182" s="13"/>
    </row>
    <row r="183" spans="1:3" ht="13" x14ac:dyDescent="0.15">
      <c r="A183" s="10"/>
      <c r="B183" s="13"/>
      <c r="C183" s="13"/>
    </row>
    <row r="184" spans="1:3" ht="13" x14ac:dyDescent="0.15">
      <c r="A184" s="10"/>
      <c r="B184" s="13"/>
      <c r="C184" s="13"/>
    </row>
    <row r="185" spans="1:3" ht="13" x14ac:dyDescent="0.15">
      <c r="A185" s="10"/>
      <c r="B185" s="13"/>
      <c r="C185" s="13"/>
    </row>
    <row r="186" spans="1:3" ht="13" x14ac:dyDescent="0.15">
      <c r="A186" s="10"/>
      <c r="B186" s="13"/>
      <c r="C186" s="13"/>
    </row>
    <row r="187" spans="1:3" ht="13" x14ac:dyDescent="0.15">
      <c r="A187" s="10"/>
      <c r="B187" s="13"/>
      <c r="C187" s="13"/>
    </row>
    <row r="188" spans="1:3" ht="13" x14ac:dyDescent="0.15">
      <c r="A188" s="10"/>
      <c r="B188" s="13"/>
      <c r="C188" s="13"/>
    </row>
    <row r="189" spans="1:3" ht="13" x14ac:dyDescent="0.15">
      <c r="A189" s="10"/>
      <c r="B189" s="13"/>
      <c r="C189" s="13"/>
    </row>
    <row r="190" spans="1:3" ht="13" x14ac:dyDescent="0.15">
      <c r="A190" s="10"/>
      <c r="B190" s="13"/>
      <c r="C190" s="13"/>
    </row>
    <row r="191" spans="1:3" ht="13" x14ac:dyDescent="0.15">
      <c r="A191" s="10"/>
      <c r="B191" s="13"/>
      <c r="C191" s="13"/>
    </row>
    <row r="192" spans="1:3" ht="13" x14ac:dyDescent="0.15">
      <c r="A192" s="10"/>
      <c r="B192" s="13"/>
      <c r="C192" s="13"/>
    </row>
    <row r="193" spans="1:3" ht="13" x14ac:dyDescent="0.15">
      <c r="A193" s="10"/>
      <c r="B193" s="13"/>
      <c r="C193" s="13"/>
    </row>
    <row r="194" spans="1:3" ht="13" x14ac:dyDescent="0.15">
      <c r="A194" s="10"/>
      <c r="B194" s="13"/>
      <c r="C194" s="13"/>
    </row>
    <row r="195" spans="1:3" ht="13" x14ac:dyDescent="0.15">
      <c r="A195" s="10"/>
      <c r="B195" s="13"/>
      <c r="C195" s="13"/>
    </row>
    <row r="196" spans="1:3" ht="13" x14ac:dyDescent="0.15">
      <c r="A196" s="10"/>
      <c r="B196" s="13"/>
      <c r="C196" s="13"/>
    </row>
    <row r="197" spans="1:3" ht="13" x14ac:dyDescent="0.15">
      <c r="A197" s="10"/>
      <c r="B197" s="13"/>
      <c r="C197" s="13"/>
    </row>
    <row r="198" spans="1:3" ht="13" x14ac:dyDescent="0.15">
      <c r="A198" s="10"/>
      <c r="B198" s="13"/>
      <c r="C198" s="13"/>
    </row>
    <row r="199" spans="1:3" ht="13" x14ac:dyDescent="0.15">
      <c r="A199" s="10"/>
      <c r="B199" s="13"/>
      <c r="C199" s="13"/>
    </row>
    <row r="200" spans="1:3" ht="13" x14ac:dyDescent="0.15">
      <c r="A200" s="10"/>
      <c r="B200" s="13"/>
      <c r="C200" s="13"/>
    </row>
    <row r="201" spans="1:3" ht="13" x14ac:dyDescent="0.15">
      <c r="A201" s="10"/>
      <c r="B201" s="13"/>
      <c r="C201" s="13"/>
    </row>
    <row r="202" spans="1:3" ht="13" x14ac:dyDescent="0.15">
      <c r="A202" s="10"/>
      <c r="B202" s="13"/>
      <c r="C202" s="13"/>
    </row>
    <row r="203" spans="1:3" ht="13" x14ac:dyDescent="0.15">
      <c r="A203" s="10"/>
      <c r="B203" s="13"/>
      <c r="C203" s="13"/>
    </row>
    <row r="204" spans="1:3" ht="13" x14ac:dyDescent="0.15">
      <c r="A204" s="10"/>
      <c r="B204" s="13"/>
      <c r="C204" s="13"/>
    </row>
    <row r="205" spans="1:3" ht="13" x14ac:dyDescent="0.15">
      <c r="A205" s="10"/>
      <c r="B205" s="13"/>
      <c r="C205" s="13"/>
    </row>
    <row r="206" spans="1:3" ht="13" x14ac:dyDescent="0.15">
      <c r="A206" s="10"/>
      <c r="B206" s="13"/>
      <c r="C206" s="13"/>
    </row>
    <row r="207" spans="1:3" ht="13" x14ac:dyDescent="0.15">
      <c r="A207" s="10"/>
      <c r="B207" s="13"/>
      <c r="C207" s="13"/>
    </row>
    <row r="208" spans="1:3" ht="13" x14ac:dyDescent="0.15">
      <c r="A208" s="10"/>
      <c r="B208" s="13"/>
      <c r="C208" s="13"/>
    </row>
    <row r="209" spans="1:3" ht="13" x14ac:dyDescent="0.15">
      <c r="A209" s="10"/>
      <c r="B209" s="13"/>
      <c r="C209" s="13"/>
    </row>
    <row r="210" spans="1:3" ht="13" x14ac:dyDescent="0.15">
      <c r="A210" s="10"/>
      <c r="B210" s="13"/>
      <c r="C210" s="13"/>
    </row>
    <row r="211" spans="1:3" ht="13" x14ac:dyDescent="0.15">
      <c r="A211" s="10"/>
      <c r="B211" s="13"/>
      <c r="C211" s="13"/>
    </row>
    <row r="212" spans="1:3" ht="13" x14ac:dyDescent="0.15">
      <c r="A212" s="10"/>
      <c r="B212" s="13"/>
      <c r="C212" s="13"/>
    </row>
    <row r="213" spans="1:3" ht="13" x14ac:dyDescent="0.15">
      <c r="A213" s="10"/>
      <c r="B213" s="13"/>
      <c r="C213" s="13"/>
    </row>
    <row r="214" spans="1:3" ht="13" x14ac:dyDescent="0.15">
      <c r="A214" s="10"/>
      <c r="B214" s="13"/>
      <c r="C214" s="13"/>
    </row>
    <row r="215" spans="1:3" ht="13" x14ac:dyDescent="0.15">
      <c r="A215" s="10"/>
      <c r="B215" s="13"/>
      <c r="C215" s="13"/>
    </row>
    <row r="216" spans="1:3" ht="13" x14ac:dyDescent="0.15">
      <c r="A216" s="10"/>
      <c r="B216" s="13"/>
      <c r="C216" s="13"/>
    </row>
    <row r="217" spans="1:3" ht="13" x14ac:dyDescent="0.15">
      <c r="A217" s="10"/>
      <c r="B217" s="13"/>
      <c r="C217" s="13"/>
    </row>
    <row r="218" spans="1:3" ht="13" x14ac:dyDescent="0.15">
      <c r="A218" s="10"/>
      <c r="B218" s="13"/>
      <c r="C218" s="13"/>
    </row>
    <row r="219" spans="1:3" ht="13" x14ac:dyDescent="0.15">
      <c r="A219" s="10"/>
      <c r="B219" s="13"/>
      <c r="C219" s="13"/>
    </row>
    <row r="220" spans="1:3" ht="13" x14ac:dyDescent="0.15">
      <c r="A220" s="10"/>
      <c r="B220" s="13"/>
      <c r="C220" s="13"/>
    </row>
    <row r="221" spans="1:3" ht="13" x14ac:dyDescent="0.15">
      <c r="A221" s="10"/>
      <c r="B221" s="13"/>
      <c r="C221" s="13"/>
    </row>
    <row r="222" spans="1:3" ht="13" x14ac:dyDescent="0.15">
      <c r="A222" s="10"/>
      <c r="B222" s="13"/>
      <c r="C222" s="13"/>
    </row>
    <row r="223" spans="1:3" ht="13" x14ac:dyDescent="0.15">
      <c r="A223" s="10"/>
      <c r="B223" s="13"/>
      <c r="C223" s="13"/>
    </row>
    <row r="224" spans="1:3" ht="13" x14ac:dyDescent="0.15">
      <c r="A224" s="10"/>
      <c r="B224" s="13"/>
      <c r="C224" s="13"/>
    </row>
    <row r="225" spans="1:3" ht="13" x14ac:dyDescent="0.15">
      <c r="A225" s="10"/>
      <c r="B225" s="13"/>
      <c r="C225" s="13"/>
    </row>
    <row r="226" spans="1:3" ht="13" x14ac:dyDescent="0.15">
      <c r="A226" s="10"/>
      <c r="B226" s="13"/>
      <c r="C226" s="13"/>
    </row>
    <row r="227" spans="1:3" ht="13" x14ac:dyDescent="0.15">
      <c r="A227" s="10"/>
      <c r="B227" s="13"/>
      <c r="C227" s="13"/>
    </row>
    <row r="228" spans="1:3" ht="13" x14ac:dyDescent="0.15">
      <c r="A228" s="10"/>
      <c r="B228" s="13"/>
      <c r="C228" s="13"/>
    </row>
    <row r="229" spans="1:3" ht="13" x14ac:dyDescent="0.15">
      <c r="A229" s="10"/>
      <c r="B229" s="13"/>
      <c r="C229" s="13"/>
    </row>
    <row r="230" spans="1:3" ht="13" x14ac:dyDescent="0.15">
      <c r="A230" s="10"/>
      <c r="B230" s="13"/>
      <c r="C230" s="13"/>
    </row>
    <row r="231" spans="1:3" ht="13" x14ac:dyDescent="0.15">
      <c r="A231" s="10"/>
      <c r="B231" s="13"/>
      <c r="C231" s="13"/>
    </row>
    <row r="232" spans="1:3" ht="13" x14ac:dyDescent="0.15">
      <c r="A232" s="10"/>
      <c r="B232" s="13"/>
      <c r="C232" s="13"/>
    </row>
    <row r="233" spans="1:3" ht="13" x14ac:dyDescent="0.15">
      <c r="A233" s="10"/>
      <c r="B233" s="13"/>
      <c r="C233" s="13"/>
    </row>
    <row r="234" spans="1:3" ht="13" x14ac:dyDescent="0.15">
      <c r="A234" s="10"/>
      <c r="B234" s="13"/>
      <c r="C234" s="13"/>
    </row>
    <row r="235" spans="1:3" ht="13" x14ac:dyDescent="0.15">
      <c r="A235" s="10"/>
      <c r="B235" s="13"/>
      <c r="C235" s="13"/>
    </row>
    <row r="236" spans="1:3" ht="13" x14ac:dyDescent="0.15">
      <c r="A236" s="10"/>
      <c r="B236" s="13"/>
      <c r="C236" s="13"/>
    </row>
    <row r="237" spans="1:3" ht="13" x14ac:dyDescent="0.15">
      <c r="A237" s="10"/>
      <c r="B237" s="13"/>
      <c r="C237" s="13"/>
    </row>
    <row r="238" spans="1:3" ht="13" x14ac:dyDescent="0.15">
      <c r="A238" s="10"/>
      <c r="B238" s="13"/>
      <c r="C238" s="13"/>
    </row>
    <row r="239" spans="1:3" ht="13" x14ac:dyDescent="0.15">
      <c r="A239" s="10"/>
      <c r="B239" s="13"/>
      <c r="C239" s="13"/>
    </row>
    <row r="240" spans="1:3" ht="13" x14ac:dyDescent="0.15">
      <c r="A240" s="10"/>
      <c r="B240" s="13"/>
      <c r="C240" s="13"/>
    </row>
    <row r="241" spans="1:3" ht="13" x14ac:dyDescent="0.15">
      <c r="A241" s="10"/>
      <c r="B241" s="13"/>
      <c r="C241" s="13"/>
    </row>
    <row r="242" spans="1:3" ht="13" x14ac:dyDescent="0.15">
      <c r="A242" s="10"/>
      <c r="B242" s="13"/>
      <c r="C242" s="13"/>
    </row>
    <row r="243" spans="1:3" ht="13" x14ac:dyDescent="0.15">
      <c r="A243" s="10"/>
      <c r="B243" s="13"/>
      <c r="C243" s="13"/>
    </row>
    <row r="244" spans="1:3" ht="13" x14ac:dyDescent="0.15">
      <c r="A244" s="10"/>
      <c r="B244" s="13"/>
      <c r="C244" s="13"/>
    </row>
    <row r="245" spans="1:3" ht="13" x14ac:dyDescent="0.15">
      <c r="A245" s="10"/>
      <c r="B245" s="13"/>
      <c r="C245" s="13"/>
    </row>
    <row r="246" spans="1:3" ht="13" x14ac:dyDescent="0.15">
      <c r="A246" s="10"/>
      <c r="B246" s="13"/>
      <c r="C246" s="13"/>
    </row>
    <row r="247" spans="1:3" ht="13" x14ac:dyDescent="0.15">
      <c r="A247" s="10"/>
      <c r="B247" s="13"/>
      <c r="C247" s="13"/>
    </row>
    <row r="248" spans="1:3" ht="13" x14ac:dyDescent="0.15">
      <c r="A248" s="10"/>
      <c r="B248" s="13"/>
      <c r="C248" s="13"/>
    </row>
    <row r="249" spans="1:3" ht="13" x14ac:dyDescent="0.15">
      <c r="A249" s="10"/>
      <c r="B249" s="13"/>
      <c r="C249" s="13"/>
    </row>
    <row r="250" spans="1:3" ht="13" x14ac:dyDescent="0.15">
      <c r="A250" s="10"/>
      <c r="B250" s="13"/>
      <c r="C250" s="13"/>
    </row>
    <row r="251" spans="1:3" ht="13" x14ac:dyDescent="0.15">
      <c r="A251" s="10"/>
      <c r="B251" s="13"/>
      <c r="C251" s="13"/>
    </row>
    <row r="252" spans="1:3" ht="13" x14ac:dyDescent="0.15">
      <c r="A252" s="10"/>
      <c r="B252" s="13"/>
      <c r="C252" s="13"/>
    </row>
    <row r="253" spans="1:3" ht="13" x14ac:dyDescent="0.15">
      <c r="A253" s="10"/>
      <c r="B253" s="13"/>
      <c r="C253" s="13"/>
    </row>
    <row r="254" spans="1:3" ht="13" x14ac:dyDescent="0.15">
      <c r="A254" s="10"/>
      <c r="B254" s="13"/>
      <c r="C254" s="13"/>
    </row>
    <row r="255" spans="1:3" ht="13" x14ac:dyDescent="0.15">
      <c r="A255" s="10"/>
      <c r="B255" s="13"/>
      <c r="C255" s="13"/>
    </row>
    <row r="256" spans="1:3" ht="13" x14ac:dyDescent="0.15">
      <c r="A256" s="10"/>
      <c r="B256" s="13"/>
      <c r="C256" s="13"/>
    </row>
    <row r="257" spans="1:3" ht="13" x14ac:dyDescent="0.15">
      <c r="A257" s="10"/>
      <c r="B257" s="13"/>
      <c r="C257" s="13"/>
    </row>
    <row r="258" spans="1:3" ht="13" x14ac:dyDescent="0.15">
      <c r="A258" s="10"/>
      <c r="B258" s="13"/>
      <c r="C258" s="13"/>
    </row>
    <row r="259" spans="1:3" ht="13" x14ac:dyDescent="0.15">
      <c r="A259" s="10"/>
      <c r="B259" s="13"/>
      <c r="C259" s="13"/>
    </row>
    <row r="260" spans="1:3" ht="13" x14ac:dyDescent="0.15">
      <c r="A260" s="10"/>
      <c r="B260" s="13"/>
      <c r="C260" s="13"/>
    </row>
    <row r="261" spans="1:3" ht="13" x14ac:dyDescent="0.15">
      <c r="A261" s="10"/>
      <c r="B261" s="13"/>
      <c r="C261" s="13"/>
    </row>
    <row r="262" spans="1:3" ht="13" x14ac:dyDescent="0.15">
      <c r="A262" s="10"/>
      <c r="B262" s="13"/>
      <c r="C262" s="13"/>
    </row>
    <row r="263" spans="1:3" ht="13" x14ac:dyDescent="0.15">
      <c r="A263" s="10"/>
      <c r="B263" s="13"/>
      <c r="C263" s="13"/>
    </row>
    <row r="264" spans="1:3" ht="13" x14ac:dyDescent="0.15">
      <c r="A264" s="10"/>
      <c r="B264" s="13"/>
      <c r="C264" s="13"/>
    </row>
    <row r="265" spans="1:3" ht="13" x14ac:dyDescent="0.15">
      <c r="A265" s="10"/>
      <c r="B265" s="13"/>
      <c r="C265" s="13"/>
    </row>
    <row r="266" spans="1:3" ht="13" x14ac:dyDescent="0.15">
      <c r="A266" s="10"/>
      <c r="B266" s="13"/>
      <c r="C266" s="13"/>
    </row>
    <row r="267" spans="1:3" ht="13" x14ac:dyDescent="0.15">
      <c r="A267" s="10"/>
      <c r="B267" s="13"/>
      <c r="C267" s="13"/>
    </row>
    <row r="268" spans="1:3" ht="13" x14ac:dyDescent="0.15">
      <c r="A268" s="10"/>
      <c r="B268" s="13"/>
      <c r="C268" s="13"/>
    </row>
    <row r="269" spans="1:3" ht="13" x14ac:dyDescent="0.15">
      <c r="A269" s="10"/>
      <c r="B269" s="13"/>
      <c r="C269" s="13"/>
    </row>
    <row r="270" spans="1:3" ht="13" x14ac:dyDescent="0.15">
      <c r="A270" s="10"/>
      <c r="B270" s="13"/>
      <c r="C270" s="13"/>
    </row>
    <row r="271" spans="1:3" ht="13" x14ac:dyDescent="0.15">
      <c r="A271" s="10"/>
      <c r="B271" s="13"/>
      <c r="C271" s="13"/>
    </row>
    <row r="272" spans="1:3" ht="13" x14ac:dyDescent="0.15">
      <c r="A272" s="10"/>
      <c r="B272" s="13"/>
      <c r="C272" s="13"/>
    </row>
    <row r="273" spans="1:3" ht="13" x14ac:dyDescent="0.15">
      <c r="A273" s="10"/>
      <c r="B273" s="13"/>
      <c r="C273" s="13"/>
    </row>
    <row r="274" spans="1:3" ht="13" x14ac:dyDescent="0.15">
      <c r="A274" s="10"/>
      <c r="B274" s="13"/>
      <c r="C274" s="13"/>
    </row>
    <row r="275" spans="1:3" ht="13" x14ac:dyDescent="0.15">
      <c r="A275" s="10"/>
      <c r="B275" s="13"/>
      <c r="C275" s="13"/>
    </row>
    <row r="276" spans="1:3" ht="13" x14ac:dyDescent="0.15">
      <c r="A276" s="10"/>
      <c r="B276" s="13"/>
      <c r="C276" s="13"/>
    </row>
    <row r="277" spans="1:3" ht="13" x14ac:dyDescent="0.15">
      <c r="A277" s="10"/>
      <c r="B277" s="13"/>
      <c r="C277" s="13"/>
    </row>
    <row r="278" spans="1:3" ht="13" x14ac:dyDescent="0.15">
      <c r="A278" s="10"/>
      <c r="B278" s="13"/>
      <c r="C278" s="13"/>
    </row>
    <row r="279" spans="1:3" ht="13" x14ac:dyDescent="0.15">
      <c r="A279" s="10"/>
      <c r="B279" s="13"/>
      <c r="C279" s="13"/>
    </row>
    <row r="280" spans="1:3" ht="13" x14ac:dyDescent="0.15">
      <c r="A280" s="10"/>
      <c r="B280" s="13"/>
      <c r="C280" s="13"/>
    </row>
    <row r="281" spans="1:3" ht="13" x14ac:dyDescent="0.15">
      <c r="A281" s="10"/>
      <c r="B281" s="13"/>
      <c r="C281" s="13"/>
    </row>
    <row r="282" spans="1:3" ht="13" x14ac:dyDescent="0.15">
      <c r="A282" s="10"/>
      <c r="B282" s="13"/>
      <c r="C282" s="13"/>
    </row>
    <row r="283" spans="1:3" ht="13" x14ac:dyDescent="0.15">
      <c r="A283" s="10"/>
      <c r="B283" s="13"/>
      <c r="C283" s="13"/>
    </row>
    <row r="284" spans="1:3" ht="13" x14ac:dyDescent="0.15">
      <c r="A284" s="10"/>
      <c r="B284" s="13"/>
      <c r="C284" s="13"/>
    </row>
    <row r="285" spans="1:3" ht="13" x14ac:dyDescent="0.15">
      <c r="A285" s="10"/>
      <c r="B285" s="13"/>
      <c r="C285" s="13"/>
    </row>
    <row r="286" spans="1:3" ht="13" x14ac:dyDescent="0.15">
      <c r="A286" s="10"/>
      <c r="B286" s="13"/>
      <c r="C286" s="13"/>
    </row>
    <row r="287" spans="1:3" ht="13" x14ac:dyDescent="0.15">
      <c r="A287" s="10"/>
      <c r="B287" s="13"/>
      <c r="C287" s="13"/>
    </row>
    <row r="288" spans="1:3" ht="13" x14ac:dyDescent="0.15">
      <c r="A288" s="10"/>
      <c r="B288" s="13"/>
      <c r="C288" s="13"/>
    </row>
    <row r="289" spans="1:3" ht="13" x14ac:dyDescent="0.15">
      <c r="A289" s="10"/>
      <c r="B289" s="13"/>
      <c r="C289" s="13"/>
    </row>
    <row r="290" spans="1:3" ht="13" x14ac:dyDescent="0.15">
      <c r="A290" s="10"/>
      <c r="B290" s="13"/>
      <c r="C290" s="13"/>
    </row>
    <row r="291" spans="1:3" ht="13" x14ac:dyDescent="0.15">
      <c r="A291" s="10"/>
      <c r="B291" s="13"/>
      <c r="C291" s="13"/>
    </row>
    <row r="292" spans="1:3" ht="13" x14ac:dyDescent="0.15">
      <c r="A292" s="10"/>
      <c r="B292" s="13"/>
      <c r="C292" s="13"/>
    </row>
    <row r="293" spans="1:3" ht="13" x14ac:dyDescent="0.15">
      <c r="A293" s="10"/>
      <c r="B293" s="13"/>
      <c r="C293" s="13"/>
    </row>
    <row r="294" spans="1:3" ht="13" x14ac:dyDescent="0.15">
      <c r="A294" s="10"/>
      <c r="B294" s="13"/>
      <c r="C294" s="13"/>
    </row>
    <row r="295" spans="1:3" ht="13" x14ac:dyDescent="0.15">
      <c r="A295" s="10"/>
      <c r="B295" s="13"/>
      <c r="C295" s="13"/>
    </row>
    <row r="296" spans="1:3" ht="13" x14ac:dyDescent="0.15">
      <c r="A296" s="10"/>
      <c r="B296" s="13"/>
      <c r="C296" s="13"/>
    </row>
    <row r="297" spans="1:3" ht="13" x14ac:dyDescent="0.15">
      <c r="A297" s="10"/>
      <c r="B297" s="13"/>
      <c r="C297" s="13"/>
    </row>
    <row r="298" spans="1:3" ht="13" x14ac:dyDescent="0.15">
      <c r="A298" s="10"/>
      <c r="B298" s="13"/>
      <c r="C298" s="13"/>
    </row>
    <row r="299" spans="1:3" ht="13" x14ac:dyDescent="0.15">
      <c r="A299" s="10"/>
      <c r="B299" s="13"/>
      <c r="C299" s="13"/>
    </row>
    <row r="300" spans="1:3" ht="13" x14ac:dyDescent="0.15">
      <c r="A300" s="10"/>
      <c r="B300" s="13"/>
      <c r="C300" s="13"/>
    </row>
    <row r="301" spans="1:3" ht="13" x14ac:dyDescent="0.15">
      <c r="A301" s="10"/>
      <c r="B301" s="13"/>
      <c r="C301" s="13"/>
    </row>
    <row r="302" spans="1:3" ht="13" x14ac:dyDescent="0.15">
      <c r="A302" s="10"/>
      <c r="B302" s="13"/>
      <c r="C302" s="13"/>
    </row>
    <row r="303" spans="1:3" ht="13" x14ac:dyDescent="0.15">
      <c r="A303" s="10"/>
      <c r="B303" s="13"/>
      <c r="C303" s="13"/>
    </row>
    <row r="304" spans="1:3" ht="13" x14ac:dyDescent="0.15">
      <c r="A304" s="10"/>
      <c r="B304" s="13"/>
      <c r="C304" s="13"/>
    </row>
    <row r="305" spans="1:3" ht="13" x14ac:dyDescent="0.15">
      <c r="A305" s="10"/>
      <c r="B305" s="13"/>
      <c r="C305" s="13"/>
    </row>
    <row r="306" spans="1:3" ht="13" x14ac:dyDescent="0.15">
      <c r="A306" s="10"/>
      <c r="B306" s="13"/>
      <c r="C306" s="13"/>
    </row>
    <row r="307" spans="1:3" ht="13" x14ac:dyDescent="0.15">
      <c r="A307" s="10"/>
      <c r="B307" s="13"/>
      <c r="C307" s="13"/>
    </row>
    <row r="308" spans="1:3" ht="13" x14ac:dyDescent="0.15">
      <c r="A308" s="10"/>
      <c r="B308" s="13"/>
      <c r="C308" s="13"/>
    </row>
    <row r="309" spans="1:3" ht="13" x14ac:dyDescent="0.15">
      <c r="A309" s="10"/>
      <c r="B309" s="13"/>
      <c r="C309" s="13"/>
    </row>
    <row r="310" spans="1:3" ht="13" x14ac:dyDescent="0.15">
      <c r="A310" s="10"/>
      <c r="B310" s="13"/>
      <c r="C310" s="13"/>
    </row>
    <row r="311" spans="1:3" ht="13" x14ac:dyDescent="0.15">
      <c r="A311" s="10"/>
      <c r="B311" s="13"/>
      <c r="C311" s="13"/>
    </row>
    <row r="312" spans="1:3" ht="13" x14ac:dyDescent="0.15">
      <c r="A312" s="10"/>
      <c r="B312" s="13"/>
      <c r="C312" s="13"/>
    </row>
    <row r="313" spans="1:3" ht="13" x14ac:dyDescent="0.15">
      <c r="A313" s="10"/>
      <c r="B313" s="13"/>
      <c r="C313" s="13"/>
    </row>
    <row r="314" spans="1:3" ht="13" x14ac:dyDescent="0.15">
      <c r="A314" s="10"/>
      <c r="B314" s="13"/>
      <c r="C314" s="13"/>
    </row>
    <row r="315" spans="1:3" ht="13" x14ac:dyDescent="0.15">
      <c r="A315" s="10"/>
      <c r="B315" s="13"/>
      <c r="C315" s="13"/>
    </row>
    <row r="316" spans="1:3" ht="13" x14ac:dyDescent="0.15">
      <c r="A316" s="10"/>
      <c r="B316" s="13"/>
      <c r="C316" s="13"/>
    </row>
    <row r="317" spans="1:3" ht="13" x14ac:dyDescent="0.15">
      <c r="A317" s="10"/>
      <c r="B317" s="13"/>
      <c r="C317" s="13"/>
    </row>
    <row r="318" spans="1:3" ht="13" x14ac:dyDescent="0.15">
      <c r="A318" s="10"/>
      <c r="B318" s="13"/>
      <c r="C318" s="13"/>
    </row>
    <row r="319" spans="1:3" ht="13" x14ac:dyDescent="0.15">
      <c r="A319" s="10"/>
      <c r="B319" s="13"/>
      <c r="C319" s="13"/>
    </row>
    <row r="320" spans="1:3" ht="13" x14ac:dyDescent="0.15">
      <c r="A320" s="10"/>
      <c r="B320" s="13"/>
      <c r="C320" s="13"/>
    </row>
    <row r="321" spans="1:3" ht="13" x14ac:dyDescent="0.15">
      <c r="A321" s="10"/>
      <c r="B321" s="13"/>
      <c r="C321" s="13"/>
    </row>
    <row r="322" spans="1:3" ht="13" x14ac:dyDescent="0.15">
      <c r="A322" s="10"/>
      <c r="B322" s="13"/>
      <c r="C322" s="13"/>
    </row>
    <row r="323" spans="1:3" ht="13" x14ac:dyDescent="0.15">
      <c r="A323" s="10"/>
      <c r="B323" s="13"/>
      <c r="C323" s="13"/>
    </row>
    <row r="324" spans="1:3" ht="13" x14ac:dyDescent="0.15">
      <c r="A324" s="10"/>
      <c r="B324" s="13"/>
      <c r="C324" s="13"/>
    </row>
    <row r="325" spans="1:3" ht="13" x14ac:dyDescent="0.15">
      <c r="A325" s="10"/>
      <c r="B325" s="13"/>
      <c r="C325" s="13"/>
    </row>
    <row r="326" spans="1:3" ht="13" x14ac:dyDescent="0.15">
      <c r="A326" s="10"/>
      <c r="B326" s="13"/>
      <c r="C326" s="13"/>
    </row>
    <row r="327" spans="1:3" ht="13" x14ac:dyDescent="0.15">
      <c r="A327" s="10"/>
      <c r="B327" s="13"/>
      <c r="C327" s="13"/>
    </row>
    <row r="328" spans="1:3" ht="13" x14ac:dyDescent="0.15">
      <c r="A328" s="10"/>
      <c r="B328" s="13"/>
      <c r="C328" s="13"/>
    </row>
    <row r="329" spans="1:3" ht="13" x14ac:dyDescent="0.15">
      <c r="A329" s="10"/>
      <c r="B329" s="13"/>
      <c r="C329" s="13"/>
    </row>
    <row r="330" spans="1:3" ht="13" x14ac:dyDescent="0.15">
      <c r="A330" s="10"/>
      <c r="B330" s="13"/>
      <c r="C330" s="13"/>
    </row>
    <row r="331" spans="1:3" ht="13" x14ac:dyDescent="0.15">
      <c r="A331" s="10"/>
      <c r="B331" s="13"/>
      <c r="C331" s="13"/>
    </row>
    <row r="332" spans="1:3" ht="13" x14ac:dyDescent="0.15">
      <c r="A332" s="10"/>
      <c r="B332" s="13"/>
      <c r="C332" s="13"/>
    </row>
    <row r="333" spans="1:3" ht="13" x14ac:dyDescent="0.15">
      <c r="A333" s="10"/>
      <c r="B333" s="13"/>
      <c r="C333" s="13"/>
    </row>
    <row r="334" spans="1:3" ht="13" x14ac:dyDescent="0.15">
      <c r="A334" s="10"/>
      <c r="B334" s="13"/>
      <c r="C334" s="13"/>
    </row>
    <row r="335" spans="1:3" ht="13" x14ac:dyDescent="0.15">
      <c r="A335" s="10"/>
      <c r="B335" s="13"/>
      <c r="C335" s="13"/>
    </row>
    <row r="336" spans="1:3" ht="13" x14ac:dyDescent="0.15">
      <c r="A336" s="10"/>
      <c r="B336" s="13"/>
      <c r="C336" s="13"/>
    </row>
    <row r="337" spans="1:3" ht="13" x14ac:dyDescent="0.15">
      <c r="A337" s="10"/>
      <c r="B337" s="13"/>
      <c r="C337" s="13"/>
    </row>
    <row r="338" spans="1:3" ht="13" x14ac:dyDescent="0.15">
      <c r="A338" s="10"/>
      <c r="B338" s="13"/>
      <c r="C338" s="13"/>
    </row>
    <row r="339" spans="1:3" ht="13" x14ac:dyDescent="0.15">
      <c r="A339" s="10"/>
      <c r="B339" s="13"/>
      <c r="C339" s="13"/>
    </row>
    <row r="340" spans="1:3" ht="13" x14ac:dyDescent="0.15">
      <c r="A340" s="10"/>
      <c r="B340" s="13"/>
      <c r="C340" s="13"/>
    </row>
    <row r="341" spans="1:3" ht="13" x14ac:dyDescent="0.15">
      <c r="A341" s="10"/>
      <c r="B341" s="13"/>
      <c r="C341" s="13"/>
    </row>
    <row r="342" spans="1:3" ht="13" x14ac:dyDescent="0.15">
      <c r="A342" s="10"/>
      <c r="B342" s="13"/>
      <c r="C342" s="13"/>
    </row>
    <row r="343" spans="1:3" ht="13" x14ac:dyDescent="0.15">
      <c r="A343" s="10"/>
      <c r="B343" s="13"/>
      <c r="C343" s="13"/>
    </row>
    <row r="344" spans="1:3" ht="13" x14ac:dyDescent="0.15">
      <c r="A344" s="10"/>
      <c r="B344" s="13"/>
      <c r="C344" s="13"/>
    </row>
    <row r="345" spans="1:3" ht="13" x14ac:dyDescent="0.15">
      <c r="A345" s="10"/>
      <c r="B345" s="13"/>
      <c r="C345" s="13"/>
    </row>
    <row r="346" spans="1:3" ht="13" x14ac:dyDescent="0.15">
      <c r="A346" s="10"/>
      <c r="B346" s="13"/>
      <c r="C346" s="13"/>
    </row>
    <row r="347" spans="1:3" ht="13" x14ac:dyDescent="0.15">
      <c r="A347" s="10"/>
      <c r="B347" s="13"/>
      <c r="C347" s="13"/>
    </row>
    <row r="348" spans="1:3" ht="13" x14ac:dyDescent="0.15">
      <c r="A348" s="10"/>
      <c r="B348" s="13"/>
      <c r="C348" s="13"/>
    </row>
    <row r="349" spans="1:3" ht="13" x14ac:dyDescent="0.15">
      <c r="A349" s="10"/>
      <c r="B349" s="13"/>
      <c r="C349" s="13"/>
    </row>
    <row r="350" spans="1:3" ht="13" x14ac:dyDescent="0.15">
      <c r="A350" s="10"/>
      <c r="B350" s="13"/>
      <c r="C350" s="13"/>
    </row>
    <row r="351" spans="1:3" ht="13" x14ac:dyDescent="0.15">
      <c r="A351" s="10"/>
      <c r="B351" s="13"/>
      <c r="C351" s="13"/>
    </row>
    <row r="352" spans="1:3" ht="13" x14ac:dyDescent="0.15">
      <c r="A352" s="10"/>
      <c r="B352" s="13"/>
      <c r="C352" s="13"/>
    </row>
    <row r="353" spans="1:3" ht="13" x14ac:dyDescent="0.15">
      <c r="A353" s="10"/>
      <c r="B353" s="13"/>
      <c r="C353" s="13"/>
    </row>
    <row r="354" spans="1:3" ht="13" x14ac:dyDescent="0.15">
      <c r="A354" s="10"/>
      <c r="B354" s="13"/>
      <c r="C354" s="13"/>
    </row>
    <row r="355" spans="1:3" ht="13" x14ac:dyDescent="0.15">
      <c r="A355" s="10"/>
      <c r="B355" s="13"/>
      <c r="C355" s="13"/>
    </row>
    <row r="356" spans="1:3" ht="13" x14ac:dyDescent="0.15">
      <c r="A356" s="10"/>
      <c r="B356" s="13"/>
      <c r="C356" s="13"/>
    </row>
    <row r="357" spans="1:3" ht="13" x14ac:dyDescent="0.15">
      <c r="A357" s="10"/>
      <c r="B357" s="13"/>
      <c r="C357" s="13"/>
    </row>
    <row r="358" spans="1:3" ht="13" x14ac:dyDescent="0.15">
      <c r="A358" s="10"/>
      <c r="B358" s="13"/>
      <c r="C358" s="13"/>
    </row>
    <row r="359" spans="1:3" ht="13" x14ac:dyDescent="0.15">
      <c r="A359" s="10"/>
      <c r="B359" s="13"/>
      <c r="C359" s="13"/>
    </row>
    <row r="360" spans="1:3" ht="13" x14ac:dyDescent="0.15">
      <c r="A360" s="10"/>
      <c r="B360" s="13"/>
      <c r="C360" s="13"/>
    </row>
    <row r="361" spans="1:3" ht="13" x14ac:dyDescent="0.15">
      <c r="A361" s="10"/>
      <c r="B361" s="13"/>
      <c r="C361" s="13"/>
    </row>
    <row r="362" spans="1:3" ht="13" x14ac:dyDescent="0.15">
      <c r="A362" s="10"/>
      <c r="B362" s="13"/>
      <c r="C362" s="13"/>
    </row>
    <row r="363" spans="1:3" ht="13" x14ac:dyDescent="0.15">
      <c r="A363" s="10"/>
      <c r="B363" s="13"/>
      <c r="C363" s="13"/>
    </row>
    <row r="364" spans="1:3" ht="13" x14ac:dyDescent="0.15">
      <c r="A364" s="10"/>
      <c r="B364" s="13"/>
      <c r="C364" s="13"/>
    </row>
    <row r="365" spans="1:3" ht="13" x14ac:dyDescent="0.15">
      <c r="A365" s="10"/>
      <c r="B365" s="13"/>
      <c r="C365" s="13"/>
    </row>
    <row r="366" spans="1:3" ht="13" x14ac:dyDescent="0.15">
      <c r="A366" s="10"/>
      <c r="B366" s="13"/>
      <c r="C366" s="13"/>
    </row>
    <row r="367" spans="1:3" ht="13" x14ac:dyDescent="0.15">
      <c r="A367" s="10"/>
      <c r="B367" s="13"/>
      <c r="C367" s="13"/>
    </row>
    <row r="368" spans="1:3" ht="13" x14ac:dyDescent="0.15">
      <c r="A368" s="10"/>
      <c r="B368" s="13"/>
      <c r="C368" s="13"/>
    </row>
    <row r="369" spans="1:3" ht="13" x14ac:dyDescent="0.15">
      <c r="A369" s="10"/>
      <c r="B369" s="13"/>
      <c r="C369" s="13"/>
    </row>
    <row r="370" spans="1:3" ht="13" x14ac:dyDescent="0.15">
      <c r="A370" s="10"/>
      <c r="B370" s="13"/>
      <c r="C370" s="13"/>
    </row>
    <row r="371" spans="1:3" ht="13" x14ac:dyDescent="0.15">
      <c r="A371" s="10"/>
      <c r="B371" s="13"/>
      <c r="C371" s="13"/>
    </row>
    <row r="372" spans="1:3" ht="13" x14ac:dyDescent="0.15">
      <c r="A372" s="10"/>
      <c r="B372" s="13"/>
      <c r="C372" s="13"/>
    </row>
    <row r="373" spans="1:3" ht="13" x14ac:dyDescent="0.15">
      <c r="A373" s="10"/>
      <c r="B373" s="13"/>
      <c r="C373" s="13"/>
    </row>
    <row r="374" spans="1:3" ht="13" x14ac:dyDescent="0.15">
      <c r="A374" s="10"/>
      <c r="B374" s="13"/>
      <c r="C374" s="13"/>
    </row>
    <row r="375" spans="1:3" ht="13" x14ac:dyDescent="0.15">
      <c r="A375" s="10"/>
      <c r="B375" s="13"/>
      <c r="C375" s="13"/>
    </row>
    <row r="376" spans="1:3" ht="13" x14ac:dyDescent="0.15">
      <c r="A376" s="10"/>
      <c r="B376" s="13"/>
      <c r="C376" s="13"/>
    </row>
    <row r="377" spans="1:3" ht="13" x14ac:dyDescent="0.15">
      <c r="A377" s="10"/>
      <c r="B377" s="13"/>
      <c r="C377" s="13"/>
    </row>
    <row r="378" spans="1:3" ht="13" x14ac:dyDescent="0.15">
      <c r="A378" s="10"/>
      <c r="B378" s="13"/>
      <c r="C378" s="13"/>
    </row>
    <row r="379" spans="1:3" ht="13" x14ac:dyDescent="0.15">
      <c r="A379" s="10"/>
      <c r="B379" s="13"/>
      <c r="C379" s="13"/>
    </row>
    <row r="380" spans="1:3" ht="13" x14ac:dyDescent="0.15">
      <c r="A380" s="10"/>
      <c r="B380" s="13"/>
      <c r="C380" s="13"/>
    </row>
    <row r="381" spans="1:3" ht="13" x14ac:dyDescent="0.15">
      <c r="A381" s="10"/>
      <c r="B381" s="13"/>
      <c r="C381" s="13"/>
    </row>
    <row r="382" spans="1:3" ht="13" x14ac:dyDescent="0.15">
      <c r="A382" s="10"/>
      <c r="B382" s="13"/>
      <c r="C382" s="13"/>
    </row>
    <row r="383" spans="1:3" ht="13" x14ac:dyDescent="0.15">
      <c r="A383" s="10"/>
      <c r="B383" s="13"/>
      <c r="C383" s="13"/>
    </row>
    <row r="384" spans="1:3" ht="13" x14ac:dyDescent="0.15">
      <c r="A384" s="10"/>
      <c r="B384" s="13"/>
      <c r="C384" s="13"/>
    </row>
    <row r="385" spans="1:3" ht="13" x14ac:dyDescent="0.15">
      <c r="A385" s="10"/>
      <c r="B385" s="13"/>
      <c r="C385" s="13"/>
    </row>
    <row r="386" spans="1:3" ht="13" x14ac:dyDescent="0.15">
      <c r="A386" s="10"/>
      <c r="B386" s="13"/>
      <c r="C386" s="13"/>
    </row>
    <row r="387" spans="1:3" ht="13" x14ac:dyDescent="0.15">
      <c r="A387" s="10"/>
      <c r="B387" s="13"/>
      <c r="C387" s="13"/>
    </row>
    <row r="388" spans="1:3" ht="13" x14ac:dyDescent="0.15">
      <c r="A388" s="10"/>
      <c r="B388" s="13"/>
      <c r="C388" s="13"/>
    </row>
    <row r="389" spans="1:3" ht="13" x14ac:dyDescent="0.15">
      <c r="A389" s="10"/>
      <c r="B389" s="13"/>
      <c r="C389" s="13"/>
    </row>
    <row r="390" spans="1:3" ht="13" x14ac:dyDescent="0.15">
      <c r="A390" s="10"/>
      <c r="B390" s="13"/>
      <c r="C390" s="13"/>
    </row>
    <row r="391" spans="1:3" ht="13" x14ac:dyDescent="0.15">
      <c r="A391" s="10"/>
      <c r="B391" s="13"/>
      <c r="C391" s="13"/>
    </row>
    <row r="392" spans="1:3" ht="13" x14ac:dyDescent="0.15">
      <c r="A392" s="10"/>
      <c r="B392" s="13"/>
      <c r="C392" s="13"/>
    </row>
    <row r="393" spans="1:3" ht="13" x14ac:dyDescent="0.15">
      <c r="A393" s="10"/>
      <c r="B393" s="13"/>
      <c r="C393" s="13"/>
    </row>
    <row r="394" spans="1:3" ht="13" x14ac:dyDescent="0.15">
      <c r="A394" s="10"/>
      <c r="B394" s="13"/>
      <c r="C394" s="13"/>
    </row>
    <row r="395" spans="1:3" ht="13" x14ac:dyDescent="0.15">
      <c r="A395" s="10"/>
      <c r="B395" s="13"/>
      <c r="C395" s="13"/>
    </row>
    <row r="396" spans="1:3" ht="13" x14ac:dyDescent="0.15">
      <c r="A396" s="10"/>
      <c r="B396" s="13"/>
      <c r="C396" s="13"/>
    </row>
    <row r="397" spans="1:3" ht="13" x14ac:dyDescent="0.15">
      <c r="A397" s="10"/>
      <c r="B397" s="13"/>
      <c r="C397" s="13"/>
    </row>
    <row r="398" spans="1:3" ht="13" x14ac:dyDescent="0.15">
      <c r="A398" s="10"/>
      <c r="B398" s="13"/>
      <c r="C398" s="13"/>
    </row>
    <row r="399" spans="1:3" ht="13" x14ac:dyDescent="0.15">
      <c r="A399" s="10"/>
      <c r="B399" s="13"/>
      <c r="C399" s="13"/>
    </row>
    <row r="400" spans="1:3" ht="13" x14ac:dyDescent="0.15">
      <c r="A400" s="10"/>
      <c r="B400" s="13"/>
      <c r="C400" s="13"/>
    </row>
    <row r="401" spans="1:3" ht="13" x14ac:dyDescent="0.15">
      <c r="A401" s="10"/>
      <c r="B401" s="13"/>
      <c r="C401" s="13"/>
    </row>
    <row r="402" spans="1:3" ht="13" x14ac:dyDescent="0.15">
      <c r="A402" s="10"/>
      <c r="B402" s="13"/>
      <c r="C402" s="13"/>
    </row>
    <row r="403" spans="1:3" ht="13" x14ac:dyDescent="0.15">
      <c r="A403" s="10"/>
      <c r="B403" s="13"/>
      <c r="C403" s="13"/>
    </row>
    <row r="404" spans="1:3" ht="13" x14ac:dyDescent="0.15">
      <c r="A404" s="10"/>
      <c r="B404" s="13"/>
      <c r="C404" s="13"/>
    </row>
    <row r="405" spans="1:3" ht="13" x14ac:dyDescent="0.15">
      <c r="A405" s="10"/>
      <c r="B405" s="13"/>
      <c r="C405" s="13"/>
    </row>
    <row r="406" spans="1:3" ht="13" x14ac:dyDescent="0.15">
      <c r="A406" s="10"/>
      <c r="B406" s="13"/>
      <c r="C406" s="13"/>
    </row>
    <row r="407" spans="1:3" ht="13" x14ac:dyDescent="0.15">
      <c r="A407" s="10"/>
      <c r="B407" s="13"/>
      <c r="C407" s="13"/>
    </row>
    <row r="408" spans="1:3" ht="13" x14ac:dyDescent="0.15">
      <c r="A408" s="10"/>
      <c r="B408" s="13"/>
      <c r="C408" s="13"/>
    </row>
    <row r="409" spans="1:3" ht="13" x14ac:dyDescent="0.15">
      <c r="A409" s="10"/>
      <c r="B409" s="13"/>
      <c r="C409" s="13"/>
    </row>
    <row r="410" spans="1:3" ht="13" x14ac:dyDescent="0.15">
      <c r="A410" s="10"/>
      <c r="B410" s="13"/>
      <c r="C410" s="13"/>
    </row>
    <row r="411" spans="1:3" ht="13" x14ac:dyDescent="0.15">
      <c r="A411" s="10"/>
      <c r="B411" s="13"/>
      <c r="C411" s="13"/>
    </row>
    <row r="412" spans="1:3" ht="13" x14ac:dyDescent="0.15">
      <c r="A412" s="10"/>
      <c r="B412" s="13"/>
      <c r="C412" s="13"/>
    </row>
    <row r="413" spans="1:3" ht="13" x14ac:dyDescent="0.15">
      <c r="A413" s="10"/>
      <c r="B413" s="13"/>
      <c r="C413" s="13"/>
    </row>
    <row r="414" spans="1:3" ht="13" x14ac:dyDescent="0.15">
      <c r="A414" s="10"/>
      <c r="B414" s="13"/>
      <c r="C414" s="13"/>
    </row>
    <row r="415" spans="1:3" ht="13" x14ac:dyDescent="0.15">
      <c r="A415" s="10"/>
      <c r="B415" s="13"/>
      <c r="C415" s="13"/>
    </row>
    <row r="416" spans="1:3" ht="13" x14ac:dyDescent="0.15">
      <c r="A416" s="10"/>
      <c r="B416" s="13"/>
      <c r="C416" s="13"/>
    </row>
    <row r="417" spans="1:3" ht="13" x14ac:dyDescent="0.15">
      <c r="A417" s="10"/>
      <c r="B417" s="13"/>
      <c r="C417" s="13"/>
    </row>
    <row r="418" spans="1:3" ht="13" x14ac:dyDescent="0.15">
      <c r="A418" s="10"/>
      <c r="B418" s="13"/>
      <c r="C418" s="13"/>
    </row>
    <row r="419" spans="1:3" ht="13" x14ac:dyDescent="0.15">
      <c r="A419" s="10"/>
      <c r="B419" s="13"/>
      <c r="C419" s="13"/>
    </row>
    <row r="420" spans="1:3" ht="13" x14ac:dyDescent="0.15">
      <c r="A420" s="10"/>
      <c r="B420" s="13"/>
      <c r="C420" s="13"/>
    </row>
    <row r="421" spans="1:3" ht="13" x14ac:dyDescent="0.15">
      <c r="A421" s="10"/>
      <c r="B421" s="13"/>
      <c r="C421" s="13"/>
    </row>
    <row r="422" spans="1:3" ht="13" x14ac:dyDescent="0.15">
      <c r="A422" s="10"/>
      <c r="B422" s="13"/>
      <c r="C422" s="13"/>
    </row>
    <row r="423" spans="1:3" ht="13" x14ac:dyDescent="0.15">
      <c r="A423" s="10"/>
      <c r="B423" s="13"/>
      <c r="C423" s="13"/>
    </row>
    <row r="424" spans="1:3" ht="13" x14ac:dyDescent="0.15">
      <c r="A424" s="10"/>
      <c r="B424" s="13"/>
      <c r="C424" s="13"/>
    </row>
    <row r="425" spans="1:3" ht="13" x14ac:dyDescent="0.15">
      <c r="A425" s="10"/>
      <c r="B425" s="13"/>
      <c r="C425" s="13"/>
    </row>
    <row r="426" spans="1:3" ht="13" x14ac:dyDescent="0.15">
      <c r="A426" s="10"/>
      <c r="B426" s="13"/>
      <c r="C426" s="13"/>
    </row>
    <row r="427" spans="1:3" ht="13" x14ac:dyDescent="0.15">
      <c r="A427" s="10"/>
      <c r="B427" s="13"/>
      <c r="C427" s="13"/>
    </row>
    <row r="428" spans="1:3" ht="13" x14ac:dyDescent="0.15">
      <c r="A428" s="10"/>
      <c r="B428" s="13"/>
      <c r="C428" s="13"/>
    </row>
    <row r="429" spans="1:3" ht="13" x14ac:dyDescent="0.15">
      <c r="A429" s="10"/>
      <c r="B429" s="13"/>
      <c r="C429" s="13"/>
    </row>
    <row r="430" spans="1:3" ht="13" x14ac:dyDescent="0.15">
      <c r="A430" s="10"/>
      <c r="B430" s="13"/>
      <c r="C430" s="13"/>
    </row>
    <row r="431" spans="1:3" ht="13" x14ac:dyDescent="0.15">
      <c r="A431" s="10"/>
      <c r="B431" s="13"/>
      <c r="C431" s="13"/>
    </row>
    <row r="432" spans="1:3" ht="13" x14ac:dyDescent="0.15">
      <c r="A432" s="10"/>
      <c r="B432" s="13"/>
      <c r="C432" s="13"/>
    </row>
    <row r="433" spans="1:3" ht="13" x14ac:dyDescent="0.15">
      <c r="A433" s="10"/>
      <c r="B433" s="13"/>
      <c r="C433" s="13"/>
    </row>
    <row r="434" spans="1:3" ht="13" x14ac:dyDescent="0.15">
      <c r="A434" s="10"/>
      <c r="B434" s="13"/>
      <c r="C434" s="13"/>
    </row>
    <row r="435" spans="1:3" ht="13" x14ac:dyDescent="0.15">
      <c r="A435" s="10"/>
      <c r="B435" s="13"/>
      <c r="C435" s="13"/>
    </row>
    <row r="436" spans="1:3" ht="13" x14ac:dyDescent="0.15">
      <c r="A436" s="10"/>
      <c r="B436" s="13"/>
      <c r="C436" s="13"/>
    </row>
    <row r="437" spans="1:3" ht="13" x14ac:dyDescent="0.15">
      <c r="A437" s="10"/>
      <c r="B437" s="13"/>
      <c r="C437" s="13"/>
    </row>
    <row r="438" spans="1:3" ht="13" x14ac:dyDescent="0.15">
      <c r="A438" s="10"/>
      <c r="B438" s="13"/>
      <c r="C438" s="13"/>
    </row>
    <row r="439" spans="1:3" ht="13" x14ac:dyDescent="0.15">
      <c r="A439" s="10"/>
      <c r="B439" s="13"/>
      <c r="C439" s="13"/>
    </row>
    <row r="440" spans="1:3" ht="13" x14ac:dyDescent="0.15">
      <c r="A440" s="10"/>
      <c r="B440" s="13"/>
      <c r="C440" s="13"/>
    </row>
    <row r="441" spans="1:3" ht="13" x14ac:dyDescent="0.15">
      <c r="A441" s="10"/>
      <c r="B441" s="13"/>
      <c r="C441" s="13"/>
    </row>
    <row r="442" spans="1:3" ht="13" x14ac:dyDescent="0.15">
      <c r="A442" s="10"/>
      <c r="B442" s="13"/>
      <c r="C442" s="13"/>
    </row>
    <row r="443" spans="1:3" ht="13" x14ac:dyDescent="0.15">
      <c r="A443" s="10"/>
      <c r="B443" s="13"/>
      <c r="C443" s="13"/>
    </row>
    <row r="444" spans="1:3" ht="13" x14ac:dyDescent="0.15">
      <c r="A444" s="10"/>
      <c r="B444" s="13"/>
      <c r="C444" s="13"/>
    </row>
    <row r="445" spans="1:3" ht="13" x14ac:dyDescent="0.15">
      <c r="A445" s="10"/>
      <c r="B445" s="13"/>
      <c r="C445" s="13"/>
    </row>
    <row r="446" spans="1:3" ht="13" x14ac:dyDescent="0.15">
      <c r="A446" s="10"/>
      <c r="B446" s="13"/>
      <c r="C446" s="13"/>
    </row>
    <row r="447" spans="1:3" ht="13" x14ac:dyDescent="0.15">
      <c r="A447" s="10"/>
      <c r="B447" s="13"/>
      <c r="C447" s="13"/>
    </row>
    <row r="448" spans="1:3" ht="13" x14ac:dyDescent="0.15">
      <c r="A448" s="10"/>
      <c r="B448" s="13"/>
      <c r="C448" s="13"/>
    </row>
    <row r="449" spans="1:3" ht="13" x14ac:dyDescent="0.15">
      <c r="A449" s="10"/>
      <c r="B449" s="13"/>
      <c r="C449" s="13"/>
    </row>
    <row r="450" spans="1:3" ht="13" x14ac:dyDescent="0.15">
      <c r="A450" s="10"/>
      <c r="B450" s="13"/>
      <c r="C450" s="13"/>
    </row>
    <row r="451" spans="1:3" ht="13" x14ac:dyDescent="0.15">
      <c r="A451" s="10"/>
      <c r="B451" s="13"/>
      <c r="C451" s="13"/>
    </row>
    <row r="452" spans="1:3" ht="13" x14ac:dyDescent="0.15">
      <c r="A452" s="10"/>
      <c r="B452" s="13"/>
      <c r="C452" s="13"/>
    </row>
    <row r="453" spans="1:3" ht="13" x14ac:dyDescent="0.15">
      <c r="A453" s="10"/>
      <c r="B453" s="13"/>
      <c r="C453" s="13"/>
    </row>
    <row r="454" spans="1:3" ht="13" x14ac:dyDescent="0.15">
      <c r="A454" s="10"/>
      <c r="B454" s="13"/>
      <c r="C454" s="13"/>
    </row>
    <row r="455" spans="1:3" ht="13" x14ac:dyDescent="0.15">
      <c r="A455" s="10"/>
      <c r="B455" s="13"/>
      <c r="C455" s="13"/>
    </row>
    <row r="456" spans="1:3" ht="13" x14ac:dyDescent="0.15">
      <c r="A456" s="10"/>
      <c r="B456" s="13"/>
      <c r="C456" s="13"/>
    </row>
    <row r="457" spans="1:3" ht="13" x14ac:dyDescent="0.15">
      <c r="A457" s="10"/>
      <c r="B457" s="13"/>
      <c r="C457" s="13"/>
    </row>
    <row r="458" spans="1:3" ht="13" x14ac:dyDescent="0.15">
      <c r="A458" s="10"/>
      <c r="B458" s="13"/>
      <c r="C458" s="13"/>
    </row>
    <row r="459" spans="1:3" ht="13" x14ac:dyDescent="0.15">
      <c r="A459" s="10"/>
      <c r="B459" s="13"/>
      <c r="C459" s="13"/>
    </row>
    <row r="460" spans="1:3" ht="13" x14ac:dyDescent="0.15">
      <c r="A460" s="10"/>
      <c r="B460" s="13"/>
      <c r="C460" s="13"/>
    </row>
    <row r="461" spans="1:3" ht="13" x14ac:dyDescent="0.15">
      <c r="A461" s="10"/>
      <c r="B461" s="13"/>
      <c r="C461" s="13"/>
    </row>
    <row r="462" spans="1:3" ht="13" x14ac:dyDescent="0.15">
      <c r="A462" s="10"/>
      <c r="B462" s="13"/>
      <c r="C462" s="13"/>
    </row>
    <row r="463" spans="1:3" ht="13" x14ac:dyDescent="0.15">
      <c r="A463" s="10"/>
      <c r="B463" s="13"/>
      <c r="C463" s="13"/>
    </row>
    <row r="464" spans="1:3" ht="13" x14ac:dyDescent="0.15">
      <c r="A464" s="10"/>
      <c r="B464" s="13"/>
      <c r="C464" s="13"/>
    </row>
    <row r="465" spans="1:3" ht="13" x14ac:dyDescent="0.15">
      <c r="A465" s="10"/>
      <c r="B465" s="13"/>
      <c r="C465" s="13"/>
    </row>
    <row r="466" spans="1:3" ht="13" x14ac:dyDescent="0.15">
      <c r="A466" s="10"/>
      <c r="B466" s="13"/>
      <c r="C466" s="13"/>
    </row>
    <row r="467" spans="1:3" ht="13" x14ac:dyDescent="0.15">
      <c r="A467" s="10"/>
      <c r="B467" s="13"/>
      <c r="C467" s="13"/>
    </row>
    <row r="468" spans="1:3" ht="13" x14ac:dyDescent="0.15">
      <c r="A468" s="10"/>
      <c r="B468" s="13"/>
      <c r="C468" s="13"/>
    </row>
    <row r="469" spans="1:3" ht="13" x14ac:dyDescent="0.15">
      <c r="A469" s="10"/>
      <c r="B469" s="13"/>
      <c r="C469" s="13"/>
    </row>
    <row r="470" spans="1:3" ht="13" x14ac:dyDescent="0.15">
      <c r="A470" s="10"/>
      <c r="B470" s="13"/>
      <c r="C470" s="13"/>
    </row>
    <row r="471" spans="1:3" ht="13" x14ac:dyDescent="0.15">
      <c r="A471" s="10"/>
      <c r="B471" s="13"/>
      <c r="C471" s="13"/>
    </row>
    <row r="472" spans="1:3" ht="13" x14ac:dyDescent="0.15">
      <c r="A472" s="10"/>
      <c r="B472" s="13"/>
      <c r="C472" s="13"/>
    </row>
    <row r="473" spans="1:3" ht="13" x14ac:dyDescent="0.15">
      <c r="A473" s="10"/>
      <c r="B473" s="13"/>
      <c r="C473" s="13"/>
    </row>
    <row r="474" spans="1:3" ht="13" x14ac:dyDescent="0.15">
      <c r="A474" s="10"/>
      <c r="B474" s="13"/>
      <c r="C474" s="13"/>
    </row>
    <row r="475" spans="1:3" ht="13" x14ac:dyDescent="0.15">
      <c r="A475" s="10"/>
      <c r="B475" s="13"/>
      <c r="C475" s="13"/>
    </row>
    <row r="476" spans="1:3" ht="13" x14ac:dyDescent="0.15">
      <c r="A476" s="10"/>
      <c r="B476" s="13"/>
      <c r="C476" s="13"/>
    </row>
    <row r="477" spans="1:3" ht="13" x14ac:dyDescent="0.15">
      <c r="A477" s="10"/>
      <c r="B477" s="13"/>
      <c r="C477" s="13"/>
    </row>
    <row r="478" spans="1:3" ht="13" x14ac:dyDescent="0.15">
      <c r="A478" s="10"/>
      <c r="B478" s="13"/>
      <c r="C478" s="13"/>
    </row>
    <row r="479" spans="1:3" ht="13" x14ac:dyDescent="0.15">
      <c r="A479" s="10"/>
      <c r="B479" s="13"/>
      <c r="C479" s="13"/>
    </row>
    <row r="480" spans="1:3" ht="13" x14ac:dyDescent="0.15">
      <c r="A480" s="10"/>
      <c r="B480" s="13"/>
      <c r="C480" s="13"/>
    </row>
    <row r="481" spans="1:3" ht="13" x14ac:dyDescent="0.15">
      <c r="A481" s="10"/>
      <c r="B481" s="13"/>
      <c r="C481" s="13"/>
    </row>
    <row r="482" spans="1:3" ht="13" x14ac:dyDescent="0.15">
      <c r="A482" s="10"/>
      <c r="B482" s="13"/>
      <c r="C482" s="13"/>
    </row>
    <row r="483" spans="1:3" ht="13" x14ac:dyDescent="0.15">
      <c r="A483" s="10"/>
      <c r="B483" s="13"/>
      <c r="C483" s="13"/>
    </row>
    <row r="484" spans="1:3" ht="13" x14ac:dyDescent="0.15">
      <c r="A484" s="10"/>
      <c r="B484" s="13"/>
      <c r="C484" s="13"/>
    </row>
    <row r="485" spans="1:3" ht="13" x14ac:dyDescent="0.15">
      <c r="A485" s="10"/>
      <c r="B485" s="13"/>
      <c r="C485" s="13"/>
    </row>
    <row r="486" spans="1:3" ht="13" x14ac:dyDescent="0.15">
      <c r="A486" s="10"/>
      <c r="B486" s="13"/>
      <c r="C486" s="13"/>
    </row>
    <row r="487" spans="1:3" ht="13" x14ac:dyDescent="0.15">
      <c r="A487" s="10"/>
      <c r="B487" s="13"/>
      <c r="C487" s="13"/>
    </row>
    <row r="488" spans="1:3" ht="13" x14ac:dyDescent="0.15">
      <c r="A488" s="10"/>
      <c r="B488" s="13"/>
      <c r="C488" s="13"/>
    </row>
    <row r="489" spans="1:3" ht="13" x14ac:dyDescent="0.15">
      <c r="A489" s="10"/>
      <c r="B489" s="13"/>
      <c r="C489" s="13"/>
    </row>
    <row r="490" spans="1:3" ht="13" x14ac:dyDescent="0.15">
      <c r="A490" s="10"/>
      <c r="B490" s="13"/>
      <c r="C490" s="13"/>
    </row>
    <row r="491" spans="1:3" ht="13" x14ac:dyDescent="0.15">
      <c r="A491" s="10"/>
      <c r="B491" s="13"/>
      <c r="C491" s="13"/>
    </row>
    <row r="492" spans="1:3" ht="13" x14ac:dyDescent="0.15">
      <c r="A492" s="10"/>
      <c r="B492" s="13"/>
      <c r="C492" s="13"/>
    </row>
    <row r="493" spans="1:3" ht="13" x14ac:dyDescent="0.15">
      <c r="A493" s="10"/>
      <c r="B493" s="13"/>
      <c r="C493" s="13"/>
    </row>
    <row r="494" spans="1:3" ht="13" x14ac:dyDescent="0.15">
      <c r="A494" s="10"/>
      <c r="B494" s="13"/>
      <c r="C494" s="13"/>
    </row>
    <row r="495" spans="1:3" ht="13" x14ac:dyDescent="0.15">
      <c r="A495" s="10"/>
      <c r="B495" s="13"/>
      <c r="C495" s="13"/>
    </row>
    <row r="496" spans="1:3" ht="13" x14ac:dyDescent="0.15">
      <c r="A496" s="10"/>
      <c r="B496" s="13"/>
      <c r="C496" s="13"/>
    </row>
    <row r="497" spans="1:3" ht="13" x14ac:dyDescent="0.15">
      <c r="A497" s="10"/>
      <c r="B497" s="13"/>
      <c r="C497" s="13"/>
    </row>
    <row r="498" spans="1:3" ht="13" x14ac:dyDescent="0.15">
      <c r="A498" s="10"/>
      <c r="B498" s="13"/>
      <c r="C498" s="13"/>
    </row>
    <row r="499" spans="1:3" ht="13" x14ac:dyDescent="0.15">
      <c r="A499" s="10"/>
      <c r="B499" s="13"/>
      <c r="C499" s="13"/>
    </row>
    <row r="500" spans="1:3" ht="13" x14ac:dyDescent="0.15">
      <c r="A500" s="10"/>
      <c r="B500" s="13"/>
      <c r="C500" s="13"/>
    </row>
    <row r="501" spans="1:3" ht="13" x14ac:dyDescent="0.15">
      <c r="A501" s="10"/>
      <c r="B501" s="13"/>
      <c r="C501" s="13"/>
    </row>
    <row r="502" spans="1:3" ht="13" x14ac:dyDescent="0.15">
      <c r="A502" s="10"/>
      <c r="B502" s="13"/>
      <c r="C502" s="13"/>
    </row>
    <row r="503" spans="1:3" ht="13" x14ac:dyDescent="0.15">
      <c r="A503" s="10"/>
      <c r="B503" s="13"/>
      <c r="C503" s="13"/>
    </row>
    <row r="504" spans="1:3" ht="13" x14ac:dyDescent="0.15">
      <c r="A504" s="10"/>
      <c r="B504" s="13"/>
      <c r="C504" s="13"/>
    </row>
    <row r="505" spans="1:3" ht="13" x14ac:dyDescent="0.15">
      <c r="A505" s="10"/>
      <c r="B505" s="13"/>
      <c r="C505" s="13"/>
    </row>
    <row r="506" spans="1:3" ht="13" x14ac:dyDescent="0.15">
      <c r="A506" s="10"/>
      <c r="B506" s="13"/>
      <c r="C506" s="13"/>
    </row>
    <row r="507" spans="1:3" ht="13" x14ac:dyDescent="0.15">
      <c r="A507" s="10"/>
      <c r="B507" s="13"/>
      <c r="C507" s="13"/>
    </row>
    <row r="508" spans="1:3" ht="13" x14ac:dyDescent="0.15">
      <c r="A508" s="10"/>
      <c r="B508" s="13"/>
      <c r="C508" s="13"/>
    </row>
    <row r="509" spans="1:3" ht="13" x14ac:dyDescent="0.15">
      <c r="A509" s="10"/>
      <c r="B509" s="13"/>
      <c r="C509" s="13"/>
    </row>
    <row r="510" spans="1:3" ht="13" x14ac:dyDescent="0.15">
      <c r="A510" s="10"/>
      <c r="B510" s="13"/>
      <c r="C510" s="13"/>
    </row>
    <row r="511" spans="1:3" ht="13" x14ac:dyDescent="0.15">
      <c r="A511" s="10"/>
      <c r="B511" s="13"/>
      <c r="C511" s="13"/>
    </row>
    <row r="512" spans="1:3" ht="13" x14ac:dyDescent="0.15">
      <c r="A512" s="10"/>
      <c r="B512" s="13"/>
      <c r="C512" s="13"/>
    </row>
    <row r="513" spans="1:3" ht="13" x14ac:dyDescent="0.15">
      <c r="A513" s="10"/>
      <c r="B513" s="13"/>
      <c r="C513" s="13"/>
    </row>
    <row r="514" spans="1:3" ht="13" x14ac:dyDescent="0.15">
      <c r="A514" s="10"/>
      <c r="B514" s="13"/>
      <c r="C514" s="13"/>
    </row>
    <row r="515" spans="1:3" ht="13" x14ac:dyDescent="0.15">
      <c r="A515" s="10"/>
      <c r="B515" s="13"/>
      <c r="C515" s="13"/>
    </row>
    <row r="516" spans="1:3" ht="13" x14ac:dyDescent="0.15">
      <c r="A516" s="10"/>
      <c r="B516" s="13"/>
      <c r="C516" s="13"/>
    </row>
    <row r="517" spans="1:3" ht="13" x14ac:dyDescent="0.15">
      <c r="A517" s="10"/>
      <c r="B517" s="13"/>
      <c r="C517" s="13"/>
    </row>
    <row r="518" spans="1:3" ht="13" x14ac:dyDescent="0.15">
      <c r="A518" s="10"/>
      <c r="B518" s="13"/>
      <c r="C518" s="13"/>
    </row>
    <row r="519" spans="1:3" ht="13" x14ac:dyDescent="0.15">
      <c r="A519" s="10"/>
      <c r="B519" s="13"/>
      <c r="C519" s="13"/>
    </row>
    <row r="520" spans="1:3" ht="13" x14ac:dyDescent="0.15">
      <c r="A520" s="10"/>
      <c r="B520" s="13"/>
      <c r="C520" s="13"/>
    </row>
    <row r="521" spans="1:3" ht="13" x14ac:dyDescent="0.15">
      <c r="A521" s="10"/>
      <c r="B521" s="13"/>
      <c r="C521" s="13"/>
    </row>
    <row r="522" spans="1:3" ht="13" x14ac:dyDescent="0.15">
      <c r="A522" s="10"/>
      <c r="B522" s="13"/>
      <c r="C522" s="13"/>
    </row>
    <row r="523" spans="1:3" ht="13" x14ac:dyDescent="0.15">
      <c r="A523" s="10"/>
      <c r="B523" s="13"/>
      <c r="C523" s="13"/>
    </row>
    <row r="524" spans="1:3" ht="13" x14ac:dyDescent="0.15">
      <c r="A524" s="10"/>
      <c r="B524" s="13"/>
      <c r="C524" s="13"/>
    </row>
    <row r="525" spans="1:3" ht="13" x14ac:dyDescent="0.15">
      <c r="A525" s="10"/>
      <c r="B525" s="13"/>
      <c r="C525" s="13"/>
    </row>
    <row r="526" spans="1:3" ht="13" x14ac:dyDescent="0.15">
      <c r="A526" s="10"/>
      <c r="B526" s="13"/>
      <c r="C526" s="13"/>
    </row>
    <row r="527" spans="1:3" ht="13" x14ac:dyDescent="0.15">
      <c r="A527" s="10"/>
      <c r="B527" s="13"/>
      <c r="C527" s="13"/>
    </row>
    <row r="528" spans="1:3" ht="13" x14ac:dyDescent="0.15">
      <c r="A528" s="10"/>
      <c r="B528" s="13"/>
      <c r="C528" s="13"/>
    </row>
    <row r="529" spans="1:3" ht="13" x14ac:dyDescent="0.15">
      <c r="A529" s="10"/>
      <c r="B529" s="13"/>
      <c r="C529" s="13"/>
    </row>
    <row r="530" spans="1:3" ht="13" x14ac:dyDescent="0.15">
      <c r="A530" s="10"/>
      <c r="B530" s="13"/>
      <c r="C530" s="13"/>
    </row>
    <row r="531" spans="1:3" ht="13" x14ac:dyDescent="0.15">
      <c r="A531" s="10"/>
      <c r="B531" s="13"/>
      <c r="C531" s="13"/>
    </row>
    <row r="532" spans="1:3" ht="13" x14ac:dyDescent="0.15">
      <c r="A532" s="10"/>
      <c r="B532" s="13"/>
      <c r="C532" s="13"/>
    </row>
    <row r="533" spans="1:3" ht="13" x14ac:dyDescent="0.15">
      <c r="A533" s="10"/>
      <c r="B533" s="13"/>
      <c r="C533" s="13"/>
    </row>
    <row r="534" spans="1:3" ht="13" x14ac:dyDescent="0.15">
      <c r="A534" s="10"/>
      <c r="B534" s="13"/>
      <c r="C534" s="13"/>
    </row>
    <row r="535" spans="1:3" ht="13" x14ac:dyDescent="0.15">
      <c r="A535" s="10"/>
      <c r="B535" s="13"/>
      <c r="C535" s="13"/>
    </row>
    <row r="536" spans="1:3" ht="13" x14ac:dyDescent="0.15">
      <c r="A536" s="10"/>
      <c r="B536" s="13"/>
      <c r="C536" s="13"/>
    </row>
    <row r="537" spans="1:3" ht="13" x14ac:dyDescent="0.15">
      <c r="A537" s="10"/>
      <c r="B537" s="13"/>
      <c r="C537" s="13"/>
    </row>
    <row r="538" spans="1:3" ht="13" x14ac:dyDescent="0.15">
      <c r="A538" s="10"/>
      <c r="B538" s="13"/>
      <c r="C538" s="13"/>
    </row>
    <row r="539" spans="1:3" ht="13" x14ac:dyDescent="0.15">
      <c r="A539" s="10"/>
      <c r="B539" s="13"/>
      <c r="C539" s="13"/>
    </row>
    <row r="540" spans="1:3" ht="13" x14ac:dyDescent="0.15">
      <c r="A540" s="10"/>
      <c r="B540" s="13"/>
      <c r="C540" s="13"/>
    </row>
    <row r="541" spans="1:3" ht="13" x14ac:dyDescent="0.15">
      <c r="A541" s="10"/>
      <c r="B541" s="13"/>
      <c r="C541" s="13"/>
    </row>
    <row r="542" spans="1:3" ht="13" x14ac:dyDescent="0.15">
      <c r="A542" s="10"/>
      <c r="B542" s="13"/>
      <c r="C542" s="13"/>
    </row>
    <row r="543" spans="1:3" ht="13" x14ac:dyDescent="0.15">
      <c r="A543" s="10"/>
      <c r="B543" s="13"/>
      <c r="C543" s="13"/>
    </row>
    <row r="544" spans="1:3" ht="13" x14ac:dyDescent="0.15">
      <c r="A544" s="10"/>
      <c r="B544" s="13"/>
      <c r="C544" s="13"/>
    </row>
    <row r="545" spans="1:3" ht="13" x14ac:dyDescent="0.15">
      <c r="A545" s="10"/>
      <c r="B545" s="13"/>
      <c r="C545" s="13"/>
    </row>
    <row r="546" spans="1:3" ht="13" x14ac:dyDescent="0.15">
      <c r="A546" s="10"/>
      <c r="B546" s="13"/>
      <c r="C546" s="13"/>
    </row>
    <row r="547" spans="1:3" ht="13" x14ac:dyDescent="0.15">
      <c r="A547" s="10"/>
      <c r="B547" s="13"/>
      <c r="C547" s="13"/>
    </row>
    <row r="548" spans="1:3" ht="13" x14ac:dyDescent="0.15">
      <c r="A548" s="10"/>
      <c r="B548" s="13"/>
      <c r="C548" s="13"/>
    </row>
    <row r="549" spans="1:3" ht="13" x14ac:dyDescent="0.15">
      <c r="A549" s="10"/>
      <c r="B549" s="13"/>
      <c r="C549" s="13"/>
    </row>
    <row r="550" spans="1:3" ht="13" x14ac:dyDescent="0.15">
      <c r="A550" s="10"/>
      <c r="B550" s="13"/>
      <c r="C550" s="13"/>
    </row>
    <row r="551" spans="1:3" ht="13" x14ac:dyDescent="0.15">
      <c r="A551" s="10"/>
      <c r="B551" s="13"/>
      <c r="C551" s="13"/>
    </row>
    <row r="552" spans="1:3" ht="13" x14ac:dyDescent="0.15">
      <c r="A552" s="10"/>
      <c r="B552" s="13"/>
      <c r="C552" s="13"/>
    </row>
    <row r="553" spans="1:3" ht="13" x14ac:dyDescent="0.15">
      <c r="A553" s="10"/>
      <c r="B553" s="13"/>
      <c r="C553" s="13"/>
    </row>
    <row r="554" spans="1:3" ht="13" x14ac:dyDescent="0.15">
      <c r="A554" s="10"/>
      <c r="B554" s="13"/>
      <c r="C554" s="13"/>
    </row>
    <row r="555" spans="1:3" ht="13" x14ac:dyDescent="0.15">
      <c r="A555" s="10"/>
      <c r="B555" s="13"/>
      <c r="C555" s="13"/>
    </row>
    <row r="556" spans="1:3" ht="13" x14ac:dyDescent="0.15">
      <c r="A556" s="10"/>
      <c r="B556" s="13"/>
      <c r="C556" s="13"/>
    </row>
    <row r="557" spans="1:3" ht="13" x14ac:dyDescent="0.15">
      <c r="A557" s="10"/>
      <c r="B557" s="13"/>
      <c r="C557" s="13"/>
    </row>
    <row r="558" spans="1:3" ht="13" x14ac:dyDescent="0.15">
      <c r="A558" s="10"/>
      <c r="B558" s="13"/>
      <c r="C558" s="13"/>
    </row>
    <row r="559" spans="1:3" ht="13" x14ac:dyDescent="0.15">
      <c r="A559" s="10"/>
      <c r="B559" s="13"/>
      <c r="C559" s="13"/>
    </row>
    <row r="560" spans="1:3" ht="13" x14ac:dyDescent="0.15">
      <c r="A560" s="10"/>
      <c r="B560" s="13"/>
      <c r="C560" s="13"/>
    </row>
    <row r="561" spans="1:3" ht="13" x14ac:dyDescent="0.15">
      <c r="A561" s="10"/>
      <c r="B561" s="13"/>
      <c r="C561" s="13"/>
    </row>
    <row r="562" spans="1:3" ht="13" x14ac:dyDescent="0.15">
      <c r="A562" s="10"/>
      <c r="B562" s="13"/>
      <c r="C562" s="13"/>
    </row>
    <row r="563" spans="1:3" ht="13" x14ac:dyDescent="0.15">
      <c r="A563" s="10"/>
      <c r="B563" s="13"/>
      <c r="C563" s="13"/>
    </row>
    <row r="564" spans="1:3" ht="13" x14ac:dyDescent="0.15">
      <c r="A564" s="10"/>
      <c r="B564" s="13"/>
      <c r="C564" s="13"/>
    </row>
    <row r="565" spans="1:3" ht="13" x14ac:dyDescent="0.15">
      <c r="A565" s="10"/>
      <c r="B565" s="13"/>
      <c r="C565" s="13"/>
    </row>
    <row r="566" spans="1:3" ht="13" x14ac:dyDescent="0.15">
      <c r="A566" s="10"/>
      <c r="B566" s="13"/>
      <c r="C566" s="13"/>
    </row>
    <row r="567" spans="1:3" ht="13" x14ac:dyDescent="0.15">
      <c r="A567" s="10"/>
      <c r="B567" s="13"/>
      <c r="C567" s="13"/>
    </row>
    <row r="568" spans="1:3" ht="13" x14ac:dyDescent="0.15">
      <c r="A568" s="10"/>
      <c r="B568" s="13"/>
      <c r="C568" s="13"/>
    </row>
    <row r="569" spans="1:3" ht="13" x14ac:dyDescent="0.15">
      <c r="A569" s="10"/>
      <c r="B569" s="13"/>
      <c r="C569" s="13"/>
    </row>
    <row r="570" spans="1:3" ht="13" x14ac:dyDescent="0.15">
      <c r="A570" s="10"/>
      <c r="B570" s="13"/>
      <c r="C570" s="13"/>
    </row>
    <row r="571" spans="1:3" ht="13" x14ac:dyDescent="0.15">
      <c r="A571" s="10"/>
      <c r="B571" s="13"/>
      <c r="C571" s="13"/>
    </row>
    <row r="572" spans="1:3" ht="13" x14ac:dyDescent="0.15">
      <c r="A572" s="10"/>
      <c r="B572" s="13"/>
      <c r="C572" s="13"/>
    </row>
    <row r="573" spans="1:3" ht="13" x14ac:dyDescent="0.15">
      <c r="A573" s="10"/>
      <c r="B573" s="13"/>
      <c r="C573" s="13"/>
    </row>
    <row r="574" spans="1:3" ht="13" x14ac:dyDescent="0.15">
      <c r="A574" s="10"/>
      <c r="B574" s="13"/>
      <c r="C574" s="13"/>
    </row>
    <row r="575" spans="1:3" ht="13" x14ac:dyDescent="0.15">
      <c r="A575" s="10"/>
      <c r="B575" s="13"/>
      <c r="C575" s="13"/>
    </row>
    <row r="576" spans="1:3" ht="13" x14ac:dyDescent="0.15">
      <c r="A576" s="10"/>
      <c r="B576" s="13"/>
      <c r="C576" s="13"/>
    </row>
    <row r="577" spans="1:3" ht="13" x14ac:dyDescent="0.15">
      <c r="A577" s="10"/>
      <c r="B577" s="13"/>
      <c r="C577" s="13"/>
    </row>
    <row r="578" spans="1:3" ht="13" x14ac:dyDescent="0.15">
      <c r="A578" s="10"/>
      <c r="B578" s="13"/>
      <c r="C578" s="13"/>
    </row>
    <row r="579" spans="1:3" ht="13" x14ac:dyDescent="0.15">
      <c r="A579" s="10"/>
      <c r="B579" s="13"/>
      <c r="C579" s="13"/>
    </row>
    <row r="580" spans="1:3" ht="13" x14ac:dyDescent="0.15">
      <c r="A580" s="10"/>
      <c r="B580" s="13"/>
      <c r="C580" s="13"/>
    </row>
    <row r="581" spans="1:3" ht="13" x14ac:dyDescent="0.15">
      <c r="A581" s="10"/>
      <c r="B581" s="13"/>
      <c r="C581" s="13"/>
    </row>
    <row r="582" spans="1:3" ht="13" x14ac:dyDescent="0.15">
      <c r="A582" s="10"/>
      <c r="B582" s="13"/>
      <c r="C582" s="13"/>
    </row>
    <row r="583" spans="1:3" ht="13" x14ac:dyDescent="0.15">
      <c r="A583" s="10"/>
      <c r="B583" s="13"/>
      <c r="C583" s="13"/>
    </row>
    <row r="584" spans="1:3" ht="13" x14ac:dyDescent="0.15">
      <c r="A584" s="10"/>
      <c r="B584" s="13"/>
      <c r="C584" s="13"/>
    </row>
    <row r="585" spans="1:3" ht="13" x14ac:dyDescent="0.15">
      <c r="A585" s="10"/>
      <c r="B585" s="13"/>
      <c r="C585" s="13"/>
    </row>
    <row r="586" spans="1:3" ht="13" x14ac:dyDescent="0.15">
      <c r="A586" s="10"/>
      <c r="B586" s="13"/>
      <c r="C586" s="13"/>
    </row>
    <row r="587" spans="1:3" ht="13" x14ac:dyDescent="0.15">
      <c r="A587" s="10"/>
      <c r="B587" s="13"/>
      <c r="C587" s="13"/>
    </row>
    <row r="588" spans="1:3" ht="13" x14ac:dyDescent="0.15">
      <c r="A588" s="10"/>
      <c r="B588" s="13"/>
      <c r="C588" s="13"/>
    </row>
    <row r="589" spans="1:3" ht="13" x14ac:dyDescent="0.15">
      <c r="A589" s="10"/>
      <c r="B589" s="13"/>
      <c r="C589" s="13"/>
    </row>
    <row r="590" spans="1:3" ht="13" x14ac:dyDescent="0.15">
      <c r="A590" s="10"/>
      <c r="B590" s="13"/>
      <c r="C590" s="13"/>
    </row>
    <row r="591" spans="1:3" ht="13" x14ac:dyDescent="0.15">
      <c r="A591" s="10"/>
      <c r="B591" s="13"/>
      <c r="C591" s="13"/>
    </row>
    <row r="592" spans="1:3" ht="13" x14ac:dyDescent="0.15">
      <c r="A592" s="10"/>
      <c r="B592" s="13"/>
      <c r="C592" s="13"/>
    </row>
    <row r="593" spans="1:3" ht="13" x14ac:dyDescent="0.15">
      <c r="A593" s="10"/>
      <c r="B593" s="13"/>
      <c r="C593" s="13"/>
    </row>
    <row r="594" spans="1:3" ht="13" x14ac:dyDescent="0.15">
      <c r="A594" s="10"/>
      <c r="B594" s="13"/>
      <c r="C594" s="13"/>
    </row>
    <row r="595" spans="1:3" ht="13" x14ac:dyDescent="0.15">
      <c r="A595" s="10"/>
      <c r="B595" s="13"/>
      <c r="C595" s="13"/>
    </row>
    <row r="596" spans="1:3" ht="13" x14ac:dyDescent="0.15">
      <c r="A596" s="10"/>
      <c r="B596" s="13"/>
      <c r="C596" s="13"/>
    </row>
    <row r="597" spans="1:3" ht="13" x14ac:dyDescent="0.15">
      <c r="A597" s="10"/>
      <c r="B597" s="13"/>
      <c r="C597" s="13"/>
    </row>
    <row r="598" spans="1:3" ht="13" x14ac:dyDescent="0.15">
      <c r="A598" s="10"/>
      <c r="B598" s="13"/>
      <c r="C598" s="13"/>
    </row>
    <row r="599" spans="1:3" ht="13" x14ac:dyDescent="0.15">
      <c r="A599" s="10"/>
      <c r="B599" s="13"/>
      <c r="C599" s="13"/>
    </row>
    <row r="600" spans="1:3" ht="13" x14ac:dyDescent="0.15">
      <c r="A600" s="10"/>
      <c r="B600" s="13"/>
      <c r="C600" s="13"/>
    </row>
    <row r="601" spans="1:3" ht="13" x14ac:dyDescent="0.15">
      <c r="A601" s="10"/>
      <c r="B601" s="13"/>
      <c r="C601" s="13"/>
    </row>
    <row r="602" spans="1:3" ht="13" x14ac:dyDescent="0.15">
      <c r="A602" s="10"/>
      <c r="B602" s="13"/>
      <c r="C602" s="13"/>
    </row>
    <row r="603" spans="1:3" ht="13" x14ac:dyDescent="0.15">
      <c r="A603" s="10"/>
      <c r="B603" s="13"/>
      <c r="C603" s="13"/>
    </row>
    <row r="604" spans="1:3" ht="13" x14ac:dyDescent="0.15">
      <c r="A604" s="10"/>
      <c r="B604" s="13"/>
      <c r="C604" s="13"/>
    </row>
    <row r="605" spans="1:3" ht="13" x14ac:dyDescent="0.15">
      <c r="A605" s="10"/>
      <c r="B605" s="13"/>
      <c r="C605" s="13"/>
    </row>
    <row r="606" spans="1:3" ht="13" x14ac:dyDescent="0.15">
      <c r="A606" s="10"/>
      <c r="B606" s="13"/>
      <c r="C606" s="13"/>
    </row>
    <row r="607" spans="1:3" ht="13" x14ac:dyDescent="0.15">
      <c r="A607" s="10"/>
      <c r="B607" s="13"/>
      <c r="C607" s="13"/>
    </row>
    <row r="608" spans="1:3" ht="13" x14ac:dyDescent="0.15">
      <c r="A608" s="10"/>
      <c r="B608" s="13"/>
      <c r="C608" s="13"/>
    </row>
    <row r="609" spans="1:3" ht="13" x14ac:dyDescent="0.15">
      <c r="A609" s="10"/>
      <c r="B609" s="13"/>
      <c r="C609" s="13"/>
    </row>
    <row r="610" spans="1:3" ht="13" x14ac:dyDescent="0.15">
      <c r="A610" s="10"/>
      <c r="B610" s="13"/>
      <c r="C610" s="13"/>
    </row>
    <row r="611" spans="1:3" ht="13" x14ac:dyDescent="0.15">
      <c r="A611" s="10"/>
      <c r="B611" s="13"/>
      <c r="C611" s="13"/>
    </row>
    <row r="612" spans="1:3" ht="13" x14ac:dyDescent="0.15">
      <c r="A612" s="10"/>
      <c r="B612" s="13"/>
      <c r="C612" s="13"/>
    </row>
    <row r="613" spans="1:3" ht="13" x14ac:dyDescent="0.15">
      <c r="A613" s="10"/>
      <c r="B613" s="13"/>
      <c r="C613" s="13"/>
    </row>
    <row r="614" spans="1:3" ht="13" x14ac:dyDescent="0.15">
      <c r="A614" s="10"/>
      <c r="B614" s="13"/>
      <c r="C614" s="13"/>
    </row>
    <row r="615" spans="1:3" ht="13" x14ac:dyDescent="0.15">
      <c r="A615" s="10"/>
      <c r="B615" s="13"/>
      <c r="C615" s="13"/>
    </row>
    <row r="616" spans="1:3" ht="13" x14ac:dyDescent="0.15">
      <c r="A616" s="10"/>
      <c r="B616" s="13"/>
      <c r="C616" s="13"/>
    </row>
    <row r="617" spans="1:3" ht="13" x14ac:dyDescent="0.15">
      <c r="A617" s="10"/>
      <c r="B617" s="13"/>
      <c r="C617" s="13"/>
    </row>
    <row r="618" spans="1:3" ht="13" x14ac:dyDescent="0.15">
      <c r="A618" s="10"/>
      <c r="B618" s="13"/>
      <c r="C618" s="13"/>
    </row>
    <row r="619" spans="1:3" ht="13" x14ac:dyDescent="0.15">
      <c r="A619" s="10"/>
      <c r="B619" s="13"/>
      <c r="C619" s="13"/>
    </row>
    <row r="620" spans="1:3" ht="13" x14ac:dyDescent="0.15">
      <c r="A620" s="10"/>
      <c r="B620" s="13"/>
      <c r="C620" s="13"/>
    </row>
    <row r="621" spans="1:3" ht="13" x14ac:dyDescent="0.15">
      <c r="A621" s="10"/>
      <c r="B621" s="13"/>
      <c r="C621" s="13"/>
    </row>
    <row r="622" spans="1:3" ht="13" x14ac:dyDescent="0.15">
      <c r="A622" s="10"/>
      <c r="B622" s="13"/>
      <c r="C622" s="13"/>
    </row>
    <row r="623" spans="1:3" ht="13" x14ac:dyDescent="0.15">
      <c r="A623" s="10"/>
      <c r="B623" s="13"/>
      <c r="C623" s="13"/>
    </row>
    <row r="624" spans="1:3" ht="13" x14ac:dyDescent="0.15">
      <c r="A624" s="10"/>
      <c r="B624" s="13"/>
      <c r="C624" s="13"/>
    </row>
    <row r="625" spans="1:3" ht="13" x14ac:dyDescent="0.15">
      <c r="A625" s="10"/>
      <c r="B625" s="13"/>
      <c r="C625" s="13"/>
    </row>
    <row r="626" spans="1:3" ht="13" x14ac:dyDescent="0.15">
      <c r="A626" s="10"/>
      <c r="B626" s="13"/>
      <c r="C626" s="13"/>
    </row>
    <row r="627" spans="1:3" ht="13" x14ac:dyDescent="0.15">
      <c r="A627" s="10"/>
      <c r="B627" s="13"/>
      <c r="C627" s="13"/>
    </row>
    <row r="628" spans="1:3" ht="13" x14ac:dyDescent="0.15">
      <c r="A628" s="10"/>
      <c r="B628" s="13"/>
      <c r="C628" s="13"/>
    </row>
    <row r="629" spans="1:3" ht="13" x14ac:dyDescent="0.15">
      <c r="A629" s="10"/>
      <c r="B629" s="13"/>
      <c r="C629" s="13"/>
    </row>
    <row r="630" spans="1:3" ht="13" x14ac:dyDescent="0.15">
      <c r="A630" s="10"/>
      <c r="B630" s="13"/>
      <c r="C630" s="13"/>
    </row>
    <row r="631" spans="1:3" ht="13" x14ac:dyDescent="0.15">
      <c r="A631" s="10"/>
      <c r="B631" s="13"/>
      <c r="C631" s="13"/>
    </row>
    <row r="632" spans="1:3" ht="13" x14ac:dyDescent="0.15">
      <c r="A632" s="10"/>
      <c r="B632" s="13"/>
      <c r="C632" s="13"/>
    </row>
    <row r="633" spans="1:3" ht="13" x14ac:dyDescent="0.15">
      <c r="A633" s="10"/>
      <c r="B633" s="13"/>
      <c r="C633" s="13"/>
    </row>
    <row r="634" spans="1:3" ht="13" x14ac:dyDescent="0.15">
      <c r="A634" s="10"/>
      <c r="B634" s="13"/>
      <c r="C634" s="13"/>
    </row>
    <row r="635" spans="1:3" ht="13" x14ac:dyDescent="0.15">
      <c r="A635" s="10"/>
      <c r="B635" s="13"/>
      <c r="C635" s="13"/>
    </row>
    <row r="636" spans="1:3" ht="13" x14ac:dyDescent="0.15">
      <c r="A636" s="10"/>
      <c r="B636" s="13"/>
      <c r="C636" s="13"/>
    </row>
    <row r="637" spans="1:3" ht="13" x14ac:dyDescent="0.15">
      <c r="A637" s="10"/>
      <c r="B637" s="13"/>
      <c r="C637" s="13"/>
    </row>
    <row r="638" spans="1:3" ht="13" x14ac:dyDescent="0.15">
      <c r="A638" s="10"/>
      <c r="B638" s="13"/>
      <c r="C638" s="13"/>
    </row>
    <row r="639" spans="1:3" ht="13" x14ac:dyDescent="0.15">
      <c r="A639" s="10"/>
      <c r="B639" s="13"/>
      <c r="C639" s="13"/>
    </row>
    <row r="640" spans="1:3" ht="13" x14ac:dyDescent="0.15">
      <c r="A640" s="10"/>
      <c r="B640" s="13"/>
      <c r="C640" s="13"/>
    </row>
    <row r="641" spans="1:3" ht="13" x14ac:dyDescent="0.15">
      <c r="A641" s="10"/>
      <c r="B641" s="13"/>
      <c r="C641" s="13"/>
    </row>
    <row r="642" spans="1:3" ht="13" x14ac:dyDescent="0.15">
      <c r="A642" s="10"/>
      <c r="B642" s="13"/>
      <c r="C642" s="13"/>
    </row>
    <row r="643" spans="1:3" ht="13" x14ac:dyDescent="0.15">
      <c r="A643" s="10"/>
      <c r="B643" s="13"/>
      <c r="C643" s="13"/>
    </row>
    <row r="644" spans="1:3" ht="13" x14ac:dyDescent="0.15">
      <c r="A644" s="10"/>
      <c r="B644" s="13"/>
      <c r="C644" s="13"/>
    </row>
    <row r="645" spans="1:3" ht="13" x14ac:dyDescent="0.15">
      <c r="A645" s="10"/>
      <c r="B645" s="13"/>
      <c r="C645" s="13"/>
    </row>
    <row r="646" spans="1:3" ht="13" x14ac:dyDescent="0.15">
      <c r="A646" s="10"/>
      <c r="B646" s="13"/>
      <c r="C646" s="13"/>
    </row>
    <row r="647" spans="1:3" ht="13" x14ac:dyDescent="0.15">
      <c r="A647" s="10"/>
      <c r="B647" s="13"/>
      <c r="C647" s="13"/>
    </row>
    <row r="648" spans="1:3" ht="13" x14ac:dyDescent="0.15">
      <c r="A648" s="10"/>
      <c r="B648" s="13"/>
      <c r="C648" s="13"/>
    </row>
    <row r="649" spans="1:3" ht="13" x14ac:dyDescent="0.15">
      <c r="A649" s="10"/>
      <c r="B649" s="13"/>
      <c r="C649" s="13"/>
    </row>
    <row r="650" spans="1:3" ht="13" x14ac:dyDescent="0.15">
      <c r="A650" s="10"/>
      <c r="B650" s="13"/>
      <c r="C650" s="13"/>
    </row>
    <row r="651" spans="1:3" ht="13" x14ac:dyDescent="0.15">
      <c r="A651" s="10"/>
      <c r="B651" s="13"/>
      <c r="C651" s="13"/>
    </row>
    <row r="652" spans="1:3" ht="13" x14ac:dyDescent="0.15">
      <c r="A652" s="10"/>
      <c r="B652" s="13"/>
      <c r="C652" s="13"/>
    </row>
    <row r="653" spans="1:3" ht="13" x14ac:dyDescent="0.15">
      <c r="A653" s="10"/>
      <c r="B653" s="13"/>
      <c r="C653" s="13"/>
    </row>
    <row r="654" spans="1:3" ht="13" x14ac:dyDescent="0.15">
      <c r="A654" s="10"/>
      <c r="B654" s="13"/>
      <c r="C654" s="13"/>
    </row>
    <row r="655" spans="1:3" ht="13" x14ac:dyDescent="0.15">
      <c r="A655" s="10"/>
      <c r="B655" s="13"/>
      <c r="C655" s="13"/>
    </row>
    <row r="656" spans="1:3" ht="13" x14ac:dyDescent="0.15">
      <c r="A656" s="10"/>
      <c r="B656" s="13"/>
      <c r="C656" s="13"/>
    </row>
    <row r="657" spans="1:3" ht="13" x14ac:dyDescent="0.15">
      <c r="A657" s="10"/>
      <c r="B657" s="13"/>
      <c r="C657" s="13"/>
    </row>
    <row r="658" spans="1:3" ht="13" x14ac:dyDescent="0.15">
      <c r="A658" s="10"/>
      <c r="B658" s="13"/>
      <c r="C658" s="13"/>
    </row>
    <row r="659" spans="1:3" ht="13" x14ac:dyDescent="0.15">
      <c r="A659" s="10"/>
      <c r="B659" s="13"/>
      <c r="C659" s="13"/>
    </row>
    <row r="660" spans="1:3" ht="13" x14ac:dyDescent="0.15">
      <c r="A660" s="10"/>
      <c r="B660" s="13"/>
      <c r="C660" s="13"/>
    </row>
    <row r="661" spans="1:3" ht="13" x14ac:dyDescent="0.15">
      <c r="A661" s="10"/>
      <c r="B661" s="13"/>
      <c r="C661" s="13"/>
    </row>
    <row r="662" spans="1:3" ht="13" x14ac:dyDescent="0.15">
      <c r="A662" s="10"/>
      <c r="B662" s="13"/>
      <c r="C662" s="13"/>
    </row>
    <row r="663" spans="1:3" ht="13" x14ac:dyDescent="0.15">
      <c r="A663" s="10"/>
      <c r="B663" s="13"/>
      <c r="C663" s="13"/>
    </row>
    <row r="664" spans="1:3" ht="13" x14ac:dyDescent="0.15">
      <c r="A664" s="10"/>
      <c r="B664" s="13"/>
      <c r="C664" s="13"/>
    </row>
    <row r="665" spans="1:3" ht="13" x14ac:dyDescent="0.15">
      <c r="A665" s="10"/>
      <c r="B665" s="13"/>
      <c r="C665" s="13"/>
    </row>
    <row r="666" spans="1:3" ht="13" x14ac:dyDescent="0.15">
      <c r="A666" s="10"/>
      <c r="B666" s="13"/>
      <c r="C666" s="13"/>
    </row>
    <row r="667" spans="1:3" ht="13" x14ac:dyDescent="0.15">
      <c r="A667" s="10"/>
      <c r="B667" s="13"/>
      <c r="C667" s="13"/>
    </row>
    <row r="668" spans="1:3" ht="13" x14ac:dyDescent="0.15">
      <c r="A668" s="10"/>
      <c r="B668" s="13"/>
      <c r="C668" s="13"/>
    </row>
    <row r="669" spans="1:3" ht="13" x14ac:dyDescent="0.15">
      <c r="A669" s="10"/>
      <c r="B669" s="13"/>
      <c r="C669" s="13"/>
    </row>
    <row r="670" spans="1:3" ht="13" x14ac:dyDescent="0.15">
      <c r="A670" s="10"/>
      <c r="B670" s="13"/>
      <c r="C670" s="13"/>
    </row>
    <row r="671" spans="1:3" ht="13" x14ac:dyDescent="0.15">
      <c r="A671" s="10"/>
      <c r="B671" s="13"/>
      <c r="C671" s="13"/>
    </row>
    <row r="672" spans="1:3" ht="13" x14ac:dyDescent="0.15">
      <c r="A672" s="10"/>
      <c r="B672" s="13"/>
      <c r="C672" s="13"/>
    </row>
    <row r="673" spans="1:3" ht="13" x14ac:dyDescent="0.15">
      <c r="A673" s="10"/>
      <c r="B673" s="13"/>
      <c r="C673" s="13"/>
    </row>
    <row r="674" spans="1:3" ht="13" x14ac:dyDescent="0.15">
      <c r="A674" s="10"/>
      <c r="B674" s="13"/>
      <c r="C674" s="13"/>
    </row>
    <row r="675" spans="1:3" ht="13" x14ac:dyDescent="0.15">
      <c r="A675" s="10"/>
      <c r="B675" s="13"/>
      <c r="C675" s="13"/>
    </row>
    <row r="676" spans="1:3" ht="13" x14ac:dyDescent="0.15">
      <c r="A676" s="10"/>
      <c r="B676" s="13"/>
      <c r="C676" s="13"/>
    </row>
    <row r="677" spans="1:3" ht="13" x14ac:dyDescent="0.15">
      <c r="A677" s="10"/>
      <c r="B677" s="13"/>
      <c r="C677" s="13"/>
    </row>
    <row r="678" spans="1:3" ht="13" x14ac:dyDescent="0.15">
      <c r="A678" s="10"/>
      <c r="B678" s="13"/>
      <c r="C678" s="13"/>
    </row>
    <row r="679" spans="1:3" ht="13" x14ac:dyDescent="0.15">
      <c r="A679" s="10"/>
      <c r="B679" s="13"/>
      <c r="C679" s="13"/>
    </row>
    <row r="680" spans="1:3" ht="13" x14ac:dyDescent="0.15">
      <c r="A680" s="10"/>
      <c r="B680" s="13"/>
      <c r="C680" s="13"/>
    </row>
    <row r="681" spans="1:3" ht="13" x14ac:dyDescent="0.15">
      <c r="A681" s="10"/>
      <c r="B681" s="13"/>
      <c r="C681" s="13"/>
    </row>
    <row r="682" spans="1:3" ht="13" x14ac:dyDescent="0.15">
      <c r="A682" s="10"/>
      <c r="B682" s="13"/>
      <c r="C682" s="13"/>
    </row>
    <row r="683" spans="1:3" ht="13" x14ac:dyDescent="0.15">
      <c r="A683" s="10"/>
      <c r="B683" s="13"/>
      <c r="C683" s="13"/>
    </row>
    <row r="684" spans="1:3" ht="13" x14ac:dyDescent="0.15">
      <c r="A684" s="10"/>
      <c r="B684" s="13"/>
      <c r="C684" s="13"/>
    </row>
    <row r="685" spans="1:3" ht="13" x14ac:dyDescent="0.15">
      <c r="A685" s="10"/>
      <c r="B685" s="13"/>
      <c r="C685" s="13"/>
    </row>
    <row r="686" spans="1:3" ht="13" x14ac:dyDescent="0.15">
      <c r="A686" s="10"/>
      <c r="B686" s="13"/>
      <c r="C686" s="13"/>
    </row>
    <row r="687" spans="1:3" ht="13" x14ac:dyDescent="0.15">
      <c r="A687" s="10"/>
      <c r="B687" s="13"/>
      <c r="C687" s="13"/>
    </row>
    <row r="688" spans="1:3" ht="13" x14ac:dyDescent="0.15">
      <c r="A688" s="10"/>
      <c r="B688" s="13"/>
      <c r="C688" s="13"/>
    </row>
    <row r="689" spans="1:3" ht="13" x14ac:dyDescent="0.15">
      <c r="A689" s="10"/>
      <c r="B689" s="13"/>
      <c r="C689" s="13"/>
    </row>
    <row r="690" spans="1:3" ht="13" x14ac:dyDescent="0.15">
      <c r="A690" s="10"/>
      <c r="B690" s="13"/>
      <c r="C690" s="13"/>
    </row>
    <row r="691" spans="1:3" ht="13" x14ac:dyDescent="0.15">
      <c r="A691" s="10"/>
      <c r="B691" s="13"/>
      <c r="C691" s="13"/>
    </row>
    <row r="692" spans="1:3" ht="13" x14ac:dyDescent="0.15">
      <c r="A692" s="10"/>
      <c r="B692" s="13"/>
      <c r="C692" s="13"/>
    </row>
    <row r="693" spans="1:3" ht="13" x14ac:dyDescent="0.15">
      <c r="A693" s="10"/>
      <c r="B693" s="13"/>
      <c r="C693" s="13"/>
    </row>
    <row r="694" spans="1:3" ht="13" x14ac:dyDescent="0.15">
      <c r="A694" s="10"/>
      <c r="B694" s="13"/>
      <c r="C694" s="13"/>
    </row>
    <row r="695" spans="1:3" ht="13" x14ac:dyDescent="0.15">
      <c r="A695" s="10"/>
      <c r="B695" s="13"/>
      <c r="C695" s="13"/>
    </row>
    <row r="696" spans="1:3" ht="13" x14ac:dyDescent="0.15">
      <c r="A696" s="10"/>
      <c r="B696" s="13"/>
      <c r="C696" s="13"/>
    </row>
    <row r="697" spans="1:3" ht="13" x14ac:dyDescent="0.15">
      <c r="A697" s="10"/>
      <c r="B697" s="13"/>
      <c r="C697" s="13"/>
    </row>
    <row r="698" spans="1:3" ht="13" x14ac:dyDescent="0.15">
      <c r="A698" s="10"/>
      <c r="B698" s="13"/>
      <c r="C698" s="13"/>
    </row>
    <row r="699" spans="1:3" ht="13" x14ac:dyDescent="0.15">
      <c r="A699" s="10"/>
      <c r="B699" s="13"/>
      <c r="C699" s="13"/>
    </row>
    <row r="700" spans="1:3" ht="13" x14ac:dyDescent="0.15">
      <c r="A700" s="10"/>
      <c r="B700" s="13"/>
      <c r="C700" s="13"/>
    </row>
    <row r="701" spans="1:3" ht="13" x14ac:dyDescent="0.15">
      <c r="A701" s="10"/>
      <c r="B701" s="13"/>
      <c r="C701" s="13"/>
    </row>
    <row r="702" spans="1:3" ht="13" x14ac:dyDescent="0.15">
      <c r="A702" s="10"/>
      <c r="B702" s="13"/>
      <c r="C702" s="13"/>
    </row>
    <row r="703" spans="1:3" ht="13" x14ac:dyDescent="0.15">
      <c r="A703" s="10"/>
      <c r="B703" s="13"/>
      <c r="C703" s="13"/>
    </row>
    <row r="704" spans="1:3" ht="13" x14ac:dyDescent="0.15">
      <c r="A704" s="10"/>
      <c r="B704" s="13"/>
      <c r="C704" s="13"/>
    </row>
    <row r="705" spans="1:3" ht="13" x14ac:dyDescent="0.15">
      <c r="A705" s="10"/>
      <c r="B705" s="13"/>
      <c r="C705" s="13"/>
    </row>
    <row r="706" spans="1:3" ht="13" x14ac:dyDescent="0.15">
      <c r="A706" s="10"/>
      <c r="B706" s="13"/>
      <c r="C706" s="13"/>
    </row>
    <row r="707" spans="1:3" ht="13" x14ac:dyDescent="0.15">
      <c r="A707" s="10"/>
      <c r="B707" s="13"/>
      <c r="C707" s="13"/>
    </row>
    <row r="708" spans="1:3" ht="13" x14ac:dyDescent="0.15">
      <c r="A708" s="10"/>
      <c r="B708" s="13"/>
      <c r="C708" s="13"/>
    </row>
    <row r="709" spans="1:3" ht="13" x14ac:dyDescent="0.15">
      <c r="A709" s="10"/>
      <c r="B709" s="13"/>
      <c r="C709" s="13"/>
    </row>
    <row r="710" spans="1:3" ht="13" x14ac:dyDescent="0.15">
      <c r="A710" s="10"/>
      <c r="B710" s="13"/>
      <c r="C710" s="13"/>
    </row>
    <row r="711" spans="1:3" ht="13" x14ac:dyDescent="0.15">
      <c r="A711" s="10"/>
      <c r="B711" s="13"/>
      <c r="C711" s="13"/>
    </row>
    <row r="712" spans="1:3" ht="13" x14ac:dyDescent="0.15">
      <c r="A712" s="10"/>
      <c r="B712" s="13"/>
      <c r="C712" s="13"/>
    </row>
    <row r="713" spans="1:3" ht="13" x14ac:dyDescent="0.15">
      <c r="A713" s="10"/>
      <c r="B713" s="13"/>
      <c r="C713" s="13"/>
    </row>
    <row r="714" spans="1:3" ht="13" x14ac:dyDescent="0.15">
      <c r="A714" s="10"/>
      <c r="B714" s="13"/>
      <c r="C714" s="13"/>
    </row>
    <row r="715" spans="1:3" ht="13" x14ac:dyDescent="0.15">
      <c r="A715" s="10"/>
      <c r="B715" s="13"/>
      <c r="C715" s="13"/>
    </row>
    <row r="716" spans="1:3" ht="13" x14ac:dyDescent="0.15">
      <c r="A716" s="10"/>
      <c r="B716" s="13"/>
      <c r="C716" s="13"/>
    </row>
    <row r="717" spans="1:3" ht="13" x14ac:dyDescent="0.15">
      <c r="A717" s="10"/>
      <c r="B717" s="13"/>
      <c r="C717" s="13"/>
    </row>
    <row r="718" spans="1:3" ht="13" x14ac:dyDescent="0.15">
      <c r="A718" s="10"/>
      <c r="B718" s="13"/>
      <c r="C718" s="13"/>
    </row>
    <row r="719" spans="1:3" ht="13" x14ac:dyDescent="0.15">
      <c r="A719" s="10"/>
      <c r="B719" s="13"/>
      <c r="C719" s="13"/>
    </row>
    <row r="720" spans="1:3" ht="13" x14ac:dyDescent="0.15">
      <c r="A720" s="10"/>
      <c r="B720" s="13"/>
      <c r="C720" s="13"/>
    </row>
    <row r="721" spans="1:3" ht="13" x14ac:dyDescent="0.15">
      <c r="A721" s="10"/>
      <c r="B721" s="13"/>
      <c r="C721" s="13"/>
    </row>
    <row r="722" spans="1:3" ht="13" x14ac:dyDescent="0.15">
      <c r="A722" s="10"/>
      <c r="B722" s="13"/>
      <c r="C722" s="13"/>
    </row>
    <row r="723" spans="1:3" ht="13" x14ac:dyDescent="0.15">
      <c r="A723" s="10"/>
      <c r="B723" s="13"/>
      <c r="C723" s="13"/>
    </row>
    <row r="724" spans="1:3" ht="13" x14ac:dyDescent="0.15">
      <c r="A724" s="10"/>
      <c r="B724" s="13"/>
      <c r="C724" s="13"/>
    </row>
    <row r="725" spans="1:3" ht="13" x14ac:dyDescent="0.15">
      <c r="A725" s="10"/>
      <c r="B725" s="13"/>
      <c r="C725" s="13"/>
    </row>
    <row r="726" spans="1:3" ht="13" x14ac:dyDescent="0.15">
      <c r="A726" s="10"/>
      <c r="B726" s="13"/>
      <c r="C726" s="13"/>
    </row>
    <row r="727" spans="1:3" ht="13" x14ac:dyDescent="0.15">
      <c r="A727" s="10"/>
      <c r="B727" s="13"/>
      <c r="C727" s="13"/>
    </row>
    <row r="728" spans="1:3" ht="13" x14ac:dyDescent="0.15">
      <c r="A728" s="10"/>
      <c r="B728" s="13"/>
      <c r="C728" s="13"/>
    </row>
    <row r="729" spans="1:3" ht="13" x14ac:dyDescent="0.15">
      <c r="A729" s="10"/>
      <c r="B729" s="13"/>
      <c r="C729" s="13"/>
    </row>
    <row r="730" spans="1:3" ht="13" x14ac:dyDescent="0.15">
      <c r="A730" s="10"/>
      <c r="B730" s="13"/>
      <c r="C730" s="13"/>
    </row>
    <row r="731" spans="1:3" ht="13" x14ac:dyDescent="0.15">
      <c r="A731" s="10"/>
      <c r="B731" s="13"/>
      <c r="C731" s="13"/>
    </row>
    <row r="732" spans="1:3" ht="13" x14ac:dyDescent="0.15">
      <c r="A732" s="10"/>
      <c r="B732" s="13"/>
      <c r="C732" s="13"/>
    </row>
    <row r="733" spans="1:3" ht="13" x14ac:dyDescent="0.15">
      <c r="A733" s="10"/>
      <c r="B733" s="13"/>
      <c r="C733" s="13"/>
    </row>
    <row r="734" spans="1:3" ht="13" x14ac:dyDescent="0.15">
      <c r="A734" s="10"/>
      <c r="B734" s="13"/>
      <c r="C734" s="13"/>
    </row>
    <row r="735" spans="1:3" ht="13" x14ac:dyDescent="0.15">
      <c r="A735" s="10"/>
      <c r="B735" s="13"/>
      <c r="C735" s="13"/>
    </row>
    <row r="736" spans="1:3" ht="13" x14ac:dyDescent="0.15">
      <c r="A736" s="10"/>
      <c r="B736" s="13"/>
      <c r="C736" s="13"/>
    </row>
    <row r="737" spans="1:3" ht="13" x14ac:dyDescent="0.15">
      <c r="A737" s="10"/>
      <c r="B737" s="13"/>
      <c r="C737" s="13"/>
    </row>
    <row r="738" spans="1:3" ht="13" x14ac:dyDescent="0.15">
      <c r="A738" s="10"/>
      <c r="B738" s="13"/>
      <c r="C738" s="13"/>
    </row>
    <row r="739" spans="1:3" ht="13" x14ac:dyDescent="0.15">
      <c r="A739" s="10"/>
      <c r="B739" s="13"/>
      <c r="C739" s="13"/>
    </row>
    <row r="740" spans="1:3" ht="13" x14ac:dyDescent="0.15">
      <c r="A740" s="10"/>
      <c r="B740" s="13"/>
      <c r="C740" s="13"/>
    </row>
    <row r="741" spans="1:3" ht="13" x14ac:dyDescent="0.15">
      <c r="A741" s="10"/>
      <c r="B741" s="13"/>
      <c r="C741" s="13"/>
    </row>
    <row r="742" spans="1:3" ht="13" x14ac:dyDescent="0.15">
      <c r="A742" s="10"/>
      <c r="B742" s="13"/>
      <c r="C742" s="13"/>
    </row>
    <row r="743" spans="1:3" ht="13" x14ac:dyDescent="0.15">
      <c r="A743" s="10"/>
      <c r="B743" s="13"/>
      <c r="C743" s="13"/>
    </row>
    <row r="744" spans="1:3" ht="13" x14ac:dyDescent="0.15">
      <c r="A744" s="10"/>
      <c r="B744" s="13"/>
      <c r="C744" s="13"/>
    </row>
    <row r="745" spans="1:3" ht="13" x14ac:dyDescent="0.15">
      <c r="A745" s="10"/>
      <c r="B745" s="13"/>
      <c r="C745" s="13"/>
    </row>
    <row r="746" spans="1:3" ht="13" x14ac:dyDescent="0.15">
      <c r="A746" s="10"/>
      <c r="B746" s="13"/>
      <c r="C746" s="13"/>
    </row>
    <row r="747" spans="1:3" ht="13" x14ac:dyDescent="0.15">
      <c r="A747" s="10"/>
      <c r="B747" s="13"/>
      <c r="C747" s="13"/>
    </row>
    <row r="748" spans="1:3" ht="13" x14ac:dyDescent="0.15">
      <c r="A748" s="10"/>
      <c r="B748" s="13"/>
      <c r="C748" s="13"/>
    </row>
    <row r="749" spans="1:3" ht="13" x14ac:dyDescent="0.15">
      <c r="A749" s="10"/>
      <c r="B749" s="13"/>
      <c r="C749" s="13"/>
    </row>
    <row r="750" spans="1:3" ht="13" x14ac:dyDescent="0.15">
      <c r="A750" s="10"/>
      <c r="B750" s="13"/>
      <c r="C750" s="13"/>
    </row>
    <row r="751" spans="1:3" ht="13" x14ac:dyDescent="0.15">
      <c r="A751" s="10"/>
      <c r="B751" s="13"/>
      <c r="C751" s="13"/>
    </row>
    <row r="752" spans="1:3" ht="13" x14ac:dyDescent="0.15">
      <c r="A752" s="10"/>
      <c r="B752" s="13"/>
      <c r="C752" s="13"/>
    </row>
    <row r="753" spans="1:3" ht="13" x14ac:dyDescent="0.15">
      <c r="A753" s="10"/>
      <c r="B753" s="13"/>
      <c r="C753" s="13"/>
    </row>
    <row r="754" spans="1:3" ht="13" x14ac:dyDescent="0.15">
      <c r="A754" s="10"/>
      <c r="B754" s="13"/>
      <c r="C754" s="13"/>
    </row>
    <row r="755" spans="1:3" ht="13" x14ac:dyDescent="0.15">
      <c r="A755" s="10"/>
      <c r="B755" s="13"/>
      <c r="C755" s="13"/>
    </row>
    <row r="756" spans="1:3" ht="13" x14ac:dyDescent="0.15">
      <c r="A756" s="10"/>
      <c r="B756" s="13"/>
      <c r="C756" s="13"/>
    </row>
    <row r="757" spans="1:3" ht="13" x14ac:dyDescent="0.15">
      <c r="A757" s="10"/>
      <c r="B757" s="13"/>
      <c r="C757" s="13"/>
    </row>
    <row r="758" spans="1:3" ht="13" x14ac:dyDescent="0.15">
      <c r="A758" s="10"/>
      <c r="B758" s="13"/>
      <c r="C758" s="13"/>
    </row>
    <row r="759" spans="1:3" ht="13" x14ac:dyDescent="0.15">
      <c r="A759" s="10"/>
      <c r="B759" s="13"/>
      <c r="C759" s="13"/>
    </row>
    <row r="760" spans="1:3" ht="13" x14ac:dyDescent="0.15">
      <c r="A760" s="10"/>
      <c r="B760" s="13"/>
      <c r="C760" s="13"/>
    </row>
    <row r="761" spans="1:3" ht="13" x14ac:dyDescent="0.15">
      <c r="A761" s="10"/>
      <c r="B761" s="13"/>
      <c r="C761" s="13"/>
    </row>
    <row r="762" spans="1:3" ht="13" x14ac:dyDescent="0.15">
      <c r="A762" s="10"/>
      <c r="B762" s="13"/>
      <c r="C762" s="13"/>
    </row>
    <row r="763" spans="1:3" ht="13" x14ac:dyDescent="0.15">
      <c r="A763" s="10"/>
      <c r="B763" s="13"/>
      <c r="C763" s="13"/>
    </row>
    <row r="764" spans="1:3" ht="13" x14ac:dyDescent="0.15">
      <c r="A764" s="10"/>
      <c r="B764" s="13"/>
      <c r="C764" s="13"/>
    </row>
    <row r="765" spans="1:3" ht="13" x14ac:dyDescent="0.15">
      <c r="A765" s="10"/>
      <c r="B765" s="13"/>
      <c r="C765" s="13"/>
    </row>
    <row r="766" spans="1:3" ht="13" x14ac:dyDescent="0.15">
      <c r="A766" s="10"/>
      <c r="B766" s="13"/>
      <c r="C766" s="13"/>
    </row>
    <row r="767" spans="1:3" ht="13" x14ac:dyDescent="0.15">
      <c r="A767" s="10"/>
      <c r="B767" s="13"/>
      <c r="C767" s="13"/>
    </row>
    <row r="768" spans="1:3" ht="13" x14ac:dyDescent="0.15">
      <c r="A768" s="10"/>
      <c r="B768" s="13"/>
      <c r="C768" s="13"/>
    </row>
    <row r="769" spans="1:3" ht="13" x14ac:dyDescent="0.15">
      <c r="A769" s="10"/>
      <c r="B769" s="13"/>
      <c r="C769" s="13"/>
    </row>
    <row r="770" spans="1:3" ht="13" x14ac:dyDescent="0.15">
      <c r="A770" s="10"/>
      <c r="B770" s="13"/>
      <c r="C770" s="13"/>
    </row>
    <row r="771" spans="1:3" ht="13" x14ac:dyDescent="0.15">
      <c r="A771" s="10"/>
      <c r="B771" s="13"/>
      <c r="C771" s="13"/>
    </row>
    <row r="772" spans="1:3" ht="13" x14ac:dyDescent="0.15">
      <c r="A772" s="10"/>
      <c r="B772" s="13"/>
      <c r="C772" s="13"/>
    </row>
    <row r="773" spans="1:3" ht="13" x14ac:dyDescent="0.15">
      <c r="A773" s="10"/>
      <c r="B773" s="13"/>
      <c r="C773" s="13"/>
    </row>
    <row r="774" spans="1:3" ht="13" x14ac:dyDescent="0.15">
      <c r="A774" s="10"/>
      <c r="B774" s="13"/>
      <c r="C774" s="13"/>
    </row>
    <row r="775" spans="1:3" ht="13" x14ac:dyDescent="0.15">
      <c r="A775" s="10"/>
      <c r="B775" s="13"/>
      <c r="C775" s="13"/>
    </row>
    <row r="776" spans="1:3" ht="13" x14ac:dyDescent="0.15">
      <c r="A776" s="10"/>
      <c r="B776" s="13"/>
      <c r="C776" s="13"/>
    </row>
    <row r="777" spans="1:3" ht="13" x14ac:dyDescent="0.15">
      <c r="A777" s="10"/>
      <c r="B777" s="13"/>
      <c r="C777" s="13"/>
    </row>
    <row r="778" spans="1:3" ht="13" x14ac:dyDescent="0.15">
      <c r="A778" s="10"/>
      <c r="B778" s="13"/>
      <c r="C778" s="13"/>
    </row>
    <row r="779" spans="1:3" ht="13" x14ac:dyDescent="0.15">
      <c r="A779" s="10"/>
      <c r="B779" s="13"/>
      <c r="C779" s="13"/>
    </row>
    <row r="780" spans="1:3" ht="13" x14ac:dyDescent="0.15">
      <c r="A780" s="10"/>
      <c r="B780" s="13"/>
      <c r="C780" s="13"/>
    </row>
    <row r="781" spans="1:3" ht="13" x14ac:dyDescent="0.15">
      <c r="A781" s="10"/>
      <c r="B781" s="13"/>
      <c r="C781" s="13"/>
    </row>
    <row r="782" spans="1:3" ht="13" x14ac:dyDescent="0.15">
      <c r="A782" s="10"/>
      <c r="B782" s="13"/>
      <c r="C782" s="13"/>
    </row>
    <row r="783" spans="1:3" ht="13" x14ac:dyDescent="0.15">
      <c r="A783" s="10"/>
      <c r="B783" s="13"/>
      <c r="C783" s="13"/>
    </row>
    <row r="784" spans="1:3" ht="13" x14ac:dyDescent="0.15">
      <c r="A784" s="10"/>
      <c r="B784" s="13"/>
      <c r="C784" s="13"/>
    </row>
    <row r="785" spans="1:3" ht="13" x14ac:dyDescent="0.15">
      <c r="A785" s="10"/>
      <c r="B785" s="13"/>
      <c r="C785" s="13"/>
    </row>
    <row r="786" spans="1:3" ht="13" x14ac:dyDescent="0.15">
      <c r="A786" s="10"/>
      <c r="B786" s="13"/>
      <c r="C786" s="13"/>
    </row>
    <row r="787" spans="1:3" ht="13" x14ac:dyDescent="0.15">
      <c r="A787" s="10"/>
      <c r="B787" s="13"/>
      <c r="C787" s="13"/>
    </row>
    <row r="788" spans="1:3" ht="13" x14ac:dyDescent="0.15">
      <c r="A788" s="10"/>
      <c r="B788" s="13"/>
      <c r="C788" s="13"/>
    </row>
    <row r="789" spans="1:3" ht="13" x14ac:dyDescent="0.15">
      <c r="A789" s="10"/>
      <c r="B789" s="13"/>
      <c r="C789" s="13"/>
    </row>
    <row r="790" spans="1:3" ht="13" x14ac:dyDescent="0.15">
      <c r="A790" s="10"/>
      <c r="B790" s="13"/>
      <c r="C790" s="13"/>
    </row>
    <row r="791" spans="1:3" ht="13" x14ac:dyDescent="0.15">
      <c r="A791" s="10"/>
      <c r="B791" s="13"/>
      <c r="C791" s="13"/>
    </row>
    <row r="792" spans="1:3" ht="13" x14ac:dyDescent="0.15">
      <c r="A792" s="10"/>
      <c r="B792" s="13"/>
      <c r="C792" s="13"/>
    </row>
    <row r="793" spans="1:3" ht="13" x14ac:dyDescent="0.15">
      <c r="A793" s="10"/>
      <c r="B793" s="13"/>
      <c r="C793" s="13"/>
    </row>
    <row r="794" spans="1:3" ht="13" x14ac:dyDescent="0.15">
      <c r="A794" s="10"/>
      <c r="B794" s="13"/>
      <c r="C794" s="13"/>
    </row>
    <row r="795" spans="1:3" ht="13" x14ac:dyDescent="0.15">
      <c r="A795" s="10"/>
      <c r="B795" s="13"/>
      <c r="C795" s="13"/>
    </row>
    <row r="796" spans="1:3" ht="13" x14ac:dyDescent="0.15">
      <c r="A796" s="10"/>
      <c r="B796" s="13"/>
      <c r="C796" s="13"/>
    </row>
    <row r="797" spans="1:3" ht="13" x14ac:dyDescent="0.15">
      <c r="A797" s="10"/>
      <c r="B797" s="13"/>
      <c r="C797" s="13"/>
    </row>
    <row r="798" spans="1:3" ht="13" x14ac:dyDescent="0.15">
      <c r="A798" s="10"/>
      <c r="B798" s="13"/>
      <c r="C798" s="13"/>
    </row>
    <row r="799" spans="1:3" ht="13" x14ac:dyDescent="0.15">
      <c r="A799" s="10"/>
      <c r="B799" s="13"/>
      <c r="C799" s="13"/>
    </row>
    <row r="800" spans="1:3" ht="13" x14ac:dyDescent="0.15">
      <c r="A800" s="10"/>
      <c r="B800" s="13"/>
      <c r="C800" s="13"/>
    </row>
    <row r="801" spans="1:3" ht="13" x14ac:dyDescent="0.15">
      <c r="A801" s="10"/>
      <c r="B801" s="13"/>
      <c r="C801" s="13"/>
    </row>
    <row r="802" spans="1:3" ht="13" x14ac:dyDescent="0.15">
      <c r="A802" s="10"/>
      <c r="B802" s="13"/>
      <c r="C802" s="13"/>
    </row>
    <row r="803" spans="1:3" ht="13" x14ac:dyDescent="0.15">
      <c r="A803" s="10"/>
      <c r="B803" s="13"/>
      <c r="C803" s="13"/>
    </row>
    <row r="804" spans="1:3" ht="13" x14ac:dyDescent="0.15">
      <c r="A804" s="10"/>
      <c r="B804" s="13"/>
      <c r="C804" s="13"/>
    </row>
    <row r="805" spans="1:3" ht="13" x14ac:dyDescent="0.15">
      <c r="A805" s="10"/>
      <c r="B805" s="13"/>
      <c r="C805" s="13"/>
    </row>
    <row r="806" spans="1:3" ht="13" x14ac:dyDescent="0.15">
      <c r="A806" s="10"/>
      <c r="B806" s="13"/>
      <c r="C806" s="13"/>
    </row>
    <row r="807" spans="1:3" ht="13" x14ac:dyDescent="0.15">
      <c r="A807" s="10"/>
      <c r="B807" s="13"/>
      <c r="C807" s="13"/>
    </row>
    <row r="808" spans="1:3" ht="13" x14ac:dyDescent="0.15">
      <c r="A808" s="10"/>
      <c r="B808" s="13"/>
      <c r="C808" s="13"/>
    </row>
    <row r="809" spans="1:3" ht="13" x14ac:dyDescent="0.15">
      <c r="A809" s="10"/>
      <c r="B809" s="13"/>
      <c r="C809" s="13"/>
    </row>
    <row r="810" spans="1:3" ht="13" x14ac:dyDescent="0.15">
      <c r="A810" s="10"/>
      <c r="B810" s="13"/>
      <c r="C810" s="13"/>
    </row>
    <row r="811" spans="1:3" ht="13" x14ac:dyDescent="0.15">
      <c r="A811" s="10"/>
      <c r="B811" s="13"/>
      <c r="C811" s="13"/>
    </row>
    <row r="812" spans="1:3" ht="13" x14ac:dyDescent="0.15">
      <c r="A812" s="10"/>
      <c r="B812" s="13"/>
      <c r="C812" s="13"/>
    </row>
    <row r="813" spans="1:3" ht="13" x14ac:dyDescent="0.15">
      <c r="A813" s="10"/>
      <c r="B813" s="13"/>
      <c r="C813" s="13"/>
    </row>
    <row r="814" spans="1:3" ht="13" x14ac:dyDescent="0.15">
      <c r="A814" s="10"/>
      <c r="B814" s="13"/>
      <c r="C814" s="13"/>
    </row>
    <row r="815" spans="1:3" ht="13" x14ac:dyDescent="0.15">
      <c r="A815" s="10"/>
      <c r="B815" s="13"/>
      <c r="C815" s="13"/>
    </row>
    <row r="816" spans="1:3" ht="13" x14ac:dyDescent="0.15">
      <c r="A816" s="10"/>
      <c r="B816" s="13"/>
      <c r="C816" s="13"/>
    </row>
    <row r="817" spans="1:3" ht="13" x14ac:dyDescent="0.15">
      <c r="A817" s="10"/>
      <c r="B817" s="13"/>
      <c r="C817" s="13"/>
    </row>
    <row r="818" spans="1:3" ht="13" x14ac:dyDescent="0.15">
      <c r="A818" s="10"/>
      <c r="B818" s="13"/>
      <c r="C818" s="13"/>
    </row>
    <row r="819" spans="1:3" ht="13" x14ac:dyDescent="0.15">
      <c r="A819" s="10"/>
      <c r="B819" s="13"/>
      <c r="C819" s="13"/>
    </row>
    <row r="820" spans="1:3" ht="13" x14ac:dyDescent="0.15">
      <c r="A820" s="10"/>
      <c r="B820" s="13"/>
      <c r="C820" s="13"/>
    </row>
    <row r="821" spans="1:3" ht="13" x14ac:dyDescent="0.15">
      <c r="A821" s="10"/>
      <c r="B821" s="13"/>
      <c r="C821" s="13"/>
    </row>
    <row r="822" spans="1:3" ht="13" x14ac:dyDescent="0.15">
      <c r="A822" s="10"/>
      <c r="B822" s="13"/>
      <c r="C822" s="13"/>
    </row>
    <row r="823" spans="1:3" ht="13" x14ac:dyDescent="0.15">
      <c r="A823" s="10"/>
      <c r="B823" s="13"/>
      <c r="C823" s="13"/>
    </row>
    <row r="824" spans="1:3" ht="13" x14ac:dyDescent="0.15">
      <c r="A824" s="10"/>
      <c r="B824" s="13"/>
      <c r="C824" s="13"/>
    </row>
    <row r="825" spans="1:3" ht="13" x14ac:dyDescent="0.15">
      <c r="A825" s="10"/>
      <c r="B825" s="13"/>
      <c r="C825" s="13"/>
    </row>
    <row r="826" spans="1:3" ht="13" x14ac:dyDescent="0.15">
      <c r="A826" s="10"/>
      <c r="B826" s="13"/>
      <c r="C826" s="13"/>
    </row>
    <row r="827" spans="1:3" ht="13" x14ac:dyDescent="0.15">
      <c r="A827" s="10"/>
      <c r="B827" s="13"/>
      <c r="C827" s="13"/>
    </row>
    <row r="828" spans="1:3" ht="13" x14ac:dyDescent="0.15">
      <c r="A828" s="10"/>
      <c r="B828" s="13"/>
      <c r="C828" s="13"/>
    </row>
    <row r="829" spans="1:3" ht="13" x14ac:dyDescent="0.15">
      <c r="A829" s="10"/>
      <c r="B829" s="13"/>
      <c r="C829" s="13"/>
    </row>
    <row r="830" spans="1:3" ht="13" x14ac:dyDescent="0.15">
      <c r="A830" s="10"/>
      <c r="B830" s="13"/>
      <c r="C830" s="13"/>
    </row>
    <row r="831" spans="1:3" ht="13" x14ac:dyDescent="0.15">
      <c r="A831" s="10"/>
      <c r="B831" s="13"/>
      <c r="C831" s="13"/>
    </row>
    <row r="832" spans="1:3" ht="13" x14ac:dyDescent="0.15">
      <c r="A832" s="10"/>
      <c r="B832" s="13"/>
      <c r="C832" s="13"/>
    </row>
    <row r="833" spans="1:3" ht="13" x14ac:dyDescent="0.15">
      <c r="A833" s="10"/>
      <c r="B833" s="13"/>
      <c r="C833" s="13"/>
    </row>
    <row r="834" spans="1:3" ht="13" x14ac:dyDescent="0.15">
      <c r="A834" s="10"/>
      <c r="B834" s="13"/>
      <c r="C834" s="13"/>
    </row>
    <row r="835" spans="1:3" ht="13" x14ac:dyDescent="0.15">
      <c r="A835" s="10"/>
      <c r="B835" s="13"/>
      <c r="C835" s="13"/>
    </row>
    <row r="836" spans="1:3" ht="13" x14ac:dyDescent="0.15">
      <c r="A836" s="10"/>
      <c r="B836" s="13"/>
      <c r="C836" s="13"/>
    </row>
    <row r="837" spans="1:3" ht="13" x14ac:dyDescent="0.15">
      <c r="A837" s="10"/>
      <c r="B837" s="13"/>
      <c r="C837" s="13"/>
    </row>
    <row r="838" spans="1:3" ht="13" x14ac:dyDescent="0.15">
      <c r="A838" s="10"/>
      <c r="B838" s="13"/>
      <c r="C838" s="13"/>
    </row>
    <row r="839" spans="1:3" ht="13" x14ac:dyDescent="0.15">
      <c r="A839" s="10"/>
      <c r="B839" s="13"/>
      <c r="C839" s="13"/>
    </row>
    <row r="840" spans="1:3" ht="13" x14ac:dyDescent="0.15">
      <c r="A840" s="10"/>
      <c r="B840" s="13"/>
      <c r="C840" s="13"/>
    </row>
    <row r="841" spans="1:3" ht="13" x14ac:dyDescent="0.15">
      <c r="A841" s="10"/>
      <c r="B841" s="13"/>
      <c r="C841" s="13"/>
    </row>
    <row r="842" spans="1:3" ht="13" x14ac:dyDescent="0.15">
      <c r="A842" s="10"/>
      <c r="B842" s="13"/>
      <c r="C842" s="13"/>
    </row>
    <row r="843" spans="1:3" ht="13" x14ac:dyDescent="0.15">
      <c r="A843" s="10"/>
      <c r="B843" s="13"/>
      <c r="C843" s="13"/>
    </row>
    <row r="844" spans="1:3" ht="13" x14ac:dyDescent="0.15">
      <c r="A844" s="10"/>
      <c r="B844" s="13"/>
      <c r="C844" s="13"/>
    </row>
    <row r="845" spans="1:3" ht="13" x14ac:dyDescent="0.15">
      <c r="A845" s="10"/>
      <c r="B845" s="13"/>
      <c r="C845" s="13"/>
    </row>
    <row r="846" spans="1:3" ht="13" x14ac:dyDescent="0.15">
      <c r="A846" s="10"/>
      <c r="B846" s="13"/>
      <c r="C846" s="13"/>
    </row>
    <row r="847" spans="1:3" ht="13" x14ac:dyDescent="0.15">
      <c r="A847" s="10"/>
      <c r="B847" s="13"/>
      <c r="C847" s="13"/>
    </row>
    <row r="848" spans="1:3" ht="13" x14ac:dyDescent="0.15">
      <c r="A848" s="10"/>
      <c r="B848" s="13"/>
      <c r="C848" s="13"/>
    </row>
    <row r="849" spans="1:3" ht="13" x14ac:dyDescent="0.15">
      <c r="A849" s="10"/>
      <c r="B849" s="13"/>
      <c r="C849" s="13"/>
    </row>
    <row r="850" spans="1:3" ht="13" x14ac:dyDescent="0.15">
      <c r="A850" s="10"/>
      <c r="B850" s="13"/>
      <c r="C850" s="13"/>
    </row>
    <row r="851" spans="1:3" ht="13" x14ac:dyDescent="0.15">
      <c r="A851" s="10"/>
      <c r="B851" s="13"/>
      <c r="C851" s="13"/>
    </row>
    <row r="852" spans="1:3" ht="13" x14ac:dyDescent="0.15">
      <c r="A852" s="10"/>
      <c r="B852" s="13"/>
      <c r="C852" s="13"/>
    </row>
    <row r="853" spans="1:3" ht="13" x14ac:dyDescent="0.15">
      <c r="A853" s="10"/>
      <c r="B853" s="13"/>
      <c r="C853" s="13"/>
    </row>
    <row r="854" spans="1:3" ht="13" x14ac:dyDescent="0.15">
      <c r="A854" s="10"/>
      <c r="B854" s="13"/>
      <c r="C854" s="13"/>
    </row>
    <row r="855" spans="1:3" ht="13" x14ac:dyDescent="0.15">
      <c r="A855" s="10"/>
      <c r="B855" s="13"/>
      <c r="C855" s="13"/>
    </row>
    <row r="856" spans="1:3" ht="13" x14ac:dyDescent="0.15">
      <c r="A856" s="10"/>
      <c r="B856" s="13"/>
      <c r="C856" s="13"/>
    </row>
    <row r="857" spans="1:3" ht="13" x14ac:dyDescent="0.15">
      <c r="A857" s="10"/>
      <c r="B857" s="13"/>
      <c r="C857" s="13"/>
    </row>
    <row r="858" spans="1:3" ht="13" x14ac:dyDescent="0.15">
      <c r="A858" s="10"/>
      <c r="B858" s="13"/>
      <c r="C858" s="13"/>
    </row>
    <row r="859" spans="1:3" ht="13" x14ac:dyDescent="0.15">
      <c r="A859" s="10"/>
      <c r="B859" s="13"/>
      <c r="C859" s="13"/>
    </row>
    <row r="860" spans="1:3" ht="13" x14ac:dyDescent="0.15">
      <c r="A860" s="10"/>
      <c r="B860" s="13"/>
      <c r="C860" s="13"/>
    </row>
    <row r="861" spans="1:3" ht="13" x14ac:dyDescent="0.15">
      <c r="A861" s="10"/>
      <c r="B861" s="13"/>
      <c r="C861" s="13"/>
    </row>
    <row r="862" spans="1:3" ht="13" x14ac:dyDescent="0.15">
      <c r="A862" s="10"/>
      <c r="B862" s="13"/>
      <c r="C862" s="13"/>
    </row>
    <row r="863" spans="1:3" ht="13" x14ac:dyDescent="0.15">
      <c r="A863" s="10"/>
      <c r="B863" s="13"/>
      <c r="C863" s="13"/>
    </row>
    <row r="864" spans="1:3" ht="13" x14ac:dyDescent="0.15">
      <c r="A864" s="10"/>
      <c r="B864" s="13"/>
      <c r="C864" s="13"/>
    </row>
    <row r="865" spans="1:3" ht="13" x14ac:dyDescent="0.15">
      <c r="A865" s="10"/>
      <c r="B865" s="13"/>
      <c r="C865" s="13"/>
    </row>
    <row r="866" spans="1:3" ht="13" x14ac:dyDescent="0.15">
      <c r="A866" s="10"/>
      <c r="B866" s="13"/>
      <c r="C866" s="13"/>
    </row>
    <row r="867" spans="1:3" ht="13" x14ac:dyDescent="0.15">
      <c r="A867" s="10"/>
      <c r="B867" s="13"/>
      <c r="C867" s="13"/>
    </row>
    <row r="868" spans="1:3" ht="13" x14ac:dyDescent="0.15">
      <c r="A868" s="10"/>
      <c r="B868" s="13"/>
      <c r="C868" s="13"/>
    </row>
    <row r="869" spans="1:3" ht="13" x14ac:dyDescent="0.15">
      <c r="A869" s="10"/>
      <c r="B869" s="13"/>
      <c r="C869" s="13"/>
    </row>
    <row r="870" spans="1:3" ht="13" x14ac:dyDescent="0.15">
      <c r="A870" s="10"/>
      <c r="B870" s="13"/>
      <c r="C870" s="13"/>
    </row>
    <row r="871" spans="1:3" ht="13" x14ac:dyDescent="0.15">
      <c r="A871" s="10"/>
      <c r="B871" s="13"/>
      <c r="C871" s="13"/>
    </row>
    <row r="872" spans="1:3" ht="13" x14ac:dyDescent="0.15">
      <c r="A872" s="10"/>
      <c r="B872" s="13"/>
      <c r="C872" s="13"/>
    </row>
    <row r="873" spans="1:3" ht="13" x14ac:dyDescent="0.15">
      <c r="A873" s="10"/>
      <c r="B873" s="13"/>
      <c r="C873" s="13"/>
    </row>
    <row r="874" spans="1:3" ht="13" x14ac:dyDescent="0.15">
      <c r="A874" s="10"/>
      <c r="B874" s="13"/>
      <c r="C874" s="13"/>
    </row>
    <row r="875" spans="1:3" ht="13" x14ac:dyDescent="0.15">
      <c r="A875" s="10"/>
      <c r="B875" s="13"/>
      <c r="C875" s="13"/>
    </row>
    <row r="876" spans="1:3" ht="13" x14ac:dyDescent="0.15">
      <c r="A876" s="10"/>
      <c r="B876" s="13"/>
      <c r="C876" s="13"/>
    </row>
    <row r="877" spans="1:3" ht="13" x14ac:dyDescent="0.15">
      <c r="A877" s="10"/>
      <c r="B877" s="13"/>
      <c r="C877" s="13"/>
    </row>
    <row r="878" spans="1:3" ht="13" x14ac:dyDescent="0.15">
      <c r="A878" s="10"/>
      <c r="B878" s="13"/>
      <c r="C878" s="13"/>
    </row>
    <row r="879" spans="1:3" ht="13" x14ac:dyDescent="0.15">
      <c r="A879" s="10"/>
      <c r="B879" s="13"/>
      <c r="C879" s="13"/>
    </row>
    <row r="880" spans="1:3" ht="13" x14ac:dyDescent="0.15">
      <c r="A880" s="10"/>
      <c r="B880" s="13"/>
      <c r="C880" s="13"/>
    </row>
    <row r="881" spans="1:3" ht="13" x14ac:dyDescent="0.15">
      <c r="A881" s="10"/>
      <c r="B881" s="13"/>
      <c r="C881" s="13"/>
    </row>
    <row r="882" spans="1:3" ht="13" x14ac:dyDescent="0.15">
      <c r="A882" s="10"/>
      <c r="B882" s="13"/>
      <c r="C882" s="13"/>
    </row>
    <row r="883" spans="1:3" ht="13" x14ac:dyDescent="0.15">
      <c r="A883" s="10"/>
      <c r="B883" s="13"/>
      <c r="C883" s="13"/>
    </row>
    <row r="884" spans="1:3" ht="13" x14ac:dyDescent="0.15">
      <c r="A884" s="10"/>
      <c r="B884" s="13"/>
      <c r="C884" s="13"/>
    </row>
    <row r="885" spans="1:3" ht="13" x14ac:dyDescent="0.15">
      <c r="A885" s="10"/>
      <c r="B885" s="13"/>
      <c r="C885" s="13"/>
    </row>
    <row r="886" spans="1:3" ht="13" x14ac:dyDescent="0.15">
      <c r="A886" s="10"/>
      <c r="B886" s="13"/>
      <c r="C886" s="13"/>
    </row>
    <row r="887" spans="1:3" ht="13" x14ac:dyDescent="0.15">
      <c r="A887" s="10"/>
      <c r="B887" s="13"/>
      <c r="C887" s="13"/>
    </row>
    <row r="888" spans="1:3" ht="13" x14ac:dyDescent="0.15">
      <c r="A888" s="10"/>
      <c r="B888" s="13"/>
      <c r="C888" s="13"/>
    </row>
    <row r="889" spans="1:3" ht="13" x14ac:dyDescent="0.15">
      <c r="A889" s="10"/>
      <c r="B889" s="13"/>
      <c r="C889" s="13"/>
    </row>
    <row r="890" spans="1:3" ht="13" x14ac:dyDescent="0.15">
      <c r="A890" s="10"/>
      <c r="B890" s="13"/>
      <c r="C890" s="13"/>
    </row>
    <row r="891" spans="1:3" ht="13" x14ac:dyDescent="0.15">
      <c r="A891" s="10"/>
      <c r="B891" s="13"/>
      <c r="C891" s="13"/>
    </row>
    <row r="892" spans="1:3" ht="13" x14ac:dyDescent="0.15">
      <c r="A892" s="10"/>
      <c r="B892" s="13"/>
      <c r="C892" s="13"/>
    </row>
    <row r="893" spans="1:3" ht="13" x14ac:dyDescent="0.15">
      <c r="A893" s="10"/>
      <c r="B893" s="13"/>
      <c r="C893" s="13"/>
    </row>
    <row r="894" spans="1:3" ht="13" x14ac:dyDescent="0.15">
      <c r="A894" s="10"/>
      <c r="B894" s="13"/>
      <c r="C894" s="13"/>
    </row>
    <row r="895" spans="1:3" ht="13" x14ac:dyDescent="0.15">
      <c r="A895" s="10"/>
      <c r="B895" s="13"/>
      <c r="C895" s="13"/>
    </row>
    <row r="896" spans="1:3" ht="13" x14ac:dyDescent="0.15">
      <c r="A896" s="10"/>
      <c r="B896" s="13"/>
      <c r="C896" s="13"/>
    </row>
    <row r="897" spans="1:3" ht="13" x14ac:dyDescent="0.15">
      <c r="A897" s="10"/>
      <c r="B897" s="13"/>
      <c r="C897" s="13"/>
    </row>
    <row r="898" spans="1:3" ht="13" x14ac:dyDescent="0.15">
      <c r="A898" s="10"/>
      <c r="B898" s="13"/>
      <c r="C898" s="13"/>
    </row>
    <row r="899" spans="1:3" ht="13" x14ac:dyDescent="0.15">
      <c r="A899" s="10"/>
      <c r="B899" s="13"/>
      <c r="C899" s="13"/>
    </row>
    <row r="900" spans="1:3" ht="13" x14ac:dyDescent="0.15">
      <c r="A900" s="10"/>
      <c r="B900" s="13"/>
      <c r="C900" s="13"/>
    </row>
    <row r="901" spans="1:3" ht="13" x14ac:dyDescent="0.15">
      <c r="A901" s="10"/>
      <c r="B901" s="13"/>
      <c r="C901" s="13"/>
    </row>
    <row r="902" spans="1:3" ht="13" x14ac:dyDescent="0.15">
      <c r="A902" s="10"/>
      <c r="B902" s="13"/>
      <c r="C902" s="13"/>
    </row>
    <row r="903" spans="1:3" ht="13" x14ac:dyDescent="0.15">
      <c r="A903" s="10"/>
      <c r="B903" s="13"/>
      <c r="C903" s="13"/>
    </row>
    <row r="904" spans="1:3" ht="13" x14ac:dyDescent="0.15">
      <c r="A904" s="10"/>
      <c r="B904" s="13"/>
      <c r="C904" s="13"/>
    </row>
    <row r="905" spans="1:3" ht="13" x14ac:dyDescent="0.15">
      <c r="A905" s="10"/>
      <c r="B905" s="13"/>
      <c r="C905" s="13"/>
    </row>
    <row r="906" spans="1:3" ht="13" x14ac:dyDescent="0.15">
      <c r="A906" s="10"/>
      <c r="B906" s="13"/>
      <c r="C906" s="13"/>
    </row>
    <row r="907" spans="1:3" ht="13" x14ac:dyDescent="0.15">
      <c r="A907" s="10"/>
      <c r="B907" s="13"/>
      <c r="C907" s="13"/>
    </row>
    <row r="908" spans="1:3" ht="13" x14ac:dyDescent="0.15">
      <c r="A908" s="10"/>
      <c r="B908" s="13"/>
      <c r="C908" s="13"/>
    </row>
    <row r="909" spans="1:3" ht="13" x14ac:dyDescent="0.15">
      <c r="A909" s="10"/>
      <c r="B909" s="13"/>
      <c r="C909" s="13"/>
    </row>
    <row r="910" spans="1:3" ht="13" x14ac:dyDescent="0.15">
      <c r="A910" s="10"/>
      <c r="B910" s="13"/>
      <c r="C910" s="13"/>
    </row>
    <row r="911" spans="1:3" ht="13" x14ac:dyDescent="0.15">
      <c r="A911" s="10"/>
      <c r="B911" s="13"/>
      <c r="C911" s="13"/>
    </row>
    <row r="912" spans="1:3" ht="13" x14ac:dyDescent="0.15">
      <c r="A912" s="10"/>
      <c r="B912" s="13"/>
      <c r="C912" s="13"/>
    </row>
    <row r="913" spans="1:3" ht="13" x14ac:dyDescent="0.15">
      <c r="A913" s="10"/>
      <c r="B913" s="13"/>
      <c r="C913" s="13"/>
    </row>
    <row r="914" spans="1:3" ht="13" x14ac:dyDescent="0.15">
      <c r="A914" s="10"/>
      <c r="B914" s="13"/>
      <c r="C914" s="13"/>
    </row>
    <row r="915" spans="1:3" ht="13" x14ac:dyDescent="0.15">
      <c r="A915" s="10"/>
      <c r="B915" s="13"/>
      <c r="C915" s="13"/>
    </row>
    <row r="916" spans="1:3" ht="13" x14ac:dyDescent="0.15">
      <c r="A916" s="10"/>
      <c r="B916" s="13"/>
      <c r="C916" s="13"/>
    </row>
    <row r="917" spans="1:3" ht="13" x14ac:dyDescent="0.15">
      <c r="A917" s="10"/>
      <c r="B917" s="13"/>
      <c r="C917" s="13"/>
    </row>
    <row r="918" spans="1:3" ht="13" x14ac:dyDescent="0.15">
      <c r="A918" s="10"/>
      <c r="B918" s="13"/>
      <c r="C918" s="13"/>
    </row>
    <row r="919" spans="1:3" ht="13" x14ac:dyDescent="0.15">
      <c r="A919" s="10"/>
      <c r="B919" s="13"/>
      <c r="C919" s="13"/>
    </row>
    <row r="920" spans="1:3" ht="13" x14ac:dyDescent="0.15">
      <c r="A920" s="10"/>
      <c r="B920" s="13"/>
      <c r="C920" s="13"/>
    </row>
    <row r="921" spans="1:3" ht="13" x14ac:dyDescent="0.15">
      <c r="A921" s="10"/>
      <c r="B921" s="13"/>
      <c r="C921" s="13"/>
    </row>
    <row r="922" spans="1:3" ht="13" x14ac:dyDescent="0.15">
      <c r="A922" s="10"/>
      <c r="B922" s="13"/>
      <c r="C922" s="13"/>
    </row>
    <row r="923" spans="1:3" ht="13" x14ac:dyDescent="0.15">
      <c r="A923" s="10"/>
      <c r="B923" s="13"/>
      <c r="C923" s="13"/>
    </row>
    <row r="924" spans="1:3" ht="13" x14ac:dyDescent="0.15">
      <c r="A924" s="10"/>
      <c r="B924" s="13"/>
      <c r="C924" s="13"/>
    </row>
    <row r="925" spans="1:3" ht="13" x14ac:dyDescent="0.15">
      <c r="A925" s="10"/>
      <c r="B925" s="13"/>
      <c r="C925" s="13"/>
    </row>
    <row r="926" spans="1:3" ht="13" x14ac:dyDescent="0.15">
      <c r="A926" s="10"/>
      <c r="B926" s="13"/>
      <c r="C926" s="13"/>
    </row>
    <row r="927" spans="1:3" ht="13" x14ac:dyDescent="0.15">
      <c r="A927" s="10"/>
      <c r="B927" s="13"/>
      <c r="C927" s="13"/>
    </row>
    <row r="928" spans="1:3" ht="13" x14ac:dyDescent="0.15">
      <c r="A928" s="10"/>
      <c r="B928" s="13"/>
      <c r="C928" s="13"/>
    </row>
    <row r="929" spans="1:3" ht="13" x14ac:dyDescent="0.15">
      <c r="A929" s="10"/>
      <c r="B929" s="13"/>
      <c r="C929" s="13"/>
    </row>
    <row r="930" spans="1:3" ht="13" x14ac:dyDescent="0.15">
      <c r="A930" s="10"/>
      <c r="B930" s="13"/>
      <c r="C930" s="13"/>
    </row>
    <row r="931" spans="1:3" ht="13" x14ac:dyDescent="0.15">
      <c r="A931" s="10"/>
      <c r="B931" s="13"/>
      <c r="C931" s="13"/>
    </row>
    <row r="932" spans="1:3" ht="13" x14ac:dyDescent="0.15">
      <c r="A932" s="10"/>
      <c r="B932" s="13"/>
      <c r="C932" s="13"/>
    </row>
    <row r="933" spans="1:3" ht="13" x14ac:dyDescent="0.15">
      <c r="A933" s="10"/>
      <c r="B933" s="13"/>
      <c r="C933" s="13"/>
    </row>
    <row r="934" spans="1:3" ht="13" x14ac:dyDescent="0.15">
      <c r="A934" s="10"/>
      <c r="B934" s="13"/>
      <c r="C934" s="13"/>
    </row>
    <row r="935" spans="1:3" ht="13" x14ac:dyDescent="0.15">
      <c r="A935" s="10"/>
      <c r="B935" s="13"/>
      <c r="C935" s="13"/>
    </row>
    <row r="936" spans="1:3" ht="13" x14ac:dyDescent="0.15">
      <c r="A936" s="10"/>
      <c r="B936" s="13"/>
      <c r="C936" s="13"/>
    </row>
    <row r="937" spans="1:3" ht="13" x14ac:dyDescent="0.15">
      <c r="A937" s="10"/>
      <c r="B937" s="13"/>
      <c r="C937" s="13"/>
    </row>
    <row r="938" spans="1:3" ht="13" x14ac:dyDescent="0.15">
      <c r="A938" s="10"/>
      <c r="B938" s="13"/>
      <c r="C938" s="13"/>
    </row>
    <row r="939" spans="1:3" ht="13" x14ac:dyDescent="0.15">
      <c r="A939" s="10"/>
      <c r="B939" s="13"/>
      <c r="C939" s="13"/>
    </row>
    <row r="940" spans="1:3" ht="13" x14ac:dyDescent="0.15">
      <c r="A940" s="10"/>
      <c r="B940" s="13"/>
      <c r="C940" s="13"/>
    </row>
    <row r="941" spans="1:3" ht="13" x14ac:dyDescent="0.15">
      <c r="A941" s="10"/>
      <c r="B941" s="13"/>
      <c r="C941" s="13"/>
    </row>
    <row r="942" spans="1:3" ht="13" x14ac:dyDescent="0.15">
      <c r="A942" s="10"/>
      <c r="B942" s="13"/>
      <c r="C942" s="13"/>
    </row>
    <row r="943" spans="1:3" ht="13" x14ac:dyDescent="0.15">
      <c r="A943" s="10"/>
      <c r="B943" s="13"/>
      <c r="C943" s="13"/>
    </row>
    <row r="944" spans="1:3" ht="13" x14ac:dyDescent="0.15">
      <c r="A944" s="10"/>
      <c r="B944" s="13"/>
      <c r="C944" s="13"/>
    </row>
    <row r="945" spans="1:3" ht="13" x14ac:dyDescent="0.15">
      <c r="A945" s="10"/>
      <c r="B945" s="13"/>
      <c r="C945" s="13"/>
    </row>
    <row r="946" spans="1:3" ht="13" x14ac:dyDescent="0.15">
      <c r="A946" s="10"/>
      <c r="B946" s="13"/>
      <c r="C946" s="13"/>
    </row>
    <row r="947" spans="1:3" ht="13" x14ac:dyDescent="0.15">
      <c r="A947" s="10"/>
      <c r="B947" s="13"/>
      <c r="C947" s="13"/>
    </row>
    <row r="948" spans="1:3" ht="13" x14ac:dyDescent="0.15">
      <c r="A948" s="10"/>
      <c r="B948" s="13"/>
      <c r="C948" s="13"/>
    </row>
    <row r="949" spans="1:3" ht="13" x14ac:dyDescent="0.15">
      <c r="A949" s="10"/>
      <c r="B949" s="13"/>
      <c r="C949" s="13"/>
    </row>
    <row r="950" spans="1:3" ht="13" x14ac:dyDescent="0.15">
      <c r="A950" s="10"/>
      <c r="B950" s="13"/>
      <c r="C950" s="13"/>
    </row>
    <row r="951" spans="1:3" ht="13" x14ac:dyDescent="0.15">
      <c r="A951" s="10"/>
      <c r="B951" s="13"/>
      <c r="C951" s="13"/>
    </row>
    <row r="952" spans="1:3" ht="13" x14ac:dyDescent="0.15">
      <c r="A952" s="10"/>
      <c r="B952" s="13"/>
      <c r="C952" s="13"/>
    </row>
    <row r="953" spans="1:3" ht="13" x14ac:dyDescent="0.15">
      <c r="A953" s="10"/>
      <c r="B953" s="13"/>
      <c r="C953" s="13"/>
    </row>
    <row r="954" spans="1:3" ht="13" x14ac:dyDescent="0.15">
      <c r="A954" s="10"/>
      <c r="B954" s="13"/>
      <c r="C954" s="13"/>
    </row>
    <row r="955" spans="1:3" ht="13" x14ac:dyDescent="0.15">
      <c r="A955" s="10"/>
      <c r="B955" s="13"/>
      <c r="C955" s="13"/>
    </row>
    <row r="956" spans="1:3" ht="13" x14ac:dyDescent="0.15">
      <c r="A956" s="10"/>
      <c r="B956" s="13"/>
      <c r="C956" s="13"/>
    </row>
    <row r="957" spans="1:3" ht="13" x14ac:dyDescent="0.15">
      <c r="A957" s="10"/>
      <c r="B957" s="13"/>
      <c r="C957" s="13"/>
    </row>
    <row r="958" spans="1:3" ht="13" x14ac:dyDescent="0.15">
      <c r="A958" s="10"/>
      <c r="B958" s="13"/>
      <c r="C958" s="13"/>
    </row>
    <row r="959" spans="1:3" ht="13" x14ac:dyDescent="0.15">
      <c r="A959" s="10"/>
      <c r="B959" s="13"/>
      <c r="C959" s="13"/>
    </row>
    <row r="960" spans="1:3" ht="13" x14ac:dyDescent="0.15">
      <c r="A960" s="10"/>
      <c r="B960" s="13"/>
      <c r="C960" s="13"/>
    </row>
    <row r="961" spans="1:3" ht="13" x14ac:dyDescent="0.15">
      <c r="A961" s="10"/>
      <c r="B961" s="13"/>
      <c r="C961" s="13"/>
    </row>
    <row r="962" spans="1:3" ht="13" x14ac:dyDescent="0.15">
      <c r="A962" s="10"/>
      <c r="B962" s="13"/>
      <c r="C962" s="13"/>
    </row>
    <row r="963" spans="1:3" ht="13" x14ac:dyDescent="0.15">
      <c r="A963" s="10"/>
      <c r="B963" s="13"/>
      <c r="C963" s="13"/>
    </row>
    <row r="964" spans="1:3" ht="13" x14ac:dyDescent="0.15">
      <c r="A964" s="10"/>
      <c r="B964" s="13"/>
      <c r="C964" s="13"/>
    </row>
    <row r="965" spans="1:3" ht="13" x14ac:dyDescent="0.15">
      <c r="A965" s="10"/>
      <c r="B965" s="13"/>
      <c r="C965" s="13"/>
    </row>
    <row r="966" spans="1:3" ht="13" x14ac:dyDescent="0.15">
      <c r="A966" s="10"/>
      <c r="B966" s="13"/>
      <c r="C966" s="13"/>
    </row>
    <row r="967" spans="1:3" ht="13" x14ac:dyDescent="0.15">
      <c r="A967" s="10"/>
      <c r="B967" s="13"/>
      <c r="C967" s="13"/>
    </row>
    <row r="968" spans="1:3" ht="13" x14ac:dyDescent="0.15">
      <c r="A968" s="10"/>
      <c r="B968" s="13"/>
      <c r="C968" s="13"/>
    </row>
    <row r="969" spans="1:3" ht="13" x14ac:dyDescent="0.15">
      <c r="A969" s="10"/>
      <c r="B969" s="13"/>
      <c r="C969" s="13"/>
    </row>
    <row r="970" spans="1:3" ht="13" x14ac:dyDescent="0.15">
      <c r="A970" s="10"/>
      <c r="B970" s="13"/>
      <c r="C970" s="13"/>
    </row>
    <row r="971" spans="1:3" ht="13" x14ac:dyDescent="0.15">
      <c r="A971" s="10"/>
      <c r="B971" s="13"/>
      <c r="C971" s="13"/>
    </row>
    <row r="972" spans="1:3" ht="13" x14ac:dyDescent="0.15">
      <c r="A972" s="10"/>
      <c r="B972" s="13"/>
      <c r="C972" s="13"/>
    </row>
    <row r="973" spans="1:3" ht="13" x14ac:dyDescent="0.15">
      <c r="A973" s="10"/>
      <c r="B973" s="13"/>
      <c r="C973" s="13"/>
    </row>
    <row r="974" spans="1:3" ht="13" x14ac:dyDescent="0.15">
      <c r="A974" s="10"/>
      <c r="B974" s="13"/>
      <c r="C974" s="13"/>
    </row>
    <row r="975" spans="1:3" ht="13" x14ac:dyDescent="0.15">
      <c r="A975" s="10"/>
      <c r="B975" s="13"/>
      <c r="C975" s="13"/>
    </row>
    <row r="976" spans="1:3" ht="13" x14ac:dyDescent="0.15">
      <c r="A976" s="10"/>
      <c r="B976" s="13"/>
      <c r="C976" s="13"/>
    </row>
    <row r="977" spans="1:3" ht="13" x14ac:dyDescent="0.15">
      <c r="A977" s="10"/>
      <c r="B977" s="13"/>
      <c r="C977" s="13"/>
    </row>
    <row r="978" spans="1:3" ht="13" x14ac:dyDescent="0.15">
      <c r="A978" s="10"/>
      <c r="B978" s="13"/>
      <c r="C978" s="13"/>
    </row>
    <row r="979" spans="1:3" ht="13" x14ac:dyDescent="0.15">
      <c r="A979" s="10"/>
      <c r="B979" s="13"/>
      <c r="C979" s="13"/>
    </row>
    <row r="980" spans="1:3" ht="13" x14ac:dyDescent="0.15">
      <c r="A980" s="10"/>
      <c r="B980" s="13"/>
      <c r="C980" s="13"/>
    </row>
    <row r="981" spans="1:3" ht="13" x14ac:dyDescent="0.15">
      <c r="A981" s="10"/>
      <c r="B981" s="13"/>
      <c r="C981" s="13"/>
    </row>
    <row r="982" spans="1:3" ht="13" x14ac:dyDescent="0.15">
      <c r="A982" s="10"/>
      <c r="B982" s="13"/>
      <c r="C982" s="13"/>
    </row>
    <row r="983" spans="1:3" ht="13" x14ac:dyDescent="0.15">
      <c r="A983" s="10"/>
      <c r="B983" s="13"/>
      <c r="C983" s="13"/>
    </row>
    <row r="984" spans="1:3" ht="13" x14ac:dyDescent="0.15">
      <c r="A984" s="10"/>
      <c r="B984" s="13"/>
      <c r="C984" s="13"/>
    </row>
    <row r="985" spans="1:3" ht="13" x14ac:dyDescent="0.15">
      <c r="A985" s="10"/>
      <c r="B985" s="13"/>
      <c r="C985" s="13"/>
    </row>
    <row r="986" spans="1:3" ht="13" x14ac:dyDescent="0.15">
      <c r="A986" s="10"/>
      <c r="B986" s="13"/>
      <c r="C986" s="13"/>
    </row>
    <row r="987" spans="1:3" ht="13" x14ac:dyDescent="0.15">
      <c r="A987" s="10"/>
      <c r="B987" s="13"/>
      <c r="C987" s="13"/>
    </row>
    <row r="988" spans="1:3" ht="13" x14ac:dyDescent="0.15">
      <c r="A988" s="10"/>
      <c r="B988" s="13"/>
      <c r="C988" s="13"/>
    </row>
    <row r="989" spans="1:3" ht="13" x14ac:dyDescent="0.15">
      <c r="A989" s="10"/>
      <c r="B989" s="13"/>
      <c r="C989" s="13"/>
    </row>
    <row r="990" spans="1:3" ht="13" x14ac:dyDescent="0.15">
      <c r="A990" s="10"/>
      <c r="B990" s="13"/>
      <c r="C990" s="13"/>
    </row>
    <row r="991" spans="1:3" ht="13" x14ac:dyDescent="0.15">
      <c r="A991" s="10"/>
      <c r="B991" s="13"/>
      <c r="C991" s="13"/>
    </row>
    <row r="992" spans="1:3" ht="13" x14ac:dyDescent="0.15">
      <c r="A992" s="10"/>
      <c r="B992" s="13"/>
      <c r="C992" s="13"/>
    </row>
    <row r="993" spans="1:3" ht="13" x14ac:dyDescent="0.15">
      <c r="A993" s="10"/>
      <c r="B993" s="13"/>
      <c r="C993" s="13"/>
    </row>
    <row r="994" spans="1:3" ht="13" x14ac:dyDescent="0.15">
      <c r="A994" s="10"/>
      <c r="B994" s="13"/>
      <c r="C994" s="13"/>
    </row>
    <row r="995" spans="1:3" ht="13" x14ac:dyDescent="0.15">
      <c r="A995" s="10"/>
      <c r="B995" s="13"/>
      <c r="C995" s="13"/>
    </row>
    <row r="996" spans="1:3" ht="13" x14ac:dyDescent="0.15">
      <c r="A996" s="10"/>
      <c r="B996" s="13"/>
      <c r="C996" s="13"/>
    </row>
    <row r="997" spans="1:3" ht="13" x14ac:dyDescent="0.15">
      <c r="A997" s="10"/>
      <c r="B997" s="13"/>
      <c r="C997" s="13"/>
    </row>
  </sheetData>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outlinePr summaryBelow="0" summaryRight="0"/>
  </sheetPr>
  <dimension ref="A1:D997"/>
  <sheetViews>
    <sheetView workbookViewId="0"/>
  </sheetViews>
  <sheetFormatPr baseColWidth="10" defaultColWidth="12.6640625" defaultRowHeight="15.75" customHeight="1" x14ac:dyDescent="0.15"/>
  <cols>
    <col min="1" max="1" width="71.5" customWidth="1"/>
    <col min="2" max="4" width="37.6640625" customWidth="1"/>
  </cols>
  <sheetData>
    <row r="1" spans="1:4" ht="15.75" customHeight="1" x14ac:dyDescent="0.15">
      <c r="A1" s="1"/>
      <c r="B1" s="12" t="str">
        <f ca="1">IFERROR(__xludf.DUMMYFUNCTION("IMPORTRANGE(""https://docs.google.com/spreadsheets/d/1C06Vs6H0Eg3__x1-dePLdZcY_bo1r3ReCeWRxqLlaS4"",""A79!B1:B22"")"),"Layla Baldwin")</f>
        <v>Layla Baldwin</v>
      </c>
      <c r="C1" s="10" t="str">
        <f ca="1">IFERROR(__xludf.DUMMYFUNCTION("IMPORTRANGE(""https://docs.google.com/spreadsheets/u/0/d/1tjgC5crHxYL6PIwdjQvl-Lz18xb2WRifl2-5aQ8KGT8"", ""A79!B1:B22"")"),"Jake Stafford")</f>
        <v>Jake Stafford</v>
      </c>
      <c r="D1" s="2" t="s">
        <v>1</v>
      </c>
    </row>
    <row r="2" spans="1:4" ht="15.75" customHeight="1" x14ac:dyDescent="0.15">
      <c r="A2" s="3" t="s">
        <v>2</v>
      </c>
      <c r="B2" s="15" t="str">
        <f ca="1">IFERROR(__xludf.DUMMYFUNCTION("""COMPUTED_VALUE"""),"48188 - 47895 reverse")</f>
        <v>48188 - 47895 reverse</v>
      </c>
      <c r="C2" s="15" t="str">
        <f ca="1">IFERROR(__xludf.DUMMYFUNCTION("""COMPUTED_VALUE"""),"Start: 48188 Stop: 47895 REV")</f>
        <v>Start: 48188 Stop: 47895 REV</v>
      </c>
      <c r="D2" s="4"/>
    </row>
    <row r="3" spans="1:4" ht="15.75" customHeight="1" x14ac:dyDescent="0.15">
      <c r="A3" s="5" t="s">
        <v>3</v>
      </c>
      <c r="B3" s="17" t="str">
        <f ca="1">IFERROR(__xludf.DUMMYFUNCTION("""COMPUTED_VALUE"""),"79 in pham and PDB, 78 in DNAM")</f>
        <v>79 in pham and PDB, 78 in DNAM</v>
      </c>
      <c r="C3" s="17" t="str">
        <f ca="1">IFERROR(__xludf.DUMMYFUNCTION("""COMPUTED_VALUE"""),"79 in pham, 78 in DNAM")</f>
        <v>79 in pham, 78 in DNAM</v>
      </c>
      <c r="D3" s="6"/>
    </row>
    <row r="4" spans="1:4" ht="15.75" customHeight="1" x14ac:dyDescent="0.15">
      <c r="A4" s="5" t="s">
        <v>4</v>
      </c>
      <c r="B4" s="17" t="str">
        <f ca="1">IFERROR(__xludf.DUMMYFUNCTION("""COMPUTED_VALUE"""),"199267 3/21/25")</f>
        <v>199267 3/21/25</v>
      </c>
      <c r="C4" s="17" t="str">
        <f ca="1">IFERROR(__xludf.DUMMYFUNCTION("""COMPUTED_VALUE"""),"199267 3/13/25")</f>
        <v>199267 3/13/25</v>
      </c>
      <c r="D4" s="6"/>
    </row>
    <row r="5" spans="1:4" ht="15.75" customHeight="1" x14ac:dyDescent="0.15">
      <c r="A5" s="5" t="s">
        <v>5</v>
      </c>
      <c r="B5" s="17" t="str">
        <f ca="1">IFERROR(__xludf.DUMMYFUNCTION("""COMPUTED_VALUE"""),"Kovu_77")</f>
        <v>Kovu_77</v>
      </c>
      <c r="C5" s="17" t="str">
        <f ca="1">IFERROR(__xludf.DUMMYFUNCTION("""COMPUTED_VALUE"""),"Kovu_77")</f>
        <v>Kovu_77</v>
      </c>
      <c r="D5" s="6"/>
    </row>
    <row r="6" spans="1:4" ht="15.75" customHeight="1" x14ac:dyDescent="0.15">
      <c r="A6" s="5" t="s">
        <v>6</v>
      </c>
      <c r="B6" s="17" t="str">
        <f ca="1">IFERROR(__xludf.DUMMYFUNCTION("""COMPUTED_VALUE"""),"Both call")</f>
        <v>Both call</v>
      </c>
      <c r="C6" s="17" t="str">
        <f ca="1">IFERROR(__xludf.DUMMYFUNCTION("""COMPUTED_VALUE"""),"both called")</f>
        <v>both called</v>
      </c>
      <c r="D6" s="6"/>
    </row>
    <row r="7" spans="1:4" ht="15.75" customHeight="1" x14ac:dyDescent="0.15">
      <c r="A7" s="5" t="s">
        <v>7</v>
      </c>
      <c r="B7" s="17" t="str">
        <f ca="1">IFERROR(__xludf.DUMMYFUNCTION("""COMPUTED_VALUE"""),"Good overall potential, coding potential included with the start")</f>
        <v>Good overall potential, coding potential included with the start</v>
      </c>
      <c r="C7" s="17" t="str">
        <f ca="1">IFERROR(__xludf.DUMMYFUNCTION("""COMPUTED_VALUE"""),"Has potential, all is included")</f>
        <v>Has potential, all is included</v>
      </c>
      <c r="D7" s="6"/>
    </row>
    <row r="8" spans="1:4" ht="15.75" customHeight="1" x14ac:dyDescent="0.15">
      <c r="A8" s="5" t="s">
        <v>8</v>
      </c>
      <c r="B8" s="17" t="str">
        <f ca="1">IFERROR(__xludf.DUMMYFUNCTION("""COMPUTED_VALUE"""),"Yes")</f>
        <v>Yes</v>
      </c>
      <c r="C8" s="17" t="str">
        <f ca="1">IFERROR(__xludf.DUMMYFUNCTION("""COMPUTED_VALUE"""),"Yes")</f>
        <v>Yes</v>
      </c>
      <c r="D8" s="6"/>
    </row>
    <row r="9" spans="1:4" ht="15.75" customHeight="1" x14ac:dyDescent="0.15">
      <c r="A9" s="5" t="s">
        <v>9</v>
      </c>
      <c r="B9" s="17" t="str">
        <f ca="1">IFERROR(__xludf.DUMMYFUNCTION("""COMPUTED_VALUE"""),"96 bp gap ")</f>
        <v xml:space="preserve">96 bp gap </v>
      </c>
      <c r="C9" s="17" t="str">
        <f ca="1">IFERROR(__xludf.DUMMYFUNCTION("""COMPUTED_VALUE"""),"gap of 3 nucleotides")</f>
        <v>gap of 3 nucleotides</v>
      </c>
      <c r="D9" s="6"/>
    </row>
    <row r="10" spans="1:4" ht="15.75" customHeight="1" x14ac:dyDescent="0.15">
      <c r="A10" s="5" t="s">
        <v>10</v>
      </c>
      <c r="B10" s="17" t="str">
        <f ca="1">IFERROR(__xludf.DUMMYFUNCTION("""COMPUTED_VALUE"""),"Z = 2.715, final = -3.043. Best scores")</f>
        <v>Z = 2.715, final = -3.043. Best scores</v>
      </c>
      <c r="C10" s="17" t="str">
        <f ca="1">IFERROR(__xludf.DUMMYFUNCTION("""COMPUTED_VALUE"""),"z-score: 2.715 best score")</f>
        <v>z-score: 2.715 best score</v>
      </c>
      <c r="D10" s="6"/>
    </row>
    <row r="11" spans="1:4" ht="15.75" customHeight="1" x14ac:dyDescent="0.15">
      <c r="A11" s="5" t="s">
        <v>11</v>
      </c>
      <c r="B11" s="17" t="str">
        <f ca="1">IFERROR(__xludf.DUMMYFUNCTION("""COMPUTED_VALUE"""),"Kovu_77, identity = 82.47, e = 0, q1:s1")</f>
        <v>Kovu_77, identity = 82.47, e = 0, q1:s1</v>
      </c>
      <c r="C11" s="17" t="str">
        <f ca="1">IFERROR(__xludf.DUMMYFUNCTION("""COMPUTED_VALUE"""),"Kovu_77, 82.47% identity, eval: 2e-48")</f>
        <v>Kovu_77, 82.47% identity, eval: 2e-48</v>
      </c>
      <c r="D11" s="6"/>
    </row>
    <row r="12" spans="1:4" ht="15.75" customHeight="1" x14ac:dyDescent="0.15">
      <c r="A12" s="5" t="s">
        <v>12</v>
      </c>
      <c r="B12" s="17" t="str">
        <f ca="1">IFERROR(__xludf.DUMMYFUNCTION("""COMPUTED_VALUE"""),"Start conserved and called in all members.")</f>
        <v>Start conserved and called in all members.</v>
      </c>
      <c r="C12" s="17" t="str">
        <f ca="1">IFERROR(__xludf.DUMMYFUNCTION("""COMPUTED_VALUE"""),"is present and called in all members of this pham")</f>
        <v>is present and called in all members of this pham</v>
      </c>
      <c r="D12" s="6"/>
    </row>
    <row r="13" spans="1:4" ht="15.75" customHeight="1" x14ac:dyDescent="0.15">
      <c r="A13" s="5" t="s">
        <v>13</v>
      </c>
      <c r="B13" s="17" t="str">
        <f ca="1">IFERROR(__xludf.DUMMYFUNCTION("""COMPUTED_VALUE"""),"No, no reason to.")</f>
        <v>No, no reason to.</v>
      </c>
      <c r="C13" s="17" t="str">
        <f ca="1">IFERROR(__xludf.DUMMYFUNCTION("""COMPUTED_VALUE"""),"No, both programs called, longest ORF")</f>
        <v>No, both programs called, longest ORF</v>
      </c>
      <c r="D13" s="6"/>
    </row>
    <row r="14" spans="1:4" ht="15.75" customHeight="1" x14ac:dyDescent="0.15">
      <c r="A14" s="5" t="s">
        <v>14</v>
      </c>
      <c r="B14" s="17" t="str">
        <f ca="1">IFERROR(__xludf.DUMMYFUNCTION("""COMPUTED_VALUE"""),"Kovu_77, e = 1e-40")</f>
        <v>Kovu_77, e = 1e-40</v>
      </c>
      <c r="C14" s="17" t="str">
        <f ca="1">IFERROR(__xludf.DUMMYFUNCTION("""COMPUTED_VALUE"""),"Kovu_77 1e-40")</f>
        <v>Kovu_77 1e-40</v>
      </c>
      <c r="D14" s="6"/>
    </row>
    <row r="15" spans="1:4" ht="15.75" customHeight="1" x14ac:dyDescent="0.15">
      <c r="A15" s="5" t="s">
        <v>15</v>
      </c>
      <c r="B15" s="17" t="str">
        <f ca="1">IFERROR(__xludf.DUMMYFUNCTION("""COMPUTED_VALUE"""),"Kovu_77, unknown function")</f>
        <v>Kovu_77, unknown function</v>
      </c>
      <c r="C15" s="17" t="str">
        <f ca="1">IFERROR(__xludf.DUMMYFUNCTION("""COMPUTED_VALUE"""),"Kovu_77 function unknown")</f>
        <v>Kovu_77 function unknown</v>
      </c>
      <c r="D15" s="6"/>
    </row>
    <row r="16" spans="1:4" ht="15.75" customHeight="1" x14ac:dyDescent="0.15">
      <c r="A16" s="5" t="s">
        <v>16</v>
      </c>
      <c r="B16" s="17" t="str">
        <f ca="1">IFERROR(__xludf.DUMMYFUNCTION("""COMPUTED_VALUE"""),"Yes")</f>
        <v>Yes</v>
      </c>
      <c r="C16" s="17" t="str">
        <f ca="1">IFERROR(__xludf.DUMMYFUNCTION("""COMPUTED_VALUE"""),"has good synteny up to 2 genes behind and 1 gene ahead")</f>
        <v>has good synteny up to 2 genes behind and 1 gene ahead</v>
      </c>
      <c r="D16" s="6"/>
    </row>
    <row r="17" spans="1:4" ht="15.75" customHeight="1" x14ac:dyDescent="0.15">
      <c r="A17" s="5" t="s">
        <v>17</v>
      </c>
      <c r="B17" s="17" t="str">
        <f ca="1">IFERROR(__xludf.DUMMYFUNCTION("""COMPUTED_VALUE"""),"PUTATIVE TRANSCRIPTIONAL REGULATOR; TRANSCRIPTION, MARR-FAMILY, WINGED HELIX MOTIF; HET: SAL, EDO; 1.95A {STREPTOMYCES COELICOLOR}. probability = 68.77, aoq = 60, aot = 33, functional domain is in target part of alignment ")</f>
        <v xml:space="preserve">PUTATIVE TRANSCRIPTIONAL REGULATOR; TRANSCRIPTION, MARR-FAMILY, WINGED HELIX MOTIF; HET: SAL, EDO; 1.95A {STREPTOMYCES COELICOLOR}. probability = 68.77, aoq = 60, aot = 33, functional domain is in target part of alignment </v>
      </c>
      <c r="C17" s="17" t="str">
        <f ca="1">IFERROR(__xludf.DUMMYFUNCTION("""COMPUTED_VALUE"""),"Does not give any genes that match with anything in the approved functions list")</f>
        <v>Does not give any genes that match with anything in the approved functions list</v>
      </c>
      <c r="D17" s="6"/>
    </row>
    <row r="18" spans="1:4" ht="15.75" customHeight="1" x14ac:dyDescent="0.15">
      <c r="A18" s="5" t="s">
        <v>18</v>
      </c>
      <c r="B18" s="17" t="str">
        <f ca="1">IFERROR(__xludf.DUMMYFUNCTION("""COMPUTED_VALUE"""),"No ")</f>
        <v xml:space="preserve">No </v>
      </c>
      <c r="C18" s="17" t="str">
        <f ca="1">IFERROR(__xludf.DUMMYFUNCTION("""COMPUTED_VALUE"""),"none")</f>
        <v>none</v>
      </c>
      <c r="D18" s="6"/>
    </row>
    <row r="19" spans="1:4" ht="15.75" customHeight="1" x14ac:dyDescent="0.15">
      <c r="A19" s="5" t="s">
        <v>19</v>
      </c>
      <c r="B19" s="17" t="str">
        <f ca="1">IFERROR(__xludf.DUMMYFUNCTION("""COMPUTED_VALUE"""),"No")</f>
        <v>No</v>
      </c>
      <c r="C19" s="17" t="str">
        <f ca="1">IFERROR(__xludf.DUMMYFUNCTION("""COMPUTED_VALUE"""),"none")</f>
        <v>none</v>
      </c>
      <c r="D19" s="6"/>
    </row>
    <row r="20" spans="1:4" ht="15.75" customHeight="1" x14ac:dyDescent="0.15">
      <c r="A20" s="5" t="s">
        <v>20</v>
      </c>
      <c r="B20" s="17" t="str">
        <f ca="1">IFERROR(__xludf.DUMMYFUNCTION("""COMPUTED_VALUE"""),"Hypothetical protein, not enough evidence to support anything else. ")</f>
        <v xml:space="preserve">Hypothetical protein, not enough evidence to support anything else. </v>
      </c>
      <c r="C20" s="17" t="str">
        <f ca="1">IFERROR(__xludf.DUMMYFUNCTION("""COMPUTED_VALUE"""),"Hypothetical protein. Function of homologous gene is unknown, no good hit in HHpred")</f>
        <v>Hypothetical protein. Function of homologous gene is unknown, no good hit in HHpred</v>
      </c>
      <c r="D20" s="6"/>
    </row>
    <row r="21" spans="1:4" x14ac:dyDescent="0.2">
      <c r="A21" s="7"/>
      <c r="B21" s="19"/>
      <c r="C21" s="19"/>
      <c r="D21" s="8"/>
    </row>
    <row r="22" spans="1:4" ht="15.75" customHeight="1" x14ac:dyDescent="0.15">
      <c r="A22" s="9" t="s">
        <v>21</v>
      </c>
      <c r="B22" s="19" t="str">
        <f ca="1">IFERROR(__xludf.DUMMYFUNCTION("""COMPUTED_VALUE"""),"MAYBE Helix turn Helix because of HHPred but poor probability scores and nothing else supports that. ")</f>
        <v xml:space="preserve">MAYBE Helix turn Helix because of HHPred but poor probability scores and nothing else supports that. </v>
      </c>
      <c r="C22" s="19"/>
      <c r="D22" s="8"/>
    </row>
    <row r="23" spans="1:4" ht="15.75" customHeight="1" x14ac:dyDescent="0.15">
      <c r="A23" s="10"/>
      <c r="B23" s="13"/>
      <c r="C23" s="13"/>
    </row>
    <row r="24" spans="1:4" ht="15.75" customHeight="1" x14ac:dyDescent="0.15">
      <c r="A24" s="10"/>
      <c r="B24" s="13"/>
      <c r="C24" s="13"/>
    </row>
    <row r="25" spans="1:4" ht="15.75" customHeight="1" x14ac:dyDescent="0.15">
      <c r="A25" s="10"/>
      <c r="B25" s="13"/>
      <c r="C25" s="13"/>
    </row>
    <row r="26" spans="1:4" ht="15.75" customHeight="1" x14ac:dyDescent="0.15">
      <c r="A26" s="10"/>
      <c r="B26" s="13"/>
      <c r="C26" s="13"/>
    </row>
    <row r="27" spans="1:4" ht="15.75" customHeight="1" x14ac:dyDescent="0.15">
      <c r="A27" s="10"/>
      <c r="B27" s="13"/>
      <c r="C27" s="13"/>
    </row>
    <row r="28" spans="1:4" ht="15.75" customHeight="1" x14ac:dyDescent="0.15">
      <c r="A28" s="10"/>
      <c r="B28" s="13"/>
      <c r="C28" s="13"/>
    </row>
    <row r="29" spans="1:4" ht="15.75" customHeight="1" x14ac:dyDescent="0.15">
      <c r="A29" s="10"/>
      <c r="B29" s="13"/>
      <c r="C29" s="13"/>
    </row>
    <row r="30" spans="1:4" ht="15.75" customHeight="1" x14ac:dyDescent="0.15">
      <c r="A30" s="10"/>
      <c r="B30" s="13"/>
      <c r="C30" s="13"/>
    </row>
    <row r="31" spans="1:4" ht="15.75" customHeight="1" x14ac:dyDescent="0.15">
      <c r="A31" s="10"/>
      <c r="B31" s="13"/>
      <c r="C31" s="13"/>
    </row>
    <row r="32" spans="1:4" ht="15.75" customHeight="1" x14ac:dyDescent="0.15">
      <c r="A32" s="10"/>
      <c r="B32" s="13"/>
      <c r="C32" s="13"/>
    </row>
    <row r="33" spans="1:3" ht="15.75" customHeight="1" x14ac:dyDescent="0.15">
      <c r="A33" s="10"/>
      <c r="B33" s="13"/>
      <c r="C33" s="13"/>
    </row>
    <row r="34" spans="1:3" ht="15.75" customHeight="1" x14ac:dyDescent="0.15">
      <c r="A34" s="10"/>
      <c r="B34" s="13"/>
      <c r="C34" s="13"/>
    </row>
    <row r="35" spans="1:3" ht="15.75" customHeight="1" x14ac:dyDescent="0.15">
      <c r="A35" s="10"/>
      <c r="B35" s="13"/>
      <c r="C35" s="13"/>
    </row>
    <row r="36" spans="1:3" ht="15.75" customHeight="1" x14ac:dyDescent="0.15">
      <c r="A36" s="10"/>
      <c r="B36" s="13"/>
      <c r="C36" s="13"/>
    </row>
    <row r="37" spans="1:3" ht="15.75" customHeight="1" x14ac:dyDescent="0.15">
      <c r="A37" s="10"/>
      <c r="B37" s="13"/>
      <c r="C37" s="13"/>
    </row>
    <row r="38" spans="1:3" ht="15.75" customHeight="1" x14ac:dyDescent="0.15">
      <c r="A38" s="10"/>
      <c r="B38" s="13"/>
      <c r="C38" s="13"/>
    </row>
    <row r="39" spans="1:3" ht="13" x14ac:dyDescent="0.15">
      <c r="A39" s="10"/>
      <c r="B39" s="13"/>
      <c r="C39" s="13"/>
    </row>
    <row r="40" spans="1:3" ht="13" x14ac:dyDescent="0.15">
      <c r="A40" s="10"/>
      <c r="B40" s="13"/>
      <c r="C40" s="13"/>
    </row>
    <row r="41" spans="1:3" ht="13" x14ac:dyDescent="0.15">
      <c r="A41" s="10"/>
      <c r="B41" s="13"/>
      <c r="C41" s="13"/>
    </row>
    <row r="42" spans="1:3" ht="13" x14ac:dyDescent="0.15">
      <c r="A42" s="10"/>
      <c r="B42" s="13"/>
      <c r="C42" s="13"/>
    </row>
    <row r="43" spans="1:3" ht="13" x14ac:dyDescent="0.15">
      <c r="A43" s="10"/>
      <c r="B43" s="13"/>
      <c r="C43" s="13"/>
    </row>
    <row r="44" spans="1:3" ht="13" x14ac:dyDescent="0.15">
      <c r="A44" s="10"/>
      <c r="B44" s="13"/>
      <c r="C44" s="13"/>
    </row>
    <row r="45" spans="1:3" ht="13" x14ac:dyDescent="0.15">
      <c r="A45" s="10"/>
      <c r="B45" s="13"/>
      <c r="C45" s="13"/>
    </row>
    <row r="46" spans="1:3" ht="13" x14ac:dyDescent="0.15">
      <c r="A46" s="10"/>
      <c r="B46" s="13"/>
      <c r="C46" s="13"/>
    </row>
    <row r="47" spans="1:3" ht="13" x14ac:dyDescent="0.15">
      <c r="A47" s="10"/>
      <c r="B47" s="13"/>
      <c r="C47" s="13"/>
    </row>
    <row r="48" spans="1:3" ht="13" x14ac:dyDescent="0.15">
      <c r="A48" s="10"/>
      <c r="B48" s="13"/>
      <c r="C48" s="13"/>
    </row>
    <row r="49" spans="1:3" ht="13" x14ac:dyDescent="0.15">
      <c r="A49" s="10"/>
      <c r="B49" s="13"/>
      <c r="C49" s="13"/>
    </row>
    <row r="50" spans="1:3" ht="13" x14ac:dyDescent="0.15">
      <c r="A50" s="10"/>
      <c r="B50" s="13"/>
      <c r="C50" s="13"/>
    </row>
    <row r="51" spans="1:3" ht="13" x14ac:dyDescent="0.15">
      <c r="A51" s="10"/>
      <c r="B51" s="13"/>
      <c r="C51" s="13"/>
    </row>
    <row r="52" spans="1:3" ht="13" x14ac:dyDescent="0.15">
      <c r="A52" s="10"/>
      <c r="B52" s="13"/>
      <c r="C52" s="13"/>
    </row>
    <row r="53" spans="1:3" ht="13" x14ac:dyDescent="0.15">
      <c r="A53" s="10"/>
      <c r="B53" s="13"/>
      <c r="C53" s="13"/>
    </row>
    <row r="54" spans="1:3" ht="13" x14ac:dyDescent="0.15">
      <c r="A54" s="10"/>
      <c r="B54" s="13"/>
      <c r="C54" s="13"/>
    </row>
    <row r="55" spans="1:3" ht="13" x14ac:dyDescent="0.15">
      <c r="A55" s="10"/>
      <c r="B55" s="13"/>
      <c r="C55" s="13"/>
    </row>
    <row r="56" spans="1:3" ht="13" x14ac:dyDescent="0.15">
      <c r="A56" s="10"/>
      <c r="B56" s="13"/>
      <c r="C56" s="13"/>
    </row>
    <row r="57" spans="1:3" ht="13" x14ac:dyDescent="0.15">
      <c r="A57" s="10"/>
      <c r="B57" s="13"/>
      <c r="C57" s="13"/>
    </row>
    <row r="58" spans="1:3" ht="13" x14ac:dyDescent="0.15">
      <c r="A58" s="10"/>
      <c r="B58" s="13"/>
      <c r="C58" s="13"/>
    </row>
    <row r="59" spans="1:3" ht="13" x14ac:dyDescent="0.15">
      <c r="A59" s="10"/>
      <c r="B59" s="13"/>
      <c r="C59" s="13"/>
    </row>
    <row r="60" spans="1:3" ht="13" x14ac:dyDescent="0.15">
      <c r="A60" s="10"/>
      <c r="B60" s="13"/>
      <c r="C60" s="13"/>
    </row>
    <row r="61" spans="1:3" ht="13" x14ac:dyDescent="0.15">
      <c r="A61" s="10"/>
      <c r="B61" s="13"/>
      <c r="C61" s="13"/>
    </row>
    <row r="62" spans="1:3" ht="13" x14ac:dyDescent="0.15">
      <c r="A62" s="10"/>
      <c r="B62" s="13"/>
      <c r="C62" s="13"/>
    </row>
    <row r="63" spans="1:3" ht="13" x14ac:dyDescent="0.15">
      <c r="A63" s="10"/>
      <c r="B63" s="13"/>
      <c r="C63" s="13"/>
    </row>
    <row r="64" spans="1:3" ht="13" x14ac:dyDescent="0.15">
      <c r="A64" s="10"/>
      <c r="B64" s="13"/>
      <c r="C64" s="13"/>
    </row>
    <row r="65" spans="1:3" ht="13" x14ac:dyDescent="0.15">
      <c r="A65" s="10"/>
      <c r="B65" s="13"/>
      <c r="C65" s="13"/>
    </row>
    <row r="66" spans="1:3" ht="13" x14ac:dyDescent="0.15">
      <c r="A66" s="10"/>
      <c r="B66" s="13"/>
      <c r="C66" s="13"/>
    </row>
    <row r="67" spans="1:3" ht="13" x14ac:dyDescent="0.15">
      <c r="A67" s="10"/>
      <c r="B67" s="13"/>
      <c r="C67" s="13"/>
    </row>
    <row r="68" spans="1:3" ht="13" x14ac:dyDescent="0.15">
      <c r="A68" s="10"/>
      <c r="B68" s="13"/>
      <c r="C68" s="13"/>
    </row>
    <row r="69" spans="1:3" ht="13" x14ac:dyDescent="0.15">
      <c r="A69" s="10"/>
      <c r="B69" s="13"/>
      <c r="C69" s="13"/>
    </row>
    <row r="70" spans="1:3" ht="13" x14ac:dyDescent="0.15">
      <c r="A70" s="10"/>
      <c r="B70" s="13"/>
      <c r="C70" s="13"/>
    </row>
    <row r="71" spans="1:3" ht="13" x14ac:dyDescent="0.15">
      <c r="A71" s="10"/>
      <c r="B71" s="13"/>
      <c r="C71" s="13"/>
    </row>
    <row r="72" spans="1:3" ht="13" x14ac:dyDescent="0.15">
      <c r="A72" s="10"/>
      <c r="B72" s="13"/>
      <c r="C72" s="13"/>
    </row>
    <row r="73" spans="1:3" ht="13" x14ac:dyDescent="0.15">
      <c r="A73" s="10"/>
      <c r="B73" s="13"/>
      <c r="C73" s="13"/>
    </row>
    <row r="74" spans="1:3" ht="13" x14ac:dyDescent="0.15">
      <c r="A74" s="10"/>
      <c r="B74" s="13"/>
      <c r="C74" s="13"/>
    </row>
    <row r="75" spans="1:3" ht="13" x14ac:dyDescent="0.15">
      <c r="A75" s="10"/>
      <c r="B75" s="13"/>
      <c r="C75" s="13"/>
    </row>
    <row r="76" spans="1:3" ht="13" x14ac:dyDescent="0.15">
      <c r="A76" s="10"/>
      <c r="B76" s="13"/>
      <c r="C76" s="13"/>
    </row>
    <row r="77" spans="1:3" ht="13" x14ac:dyDescent="0.15">
      <c r="A77" s="10"/>
      <c r="B77" s="13"/>
      <c r="C77" s="13"/>
    </row>
    <row r="78" spans="1:3" ht="13" x14ac:dyDescent="0.15">
      <c r="A78" s="10"/>
      <c r="B78" s="13"/>
      <c r="C78" s="13"/>
    </row>
    <row r="79" spans="1:3" ht="13" x14ac:dyDescent="0.15">
      <c r="A79" s="10"/>
      <c r="B79" s="13"/>
      <c r="C79" s="13"/>
    </row>
    <row r="80" spans="1:3" ht="13" x14ac:dyDescent="0.15">
      <c r="A80" s="10"/>
      <c r="B80" s="13"/>
      <c r="C80" s="13"/>
    </row>
    <row r="81" spans="1:3" ht="13" x14ac:dyDescent="0.15">
      <c r="A81" s="10"/>
      <c r="B81" s="13"/>
      <c r="C81" s="13"/>
    </row>
    <row r="82" spans="1:3" ht="13" x14ac:dyDescent="0.15">
      <c r="A82" s="10"/>
      <c r="B82" s="13"/>
      <c r="C82" s="13"/>
    </row>
    <row r="83" spans="1:3" ht="13" x14ac:dyDescent="0.15">
      <c r="A83" s="10"/>
      <c r="B83" s="13"/>
      <c r="C83" s="13"/>
    </row>
    <row r="84" spans="1:3" ht="13" x14ac:dyDescent="0.15">
      <c r="A84" s="10"/>
      <c r="B84" s="13"/>
      <c r="C84" s="13"/>
    </row>
    <row r="85" spans="1:3" ht="13" x14ac:dyDescent="0.15">
      <c r="A85" s="10"/>
      <c r="B85" s="13"/>
      <c r="C85" s="13"/>
    </row>
    <row r="86" spans="1:3" ht="13" x14ac:dyDescent="0.15">
      <c r="A86" s="10"/>
      <c r="B86" s="13"/>
      <c r="C86" s="13"/>
    </row>
    <row r="87" spans="1:3" ht="13" x14ac:dyDescent="0.15">
      <c r="A87" s="10"/>
      <c r="B87" s="13"/>
      <c r="C87" s="13"/>
    </row>
    <row r="88" spans="1:3" ht="13" x14ac:dyDescent="0.15">
      <c r="A88" s="10"/>
      <c r="B88" s="13"/>
      <c r="C88" s="13"/>
    </row>
    <row r="89" spans="1:3" ht="13" x14ac:dyDescent="0.15">
      <c r="A89" s="10"/>
      <c r="B89" s="13"/>
      <c r="C89" s="13"/>
    </row>
    <row r="90" spans="1:3" ht="13" x14ac:dyDescent="0.15">
      <c r="A90" s="10"/>
      <c r="B90" s="13"/>
      <c r="C90" s="13"/>
    </row>
    <row r="91" spans="1:3" ht="13" x14ac:dyDescent="0.15">
      <c r="A91" s="10"/>
      <c r="B91" s="13"/>
      <c r="C91" s="13"/>
    </row>
    <row r="92" spans="1:3" ht="13" x14ac:dyDescent="0.15">
      <c r="A92" s="10"/>
      <c r="B92" s="13"/>
      <c r="C92" s="13"/>
    </row>
    <row r="93" spans="1:3" ht="13" x14ac:dyDescent="0.15">
      <c r="A93" s="10"/>
      <c r="B93" s="13"/>
      <c r="C93" s="13"/>
    </row>
    <row r="94" spans="1:3" ht="13" x14ac:dyDescent="0.15">
      <c r="A94" s="10"/>
      <c r="B94" s="13"/>
      <c r="C94" s="13"/>
    </row>
    <row r="95" spans="1:3" ht="13" x14ac:dyDescent="0.15">
      <c r="A95" s="10"/>
      <c r="B95" s="13"/>
      <c r="C95" s="13"/>
    </row>
    <row r="96" spans="1:3" ht="13" x14ac:dyDescent="0.15">
      <c r="A96" s="10"/>
      <c r="B96" s="13"/>
      <c r="C96" s="13"/>
    </row>
    <row r="97" spans="1:3" ht="13" x14ac:dyDescent="0.15">
      <c r="A97" s="10"/>
      <c r="B97" s="13"/>
      <c r="C97" s="13"/>
    </row>
    <row r="98" spans="1:3" ht="13" x14ac:dyDescent="0.15">
      <c r="A98" s="10"/>
      <c r="B98" s="13"/>
      <c r="C98" s="13"/>
    </row>
    <row r="99" spans="1:3" ht="13" x14ac:dyDescent="0.15">
      <c r="A99" s="10"/>
      <c r="B99" s="13"/>
      <c r="C99" s="13"/>
    </row>
    <row r="100" spans="1:3" ht="13" x14ac:dyDescent="0.15">
      <c r="A100" s="10"/>
      <c r="B100" s="13"/>
      <c r="C100" s="13"/>
    </row>
    <row r="101" spans="1:3" ht="13" x14ac:dyDescent="0.15">
      <c r="A101" s="10"/>
      <c r="B101" s="13"/>
      <c r="C101" s="13"/>
    </row>
    <row r="102" spans="1:3" ht="13" x14ac:dyDescent="0.15">
      <c r="A102" s="10"/>
      <c r="B102" s="13"/>
      <c r="C102" s="13"/>
    </row>
    <row r="103" spans="1:3" ht="13" x14ac:dyDescent="0.15">
      <c r="A103" s="10"/>
      <c r="B103" s="13"/>
      <c r="C103" s="13"/>
    </row>
    <row r="104" spans="1:3" ht="13" x14ac:dyDescent="0.15">
      <c r="A104" s="10"/>
      <c r="B104" s="13"/>
      <c r="C104" s="13"/>
    </row>
    <row r="105" spans="1:3" ht="13" x14ac:dyDescent="0.15">
      <c r="A105" s="10"/>
      <c r="B105" s="13"/>
      <c r="C105" s="13"/>
    </row>
    <row r="106" spans="1:3" ht="13" x14ac:dyDescent="0.15">
      <c r="A106" s="10"/>
      <c r="B106" s="13"/>
      <c r="C106" s="13"/>
    </row>
    <row r="107" spans="1:3" ht="13" x14ac:dyDescent="0.15">
      <c r="A107" s="10"/>
      <c r="B107" s="13"/>
      <c r="C107" s="13"/>
    </row>
    <row r="108" spans="1:3" ht="13" x14ac:dyDescent="0.15">
      <c r="A108" s="10"/>
      <c r="B108" s="13"/>
      <c r="C108" s="13"/>
    </row>
    <row r="109" spans="1:3" ht="13" x14ac:dyDescent="0.15">
      <c r="A109" s="10"/>
      <c r="B109" s="13"/>
      <c r="C109" s="13"/>
    </row>
    <row r="110" spans="1:3" ht="13" x14ac:dyDescent="0.15">
      <c r="A110" s="10"/>
      <c r="B110" s="13"/>
      <c r="C110" s="13"/>
    </row>
    <row r="111" spans="1:3" ht="13" x14ac:dyDescent="0.15">
      <c r="A111" s="10"/>
      <c r="B111" s="13"/>
      <c r="C111" s="13"/>
    </row>
    <row r="112" spans="1:3" ht="13" x14ac:dyDescent="0.15">
      <c r="A112" s="10"/>
      <c r="B112" s="13"/>
      <c r="C112" s="13"/>
    </row>
    <row r="113" spans="1:3" ht="13" x14ac:dyDescent="0.15">
      <c r="A113" s="10"/>
      <c r="B113" s="13"/>
      <c r="C113" s="13"/>
    </row>
    <row r="114" spans="1:3" ht="13" x14ac:dyDescent="0.15">
      <c r="A114" s="10"/>
      <c r="B114" s="13"/>
      <c r="C114" s="13"/>
    </row>
    <row r="115" spans="1:3" ht="13" x14ac:dyDescent="0.15">
      <c r="A115" s="10"/>
      <c r="B115" s="13"/>
      <c r="C115" s="13"/>
    </row>
    <row r="116" spans="1:3" ht="13" x14ac:dyDescent="0.15">
      <c r="A116" s="10"/>
      <c r="B116" s="13"/>
      <c r="C116" s="13"/>
    </row>
    <row r="117" spans="1:3" ht="13" x14ac:dyDescent="0.15">
      <c r="A117" s="10"/>
      <c r="B117" s="13"/>
      <c r="C117" s="13"/>
    </row>
    <row r="118" spans="1:3" ht="13" x14ac:dyDescent="0.15">
      <c r="A118" s="10"/>
      <c r="B118" s="13"/>
      <c r="C118" s="13"/>
    </row>
    <row r="119" spans="1:3" ht="13" x14ac:dyDescent="0.15">
      <c r="A119" s="10"/>
      <c r="B119" s="13"/>
      <c r="C119" s="13"/>
    </row>
    <row r="120" spans="1:3" ht="13" x14ac:dyDescent="0.15">
      <c r="A120" s="10"/>
      <c r="B120" s="13"/>
      <c r="C120" s="13"/>
    </row>
    <row r="121" spans="1:3" ht="13" x14ac:dyDescent="0.15">
      <c r="A121" s="10"/>
      <c r="B121" s="13"/>
      <c r="C121" s="13"/>
    </row>
    <row r="122" spans="1:3" ht="13" x14ac:dyDescent="0.15">
      <c r="A122" s="10"/>
      <c r="B122" s="13"/>
      <c r="C122" s="13"/>
    </row>
    <row r="123" spans="1:3" ht="13" x14ac:dyDescent="0.15">
      <c r="A123" s="10"/>
      <c r="B123" s="13"/>
      <c r="C123" s="13"/>
    </row>
    <row r="124" spans="1:3" ht="13" x14ac:dyDescent="0.15">
      <c r="A124" s="10"/>
      <c r="B124" s="13"/>
      <c r="C124" s="13"/>
    </row>
    <row r="125" spans="1:3" ht="13" x14ac:dyDescent="0.15">
      <c r="A125" s="10"/>
      <c r="B125" s="13"/>
      <c r="C125" s="13"/>
    </row>
    <row r="126" spans="1:3" ht="13" x14ac:dyDescent="0.15">
      <c r="A126" s="10"/>
      <c r="B126" s="13"/>
      <c r="C126" s="13"/>
    </row>
    <row r="127" spans="1:3" ht="13" x14ac:dyDescent="0.15">
      <c r="A127" s="10"/>
      <c r="B127" s="13"/>
      <c r="C127" s="13"/>
    </row>
    <row r="128" spans="1:3" ht="13" x14ac:dyDescent="0.15">
      <c r="A128" s="10"/>
      <c r="B128" s="13"/>
      <c r="C128" s="13"/>
    </row>
    <row r="129" spans="1:3" ht="13" x14ac:dyDescent="0.15">
      <c r="A129" s="10"/>
      <c r="B129" s="13"/>
      <c r="C129" s="13"/>
    </row>
    <row r="130" spans="1:3" ht="13" x14ac:dyDescent="0.15">
      <c r="A130" s="10"/>
      <c r="B130" s="13"/>
      <c r="C130" s="13"/>
    </row>
    <row r="131" spans="1:3" ht="13" x14ac:dyDescent="0.15">
      <c r="A131" s="10"/>
      <c r="B131" s="13"/>
      <c r="C131" s="13"/>
    </row>
    <row r="132" spans="1:3" ht="13" x14ac:dyDescent="0.15">
      <c r="A132" s="10"/>
      <c r="B132" s="13"/>
      <c r="C132" s="13"/>
    </row>
    <row r="133" spans="1:3" ht="13" x14ac:dyDescent="0.15">
      <c r="A133" s="10"/>
      <c r="B133" s="13"/>
      <c r="C133" s="13"/>
    </row>
    <row r="134" spans="1:3" ht="13" x14ac:dyDescent="0.15">
      <c r="A134" s="10"/>
      <c r="B134" s="13"/>
      <c r="C134" s="13"/>
    </row>
    <row r="135" spans="1:3" ht="13" x14ac:dyDescent="0.15">
      <c r="A135" s="10"/>
      <c r="B135" s="13"/>
      <c r="C135" s="13"/>
    </row>
    <row r="136" spans="1:3" ht="13" x14ac:dyDescent="0.15">
      <c r="A136" s="10"/>
      <c r="B136" s="13"/>
      <c r="C136" s="13"/>
    </row>
    <row r="137" spans="1:3" ht="13" x14ac:dyDescent="0.15">
      <c r="A137" s="10"/>
      <c r="B137" s="13"/>
      <c r="C137" s="13"/>
    </row>
    <row r="138" spans="1:3" ht="13" x14ac:dyDescent="0.15">
      <c r="A138" s="10"/>
      <c r="B138" s="13"/>
      <c r="C138" s="13"/>
    </row>
    <row r="139" spans="1:3" ht="13" x14ac:dyDescent="0.15">
      <c r="A139" s="10"/>
      <c r="B139" s="13"/>
      <c r="C139" s="13"/>
    </row>
    <row r="140" spans="1:3" ht="13" x14ac:dyDescent="0.15">
      <c r="A140" s="10"/>
      <c r="B140" s="13"/>
      <c r="C140" s="13"/>
    </row>
    <row r="141" spans="1:3" ht="13" x14ac:dyDescent="0.15">
      <c r="A141" s="10"/>
      <c r="B141" s="13"/>
      <c r="C141" s="13"/>
    </row>
    <row r="142" spans="1:3" ht="13" x14ac:dyDescent="0.15">
      <c r="A142" s="10"/>
      <c r="B142" s="13"/>
      <c r="C142" s="13"/>
    </row>
    <row r="143" spans="1:3" ht="13" x14ac:dyDescent="0.15">
      <c r="A143" s="10"/>
      <c r="B143" s="13"/>
      <c r="C143" s="13"/>
    </row>
    <row r="144" spans="1:3" ht="13" x14ac:dyDescent="0.15">
      <c r="A144" s="10"/>
      <c r="B144" s="13"/>
      <c r="C144" s="13"/>
    </row>
    <row r="145" spans="1:3" ht="13" x14ac:dyDescent="0.15">
      <c r="A145" s="10"/>
      <c r="B145" s="13"/>
      <c r="C145" s="13"/>
    </row>
    <row r="146" spans="1:3" ht="13" x14ac:dyDescent="0.15">
      <c r="A146" s="10"/>
      <c r="B146" s="13"/>
      <c r="C146" s="13"/>
    </row>
    <row r="147" spans="1:3" ht="13" x14ac:dyDescent="0.15">
      <c r="A147" s="10"/>
      <c r="B147" s="13"/>
      <c r="C147" s="13"/>
    </row>
    <row r="148" spans="1:3" ht="13" x14ac:dyDescent="0.15">
      <c r="A148" s="10"/>
      <c r="B148" s="13"/>
      <c r="C148" s="13"/>
    </row>
    <row r="149" spans="1:3" ht="13" x14ac:dyDescent="0.15">
      <c r="A149" s="10"/>
      <c r="B149" s="13"/>
      <c r="C149" s="13"/>
    </row>
    <row r="150" spans="1:3" ht="13" x14ac:dyDescent="0.15">
      <c r="A150" s="10"/>
      <c r="B150" s="13"/>
      <c r="C150" s="13"/>
    </row>
    <row r="151" spans="1:3" ht="13" x14ac:dyDescent="0.15">
      <c r="A151" s="10"/>
      <c r="B151" s="13"/>
      <c r="C151" s="13"/>
    </row>
    <row r="152" spans="1:3" ht="13" x14ac:dyDescent="0.15">
      <c r="A152" s="10"/>
      <c r="B152" s="13"/>
      <c r="C152" s="13"/>
    </row>
    <row r="153" spans="1:3" ht="13" x14ac:dyDescent="0.15">
      <c r="A153" s="10"/>
      <c r="B153" s="13"/>
      <c r="C153" s="13"/>
    </row>
    <row r="154" spans="1:3" ht="13" x14ac:dyDescent="0.15">
      <c r="A154" s="10"/>
      <c r="B154" s="13"/>
      <c r="C154" s="13"/>
    </row>
    <row r="155" spans="1:3" ht="13" x14ac:dyDescent="0.15">
      <c r="A155" s="10"/>
      <c r="B155" s="13"/>
      <c r="C155" s="13"/>
    </row>
    <row r="156" spans="1:3" ht="13" x14ac:dyDescent="0.15">
      <c r="A156" s="10"/>
      <c r="B156" s="13"/>
      <c r="C156" s="13"/>
    </row>
    <row r="157" spans="1:3" ht="13" x14ac:dyDescent="0.15">
      <c r="A157" s="10"/>
      <c r="B157" s="13"/>
      <c r="C157" s="13"/>
    </row>
    <row r="158" spans="1:3" ht="13" x14ac:dyDescent="0.15">
      <c r="A158" s="10"/>
      <c r="B158" s="13"/>
      <c r="C158" s="13"/>
    </row>
    <row r="159" spans="1:3" ht="13" x14ac:dyDescent="0.15">
      <c r="A159" s="10"/>
      <c r="B159" s="13"/>
      <c r="C159" s="13"/>
    </row>
    <row r="160" spans="1:3" ht="13" x14ac:dyDescent="0.15">
      <c r="A160" s="10"/>
      <c r="B160" s="13"/>
      <c r="C160" s="13"/>
    </row>
    <row r="161" spans="1:3" ht="13" x14ac:dyDescent="0.15">
      <c r="A161" s="10"/>
      <c r="B161" s="13"/>
      <c r="C161" s="13"/>
    </row>
    <row r="162" spans="1:3" ht="13" x14ac:dyDescent="0.15">
      <c r="A162" s="10"/>
      <c r="B162" s="13"/>
      <c r="C162" s="13"/>
    </row>
    <row r="163" spans="1:3" ht="13" x14ac:dyDescent="0.15">
      <c r="A163" s="10"/>
      <c r="B163" s="13"/>
      <c r="C163" s="13"/>
    </row>
    <row r="164" spans="1:3" ht="13" x14ac:dyDescent="0.15">
      <c r="A164" s="10"/>
      <c r="B164" s="13"/>
      <c r="C164" s="13"/>
    </row>
    <row r="165" spans="1:3" ht="13" x14ac:dyDescent="0.15">
      <c r="A165" s="10"/>
      <c r="B165" s="13"/>
      <c r="C165" s="13"/>
    </row>
    <row r="166" spans="1:3" ht="13" x14ac:dyDescent="0.15">
      <c r="A166" s="10"/>
      <c r="B166" s="13"/>
      <c r="C166" s="13"/>
    </row>
    <row r="167" spans="1:3" ht="13" x14ac:dyDescent="0.15">
      <c r="A167" s="10"/>
      <c r="B167" s="13"/>
      <c r="C167" s="13"/>
    </row>
    <row r="168" spans="1:3" ht="13" x14ac:dyDescent="0.15">
      <c r="A168" s="10"/>
      <c r="B168" s="13"/>
      <c r="C168" s="13"/>
    </row>
    <row r="169" spans="1:3" ht="13" x14ac:dyDescent="0.15">
      <c r="A169" s="10"/>
      <c r="B169" s="13"/>
      <c r="C169" s="13"/>
    </row>
    <row r="170" spans="1:3" ht="13" x14ac:dyDescent="0.15">
      <c r="A170" s="10"/>
      <c r="B170" s="13"/>
      <c r="C170" s="13"/>
    </row>
    <row r="171" spans="1:3" ht="13" x14ac:dyDescent="0.15">
      <c r="A171" s="10"/>
      <c r="B171" s="13"/>
      <c r="C171" s="13"/>
    </row>
    <row r="172" spans="1:3" ht="13" x14ac:dyDescent="0.15">
      <c r="A172" s="10"/>
      <c r="B172" s="13"/>
      <c r="C172" s="13"/>
    </row>
    <row r="173" spans="1:3" ht="13" x14ac:dyDescent="0.15">
      <c r="A173" s="10"/>
      <c r="B173" s="13"/>
      <c r="C173" s="13"/>
    </row>
    <row r="174" spans="1:3" ht="13" x14ac:dyDescent="0.15">
      <c r="A174" s="10"/>
      <c r="B174" s="13"/>
      <c r="C174" s="13"/>
    </row>
    <row r="175" spans="1:3" ht="13" x14ac:dyDescent="0.15">
      <c r="A175" s="10"/>
      <c r="B175" s="13"/>
      <c r="C175" s="13"/>
    </row>
    <row r="176" spans="1:3" ht="13" x14ac:dyDescent="0.15">
      <c r="A176" s="10"/>
      <c r="B176" s="13"/>
      <c r="C176" s="13"/>
    </row>
    <row r="177" spans="1:3" ht="13" x14ac:dyDescent="0.15">
      <c r="A177" s="10"/>
      <c r="B177" s="13"/>
      <c r="C177" s="13"/>
    </row>
    <row r="178" spans="1:3" ht="13" x14ac:dyDescent="0.15">
      <c r="A178" s="10"/>
      <c r="B178" s="13"/>
      <c r="C178" s="13"/>
    </row>
    <row r="179" spans="1:3" ht="13" x14ac:dyDescent="0.15">
      <c r="A179" s="10"/>
      <c r="B179" s="13"/>
      <c r="C179" s="13"/>
    </row>
    <row r="180" spans="1:3" ht="13" x14ac:dyDescent="0.15">
      <c r="A180" s="10"/>
      <c r="B180" s="13"/>
      <c r="C180" s="13"/>
    </row>
    <row r="181" spans="1:3" ht="13" x14ac:dyDescent="0.15">
      <c r="A181" s="10"/>
      <c r="B181" s="13"/>
      <c r="C181" s="13"/>
    </row>
    <row r="182" spans="1:3" ht="13" x14ac:dyDescent="0.15">
      <c r="A182" s="10"/>
      <c r="B182" s="13"/>
      <c r="C182" s="13"/>
    </row>
    <row r="183" spans="1:3" ht="13" x14ac:dyDescent="0.15">
      <c r="A183" s="10"/>
      <c r="B183" s="13"/>
      <c r="C183" s="13"/>
    </row>
    <row r="184" spans="1:3" ht="13" x14ac:dyDescent="0.15">
      <c r="A184" s="10"/>
      <c r="B184" s="13"/>
      <c r="C184" s="13"/>
    </row>
    <row r="185" spans="1:3" ht="13" x14ac:dyDescent="0.15">
      <c r="A185" s="10"/>
      <c r="B185" s="13"/>
      <c r="C185" s="13"/>
    </row>
    <row r="186" spans="1:3" ht="13" x14ac:dyDescent="0.15">
      <c r="A186" s="10"/>
      <c r="B186" s="13"/>
      <c r="C186" s="13"/>
    </row>
    <row r="187" spans="1:3" ht="13" x14ac:dyDescent="0.15">
      <c r="A187" s="10"/>
      <c r="B187" s="13"/>
      <c r="C187" s="13"/>
    </row>
    <row r="188" spans="1:3" ht="13" x14ac:dyDescent="0.15">
      <c r="A188" s="10"/>
      <c r="B188" s="13"/>
      <c r="C188" s="13"/>
    </row>
    <row r="189" spans="1:3" ht="13" x14ac:dyDescent="0.15">
      <c r="A189" s="10"/>
      <c r="B189" s="13"/>
      <c r="C189" s="13"/>
    </row>
    <row r="190" spans="1:3" ht="13" x14ac:dyDescent="0.15">
      <c r="A190" s="10"/>
      <c r="B190" s="13"/>
      <c r="C190" s="13"/>
    </row>
    <row r="191" spans="1:3" ht="13" x14ac:dyDescent="0.15">
      <c r="A191" s="10"/>
      <c r="B191" s="13"/>
      <c r="C191" s="13"/>
    </row>
    <row r="192" spans="1:3" ht="13" x14ac:dyDescent="0.15">
      <c r="A192" s="10"/>
      <c r="B192" s="13"/>
      <c r="C192" s="13"/>
    </row>
    <row r="193" spans="1:3" ht="13" x14ac:dyDescent="0.15">
      <c r="A193" s="10"/>
      <c r="B193" s="13"/>
      <c r="C193" s="13"/>
    </row>
    <row r="194" spans="1:3" ht="13" x14ac:dyDescent="0.15">
      <c r="A194" s="10"/>
      <c r="B194" s="13"/>
      <c r="C194" s="13"/>
    </row>
    <row r="195" spans="1:3" ht="13" x14ac:dyDescent="0.15">
      <c r="A195" s="10"/>
      <c r="B195" s="13"/>
      <c r="C195" s="13"/>
    </row>
    <row r="196" spans="1:3" ht="13" x14ac:dyDescent="0.15">
      <c r="A196" s="10"/>
      <c r="B196" s="13"/>
      <c r="C196" s="13"/>
    </row>
    <row r="197" spans="1:3" ht="13" x14ac:dyDescent="0.15">
      <c r="A197" s="10"/>
      <c r="B197" s="13"/>
      <c r="C197" s="13"/>
    </row>
    <row r="198" spans="1:3" ht="13" x14ac:dyDescent="0.15">
      <c r="A198" s="10"/>
      <c r="B198" s="13"/>
      <c r="C198" s="13"/>
    </row>
    <row r="199" spans="1:3" ht="13" x14ac:dyDescent="0.15">
      <c r="A199" s="10"/>
      <c r="B199" s="13"/>
      <c r="C199" s="13"/>
    </row>
    <row r="200" spans="1:3" ht="13" x14ac:dyDescent="0.15">
      <c r="A200" s="10"/>
      <c r="B200" s="13"/>
      <c r="C200" s="13"/>
    </row>
    <row r="201" spans="1:3" ht="13" x14ac:dyDescent="0.15">
      <c r="A201" s="10"/>
      <c r="B201" s="13"/>
      <c r="C201" s="13"/>
    </row>
    <row r="202" spans="1:3" ht="13" x14ac:dyDescent="0.15">
      <c r="A202" s="10"/>
      <c r="B202" s="13"/>
      <c r="C202" s="13"/>
    </row>
    <row r="203" spans="1:3" ht="13" x14ac:dyDescent="0.15">
      <c r="A203" s="10"/>
      <c r="B203" s="13"/>
      <c r="C203" s="13"/>
    </row>
    <row r="204" spans="1:3" ht="13" x14ac:dyDescent="0.15">
      <c r="A204" s="10"/>
      <c r="B204" s="13"/>
      <c r="C204" s="13"/>
    </row>
    <row r="205" spans="1:3" ht="13" x14ac:dyDescent="0.15">
      <c r="A205" s="10"/>
      <c r="B205" s="13"/>
      <c r="C205" s="13"/>
    </row>
    <row r="206" spans="1:3" ht="13" x14ac:dyDescent="0.15">
      <c r="A206" s="10"/>
      <c r="B206" s="13"/>
      <c r="C206" s="13"/>
    </row>
    <row r="207" spans="1:3" ht="13" x14ac:dyDescent="0.15">
      <c r="A207" s="10"/>
      <c r="B207" s="13"/>
      <c r="C207" s="13"/>
    </row>
    <row r="208" spans="1:3" ht="13" x14ac:dyDescent="0.15">
      <c r="A208" s="10"/>
      <c r="B208" s="13"/>
      <c r="C208" s="13"/>
    </row>
    <row r="209" spans="1:3" ht="13" x14ac:dyDescent="0.15">
      <c r="A209" s="10"/>
      <c r="B209" s="13"/>
      <c r="C209" s="13"/>
    </row>
    <row r="210" spans="1:3" ht="13" x14ac:dyDescent="0.15">
      <c r="A210" s="10"/>
      <c r="B210" s="13"/>
      <c r="C210" s="13"/>
    </row>
    <row r="211" spans="1:3" ht="13" x14ac:dyDescent="0.15">
      <c r="A211" s="10"/>
      <c r="B211" s="13"/>
      <c r="C211" s="13"/>
    </row>
    <row r="212" spans="1:3" ht="13" x14ac:dyDescent="0.15">
      <c r="A212" s="10"/>
      <c r="B212" s="13"/>
      <c r="C212" s="13"/>
    </row>
    <row r="213" spans="1:3" ht="13" x14ac:dyDescent="0.15">
      <c r="A213" s="10"/>
      <c r="B213" s="13"/>
      <c r="C213" s="13"/>
    </row>
    <row r="214" spans="1:3" ht="13" x14ac:dyDescent="0.15">
      <c r="A214" s="10"/>
      <c r="B214" s="13"/>
      <c r="C214" s="13"/>
    </row>
    <row r="215" spans="1:3" ht="13" x14ac:dyDescent="0.15">
      <c r="A215" s="10"/>
      <c r="B215" s="13"/>
      <c r="C215" s="13"/>
    </row>
    <row r="216" spans="1:3" ht="13" x14ac:dyDescent="0.15">
      <c r="A216" s="10"/>
      <c r="B216" s="13"/>
      <c r="C216" s="13"/>
    </row>
    <row r="217" spans="1:3" ht="13" x14ac:dyDescent="0.15">
      <c r="A217" s="10"/>
      <c r="B217" s="13"/>
      <c r="C217" s="13"/>
    </row>
    <row r="218" spans="1:3" ht="13" x14ac:dyDescent="0.15">
      <c r="A218" s="10"/>
      <c r="B218" s="13"/>
      <c r="C218" s="13"/>
    </row>
    <row r="219" spans="1:3" ht="13" x14ac:dyDescent="0.15">
      <c r="A219" s="10"/>
      <c r="B219" s="13"/>
      <c r="C219" s="13"/>
    </row>
    <row r="220" spans="1:3" ht="13" x14ac:dyDescent="0.15">
      <c r="A220" s="10"/>
      <c r="B220" s="13"/>
      <c r="C220" s="13"/>
    </row>
    <row r="221" spans="1:3" ht="13" x14ac:dyDescent="0.15">
      <c r="A221" s="10"/>
      <c r="B221" s="13"/>
      <c r="C221" s="13"/>
    </row>
    <row r="222" spans="1:3" ht="13" x14ac:dyDescent="0.15">
      <c r="A222" s="10"/>
      <c r="B222" s="13"/>
      <c r="C222" s="13"/>
    </row>
    <row r="223" spans="1:3" ht="13" x14ac:dyDescent="0.15">
      <c r="A223" s="10"/>
      <c r="B223" s="13"/>
      <c r="C223" s="13"/>
    </row>
    <row r="224" spans="1:3" ht="13" x14ac:dyDescent="0.15">
      <c r="A224" s="10"/>
      <c r="B224" s="13"/>
      <c r="C224" s="13"/>
    </row>
    <row r="225" spans="1:3" ht="13" x14ac:dyDescent="0.15">
      <c r="A225" s="10"/>
      <c r="B225" s="13"/>
      <c r="C225" s="13"/>
    </row>
    <row r="226" spans="1:3" ht="13" x14ac:dyDescent="0.15">
      <c r="A226" s="10"/>
      <c r="B226" s="13"/>
      <c r="C226" s="13"/>
    </row>
    <row r="227" spans="1:3" ht="13" x14ac:dyDescent="0.15">
      <c r="A227" s="10"/>
      <c r="B227" s="13"/>
      <c r="C227" s="13"/>
    </row>
    <row r="228" spans="1:3" ht="13" x14ac:dyDescent="0.15">
      <c r="A228" s="10"/>
      <c r="B228" s="13"/>
      <c r="C228" s="13"/>
    </row>
    <row r="229" spans="1:3" ht="13" x14ac:dyDescent="0.15">
      <c r="A229" s="10"/>
      <c r="B229" s="13"/>
      <c r="C229" s="13"/>
    </row>
    <row r="230" spans="1:3" ht="13" x14ac:dyDescent="0.15">
      <c r="A230" s="10"/>
      <c r="B230" s="13"/>
      <c r="C230" s="13"/>
    </row>
    <row r="231" spans="1:3" ht="13" x14ac:dyDescent="0.15">
      <c r="A231" s="10"/>
      <c r="B231" s="13"/>
      <c r="C231" s="13"/>
    </row>
    <row r="232" spans="1:3" ht="13" x14ac:dyDescent="0.15">
      <c r="A232" s="10"/>
      <c r="B232" s="13"/>
      <c r="C232" s="13"/>
    </row>
    <row r="233" spans="1:3" ht="13" x14ac:dyDescent="0.15">
      <c r="A233" s="10"/>
      <c r="B233" s="13"/>
      <c r="C233" s="13"/>
    </row>
    <row r="234" spans="1:3" ht="13" x14ac:dyDescent="0.15">
      <c r="A234" s="10"/>
      <c r="B234" s="13"/>
      <c r="C234" s="13"/>
    </row>
    <row r="235" spans="1:3" ht="13" x14ac:dyDescent="0.15">
      <c r="A235" s="10"/>
      <c r="B235" s="13"/>
      <c r="C235" s="13"/>
    </row>
    <row r="236" spans="1:3" ht="13" x14ac:dyDescent="0.15">
      <c r="A236" s="10"/>
      <c r="B236" s="13"/>
      <c r="C236" s="13"/>
    </row>
    <row r="237" spans="1:3" ht="13" x14ac:dyDescent="0.15">
      <c r="A237" s="10"/>
      <c r="B237" s="13"/>
      <c r="C237" s="13"/>
    </row>
    <row r="238" spans="1:3" ht="13" x14ac:dyDescent="0.15">
      <c r="A238" s="10"/>
      <c r="B238" s="13"/>
      <c r="C238" s="13"/>
    </row>
    <row r="239" spans="1:3" ht="13" x14ac:dyDescent="0.15">
      <c r="A239" s="10"/>
      <c r="B239" s="13"/>
      <c r="C239" s="13"/>
    </row>
    <row r="240" spans="1:3" ht="13" x14ac:dyDescent="0.15">
      <c r="A240" s="10"/>
      <c r="B240" s="13"/>
      <c r="C240" s="13"/>
    </row>
    <row r="241" spans="1:3" ht="13" x14ac:dyDescent="0.15">
      <c r="A241" s="10"/>
      <c r="B241" s="13"/>
      <c r="C241" s="13"/>
    </row>
    <row r="242" spans="1:3" ht="13" x14ac:dyDescent="0.15">
      <c r="A242" s="10"/>
      <c r="B242" s="13"/>
      <c r="C242" s="13"/>
    </row>
    <row r="243" spans="1:3" ht="13" x14ac:dyDescent="0.15">
      <c r="A243" s="10"/>
      <c r="B243" s="13"/>
      <c r="C243" s="13"/>
    </row>
    <row r="244" spans="1:3" ht="13" x14ac:dyDescent="0.15">
      <c r="A244" s="10"/>
      <c r="B244" s="13"/>
      <c r="C244" s="13"/>
    </row>
    <row r="245" spans="1:3" ht="13" x14ac:dyDescent="0.15">
      <c r="A245" s="10"/>
      <c r="B245" s="13"/>
      <c r="C245" s="13"/>
    </row>
    <row r="246" spans="1:3" ht="13" x14ac:dyDescent="0.15">
      <c r="A246" s="10"/>
      <c r="B246" s="13"/>
      <c r="C246" s="13"/>
    </row>
    <row r="247" spans="1:3" ht="13" x14ac:dyDescent="0.15">
      <c r="A247" s="10"/>
      <c r="B247" s="13"/>
      <c r="C247" s="13"/>
    </row>
    <row r="248" spans="1:3" ht="13" x14ac:dyDescent="0.15">
      <c r="A248" s="10"/>
      <c r="B248" s="13"/>
      <c r="C248" s="13"/>
    </row>
    <row r="249" spans="1:3" ht="13" x14ac:dyDescent="0.15">
      <c r="A249" s="10"/>
      <c r="B249" s="13"/>
      <c r="C249" s="13"/>
    </row>
    <row r="250" spans="1:3" ht="13" x14ac:dyDescent="0.15">
      <c r="A250" s="10"/>
      <c r="B250" s="13"/>
      <c r="C250" s="13"/>
    </row>
    <row r="251" spans="1:3" ht="13" x14ac:dyDescent="0.15">
      <c r="A251" s="10"/>
      <c r="B251" s="13"/>
      <c r="C251" s="13"/>
    </row>
    <row r="252" spans="1:3" ht="13" x14ac:dyDescent="0.15">
      <c r="A252" s="10"/>
      <c r="B252" s="13"/>
      <c r="C252" s="13"/>
    </row>
    <row r="253" spans="1:3" ht="13" x14ac:dyDescent="0.15">
      <c r="A253" s="10"/>
      <c r="B253" s="13"/>
      <c r="C253" s="13"/>
    </row>
    <row r="254" spans="1:3" ht="13" x14ac:dyDescent="0.15">
      <c r="A254" s="10"/>
      <c r="B254" s="13"/>
      <c r="C254" s="13"/>
    </row>
    <row r="255" spans="1:3" ht="13" x14ac:dyDescent="0.15">
      <c r="A255" s="10"/>
      <c r="B255" s="13"/>
      <c r="C255" s="13"/>
    </row>
    <row r="256" spans="1:3" ht="13" x14ac:dyDescent="0.15">
      <c r="A256" s="10"/>
      <c r="B256" s="13"/>
      <c r="C256" s="13"/>
    </row>
    <row r="257" spans="1:3" ht="13" x14ac:dyDescent="0.15">
      <c r="A257" s="10"/>
      <c r="B257" s="13"/>
      <c r="C257" s="13"/>
    </row>
    <row r="258" spans="1:3" ht="13" x14ac:dyDescent="0.15">
      <c r="A258" s="10"/>
      <c r="B258" s="13"/>
      <c r="C258" s="13"/>
    </row>
    <row r="259" spans="1:3" ht="13" x14ac:dyDescent="0.15">
      <c r="A259" s="10"/>
      <c r="B259" s="13"/>
      <c r="C259" s="13"/>
    </row>
    <row r="260" spans="1:3" ht="13" x14ac:dyDescent="0.15">
      <c r="A260" s="10"/>
      <c r="B260" s="13"/>
      <c r="C260" s="13"/>
    </row>
    <row r="261" spans="1:3" ht="13" x14ac:dyDescent="0.15">
      <c r="A261" s="10"/>
      <c r="B261" s="13"/>
      <c r="C261" s="13"/>
    </row>
    <row r="262" spans="1:3" ht="13" x14ac:dyDescent="0.15">
      <c r="A262" s="10"/>
      <c r="B262" s="13"/>
      <c r="C262" s="13"/>
    </row>
    <row r="263" spans="1:3" ht="13" x14ac:dyDescent="0.15">
      <c r="A263" s="10"/>
      <c r="B263" s="13"/>
      <c r="C263" s="13"/>
    </row>
    <row r="264" spans="1:3" ht="13" x14ac:dyDescent="0.15">
      <c r="A264" s="10"/>
      <c r="B264" s="13"/>
      <c r="C264" s="13"/>
    </row>
    <row r="265" spans="1:3" ht="13" x14ac:dyDescent="0.15">
      <c r="A265" s="10"/>
      <c r="B265" s="13"/>
      <c r="C265" s="13"/>
    </row>
    <row r="266" spans="1:3" ht="13" x14ac:dyDescent="0.15">
      <c r="A266" s="10"/>
      <c r="B266" s="13"/>
      <c r="C266" s="13"/>
    </row>
    <row r="267" spans="1:3" ht="13" x14ac:dyDescent="0.15">
      <c r="A267" s="10"/>
      <c r="B267" s="13"/>
      <c r="C267" s="13"/>
    </row>
    <row r="268" spans="1:3" ht="13" x14ac:dyDescent="0.15">
      <c r="A268" s="10"/>
      <c r="B268" s="13"/>
      <c r="C268" s="13"/>
    </row>
    <row r="269" spans="1:3" ht="13" x14ac:dyDescent="0.15">
      <c r="A269" s="10"/>
      <c r="B269" s="13"/>
      <c r="C269" s="13"/>
    </row>
    <row r="270" spans="1:3" ht="13" x14ac:dyDescent="0.15">
      <c r="A270" s="10"/>
      <c r="B270" s="13"/>
      <c r="C270" s="13"/>
    </row>
    <row r="271" spans="1:3" ht="13" x14ac:dyDescent="0.15">
      <c r="A271" s="10"/>
      <c r="B271" s="13"/>
      <c r="C271" s="13"/>
    </row>
    <row r="272" spans="1:3" ht="13" x14ac:dyDescent="0.15">
      <c r="A272" s="10"/>
      <c r="B272" s="13"/>
      <c r="C272" s="13"/>
    </row>
    <row r="273" spans="1:3" ht="13" x14ac:dyDescent="0.15">
      <c r="A273" s="10"/>
      <c r="B273" s="13"/>
      <c r="C273" s="13"/>
    </row>
    <row r="274" spans="1:3" ht="13" x14ac:dyDescent="0.15">
      <c r="A274" s="10"/>
      <c r="B274" s="13"/>
      <c r="C274" s="13"/>
    </row>
    <row r="275" spans="1:3" ht="13" x14ac:dyDescent="0.15">
      <c r="A275" s="10"/>
      <c r="B275" s="13"/>
      <c r="C275" s="13"/>
    </row>
    <row r="276" spans="1:3" ht="13" x14ac:dyDescent="0.15">
      <c r="A276" s="10"/>
      <c r="B276" s="13"/>
      <c r="C276" s="13"/>
    </row>
    <row r="277" spans="1:3" ht="13" x14ac:dyDescent="0.15">
      <c r="A277" s="10"/>
      <c r="B277" s="13"/>
      <c r="C277" s="13"/>
    </row>
    <row r="278" spans="1:3" ht="13" x14ac:dyDescent="0.15">
      <c r="A278" s="10"/>
      <c r="B278" s="13"/>
      <c r="C278" s="13"/>
    </row>
    <row r="279" spans="1:3" ht="13" x14ac:dyDescent="0.15">
      <c r="A279" s="10"/>
      <c r="B279" s="13"/>
      <c r="C279" s="13"/>
    </row>
    <row r="280" spans="1:3" ht="13" x14ac:dyDescent="0.15">
      <c r="A280" s="10"/>
      <c r="B280" s="13"/>
      <c r="C280" s="13"/>
    </row>
    <row r="281" spans="1:3" ht="13" x14ac:dyDescent="0.15">
      <c r="A281" s="10"/>
      <c r="B281" s="13"/>
      <c r="C281" s="13"/>
    </row>
    <row r="282" spans="1:3" ht="13" x14ac:dyDescent="0.15">
      <c r="A282" s="10"/>
      <c r="B282" s="13"/>
      <c r="C282" s="13"/>
    </row>
    <row r="283" spans="1:3" ht="13" x14ac:dyDescent="0.15">
      <c r="A283" s="10"/>
      <c r="B283" s="13"/>
      <c r="C283" s="13"/>
    </row>
    <row r="284" spans="1:3" ht="13" x14ac:dyDescent="0.15">
      <c r="A284" s="10"/>
      <c r="B284" s="13"/>
      <c r="C284" s="13"/>
    </row>
    <row r="285" spans="1:3" ht="13" x14ac:dyDescent="0.15">
      <c r="A285" s="10"/>
      <c r="B285" s="13"/>
      <c r="C285" s="13"/>
    </row>
    <row r="286" spans="1:3" ht="13" x14ac:dyDescent="0.15">
      <c r="A286" s="10"/>
      <c r="B286" s="13"/>
      <c r="C286" s="13"/>
    </row>
    <row r="287" spans="1:3" ht="13" x14ac:dyDescent="0.15">
      <c r="A287" s="10"/>
      <c r="B287" s="13"/>
      <c r="C287" s="13"/>
    </row>
    <row r="288" spans="1:3" ht="13" x14ac:dyDescent="0.15">
      <c r="A288" s="10"/>
      <c r="B288" s="13"/>
      <c r="C288" s="13"/>
    </row>
    <row r="289" spans="1:3" ht="13" x14ac:dyDescent="0.15">
      <c r="A289" s="10"/>
      <c r="B289" s="13"/>
      <c r="C289" s="13"/>
    </row>
    <row r="290" spans="1:3" ht="13" x14ac:dyDescent="0.15">
      <c r="A290" s="10"/>
      <c r="B290" s="13"/>
      <c r="C290" s="13"/>
    </row>
    <row r="291" spans="1:3" ht="13" x14ac:dyDescent="0.15">
      <c r="A291" s="10"/>
      <c r="B291" s="13"/>
      <c r="C291" s="13"/>
    </row>
    <row r="292" spans="1:3" ht="13" x14ac:dyDescent="0.15">
      <c r="A292" s="10"/>
      <c r="B292" s="13"/>
      <c r="C292" s="13"/>
    </row>
    <row r="293" spans="1:3" ht="13" x14ac:dyDescent="0.15">
      <c r="A293" s="10"/>
      <c r="B293" s="13"/>
      <c r="C293" s="13"/>
    </row>
    <row r="294" spans="1:3" ht="13" x14ac:dyDescent="0.15">
      <c r="A294" s="10"/>
      <c r="B294" s="13"/>
      <c r="C294" s="13"/>
    </row>
    <row r="295" spans="1:3" ht="13" x14ac:dyDescent="0.15">
      <c r="A295" s="10"/>
      <c r="B295" s="13"/>
      <c r="C295" s="13"/>
    </row>
    <row r="296" spans="1:3" ht="13" x14ac:dyDescent="0.15">
      <c r="A296" s="10"/>
      <c r="B296" s="13"/>
      <c r="C296" s="13"/>
    </row>
    <row r="297" spans="1:3" ht="13" x14ac:dyDescent="0.15">
      <c r="A297" s="10"/>
      <c r="B297" s="13"/>
      <c r="C297" s="13"/>
    </row>
    <row r="298" spans="1:3" ht="13" x14ac:dyDescent="0.15">
      <c r="A298" s="10"/>
      <c r="B298" s="13"/>
      <c r="C298" s="13"/>
    </row>
    <row r="299" spans="1:3" ht="13" x14ac:dyDescent="0.15">
      <c r="A299" s="10"/>
      <c r="B299" s="13"/>
      <c r="C299" s="13"/>
    </row>
    <row r="300" spans="1:3" ht="13" x14ac:dyDescent="0.15">
      <c r="A300" s="10"/>
      <c r="B300" s="13"/>
      <c r="C300" s="13"/>
    </row>
    <row r="301" spans="1:3" ht="13" x14ac:dyDescent="0.15">
      <c r="A301" s="10"/>
      <c r="B301" s="13"/>
      <c r="C301" s="13"/>
    </row>
    <row r="302" spans="1:3" ht="13" x14ac:dyDescent="0.15">
      <c r="A302" s="10"/>
      <c r="B302" s="13"/>
      <c r="C302" s="13"/>
    </row>
    <row r="303" spans="1:3" ht="13" x14ac:dyDescent="0.15">
      <c r="A303" s="10"/>
      <c r="B303" s="13"/>
      <c r="C303" s="13"/>
    </row>
    <row r="304" spans="1:3" ht="13" x14ac:dyDescent="0.15">
      <c r="A304" s="10"/>
      <c r="B304" s="13"/>
      <c r="C304" s="13"/>
    </row>
    <row r="305" spans="1:3" ht="13" x14ac:dyDescent="0.15">
      <c r="A305" s="10"/>
      <c r="B305" s="13"/>
      <c r="C305" s="13"/>
    </row>
    <row r="306" spans="1:3" ht="13" x14ac:dyDescent="0.15">
      <c r="A306" s="10"/>
      <c r="B306" s="13"/>
      <c r="C306" s="13"/>
    </row>
    <row r="307" spans="1:3" ht="13" x14ac:dyDescent="0.15">
      <c r="A307" s="10"/>
      <c r="B307" s="13"/>
      <c r="C307" s="13"/>
    </row>
    <row r="308" spans="1:3" ht="13" x14ac:dyDescent="0.15">
      <c r="A308" s="10"/>
      <c r="B308" s="13"/>
      <c r="C308" s="13"/>
    </row>
    <row r="309" spans="1:3" ht="13" x14ac:dyDescent="0.15">
      <c r="A309" s="10"/>
      <c r="B309" s="13"/>
      <c r="C309" s="13"/>
    </row>
    <row r="310" spans="1:3" ht="13" x14ac:dyDescent="0.15">
      <c r="A310" s="10"/>
      <c r="B310" s="13"/>
      <c r="C310" s="13"/>
    </row>
    <row r="311" spans="1:3" ht="13" x14ac:dyDescent="0.15">
      <c r="A311" s="10"/>
      <c r="B311" s="13"/>
      <c r="C311" s="13"/>
    </row>
    <row r="312" spans="1:3" ht="13" x14ac:dyDescent="0.15">
      <c r="A312" s="10"/>
      <c r="B312" s="13"/>
      <c r="C312" s="13"/>
    </row>
    <row r="313" spans="1:3" ht="13" x14ac:dyDescent="0.15">
      <c r="A313" s="10"/>
      <c r="B313" s="13"/>
      <c r="C313" s="13"/>
    </row>
    <row r="314" spans="1:3" ht="13" x14ac:dyDescent="0.15">
      <c r="A314" s="10"/>
      <c r="B314" s="13"/>
      <c r="C314" s="13"/>
    </row>
    <row r="315" spans="1:3" ht="13" x14ac:dyDescent="0.15">
      <c r="A315" s="10"/>
      <c r="B315" s="13"/>
      <c r="C315" s="13"/>
    </row>
    <row r="316" spans="1:3" ht="13" x14ac:dyDescent="0.15">
      <c r="A316" s="10"/>
      <c r="B316" s="13"/>
      <c r="C316" s="13"/>
    </row>
    <row r="317" spans="1:3" ht="13" x14ac:dyDescent="0.15">
      <c r="A317" s="10"/>
      <c r="B317" s="13"/>
      <c r="C317" s="13"/>
    </row>
    <row r="318" spans="1:3" ht="13" x14ac:dyDescent="0.15">
      <c r="A318" s="10"/>
      <c r="B318" s="13"/>
      <c r="C318" s="13"/>
    </row>
    <row r="319" spans="1:3" ht="13" x14ac:dyDescent="0.15">
      <c r="A319" s="10"/>
      <c r="B319" s="13"/>
      <c r="C319" s="13"/>
    </row>
    <row r="320" spans="1:3" ht="13" x14ac:dyDescent="0.15">
      <c r="A320" s="10"/>
      <c r="B320" s="13"/>
      <c r="C320" s="13"/>
    </row>
    <row r="321" spans="1:3" ht="13" x14ac:dyDescent="0.15">
      <c r="A321" s="10"/>
      <c r="B321" s="13"/>
      <c r="C321" s="13"/>
    </row>
    <row r="322" spans="1:3" ht="13" x14ac:dyDescent="0.15">
      <c r="A322" s="10"/>
      <c r="B322" s="13"/>
      <c r="C322" s="13"/>
    </row>
    <row r="323" spans="1:3" ht="13" x14ac:dyDescent="0.15">
      <c r="A323" s="10"/>
      <c r="B323" s="13"/>
      <c r="C323" s="13"/>
    </row>
    <row r="324" spans="1:3" ht="13" x14ac:dyDescent="0.15">
      <c r="A324" s="10"/>
      <c r="B324" s="13"/>
      <c r="C324" s="13"/>
    </row>
    <row r="325" spans="1:3" ht="13" x14ac:dyDescent="0.15">
      <c r="A325" s="10"/>
      <c r="B325" s="13"/>
      <c r="C325" s="13"/>
    </row>
    <row r="326" spans="1:3" ht="13" x14ac:dyDescent="0.15">
      <c r="A326" s="10"/>
      <c r="B326" s="13"/>
      <c r="C326" s="13"/>
    </row>
    <row r="327" spans="1:3" ht="13" x14ac:dyDescent="0.15">
      <c r="A327" s="10"/>
      <c r="B327" s="13"/>
      <c r="C327" s="13"/>
    </row>
    <row r="328" spans="1:3" ht="13" x14ac:dyDescent="0.15">
      <c r="A328" s="10"/>
      <c r="B328" s="13"/>
      <c r="C328" s="13"/>
    </row>
    <row r="329" spans="1:3" ht="13" x14ac:dyDescent="0.15">
      <c r="A329" s="10"/>
      <c r="B329" s="13"/>
      <c r="C329" s="13"/>
    </row>
    <row r="330" spans="1:3" ht="13" x14ac:dyDescent="0.15">
      <c r="A330" s="10"/>
      <c r="B330" s="13"/>
      <c r="C330" s="13"/>
    </row>
    <row r="331" spans="1:3" ht="13" x14ac:dyDescent="0.15">
      <c r="A331" s="10"/>
      <c r="B331" s="13"/>
      <c r="C331" s="13"/>
    </row>
    <row r="332" spans="1:3" ht="13" x14ac:dyDescent="0.15">
      <c r="A332" s="10"/>
      <c r="B332" s="13"/>
      <c r="C332" s="13"/>
    </row>
    <row r="333" spans="1:3" ht="13" x14ac:dyDescent="0.15">
      <c r="A333" s="10"/>
      <c r="B333" s="13"/>
      <c r="C333" s="13"/>
    </row>
    <row r="334" spans="1:3" ht="13" x14ac:dyDescent="0.15">
      <c r="A334" s="10"/>
      <c r="B334" s="13"/>
      <c r="C334" s="13"/>
    </row>
    <row r="335" spans="1:3" ht="13" x14ac:dyDescent="0.15">
      <c r="A335" s="10"/>
      <c r="B335" s="13"/>
      <c r="C335" s="13"/>
    </row>
    <row r="336" spans="1:3" ht="13" x14ac:dyDescent="0.15">
      <c r="A336" s="10"/>
      <c r="B336" s="13"/>
      <c r="C336" s="13"/>
    </row>
    <row r="337" spans="1:3" ht="13" x14ac:dyDescent="0.15">
      <c r="A337" s="10"/>
      <c r="B337" s="13"/>
      <c r="C337" s="13"/>
    </row>
    <row r="338" spans="1:3" ht="13" x14ac:dyDescent="0.15">
      <c r="A338" s="10"/>
      <c r="B338" s="13"/>
      <c r="C338" s="13"/>
    </row>
    <row r="339" spans="1:3" ht="13" x14ac:dyDescent="0.15">
      <c r="A339" s="10"/>
      <c r="B339" s="13"/>
      <c r="C339" s="13"/>
    </row>
    <row r="340" spans="1:3" ht="13" x14ac:dyDescent="0.15">
      <c r="A340" s="10"/>
      <c r="B340" s="13"/>
      <c r="C340" s="13"/>
    </row>
    <row r="341" spans="1:3" ht="13" x14ac:dyDescent="0.15">
      <c r="A341" s="10"/>
      <c r="B341" s="13"/>
      <c r="C341" s="13"/>
    </row>
    <row r="342" spans="1:3" ht="13" x14ac:dyDescent="0.15">
      <c r="A342" s="10"/>
      <c r="B342" s="13"/>
      <c r="C342" s="13"/>
    </row>
    <row r="343" spans="1:3" ht="13" x14ac:dyDescent="0.15">
      <c r="A343" s="10"/>
      <c r="B343" s="13"/>
      <c r="C343" s="13"/>
    </row>
    <row r="344" spans="1:3" ht="13" x14ac:dyDescent="0.15">
      <c r="A344" s="10"/>
      <c r="B344" s="13"/>
      <c r="C344" s="13"/>
    </row>
    <row r="345" spans="1:3" ht="13" x14ac:dyDescent="0.15">
      <c r="A345" s="10"/>
      <c r="B345" s="13"/>
      <c r="C345" s="13"/>
    </row>
    <row r="346" spans="1:3" ht="13" x14ac:dyDescent="0.15">
      <c r="A346" s="10"/>
      <c r="B346" s="13"/>
      <c r="C346" s="13"/>
    </row>
    <row r="347" spans="1:3" ht="13" x14ac:dyDescent="0.15">
      <c r="A347" s="10"/>
      <c r="B347" s="13"/>
      <c r="C347" s="13"/>
    </row>
    <row r="348" spans="1:3" ht="13" x14ac:dyDescent="0.15">
      <c r="A348" s="10"/>
      <c r="B348" s="13"/>
      <c r="C348" s="13"/>
    </row>
    <row r="349" spans="1:3" ht="13" x14ac:dyDescent="0.15">
      <c r="A349" s="10"/>
      <c r="B349" s="13"/>
      <c r="C349" s="13"/>
    </row>
    <row r="350" spans="1:3" ht="13" x14ac:dyDescent="0.15">
      <c r="A350" s="10"/>
      <c r="B350" s="13"/>
      <c r="C350" s="13"/>
    </row>
    <row r="351" spans="1:3" ht="13" x14ac:dyDescent="0.15">
      <c r="A351" s="10"/>
      <c r="B351" s="13"/>
      <c r="C351" s="13"/>
    </row>
    <row r="352" spans="1:3" ht="13" x14ac:dyDescent="0.15">
      <c r="A352" s="10"/>
      <c r="B352" s="13"/>
      <c r="C352" s="13"/>
    </row>
    <row r="353" spans="1:3" ht="13" x14ac:dyDescent="0.15">
      <c r="A353" s="10"/>
      <c r="B353" s="13"/>
      <c r="C353" s="13"/>
    </row>
    <row r="354" spans="1:3" ht="13" x14ac:dyDescent="0.15">
      <c r="A354" s="10"/>
      <c r="B354" s="13"/>
      <c r="C354" s="13"/>
    </row>
    <row r="355" spans="1:3" ht="13" x14ac:dyDescent="0.15">
      <c r="A355" s="10"/>
      <c r="B355" s="13"/>
      <c r="C355" s="13"/>
    </row>
    <row r="356" spans="1:3" ht="13" x14ac:dyDescent="0.15">
      <c r="A356" s="10"/>
      <c r="B356" s="13"/>
      <c r="C356" s="13"/>
    </row>
    <row r="357" spans="1:3" ht="13" x14ac:dyDescent="0.15">
      <c r="A357" s="10"/>
      <c r="B357" s="13"/>
      <c r="C357" s="13"/>
    </row>
    <row r="358" spans="1:3" ht="13" x14ac:dyDescent="0.15">
      <c r="A358" s="10"/>
      <c r="B358" s="13"/>
      <c r="C358" s="13"/>
    </row>
    <row r="359" spans="1:3" ht="13" x14ac:dyDescent="0.15">
      <c r="A359" s="10"/>
      <c r="B359" s="13"/>
      <c r="C359" s="13"/>
    </row>
    <row r="360" spans="1:3" ht="13" x14ac:dyDescent="0.15">
      <c r="A360" s="10"/>
      <c r="B360" s="13"/>
      <c r="C360" s="13"/>
    </row>
    <row r="361" spans="1:3" ht="13" x14ac:dyDescent="0.15">
      <c r="A361" s="10"/>
      <c r="B361" s="13"/>
      <c r="C361" s="13"/>
    </row>
    <row r="362" spans="1:3" ht="13" x14ac:dyDescent="0.15">
      <c r="A362" s="10"/>
      <c r="B362" s="13"/>
      <c r="C362" s="13"/>
    </row>
    <row r="363" spans="1:3" ht="13" x14ac:dyDescent="0.15">
      <c r="A363" s="10"/>
      <c r="B363" s="13"/>
      <c r="C363" s="13"/>
    </row>
    <row r="364" spans="1:3" ht="13" x14ac:dyDescent="0.15">
      <c r="A364" s="10"/>
      <c r="B364" s="13"/>
      <c r="C364" s="13"/>
    </row>
    <row r="365" spans="1:3" ht="13" x14ac:dyDescent="0.15">
      <c r="A365" s="10"/>
      <c r="B365" s="13"/>
      <c r="C365" s="13"/>
    </row>
    <row r="366" spans="1:3" ht="13" x14ac:dyDescent="0.15">
      <c r="A366" s="10"/>
      <c r="B366" s="13"/>
      <c r="C366" s="13"/>
    </row>
    <row r="367" spans="1:3" ht="13" x14ac:dyDescent="0.15">
      <c r="A367" s="10"/>
      <c r="B367" s="13"/>
      <c r="C367" s="13"/>
    </row>
    <row r="368" spans="1:3" ht="13" x14ac:dyDescent="0.15">
      <c r="A368" s="10"/>
      <c r="B368" s="13"/>
      <c r="C368" s="13"/>
    </row>
    <row r="369" spans="1:3" ht="13" x14ac:dyDescent="0.15">
      <c r="A369" s="10"/>
      <c r="B369" s="13"/>
      <c r="C369" s="13"/>
    </row>
    <row r="370" spans="1:3" ht="13" x14ac:dyDescent="0.15">
      <c r="A370" s="10"/>
      <c r="B370" s="13"/>
      <c r="C370" s="13"/>
    </row>
    <row r="371" spans="1:3" ht="13" x14ac:dyDescent="0.15">
      <c r="A371" s="10"/>
      <c r="B371" s="13"/>
      <c r="C371" s="13"/>
    </row>
    <row r="372" spans="1:3" ht="13" x14ac:dyDescent="0.15">
      <c r="A372" s="10"/>
      <c r="B372" s="13"/>
      <c r="C372" s="13"/>
    </row>
    <row r="373" spans="1:3" ht="13" x14ac:dyDescent="0.15">
      <c r="A373" s="10"/>
      <c r="B373" s="13"/>
      <c r="C373" s="13"/>
    </row>
    <row r="374" spans="1:3" ht="13" x14ac:dyDescent="0.15">
      <c r="A374" s="10"/>
      <c r="B374" s="13"/>
      <c r="C374" s="13"/>
    </row>
    <row r="375" spans="1:3" ht="13" x14ac:dyDescent="0.15">
      <c r="A375" s="10"/>
      <c r="B375" s="13"/>
      <c r="C375" s="13"/>
    </row>
    <row r="376" spans="1:3" ht="13" x14ac:dyDescent="0.15">
      <c r="A376" s="10"/>
      <c r="B376" s="13"/>
      <c r="C376" s="13"/>
    </row>
    <row r="377" spans="1:3" ht="13" x14ac:dyDescent="0.15">
      <c r="A377" s="10"/>
      <c r="B377" s="13"/>
      <c r="C377" s="13"/>
    </row>
    <row r="378" spans="1:3" ht="13" x14ac:dyDescent="0.15">
      <c r="A378" s="10"/>
      <c r="B378" s="13"/>
      <c r="C378" s="13"/>
    </row>
    <row r="379" spans="1:3" ht="13" x14ac:dyDescent="0.15">
      <c r="A379" s="10"/>
      <c r="B379" s="13"/>
      <c r="C379" s="13"/>
    </row>
    <row r="380" spans="1:3" ht="13" x14ac:dyDescent="0.15">
      <c r="A380" s="10"/>
      <c r="B380" s="13"/>
      <c r="C380" s="13"/>
    </row>
    <row r="381" spans="1:3" ht="13" x14ac:dyDescent="0.15">
      <c r="A381" s="10"/>
      <c r="B381" s="13"/>
      <c r="C381" s="13"/>
    </row>
    <row r="382" spans="1:3" ht="13" x14ac:dyDescent="0.15">
      <c r="A382" s="10"/>
      <c r="B382" s="13"/>
      <c r="C382" s="13"/>
    </row>
    <row r="383" spans="1:3" ht="13" x14ac:dyDescent="0.15">
      <c r="A383" s="10"/>
      <c r="B383" s="13"/>
      <c r="C383" s="13"/>
    </row>
    <row r="384" spans="1:3" ht="13" x14ac:dyDescent="0.15">
      <c r="A384" s="10"/>
      <c r="B384" s="13"/>
      <c r="C384" s="13"/>
    </row>
    <row r="385" spans="1:3" ht="13" x14ac:dyDescent="0.15">
      <c r="A385" s="10"/>
      <c r="B385" s="13"/>
      <c r="C385" s="13"/>
    </row>
    <row r="386" spans="1:3" ht="13" x14ac:dyDescent="0.15">
      <c r="A386" s="10"/>
      <c r="B386" s="13"/>
      <c r="C386" s="13"/>
    </row>
    <row r="387" spans="1:3" ht="13" x14ac:dyDescent="0.15">
      <c r="A387" s="10"/>
      <c r="B387" s="13"/>
      <c r="C387" s="13"/>
    </row>
    <row r="388" spans="1:3" ht="13" x14ac:dyDescent="0.15">
      <c r="A388" s="10"/>
      <c r="B388" s="13"/>
      <c r="C388" s="13"/>
    </row>
    <row r="389" spans="1:3" ht="13" x14ac:dyDescent="0.15">
      <c r="A389" s="10"/>
      <c r="B389" s="13"/>
      <c r="C389" s="13"/>
    </row>
    <row r="390" spans="1:3" ht="13" x14ac:dyDescent="0.15">
      <c r="A390" s="10"/>
      <c r="B390" s="13"/>
      <c r="C390" s="13"/>
    </row>
    <row r="391" spans="1:3" ht="13" x14ac:dyDescent="0.15">
      <c r="A391" s="10"/>
      <c r="B391" s="13"/>
      <c r="C391" s="13"/>
    </row>
    <row r="392" spans="1:3" ht="13" x14ac:dyDescent="0.15">
      <c r="A392" s="10"/>
      <c r="B392" s="13"/>
      <c r="C392" s="13"/>
    </row>
    <row r="393" spans="1:3" ht="13" x14ac:dyDescent="0.15">
      <c r="A393" s="10"/>
      <c r="B393" s="13"/>
      <c r="C393" s="13"/>
    </row>
    <row r="394" spans="1:3" ht="13" x14ac:dyDescent="0.15">
      <c r="A394" s="10"/>
      <c r="B394" s="13"/>
      <c r="C394" s="13"/>
    </row>
    <row r="395" spans="1:3" ht="13" x14ac:dyDescent="0.15">
      <c r="A395" s="10"/>
      <c r="B395" s="13"/>
      <c r="C395" s="13"/>
    </row>
    <row r="396" spans="1:3" ht="13" x14ac:dyDescent="0.15">
      <c r="A396" s="10"/>
      <c r="B396" s="13"/>
      <c r="C396" s="13"/>
    </row>
    <row r="397" spans="1:3" ht="13" x14ac:dyDescent="0.15">
      <c r="A397" s="10"/>
      <c r="B397" s="13"/>
      <c r="C397" s="13"/>
    </row>
    <row r="398" spans="1:3" ht="13" x14ac:dyDescent="0.15">
      <c r="A398" s="10"/>
      <c r="B398" s="13"/>
      <c r="C398" s="13"/>
    </row>
    <row r="399" spans="1:3" ht="13" x14ac:dyDescent="0.15">
      <c r="A399" s="10"/>
      <c r="B399" s="13"/>
      <c r="C399" s="13"/>
    </row>
    <row r="400" spans="1:3" ht="13" x14ac:dyDescent="0.15">
      <c r="A400" s="10"/>
      <c r="B400" s="13"/>
      <c r="C400" s="13"/>
    </row>
    <row r="401" spans="1:3" ht="13" x14ac:dyDescent="0.15">
      <c r="A401" s="10"/>
      <c r="B401" s="13"/>
      <c r="C401" s="13"/>
    </row>
    <row r="402" spans="1:3" ht="13" x14ac:dyDescent="0.15">
      <c r="A402" s="10"/>
      <c r="B402" s="13"/>
      <c r="C402" s="13"/>
    </row>
    <row r="403" spans="1:3" ht="13" x14ac:dyDescent="0.15">
      <c r="A403" s="10"/>
      <c r="B403" s="13"/>
      <c r="C403" s="13"/>
    </row>
    <row r="404" spans="1:3" ht="13" x14ac:dyDescent="0.15">
      <c r="A404" s="10"/>
      <c r="B404" s="13"/>
      <c r="C404" s="13"/>
    </row>
    <row r="405" spans="1:3" ht="13" x14ac:dyDescent="0.15">
      <c r="A405" s="10"/>
      <c r="B405" s="13"/>
      <c r="C405" s="13"/>
    </row>
    <row r="406" spans="1:3" ht="13" x14ac:dyDescent="0.15">
      <c r="A406" s="10"/>
      <c r="B406" s="13"/>
      <c r="C406" s="13"/>
    </row>
    <row r="407" spans="1:3" ht="13" x14ac:dyDescent="0.15">
      <c r="A407" s="10"/>
      <c r="B407" s="13"/>
      <c r="C407" s="13"/>
    </row>
    <row r="408" spans="1:3" ht="13" x14ac:dyDescent="0.15">
      <c r="A408" s="10"/>
      <c r="B408" s="13"/>
      <c r="C408" s="13"/>
    </row>
    <row r="409" spans="1:3" ht="13" x14ac:dyDescent="0.15">
      <c r="A409" s="10"/>
      <c r="B409" s="13"/>
      <c r="C409" s="13"/>
    </row>
    <row r="410" spans="1:3" ht="13" x14ac:dyDescent="0.15">
      <c r="A410" s="10"/>
      <c r="B410" s="13"/>
      <c r="C410" s="13"/>
    </row>
    <row r="411" spans="1:3" ht="13" x14ac:dyDescent="0.15">
      <c r="A411" s="10"/>
      <c r="B411" s="13"/>
      <c r="C411" s="13"/>
    </row>
    <row r="412" spans="1:3" ht="13" x14ac:dyDescent="0.15">
      <c r="A412" s="10"/>
      <c r="B412" s="13"/>
      <c r="C412" s="13"/>
    </row>
    <row r="413" spans="1:3" ht="13" x14ac:dyDescent="0.15">
      <c r="A413" s="10"/>
      <c r="B413" s="13"/>
      <c r="C413" s="13"/>
    </row>
    <row r="414" spans="1:3" ht="13" x14ac:dyDescent="0.15">
      <c r="A414" s="10"/>
      <c r="B414" s="13"/>
      <c r="C414" s="13"/>
    </row>
    <row r="415" spans="1:3" ht="13" x14ac:dyDescent="0.15">
      <c r="A415" s="10"/>
      <c r="B415" s="13"/>
      <c r="C415" s="13"/>
    </row>
    <row r="416" spans="1:3" ht="13" x14ac:dyDescent="0.15">
      <c r="A416" s="10"/>
      <c r="B416" s="13"/>
      <c r="C416" s="13"/>
    </row>
    <row r="417" spans="1:3" ht="13" x14ac:dyDescent="0.15">
      <c r="A417" s="10"/>
      <c r="B417" s="13"/>
      <c r="C417" s="13"/>
    </row>
    <row r="418" spans="1:3" ht="13" x14ac:dyDescent="0.15">
      <c r="A418" s="10"/>
      <c r="B418" s="13"/>
      <c r="C418" s="13"/>
    </row>
    <row r="419" spans="1:3" ht="13" x14ac:dyDescent="0.15">
      <c r="A419" s="10"/>
      <c r="B419" s="13"/>
      <c r="C419" s="13"/>
    </row>
    <row r="420" spans="1:3" ht="13" x14ac:dyDescent="0.15">
      <c r="A420" s="10"/>
      <c r="B420" s="13"/>
      <c r="C420" s="13"/>
    </row>
    <row r="421" spans="1:3" ht="13" x14ac:dyDescent="0.15">
      <c r="A421" s="10"/>
      <c r="B421" s="13"/>
      <c r="C421" s="13"/>
    </row>
    <row r="422" spans="1:3" ht="13" x14ac:dyDescent="0.15">
      <c r="A422" s="10"/>
      <c r="B422" s="13"/>
      <c r="C422" s="13"/>
    </row>
    <row r="423" spans="1:3" ht="13" x14ac:dyDescent="0.15">
      <c r="A423" s="10"/>
      <c r="B423" s="13"/>
      <c r="C423" s="13"/>
    </row>
    <row r="424" spans="1:3" ht="13" x14ac:dyDescent="0.15">
      <c r="A424" s="10"/>
      <c r="B424" s="13"/>
      <c r="C424" s="13"/>
    </row>
    <row r="425" spans="1:3" ht="13" x14ac:dyDescent="0.15">
      <c r="A425" s="10"/>
      <c r="B425" s="13"/>
      <c r="C425" s="13"/>
    </row>
    <row r="426" spans="1:3" ht="13" x14ac:dyDescent="0.15">
      <c r="A426" s="10"/>
      <c r="B426" s="13"/>
      <c r="C426" s="13"/>
    </row>
    <row r="427" spans="1:3" ht="13" x14ac:dyDescent="0.15">
      <c r="A427" s="10"/>
      <c r="B427" s="13"/>
      <c r="C427" s="13"/>
    </row>
    <row r="428" spans="1:3" ht="13" x14ac:dyDescent="0.15">
      <c r="A428" s="10"/>
      <c r="B428" s="13"/>
      <c r="C428" s="13"/>
    </row>
    <row r="429" spans="1:3" ht="13" x14ac:dyDescent="0.15">
      <c r="A429" s="10"/>
      <c r="B429" s="13"/>
      <c r="C429" s="13"/>
    </row>
    <row r="430" spans="1:3" ht="13" x14ac:dyDescent="0.15">
      <c r="A430" s="10"/>
      <c r="B430" s="13"/>
      <c r="C430" s="13"/>
    </row>
    <row r="431" spans="1:3" ht="13" x14ac:dyDescent="0.15">
      <c r="A431" s="10"/>
      <c r="B431" s="13"/>
      <c r="C431" s="13"/>
    </row>
    <row r="432" spans="1:3" ht="13" x14ac:dyDescent="0.15">
      <c r="A432" s="10"/>
      <c r="B432" s="13"/>
      <c r="C432" s="13"/>
    </row>
    <row r="433" spans="1:3" ht="13" x14ac:dyDescent="0.15">
      <c r="A433" s="10"/>
      <c r="B433" s="13"/>
      <c r="C433" s="13"/>
    </row>
    <row r="434" spans="1:3" ht="13" x14ac:dyDescent="0.15">
      <c r="A434" s="10"/>
      <c r="B434" s="13"/>
      <c r="C434" s="13"/>
    </row>
    <row r="435" spans="1:3" ht="13" x14ac:dyDescent="0.15">
      <c r="A435" s="10"/>
      <c r="B435" s="13"/>
      <c r="C435" s="13"/>
    </row>
    <row r="436" spans="1:3" ht="13" x14ac:dyDescent="0.15">
      <c r="A436" s="10"/>
      <c r="B436" s="13"/>
      <c r="C436" s="13"/>
    </row>
    <row r="437" spans="1:3" ht="13" x14ac:dyDescent="0.15">
      <c r="A437" s="10"/>
      <c r="B437" s="13"/>
      <c r="C437" s="13"/>
    </row>
    <row r="438" spans="1:3" ht="13" x14ac:dyDescent="0.15">
      <c r="A438" s="10"/>
      <c r="B438" s="13"/>
      <c r="C438" s="13"/>
    </row>
    <row r="439" spans="1:3" ht="13" x14ac:dyDescent="0.15">
      <c r="A439" s="10"/>
      <c r="B439" s="13"/>
      <c r="C439" s="13"/>
    </row>
    <row r="440" spans="1:3" ht="13" x14ac:dyDescent="0.15">
      <c r="A440" s="10"/>
      <c r="B440" s="13"/>
      <c r="C440" s="13"/>
    </row>
    <row r="441" spans="1:3" ht="13" x14ac:dyDescent="0.15">
      <c r="A441" s="10"/>
      <c r="B441" s="13"/>
      <c r="C441" s="13"/>
    </row>
    <row r="442" spans="1:3" ht="13" x14ac:dyDescent="0.15">
      <c r="A442" s="10"/>
      <c r="B442" s="13"/>
      <c r="C442" s="13"/>
    </row>
    <row r="443" spans="1:3" ht="13" x14ac:dyDescent="0.15">
      <c r="A443" s="10"/>
      <c r="B443" s="13"/>
      <c r="C443" s="13"/>
    </row>
    <row r="444" spans="1:3" ht="13" x14ac:dyDescent="0.15">
      <c r="A444" s="10"/>
      <c r="B444" s="13"/>
      <c r="C444" s="13"/>
    </row>
    <row r="445" spans="1:3" ht="13" x14ac:dyDescent="0.15">
      <c r="A445" s="10"/>
      <c r="B445" s="13"/>
      <c r="C445" s="13"/>
    </row>
    <row r="446" spans="1:3" ht="13" x14ac:dyDescent="0.15">
      <c r="A446" s="10"/>
      <c r="B446" s="13"/>
      <c r="C446" s="13"/>
    </row>
    <row r="447" spans="1:3" ht="13" x14ac:dyDescent="0.15">
      <c r="A447" s="10"/>
      <c r="B447" s="13"/>
      <c r="C447" s="13"/>
    </row>
    <row r="448" spans="1:3" ht="13" x14ac:dyDescent="0.15">
      <c r="A448" s="10"/>
      <c r="B448" s="13"/>
      <c r="C448" s="13"/>
    </row>
    <row r="449" spans="1:3" ht="13" x14ac:dyDescent="0.15">
      <c r="A449" s="10"/>
      <c r="B449" s="13"/>
      <c r="C449" s="13"/>
    </row>
    <row r="450" spans="1:3" ht="13" x14ac:dyDescent="0.15">
      <c r="A450" s="10"/>
      <c r="B450" s="13"/>
      <c r="C450" s="13"/>
    </row>
    <row r="451" spans="1:3" ht="13" x14ac:dyDescent="0.15">
      <c r="A451" s="10"/>
      <c r="B451" s="13"/>
      <c r="C451" s="13"/>
    </row>
    <row r="452" spans="1:3" ht="13" x14ac:dyDescent="0.15">
      <c r="A452" s="10"/>
      <c r="B452" s="13"/>
      <c r="C452" s="13"/>
    </row>
    <row r="453" spans="1:3" ht="13" x14ac:dyDescent="0.15">
      <c r="A453" s="10"/>
      <c r="B453" s="13"/>
      <c r="C453" s="13"/>
    </row>
    <row r="454" spans="1:3" ht="13" x14ac:dyDescent="0.15">
      <c r="A454" s="10"/>
      <c r="B454" s="13"/>
      <c r="C454" s="13"/>
    </row>
    <row r="455" spans="1:3" ht="13" x14ac:dyDescent="0.15">
      <c r="A455" s="10"/>
      <c r="B455" s="13"/>
      <c r="C455" s="13"/>
    </row>
    <row r="456" spans="1:3" ht="13" x14ac:dyDescent="0.15">
      <c r="A456" s="10"/>
      <c r="B456" s="13"/>
      <c r="C456" s="13"/>
    </row>
    <row r="457" spans="1:3" ht="13" x14ac:dyDescent="0.15">
      <c r="A457" s="10"/>
      <c r="B457" s="13"/>
      <c r="C457" s="13"/>
    </row>
    <row r="458" spans="1:3" ht="13" x14ac:dyDescent="0.15">
      <c r="A458" s="10"/>
      <c r="B458" s="13"/>
      <c r="C458" s="13"/>
    </row>
    <row r="459" spans="1:3" ht="13" x14ac:dyDescent="0.15">
      <c r="A459" s="10"/>
      <c r="B459" s="13"/>
      <c r="C459" s="13"/>
    </row>
    <row r="460" spans="1:3" ht="13" x14ac:dyDescent="0.15">
      <c r="A460" s="10"/>
      <c r="B460" s="13"/>
      <c r="C460" s="13"/>
    </row>
    <row r="461" spans="1:3" ht="13" x14ac:dyDescent="0.15">
      <c r="A461" s="10"/>
      <c r="B461" s="13"/>
      <c r="C461" s="13"/>
    </row>
    <row r="462" spans="1:3" ht="13" x14ac:dyDescent="0.15">
      <c r="A462" s="10"/>
      <c r="B462" s="13"/>
      <c r="C462" s="13"/>
    </row>
    <row r="463" spans="1:3" ht="13" x14ac:dyDescent="0.15">
      <c r="A463" s="10"/>
      <c r="B463" s="13"/>
      <c r="C463" s="13"/>
    </row>
    <row r="464" spans="1:3" ht="13" x14ac:dyDescent="0.15">
      <c r="A464" s="10"/>
      <c r="B464" s="13"/>
      <c r="C464" s="13"/>
    </row>
    <row r="465" spans="1:3" ht="13" x14ac:dyDescent="0.15">
      <c r="A465" s="10"/>
      <c r="B465" s="13"/>
      <c r="C465" s="13"/>
    </row>
    <row r="466" spans="1:3" ht="13" x14ac:dyDescent="0.15">
      <c r="A466" s="10"/>
      <c r="B466" s="13"/>
      <c r="C466" s="13"/>
    </row>
    <row r="467" spans="1:3" ht="13" x14ac:dyDescent="0.15">
      <c r="A467" s="10"/>
      <c r="B467" s="13"/>
      <c r="C467" s="13"/>
    </row>
    <row r="468" spans="1:3" ht="13" x14ac:dyDescent="0.15">
      <c r="A468" s="10"/>
      <c r="B468" s="13"/>
      <c r="C468" s="13"/>
    </row>
    <row r="469" spans="1:3" ht="13" x14ac:dyDescent="0.15">
      <c r="A469" s="10"/>
      <c r="B469" s="13"/>
      <c r="C469" s="13"/>
    </row>
    <row r="470" spans="1:3" ht="13" x14ac:dyDescent="0.15">
      <c r="A470" s="10"/>
      <c r="B470" s="13"/>
      <c r="C470" s="13"/>
    </row>
    <row r="471" spans="1:3" ht="13" x14ac:dyDescent="0.15">
      <c r="A471" s="10"/>
      <c r="B471" s="13"/>
      <c r="C471" s="13"/>
    </row>
    <row r="472" spans="1:3" ht="13" x14ac:dyDescent="0.15">
      <c r="A472" s="10"/>
      <c r="B472" s="13"/>
      <c r="C472" s="13"/>
    </row>
    <row r="473" spans="1:3" ht="13" x14ac:dyDescent="0.15">
      <c r="A473" s="10"/>
      <c r="B473" s="13"/>
      <c r="C473" s="13"/>
    </row>
    <row r="474" spans="1:3" ht="13" x14ac:dyDescent="0.15">
      <c r="A474" s="10"/>
      <c r="B474" s="13"/>
      <c r="C474" s="13"/>
    </row>
    <row r="475" spans="1:3" ht="13" x14ac:dyDescent="0.15">
      <c r="A475" s="10"/>
      <c r="B475" s="13"/>
      <c r="C475" s="13"/>
    </row>
    <row r="476" spans="1:3" ht="13" x14ac:dyDescent="0.15">
      <c r="A476" s="10"/>
      <c r="B476" s="13"/>
      <c r="C476" s="13"/>
    </row>
    <row r="477" spans="1:3" ht="13" x14ac:dyDescent="0.15">
      <c r="A477" s="10"/>
      <c r="B477" s="13"/>
      <c r="C477" s="13"/>
    </row>
    <row r="478" spans="1:3" ht="13" x14ac:dyDescent="0.15">
      <c r="A478" s="10"/>
      <c r="B478" s="13"/>
      <c r="C478" s="13"/>
    </row>
    <row r="479" spans="1:3" ht="13" x14ac:dyDescent="0.15">
      <c r="A479" s="10"/>
      <c r="B479" s="13"/>
      <c r="C479" s="13"/>
    </row>
    <row r="480" spans="1:3" ht="13" x14ac:dyDescent="0.15">
      <c r="A480" s="10"/>
      <c r="B480" s="13"/>
      <c r="C480" s="13"/>
    </row>
    <row r="481" spans="1:3" ht="13" x14ac:dyDescent="0.15">
      <c r="A481" s="10"/>
      <c r="B481" s="13"/>
      <c r="C481" s="13"/>
    </row>
    <row r="482" spans="1:3" ht="13" x14ac:dyDescent="0.15">
      <c r="A482" s="10"/>
      <c r="B482" s="13"/>
      <c r="C482" s="13"/>
    </row>
    <row r="483" spans="1:3" ht="13" x14ac:dyDescent="0.15">
      <c r="A483" s="10"/>
      <c r="B483" s="13"/>
      <c r="C483" s="13"/>
    </row>
    <row r="484" spans="1:3" ht="13" x14ac:dyDescent="0.15">
      <c r="A484" s="10"/>
      <c r="B484" s="13"/>
      <c r="C484" s="13"/>
    </row>
    <row r="485" spans="1:3" ht="13" x14ac:dyDescent="0.15">
      <c r="A485" s="10"/>
      <c r="B485" s="13"/>
      <c r="C485" s="13"/>
    </row>
    <row r="486" spans="1:3" ht="13" x14ac:dyDescent="0.15">
      <c r="A486" s="10"/>
      <c r="B486" s="13"/>
      <c r="C486" s="13"/>
    </row>
    <row r="487" spans="1:3" ht="13" x14ac:dyDescent="0.15">
      <c r="A487" s="10"/>
      <c r="B487" s="13"/>
      <c r="C487" s="13"/>
    </row>
    <row r="488" spans="1:3" ht="13" x14ac:dyDescent="0.15">
      <c r="A488" s="10"/>
      <c r="B488" s="13"/>
      <c r="C488" s="13"/>
    </row>
    <row r="489" spans="1:3" ht="13" x14ac:dyDescent="0.15">
      <c r="A489" s="10"/>
      <c r="B489" s="13"/>
      <c r="C489" s="13"/>
    </row>
    <row r="490" spans="1:3" ht="13" x14ac:dyDescent="0.15">
      <c r="A490" s="10"/>
      <c r="B490" s="13"/>
      <c r="C490" s="13"/>
    </row>
    <row r="491" spans="1:3" ht="13" x14ac:dyDescent="0.15">
      <c r="A491" s="10"/>
      <c r="B491" s="13"/>
      <c r="C491" s="13"/>
    </row>
    <row r="492" spans="1:3" ht="13" x14ac:dyDescent="0.15">
      <c r="A492" s="10"/>
      <c r="B492" s="13"/>
      <c r="C492" s="13"/>
    </row>
    <row r="493" spans="1:3" ht="13" x14ac:dyDescent="0.15">
      <c r="A493" s="10"/>
      <c r="B493" s="13"/>
      <c r="C493" s="13"/>
    </row>
    <row r="494" spans="1:3" ht="13" x14ac:dyDescent="0.15">
      <c r="A494" s="10"/>
      <c r="B494" s="13"/>
      <c r="C494" s="13"/>
    </row>
    <row r="495" spans="1:3" ht="13" x14ac:dyDescent="0.15">
      <c r="A495" s="10"/>
      <c r="B495" s="13"/>
      <c r="C495" s="13"/>
    </row>
    <row r="496" spans="1:3" ht="13" x14ac:dyDescent="0.15">
      <c r="A496" s="10"/>
      <c r="B496" s="13"/>
      <c r="C496" s="13"/>
    </row>
    <row r="497" spans="1:3" ht="13" x14ac:dyDescent="0.15">
      <c r="A497" s="10"/>
      <c r="B497" s="13"/>
      <c r="C497" s="13"/>
    </row>
    <row r="498" spans="1:3" ht="13" x14ac:dyDescent="0.15">
      <c r="A498" s="10"/>
      <c r="B498" s="13"/>
      <c r="C498" s="13"/>
    </row>
    <row r="499" spans="1:3" ht="13" x14ac:dyDescent="0.15">
      <c r="A499" s="10"/>
      <c r="B499" s="13"/>
      <c r="C499" s="13"/>
    </row>
    <row r="500" spans="1:3" ht="13" x14ac:dyDescent="0.15">
      <c r="A500" s="10"/>
      <c r="B500" s="13"/>
      <c r="C500" s="13"/>
    </row>
    <row r="501" spans="1:3" ht="13" x14ac:dyDescent="0.15">
      <c r="A501" s="10"/>
      <c r="B501" s="13"/>
      <c r="C501" s="13"/>
    </row>
    <row r="502" spans="1:3" ht="13" x14ac:dyDescent="0.15">
      <c r="A502" s="10"/>
      <c r="B502" s="13"/>
      <c r="C502" s="13"/>
    </row>
    <row r="503" spans="1:3" ht="13" x14ac:dyDescent="0.15">
      <c r="A503" s="10"/>
      <c r="B503" s="13"/>
      <c r="C503" s="13"/>
    </row>
    <row r="504" spans="1:3" ht="13" x14ac:dyDescent="0.15">
      <c r="A504" s="10"/>
      <c r="B504" s="13"/>
      <c r="C504" s="13"/>
    </row>
    <row r="505" spans="1:3" ht="13" x14ac:dyDescent="0.15">
      <c r="A505" s="10"/>
      <c r="B505" s="13"/>
      <c r="C505" s="13"/>
    </row>
    <row r="506" spans="1:3" ht="13" x14ac:dyDescent="0.15">
      <c r="A506" s="10"/>
      <c r="B506" s="13"/>
      <c r="C506" s="13"/>
    </row>
    <row r="507" spans="1:3" ht="13" x14ac:dyDescent="0.15">
      <c r="A507" s="10"/>
      <c r="B507" s="13"/>
      <c r="C507" s="13"/>
    </row>
    <row r="508" spans="1:3" ht="13" x14ac:dyDescent="0.15">
      <c r="A508" s="10"/>
      <c r="B508" s="13"/>
      <c r="C508" s="13"/>
    </row>
    <row r="509" spans="1:3" ht="13" x14ac:dyDescent="0.15">
      <c r="A509" s="10"/>
      <c r="B509" s="13"/>
      <c r="C509" s="13"/>
    </row>
    <row r="510" spans="1:3" ht="13" x14ac:dyDescent="0.15">
      <c r="A510" s="10"/>
      <c r="B510" s="13"/>
      <c r="C510" s="13"/>
    </row>
    <row r="511" spans="1:3" ht="13" x14ac:dyDescent="0.15">
      <c r="A511" s="10"/>
      <c r="B511" s="13"/>
      <c r="C511" s="13"/>
    </row>
    <row r="512" spans="1:3" ht="13" x14ac:dyDescent="0.15">
      <c r="A512" s="10"/>
      <c r="B512" s="13"/>
      <c r="C512" s="13"/>
    </row>
    <row r="513" spans="1:3" ht="13" x14ac:dyDescent="0.15">
      <c r="A513" s="10"/>
      <c r="B513" s="13"/>
      <c r="C513" s="13"/>
    </row>
    <row r="514" spans="1:3" ht="13" x14ac:dyDescent="0.15">
      <c r="A514" s="10"/>
      <c r="B514" s="13"/>
      <c r="C514" s="13"/>
    </row>
    <row r="515" spans="1:3" ht="13" x14ac:dyDescent="0.15">
      <c r="A515" s="10"/>
      <c r="B515" s="13"/>
      <c r="C515" s="13"/>
    </row>
    <row r="516" spans="1:3" ht="13" x14ac:dyDescent="0.15">
      <c r="A516" s="10"/>
      <c r="B516" s="13"/>
      <c r="C516" s="13"/>
    </row>
    <row r="517" spans="1:3" ht="13" x14ac:dyDescent="0.15">
      <c r="A517" s="10"/>
      <c r="B517" s="13"/>
      <c r="C517" s="13"/>
    </row>
    <row r="518" spans="1:3" ht="13" x14ac:dyDescent="0.15">
      <c r="A518" s="10"/>
      <c r="B518" s="13"/>
      <c r="C518" s="13"/>
    </row>
    <row r="519" spans="1:3" ht="13" x14ac:dyDescent="0.15">
      <c r="A519" s="10"/>
      <c r="B519" s="13"/>
      <c r="C519" s="13"/>
    </row>
    <row r="520" spans="1:3" ht="13" x14ac:dyDescent="0.15">
      <c r="A520" s="10"/>
      <c r="B520" s="13"/>
      <c r="C520" s="13"/>
    </row>
    <row r="521" spans="1:3" ht="13" x14ac:dyDescent="0.15">
      <c r="A521" s="10"/>
      <c r="B521" s="13"/>
      <c r="C521" s="13"/>
    </row>
    <row r="522" spans="1:3" ht="13" x14ac:dyDescent="0.15">
      <c r="A522" s="10"/>
      <c r="B522" s="13"/>
      <c r="C522" s="13"/>
    </row>
    <row r="523" spans="1:3" ht="13" x14ac:dyDescent="0.15">
      <c r="A523" s="10"/>
      <c r="B523" s="13"/>
      <c r="C523" s="13"/>
    </row>
    <row r="524" spans="1:3" ht="13" x14ac:dyDescent="0.15">
      <c r="A524" s="10"/>
      <c r="B524" s="13"/>
      <c r="C524" s="13"/>
    </row>
    <row r="525" spans="1:3" ht="13" x14ac:dyDescent="0.15">
      <c r="A525" s="10"/>
      <c r="B525" s="13"/>
      <c r="C525" s="13"/>
    </row>
    <row r="526" spans="1:3" ht="13" x14ac:dyDescent="0.15">
      <c r="A526" s="10"/>
      <c r="B526" s="13"/>
      <c r="C526" s="13"/>
    </row>
    <row r="527" spans="1:3" ht="13" x14ac:dyDescent="0.15">
      <c r="A527" s="10"/>
      <c r="B527" s="13"/>
      <c r="C527" s="13"/>
    </row>
    <row r="528" spans="1:3" ht="13" x14ac:dyDescent="0.15">
      <c r="A528" s="10"/>
      <c r="B528" s="13"/>
      <c r="C528" s="13"/>
    </row>
    <row r="529" spans="1:3" ht="13" x14ac:dyDescent="0.15">
      <c r="A529" s="10"/>
      <c r="B529" s="13"/>
      <c r="C529" s="13"/>
    </row>
    <row r="530" spans="1:3" ht="13" x14ac:dyDescent="0.15">
      <c r="A530" s="10"/>
      <c r="B530" s="13"/>
      <c r="C530" s="13"/>
    </row>
    <row r="531" spans="1:3" ht="13" x14ac:dyDescent="0.15">
      <c r="A531" s="10"/>
      <c r="B531" s="13"/>
      <c r="C531" s="13"/>
    </row>
    <row r="532" spans="1:3" ht="13" x14ac:dyDescent="0.15">
      <c r="A532" s="10"/>
      <c r="B532" s="13"/>
      <c r="C532" s="13"/>
    </row>
    <row r="533" spans="1:3" ht="13" x14ac:dyDescent="0.15">
      <c r="A533" s="10"/>
      <c r="B533" s="13"/>
      <c r="C533" s="13"/>
    </row>
    <row r="534" spans="1:3" ht="13" x14ac:dyDescent="0.15">
      <c r="A534" s="10"/>
      <c r="B534" s="13"/>
      <c r="C534" s="13"/>
    </row>
    <row r="535" spans="1:3" ht="13" x14ac:dyDescent="0.15">
      <c r="A535" s="10"/>
      <c r="B535" s="13"/>
      <c r="C535" s="13"/>
    </row>
    <row r="536" spans="1:3" ht="13" x14ac:dyDescent="0.15">
      <c r="A536" s="10"/>
      <c r="B536" s="13"/>
      <c r="C536" s="13"/>
    </row>
    <row r="537" spans="1:3" ht="13" x14ac:dyDescent="0.15">
      <c r="A537" s="10"/>
      <c r="B537" s="13"/>
      <c r="C537" s="13"/>
    </row>
    <row r="538" spans="1:3" ht="13" x14ac:dyDescent="0.15">
      <c r="A538" s="10"/>
      <c r="B538" s="13"/>
      <c r="C538" s="13"/>
    </row>
    <row r="539" spans="1:3" ht="13" x14ac:dyDescent="0.15">
      <c r="A539" s="10"/>
      <c r="B539" s="13"/>
      <c r="C539" s="13"/>
    </row>
    <row r="540" spans="1:3" ht="13" x14ac:dyDescent="0.15">
      <c r="A540" s="10"/>
      <c r="B540" s="13"/>
      <c r="C540" s="13"/>
    </row>
    <row r="541" spans="1:3" ht="13" x14ac:dyDescent="0.15">
      <c r="A541" s="10"/>
      <c r="B541" s="13"/>
      <c r="C541" s="13"/>
    </row>
    <row r="542" spans="1:3" ht="13" x14ac:dyDescent="0.15">
      <c r="A542" s="10"/>
      <c r="B542" s="13"/>
      <c r="C542" s="13"/>
    </row>
    <row r="543" spans="1:3" ht="13" x14ac:dyDescent="0.15">
      <c r="A543" s="10"/>
      <c r="B543" s="13"/>
      <c r="C543" s="13"/>
    </row>
    <row r="544" spans="1:3" ht="13" x14ac:dyDescent="0.15">
      <c r="A544" s="10"/>
      <c r="B544" s="13"/>
      <c r="C544" s="13"/>
    </row>
    <row r="545" spans="1:3" ht="13" x14ac:dyDescent="0.15">
      <c r="A545" s="10"/>
      <c r="B545" s="13"/>
      <c r="C545" s="13"/>
    </row>
    <row r="546" spans="1:3" ht="13" x14ac:dyDescent="0.15">
      <c r="A546" s="10"/>
      <c r="B546" s="13"/>
      <c r="C546" s="13"/>
    </row>
    <row r="547" spans="1:3" ht="13" x14ac:dyDescent="0.15">
      <c r="A547" s="10"/>
      <c r="B547" s="13"/>
      <c r="C547" s="13"/>
    </row>
    <row r="548" spans="1:3" ht="13" x14ac:dyDescent="0.15">
      <c r="A548" s="10"/>
      <c r="B548" s="13"/>
      <c r="C548" s="13"/>
    </row>
    <row r="549" spans="1:3" ht="13" x14ac:dyDescent="0.15">
      <c r="A549" s="10"/>
      <c r="B549" s="13"/>
      <c r="C549" s="13"/>
    </row>
    <row r="550" spans="1:3" ht="13" x14ac:dyDescent="0.15">
      <c r="A550" s="10"/>
      <c r="B550" s="13"/>
      <c r="C550" s="13"/>
    </row>
    <row r="551" spans="1:3" ht="13" x14ac:dyDescent="0.15">
      <c r="A551" s="10"/>
      <c r="B551" s="13"/>
      <c r="C551" s="13"/>
    </row>
    <row r="552" spans="1:3" ht="13" x14ac:dyDescent="0.15">
      <c r="A552" s="10"/>
      <c r="B552" s="13"/>
      <c r="C552" s="13"/>
    </row>
    <row r="553" spans="1:3" ht="13" x14ac:dyDescent="0.15">
      <c r="A553" s="10"/>
      <c r="B553" s="13"/>
      <c r="C553" s="13"/>
    </row>
    <row r="554" spans="1:3" ht="13" x14ac:dyDescent="0.15">
      <c r="A554" s="10"/>
      <c r="B554" s="13"/>
      <c r="C554" s="13"/>
    </row>
    <row r="555" spans="1:3" ht="13" x14ac:dyDescent="0.15">
      <c r="A555" s="10"/>
      <c r="B555" s="13"/>
      <c r="C555" s="13"/>
    </row>
    <row r="556" spans="1:3" ht="13" x14ac:dyDescent="0.15">
      <c r="A556" s="10"/>
      <c r="B556" s="13"/>
      <c r="C556" s="13"/>
    </row>
    <row r="557" spans="1:3" ht="13" x14ac:dyDescent="0.15">
      <c r="A557" s="10"/>
      <c r="B557" s="13"/>
      <c r="C557" s="13"/>
    </row>
    <row r="558" spans="1:3" ht="13" x14ac:dyDescent="0.15">
      <c r="A558" s="10"/>
      <c r="B558" s="13"/>
      <c r="C558" s="13"/>
    </row>
    <row r="559" spans="1:3" ht="13" x14ac:dyDescent="0.15">
      <c r="A559" s="10"/>
      <c r="B559" s="13"/>
      <c r="C559" s="13"/>
    </row>
    <row r="560" spans="1:3" ht="13" x14ac:dyDescent="0.15">
      <c r="A560" s="10"/>
      <c r="B560" s="13"/>
      <c r="C560" s="13"/>
    </row>
    <row r="561" spans="1:3" ht="13" x14ac:dyDescent="0.15">
      <c r="A561" s="10"/>
      <c r="B561" s="13"/>
      <c r="C561" s="13"/>
    </row>
    <row r="562" spans="1:3" ht="13" x14ac:dyDescent="0.15">
      <c r="A562" s="10"/>
      <c r="B562" s="13"/>
      <c r="C562" s="13"/>
    </row>
    <row r="563" spans="1:3" ht="13" x14ac:dyDescent="0.15">
      <c r="A563" s="10"/>
      <c r="B563" s="13"/>
      <c r="C563" s="13"/>
    </row>
    <row r="564" spans="1:3" ht="13" x14ac:dyDescent="0.15">
      <c r="A564" s="10"/>
      <c r="B564" s="13"/>
      <c r="C564" s="13"/>
    </row>
    <row r="565" spans="1:3" ht="13" x14ac:dyDescent="0.15">
      <c r="A565" s="10"/>
      <c r="B565" s="13"/>
      <c r="C565" s="13"/>
    </row>
    <row r="566" spans="1:3" ht="13" x14ac:dyDescent="0.15">
      <c r="A566" s="10"/>
      <c r="B566" s="13"/>
      <c r="C566" s="13"/>
    </row>
    <row r="567" spans="1:3" ht="13" x14ac:dyDescent="0.15">
      <c r="A567" s="10"/>
      <c r="B567" s="13"/>
      <c r="C567" s="13"/>
    </row>
    <row r="568" spans="1:3" ht="13" x14ac:dyDescent="0.15">
      <c r="A568" s="10"/>
      <c r="B568" s="13"/>
      <c r="C568" s="13"/>
    </row>
    <row r="569" spans="1:3" ht="13" x14ac:dyDescent="0.15">
      <c r="A569" s="10"/>
      <c r="B569" s="13"/>
      <c r="C569" s="13"/>
    </row>
    <row r="570" spans="1:3" ht="13" x14ac:dyDescent="0.15">
      <c r="A570" s="10"/>
      <c r="B570" s="13"/>
      <c r="C570" s="13"/>
    </row>
    <row r="571" spans="1:3" ht="13" x14ac:dyDescent="0.15">
      <c r="A571" s="10"/>
      <c r="B571" s="13"/>
      <c r="C571" s="13"/>
    </row>
    <row r="572" spans="1:3" ht="13" x14ac:dyDescent="0.15">
      <c r="A572" s="10"/>
      <c r="B572" s="13"/>
      <c r="C572" s="13"/>
    </row>
    <row r="573" spans="1:3" ht="13" x14ac:dyDescent="0.15">
      <c r="A573" s="10"/>
      <c r="B573" s="13"/>
      <c r="C573" s="13"/>
    </row>
    <row r="574" spans="1:3" ht="13" x14ac:dyDescent="0.15">
      <c r="A574" s="10"/>
      <c r="B574" s="13"/>
      <c r="C574" s="13"/>
    </row>
    <row r="575" spans="1:3" ht="13" x14ac:dyDescent="0.15">
      <c r="A575" s="10"/>
      <c r="B575" s="13"/>
      <c r="C575" s="13"/>
    </row>
    <row r="576" spans="1:3" ht="13" x14ac:dyDescent="0.15">
      <c r="A576" s="10"/>
      <c r="B576" s="13"/>
      <c r="C576" s="13"/>
    </row>
    <row r="577" spans="1:3" ht="13" x14ac:dyDescent="0.15">
      <c r="A577" s="10"/>
      <c r="B577" s="13"/>
      <c r="C577" s="13"/>
    </row>
    <row r="578" spans="1:3" ht="13" x14ac:dyDescent="0.15">
      <c r="A578" s="10"/>
      <c r="B578" s="13"/>
      <c r="C578" s="13"/>
    </row>
    <row r="579" spans="1:3" ht="13" x14ac:dyDescent="0.15">
      <c r="A579" s="10"/>
      <c r="B579" s="13"/>
      <c r="C579" s="13"/>
    </row>
    <row r="580" spans="1:3" ht="13" x14ac:dyDescent="0.15">
      <c r="A580" s="10"/>
      <c r="B580" s="13"/>
      <c r="C580" s="13"/>
    </row>
    <row r="581" spans="1:3" ht="13" x14ac:dyDescent="0.15">
      <c r="A581" s="10"/>
      <c r="B581" s="13"/>
      <c r="C581" s="13"/>
    </row>
    <row r="582" spans="1:3" ht="13" x14ac:dyDescent="0.15">
      <c r="A582" s="10"/>
      <c r="B582" s="13"/>
      <c r="C582" s="13"/>
    </row>
    <row r="583" spans="1:3" ht="13" x14ac:dyDescent="0.15">
      <c r="A583" s="10"/>
      <c r="B583" s="13"/>
      <c r="C583" s="13"/>
    </row>
    <row r="584" spans="1:3" ht="13" x14ac:dyDescent="0.15">
      <c r="A584" s="10"/>
      <c r="B584" s="13"/>
      <c r="C584" s="13"/>
    </row>
    <row r="585" spans="1:3" ht="13" x14ac:dyDescent="0.15">
      <c r="A585" s="10"/>
      <c r="B585" s="13"/>
      <c r="C585" s="13"/>
    </row>
    <row r="586" spans="1:3" ht="13" x14ac:dyDescent="0.15">
      <c r="A586" s="10"/>
      <c r="B586" s="13"/>
      <c r="C586" s="13"/>
    </row>
    <row r="587" spans="1:3" ht="13" x14ac:dyDescent="0.15">
      <c r="A587" s="10"/>
      <c r="B587" s="13"/>
      <c r="C587" s="13"/>
    </row>
    <row r="588" spans="1:3" ht="13" x14ac:dyDescent="0.15">
      <c r="A588" s="10"/>
      <c r="B588" s="13"/>
      <c r="C588" s="13"/>
    </row>
    <row r="589" spans="1:3" ht="13" x14ac:dyDescent="0.15">
      <c r="A589" s="10"/>
      <c r="B589" s="13"/>
      <c r="C589" s="13"/>
    </row>
    <row r="590" spans="1:3" ht="13" x14ac:dyDescent="0.15">
      <c r="A590" s="10"/>
      <c r="B590" s="13"/>
      <c r="C590" s="13"/>
    </row>
    <row r="591" spans="1:3" ht="13" x14ac:dyDescent="0.15">
      <c r="A591" s="10"/>
      <c r="B591" s="13"/>
      <c r="C591" s="13"/>
    </row>
    <row r="592" spans="1:3" ht="13" x14ac:dyDescent="0.15">
      <c r="A592" s="10"/>
      <c r="B592" s="13"/>
      <c r="C592" s="13"/>
    </row>
    <row r="593" spans="1:3" ht="13" x14ac:dyDescent="0.15">
      <c r="A593" s="10"/>
      <c r="B593" s="13"/>
      <c r="C593" s="13"/>
    </row>
    <row r="594" spans="1:3" ht="13" x14ac:dyDescent="0.15">
      <c r="A594" s="10"/>
      <c r="B594" s="13"/>
      <c r="C594" s="13"/>
    </row>
    <row r="595" spans="1:3" ht="13" x14ac:dyDescent="0.15">
      <c r="A595" s="10"/>
      <c r="B595" s="13"/>
      <c r="C595" s="13"/>
    </row>
    <row r="596" spans="1:3" ht="13" x14ac:dyDescent="0.15">
      <c r="A596" s="10"/>
      <c r="B596" s="13"/>
      <c r="C596" s="13"/>
    </row>
    <row r="597" spans="1:3" ht="13" x14ac:dyDescent="0.15">
      <c r="A597" s="10"/>
      <c r="B597" s="13"/>
      <c r="C597" s="13"/>
    </row>
    <row r="598" spans="1:3" ht="13" x14ac:dyDescent="0.15">
      <c r="A598" s="10"/>
      <c r="B598" s="13"/>
      <c r="C598" s="13"/>
    </row>
    <row r="599" spans="1:3" ht="13" x14ac:dyDescent="0.15">
      <c r="A599" s="10"/>
      <c r="B599" s="13"/>
      <c r="C599" s="13"/>
    </row>
    <row r="600" spans="1:3" ht="13" x14ac:dyDescent="0.15">
      <c r="A600" s="10"/>
      <c r="B600" s="13"/>
      <c r="C600" s="13"/>
    </row>
    <row r="601" spans="1:3" ht="13" x14ac:dyDescent="0.15">
      <c r="A601" s="10"/>
      <c r="B601" s="13"/>
      <c r="C601" s="13"/>
    </row>
    <row r="602" spans="1:3" ht="13" x14ac:dyDescent="0.15">
      <c r="A602" s="10"/>
      <c r="B602" s="13"/>
      <c r="C602" s="13"/>
    </row>
    <row r="603" spans="1:3" ht="13" x14ac:dyDescent="0.15">
      <c r="A603" s="10"/>
      <c r="B603" s="13"/>
      <c r="C603" s="13"/>
    </row>
    <row r="604" spans="1:3" ht="13" x14ac:dyDescent="0.15">
      <c r="A604" s="10"/>
      <c r="B604" s="13"/>
      <c r="C604" s="13"/>
    </row>
    <row r="605" spans="1:3" ht="13" x14ac:dyDescent="0.15">
      <c r="A605" s="10"/>
      <c r="B605" s="13"/>
      <c r="C605" s="13"/>
    </row>
    <row r="606" spans="1:3" ht="13" x14ac:dyDescent="0.15">
      <c r="A606" s="10"/>
      <c r="B606" s="13"/>
      <c r="C606" s="13"/>
    </row>
    <row r="607" spans="1:3" ht="13" x14ac:dyDescent="0.15">
      <c r="A607" s="10"/>
      <c r="B607" s="13"/>
      <c r="C607" s="13"/>
    </row>
    <row r="608" spans="1:3" ht="13" x14ac:dyDescent="0.15">
      <c r="A608" s="10"/>
      <c r="B608" s="13"/>
      <c r="C608" s="13"/>
    </row>
    <row r="609" spans="1:3" ht="13" x14ac:dyDescent="0.15">
      <c r="A609" s="10"/>
      <c r="B609" s="13"/>
      <c r="C609" s="13"/>
    </row>
    <row r="610" spans="1:3" ht="13" x14ac:dyDescent="0.15">
      <c r="A610" s="10"/>
      <c r="B610" s="13"/>
      <c r="C610" s="13"/>
    </row>
    <row r="611" spans="1:3" ht="13" x14ac:dyDescent="0.15">
      <c r="A611" s="10"/>
      <c r="B611" s="13"/>
      <c r="C611" s="13"/>
    </row>
    <row r="612" spans="1:3" ht="13" x14ac:dyDescent="0.15">
      <c r="A612" s="10"/>
      <c r="B612" s="13"/>
      <c r="C612" s="13"/>
    </row>
    <row r="613" spans="1:3" ht="13" x14ac:dyDescent="0.15">
      <c r="A613" s="10"/>
      <c r="B613" s="13"/>
      <c r="C613" s="13"/>
    </row>
    <row r="614" spans="1:3" ht="13" x14ac:dyDescent="0.15">
      <c r="A614" s="10"/>
      <c r="B614" s="13"/>
      <c r="C614" s="13"/>
    </row>
    <row r="615" spans="1:3" ht="13" x14ac:dyDescent="0.15">
      <c r="A615" s="10"/>
      <c r="B615" s="13"/>
      <c r="C615" s="13"/>
    </row>
    <row r="616" spans="1:3" ht="13" x14ac:dyDescent="0.15">
      <c r="A616" s="10"/>
      <c r="B616" s="13"/>
      <c r="C616" s="13"/>
    </row>
    <row r="617" spans="1:3" ht="13" x14ac:dyDescent="0.15">
      <c r="A617" s="10"/>
      <c r="B617" s="13"/>
      <c r="C617" s="13"/>
    </row>
    <row r="618" spans="1:3" ht="13" x14ac:dyDescent="0.15">
      <c r="A618" s="10"/>
      <c r="B618" s="13"/>
      <c r="C618" s="13"/>
    </row>
    <row r="619" spans="1:3" ht="13" x14ac:dyDescent="0.15">
      <c r="A619" s="10"/>
      <c r="B619" s="13"/>
      <c r="C619" s="13"/>
    </row>
    <row r="620" spans="1:3" ht="13" x14ac:dyDescent="0.15">
      <c r="A620" s="10"/>
      <c r="B620" s="13"/>
      <c r="C620" s="13"/>
    </row>
    <row r="621" spans="1:3" ht="13" x14ac:dyDescent="0.15">
      <c r="A621" s="10"/>
      <c r="B621" s="13"/>
      <c r="C621" s="13"/>
    </row>
    <row r="622" spans="1:3" ht="13" x14ac:dyDescent="0.15">
      <c r="A622" s="10"/>
      <c r="B622" s="13"/>
      <c r="C622" s="13"/>
    </row>
    <row r="623" spans="1:3" ht="13" x14ac:dyDescent="0.15">
      <c r="A623" s="10"/>
      <c r="B623" s="13"/>
      <c r="C623" s="13"/>
    </row>
    <row r="624" spans="1:3" ht="13" x14ac:dyDescent="0.15">
      <c r="A624" s="10"/>
      <c r="B624" s="13"/>
      <c r="C624" s="13"/>
    </row>
    <row r="625" spans="1:3" ht="13" x14ac:dyDescent="0.15">
      <c r="A625" s="10"/>
      <c r="B625" s="13"/>
      <c r="C625" s="13"/>
    </row>
    <row r="626" spans="1:3" ht="13" x14ac:dyDescent="0.15">
      <c r="A626" s="10"/>
      <c r="B626" s="13"/>
      <c r="C626" s="13"/>
    </row>
    <row r="627" spans="1:3" ht="13" x14ac:dyDescent="0.15">
      <c r="A627" s="10"/>
      <c r="B627" s="13"/>
      <c r="C627" s="13"/>
    </row>
    <row r="628" spans="1:3" ht="13" x14ac:dyDescent="0.15">
      <c r="A628" s="10"/>
      <c r="B628" s="13"/>
      <c r="C628" s="13"/>
    </row>
    <row r="629" spans="1:3" ht="13" x14ac:dyDescent="0.15">
      <c r="A629" s="10"/>
      <c r="B629" s="13"/>
      <c r="C629" s="13"/>
    </row>
    <row r="630" spans="1:3" ht="13" x14ac:dyDescent="0.15">
      <c r="A630" s="10"/>
      <c r="B630" s="13"/>
      <c r="C630" s="13"/>
    </row>
    <row r="631" spans="1:3" ht="13" x14ac:dyDescent="0.15">
      <c r="A631" s="10"/>
      <c r="B631" s="13"/>
      <c r="C631" s="13"/>
    </row>
    <row r="632" spans="1:3" ht="13" x14ac:dyDescent="0.15">
      <c r="A632" s="10"/>
      <c r="B632" s="13"/>
      <c r="C632" s="13"/>
    </row>
    <row r="633" spans="1:3" ht="13" x14ac:dyDescent="0.15">
      <c r="A633" s="10"/>
      <c r="B633" s="13"/>
      <c r="C633" s="13"/>
    </row>
    <row r="634" spans="1:3" ht="13" x14ac:dyDescent="0.15">
      <c r="A634" s="10"/>
      <c r="B634" s="13"/>
      <c r="C634" s="13"/>
    </row>
    <row r="635" spans="1:3" ht="13" x14ac:dyDescent="0.15">
      <c r="A635" s="10"/>
      <c r="B635" s="13"/>
      <c r="C635" s="13"/>
    </row>
    <row r="636" spans="1:3" ht="13" x14ac:dyDescent="0.15">
      <c r="A636" s="10"/>
      <c r="B636" s="13"/>
      <c r="C636" s="13"/>
    </row>
    <row r="637" spans="1:3" ht="13" x14ac:dyDescent="0.15">
      <c r="A637" s="10"/>
      <c r="B637" s="13"/>
      <c r="C637" s="13"/>
    </row>
    <row r="638" spans="1:3" ht="13" x14ac:dyDescent="0.15">
      <c r="A638" s="10"/>
      <c r="B638" s="13"/>
      <c r="C638" s="13"/>
    </row>
    <row r="639" spans="1:3" ht="13" x14ac:dyDescent="0.15">
      <c r="A639" s="10"/>
      <c r="B639" s="13"/>
      <c r="C639" s="13"/>
    </row>
    <row r="640" spans="1:3" ht="13" x14ac:dyDescent="0.15">
      <c r="A640" s="10"/>
      <c r="B640" s="13"/>
      <c r="C640" s="13"/>
    </row>
    <row r="641" spans="1:3" ht="13" x14ac:dyDescent="0.15">
      <c r="A641" s="10"/>
      <c r="B641" s="13"/>
      <c r="C641" s="13"/>
    </row>
    <row r="642" spans="1:3" ht="13" x14ac:dyDescent="0.15">
      <c r="A642" s="10"/>
      <c r="B642" s="13"/>
      <c r="C642" s="13"/>
    </row>
    <row r="643" spans="1:3" ht="13" x14ac:dyDescent="0.15">
      <c r="A643" s="10"/>
      <c r="B643" s="13"/>
      <c r="C643" s="13"/>
    </row>
    <row r="644" spans="1:3" ht="13" x14ac:dyDescent="0.15">
      <c r="A644" s="10"/>
      <c r="B644" s="13"/>
      <c r="C644" s="13"/>
    </row>
    <row r="645" spans="1:3" ht="13" x14ac:dyDescent="0.15">
      <c r="A645" s="10"/>
      <c r="B645" s="13"/>
      <c r="C645" s="13"/>
    </row>
    <row r="646" spans="1:3" ht="13" x14ac:dyDescent="0.15">
      <c r="A646" s="10"/>
      <c r="B646" s="13"/>
      <c r="C646" s="13"/>
    </row>
    <row r="647" spans="1:3" ht="13" x14ac:dyDescent="0.15">
      <c r="A647" s="10"/>
      <c r="B647" s="13"/>
      <c r="C647" s="13"/>
    </row>
    <row r="648" spans="1:3" ht="13" x14ac:dyDescent="0.15">
      <c r="A648" s="10"/>
      <c r="B648" s="13"/>
      <c r="C648" s="13"/>
    </row>
    <row r="649" spans="1:3" ht="13" x14ac:dyDescent="0.15">
      <c r="A649" s="10"/>
      <c r="B649" s="13"/>
      <c r="C649" s="13"/>
    </row>
    <row r="650" spans="1:3" ht="13" x14ac:dyDescent="0.15">
      <c r="A650" s="10"/>
      <c r="B650" s="13"/>
      <c r="C650" s="13"/>
    </row>
    <row r="651" spans="1:3" ht="13" x14ac:dyDescent="0.15">
      <c r="A651" s="10"/>
      <c r="B651" s="13"/>
      <c r="C651" s="13"/>
    </row>
    <row r="652" spans="1:3" ht="13" x14ac:dyDescent="0.15">
      <c r="A652" s="10"/>
      <c r="B652" s="13"/>
      <c r="C652" s="13"/>
    </row>
    <row r="653" spans="1:3" ht="13" x14ac:dyDescent="0.15">
      <c r="A653" s="10"/>
      <c r="B653" s="13"/>
      <c r="C653" s="13"/>
    </row>
    <row r="654" spans="1:3" ht="13" x14ac:dyDescent="0.15">
      <c r="A654" s="10"/>
      <c r="B654" s="13"/>
      <c r="C654" s="13"/>
    </row>
    <row r="655" spans="1:3" ht="13" x14ac:dyDescent="0.15">
      <c r="A655" s="10"/>
      <c r="B655" s="13"/>
      <c r="C655" s="13"/>
    </row>
    <row r="656" spans="1:3" ht="13" x14ac:dyDescent="0.15">
      <c r="A656" s="10"/>
      <c r="B656" s="13"/>
      <c r="C656" s="13"/>
    </row>
    <row r="657" spans="1:3" ht="13" x14ac:dyDescent="0.15">
      <c r="A657" s="10"/>
      <c r="B657" s="13"/>
      <c r="C657" s="13"/>
    </row>
    <row r="658" spans="1:3" ht="13" x14ac:dyDescent="0.15">
      <c r="A658" s="10"/>
      <c r="B658" s="13"/>
      <c r="C658" s="13"/>
    </row>
    <row r="659" spans="1:3" ht="13" x14ac:dyDescent="0.15">
      <c r="A659" s="10"/>
      <c r="B659" s="13"/>
      <c r="C659" s="13"/>
    </row>
    <row r="660" spans="1:3" ht="13" x14ac:dyDescent="0.15">
      <c r="A660" s="10"/>
      <c r="B660" s="13"/>
      <c r="C660" s="13"/>
    </row>
    <row r="661" spans="1:3" ht="13" x14ac:dyDescent="0.15">
      <c r="A661" s="10"/>
      <c r="B661" s="13"/>
      <c r="C661" s="13"/>
    </row>
    <row r="662" spans="1:3" ht="13" x14ac:dyDescent="0.15">
      <c r="A662" s="10"/>
      <c r="B662" s="13"/>
      <c r="C662" s="13"/>
    </row>
    <row r="663" spans="1:3" ht="13" x14ac:dyDescent="0.15">
      <c r="A663" s="10"/>
      <c r="B663" s="13"/>
      <c r="C663" s="13"/>
    </row>
    <row r="664" spans="1:3" ht="13" x14ac:dyDescent="0.15">
      <c r="A664" s="10"/>
      <c r="B664" s="13"/>
      <c r="C664" s="13"/>
    </row>
    <row r="665" spans="1:3" ht="13" x14ac:dyDescent="0.15">
      <c r="A665" s="10"/>
      <c r="B665" s="13"/>
      <c r="C665" s="13"/>
    </row>
    <row r="666" spans="1:3" ht="13" x14ac:dyDescent="0.15">
      <c r="A666" s="10"/>
      <c r="B666" s="13"/>
      <c r="C666" s="13"/>
    </row>
    <row r="667" spans="1:3" ht="13" x14ac:dyDescent="0.15">
      <c r="A667" s="10"/>
      <c r="B667" s="13"/>
      <c r="C667" s="13"/>
    </row>
    <row r="668" spans="1:3" ht="13" x14ac:dyDescent="0.15">
      <c r="A668" s="10"/>
      <c r="B668" s="13"/>
      <c r="C668" s="13"/>
    </row>
    <row r="669" spans="1:3" ht="13" x14ac:dyDescent="0.15">
      <c r="A669" s="10"/>
      <c r="B669" s="13"/>
      <c r="C669" s="13"/>
    </row>
    <row r="670" spans="1:3" ht="13" x14ac:dyDescent="0.15">
      <c r="A670" s="10"/>
      <c r="B670" s="13"/>
      <c r="C670" s="13"/>
    </row>
    <row r="671" spans="1:3" ht="13" x14ac:dyDescent="0.15">
      <c r="A671" s="10"/>
      <c r="B671" s="13"/>
      <c r="C671" s="13"/>
    </row>
    <row r="672" spans="1:3" ht="13" x14ac:dyDescent="0.15">
      <c r="A672" s="10"/>
      <c r="B672" s="13"/>
      <c r="C672" s="13"/>
    </row>
    <row r="673" spans="1:3" ht="13" x14ac:dyDescent="0.15">
      <c r="A673" s="10"/>
      <c r="B673" s="13"/>
      <c r="C673" s="13"/>
    </row>
    <row r="674" spans="1:3" ht="13" x14ac:dyDescent="0.15">
      <c r="A674" s="10"/>
      <c r="B674" s="13"/>
      <c r="C674" s="13"/>
    </row>
    <row r="675" spans="1:3" ht="13" x14ac:dyDescent="0.15">
      <c r="A675" s="10"/>
      <c r="B675" s="13"/>
      <c r="C675" s="13"/>
    </row>
    <row r="676" spans="1:3" ht="13" x14ac:dyDescent="0.15">
      <c r="A676" s="10"/>
      <c r="B676" s="13"/>
      <c r="C676" s="13"/>
    </row>
    <row r="677" spans="1:3" ht="13" x14ac:dyDescent="0.15">
      <c r="A677" s="10"/>
      <c r="B677" s="13"/>
      <c r="C677" s="13"/>
    </row>
    <row r="678" spans="1:3" ht="13" x14ac:dyDescent="0.15">
      <c r="A678" s="10"/>
      <c r="B678" s="13"/>
      <c r="C678" s="13"/>
    </row>
    <row r="679" spans="1:3" ht="13" x14ac:dyDescent="0.15">
      <c r="A679" s="10"/>
      <c r="B679" s="13"/>
      <c r="C679" s="13"/>
    </row>
    <row r="680" spans="1:3" ht="13" x14ac:dyDescent="0.15">
      <c r="A680" s="10"/>
      <c r="B680" s="13"/>
      <c r="C680" s="13"/>
    </row>
    <row r="681" spans="1:3" ht="13" x14ac:dyDescent="0.15">
      <c r="A681" s="10"/>
      <c r="B681" s="13"/>
      <c r="C681" s="13"/>
    </row>
    <row r="682" spans="1:3" ht="13" x14ac:dyDescent="0.15">
      <c r="A682" s="10"/>
      <c r="B682" s="13"/>
      <c r="C682" s="13"/>
    </row>
    <row r="683" spans="1:3" ht="13" x14ac:dyDescent="0.15">
      <c r="A683" s="10"/>
      <c r="B683" s="13"/>
      <c r="C683" s="13"/>
    </row>
    <row r="684" spans="1:3" ht="13" x14ac:dyDescent="0.15">
      <c r="A684" s="10"/>
      <c r="B684" s="13"/>
      <c r="C684" s="13"/>
    </row>
    <row r="685" spans="1:3" ht="13" x14ac:dyDescent="0.15">
      <c r="A685" s="10"/>
      <c r="B685" s="13"/>
      <c r="C685" s="13"/>
    </row>
    <row r="686" spans="1:3" ht="13" x14ac:dyDescent="0.15">
      <c r="A686" s="10"/>
      <c r="B686" s="13"/>
      <c r="C686" s="13"/>
    </row>
    <row r="687" spans="1:3" ht="13" x14ac:dyDescent="0.15">
      <c r="A687" s="10"/>
      <c r="B687" s="13"/>
      <c r="C687" s="13"/>
    </row>
    <row r="688" spans="1:3" ht="13" x14ac:dyDescent="0.15">
      <c r="A688" s="10"/>
      <c r="B688" s="13"/>
      <c r="C688" s="13"/>
    </row>
    <row r="689" spans="1:3" ht="13" x14ac:dyDescent="0.15">
      <c r="A689" s="10"/>
      <c r="B689" s="13"/>
      <c r="C689" s="13"/>
    </row>
    <row r="690" spans="1:3" ht="13" x14ac:dyDescent="0.15">
      <c r="A690" s="10"/>
      <c r="B690" s="13"/>
      <c r="C690" s="13"/>
    </row>
    <row r="691" spans="1:3" ht="13" x14ac:dyDescent="0.15">
      <c r="A691" s="10"/>
      <c r="B691" s="13"/>
      <c r="C691" s="13"/>
    </row>
    <row r="692" spans="1:3" ht="13" x14ac:dyDescent="0.15">
      <c r="A692" s="10"/>
      <c r="B692" s="13"/>
      <c r="C692" s="13"/>
    </row>
    <row r="693" spans="1:3" ht="13" x14ac:dyDescent="0.15">
      <c r="A693" s="10"/>
      <c r="B693" s="13"/>
      <c r="C693" s="13"/>
    </row>
    <row r="694" spans="1:3" ht="13" x14ac:dyDescent="0.15">
      <c r="A694" s="10"/>
      <c r="B694" s="13"/>
      <c r="C694" s="13"/>
    </row>
    <row r="695" spans="1:3" ht="13" x14ac:dyDescent="0.15">
      <c r="A695" s="10"/>
      <c r="B695" s="13"/>
      <c r="C695" s="13"/>
    </row>
    <row r="696" spans="1:3" ht="13" x14ac:dyDescent="0.15">
      <c r="A696" s="10"/>
      <c r="B696" s="13"/>
      <c r="C696" s="13"/>
    </row>
    <row r="697" spans="1:3" ht="13" x14ac:dyDescent="0.15">
      <c r="A697" s="10"/>
      <c r="B697" s="13"/>
      <c r="C697" s="13"/>
    </row>
    <row r="698" spans="1:3" ht="13" x14ac:dyDescent="0.15">
      <c r="A698" s="10"/>
      <c r="B698" s="13"/>
      <c r="C698" s="13"/>
    </row>
    <row r="699" spans="1:3" ht="13" x14ac:dyDescent="0.15">
      <c r="A699" s="10"/>
      <c r="B699" s="13"/>
      <c r="C699" s="13"/>
    </row>
    <row r="700" spans="1:3" ht="13" x14ac:dyDescent="0.15">
      <c r="A700" s="10"/>
      <c r="B700" s="13"/>
      <c r="C700" s="13"/>
    </row>
    <row r="701" spans="1:3" ht="13" x14ac:dyDescent="0.15">
      <c r="A701" s="10"/>
      <c r="B701" s="13"/>
      <c r="C701" s="13"/>
    </row>
    <row r="702" spans="1:3" ht="13" x14ac:dyDescent="0.15">
      <c r="A702" s="10"/>
      <c r="B702" s="13"/>
      <c r="C702" s="13"/>
    </row>
    <row r="703" spans="1:3" ht="13" x14ac:dyDescent="0.15">
      <c r="A703" s="10"/>
      <c r="B703" s="13"/>
      <c r="C703" s="13"/>
    </row>
    <row r="704" spans="1:3" ht="13" x14ac:dyDescent="0.15">
      <c r="A704" s="10"/>
      <c r="B704" s="13"/>
      <c r="C704" s="13"/>
    </row>
    <row r="705" spans="1:3" ht="13" x14ac:dyDescent="0.15">
      <c r="A705" s="10"/>
      <c r="B705" s="13"/>
      <c r="C705" s="13"/>
    </row>
    <row r="706" spans="1:3" ht="13" x14ac:dyDescent="0.15">
      <c r="A706" s="10"/>
      <c r="B706" s="13"/>
      <c r="C706" s="13"/>
    </row>
    <row r="707" spans="1:3" ht="13" x14ac:dyDescent="0.15">
      <c r="A707" s="10"/>
      <c r="B707" s="13"/>
      <c r="C707" s="13"/>
    </row>
    <row r="708" spans="1:3" ht="13" x14ac:dyDescent="0.15">
      <c r="A708" s="10"/>
      <c r="B708" s="13"/>
      <c r="C708" s="13"/>
    </row>
    <row r="709" spans="1:3" ht="13" x14ac:dyDescent="0.15">
      <c r="A709" s="10"/>
      <c r="B709" s="13"/>
      <c r="C709" s="13"/>
    </row>
    <row r="710" spans="1:3" ht="13" x14ac:dyDescent="0.15">
      <c r="A710" s="10"/>
      <c r="B710" s="13"/>
      <c r="C710" s="13"/>
    </row>
    <row r="711" spans="1:3" ht="13" x14ac:dyDescent="0.15">
      <c r="A711" s="10"/>
      <c r="B711" s="13"/>
      <c r="C711" s="13"/>
    </row>
    <row r="712" spans="1:3" ht="13" x14ac:dyDescent="0.15">
      <c r="A712" s="10"/>
      <c r="B712" s="13"/>
      <c r="C712" s="13"/>
    </row>
    <row r="713" spans="1:3" ht="13" x14ac:dyDescent="0.15">
      <c r="A713" s="10"/>
      <c r="B713" s="13"/>
      <c r="C713" s="13"/>
    </row>
    <row r="714" spans="1:3" ht="13" x14ac:dyDescent="0.15">
      <c r="A714" s="10"/>
      <c r="B714" s="13"/>
      <c r="C714" s="13"/>
    </row>
    <row r="715" spans="1:3" ht="13" x14ac:dyDescent="0.15">
      <c r="A715" s="10"/>
      <c r="B715" s="13"/>
      <c r="C715" s="13"/>
    </row>
    <row r="716" spans="1:3" ht="13" x14ac:dyDescent="0.15">
      <c r="A716" s="10"/>
      <c r="B716" s="13"/>
      <c r="C716" s="13"/>
    </row>
    <row r="717" spans="1:3" ht="13" x14ac:dyDescent="0.15">
      <c r="A717" s="10"/>
      <c r="B717" s="13"/>
      <c r="C717" s="13"/>
    </row>
    <row r="718" spans="1:3" ht="13" x14ac:dyDescent="0.15">
      <c r="A718" s="10"/>
      <c r="B718" s="13"/>
      <c r="C718" s="13"/>
    </row>
    <row r="719" spans="1:3" ht="13" x14ac:dyDescent="0.15">
      <c r="A719" s="10"/>
      <c r="B719" s="13"/>
      <c r="C719" s="13"/>
    </row>
    <row r="720" spans="1:3" ht="13" x14ac:dyDescent="0.15">
      <c r="A720" s="10"/>
      <c r="B720" s="13"/>
      <c r="C720" s="13"/>
    </row>
    <row r="721" spans="1:3" ht="13" x14ac:dyDescent="0.15">
      <c r="A721" s="10"/>
      <c r="B721" s="13"/>
      <c r="C721" s="13"/>
    </row>
    <row r="722" spans="1:3" ht="13" x14ac:dyDescent="0.15">
      <c r="A722" s="10"/>
      <c r="B722" s="13"/>
      <c r="C722" s="13"/>
    </row>
    <row r="723" spans="1:3" ht="13" x14ac:dyDescent="0.15">
      <c r="A723" s="10"/>
      <c r="B723" s="13"/>
      <c r="C723" s="13"/>
    </row>
    <row r="724" spans="1:3" ht="13" x14ac:dyDescent="0.15">
      <c r="A724" s="10"/>
      <c r="B724" s="13"/>
      <c r="C724" s="13"/>
    </row>
    <row r="725" spans="1:3" ht="13" x14ac:dyDescent="0.15">
      <c r="A725" s="10"/>
      <c r="B725" s="13"/>
      <c r="C725" s="13"/>
    </row>
    <row r="726" spans="1:3" ht="13" x14ac:dyDescent="0.15">
      <c r="A726" s="10"/>
      <c r="B726" s="13"/>
      <c r="C726" s="13"/>
    </row>
    <row r="727" spans="1:3" ht="13" x14ac:dyDescent="0.15">
      <c r="A727" s="10"/>
      <c r="B727" s="13"/>
      <c r="C727" s="13"/>
    </row>
    <row r="728" spans="1:3" ht="13" x14ac:dyDescent="0.15">
      <c r="A728" s="10"/>
      <c r="B728" s="13"/>
      <c r="C728" s="13"/>
    </row>
    <row r="729" spans="1:3" ht="13" x14ac:dyDescent="0.15">
      <c r="A729" s="10"/>
      <c r="B729" s="13"/>
      <c r="C729" s="13"/>
    </row>
    <row r="730" spans="1:3" ht="13" x14ac:dyDescent="0.15">
      <c r="A730" s="10"/>
      <c r="B730" s="13"/>
      <c r="C730" s="13"/>
    </row>
    <row r="731" spans="1:3" ht="13" x14ac:dyDescent="0.15">
      <c r="A731" s="10"/>
      <c r="B731" s="13"/>
      <c r="C731" s="13"/>
    </row>
    <row r="732" spans="1:3" ht="13" x14ac:dyDescent="0.15">
      <c r="A732" s="10"/>
      <c r="B732" s="13"/>
      <c r="C732" s="13"/>
    </row>
    <row r="733" spans="1:3" ht="13" x14ac:dyDescent="0.15">
      <c r="A733" s="10"/>
      <c r="B733" s="13"/>
      <c r="C733" s="13"/>
    </row>
    <row r="734" spans="1:3" ht="13" x14ac:dyDescent="0.15">
      <c r="A734" s="10"/>
      <c r="B734" s="13"/>
      <c r="C734" s="13"/>
    </row>
    <row r="735" spans="1:3" ht="13" x14ac:dyDescent="0.15">
      <c r="A735" s="10"/>
      <c r="B735" s="13"/>
      <c r="C735" s="13"/>
    </row>
    <row r="736" spans="1:3" ht="13" x14ac:dyDescent="0.15">
      <c r="A736" s="10"/>
      <c r="B736" s="13"/>
      <c r="C736" s="13"/>
    </row>
    <row r="737" spans="1:3" ht="13" x14ac:dyDescent="0.15">
      <c r="A737" s="10"/>
      <c r="B737" s="13"/>
      <c r="C737" s="13"/>
    </row>
    <row r="738" spans="1:3" ht="13" x14ac:dyDescent="0.15">
      <c r="A738" s="10"/>
      <c r="B738" s="13"/>
      <c r="C738" s="13"/>
    </row>
    <row r="739" spans="1:3" ht="13" x14ac:dyDescent="0.15">
      <c r="A739" s="10"/>
      <c r="B739" s="13"/>
      <c r="C739" s="13"/>
    </row>
    <row r="740" spans="1:3" ht="13" x14ac:dyDescent="0.15">
      <c r="A740" s="10"/>
      <c r="B740" s="13"/>
      <c r="C740" s="13"/>
    </row>
    <row r="741" spans="1:3" ht="13" x14ac:dyDescent="0.15">
      <c r="A741" s="10"/>
      <c r="B741" s="13"/>
      <c r="C741" s="13"/>
    </row>
    <row r="742" spans="1:3" ht="13" x14ac:dyDescent="0.15">
      <c r="A742" s="10"/>
      <c r="B742" s="13"/>
      <c r="C742" s="13"/>
    </row>
    <row r="743" spans="1:3" ht="13" x14ac:dyDescent="0.15">
      <c r="A743" s="10"/>
      <c r="B743" s="13"/>
      <c r="C743" s="13"/>
    </row>
    <row r="744" spans="1:3" ht="13" x14ac:dyDescent="0.15">
      <c r="A744" s="10"/>
      <c r="B744" s="13"/>
      <c r="C744" s="13"/>
    </row>
    <row r="745" spans="1:3" ht="13" x14ac:dyDescent="0.15">
      <c r="A745" s="10"/>
      <c r="B745" s="13"/>
      <c r="C745" s="13"/>
    </row>
    <row r="746" spans="1:3" ht="13" x14ac:dyDescent="0.15">
      <c r="A746" s="10"/>
      <c r="B746" s="13"/>
      <c r="C746" s="13"/>
    </row>
    <row r="747" spans="1:3" ht="13" x14ac:dyDescent="0.15">
      <c r="A747" s="10"/>
      <c r="B747" s="13"/>
      <c r="C747" s="13"/>
    </row>
    <row r="748" spans="1:3" ht="13" x14ac:dyDescent="0.15">
      <c r="A748" s="10"/>
      <c r="B748" s="13"/>
      <c r="C748" s="13"/>
    </row>
    <row r="749" spans="1:3" ht="13" x14ac:dyDescent="0.15">
      <c r="A749" s="10"/>
      <c r="B749" s="13"/>
      <c r="C749" s="13"/>
    </row>
    <row r="750" spans="1:3" ht="13" x14ac:dyDescent="0.15">
      <c r="A750" s="10"/>
      <c r="B750" s="13"/>
      <c r="C750" s="13"/>
    </row>
    <row r="751" spans="1:3" ht="13" x14ac:dyDescent="0.15">
      <c r="A751" s="10"/>
      <c r="B751" s="13"/>
      <c r="C751" s="13"/>
    </row>
    <row r="752" spans="1:3" ht="13" x14ac:dyDescent="0.15">
      <c r="A752" s="10"/>
      <c r="B752" s="13"/>
      <c r="C752" s="13"/>
    </row>
    <row r="753" spans="1:3" ht="13" x14ac:dyDescent="0.15">
      <c r="A753" s="10"/>
      <c r="B753" s="13"/>
      <c r="C753" s="13"/>
    </row>
    <row r="754" spans="1:3" ht="13" x14ac:dyDescent="0.15">
      <c r="A754" s="10"/>
      <c r="B754" s="13"/>
      <c r="C754" s="13"/>
    </row>
    <row r="755" spans="1:3" ht="13" x14ac:dyDescent="0.15">
      <c r="A755" s="10"/>
      <c r="B755" s="13"/>
      <c r="C755" s="13"/>
    </row>
    <row r="756" spans="1:3" ht="13" x14ac:dyDescent="0.15">
      <c r="A756" s="10"/>
      <c r="B756" s="13"/>
      <c r="C756" s="13"/>
    </row>
    <row r="757" spans="1:3" ht="13" x14ac:dyDescent="0.15">
      <c r="A757" s="10"/>
      <c r="B757" s="13"/>
      <c r="C757" s="13"/>
    </row>
    <row r="758" spans="1:3" ht="13" x14ac:dyDescent="0.15">
      <c r="A758" s="10"/>
      <c r="B758" s="13"/>
      <c r="C758" s="13"/>
    </row>
    <row r="759" spans="1:3" ht="13" x14ac:dyDescent="0.15">
      <c r="A759" s="10"/>
      <c r="B759" s="13"/>
      <c r="C759" s="13"/>
    </row>
    <row r="760" spans="1:3" ht="13" x14ac:dyDescent="0.15">
      <c r="A760" s="10"/>
      <c r="B760" s="13"/>
      <c r="C760" s="13"/>
    </row>
    <row r="761" spans="1:3" ht="13" x14ac:dyDescent="0.15">
      <c r="A761" s="10"/>
      <c r="B761" s="13"/>
      <c r="C761" s="13"/>
    </row>
    <row r="762" spans="1:3" ht="13" x14ac:dyDescent="0.15">
      <c r="A762" s="10"/>
      <c r="B762" s="13"/>
      <c r="C762" s="13"/>
    </row>
    <row r="763" spans="1:3" ht="13" x14ac:dyDescent="0.15">
      <c r="A763" s="10"/>
      <c r="B763" s="13"/>
      <c r="C763" s="13"/>
    </row>
    <row r="764" spans="1:3" ht="13" x14ac:dyDescent="0.15">
      <c r="A764" s="10"/>
      <c r="B764" s="13"/>
      <c r="C764" s="13"/>
    </row>
    <row r="765" spans="1:3" ht="13" x14ac:dyDescent="0.15">
      <c r="A765" s="10"/>
      <c r="B765" s="13"/>
      <c r="C765" s="13"/>
    </row>
    <row r="766" spans="1:3" ht="13" x14ac:dyDescent="0.15">
      <c r="A766" s="10"/>
      <c r="B766" s="13"/>
      <c r="C766" s="13"/>
    </row>
    <row r="767" spans="1:3" ht="13" x14ac:dyDescent="0.15">
      <c r="A767" s="10"/>
      <c r="B767" s="13"/>
      <c r="C767" s="13"/>
    </row>
    <row r="768" spans="1:3" ht="13" x14ac:dyDescent="0.15">
      <c r="A768" s="10"/>
      <c r="B768" s="13"/>
      <c r="C768" s="13"/>
    </row>
    <row r="769" spans="1:3" ht="13" x14ac:dyDescent="0.15">
      <c r="A769" s="10"/>
      <c r="B769" s="13"/>
      <c r="C769" s="13"/>
    </row>
    <row r="770" spans="1:3" ht="13" x14ac:dyDescent="0.15">
      <c r="A770" s="10"/>
      <c r="B770" s="13"/>
      <c r="C770" s="13"/>
    </row>
    <row r="771" spans="1:3" ht="13" x14ac:dyDescent="0.15">
      <c r="A771" s="10"/>
      <c r="B771" s="13"/>
      <c r="C771" s="13"/>
    </row>
    <row r="772" spans="1:3" ht="13" x14ac:dyDescent="0.15">
      <c r="A772" s="10"/>
      <c r="B772" s="13"/>
      <c r="C772" s="13"/>
    </row>
    <row r="773" spans="1:3" ht="13" x14ac:dyDescent="0.15">
      <c r="A773" s="10"/>
      <c r="B773" s="13"/>
      <c r="C773" s="13"/>
    </row>
    <row r="774" spans="1:3" ht="13" x14ac:dyDescent="0.15">
      <c r="A774" s="10"/>
      <c r="B774" s="13"/>
      <c r="C774" s="13"/>
    </row>
    <row r="775" spans="1:3" ht="13" x14ac:dyDescent="0.15">
      <c r="A775" s="10"/>
      <c r="B775" s="13"/>
      <c r="C775" s="13"/>
    </row>
    <row r="776" spans="1:3" ht="13" x14ac:dyDescent="0.15">
      <c r="A776" s="10"/>
      <c r="B776" s="13"/>
      <c r="C776" s="13"/>
    </row>
    <row r="777" spans="1:3" ht="13" x14ac:dyDescent="0.15">
      <c r="A777" s="10"/>
      <c r="B777" s="13"/>
      <c r="C777" s="13"/>
    </row>
    <row r="778" spans="1:3" ht="13" x14ac:dyDescent="0.15">
      <c r="A778" s="10"/>
      <c r="B778" s="13"/>
      <c r="C778" s="13"/>
    </row>
    <row r="779" spans="1:3" ht="13" x14ac:dyDescent="0.15">
      <c r="A779" s="10"/>
      <c r="B779" s="13"/>
      <c r="C779" s="13"/>
    </row>
    <row r="780" spans="1:3" ht="13" x14ac:dyDescent="0.15">
      <c r="A780" s="10"/>
      <c r="B780" s="13"/>
      <c r="C780" s="13"/>
    </row>
    <row r="781" spans="1:3" ht="13" x14ac:dyDescent="0.15">
      <c r="A781" s="10"/>
      <c r="B781" s="13"/>
      <c r="C781" s="13"/>
    </row>
    <row r="782" spans="1:3" ht="13" x14ac:dyDescent="0.15">
      <c r="A782" s="10"/>
      <c r="B782" s="13"/>
      <c r="C782" s="13"/>
    </row>
    <row r="783" spans="1:3" ht="13" x14ac:dyDescent="0.15">
      <c r="A783" s="10"/>
      <c r="B783" s="13"/>
      <c r="C783" s="13"/>
    </row>
    <row r="784" spans="1:3" ht="13" x14ac:dyDescent="0.15">
      <c r="A784" s="10"/>
      <c r="B784" s="13"/>
      <c r="C784" s="13"/>
    </row>
    <row r="785" spans="1:3" ht="13" x14ac:dyDescent="0.15">
      <c r="A785" s="10"/>
      <c r="B785" s="13"/>
      <c r="C785" s="13"/>
    </row>
    <row r="786" spans="1:3" ht="13" x14ac:dyDescent="0.15">
      <c r="A786" s="10"/>
      <c r="B786" s="13"/>
      <c r="C786" s="13"/>
    </row>
    <row r="787" spans="1:3" ht="13" x14ac:dyDescent="0.15">
      <c r="A787" s="10"/>
      <c r="B787" s="13"/>
      <c r="C787" s="13"/>
    </row>
    <row r="788" spans="1:3" ht="13" x14ac:dyDescent="0.15">
      <c r="A788" s="10"/>
      <c r="B788" s="13"/>
      <c r="C788" s="13"/>
    </row>
    <row r="789" spans="1:3" ht="13" x14ac:dyDescent="0.15">
      <c r="A789" s="10"/>
      <c r="B789" s="13"/>
      <c r="C789" s="13"/>
    </row>
    <row r="790" spans="1:3" ht="13" x14ac:dyDescent="0.15">
      <c r="A790" s="10"/>
      <c r="B790" s="13"/>
      <c r="C790" s="13"/>
    </row>
    <row r="791" spans="1:3" ht="13" x14ac:dyDescent="0.15">
      <c r="A791" s="10"/>
      <c r="B791" s="13"/>
      <c r="C791" s="13"/>
    </row>
    <row r="792" spans="1:3" ht="13" x14ac:dyDescent="0.15">
      <c r="A792" s="10"/>
      <c r="B792" s="13"/>
      <c r="C792" s="13"/>
    </row>
    <row r="793" spans="1:3" ht="13" x14ac:dyDescent="0.15">
      <c r="A793" s="10"/>
      <c r="B793" s="13"/>
      <c r="C793" s="13"/>
    </row>
    <row r="794" spans="1:3" ht="13" x14ac:dyDescent="0.15">
      <c r="A794" s="10"/>
      <c r="B794" s="13"/>
      <c r="C794" s="13"/>
    </row>
    <row r="795" spans="1:3" ht="13" x14ac:dyDescent="0.15">
      <c r="A795" s="10"/>
      <c r="B795" s="13"/>
      <c r="C795" s="13"/>
    </row>
    <row r="796" spans="1:3" ht="13" x14ac:dyDescent="0.15">
      <c r="A796" s="10"/>
      <c r="B796" s="13"/>
      <c r="C796" s="13"/>
    </row>
    <row r="797" spans="1:3" ht="13" x14ac:dyDescent="0.15">
      <c r="A797" s="10"/>
      <c r="B797" s="13"/>
      <c r="C797" s="13"/>
    </row>
    <row r="798" spans="1:3" ht="13" x14ac:dyDescent="0.15">
      <c r="A798" s="10"/>
      <c r="B798" s="13"/>
      <c r="C798" s="13"/>
    </row>
    <row r="799" spans="1:3" ht="13" x14ac:dyDescent="0.15">
      <c r="A799" s="10"/>
      <c r="B799" s="13"/>
      <c r="C799" s="13"/>
    </row>
    <row r="800" spans="1:3" ht="13" x14ac:dyDescent="0.15">
      <c r="A800" s="10"/>
      <c r="B800" s="13"/>
      <c r="C800" s="13"/>
    </row>
    <row r="801" spans="1:3" ht="13" x14ac:dyDescent="0.15">
      <c r="A801" s="10"/>
      <c r="B801" s="13"/>
      <c r="C801" s="13"/>
    </row>
    <row r="802" spans="1:3" ht="13" x14ac:dyDescent="0.15">
      <c r="A802" s="10"/>
      <c r="B802" s="13"/>
      <c r="C802" s="13"/>
    </row>
    <row r="803" spans="1:3" ht="13" x14ac:dyDescent="0.15">
      <c r="A803" s="10"/>
      <c r="B803" s="13"/>
      <c r="C803" s="13"/>
    </row>
    <row r="804" spans="1:3" ht="13" x14ac:dyDescent="0.15">
      <c r="A804" s="10"/>
      <c r="B804" s="13"/>
      <c r="C804" s="13"/>
    </row>
    <row r="805" spans="1:3" ht="13" x14ac:dyDescent="0.15">
      <c r="A805" s="10"/>
      <c r="B805" s="13"/>
      <c r="C805" s="13"/>
    </row>
    <row r="806" spans="1:3" ht="13" x14ac:dyDescent="0.15">
      <c r="A806" s="10"/>
      <c r="B806" s="13"/>
      <c r="C806" s="13"/>
    </row>
    <row r="807" spans="1:3" ht="13" x14ac:dyDescent="0.15">
      <c r="A807" s="10"/>
      <c r="B807" s="13"/>
      <c r="C807" s="13"/>
    </row>
    <row r="808" spans="1:3" ht="13" x14ac:dyDescent="0.15">
      <c r="A808" s="10"/>
      <c r="B808" s="13"/>
      <c r="C808" s="13"/>
    </row>
    <row r="809" spans="1:3" ht="13" x14ac:dyDescent="0.15">
      <c r="A809" s="10"/>
      <c r="B809" s="13"/>
      <c r="C809" s="13"/>
    </row>
    <row r="810" spans="1:3" ht="13" x14ac:dyDescent="0.15">
      <c r="A810" s="10"/>
      <c r="B810" s="13"/>
      <c r="C810" s="13"/>
    </row>
    <row r="811" spans="1:3" ht="13" x14ac:dyDescent="0.15">
      <c r="A811" s="10"/>
      <c r="B811" s="13"/>
      <c r="C811" s="13"/>
    </row>
    <row r="812" spans="1:3" ht="13" x14ac:dyDescent="0.15">
      <c r="A812" s="10"/>
      <c r="B812" s="13"/>
      <c r="C812" s="13"/>
    </row>
    <row r="813" spans="1:3" ht="13" x14ac:dyDescent="0.15">
      <c r="A813" s="10"/>
      <c r="B813" s="13"/>
      <c r="C813" s="13"/>
    </row>
    <row r="814" spans="1:3" ht="13" x14ac:dyDescent="0.15">
      <c r="A814" s="10"/>
      <c r="B814" s="13"/>
      <c r="C814" s="13"/>
    </row>
    <row r="815" spans="1:3" ht="13" x14ac:dyDescent="0.15">
      <c r="A815" s="10"/>
      <c r="B815" s="13"/>
      <c r="C815" s="13"/>
    </row>
    <row r="816" spans="1:3" ht="13" x14ac:dyDescent="0.15">
      <c r="A816" s="10"/>
      <c r="B816" s="13"/>
      <c r="C816" s="13"/>
    </row>
    <row r="817" spans="1:3" ht="13" x14ac:dyDescent="0.15">
      <c r="A817" s="10"/>
      <c r="B817" s="13"/>
      <c r="C817" s="13"/>
    </row>
    <row r="818" spans="1:3" ht="13" x14ac:dyDescent="0.15">
      <c r="A818" s="10"/>
      <c r="B818" s="13"/>
      <c r="C818" s="13"/>
    </row>
    <row r="819" spans="1:3" ht="13" x14ac:dyDescent="0.15">
      <c r="A819" s="10"/>
      <c r="B819" s="13"/>
      <c r="C819" s="13"/>
    </row>
    <row r="820" spans="1:3" ht="13" x14ac:dyDescent="0.15">
      <c r="A820" s="10"/>
      <c r="B820" s="13"/>
      <c r="C820" s="13"/>
    </row>
    <row r="821" spans="1:3" ht="13" x14ac:dyDescent="0.15">
      <c r="A821" s="10"/>
      <c r="B821" s="13"/>
      <c r="C821" s="13"/>
    </row>
    <row r="822" spans="1:3" ht="13" x14ac:dyDescent="0.15">
      <c r="A822" s="10"/>
      <c r="B822" s="13"/>
      <c r="C822" s="13"/>
    </row>
    <row r="823" spans="1:3" ht="13" x14ac:dyDescent="0.15">
      <c r="A823" s="10"/>
      <c r="B823" s="13"/>
      <c r="C823" s="13"/>
    </row>
    <row r="824" spans="1:3" ht="13" x14ac:dyDescent="0.15">
      <c r="A824" s="10"/>
      <c r="B824" s="13"/>
      <c r="C824" s="13"/>
    </row>
    <row r="825" spans="1:3" ht="13" x14ac:dyDescent="0.15">
      <c r="A825" s="10"/>
      <c r="B825" s="13"/>
      <c r="C825" s="13"/>
    </row>
    <row r="826" spans="1:3" ht="13" x14ac:dyDescent="0.15">
      <c r="A826" s="10"/>
      <c r="B826" s="13"/>
      <c r="C826" s="13"/>
    </row>
    <row r="827" spans="1:3" ht="13" x14ac:dyDescent="0.15">
      <c r="A827" s="10"/>
      <c r="B827" s="13"/>
      <c r="C827" s="13"/>
    </row>
    <row r="828" spans="1:3" ht="13" x14ac:dyDescent="0.15">
      <c r="A828" s="10"/>
      <c r="B828" s="13"/>
      <c r="C828" s="13"/>
    </row>
    <row r="829" spans="1:3" ht="13" x14ac:dyDescent="0.15">
      <c r="A829" s="10"/>
      <c r="B829" s="13"/>
      <c r="C829" s="13"/>
    </row>
    <row r="830" spans="1:3" ht="13" x14ac:dyDescent="0.15">
      <c r="A830" s="10"/>
      <c r="B830" s="13"/>
      <c r="C830" s="13"/>
    </row>
    <row r="831" spans="1:3" ht="13" x14ac:dyDescent="0.15">
      <c r="A831" s="10"/>
      <c r="B831" s="13"/>
      <c r="C831" s="13"/>
    </row>
    <row r="832" spans="1:3" ht="13" x14ac:dyDescent="0.15">
      <c r="A832" s="10"/>
      <c r="B832" s="13"/>
      <c r="C832" s="13"/>
    </row>
    <row r="833" spans="1:3" ht="13" x14ac:dyDescent="0.15">
      <c r="A833" s="10"/>
      <c r="B833" s="13"/>
      <c r="C833" s="13"/>
    </row>
    <row r="834" spans="1:3" ht="13" x14ac:dyDescent="0.15">
      <c r="A834" s="10"/>
      <c r="B834" s="13"/>
      <c r="C834" s="13"/>
    </row>
    <row r="835" spans="1:3" ht="13" x14ac:dyDescent="0.15">
      <c r="A835" s="10"/>
      <c r="B835" s="13"/>
      <c r="C835" s="13"/>
    </row>
    <row r="836" spans="1:3" ht="13" x14ac:dyDescent="0.15">
      <c r="A836" s="10"/>
      <c r="B836" s="13"/>
      <c r="C836" s="13"/>
    </row>
    <row r="837" spans="1:3" ht="13" x14ac:dyDescent="0.15">
      <c r="A837" s="10"/>
      <c r="B837" s="13"/>
      <c r="C837" s="13"/>
    </row>
    <row r="838" spans="1:3" ht="13" x14ac:dyDescent="0.15">
      <c r="A838" s="10"/>
      <c r="B838" s="13"/>
      <c r="C838" s="13"/>
    </row>
    <row r="839" spans="1:3" ht="13" x14ac:dyDescent="0.15">
      <c r="A839" s="10"/>
      <c r="B839" s="13"/>
      <c r="C839" s="13"/>
    </row>
    <row r="840" spans="1:3" ht="13" x14ac:dyDescent="0.15">
      <c r="A840" s="10"/>
      <c r="B840" s="13"/>
      <c r="C840" s="13"/>
    </row>
    <row r="841" spans="1:3" ht="13" x14ac:dyDescent="0.15">
      <c r="A841" s="10"/>
      <c r="B841" s="13"/>
      <c r="C841" s="13"/>
    </row>
    <row r="842" spans="1:3" ht="13" x14ac:dyDescent="0.15">
      <c r="A842" s="10"/>
      <c r="B842" s="13"/>
      <c r="C842" s="13"/>
    </row>
    <row r="843" spans="1:3" ht="13" x14ac:dyDescent="0.15">
      <c r="A843" s="10"/>
      <c r="B843" s="13"/>
      <c r="C843" s="13"/>
    </row>
    <row r="844" spans="1:3" ht="13" x14ac:dyDescent="0.15">
      <c r="A844" s="10"/>
      <c r="B844" s="13"/>
      <c r="C844" s="13"/>
    </row>
    <row r="845" spans="1:3" ht="13" x14ac:dyDescent="0.15">
      <c r="A845" s="10"/>
      <c r="B845" s="13"/>
      <c r="C845" s="13"/>
    </row>
    <row r="846" spans="1:3" ht="13" x14ac:dyDescent="0.15">
      <c r="A846" s="10"/>
      <c r="B846" s="13"/>
      <c r="C846" s="13"/>
    </row>
    <row r="847" spans="1:3" ht="13" x14ac:dyDescent="0.15">
      <c r="A847" s="10"/>
      <c r="B847" s="13"/>
      <c r="C847" s="13"/>
    </row>
    <row r="848" spans="1:3" ht="13" x14ac:dyDescent="0.15">
      <c r="A848" s="10"/>
      <c r="B848" s="13"/>
      <c r="C848" s="13"/>
    </row>
    <row r="849" spans="1:3" ht="13" x14ac:dyDescent="0.15">
      <c r="A849" s="10"/>
      <c r="B849" s="13"/>
      <c r="C849" s="13"/>
    </row>
    <row r="850" spans="1:3" ht="13" x14ac:dyDescent="0.15">
      <c r="A850" s="10"/>
      <c r="B850" s="13"/>
      <c r="C850" s="13"/>
    </row>
    <row r="851" spans="1:3" ht="13" x14ac:dyDescent="0.15">
      <c r="A851" s="10"/>
      <c r="B851" s="13"/>
      <c r="C851" s="13"/>
    </row>
    <row r="852" spans="1:3" ht="13" x14ac:dyDescent="0.15">
      <c r="A852" s="10"/>
      <c r="B852" s="13"/>
      <c r="C852" s="13"/>
    </row>
    <row r="853" spans="1:3" ht="13" x14ac:dyDescent="0.15">
      <c r="A853" s="10"/>
      <c r="B853" s="13"/>
      <c r="C853" s="13"/>
    </row>
    <row r="854" spans="1:3" ht="13" x14ac:dyDescent="0.15">
      <c r="A854" s="10"/>
      <c r="B854" s="13"/>
      <c r="C854" s="13"/>
    </row>
    <row r="855" spans="1:3" ht="13" x14ac:dyDescent="0.15">
      <c r="A855" s="10"/>
      <c r="B855" s="13"/>
      <c r="C855" s="13"/>
    </row>
    <row r="856" spans="1:3" ht="13" x14ac:dyDescent="0.15">
      <c r="A856" s="10"/>
      <c r="B856" s="13"/>
      <c r="C856" s="13"/>
    </row>
    <row r="857" spans="1:3" ht="13" x14ac:dyDescent="0.15">
      <c r="A857" s="10"/>
      <c r="B857" s="13"/>
      <c r="C857" s="13"/>
    </row>
    <row r="858" spans="1:3" ht="13" x14ac:dyDescent="0.15">
      <c r="A858" s="10"/>
      <c r="B858" s="13"/>
      <c r="C858" s="13"/>
    </row>
    <row r="859" spans="1:3" ht="13" x14ac:dyDescent="0.15">
      <c r="A859" s="10"/>
      <c r="B859" s="13"/>
      <c r="C859" s="13"/>
    </row>
    <row r="860" spans="1:3" ht="13" x14ac:dyDescent="0.15">
      <c r="A860" s="10"/>
      <c r="B860" s="13"/>
      <c r="C860" s="13"/>
    </row>
    <row r="861" spans="1:3" ht="13" x14ac:dyDescent="0.15">
      <c r="A861" s="10"/>
      <c r="B861" s="13"/>
      <c r="C861" s="13"/>
    </row>
    <row r="862" spans="1:3" ht="13" x14ac:dyDescent="0.15">
      <c r="A862" s="10"/>
      <c r="B862" s="13"/>
      <c r="C862" s="13"/>
    </row>
    <row r="863" spans="1:3" ht="13" x14ac:dyDescent="0.15">
      <c r="A863" s="10"/>
      <c r="B863" s="13"/>
      <c r="C863" s="13"/>
    </row>
    <row r="864" spans="1:3" ht="13" x14ac:dyDescent="0.15">
      <c r="A864" s="10"/>
      <c r="B864" s="13"/>
      <c r="C864" s="13"/>
    </row>
    <row r="865" spans="1:3" ht="13" x14ac:dyDescent="0.15">
      <c r="A865" s="10"/>
      <c r="B865" s="13"/>
      <c r="C865" s="13"/>
    </row>
    <row r="866" spans="1:3" ht="13" x14ac:dyDescent="0.15">
      <c r="A866" s="10"/>
      <c r="B866" s="13"/>
      <c r="C866" s="13"/>
    </row>
    <row r="867" spans="1:3" ht="13" x14ac:dyDescent="0.15">
      <c r="A867" s="10"/>
      <c r="B867" s="13"/>
      <c r="C867" s="13"/>
    </row>
    <row r="868" spans="1:3" ht="13" x14ac:dyDescent="0.15">
      <c r="A868" s="10"/>
      <c r="B868" s="13"/>
      <c r="C868" s="13"/>
    </row>
    <row r="869" spans="1:3" ht="13" x14ac:dyDescent="0.15">
      <c r="A869" s="10"/>
      <c r="B869" s="13"/>
      <c r="C869" s="13"/>
    </row>
    <row r="870" spans="1:3" ht="13" x14ac:dyDescent="0.15">
      <c r="A870" s="10"/>
      <c r="B870" s="13"/>
      <c r="C870" s="13"/>
    </row>
    <row r="871" spans="1:3" ht="13" x14ac:dyDescent="0.15">
      <c r="A871" s="10"/>
      <c r="B871" s="13"/>
      <c r="C871" s="13"/>
    </row>
    <row r="872" spans="1:3" ht="13" x14ac:dyDescent="0.15">
      <c r="A872" s="10"/>
      <c r="B872" s="13"/>
      <c r="C872" s="13"/>
    </row>
    <row r="873" spans="1:3" ht="13" x14ac:dyDescent="0.15">
      <c r="A873" s="10"/>
      <c r="B873" s="13"/>
      <c r="C873" s="13"/>
    </row>
    <row r="874" spans="1:3" ht="13" x14ac:dyDescent="0.15">
      <c r="A874" s="10"/>
      <c r="B874" s="13"/>
      <c r="C874" s="13"/>
    </row>
    <row r="875" spans="1:3" ht="13" x14ac:dyDescent="0.15">
      <c r="A875" s="10"/>
      <c r="B875" s="13"/>
      <c r="C875" s="13"/>
    </row>
    <row r="876" spans="1:3" ht="13" x14ac:dyDescent="0.15">
      <c r="A876" s="10"/>
      <c r="B876" s="13"/>
      <c r="C876" s="13"/>
    </row>
    <row r="877" spans="1:3" ht="13" x14ac:dyDescent="0.15">
      <c r="A877" s="10"/>
      <c r="B877" s="13"/>
      <c r="C877" s="13"/>
    </row>
    <row r="878" spans="1:3" ht="13" x14ac:dyDescent="0.15">
      <c r="A878" s="10"/>
      <c r="B878" s="13"/>
      <c r="C878" s="13"/>
    </row>
    <row r="879" spans="1:3" ht="13" x14ac:dyDescent="0.15">
      <c r="A879" s="10"/>
      <c r="B879" s="13"/>
      <c r="C879" s="13"/>
    </row>
    <row r="880" spans="1:3" ht="13" x14ac:dyDescent="0.15">
      <c r="A880" s="10"/>
      <c r="B880" s="13"/>
      <c r="C880" s="13"/>
    </row>
    <row r="881" spans="1:3" ht="13" x14ac:dyDescent="0.15">
      <c r="A881" s="10"/>
      <c r="B881" s="13"/>
      <c r="C881" s="13"/>
    </row>
    <row r="882" spans="1:3" ht="13" x14ac:dyDescent="0.15">
      <c r="A882" s="10"/>
      <c r="B882" s="13"/>
      <c r="C882" s="13"/>
    </row>
    <row r="883" spans="1:3" ht="13" x14ac:dyDescent="0.15">
      <c r="A883" s="10"/>
      <c r="B883" s="13"/>
      <c r="C883" s="13"/>
    </row>
    <row r="884" spans="1:3" ht="13" x14ac:dyDescent="0.15">
      <c r="A884" s="10"/>
      <c r="B884" s="13"/>
      <c r="C884" s="13"/>
    </row>
    <row r="885" spans="1:3" ht="13" x14ac:dyDescent="0.15">
      <c r="A885" s="10"/>
      <c r="B885" s="13"/>
      <c r="C885" s="13"/>
    </row>
    <row r="886" spans="1:3" ht="13" x14ac:dyDescent="0.15">
      <c r="A886" s="10"/>
      <c r="B886" s="13"/>
      <c r="C886" s="13"/>
    </row>
    <row r="887" spans="1:3" ht="13" x14ac:dyDescent="0.15">
      <c r="A887" s="10"/>
      <c r="B887" s="13"/>
      <c r="C887" s="13"/>
    </row>
    <row r="888" spans="1:3" ht="13" x14ac:dyDescent="0.15">
      <c r="A888" s="10"/>
      <c r="B888" s="13"/>
      <c r="C888" s="13"/>
    </row>
    <row r="889" spans="1:3" ht="13" x14ac:dyDescent="0.15">
      <c r="A889" s="10"/>
      <c r="B889" s="13"/>
      <c r="C889" s="13"/>
    </row>
    <row r="890" spans="1:3" ht="13" x14ac:dyDescent="0.15">
      <c r="A890" s="10"/>
      <c r="B890" s="13"/>
      <c r="C890" s="13"/>
    </row>
    <row r="891" spans="1:3" ht="13" x14ac:dyDescent="0.15">
      <c r="A891" s="10"/>
      <c r="B891" s="13"/>
      <c r="C891" s="13"/>
    </row>
    <row r="892" spans="1:3" ht="13" x14ac:dyDescent="0.15">
      <c r="A892" s="10"/>
      <c r="B892" s="13"/>
      <c r="C892" s="13"/>
    </row>
    <row r="893" spans="1:3" ht="13" x14ac:dyDescent="0.15">
      <c r="A893" s="10"/>
      <c r="B893" s="13"/>
      <c r="C893" s="13"/>
    </row>
    <row r="894" spans="1:3" ht="13" x14ac:dyDescent="0.15">
      <c r="A894" s="10"/>
      <c r="B894" s="13"/>
      <c r="C894" s="13"/>
    </row>
    <row r="895" spans="1:3" ht="13" x14ac:dyDescent="0.15">
      <c r="A895" s="10"/>
      <c r="B895" s="13"/>
      <c r="C895" s="13"/>
    </row>
    <row r="896" spans="1:3" ht="13" x14ac:dyDescent="0.15">
      <c r="A896" s="10"/>
      <c r="B896" s="13"/>
      <c r="C896" s="13"/>
    </row>
    <row r="897" spans="1:3" ht="13" x14ac:dyDescent="0.15">
      <c r="A897" s="10"/>
      <c r="B897" s="13"/>
      <c r="C897" s="13"/>
    </row>
    <row r="898" spans="1:3" ht="13" x14ac:dyDescent="0.15">
      <c r="A898" s="10"/>
      <c r="B898" s="13"/>
      <c r="C898" s="13"/>
    </row>
    <row r="899" spans="1:3" ht="13" x14ac:dyDescent="0.15">
      <c r="A899" s="10"/>
      <c r="B899" s="13"/>
      <c r="C899" s="13"/>
    </row>
    <row r="900" spans="1:3" ht="13" x14ac:dyDescent="0.15">
      <c r="A900" s="10"/>
      <c r="B900" s="13"/>
      <c r="C900" s="13"/>
    </row>
    <row r="901" spans="1:3" ht="13" x14ac:dyDescent="0.15">
      <c r="A901" s="10"/>
      <c r="B901" s="13"/>
      <c r="C901" s="13"/>
    </row>
    <row r="902" spans="1:3" ht="13" x14ac:dyDescent="0.15">
      <c r="A902" s="10"/>
      <c r="B902" s="13"/>
      <c r="C902" s="13"/>
    </row>
    <row r="903" spans="1:3" ht="13" x14ac:dyDescent="0.15">
      <c r="A903" s="10"/>
      <c r="B903" s="13"/>
      <c r="C903" s="13"/>
    </row>
    <row r="904" spans="1:3" ht="13" x14ac:dyDescent="0.15">
      <c r="A904" s="10"/>
      <c r="B904" s="13"/>
      <c r="C904" s="13"/>
    </row>
    <row r="905" spans="1:3" ht="13" x14ac:dyDescent="0.15">
      <c r="A905" s="10"/>
      <c r="B905" s="13"/>
      <c r="C905" s="13"/>
    </row>
    <row r="906" spans="1:3" ht="13" x14ac:dyDescent="0.15">
      <c r="A906" s="10"/>
      <c r="B906" s="13"/>
      <c r="C906" s="13"/>
    </row>
    <row r="907" spans="1:3" ht="13" x14ac:dyDescent="0.15">
      <c r="A907" s="10"/>
      <c r="B907" s="13"/>
      <c r="C907" s="13"/>
    </row>
    <row r="908" spans="1:3" ht="13" x14ac:dyDescent="0.15">
      <c r="A908" s="10"/>
      <c r="B908" s="13"/>
      <c r="C908" s="13"/>
    </row>
    <row r="909" spans="1:3" ht="13" x14ac:dyDescent="0.15">
      <c r="A909" s="10"/>
      <c r="B909" s="13"/>
      <c r="C909" s="13"/>
    </row>
    <row r="910" spans="1:3" ht="13" x14ac:dyDescent="0.15">
      <c r="A910" s="10"/>
      <c r="B910" s="13"/>
      <c r="C910" s="13"/>
    </row>
    <row r="911" spans="1:3" ht="13" x14ac:dyDescent="0.15">
      <c r="A911" s="10"/>
      <c r="B911" s="13"/>
      <c r="C911" s="13"/>
    </row>
    <row r="912" spans="1:3" ht="13" x14ac:dyDescent="0.15">
      <c r="A912" s="10"/>
      <c r="B912" s="13"/>
      <c r="C912" s="13"/>
    </row>
    <row r="913" spans="1:3" ht="13" x14ac:dyDescent="0.15">
      <c r="A913" s="10"/>
      <c r="B913" s="13"/>
      <c r="C913" s="13"/>
    </row>
    <row r="914" spans="1:3" ht="13" x14ac:dyDescent="0.15">
      <c r="A914" s="10"/>
      <c r="B914" s="13"/>
      <c r="C914" s="13"/>
    </row>
    <row r="915" spans="1:3" ht="13" x14ac:dyDescent="0.15">
      <c r="A915" s="10"/>
      <c r="B915" s="13"/>
      <c r="C915" s="13"/>
    </row>
    <row r="916" spans="1:3" ht="13" x14ac:dyDescent="0.15">
      <c r="A916" s="10"/>
      <c r="B916" s="13"/>
      <c r="C916" s="13"/>
    </row>
    <row r="917" spans="1:3" ht="13" x14ac:dyDescent="0.15">
      <c r="A917" s="10"/>
      <c r="B917" s="13"/>
      <c r="C917" s="13"/>
    </row>
    <row r="918" spans="1:3" ht="13" x14ac:dyDescent="0.15">
      <c r="A918" s="10"/>
      <c r="B918" s="13"/>
      <c r="C918" s="13"/>
    </row>
    <row r="919" spans="1:3" ht="13" x14ac:dyDescent="0.15">
      <c r="A919" s="10"/>
      <c r="B919" s="13"/>
      <c r="C919" s="13"/>
    </row>
    <row r="920" spans="1:3" ht="13" x14ac:dyDescent="0.15">
      <c r="A920" s="10"/>
      <c r="B920" s="13"/>
      <c r="C920" s="13"/>
    </row>
    <row r="921" spans="1:3" ht="13" x14ac:dyDescent="0.15">
      <c r="A921" s="10"/>
      <c r="B921" s="13"/>
      <c r="C921" s="13"/>
    </row>
    <row r="922" spans="1:3" ht="13" x14ac:dyDescent="0.15">
      <c r="A922" s="10"/>
      <c r="B922" s="13"/>
      <c r="C922" s="13"/>
    </row>
    <row r="923" spans="1:3" ht="13" x14ac:dyDescent="0.15">
      <c r="A923" s="10"/>
      <c r="B923" s="13"/>
      <c r="C923" s="13"/>
    </row>
    <row r="924" spans="1:3" ht="13" x14ac:dyDescent="0.15">
      <c r="A924" s="10"/>
      <c r="B924" s="13"/>
      <c r="C924" s="13"/>
    </row>
    <row r="925" spans="1:3" ht="13" x14ac:dyDescent="0.15">
      <c r="A925" s="10"/>
      <c r="B925" s="13"/>
      <c r="C925" s="13"/>
    </row>
    <row r="926" spans="1:3" ht="13" x14ac:dyDescent="0.15">
      <c r="A926" s="10"/>
      <c r="B926" s="13"/>
      <c r="C926" s="13"/>
    </row>
    <row r="927" spans="1:3" ht="13" x14ac:dyDescent="0.15">
      <c r="A927" s="10"/>
      <c r="B927" s="13"/>
      <c r="C927" s="13"/>
    </row>
    <row r="928" spans="1:3" ht="13" x14ac:dyDescent="0.15">
      <c r="A928" s="10"/>
      <c r="B928" s="13"/>
      <c r="C928" s="13"/>
    </row>
    <row r="929" spans="1:3" ht="13" x14ac:dyDescent="0.15">
      <c r="A929" s="10"/>
      <c r="B929" s="13"/>
      <c r="C929" s="13"/>
    </row>
    <row r="930" spans="1:3" ht="13" x14ac:dyDescent="0.15">
      <c r="A930" s="10"/>
      <c r="B930" s="13"/>
      <c r="C930" s="13"/>
    </row>
    <row r="931" spans="1:3" ht="13" x14ac:dyDescent="0.15">
      <c r="A931" s="10"/>
      <c r="B931" s="13"/>
      <c r="C931" s="13"/>
    </row>
    <row r="932" spans="1:3" ht="13" x14ac:dyDescent="0.15">
      <c r="A932" s="10"/>
      <c r="B932" s="13"/>
      <c r="C932" s="13"/>
    </row>
    <row r="933" spans="1:3" ht="13" x14ac:dyDescent="0.15">
      <c r="A933" s="10"/>
      <c r="B933" s="13"/>
      <c r="C933" s="13"/>
    </row>
    <row r="934" spans="1:3" ht="13" x14ac:dyDescent="0.15">
      <c r="A934" s="10"/>
      <c r="B934" s="13"/>
      <c r="C934" s="13"/>
    </row>
    <row r="935" spans="1:3" ht="13" x14ac:dyDescent="0.15">
      <c r="A935" s="10"/>
      <c r="B935" s="13"/>
      <c r="C935" s="13"/>
    </row>
    <row r="936" spans="1:3" ht="13" x14ac:dyDescent="0.15">
      <c r="A936" s="10"/>
      <c r="B936" s="13"/>
      <c r="C936" s="13"/>
    </row>
    <row r="937" spans="1:3" ht="13" x14ac:dyDescent="0.15">
      <c r="A937" s="10"/>
      <c r="B937" s="13"/>
      <c r="C937" s="13"/>
    </row>
    <row r="938" spans="1:3" ht="13" x14ac:dyDescent="0.15">
      <c r="A938" s="10"/>
      <c r="B938" s="13"/>
      <c r="C938" s="13"/>
    </row>
    <row r="939" spans="1:3" ht="13" x14ac:dyDescent="0.15">
      <c r="A939" s="10"/>
      <c r="B939" s="13"/>
      <c r="C939" s="13"/>
    </row>
    <row r="940" spans="1:3" ht="13" x14ac:dyDescent="0.15">
      <c r="A940" s="10"/>
      <c r="B940" s="13"/>
      <c r="C940" s="13"/>
    </row>
    <row r="941" spans="1:3" ht="13" x14ac:dyDescent="0.15">
      <c r="A941" s="10"/>
      <c r="B941" s="13"/>
      <c r="C941" s="13"/>
    </row>
    <row r="942" spans="1:3" ht="13" x14ac:dyDescent="0.15">
      <c r="A942" s="10"/>
      <c r="B942" s="13"/>
      <c r="C942" s="13"/>
    </row>
    <row r="943" spans="1:3" ht="13" x14ac:dyDescent="0.15">
      <c r="A943" s="10"/>
      <c r="B943" s="13"/>
      <c r="C943" s="13"/>
    </row>
    <row r="944" spans="1:3" ht="13" x14ac:dyDescent="0.15">
      <c r="A944" s="10"/>
      <c r="B944" s="13"/>
      <c r="C944" s="13"/>
    </row>
    <row r="945" spans="1:3" ht="13" x14ac:dyDescent="0.15">
      <c r="A945" s="10"/>
      <c r="B945" s="13"/>
      <c r="C945" s="13"/>
    </row>
    <row r="946" spans="1:3" ht="13" x14ac:dyDescent="0.15">
      <c r="A946" s="10"/>
      <c r="B946" s="13"/>
      <c r="C946" s="13"/>
    </row>
    <row r="947" spans="1:3" ht="13" x14ac:dyDescent="0.15">
      <c r="A947" s="10"/>
      <c r="B947" s="13"/>
      <c r="C947" s="13"/>
    </row>
    <row r="948" spans="1:3" ht="13" x14ac:dyDescent="0.15">
      <c r="A948" s="10"/>
      <c r="B948" s="13"/>
      <c r="C948" s="13"/>
    </row>
    <row r="949" spans="1:3" ht="13" x14ac:dyDescent="0.15">
      <c r="A949" s="10"/>
      <c r="B949" s="13"/>
      <c r="C949" s="13"/>
    </row>
    <row r="950" spans="1:3" ht="13" x14ac:dyDescent="0.15">
      <c r="A950" s="10"/>
      <c r="B950" s="13"/>
      <c r="C950" s="13"/>
    </row>
    <row r="951" spans="1:3" ht="13" x14ac:dyDescent="0.15">
      <c r="A951" s="10"/>
      <c r="B951" s="13"/>
      <c r="C951" s="13"/>
    </row>
    <row r="952" spans="1:3" ht="13" x14ac:dyDescent="0.15">
      <c r="A952" s="10"/>
      <c r="B952" s="13"/>
      <c r="C952" s="13"/>
    </row>
    <row r="953" spans="1:3" ht="13" x14ac:dyDescent="0.15">
      <c r="A953" s="10"/>
      <c r="B953" s="13"/>
      <c r="C953" s="13"/>
    </row>
    <row r="954" spans="1:3" ht="13" x14ac:dyDescent="0.15">
      <c r="A954" s="10"/>
      <c r="B954" s="13"/>
      <c r="C954" s="13"/>
    </row>
    <row r="955" spans="1:3" ht="13" x14ac:dyDescent="0.15">
      <c r="A955" s="10"/>
      <c r="B955" s="13"/>
      <c r="C955" s="13"/>
    </row>
    <row r="956" spans="1:3" ht="13" x14ac:dyDescent="0.15">
      <c r="A956" s="10"/>
      <c r="B956" s="13"/>
      <c r="C956" s="13"/>
    </row>
    <row r="957" spans="1:3" ht="13" x14ac:dyDescent="0.15">
      <c r="A957" s="10"/>
      <c r="B957" s="13"/>
      <c r="C957" s="13"/>
    </row>
    <row r="958" spans="1:3" ht="13" x14ac:dyDescent="0.15">
      <c r="A958" s="10"/>
      <c r="B958" s="13"/>
      <c r="C958" s="13"/>
    </row>
    <row r="959" spans="1:3" ht="13" x14ac:dyDescent="0.15">
      <c r="A959" s="10"/>
      <c r="B959" s="13"/>
      <c r="C959" s="13"/>
    </row>
    <row r="960" spans="1:3" ht="13" x14ac:dyDescent="0.15">
      <c r="A960" s="10"/>
      <c r="B960" s="13"/>
      <c r="C960" s="13"/>
    </row>
    <row r="961" spans="1:3" ht="13" x14ac:dyDescent="0.15">
      <c r="A961" s="10"/>
      <c r="B961" s="13"/>
      <c r="C961" s="13"/>
    </row>
    <row r="962" spans="1:3" ht="13" x14ac:dyDescent="0.15">
      <c r="A962" s="10"/>
      <c r="B962" s="13"/>
      <c r="C962" s="13"/>
    </row>
    <row r="963" spans="1:3" ht="13" x14ac:dyDescent="0.15">
      <c r="A963" s="10"/>
      <c r="B963" s="13"/>
      <c r="C963" s="13"/>
    </row>
    <row r="964" spans="1:3" ht="13" x14ac:dyDescent="0.15">
      <c r="A964" s="10"/>
      <c r="B964" s="13"/>
      <c r="C964" s="13"/>
    </row>
    <row r="965" spans="1:3" ht="13" x14ac:dyDescent="0.15">
      <c r="A965" s="10"/>
      <c r="B965" s="13"/>
      <c r="C965" s="13"/>
    </row>
    <row r="966" spans="1:3" ht="13" x14ac:dyDescent="0.15">
      <c r="A966" s="10"/>
      <c r="B966" s="13"/>
      <c r="C966" s="13"/>
    </row>
    <row r="967" spans="1:3" ht="13" x14ac:dyDescent="0.15">
      <c r="A967" s="10"/>
      <c r="B967" s="13"/>
      <c r="C967" s="13"/>
    </row>
    <row r="968" spans="1:3" ht="13" x14ac:dyDescent="0.15">
      <c r="A968" s="10"/>
      <c r="B968" s="13"/>
      <c r="C968" s="13"/>
    </row>
    <row r="969" spans="1:3" ht="13" x14ac:dyDescent="0.15">
      <c r="A969" s="10"/>
      <c r="B969" s="13"/>
      <c r="C969" s="13"/>
    </row>
    <row r="970" spans="1:3" ht="13" x14ac:dyDescent="0.15">
      <c r="A970" s="10"/>
      <c r="B970" s="13"/>
      <c r="C970" s="13"/>
    </row>
    <row r="971" spans="1:3" ht="13" x14ac:dyDescent="0.15">
      <c r="A971" s="10"/>
      <c r="B971" s="13"/>
      <c r="C971" s="13"/>
    </row>
    <row r="972" spans="1:3" ht="13" x14ac:dyDescent="0.15">
      <c r="A972" s="10"/>
      <c r="B972" s="13"/>
      <c r="C972" s="13"/>
    </row>
    <row r="973" spans="1:3" ht="13" x14ac:dyDescent="0.15">
      <c r="A973" s="10"/>
      <c r="B973" s="13"/>
      <c r="C973" s="13"/>
    </row>
    <row r="974" spans="1:3" ht="13" x14ac:dyDescent="0.15">
      <c r="A974" s="10"/>
      <c r="B974" s="13"/>
      <c r="C974" s="13"/>
    </row>
    <row r="975" spans="1:3" ht="13" x14ac:dyDescent="0.15">
      <c r="A975" s="10"/>
      <c r="B975" s="13"/>
      <c r="C975" s="13"/>
    </row>
    <row r="976" spans="1:3" ht="13" x14ac:dyDescent="0.15">
      <c r="A976" s="10"/>
      <c r="B976" s="13"/>
      <c r="C976" s="13"/>
    </row>
    <row r="977" spans="1:3" ht="13" x14ac:dyDescent="0.15">
      <c r="A977" s="10"/>
      <c r="B977" s="13"/>
      <c r="C977" s="13"/>
    </row>
    <row r="978" spans="1:3" ht="13" x14ac:dyDescent="0.15">
      <c r="A978" s="10"/>
      <c r="B978" s="13"/>
      <c r="C978" s="13"/>
    </row>
    <row r="979" spans="1:3" ht="13" x14ac:dyDescent="0.15">
      <c r="A979" s="10"/>
      <c r="B979" s="13"/>
      <c r="C979" s="13"/>
    </row>
    <row r="980" spans="1:3" ht="13" x14ac:dyDescent="0.15">
      <c r="A980" s="10"/>
      <c r="B980" s="13"/>
      <c r="C980" s="13"/>
    </row>
    <row r="981" spans="1:3" ht="13" x14ac:dyDescent="0.15">
      <c r="A981" s="10"/>
      <c r="B981" s="13"/>
      <c r="C981" s="13"/>
    </row>
    <row r="982" spans="1:3" ht="13" x14ac:dyDescent="0.15">
      <c r="A982" s="10"/>
      <c r="B982" s="13"/>
      <c r="C982" s="13"/>
    </row>
    <row r="983" spans="1:3" ht="13" x14ac:dyDescent="0.15">
      <c r="A983" s="10"/>
      <c r="B983" s="13"/>
      <c r="C983" s="13"/>
    </row>
    <row r="984" spans="1:3" ht="13" x14ac:dyDescent="0.15">
      <c r="A984" s="10"/>
      <c r="B984" s="13"/>
      <c r="C984" s="13"/>
    </row>
    <row r="985" spans="1:3" ht="13" x14ac:dyDescent="0.15">
      <c r="A985" s="10"/>
      <c r="B985" s="13"/>
      <c r="C985" s="13"/>
    </row>
    <row r="986" spans="1:3" ht="13" x14ac:dyDescent="0.15">
      <c r="A986" s="10"/>
      <c r="B986" s="13"/>
      <c r="C986" s="13"/>
    </row>
    <row r="987" spans="1:3" ht="13" x14ac:dyDescent="0.15">
      <c r="A987" s="10"/>
      <c r="B987" s="13"/>
      <c r="C987" s="13"/>
    </row>
    <row r="988" spans="1:3" ht="13" x14ac:dyDescent="0.15">
      <c r="A988" s="10"/>
      <c r="B988" s="13"/>
      <c r="C988" s="13"/>
    </row>
    <row r="989" spans="1:3" ht="13" x14ac:dyDescent="0.15">
      <c r="A989" s="10"/>
      <c r="B989" s="13"/>
      <c r="C989" s="13"/>
    </row>
    <row r="990" spans="1:3" ht="13" x14ac:dyDescent="0.15">
      <c r="A990" s="10"/>
      <c r="B990" s="13"/>
      <c r="C990" s="13"/>
    </row>
    <row r="991" spans="1:3" ht="13" x14ac:dyDescent="0.15">
      <c r="A991" s="10"/>
      <c r="B991" s="13"/>
      <c r="C991" s="13"/>
    </row>
    <row r="992" spans="1:3" ht="13" x14ac:dyDescent="0.15">
      <c r="A992" s="10"/>
      <c r="B992" s="13"/>
      <c r="C992" s="13"/>
    </row>
    <row r="993" spans="1:3" ht="13" x14ac:dyDescent="0.15">
      <c r="A993" s="10"/>
      <c r="B993" s="13"/>
      <c r="C993" s="13"/>
    </row>
    <row r="994" spans="1:3" ht="13" x14ac:dyDescent="0.15">
      <c r="A994" s="10"/>
      <c r="B994" s="13"/>
      <c r="C994" s="13"/>
    </row>
    <row r="995" spans="1:3" ht="13" x14ac:dyDescent="0.15">
      <c r="A995" s="10"/>
      <c r="B995" s="13"/>
      <c r="C995" s="13"/>
    </row>
    <row r="996" spans="1:3" ht="13" x14ac:dyDescent="0.15">
      <c r="A996" s="10"/>
      <c r="B996" s="13"/>
      <c r="C996" s="13"/>
    </row>
    <row r="997" spans="1:3" ht="13" x14ac:dyDescent="0.15">
      <c r="A997" s="10"/>
      <c r="B997" s="13"/>
      <c r="C997" s="13"/>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D997"/>
  <sheetViews>
    <sheetView workbookViewId="0"/>
  </sheetViews>
  <sheetFormatPr baseColWidth="10" defaultColWidth="12.6640625" defaultRowHeight="15.75" customHeight="1" x14ac:dyDescent="0.15"/>
  <cols>
    <col min="1" max="1" width="71.5" customWidth="1"/>
    <col min="2" max="4" width="37.6640625" customWidth="1"/>
  </cols>
  <sheetData>
    <row r="1" spans="1:4" x14ac:dyDescent="0.2">
      <c r="A1" s="11"/>
      <c r="B1" s="22" t="str">
        <f ca="1">IFERROR(__xludf.DUMMYFUNCTION("IMPORTRANGE(""https://docs.google.com/spreadsheets/u/0/d/1etLQb97lMSNWG4ebq9e4mMf5V6Y_IPpBxMswZpIG47E"", ""A8!B1:B22"")"),"ERIN LOUDERMILK")</f>
        <v>ERIN LOUDERMILK</v>
      </c>
      <c r="C1" s="10" t="str">
        <f ca="1">IFERROR(__xludf.DUMMYFUNCTION("IMPORTRANGE(""https://docs.google.com/spreadsheets/u/0/d/1Rfwd61p8X8kU1VBE4PFTeYG7-2eZzi6BYhKfon6XtRs"", ""A8!B1:B22"")"),"Korie Hall ")</f>
        <v xml:space="preserve">Korie Hall </v>
      </c>
      <c r="D1" s="12" t="s">
        <v>1</v>
      </c>
    </row>
    <row r="2" spans="1:4" ht="15.75" customHeight="1" x14ac:dyDescent="0.15">
      <c r="A2" s="14" t="s">
        <v>2</v>
      </c>
      <c r="B2" s="15" t="str">
        <f ca="1">IFERROR(__xludf.DUMMYFUNCTION("""COMPUTED_VALUE"""),"6056-6637 FOR")</f>
        <v>6056-6637 FOR</v>
      </c>
      <c r="C2" s="15" t="str">
        <f ca="1">IFERROR(__xludf.DUMMYFUNCTION("""COMPUTED_VALUE"""),"Start: 6056")</f>
        <v>Start: 6056</v>
      </c>
      <c r="D2" s="15"/>
    </row>
    <row r="3" spans="1:4" ht="15.75" customHeight="1" x14ac:dyDescent="0.15">
      <c r="A3" s="16" t="s">
        <v>3</v>
      </c>
      <c r="B3" s="17" t="str">
        <f ca="1">IFERROR(__xludf.DUMMYFUNCTION("""COMPUTED_VALUE"""),"Gene 8 in both")</f>
        <v>Gene 8 in both</v>
      </c>
      <c r="C3" s="17" t="str">
        <f ca="1">IFERROR(__xludf.DUMMYFUNCTION("""COMPUTED_VALUE"""),"DNA Master: Gene 8")</f>
        <v>DNA Master: Gene 8</v>
      </c>
      <c r="D3" s="17"/>
    </row>
    <row r="4" spans="1:4" ht="15.75" customHeight="1" x14ac:dyDescent="0.15">
      <c r="A4" s="16" t="s">
        <v>4</v>
      </c>
      <c r="B4" s="17" t="str">
        <f ca="1">IFERROR(__xludf.DUMMYFUNCTION("""COMPUTED_VALUE"""),"Pham 6141 (3/7/25)")</f>
        <v>Pham 6141 (3/7/25)</v>
      </c>
      <c r="C4" s="17">
        <f ca="1">IFERROR(__xludf.DUMMYFUNCTION("""COMPUTED_VALUE"""),6141)</f>
        <v>6141</v>
      </c>
      <c r="D4" s="17"/>
    </row>
    <row r="5" spans="1:4" ht="15.75" customHeight="1" x14ac:dyDescent="0.15">
      <c r="A5" s="16" t="s">
        <v>5</v>
      </c>
      <c r="B5" s="17" t="str">
        <f ca="1">IFERROR(__xludf.DUMMYFUNCTION("""COMPUTED_VALUE"""),"Kovu_9, Edmundo_8")</f>
        <v>Kovu_9, Edmundo_8</v>
      </c>
      <c r="C5" s="17" t="str">
        <f ca="1">IFERROR(__xludf.DUMMYFUNCTION("""COMPUTED_VALUE"""),"Kovu_9")</f>
        <v>Kovu_9</v>
      </c>
      <c r="D5" s="17"/>
    </row>
    <row r="6" spans="1:4" ht="15.75" customHeight="1" x14ac:dyDescent="0.15">
      <c r="A6" s="16" t="s">
        <v>6</v>
      </c>
      <c r="B6" s="17" t="str">
        <f ca="1">IFERROR(__xludf.DUMMYFUNCTION("""COMPUTED_VALUE"""),"Both call start @ 6056")</f>
        <v>Both call start @ 6056</v>
      </c>
      <c r="C6" s="17" t="str">
        <f ca="1">IFERROR(__xludf.DUMMYFUNCTION("""COMPUTED_VALUE"""),"Glimmer and GeneMark support this gen")</f>
        <v>Glimmer and GeneMark support this gen</v>
      </c>
      <c r="D6" s="17"/>
    </row>
    <row r="7" spans="1:4" ht="15.75" customHeight="1" x14ac:dyDescent="0.15">
      <c r="A7" s="16" t="s">
        <v>7</v>
      </c>
      <c r="B7" s="17" t="str">
        <f ca="1">IFERROR(__xludf.DUMMYFUNCTION("""COMPUTED_VALUE"""),"Good genemark coding potential, all coding potential included with this start")</f>
        <v>Good genemark coding potential, all coding potential included with this start</v>
      </c>
      <c r="C7" s="17" t="str">
        <f ca="1">IFERROR(__xludf.DUMMYFUNCTION("""COMPUTED_VALUE"""),"The gene catches all coding potential")</f>
        <v>The gene catches all coding potential</v>
      </c>
      <c r="D7" s="17"/>
    </row>
    <row r="8" spans="1:4" ht="15.75" customHeight="1" x14ac:dyDescent="0.15">
      <c r="A8" s="16" t="s">
        <v>8</v>
      </c>
      <c r="B8" s="17" t="str">
        <f ca="1">IFERROR(__xludf.DUMMYFUNCTION("""COMPUTED_VALUE"""),"Yes")</f>
        <v>Yes</v>
      </c>
      <c r="C8" s="17" t="str">
        <f ca="1">IFERROR(__xludf.DUMMYFUNCTION("""COMPUTED_VALUE"""),"Yes due to the fact that there are no other start codons that come before this gene")</f>
        <v>Yes due to the fact that there are no other start codons that come before this gene</v>
      </c>
      <c r="D8" s="17"/>
    </row>
    <row r="9" spans="1:4" ht="15.75" customHeight="1" x14ac:dyDescent="0.15">
      <c r="A9" s="16" t="s">
        <v>9</v>
      </c>
      <c r="B9" s="17" t="str">
        <f ca="1">IFERROR(__xludf.DUMMYFUNCTION("""COMPUTED_VALUE"""),"13 nucleotide overlap")</f>
        <v>13 nucleotide overlap</v>
      </c>
      <c r="C9" s="17" t="str">
        <f ca="1">IFERROR(__xludf.DUMMYFUNCTION("""COMPUTED_VALUE"""),"There is a 13 bp overlap between gene 7 and gene 8")</f>
        <v>There is a 13 bp overlap between gene 7 and gene 8</v>
      </c>
      <c r="D9" s="17"/>
    </row>
    <row r="10" spans="1:4" ht="15.75" customHeight="1" x14ac:dyDescent="0.15">
      <c r="A10" s="16" t="s">
        <v>10</v>
      </c>
      <c r="B10" s="17" t="str">
        <f ca="1">IFERROR(__xludf.DUMMYFUNCTION("""COMPUTED_VALUE"""),"z=2.616, Better z-score @ 6266 start: 3.020 (also best z-score)")</f>
        <v>z=2.616, Better z-score @ 6266 start: 3.020 (also best z-score)</v>
      </c>
      <c r="C10" s="17" t="str">
        <f ca="1">IFERROR(__xludf.DUMMYFUNCTION("""COMPUTED_VALUE"""),"Z-Value: -2.791")</f>
        <v>Z-Value: -2.791</v>
      </c>
      <c r="D10" s="17"/>
    </row>
    <row r="11" spans="1:4" ht="15.75" customHeight="1" x14ac:dyDescent="0.15">
      <c r="A11" s="16" t="s">
        <v>11</v>
      </c>
      <c r="B11" s="17" t="str">
        <f ca="1">IFERROR(__xludf.DUMMYFUNCTION("""COMPUTED_VALUE"""),"Kovu_9, 94.3% identity, 0.0E0 e value, Q1: 193. S1: 192")</f>
        <v>Kovu_9, 94.3% identity, 0.0E0 e value, Q1: 193. S1: 192</v>
      </c>
      <c r="C11" s="17" t="str">
        <f ca="1">IFERROR(__xludf.DUMMYFUNCTION("""COMPUTED_VALUE"""),"Kovu_9 - e-value: 6e-133 / % identity: 94.30 / q:1s:1")</f>
        <v>Kovu_9 - e-value: 6e-133 / % identity: 94.30 / q:1s:1</v>
      </c>
      <c r="D11" s="17"/>
    </row>
    <row r="12" spans="1:4" ht="15.75" customHeight="1" x14ac:dyDescent="0.15">
      <c r="A12" s="16" t="s">
        <v>12</v>
      </c>
      <c r="B12" s="17" t="str">
        <f ca="1">IFERROR(__xludf.DUMMYFUNCTION("""COMPUTED_VALUE"""),"Start is conserved in all members of this pham. Called 100% time when present")</f>
        <v>Start is conserved in all members of this pham. Called 100% time when present</v>
      </c>
      <c r="C12" s="17" t="str">
        <f ca="1">IFERROR(__xludf.DUMMYFUNCTION("""COMPUTED_VALUE"""),"All members of the pham call the same start codon")</f>
        <v>All members of the pham call the same start codon</v>
      </c>
      <c r="D12" s="17"/>
    </row>
    <row r="13" spans="1:4" ht="15.75" customHeight="1" x14ac:dyDescent="0.15">
      <c r="A13" s="16" t="s">
        <v>13</v>
      </c>
      <c r="B13" s="17" t="str">
        <f ca="1">IFERROR(__xludf.DUMMYFUNCTION("""COMPUTED_VALUE"""),"No")</f>
        <v>No</v>
      </c>
      <c r="C13" s="17" t="str">
        <f ca="1">IFERROR(__xludf.DUMMYFUNCTION("""COMPUTED_VALUE"""),"The start codon should remain as is because moving it would create a bigger overlap between gene 8 and gene 9, and the gene would lose coding potential ")</f>
        <v xml:space="preserve">The start codon should remain as is because moving it would create a bigger overlap between gene 8 and gene 9, and the gene would lose coding potential </v>
      </c>
      <c r="D13" s="17"/>
    </row>
    <row r="14" spans="1:4" ht="15.75" customHeight="1" x14ac:dyDescent="0.15">
      <c r="A14" s="16" t="s">
        <v>14</v>
      </c>
      <c r="B14" s="17" t="str">
        <f ca="1">IFERROR(__xludf.DUMMYFUNCTION("""COMPUTED_VALUE"""),"Kovu_9, terminase small subunit, e value e-110")</f>
        <v>Kovu_9, terminase small subunit, e value e-110</v>
      </c>
      <c r="C14" s="17" t="str">
        <f ca="1">IFERROR(__xludf.DUMMYFUNCTION("""COMPUTED_VALUE""")," Kovu_9 / e-value: 6e-133 ")</f>
        <v xml:space="preserve"> Kovu_9 / e-value: 6e-133 </v>
      </c>
      <c r="D14" s="17"/>
    </row>
    <row r="15" spans="1:4" ht="15.75" customHeight="1" x14ac:dyDescent="0.15">
      <c r="A15" s="16" t="s">
        <v>15</v>
      </c>
      <c r="B15" s="17" t="str">
        <f ca="1">IFERROR(__xludf.DUMMYFUNCTION("""COMPUTED_VALUE"""),"terminase small subunit: kovu_9, edmundo_8")</f>
        <v>terminase small subunit: kovu_9, edmundo_8</v>
      </c>
      <c r="C15" s="17" t="str">
        <f ca="1">IFERROR(__xludf.DUMMYFUNCTION("""COMPUTED_VALUE"""),"Kovu_9 - Terminase small subunit")</f>
        <v>Kovu_9 - Terminase small subunit</v>
      </c>
      <c r="D15" s="17"/>
    </row>
    <row r="16" spans="1:4" ht="15.75" customHeight="1" x14ac:dyDescent="0.15">
      <c r="A16" s="16" t="s">
        <v>16</v>
      </c>
      <c r="B16" s="17" t="str">
        <f ca="1">IFERROR(__xludf.DUMMYFUNCTION("""COMPUTED_VALUE"""),"Yes, found in similar environment in Kovu")</f>
        <v>Yes, found in similar environment in Kovu</v>
      </c>
      <c r="C16" s="17" t="str">
        <f ca="1">IFERROR(__xludf.DUMMYFUNCTION("""COMPUTED_VALUE"""),"Gene is placed where it should be and lines up with Kovu_9")</f>
        <v>Gene is placed where it should be and lines up with Kovu_9</v>
      </c>
      <c r="D16" s="17"/>
    </row>
    <row r="17" spans="1:4" ht="15.75" customHeight="1" x14ac:dyDescent="0.15">
      <c r="A17" s="16" t="s">
        <v>17</v>
      </c>
      <c r="B17" s="17" t="str">
        <f ca="1">IFERROR(__xludf.DUMMYFUNCTION("""COMPUTED_VALUE""")," Phage_term_sma : Putative bacteriophage terminase small subunit, 99.39% probability, Q: 84.97%, T: 81.03%. Yes.")</f>
        <v xml:space="preserve"> Phage_term_sma : Putative bacteriophage terminase small subunit, 99.39% probability, Q: 84.97%, T: 81.03%. Yes.</v>
      </c>
      <c r="C17" s="17" t="str">
        <f ca="1">IFERROR(__xludf.DUMMYFUNCTION("""COMPUTED_VALUE"""),"PF07141.16;Phage_term_sma; Putative bacteriophage terminase small subunit ")</f>
        <v xml:space="preserve">PF07141.16;Phage_term_sma; Putative bacteriophage terminase small subunit </v>
      </c>
      <c r="D17" s="17"/>
    </row>
    <row r="18" spans="1:4" ht="15.75" customHeight="1" x14ac:dyDescent="0.15">
      <c r="A18" s="16" t="s">
        <v>18</v>
      </c>
      <c r="B18" s="17" t="str">
        <f ca="1">IFERROR(__xludf.DUMMYFUNCTION("""COMPUTED_VALUE"""),"None")</f>
        <v>None</v>
      </c>
      <c r="C18" s="17" t="str">
        <f ca="1">IFERROR(__xludf.DUMMYFUNCTION("""COMPUTED_VALUE"""),"No functional domain identified")</f>
        <v>No functional domain identified</v>
      </c>
      <c r="D18" s="17"/>
    </row>
    <row r="19" spans="1:4" ht="15.75" customHeight="1" x14ac:dyDescent="0.15">
      <c r="A19" s="16" t="s">
        <v>19</v>
      </c>
      <c r="B19" s="17" t="str">
        <f ca="1">IFERROR(__xludf.DUMMYFUNCTION("""COMPUTED_VALUE"""),"None")</f>
        <v>None</v>
      </c>
      <c r="C19" s="17" t="str">
        <f ca="1">IFERROR(__xludf.DUMMYFUNCTION("""COMPUTED_VALUE"""),"No membrane protein predicted ")</f>
        <v xml:space="preserve">No membrane protein predicted </v>
      </c>
      <c r="D19" s="17"/>
    </row>
    <row r="20" spans="1:4" ht="15.75" customHeight="1" x14ac:dyDescent="0.15">
      <c r="A20" s="16" t="s">
        <v>20</v>
      </c>
      <c r="B20" s="17" t="str">
        <f ca="1">IFERROR(__xludf.DUMMYFUNCTION("""COMPUTED_VALUE"""),"terminase, small subunit	")</f>
        <v xml:space="preserve">terminase, small subunit	</v>
      </c>
      <c r="C20" s="17" t="str">
        <f ca="1">IFERROR(__xludf.DUMMYFUNCTION("""COMPUTED_VALUE"""),"Terminase small subunit ( Rationale: Matches well with other members in the pham with high relation. Has good matches and hits.")</f>
        <v>Terminase small subunit ( Rationale: Matches well with other members in the pham with high relation. Has good matches and hits.</v>
      </c>
      <c r="D20" s="17"/>
    </row>
    <row r="21" spans="1:4" x14ac:dyDescent="0.2">
      <c r="A21" s="7"/>
      <c r="B21" s="19"/>
      <c r="C21" s="19"/>
      <c r="D21" s="8"/>
    </row>
    <row r="22" spans="1:4" ht="15.75" customHeight="1" x14ac:dyDescent="0.15">
      <c r="A22" s="9" t="s">
        <v>21</v>
      </c>
      <c r="B22" s="19"/>
      <c r="C22" s="19"/>
      <c r="D22" s="8"/>
    </row>
    <row r="23" spans="1:4" ht="15.75" customHeight="1" x14ac:dyDescent="0.15">
      <c r="A23" s="10"/>
      <c r="B23" s="13"/>
      <c r="C23" s="13"/>
    </row>
    <row r="24" spans="1:4" ht="15.75" customHeight="1" x14ac:dyDescent="0.15">
      <c r="A24" s="10"/>
      <c r="B24" s="13"/>
      <c r="C24" s="13"/>
    </row>
    <row r="25" spans="1:4" ht="15.75" customHeight="1" x14ac:dyDescent="0.15">
      <c r="A25" s="10"/>
      <c r="B25" s="13"/>
      <c r="C25" s="13"/>
    </row>
    <row r="26" spans="1:4" ht="15.75" customHeight="1" x14ac:dyDescent="0.15">
      <c r="A26" s="10"/>
      <c r="B26" s="13"/>
      <c r="C26" s="13"/>
    </row>
    <row r="27" spans="1:4" ht="15.75" customHeight="1" x14ac:dyDescent="0.15">
      <c r="A27" s="10"/>
      <c r="B27" s="13"/>
      <c r="C27" s="13"/>
    </row>
    <row r="28" spans="1:4" ht="15.75" customHeight="1" x14ac:dyDescent="0.15">
      <c r="A28" s="10"/>
      <c r="B28" s="13"/>
      <c r="C28" s="13"/>
    </row>
    <row r="29" spans="1:4" ht="15.75" customHeight="1" x14ac:dyDescent="0.15">
      <c r="A29" s="10"/>
      <c r="B29" s="13"/>
      <c r="C29" s="13"/>
    </row>
    <row r="30" spans="1:4" ht="15.75" customHeight="1" x14ac:dyDescent="0.15">
      <c r="A30" s="10"/>
      <c r="B30" s="13"/>
      <c r="C30" s="13"/>
    </row>
    <row r="31" spans="1:4" ht="15.75" customHeight="1" x14ac:dyDescent="0.15">
      <c r="A31" s="10"/>
      <c r="B31" s="13"/>
      <c r="C31" s="13"/>
    </row>
    <row r="32" spans="1:4" ht="15.75" customHeight="1" x14ac:dyDescent="0.15">
      <c r="A32" s="10"/>
      <c r="B32" s="13"/>
      <c r="C32" s="13"/>
    </row>
    <row r="33" spans="1:3" ht="15.75" customHeight="1" x14ac:dyDescent="0.15">
      <c r="A33" s="10"/>
      <c r="B33" s="13"/>
      <c r="C33" s="13"/>
    </row>
    <row r="34" spans="1:3" ht="15.75" customHeight="1" x14ac:dyDescent="0.15">
      <c r="A34" s="10"/>
      <c r="B34" s="13"/>
      <c r="C34" s="13"/>
    </row>
    <row r="35" spans="1:3" ht="15.75" customHeight="1" x14ac:dyDescent="0.15">
      <c r="A35" s="10"/>
      <c r="B35" s="13"/>
      <c r="C35" s="13"/>
    </row>
    <row r="36" spans="1:3" ht="15.75" customHeight="1" x14ac:dyDescent="0.15">
      <c r="A36" s="10"/>
      <c r="B36" s="13"/>
      <c r="C36" s="13"/>
    </row>
    <row r="37" spans="1:3" ht="15.75" customHeight="1" x14ac:dyDescent="0.15">
      <c r="A37" s="10"/>
      <c r="B37" s="13"/>
      <c r="C37" s="13"/>
    </row>
    <row r="38" spans="1:3" ht="15.75" customHeight="1" x14ac:dyDescent="0.15">
      <c r="A38" s="10"/>
      <c r="B38" s="13"/>
      <c r="C38" s="13"/>
    </row>
    <row r="39" spans="1:3" ht="13" x14ac:dyDescent="0.15">
      <c r="A39" s="10"/>
      <c r="B39" s="13"/>
      <c r="C39" s="13"/>
    </row>
    <row r="40" spans="1:3" ht="13" x14ac:dyDescent="0.15">
      <c r="A40" s="10"/>
      <c r="B40" s="13"/>
      <c r="C40" s="13"/>
    </row>
    <row r="41" spans="1:3" ht="13" x14ac:dyDescent="0.15">
      <c r="A41" s="10"/>
      <c r="B41" s="13"/>
      <c r="C41" s="13"/>
    </row>
    <row r="42" spans="1:3" ht="13" x14ac:dyDescent="0.15">
      <c r="A42" s="10"/>
      <c r="B42" s="13"/>
      <c r="C42" s="13"/>
    </row>
    <row r="43" spans="1:3" ht="13" x14ac:dyDescent="0.15">
      <c r="A43" s="10"/>
      <c r="B43" s="13"/>
      <c r="C43" s="13"/>
    </row>
    <row r="44" spans="1:3" ht="13" x14ac:dyDescent="0.15">
      <c r="A44" s="10"/>
      <c r="B44" s="13"/>
      <c r="C44" s="13"/>
    </row>
    <row r="45" spans="1:3" ht="13" x14ac:dyDescent="0.15">
      <c r="A45" s="10"/>
      <c r="B45" s="13"/>
      <c r="C45" s="13"/>
    </row>
    <row r="46" spans="1:3" ht="13" x14ac:dyDescent="0.15">
      <c r="A46" s="10"/>
      <c r="B46" s="13"/>
      <c r="C46" s="13"/>
    </row>
    <row r="47" spans="1:3" ht="13" x14ac:dyDescent="0.15">
      <c r="A47" s="10"/>
      <c r="B47" s="13"/>
      <c r="C47" s="13"/>
    </row>
    <row r="48" spans="1:3" ht="13" x14ac:dyDescent="0.15">
      <c r="A48" s="10"/>
      <c r="B48" s="13"/>
      <c r="C48" s="13"/>
    </row>
    <row r="49" spans="1:3" ht="13" x14ac:dyDescent="0.15">
      <c r="A49" s="10"/>
      <c r="B49" s="13"/>
      <c r="C49" s="13"/>
    </row>
    <row r="50" spans="1:3" ht="13" x14ac:dyDescent="0.15">
      <c r="A50" s="10"/>
      <c r="B50" s="13"/>
      <c r="C50" s="13"/>
    </row>
    <row r="51" spans="1:3" ht="13" x14ac:dyDescent="0.15">
      <c r="A51" s="10"/>
      <c r="B51" s="13"/>
      <c r="C51" s="13"/>
    </row>
    <row r="52" spans="1:3" ht="13" x14ac:dyDescent="0.15">
      <c r="A52" s="10"/>
      <c r="B52" s="13"/>
      <c r="C52" s="13"/>
    </row>
    <row r="53" spans="1:3" ht="13" x14ac:dyDescent="0.15">
      <c r="A53" s="10"/>
      <c r="B53" s="13"/>
      <c r="C53" s="13"/>
    </row>
    <row r="54" spans="1:3" ht="13" x14ac:dyDescent="0.15">
      <c r="A54" s="10"/>
      <c r="B54" s="13"/>
      <c r="C54" s="13"/>
    </row>
    <row r="55" spans="1:3" ht="13" x14ac:dyDescent="0.15">
      <c r="A55" s="10"/>
      <c r="B55" s="13"/>
      <c r="C55" s="13"/>
    </row>
    <row r="56" spans="1:3" ht="13" x14ac:dyDescent="0.15">
      <c r="A56" s="10"/>
      <c r="B56" s="13"/>
      <c r="C56" s="13"/>
    </row>
    <row r="57" spans="1:3" ht="13" x14ac:dyDescent="0.15">
      <c r="A57" s="10"/>
      <c r="B57" s="13"/>
      <c r="C57" s="13"/>
    </row>
    <row r="58" spans="1:3" ht="13" x14ac:dyDescent="0.15">
      <c r="A58" s="10"/>
      <c r="B58" s="13"/>
      <c r="C58" s="13"/>
    </row>
    <row r="59" spans="1:3" ht="13" x14ac:dyDescent="0.15">
      <c r="A59" s="10"/>
      <c r="B59" s="13"/>
      <c r="C59" s="13"/>
    </row>
    <row r="60" spans="1:3" ht="13" x14ac:dyDescent="0.15">
      <c r="A60" s="10"/>
      <c r="B60" s="13"/>
      <c r="C60" s="13"/>
    </row>
    <row r="61" spans="1:3" ht="13" x14ac:dyDescent="0.15">
      <c r="A61" s="10"/>
      <c r="B61" s="13"/>
      <c r="C61" s="13"/>
    </row>
    <row r="62" spans="1:3" ht="13" x14ac:dyDescent="0.15">
      <c r="A62" s="10"/>
      <c r="B62" s="13"/>
      <c r="C62" s="13"/>
    </row>
    <row r="63" spans="1:3" ht="13" x14ac:dyDescent="0.15">
      <c r="A63" s="10"/>
      <c r="B63" s="13"/>
      <c r="C63" s="13"/>
    </row>
    <row r="64" spans="1:3" ht="13" x14ac:dyDescent="0.15">
      <c r="A64" s="10"/>
      <c r="B64" s="13"/>
      <c r="C64" s="13"/>
    </row>
    <row r="65" spans="1:3" ht="13" x14ac:dyDescent="0.15">
      <c r="A65" s="10"/>
      <c r="B65" s="13"/>
      <c r="C65" s="13"/>
    </row>
    <row r="66" spans="1:3" ht="13" x14ac:dyDescent="0.15">
      <c r="A66" s="10"/>
      <c r="B66" s="13"/>
      <c r="C66" s="13"/>
    </row>
    <row r="67" spans="1:3" ht="13" x14ac:dyDescent="0.15">
      <c r="A67" s="10"/>
      <c r="B67" s="13"/>
      <c r="C67" s="13"/>
    </row>
    <row r="68" spans="1:3" ht="13" x14ac:dyDescent="0.15">
      <c r="A68" s="10"/>
      <c r="B68" s="13"/>
      <c r="C68" s="13"/>
    </row>
    <row r="69" spans="1:3" ht="13" x14ac:dyDescent="0.15">
      <c r="A69" s="10"/>
      <c r="B69" s="13"/>
      <c r="C69" s="13"/>
    </row>
    <row r="70" spans="1:3" ht="13" x14ac:dyDescent="0.15">
      <c r="A70" s="10"/>
      <c r="B70" s="13"/>
      <c r="C70" s="13"/>
    </row>
    <row r="71" spans="1:3" ht="13" x14ac:dyDescent="0.15">
      <c r="A71" s="10"/>
      <c r="B71" s="13"/>
      <c r="C71" s="13"/>
    </row>
    <row r="72" spans="1:3" ht="13" x14ac:dyDescent="0.15">
      <c r="A72" s="10"/>
      <c r="B72" s="13"/>
      <c r="C72" s="13"/>
    </row>
    <row r="73" spans="1:3" ht="13" x14ac:dyDescent="0.15">
      <c r="A73" s="10"/>
      <c r="B73" s="13"/>
      <c r="C73" s="13"/>
    </row>
    <row r="74" spans="1:3" ht="13" x14ac:dyDescent="0.15">
      <c r="A74" s="10"/>
      <c r="B74" s="13"/>
      <c r="C74" s="13"/>
    </row>
    <row r="75" spans="1:3" ht="13" x14ac:dyDescent="0.15">
      <c r="A75" s="10"/>
      <c r="B75" s="13"/>
      <c r="C75" s="13"/>
    </row>
    <row r="76" spans="1:3" ht="13" x14ac:dyDescent="0.15">
      <c r="A76" s="10"/>
      <c r="B76" s="13"/>
      <c r="C76" s="13"/>
    </row>
    <row r="77" spans="1:3" ht="13" x14ac:dyDescent="0.15">
      <c r="A77" s="10"/>
      <c r="B77" s="13"/>
      <c r="C77" s="13"/>
    </row>
    <row r="78" spans="1:3" ht="13" x14ac:dyDescent="0.15">
      <c r="A78" s="10"/>
      <c r="B78" s="13"/>
      <c r="C78" s="13"/>
    </row>
    <row r="79" spans="1:3" ht="13" x14ac:dyDescent="0.15">
      <c r="A79" s="10"/>
      <c r="B79" s="13"/>
      <c r="C79" s="13"/>
    </row>
    <row r="80" spans="1:3" ht="13" x14ac:dyDescent="0.15">
      <c r="A80" s="10"/>
      <c r="B80" s="13"/>
      <c r="C80" s="13"/>
    </row>
    <row r="81" spans="1:3" ht="13" x14ac:dyDescent="0.15">
      <c r="A81" s="10"/>
      <c r="B81" s="13"/>
      <c r="C81" s="13"/>
    </row>
    <row r="82" spans="1:3" ht="13" x14ac:dyDescent="0.15">
      <c r="A82" s="10"/>
      <c r="B82" s="13"/>
      <c r="C82" s="13"/>
    </row>
    <row r="83" spans="1:3" ht="13" x14ac:dyDescent="0.15">
      <c r="A83" s="10"/>
      <c r="B83" s="13"/>
      <c r="C83" s="13"/>
    </row>
    <row r="84" spans="1:3" ht="13" x14ac:dyDescent="0.15">
      <c r="A84" s="10"/>
      <c r="B84" s="13"/>
      <c r="C84" s="13"/>
    </row>
    <row r="85" spans="1:3" ht="13" x14ac:dyDescent="0.15">
      <c r="A85" s="10"/>
      <c r="B85" s="13"/>
      <c r="C85" s="13"/>
    </row>
    <row r="86" spans="1:3" ht="13" x14ac:dyDescent="0.15">
      <c r="A86" s="10"/>
      <c r="B86" s="13"/>
      <c r="C86" s="13"/>
    </row>
    <row r="87" spans="1:3" ht="13" x14ac:dyDescent="0.15">
      <c r="A87" s="10"/>
      <c r="B87" s="13"/>
      <c r="C87" s="13"/>
    </row>
    <row r="88" spans="1:3" ht="13" x14ac:dyDescent="0.15">
      <c r="A88" s="10"/>
      <c r="B88" s="13"/>
      <c r="C88" s="13"/>
    </row>
    <row r="89" spans="1:3" ht="13" x14ac:dyDescent="0.15">
      <c r="A89" s="10"/>
      <c r="B89" s="13"/>
      <c r="C89" s="13"/>
    </row>
    <row r="90" spans="1:3" ht="13" x14ac:dyDescent="0.15">
      <c r="A90" s="10"/>
      <c r="B90" s="13"/>
      <c r="C90" s="13"/>
    </row>
    <row r="91" spans="1:3" ht="13" x14ac:dyDescent="0.15">
      <c r="A91" s="10"/>
      <c r="B91" s="13"/>
      <c r="C91" s="13"/>
    </row>
    <row r="92" spans="1:3" ht="13" x14ac:dyDescent="0.15">
      <c r="A92" s="10"/>
      <c r="B92" s="13"/>
      <c r="C92" s="13"/>
    </row>
    <row r="93" spans="1:3" ht="13" x14ac:dyDescent="0.15">
      <c r="A93" s="10"/>
      <c r="B93" s="13"/>
      <c r="C93" s="13"/>
    </row>
    <row r="94" spans="1:3" ht="13" x14ac:dyDescent="0.15">
      <c r="A94" s="10"/>
      <c r="B94" s="13"/>
      <c r="C94" s="13"/>
    </row>
    <row r="95" spans="1:3" ht="13" x14ac:dyDescent="0.15">
      <c r="A95" s="10"/>
      <c r="B95" s="13"/>
      <c r="C95" s="13"/>
    </row>
    <row r="96" spans="1:3" ht="13" x14ac:dyDescent="0.15">
      <c r="A96" s="10"/>
      <c r="B96" s="13"/>
      <c r="C96" s="13"/>
    </row>
    <row r="97" spans="1:3" ht="13" x14ac:dyDescent="0.15">
      <c r="A97" s="10"/>
      <c r="B97" s="13"/>
      <c r="C97" s="13"/>
    </row>
    <row r="98" spans="1:3" ht="13" x14ac:dyDescent="0.15">
      <c r="A98" s="10"/>
      <c r="B98" s="13"/>
      <c r="C98" s="13"/>
    </row>
    <row r="99" spans="1:3" ht="13" x14ac:dyDescent="0.15">
      <c r="A99" s="10"/>
      <c r="B99" s="13"/>
      <c r="C99" s="13"/>
    </row>
    <row r="100" spans="1:3" ht="13" x14ac:dyDescent="0.15">
      <c r="A100" s="10"/>
      <c r="B100" s="13"/>
      <c r="C100" s="13"/>
    </row>
    <row r="101" spans="1:3" ht="13" x14ac:dyDescent="0.15">
      <c r="A101" s="10"/>
      <c r="B101" s="13"/>
      <c r="C101" s="13"/>
    </row>
    <row r="102" spans="1:3" ht="13" x14ac:dyDescent="0.15">
      <c r="A102" s="10"/>
      <c r="B102" s="13"/>
      <c r="C102" s="13"/>
    </row>
    <row r="103" spans="1:3" ht="13" x14ac:dyDescent="0.15">
      <c r="A103" s="10"/>
      <c r="B103" s="13"/>
      <c r="C103" s="13"/>
    </row>
    <row r="104" spans="1:3" ht="13" x14ac:dyDescent="0.15">
      <c r="A104" s="10"/>
      <c r="B104" s="13"/>
      <c r="C104" s="13"/>
    </row>
    <row r="105" spans="1:3" ht="13" x14ac:dyDescent="0.15">
      <c r="A105" s="10"/>
      <c r="B105" s="13"/>
      <c r="C105" s="13"/>
    </row>
    <row r="106" spans="1:3" ht="13" x14ac:dyDescent="0.15">
      <c r="A106" s="10"/>
      <c r="B106" s="13"/>
      <c r="C106" s="13"/>
    </row>
    <row r="107" spans="1:3" ht="13" x14ac:dyDescent="0.15">
      <c r="A107" s="10"/>
      <c r="B107" s="13"/>
      <c r="C107" s="13"/>
    </row>
    <row r="108" spans="1:3" ht="13" x14ac:dyDescent="0.15">
      <c r="A108" s="10"/>
      <c r="B108" s="13"/>
      <c r="C108" s="13"/>
    </row>
    <row r="109" spans="1:3" ht="13" x14ac:dyDescent="0.15">
      <c r="A109" s="10"/>
      <c r="B109" s="13"/>
      <c r="C109" s="13"/>
    </row>
    <row r="110" spans="1:3" ht="13" x14ac:dyDescent="0.15">
      <c r="A110" s="10"/>
      <c r="B110" s="13"/>
      <c r="C110" s="13"/>
    </row>
    <row r="111" spans="1:3" ht="13" x14ac:dyDescent="0.15">
      <c r="A111" s="10"/>
      <c r="B111" s="13"/>
      <c r="C111" s="13"/>
    </row>
    <row r="112" spans="1:3" ht="13" x14ac:dyDescent="0.15">
      <c r="A112" s="10"/>
      <c r="B112" s="13"/>
      <c r="C112" s="13"/>
    </row>
    <row r="113" spans="1:3" ht="13" x14ac:dyDescent="0.15">
      <c r="A113" s="10"/>
      <c r="B113" s="13"/>
      <c r="C113" s="13"/>
    </row>
    <row r="114" spans="1:3" ht="13" x14ac:dyDescent="0.15">
      <c r="A114" s="10"/>
      <c r="B114" s="13"/>
      <c r="C114" s="13"/>
    </row>
    <row r="115" spans="1:3" ht="13" x14ac:dyDescent="0.15">
      <c r="A115" s="10"/>
      <c r="B115" s="13"/>
      <c r="C115" s="13"/>
    </row>
    <row r="116" spans="1:3" ht="13" x14ac:dyDescent="0.15">
      <c r="A116" s="10"/>
      <c r="B116" s="13"/>
      <c r="C116" s="13"/>
    </row>
    <row r="117" spans="1:3" ht="13" x14ac:dyDescent="0.15">
      <c r="A117" s="10"/>
      <c r="B117" s="13"/>
      <c r="C117" s="13"/>
    </row>
    <row r="118" spans="1:3" ht="13" x14ac:dyDescent="0.15">
      <c r="A118" s="10"/>
      <c r="B118" s="13"/>
      <c r="C118" s="13"/>
    </row>
    <row r="119" spans="1:3" ht="13" x14ac:dyDescent="0.15">
      <c r="A119" s="10"/>
      <c r="B119" s="13"/>
      <c r="C119" s="13"/>
    </row>
    <row r="120" spans="1:3" ht="13" x14ac:dyDescent="0.15">
      <c r="A120" s="10"/>
      <c r="B120" s="13"/>
      <c r="C120" s="13"/>
    </row>
    <row r="121" spans="1:3" ht="13" x14ac:dyDescent="0.15">
      <c r="A121" s="10"/>
      <c r="B121" s="13"/>
      <c r="C121" s="13"/>
    </row>
    <row r="122" spans="1:3" ht="13" x14ac:dyDescent="0.15">
      <c r="A122" s="10"/>
      <c r="B122" s="13"/>
      <c r="C122" s="13"/>
    </row>
    <row r="123" spans="1:3" ht="13" x14ac:dyDescent="0.15">
      <c r="A123" s="10"/>
      <c r="B123" s="13"/>
      <c r="C123" s="13"/>
    </row>
    <row r="124" spans="1:3" ht="13" x14ac:dyDescent="0.15">
      <c r="A124" s="10"/>
      <c r="B124" s="13"/>
      <c r="C124" s="13"/>
    </row>
    <row r="125" spans="1:3" ht="13" x14ac:dyDescent="0.15">
      <c r="A125" s="10"/>
      <c r="B125" s="13"/>
      <c r="C125" s="13"/>
    </row>
    <row r="126" spans="1:3" ht="13" x14ac:dyDescent="0.15">
      <c r="A126" s="10"/>
      <c r="B126" s="13"/>
      <c r="C126" s="13"/>
    </row>
    <row r="127" spans="1:3" ht="13" x14ac:dyDescent="0.15">
      <c r="A127" s="10"/>
      <c r="B127" s="13"/>
      <c r="C127" s="13"/>
    </row>
    <row r="128" spans="1:3" ht="13" x14ac:dyDescent="0.15">
      <c r="A128" s="10"/>
      <c r="B128" s="13"/>
      <c r="C128" s="13"/>
    </row>
    <row r="129" spans="1:3" ht="13" x14ac:dyDescent="0.15">
      <c r="A129" s="10"/>
      <c r="B129" s="13"/>
      <c r="C129" s="13"/>
    </row>
    <row r="130" spans="1:3" ht="13" x14ac:dyDescent="0.15">
      <c r="A130" s="10"/>
      <c r="B130" s="13"/>
      <c r="C130" s="13"/>
    </row>
    <row r="131" spans="1:3" ht="13" x14ac:dyDescent="0.15">
      <c r="A131" s="10"/>
      <c r="B131" s="13"/>
      <c r="C131" s="13"/>
    </row>
    <row r="132" spans="1:3" ht="13" x14ac:dyDescent="0.15">
      <c r="A132" s="10"/>
      <c r="B132" s="13"/>
      <c r="C132" s="13"/>
    </row>
    <row r="133" spans="1:3" ht="13" x14ac:dyDescent="0.15">
      <c r="A133" s="10"/>
      <c r="B133" s="13"/>
      <c r="C133" s="13"/>
    </row>
    <row r="134" spans="1:3" ht="13" x14ac:dyDescent="0.15">
      <c r="A134" s="10"/>
      <c r="B134" s="13"/>
      <c r="C134" s="13"/>
    </row>
    <row r="135" spans="1:3" ht="13" x14ac:dyDescent="0.15">
      <c r="A135" s="10"/>
      <c r="B135" s="13"/>
      <c r="C135" s="13"/>
    </row>
    <row r="136" spans="1:3" ht="13" x14ac:dyDescent="0.15">
      <c r="A136" s="10"/>
      <c r="B136" s="13"/>
      <c r="C136" s="13"/>
    </row>
    <row r="137" spans="1:3" ht="13" x14ac:dyDescent="0.15">
      <c r="A137" s="10"/>
      <c r="B137" s="13"/>
      <c r="C137" s="13"/>
    </row>
    <row r="138" spans="1:3" ht="13" x14ac:dyDescent="0.15">
      <c r="A138" s="10"/>
      <c r="B138" s="13"/>
      <c r="C138" s="13"/>
    </row>
    <row r="139" spans="1:3" ht="13" x14ac:dyDescent="0.15">
      <c r="A139" s="10"/>
      <c r="B139" s="13"/>
      <c r="C139" s="13"/>
    </row>
    <row r="140" spans="1:3" ht="13" x14ac:dyDescent="0.15">
      <c r="A140" s="10"/>
      <c r="B140" s="13"/>
      <c r="C140" s="13"/>
    </row>
    <row r="141" spans="1:3" ht="13" x14ac:dyDescent="0.15">
      <c r="A141" s="10"/>
      <c r="B141" s="13"/>
      <c r="C141" s="13"/>
    </row>
    <row r="142" spans="1:3" ht="13" x14ac:dyDescent="0.15">
      <c r="A142" s="10"/>
      <c r="B142" s="13"/>
      <c r="C142" s="13"/>
    </row>
    <row r="143" spans="1:3" ht="13" x14ac:dyDescent="0.15">
      <c r="A143" s="10"/>
      <c r="B143" s="13"/>
      <c r="C143" s="13"/>
    </row>
    <row r="144" spans="1:3" ht="13" x14ac:dyDescent="0.15">
      <c r="A144" s="10"/>
      <c r="B144" s="13"/>
      <c r="C144" s="13"/>
    </row>
    <row r="145" spans="1:3" ht="13" x14ac:dyDescent="0.15">
      <c r="A145" s="10"/>
      <c r="B145" s="13"/>
      <c r="C145" s="13"/>
    </row>
    <row r="146" spans="1:3" ht="13" x14ac:dyDescent="0.15">
      <c r="A146" s="10"/>
      <c r="B146" s="13"/>
      <c r="C146" s="13"/>
    </row>
    <row r="147" spans="1:3" ht="13" x14ac:dyDescent="0.15">
      <c r="A147" s="10"/>
      <c r="B147" s="13"/>
      <c r="C147" s="13"/>
    </row>
    <row r="148" spans="1:3" ht="13" x14ac:dyDescent="0.15">
      <c r="A148" s="10"/>
      <c r="B148" s="13"/>
      <c r="C148" s="13"/>
    </row>
    <row r="149" spans="1:3" ht="13" x14ac:dyDescent="0.15">
      <c r="A149" s="10"/>
      <c r="B149" s="13"/>
      <c r="C149" s="13"/>
    </row>
    <row r="150" spans="1:3" ht="13" x14ac:dyDescent="0.15">
      <c r="A150" s="10"/>
      <c r="B150" s="13"/>
      <c r="C150" s="13"/>
    </row>
    <row r="151" spans="1:3" ht="13" x14ac:dyDescent="0.15">
      <c r="A151" s="10"/>
      <c r="B151" s="13"/>
      <c r="C151" s="13"/>
    </row>
    <row r="152" spans="1:3" ht="13" x14ac:dyDescent="0.15">
      <c r="A152" s="10"/>
      <c r="B152" s="13"/>
      <c r="C152" s="13"/>
    </row>
    <row r="153" spans="1:3" ht="13" x14ac:dyDescent="0.15">
      <c r="A153" s="10"/>
      <c r="B153" s="13"/>
      <c r="C153" s="13"/>
    </row>
    <row r="154" spans="1:3" ht="13" x14ac:dyDescent="0.15">
      <c r="A154" s="10"/>
      <c r="B154" s="13"/>
      <c r="C154" s="13"/>
    </row>
    <row r="155" spans="1:3" ht="13" x14ac:dyDescent="0.15">
      <c r="A155" s="10"/>
      <c r="B155" s="13"/>
      <c r="C155" s="13"/>
    </row>
    <row r="156" spans="1:3" ht="13" x14ac:dyDescent="0.15">
      <c r="A156" s="10"/>
      <c r="B156" s="13"/>
      <c r="C156" s="13"/>
    </row>
    <row r="157" spans="1:3" ht="13" x14ac:dyDescent="0.15">
      <c r="A157" s="10"/>
      <c r="B157" s="13"/>
      <c r="C157" s="13"/>
    </row>
    <row r="158" spans="1:3" ht="13" x14ac:dyDescent="0.15">
      <c r="A158" s="10"/>
      <c r="B158" s="13"/>
      <c r="C158" s="13"/>
    </row>
    <row r="159" spans="1:3" ht="13" x14ac:dyDescent="0.15">
      <c r="A159" s="10"/>
      <c r="B159" s="13"/>
      <c r="C159" s="13"/>
    </row>
    <row r="160" spans="1:3" ht="13" x14ac:dyDescent="0.15">
      <c r="A160" s="10"/>
      <c r="B160" s="13"/>
      <c r="C160" s="13"/>
    </row>
    <row r="161" spans="1:3" ht="13" x14ac:dyDescent="0.15">
      <c r="A161" s="10"/>
      <c r="B161" s="13"/>
      <c r="C161" s="13"/>
    </row>
    <row r="162" spans="1:3" ht="13" x14ac:dyDescent="0.15">
      <c r="A162" s="10"/>
      <c r="B162" s="13"/>
      <c r="C162" s="13"/>
    </row>
    <row r="163" spans="1:3" ht="13" x14ac:dyDescent="0.15">
      <c r="A163" s="10"/>
      <c r="B163" s="13"/>
      <c r="C163" s="13"/>
    </row>
    <row r="164" spans="1:3" ht="13" x14ac:dyDescent="0.15">
      <c r="A164" s="10"/>
      <c r="B164" s="13"/>
      <c r="C164" s="13"/>
    </row>
    <row r="165" spans="1:3" ht="13" x14ac:dyDescent="0.15">
      <c r="A165" s="10"/>
      <c r="B165" s="13"/>
      <c r="C165" s="13"/>
    </row>
    <row r="166" spans="1:3" ht="13" x14ac:dyDescent="0.15">
      <c r="A166" s="10"/>
      <c r="B166" s="13"/>
      <c r="C166" s="13"/>
    </row>
    <row r="167" spans="1:3" ht="13" x14ac:dyDescent="0.15">
      <c r="A167" s="10"/>
      <c r="B167" s="13"/>
      <c r="C167" s="13"/>
    </row>
    <row r="168" spans="1:3" ht="13" x14ac:dyDescent="0.15">
      <c r="A168" s="10"/>
      <c r="B168" s="13"/>
      <c r="C168" s="13"/>
    </row>
    <row r="169" spans="1:3" ht="13" x14ac:dyDescent="0.15">
      <c r="A169" s="10"/>
      <c r="B169" s="13"/>
      <c r="C169" s="13"/>
    </row>
    <row r="170" spans="1:3" ht="13" x14ac:dyDescent="0.15">
      <c r="A170" s="10"/>
      <c r="B170" s="13"/>
      <c r="C170" s="13"/>
    </row>
    <row r="171" spans="1:3" ht="13" x14ac:dyDescent="0.15">
      <c r="A171" s="10"/>
      <c r="B171" s="13"/>
      <c r="C171" s="13"/>
    </row>
    <row r="172" spans="1:3" ht="13" x14ac:dyDescent="0.15">
      <c r="A172" s="10"/>
      <c r="B172" s="13"/>
      <c r="C172" s="13"/>
    </row>
    <row r="173" spans="1:3" ht="13" x14ac:dyDescent="0.15">
      <c r="A173" s="10"/>
      <c r="B173" s="13"/>
      <c r="C173" s="13"/>
    </row>
    <row r="174" spans="1:3" ht="13" x14ac:dyDescent="0.15">
      <c r="A174" s="10"/>
      <c r="B174" s="13"/>
      <c r="C174" s="13"/>
    </row>
    <row r="175" spans="1:3" ht="13" x14ac:dyDescent="0.15">
      <c r="A175" s="10"/>
      <c r="B175" s="13"/>
      <c r="C175" s="13"/>
    </row>
    <row r="176" spans="1:3" ht="13" x14ac:dyDescent="0.15">
      <c r="A176" s="10"/>
      <c r="B176" s="13"/>
      <c r="C176" s="13"/>
    </row>
    <row r="177" spans="1:3" ht="13" x14ac:dyDescent="0.15">
      <c r="A177" s="10"/>
      <c r="B177" s="13"/>
      <c r="C177" s="13"/>
    </row>
    <row r="178" spans="1:3" ht="13" x14ac:dyDescent="0.15">
      <c r="A178" s="10"/>
      <c r="B178" s="13"/>
      <c r="C178" s="13"/>
    </row>
    <row r="179" spans="1:3" ht="13" x14ac:dyDescent="0.15">
      <c r="A179" s="10"/>
      <c r="B179" s="13"/>
      <c r="C179" s="13"/>
    </row>
    <row r="180" spans="1:3" ht="13" x14ac:dyDescent="0.15">
      <c r="A180" s="10"/>
      <c r="B180" s="13"/>
      <c r="C180" s="13"/>
    </row>
    <row r="181" spans="1:3" ht="13" x14ac:dyDescent="0.15">
      <c r="A181" s="10"/>
      <c r="B181" s="13"/>
      <c r="C181" s="13"/>
    </row>
    <row r="182" spans="1:3" ht="13" x14ac:dyDescent="0.15">
      <c r="A182" s="10"/>
      <c r="B182" s="13"/>
      <c r="C182" s="13"/>
    </row>
    <row r="183" spans="1:3" ht="13" x14ac:dyDescent="0.15">
      <c r="A183" s="10"/>
      <c r="B183" s="13"/>
      <c r="C183" s="13"/>
    </row>
    <row r="184" spans="1:3" ht="13" x14ac:dyDescent="0.15">
      <c r="A184" s="10"/>
      <c r="B184" s="13"/>
      <c r="C184" s="13"/>
    </row>
    <row r="185" spans="1:3" ht="13" x14ac:dyDescent="0.15">
      <c r="A185" s="10"/>
      <c r="B185" s="13"/>
      <c r="C185" s="13"/>
    </row>
    <row r="186" spans="1:3" ht="13" x14ac:dyDescent="0.15">
      <c r="A186" s="10"/>
      <c r="B186" s="13"/>
      <c r="C186" s="13"/>
    </row>
    <row r="187" spans="1:3" ht="13" x14ac:dyDescent="0.15">
      <c r="A187" s="10"/>
      <c r="B187" s="13"/>
      <c r="C187" s="13"/>
    </row>
    <row r="188" spans="1:3" ht="13" x14ac:dyDescent="0.15">
      <c r="A188" s="10"/>
      <c r="B188" s="13"/>
      <c r="C188" s="13"/>
    </row>
    <row r="189" spans="1:3" ht="13" x14ac:dyDescent="0.15">
      <c r="A189" s="10"/>
      <c r="B189" s="13"/>
      <c r="C189" s="13"/>
    </row>
    <row r="190" spans="1:3" ht="13" x14ac:dyDescent="0.15">
      <c r="A190" s="10"/>
      <c r="B190" s="13"/>
      <c r="C190" s="13"/>
    </row>
    <row r="191" spans="1:3" ht="13" x14ac:dyDescent="0.15">
      <c r="A191" s="10"/>
      <c r="B191" s="13"/>
      <c r="C191" s="13"/>
    </row>
    <row r="192" spans="1:3" ht="13" x14ac:dyDescent="0.15">
      <c r="A192" s="10"/>
      <c r="B192" s="13"/>
      <c r="C192" s="13"/>
    </row>
    <row r="193" spans="1:3" ht="13" x14ac:dyDescent="0.15">
      <c r="A193" s="10"/>
      <c r="B193" s="13"/>
      <c r="C193" s="13"/>
    </row>
    <row r="194" spans="1:3" ht="13" x14ac:dyDescent="0.15">
      <c r="A194" s="10"/>
      <c r="B194" s="13"/>
      <c r="C194" s="13"/>
    </row>
    <row r="195" spans="1:3" ht="13" x14ac:dyDescent="0.15">
      <c r="A195" s="10"/>
      <c r="B195" s="13"/>
      <c r="C195" s="13"/>
    </row>
    <row r="196" spans="1:3" ht="13" x14ac:dyDescent="0.15">
      <c r="A196" s="10"/>
      <c r="B196" s="13"/>
      <c r="C196" s="13"/>
    </row>
    <row r="197" spans="1:3" ht="13" x14ac:dyDescent="0.15">
      <c r="A197" s="10"/>
      <c r="B197" s="13"/>
      <c r="C197" s="13"/>
    </row>
    <row r="198" spans="1:3" ht="13" x14ac:dyDescent="0.15">
      <c r="A198" s="10"/>
      <c r="B198" s="13"/>
      <c r="C198" s="13"/>
    </row>
    <row r="199" spans="1:3" ht="13" x14ac:dyDescent="0.15">
      <c r="A199" s="10"/>
      <c r="B199" s="13"/>
      <c r="C199" s="13"/>
    </row>
    <row r="200" spans="1:3" ht="13" x14ac:dyDescent="0.15">
      <c r="A200" s="10"/>
      <c r="B200" s="13"/>
      <c r="C200" s="13"/>
    </row>
    <row r="201" spans="1:3" ht="13" x14ac:dyDescent="0.15">
      <c r="A201" s="10"/>
      <c r="B201" s="13"/>
      <c r="C201" s="13"/>
    </row>
    <row r="202" spans="1:3" ht="13" x14ac:dyDescent="0.15">
      <c r="A202" s="10"/>
      <c r="B202" s="13"/>
      <c r="C202" s="13"/>
    </row>
    <row r="203" spans="1:3" ht="13" x14ac:dyDescent="0.15">
      <c r="A203" s="10"/>
      <c r="B203" s="13"/>
      <c r="C203" s="13"/>
    </row>
    <row r="204" spans="1:3" ht="13" x14ac:dyDescent="0.15">
      <c r="A204" s="10"/>
      <c r="B204" s="13"/>
      <c r="C204" s="13"/>
    </row>
    <row r="205" spans="1:3" ht="13" x14ac:dyDescent="0.15">
      <c r="A205" s="10"/>
      <c r="B205" s="13"/>
      <c r="C205" s="13"/>
    </row>
    <row r="206" spans="1:3" ht="13" x14ac:dyDescent="0.15">
      <c r="A206" s="10"/>
      <c r="B206" s="13"/>
      <c r="C206" s="13"/>
    </row>
    <row r="207" spans="1:3" ht="13" x14ac:dyDescent="0.15">
      <c r="A207" s="10"/>
      <c r="B207" s="13"/>
      <c r="C207" s="13"/>
    </row>
    <row r="208" spans="1:3" ht="13" x14ac:dyDescent="0.15">
      <c r="A208" s="10"/>
      <c r="B208" s="13"/>
      <c r="C208" s="13"/>
    </row>
    <row r="209" spans="1:3" ht="13" x14ac:dyDescent="0.15">
      <c r="A209" s="10"/>
      <c r="B209" s="13"/>
      <c r="C209" s="13"/>
    </row>
    <row r="210" spans="1:3" ht="13" x14ac:dyDescent="0.15">
      <c r="A210" s="10"/>
      <c r="B210" s="13"/>
      <c r="C210" s="13"/>
    </row>
    <row r="211" spans="1:3" ht="13" x14ac:dyDescent="0.15">
      <c r="A211" s="10"/>
      <c r="B211" s="13"/>
      <c r="C211" s="13"/>
    </row>
    <row r="212" spans="1:3" ht="13" x14ac:dyDescent="0.15">
      <c r="A212" s="10"/>
      <c r="B212" s="13"/>
      <c r="C212" s="13"/>
    </row>
    <row r="213" spans="1:3" ht="13" x14ac:dyDescent="0.15">
      <c r="A213" s="10"/>
      <c r="B213" s="13"/>
      <c r="C213" s="13"/>
    </row>
    <row r="214" spans="1:3" ht="13" x14ac:dyDescent="0.15">
      <c r="A214" s="10"/>
      <c r="B214" s="13"/>
      <c r="C214" s="13"/>
    </row>
    <row r="215" spans="1:3" ht="13" x14ac:dyDescent="0.15">
      <c r="A215" s="10"/>
      <c r="B215" s="13"/>
      <c r="C215" s="13"/>
    </row>
    <row r="216" spans="1:3" ht="13" x14ac:dyDescent="0.15">
      <c r="A216" s="10"/>
      <c r="B216" s="13"/>
      <c r="C216" s="13"/>
    </row>
    <row r="217" spans="1:3" ht="13" x14ac:dyDescent="0.15">
      <c r="A217" s="10"/>
      <c r="B217" s="13"/>
      <c r="C217" s="13"/>
    </row>
    <row r="218" spans="1:3" ht="13" x14ac:dyDescent="0.15">
      <c r="A218" s="10"/>
      <c r="B218" s="13"/>
      <c r="C218" s="13"/>
    </row>
    <row r="219" spans="1:3" ht="13" x14ac:dyDescent="0.15">
      <c r="A219" s="10"/>
      <c r="B219" s="13"/>
      <c r="C219" s="13"/>
    </row>
    <row r="220" spans="1:3" ht="13" x14ac:dyDescent="0.15">
      <c r="A220" s="10"/>
      <c r="B220" s="13"/>
      <c r="C220" s="13"/>
    </row>
    <row r="221" spans="1:3" ht="13" x14ac:dyDescent="0.15">
      <c r="A221" s="10"/>
      <c r="B221" s="13"/>
      <c r="C221" s="13"/>
    </row>
    <row r="222" spans="1:3" ht="13" x14ac:dyDescent="0.15">
      <c r="A222" s="10"/>
      <c r="B222" s="13"/>
      <c r="C222" s="13"/>
    </row>
    <row r="223" spans="1:3" ht="13" x14ac:dyDescent="0.15">
      <c r="A223" s="10"/>
      <c r="B223" s="13"/>
      <c r="C223" s="13"/>
    </row>
    <row r="224" spans="1:3" ht="13" x14ac:dyDescent="0.15">
      <c r="A224" s="10"/>
      <c r="B224" s="13"/>
      <c r="C224" s="13"/>
    </row>
    <row r="225" spans="1:3" ht="13" x14ac:dyDescent="0.15">
      <c r="A225" s="10"/>
      <c r="B225" s="13"/>
      <c r="C225" s="13"/>
    </row>
    <row r="226" spans="1:3" ht="13" x14ac:dyDescent="0.15">
      <c r="A226" s="10"/>
      <c r="B226" s="13"/>
      <c r="C226" s="13"/>
    </row>
    <row r="227" spans="1:3" ht="13" x14ac:dyDescent="0.15">
      <c r="A227" s="10"/>
      <c r="B227" s="13"/>
      <c r="C227" s="13"/>
    </row>
    <row r="228" spans="1:3" ht="13" x14ac:dyDescent="0.15">
      <c r="A228" s="10"/>
      <c r="B228" s="13"/>
      <c r="C228" s="13"/>
    </row>
    <row r="229" spans="1:3" ht="13" x14ac:dyDescent="0.15">
      <c r="A229" s="10"/>
      <c r="B229" s="13"/>
      <c r="C229" s="13"/>
    </row>
    <row r="230" spans="1:3" ht="13" x14ac:dyDescent="0.15">
      <c r="A230" s="10"/>
      <c r="B230" s="13"/>
      <c r="C230" s="13"/>
    </row>
    <row r="231" spans="1:3" ht="13" x14ac:dyDescent="0.15">
      <c r="A231" s="10"/>
      <c r="B231" s="13"/>
      <c r="C231" s="13"/>
    </row>
    <row r="232" spans="1:3" ht="13" x14ac:dyDescent="0.15">
      <c r="A232" s="10"/>
      <c r="B232" s="13"/>
      <c r="C232" s="13"/>
    </row>
    <row r="233" spans="1:3" ht="13" x14ac:dyDescent="0.15">
      <c r="A233" s="10"/>
      <c r="B233" s="13"/>
      <c r="C233" s="13"/>
    </row>
    <row r="234" spans="1:3" ht="13" x14ac:dyDescent="0.15">
      <c r="A234" s="10"/>
      <c r="B234" s="13"/>
      <c r="C234" s="13"/>
    </row>
    <row r="235" spans="1:3" ht="13" x14ac:dyDescent="0.15">
      <c r="A235" s="10"/>
      <c r="B235" s="13"/>
      <c r="C235" s="13"/>
    </row>
    <row r="236" spans="1:3" ht="13" x14ac:dyDescent="0.15">
      <c r="A236" s="10"/>
      <c r="B236" s="13"/>
      <c r="C236" s="13"/>
    </row>
    <row r="237" spans="1:3" ht="13" x14ac:dyDescent="0.15">
      <c r="A237" s="10"/>
      <c r="B237" s="13"/>
      <c r="C237" s="13"/>
    </row>
    <row r="238" spans="1:3" ht="13" x14ac:dyDescent="0.15">
      <c r="A238" s="10"/>
      <c r="B238" s="13"/>
      <c r="C238" s="13"/>
    </row>
    <row r="239" spans="1:3" ht="13" x14ac:dyDescent="0.15">
      <c r="A239" s="10"/>
      <c r="B239" s="13"/>
      <c r="C239" s="13"/>
    </row>
    <row r="240" spans="1:3" ht="13" x14ac:dyDescent="0.15">
      <c r="A240" s="10"/>
      <c r="B240" s="13"/>
      <c r="C240" s="13"/>
    </row>
    <row r="241" spans="1:3" ht="13" x14ac:dyDescent="0.15">
      <c r="A241" s="10"/>
      <c r="B241" s="13"/>
      <c r="C241" s="13"/>
    </row>
    <row r="242" spans="1:3" ht="13" x14ac:dyDescent="0.15">
      <c r="A242" s="10"/>
      <c r="B242" s="13"/>
      <c r="C242" s="13"/>
    </row>
    <row r="243" spans="1:3" ht="13" x14ac:dyDescent="0.15">
      <c r="A243" s="10"/>
      <c r="B243" s="13"/>
      <c r="C243" s="13"/>
    </row>
    <row r="244" spans="1:3" ht="13" x14ac:dyDescent="0.15">
      <c r="A244" s="10"/>
      <c r="B244" s="13"/>
      <c r="C244" s="13"/>
    </row>
    <row r="245" spans="1:3" ht="13" x14ac:dyDescent="0.15">
      <c r="A245" s="10"/>
      <c r="B245" s="13"/>
      <c r="C245" s="13"/>
    </row>
    <row r="246" spans="1:3" ht="13" x14ac:dyDescent="0.15">
      <c r="A246" s="10"/>
      <c r="B246" s="13"/>
      <c r="C246" s="13"/>
    </row>
    <row r="247" spans="1:3" ht="13" x14ac:dyDescent="0.15">
      <c r="A247" s="10"/>
      <c r="B247" s="13"/>
      <c r="C247" s="13"/>
    </row>
    <row r="248" spans="1:3" ht="13" x14ac:dyDescent="0.15">
      <c r="A248" s="10"/>
      <c r="B248" s="13"/>
      <c r="C248" s="13"/>
    </row>
    <row r="249" spans="1:3" ht="13" x14ac:dyDescent="0.15">
      <c r="A249" s="10"/>
      <c r="B249" s="13"/>
      <c r="C249" s="13"/>
    </row>
    <row r="250" spans="1:3" ht="13" x14ac:dyDescent="0.15">
      <c r="A250" s="10"/>
      <c r="B250" s="13"/>
      <c r="C250" s="13"/>
    </row>
    <row r="251" spans="1:3" ht="13" x14ac:dyDescent="0.15">
      <c r="A251" s="10"/>
      <c r="B251" s="13"/>
      <c r="C251" s="13"/>
    </row>
    <row r="252" spans="1:3" ht="13" x14ac:dyDescent="0.15">
      <c r="A252" s="10"/>
      <c r="B252" s="13"/>
      <c r="C252" s="13"/>
    </row>
    <row r="253" spans="1:3" ht="13" x14ac:dyDescent="0.15">
      <c r="A253" s="10"/>
      <c r="B253" s="13"/>
      <c r="C253" s="13"/>
    </row>
    <row r="254" spans="1:3" ht="13" x14ac:dyDescent="0.15">
      <c r="A254" s="10"/>
      <c r="B254" s="13"/>
      <c r="C254" s="13"/>
    </row>
    <row r="255" spans="1:3" ht="13" x14ac:dyDescent="0.15">
      <c r="A255" s="10"/>
      <c r="B255" s="13"/>
      <c r="C255" s="13"/>
    </row>
    <row r="256" spans="1:3" ht="13" x14ac:dyDescent="0.15">
      <c r="A256" s="10"/>
      <c r="B256" s="13"/>
      <c r="C256" s="13"/>
    </row>
    <row r="257" spans="1:3" ht="13" x14ac:dyDescent="0.15">
      <c r="A257" s="10"/>
      <c r="B257" s="13"/>
      <c r="C257" s="13"/>
    </row>
    <row r="258" spans="1:3" ht="13" x14ac:dyDescent="0.15">
      <c r="A258" s="10"/>
      <c r="B258" s="13"/>
      <c r="C258" s="13"/>
    </row>
    <row r="259" spans="1:3" ht="13" x14ac:dyDescent="0.15">
      <c r="A259" s="10"/>
      <c r="B259" s="13"/>
      <c r="C259" s="13"/>
    </row>
    <row r="260" spans="1:3" ht="13" x14ac:dyDescent="0.15">
      <c r="A260" s="10"/>
      <c r="B260" s="13"/>
      <c r="C260" s="13"/>
    </row>
    <row r="261" spans="1:3" ht="13" x14ac:dyDescent="0.15">
      <c r="A261" s="10"/>
      <c r="B261" s="13"/>
      <c r="C261" s="13"/>
    </row>
    <row r="262" spans="1:3" ht="13" x14ac:dyDescent="0.15">
      <c r="A262" s="10"/>
      <c r="B262" s="13"/>
      <c r="C262" s="13"/>
    </row>
    <row r="263" spans="1:3" ht="13" x14ac:dyDescent="0.15">
      <c r="A263" s="10"/>
      <c r="B263" s="13"/>
      <c r="C263" s="13"/>
    </row>
    <row r="264" spans="1:3" ht="13" x14ac:dyDescent="0.15">
      <c r="A264" s="10"/>
      <c r="B264" s="13"/>
      <c r="C264" s="13"/>
    </row>
    <row r="265" spans="1:3" ht="13" x14ac:dyDescent="0.15">
      <c r="A265" s="10"/>
      <c r="B265" s="13"/>
      <c r="C265" s="13"/>
    </row>
    <row r="266" spans="1:3" ht="13" x14ac:dyDescent="0.15">
      <c r="A266" s="10"/>
      <c r="B266" s="13"/>
      <c r="C266" s="13"/>
    </row>
    <row r="267" spans="1:3" ht="13" x14ac:dyDescent="0.15">
      <c r="A267" s="10"/>
      <c r="B267" s="13"/>
      <c r="C267" s="13"/>
    </row>
    <row r="268" spans="1:3" ht="13" x14ac:dyDescent="0.15">
      <c r="A268" s="10"/>
      <c r="B268" s="13"/>
      <c r="C268" s="13"/>
    </row>
    <row r="269" spans="1:3" ht="13" x14ac:dyDescent="0.15">
      <c r="A269" s="10"/>
      <c r="B269" s="13"/>
      <c r="C269" s="13"/>
    </row>
    <row r="270" spans="1:3" ht="13" x14ac:dyDescent="0.15">
      <c r="A270" s="10"/>
      <c r="B270" s="13"/>
      <c r="C270" s="13"/>
    </row>
    <row r="271" spans="1:3" ht="13" x14ac:dyDescent="0.15">
      <c r="A271" s="10"/>
      <c r="B271" s="13"/>
      <c r="C271" s="13"/>
    </row>
    <row r="272" spans="1:3" ht="13" x14ac:dyDescent="0.15">
      <c r="A272" s="10"/>
      <c r="B272" s="13"/>
      <c r="C272" s="13"/>
    </row>
    <row r="273" spans="1:3" ht="13" x14ac:dyDescent="0.15">
      <c r="A273" s="10"/>
      <c r="B273" s="13"/>
      <c r="C273" s="13"/>
    </row>
    <row r="274" spans="1:3" ht="13" x14ac:dyDescent="0.15">
      <c r="A274" s="10"/>
      <c r="B274" s="13"/>
      <c r="C274" s="13"/>
    </row>
    <row r="275" spans="1:3" ht="13" x14ac:dyDescent="0.15">
      <c r="A275" s="10"/>
      <c r="B275" s="13"/>
      <c r="C275" s="13"/>
    </row>
    <row r="276" spans="1:3" ht="13" x14ac:dyDescent="0.15">
      <c r="A276" s="10"/>
      <c r="B276" s="13"/>
      <c r="C276" s="13"/>
    </row>
    <row r="277" spans="1:3" ht="13" x14ac:dyDescent="0.15">
      <c r="A277" s="10"/>
      <c r="B277" s="13"/>
      <c r="C277" s="13"/>
    </row>
    <row r="278" spans="1:3" ht="13" x14ac:dyDescent="0.15">
      <c r="A278" s="10"/>
      <c r="B278" s="13"/>
      <c r="C278" s="13"/>
    </row>
    <row r="279" spans="1:3" ht="13" x14ac:dyDescent="0.15">
      <c r="A279" s="10"/>
      <c r="B279" s="13"/>
      <c r="C279" s="13"/>
    </row>
    <row r="280" spans="1:3" ht="13" x14ac:dyDescent="0.15">
      <c r="A280" s="10"/>
      <c r="B280" s="13"/>
      <c r="C280" s="13"/>
    </row>
    <row r="281" spans="1:3" ht="13" x14ac:dyDescent="0.15">
      <c r="A281" s="10"/>
      <c r="B281" s="13"/>
      <c r="C281" s="13"/>
    </row>
    <row r="282" spans="1:3" ht="13" x14ac:dyDescent="0.15">
      <c r="A282" s="10"/>
      <c r="B282" s="13"/>
      <c r="C282" s="13"/>
    </row>
    <row r="283" spans="1:3" ht="13" x14ac:dyDescent="0.15">
      <c r="A283" s="10"/>
      <c r="B283" s="13"/>
      <c r="C283" s="13"/>
    </row>
    <row r="284" spans="1:3" ht="13" x14ac:dyDescent="0.15">
      <c r="A284" s="10"/>
      <c r="B284" s="13"/>
      <c r="C284" s="13"/>
    </row>
    <row r="285" spans="1:3" ht="13" x14ac:dyDescent="0.15">
      <c r="A285" s="10"/>
      <c r="B285" s="13"/>
      <c r="C285" s="13"/>
    </row>
    <row r="286" spans="1:3" ht="13" x14ac:dyDescent="0.15">
      <c r="A286" s="10"/>
      <c r="B286" s="13"/>
      <c r="C286" s="13"/>
    </row>
    <row r="287" spans="1:3" ht="13" x14ac:dyDescent="0.15">
      <c r="A287" s="10"/>
      <c r="B287" s="13"/>
      <c r="C287" s="13"/>
    </row>
    <row r="288" spans="1:3" ht="13" x14ac:dyDescent="0.15">
      <c r="A288" s="10"/>
      <c r="B288" s="13"/>
      <c r="C288" s="13"/>
    </row>
    <row r="289" spans="1:3" ht="13" x14ac:dyDescent="0.15">
      <c r="A289" s="10"/>
      <c r="B289" s="13"/>
      <c r="C289" s="13"/>
    </row>
    <row r="290" spans="1:3" ht="13" x14ac:dyDescent="0.15">
      <c r="A290" s="10"/>
      <c r="B290" s="13"/>
      <c r="C290" s="13"/>
    </row>
    <row r="291" spans="1:3" ht="13" x14ac:dyDescent="0.15">
      <c r="A291" s="10"/>
      <c r="B291" s="13"/>
      <c r="C291" s="13"/>
    </row>
    <row r="292" spans="1:3" ht="13" x14ac:dyDescent="0.15">
      <c r="A292" s="10"/>
      <c r="B292" s="13"/>
      <c r="C292" s="13"/>
    </row>
    <row r="293" spans="1:3" ht="13" x14ac:dyDescent="0.15">
      <c r="A293" s="10"/>
      <c r="B293" s="13"/>
      <c r="C293" s="13"/>
    </row>
    <row r="294" spans="1:3" ht="13" x14ac:dyDescent="0.15">
      <c r="A294" s="10"/>
      <c r="B294" s="13"/>
      <c r="C294" s="13"/>
    </row>
    <row r="295" spans="1:3" ht="13" x14ac:dyDescent="0.15">
      <c r="A295" s="10"/>
      <c r="B295" s="13"/>
      <c r="C295" s="13"/>
    </row>
    <row r="296" spans="1:3" ht="13" x14ac:dyDescent="0.15">
      <c r="A296" s="10"/>
      <c r="B296" s="13"/>
      <c r="C296" s="13"/>
    </row>
    <row r="297" spans="1:3" ht="13" x14ac:dyDescent="0.15">
      <c r="A297" s="10"/>
      <c r="B297" s="13"/>
      <c r="C297" s="13"/>
    </row>
    <row r="298" spans="1:3" ht="13" x14ac:dyDescent="0.15">
      <c r="A298" s="10"/>
      <c r="B298" s="13"/>
      <c r="C298" s="13"/>
    </row>
    <row r="299" spans="1:3" ht="13" x14ac:dyDescent="0.15">
      <c r="A299" s="10"/>
      <c r="B299" s="13"/>
      <c r="C299" s="13"/>
    </row>
    <row r="300" spans="1:3" ht="13" x14ac:dyDescent="0.15">
      <c r="A300" s="10"/>
      <c r="B300" s="13"/>
      <c r="C300" s="13"/>
    </row>
    <row r="301" spans="1:3" ht="13" x14ac:dyDescent="0.15">
      <c r="A301" s="10"/>
      <c r="B301" s="13"/>
      <c r="C301" s="13"/>
    </row>
    <row r="302" spans="1:3" ht="13" x14ac:dyDescent="0.15">
      <c r="A302" s="10"/>
      <c r="B302" s="13"/>
      <c r="C302" s="13"/>
    </row>
    <row r="303" spans="1:3" ht="13" x14ac:dyDescent="0.15">
      <c r="A303" s="10"/>
      <c r="B303" s="13"/>
      <c r="C303" s="13"/>
    </row>
    <row r="304" spans="1:3" ht="13" x14ac:dyDescent="0.15">
      <c r="A304" s="10"/>
      <c r="B304" s="13"/>
      <c r="C304" s="13"/>
    </row>
    <row r="305" spans="1:3" ht="13" x14ac:dyDescent="0.15">
      <c r="A305" s="10"/>
      <c r="B305" s="13"/>
      <c r="C305" s="13"/>
    </row>
    <row r="306" spans="1:3" ht="13" x14ac:dyDescent="0.15">
      <c r="A306" s="10"/>
      <c r="B306" s="13"/>
      <c r="C306" s="13"/>
    </row>
    <row r="307" spans="1:3" ht="13" x14ac:dyDescent="0.15">
      <c r="A307" s="10"/>
      <c r="B307" s="13"/>
      <c r="C307" s="13"/>
    </row>
    <row r="308" spans="1:3" ht="13" x14ac:dyDescent="0.15">
      <c r="A308" s="10"/>
      <c r="B308" s="13"/>
      <c r="C308" s="13"/>
    </row>
    <row r="309" spans="1:3" ht="13" x14ac:dyDescent="0.15">
      <c r="A309" s="10"/>
      <c r="B309" s="13"/>
      <c r="C309" s="13"/>
    </row>
    <row r="310" spans="1:3" ht="13" x14ac:dyDescent="0.15">
      <c r="A310" s="10"/>
      <c r="B310" s="13"/>
      <c r="C310" s="13"/>
    </row>
    <row r="311" spans="1:3" ht="13" x14ac:dyDescent="0.15">
      <c r="A311" s="10"/>
      <c r="B311" s="13"/>
      <c r="C311" s="13"/>
    </row>
    <row r="312" spans="1:3" ht="13" x14ac:dyDescent="0.15">
      <c r="A312" s="10"/>
      <c r="B312" s="13"/>
      <c r="C312" s="13"/>
    </row>
    <row r="313" spans="1:3" ht="13" x14ac:dyDescent="0.15">
      <c r="A313" s="10"/>
      <c r="B313" s="13"/>
      <c r="C313" s="13"/>
    </row>
    <row r="314" spans="1:3" ht="13" x14ac:dyDescent="0.15">
      <c r="A314" s="10"/>
      <c r="B314" s="13"/>
      <c r="C314" s="13"/>
    </row>
    <row r="315" spans="1:3" ht="13" x14ac:dyDescent="0.15">
      <c r="A315" s="10"/>
      <c r="B315" s="13"/>
      <c r="C315" s="13"/>
    </row>
    <row r="316" spans="1:3" ht="13" x14ac:dyDescent="0.15">
      <c r="A316" s="10"/>
      <c r="B316" s="13"/>
      <c r="C316" s="13"/>
    </row>
    <row r="317" spans="1:3" ht="13" x14ac:dyDescent="0.15">
      <c r="A317" s="10"/>
      <c r="B317" s="13"/>
      <c r="C317" s="13"/>
    </row>
    <row r="318" spans="1:3" ht="13" x14ac:dyDescent="0.15">
      <c r="A318" s="10"/>
      <c r="B318" s="13"/>
      <c r="C318" s="13"/>
    </row>
    <row r="319" spans="1:3" ht="13" x14ac:dyDescent="0.15">
      <c r="A319" s="10"/>
      <c r="B319" s="13"/>
      <c r="C319" s="13"/>
    </row>
    <row r="320" spans="1:3" ht="13" x14ac:dyDescent="0.15">
      <c r="A320" s="10"/>
      <c r="B320" s="13"/>
      <c r="C320" s="13"/>
    </row>
    <row r="321" spans="1:3" ht="13" x14ac:dyDescent="0.15">
      <c r="A321" s="10"/>
      <c r="B321" s="13"/>
      <c r="C321" s="13"/>
    </row>
    <row r="322" spans="1:3" ht="13" x14ac:dyDescent="0.15">
      <c r="A322" s="10"/>
      <c r="B322" s="13"/>
      <c r="C322" s="13"/>
    </row>
    <row r="323" spans="1:3" ht="13" x14ac:dyDescent="0.15">
      <c r="A323" s="10"/>
      <c r="B323" s="13"/>
      <c r="C323" s="13"/>
    </row>
    <row r="324" spans="1:3" ht="13" x14ac:dyDescent="0.15">
      <c r="A324" s="10"/>
      <c r="B324" s="13"/>
      <c r="C324" s="13"/>
    </row>
    <row r="325" spans="1:3" ht="13" x14ac:dyDescent="0.15">
      <c r="A325" s="10"/>
      <c r="B325" s="13"/>
      <c r="C325" s="13"/>
    </row>
    <row r="326" spans="1:3" ht="13" x14ac:dyDescent="0.15">
      <c r="A326" s="10"/>
      <c r="B326" s="13"/>
      <c r="C326" s="13"/>
    </row>
    <row r="327" spans="1:3" ht="13" x14ac:dyDescent="0.15">
      <c r="A327" s="10"/>
      <c r="B327" s="13"/>
      <c r="C327" s="13"/>
    </row>
    <row r="328" spans="1:3" ht="13" x14ac:dyDescent="0.15">
      <c r="A328" s="10"/>
      <c r="B328" s="13"/>
      <c r="C328" s="13"/>
    </row>
    <row r="329" spans="1:3" ht="13" x14ac:dyDescent="0.15">
      <c r="A329" s="10"/>
      <c r="B329" s="13"/>
      <c r="C329" s="13"/>
    </row>
    <row r="330" spans="1:3" ht="13" x14ac:dyDescent="0.15">
      <c r="A330" s="10"/>
      <c r="B330" s="13"/>
      <c r="C330" s="13"/>
    </row>
    <row r="331" spans="1:3" ht="13" x14ac:dyDescent="0.15">
      <c r="A331" s="10"/>
      <c r="B331" s="13"/>
      <c r="C331" s="13"/>
    </row>
    <row r="332" spans="1:3" ht="13" x14ac:dyDescent="0.15">
      <c r="A332" s="10"/>
      <c r="B332" s="13"/>
      <c r="C332" s="13"/>
    </row>
    <row r="333" spans="1:3" ht="13" x14ac:dyDescent="0.15">
      <c r="A333" s="10"/>
      <c r="B333" s="13"/>
      <c r="C333" s="13"/>
    </row>
    <row r="334" spans="1:3" ht="13" x14ac:dyDescent="0.15">
      <c r="A334" s="10"/>
      <c r="B334" s="13"/>
      <c r="C334" s="13"/>
    </row>
    <row r="335" spans="1:3" ht="13" x14ac:dyDescent="0.15">
      <c r="A335" s="10"/>
      <c r="B335" s="13"/>
      <c r="C335" s="13"/>
    </row>
    <row r="336" spans="1:3" ht="13" x14ac:dyDescent="0.15">
      <c r="A336" s="10"/>
      <c r="B336" s="13"/>
      <c r="C336" s="13"/>
    </row>
    <row r="337" spans="1:3" ht="13" x14ac:dyDescent="0.15">
      <c r="A337" s="10"/>
      <c r="B337" s="13"/>
      <c r="C337" s="13"/>
    </row>
    <row r="338" spans="1:3" ht="13" x14ac:dyDescent="0.15">
      <c r="A338" s="10"/>
      <c r="B338" s="13"/>
      <c r="C338" s="13"/>
    </row>
    <row r="339" spans="1:3" ht="13" x14ac:dyDescent="0.15">
      <c r="A339" s="10"/>
      <c r="B339" s="13"/>
      <c r="C339" s="13"/>
    </row>
    <row r="340" spans="1:3" ht="13" x14ac:dyDescent="0.15">
      <c r="A340" s="10"/>
      <c r="B340" s="13"/>
      <c r="C340" s="13"/>
    </row>
    <row r="341" spans="1:3" ht="13" x14ac:dyDescent="0.15">
      <c r="A341" s="10"/>
      <c r="B341" s="13"/>
      <c r="C341" s="13"/>
    </row>
    <row r="342" spans="1:3" ht="13" x14ac:dyDescent="0.15">
      <c r="A342" s="10"/>
      <c r="B342" s="13"/>
      <c r="C342" s="13"/>
    </row>
    <row r="343" spans="1:3" ht="13" x14ac:dyDescent="0.15">
      <c r="A343" s="10"/>
      <c r="B343" s="13"/>
      <c r="C343" s="13"/>
    </row>
    <row r="344" spans="1:3" ht="13" x14ac:dyDescent="0.15">
      <c r="A344" s="10"/>
      <c r="B344" s="13"/>
      <c r="C344" s="13"/>
    </row>
    <row r="345" spans="1:3" ht="13" x14ac:dyDescent="0.15">
      <c r="A345" s="10"/>
      <c r="B345" s="13"/>
      <c r="C345" s="13"/>
    </row>
    <row r="346" spans="1:3" ht="13" x14ac:dyDescent="0.15">
      <c r="A346" s="10"/>
      <c r="B346" s="13"/>
      <c r="C346" s="13"/>
    </row>
    <row r="347" spans="1:3" ht="13" x14ac:dyDescent="0.15">
      <c r="A347" s="10"/>
      <c r="B347" s="13"/>
      <c r="C347" s="13"/>
    </row>
    <row r="348" spans="1:3" ht="13" x14ac:dyDescent="0.15">
      <c r="A348" s="10"/>
      <c r="B348" s="13"/>
      <c r="C348" s="13"/>
    </row>
    <row r="349" spans="1:3" ht="13" x14ac:dyDescent="0.15">
      <c r="A349" s="10"/>
      <c r="B349" s="13"/>
      <c r="C349" s="13"/>
    </row>
    <row r="350" spans="1:3" ht="13" x14ac:dyDescent="0.15">
      <c r="A350" s="10"/>
      <c r="B350" s="13"/>
      <c r="C350" s="13"/>
    </row>
    <row r="351" spans="1:3" ht="13" x14ac:dyDescent="0.15">
      <c r="A351" s="10"/>
      <c r="B351" s="13"/>
      <c r="C351" s="13"/>
    </row>
    <row r="352" spans="1:3" ht="13" x14ac:dyDescent="0.15">
      <c r="A352" s="10"/>
      <c r="B352" s="13"/>
      <c r="C352" s="13"/>
    </row>
    <row r="353" spans="1:3" ht="13" x14ac:dyDescent="0.15">
      <c r="A353" s="10"/>
      <c r="B353" s="13"/>
      <c r="C353" s="13"/>
    </row>
    <row r="354" spans="1:3" ht="13" x14ac:dyDescent="0.15">
      <c r="A354" s="10"/>
      <c r="B354" s="13"/>
      <c r="C354" s="13"/>
    </row>
    <row r="355" spans="1:3" ht="13" x14ac:dyDescent="0.15">
      <c r="A355" s="10"/>
      <c r="B355" s="13"/>
      <c r="C355" s="13"/>
    </row>
    <row r="356" spans="1:3" ht="13" x14ac:dyDescent="0.15">
      <c r="A356" s="10"/>
      <c r="B356" s="13"/>
      <c r="C356" s="13"/>
    </row>
    <row r="357" spans="1:3" ht="13" x14ac:dyDescent="0.15">
      <c r="A357" s="10"/>
      <c r="B357" s="13"/>
      <c r="C357" s="13"/>
    </row>
    <row r="358" spans="1:3" ht="13" x14ac:dyDescent="0.15">
      <c r="A358" s="10"/>
      <c r="B358" s="13"/>
      <c r="C358" s="13"/>
    </row>
    <row r="359" spans="1:3" ht="13" x14ac:dyDescent="0.15">
      <c r="A359" s="10"/>
      <c r="B359" s="13"/>
      <c r="C359" s="13"/>
    </row>
    <row r="360" spans="1:3" ht="13" x14ac:dyDescent="0.15">
      <c r="A360" s="10"/>
      <c r="B360" s="13"/>
      <c r="C360" s="13"/>
    </row>
    <row r="361" spans="1:3" ht="13" x14ac:dyDescent="0.15">
      <c r="A361" s="10"/>
      <c r="B361" s="13"/>
      <c r="C361" s="13"/>
    </row>
    <row r="362" spans="1:3" ht="13" x14ac:dyDescent="0.15">
      <c r="A362" s="10"/>
      <c r="B362" s="13"/>
      <c r="C362" s="13"/>
    </row>
    <row r="363" spans="1:3" ht="13" x14ac:dyDescent="0.15">
      <c r="A363" s="10"/>
      <c r="B363" s="13"/>
      <c r="C363" s="13"/>
    </row>
    <row r="364" spans="1:3" ht="13" x14ac:dyDescent="0.15">
      <c r="A364" s="10"/>
      <c r="B364" s="13"/>
      <c r="C364" s="13"/>
    </row>
    <row r="365" spans="1:3" ht="13" x14ac:dyDescent="0.15">
      <c r="A365" s="10"/>
      <c r="B365" s="13"/>
      <c r="C365" s="13"/>
    </row>
    <row r="366" spans="1:3" ht="13" x14ac:dyDescent="0.15">
      <c r="A366" s="10"/>
      <c r="B366" s="13"/>
      <c r="C366" s="13"/>
    </row>
    <row r="367" spans="1:3" ht="13" x14ac:dyDescent="0.15">
      <c r="A367" s="10"/>
      <c r="B367" s="13"/>
      <c r="C367" s="13"/>
    </row>
    <row r="368" spans="1:3" ht="13" x14ac:dyDescent="0.15">
      <c r="A368" s="10"/>
      <c r="B368" s="13"/>
      <c r="C368" s="13"/>
    </row>
    <row r="369" spans="1:3" ht="13" x14ac:dyDescent="0.15">
      <c r="A369" s="10"/>
      <c r="B369" s="13"/>
      <c r="C369" s="13"/>
    </row>
    <row r="370" spans="1:3" ht="13" x14ac:dyDescent="0.15">
      <c r="A370" s="10"/>
      <c r="B370" s="13"/>
      <c r="C370" s="13"/>
    </row>
    <row r="371" spans="1:3" ht="13" x14ac:dyDescent="0.15">
      <c r="A371" s="10"/>
      <c r="B371" s="13"/>
      <c r="C371" s="13"/>
    </row>
    <row r="372" spans="1:3" ht="13" x14ac:dyDescent="0.15">
      <c r="A372" s="10"/>
      <c r="B372" s="13"/>
      <c r="C372" s="13"/>
    </row>
    <row r="373" spans="1:3" ht="13" x14ac:dyDescent="0.15">
      <c r="A373" s="10"/>
      <c r="B373" s="13"/>
      <c r="C373" s="13"/>
    </row>
    <row r="374" spans="1:3" ht="13" x14ac:dyDescent="0.15">
      <c r="A374" s="10"/>
      <c r="B374" s="13"/>
      <c r="C374" s="13"/>
    </row>
    <row r="375" spans="1:3" ht="13" x14ac:dyDescent="0.15">
      <c r="A375" s="10"/>
      <c r="B375" s="13"/>
      <c r="C375" s="13"/>
    </row>
    <row r="376" spans="1:3" ht="13" x14ac:dyDescent="0.15">
      <c r="A376" s="10"/>
      <c r="B376" s="13"/>
      <c r="C376" s="13"/>
    </row>
    <row r="377" spans="1:3" ht="13" x14ac:dyDescent="0.15">
      <c r="A377" s="10"/>
      <c r="B377" s="13"/>
      <c r="C377" s="13"/>
    </row>
    <row r="378" spans="1:3" ht="13" x14ac:dyDescent="0.15">
      <c r="A378" s="10"/>
      <c r="B378" s="13"/>
      <c r="C378" s="13"/>
    </row>
    <row r="379" spans="1:3" ht="13" x14ac:dyDescent="0.15">
      <c r="A379" s="10"/>
      <c r="B379" s="13"/>
      <c r="C379" s="13"/>
    </row>
    <row r="380" spans="1:3" ht="13" x14ac:dyDescent="0.15">
      <c r="A380" s="10"/>
      <c r="B380" s="13"/>
      <c r="C380" s="13"/>
    </row>
    <row r="381" spans="1:3" ht="13" x14ac:dyDescent="0.15">
      <c r="A381" s="10"/>
      <c r="B381" s="13"/>
      <c r="C381" s="13"/>
    </row>
    <row r="382" spans="1:3" ht="13" x14ac:dyDescent="0.15">
      <c r="A382" s="10"/>
      <c r="B382" s="13"/>
      <c r="C382" s="13"/>
    </row>
    <row r="383" spans="1:3" ht="13" x14ac:dyDescent="0.15">
      <c r="A383" s="10"/>
      <c r="B383" s="13"/>
      <c r="C383" s="13"/>
    </row>
    <row r="384" spans="1:3" ht="13" x14ac:dyDescent="0.15">
      <c r="A384" s="10"/>
      <c r="B384" s="13"/>
      <c r="C384" s="13"/>
    </row>
    <row r="385" spans="1:3" ht="13" x14ac:dyDescent="0.15">
      <c r="A385" s="10"/>
      <c r="B385" s="13"/>
      <c r="C385" s="13"/>
    </row>
    <row r="386" spans="1:3" ht="13" x14ac:dyDescent="0.15">
      <c r="A386" s="10"/>
      <c r="B386" s="13"/>
      <c r="C386" s="13"/>
    </row>
    <row r="387" spans="1:3" ht="13" x14ac:dyDescent="0.15">
      <c r="A387" s="10"/>
      <c r="B387" s="13"/>
      <c r="C387" s="13"/>
    </row>
    <row r="388" spans="1:3" ht="13" x14ac:dyDescent="0.15">
      <c r="A388" s="10"/>
      <c r="B388" s="13"/>
      <c r="C388" s="13"/>
    </row>
    <row r="389" spans="1:3" ht="13" x14ac:dyDescent="0.15">
      <c r="A389" s="10"/>
      <c r="B389" s="13"/>
      <c r="C389" s="13"/>
    </row>
    <row r="390" spans="1:3" ht="13" x14ac:dyDescent="0.15">
      <c r="A390" s="10"/>
      <c r="B390" s="13"/>
      <c r="C390" s="13"/>
    </row>
    <row r="391" spans="1:3" ht="13" x14ac:dyDescent="0.15">
      <c r="A391" s="10"/>
      <c r="B391" s="13"/>
      <c r="C391" s="13"/>
    </row>
    <row r="392" spans="1:3" ht="13" x14ac:dyDescent="0.15">
      <c r="A392" s="10"/>
      <c r="B392" s="13"/>
      <c r="C392" s="13"/>
    </row>
    <row r="393" spans="1:3" ht="13" x14ac:dyDescent="0.15">
      <c r="A393" s="10"/>
      <c r="B393" s="13"/>
      <c r="C393" s="13"/>
    </row>
    <row r="394" spans="1:3" ht="13" x14ac:dyDescent="0.15">
      <c r="A394" s="10"/>
      <c r="B394" s="13"/>
      <c r="C394" s="13"/>
    </row>
    <row r="395" spans="1:3" ht="13" x14ac:dyDescent="0.15">
      <c r="A395" s="10"/>
      <c r="B395" s="13"/>
      <c r="C395" s="13"/>
    </row>
    <row r="396" spans="1:3" ht="13" x14ac:dyDescent="0.15">
      <c r="A396" s="10"/>
      <c r="B396" s="13"/>
      <c r="C396" s="13"/>
    </row>
    <row r="397" spans="1:3" ht="13" x14ac:dyDescent="0.15">
      <c r="A397" s="10"/>
      <c r="B397" s="13"/>
      <c r="C397" s="13"/>
    </row>
    <row r="398" spans="1:3" ht="13" x14ac:dyDescent="0.15">
      <c r="A398" s="10"/>
      <c r="B398" s="13"/>
      <c r="C398" s="13"/>
    </row>
    <row r="399" spans="1:3" ht="13" x14ac:dyDescent="0.15">
      <c r="A399" s="10"/>
      <c r="B399" s="13"/>
      <c r="C399" s="13"/>
    </row>
    <row r="400" spans="1:3" ht="13" x14ac:dyDescent="0.15">
      <c r="A400" s="10"/>
      <c r="B400" s="13"/>
      <c r="C400" s="13"/>
    </row>
    <row r="401" spans="1:3" ht="13" x14ac:dyDescent="0.15">
      <c r="A401" s="10"/>
      <c r="B401" s="13"/>
      <c r="C401" s="13"/>
    </row>
    <row r="402" spans="1:3" ht="13" x14ac:dyDescent="0.15">
      <c r="A402" s="10"/>
      <c r="B402" s="13"/>
      <c r="C402" s="13"/>
    </row>
    <row r="403" spans="1:3" ht="13" x14ac:dyDescent="0.15">
      <c r="A403" s="10"/>
      <c r="B403" s="13"/>
      <c r="C403" s="13"/>
    </row>
    <row r="404" spans="1:3" ht="13" x14ac:dyDescent="0.15">
      <c r="A404" s="10"/>
      <c r="B404" s="13"/>
      <c r="C404" s="13"/>
    </row>
    <row r="405" spans="1:3" ht="13" x14ac:dyDescent="0.15">
      <c r="A405" s="10"/>
      <c r="B405" s="13"/>
      <c r="C405" s="13"/>
    </row>
    <row r="406" spans="1:3" ht="13" x14ac:dyDescent="0.15">
      <c r="A406" s="10"/>
      <c r="B406" s="13"/>
      <c r="C406" s="13"/>
    </row>
    <row r="407" spans="1:3" ht="13" x14ac:dyDescent="0.15">
      <c r="A407" s="10"/>
      <c r="B407" s="13"/>
      <c r="C407" s="13"/>
    </row>
    <row r="408" spans="1:3" ht="13" x14ac:dyDescent="0.15">
      <c r="A408" s="10"/>
      <c r="B408" s="13"/>
      <c r="C408" s="13"/>
    </row>
    <row r="409" spans="1:3" ht="13" x14ac:dyDescent="0.15">
      <c r="A409" s="10"/>
      <c r="B409" s="13"/>
      <c r="C409" s="13"/>
    </row>
    <row r="410" spans="1:3" ht="13" x14ac:dyDescent="0.15">
      <c r="A410" s="10"/>
      <c r="B410" s="13"/>
      <c r="C410" s="13"/>
    </row>
    <row r="411" spans="1:3" ht="13" x14ac:dyDescent="0.15">
      <c r="A411" s="10"/>
      <c r="B411" s="13"/>
      <c r="C411" s="13"/>
    </row>
    <row r="412" spans="1:3" ht="13" x14ac:dyDescent="0.15">
      <c r="A412" s="10"/>
      <c r="B412" s="13"/>
      <c r="C412" s="13"/>
    </row>
    <row r="413" spans="1:3" ht="13" x14ac:dyDescent="0.15">
      <c r="A413" s="10"/>
      <c r="B413" s="13"/>
      <c r="C413" s="13"/>
    </row>
    <row r="414" spans="1:3" ht="13" x14ac:dyDescent="0.15">
      <c r="A414" s="10"/>
      <c r="B414" s="13"/>
      <c r="C414" s="13"/>
    </row>
    <row r="415" spans="1:3" ht="13" x14ac:dyDescent="0.15">
      <c r="A415" s="10"/>
      <c r="B415" s="13"/>
      <c r="C415" s="13"/>
    </row>
    <row r="416" spans="1:3" ht="13" x14ac:dyDescent="0.15">
      <c r="A416" s="10"/>
      <c r="B416" s="13"/>
      <c r="C416" s="13"/>
    </row>
    <row r="417" spans="1:3" ht="13" x14ac:dyDescent="0.15">
      <c r="A417" s="10"/>
      <c r="B417" s="13"/>
      <c r="C417" s="13"/>
    </row>
    <row r="418" spans="1:3" ht="13" x14ac:dyDescent="0.15">
      <c r="A418" s="10"/>
      <c r="B418" s="13"/>
      <c r="C418" s="13"/>
    </row>
    <row r="419" spans="1:3" ht="13" x14ac:dyDescent="0.15">
      <c r="A419" s="10"/>
      <c r="B419" s="13"/>
      <c r="C419" s="13"/>
    </row>
    <row r="420" spans="1:3" ht="13" x14ac:dyDescent="0.15">
      <c r="A420" s="10"/>
      <c r="B420" s="13"/>
      <c r="C420" s="13"/>
    </row>
    <row r="421" spans="1:3" ht="13" x14ac:dyDescent="0.15">
      <c r="A421" s="10"/>
      <c r="B421" s="13"/>
      <c r="C421" s="13"/>
    </row>
    <row r="422" spans="1:3" ht="13" x14ac:dyDescent="0.15">
      <c r="A422" s="10"/>
      <c r="B422" s="13"/>
      <c r="C422" s="13"/>
    </row>
    <row r="423" spans="1:3" ht="13" x14ac:dyDescent="0.15">
      <c r="A423" s="10"/>
      <c r="B423" s="13"/>
      <c r="C423" s="13"/>
    </row>
    <row r="424" spans="1:3" ht="13" x14ac:dyDescent="0.15">
      <c r="A424" s="10"/>
      <c r="B424" s="13"/>
      <c r="C424" s="13"/>
    </row>
    <row r="425" spans="1:3" ht="13" x14ac:dyDescent="0.15">
      <c r="A425" s="10"/>
      <c r="B425" s="13"/>
      <c r="C425" s="13"/>
    </row>
    <row r="426" spans="1:3" ht="13" x14ac:dyDescent="0.15">
      <c r="A426" s="10"/>
      <c r="B426" s="13"/>
      <c r="C426" s="13"/>
    </row>
    <row r="427" spans="1:3" ht="13" x14ac:dyDescent="0.15">
      <c r="A427" s="10"/>
      <c r="B427" s="13"/>
      <c r="C427" s="13"/>
    </row>
    <row r="428" spans="1:3" ht="13" x14ac:dyDescent="0.15">
      <c r="A428" s="10"/>
      <c r="B428" s="13"/>
      <c r="C428" s="13"/>
    </row>
    <row r="429" spans="1:3" ht="13" x14ac:dyDescent="0.15">
      <c r="A429" s="10"/>
      <c r="B429" s="13"/>
      <c r="C429" s="13"/>
    </row>
    <row r="430" spans="1:3" ht="13" x14ac:dyDescent="0.15">
      <c r="A430" s="10"/>
      <c r="B430" s="13"/>
      <c r="C430" s="13"/>
    </row>
    <row r="431" spans="1:3" ht="13" x14ac:dyDescent="0.15">
      <c r="A431" s="10"/>
      <c r="B431" s="13"/>
      <c r="C431" s="13"/>
    </row>
    <row r="432" spans="1:3" ht="13" x14ac:dyDescent="0.15">
      <c r="A432" s="10"/>
      <c r="B432" s="13"/>
      <c r="C432" s="13"/>
    </row>
    <row r="433" spans="1:3" ht="13" x14ac:dyDescent="0.15">
      <c r="A433" s="10"/>
      <c r="B433" s="13"/>
      <c r="C433" s="13"/>
    </row>
    <row r="434" spans="1:3" ht="13" x14ac:dyDescent="0.15">
      <c r="A434" s="10"/>
      <c r="B434" s="13"/>
      <c r="C434" s="13"/>
    </row>
    <row r="435" spans="1:3" ht="13" x14ac:dyDescent="0.15">
      <c r="A435" s="10"/>
      <c r="B435" s="13"/>
      <c r="C435" s="13"/>
    </row>
    <row r="436" spans="1:3" ht="13" x14ac:dyDescent="0.15">
      <c r="A436" s="10"/>
      <c r="B436" s="13"/>
      <c r="C436" s="13"/>
    </row>
    <row r="437" spans="1:3" ht="13" x14ac:dyDescent="0.15">
      <c r="A437" s="10"/>
      <c r="B437" s="13"/>
      <c r="C437" s="13"/>
    </row>
    <row r="438" spans="1:3" ht="13" x14ac:dyDescent="0.15">
      <c r="A438" s="10"/>
      <c r="B438" s="13"/>
      <c r="C438" s="13"/>
    </row>
    <row r="439" spans="1:3" ht="13" x14ac:dyDescent="0.15">
      <c r="A439" s="10"/>
      <c r="B439" s="13"/>
      <c r="C439" s="13"/>
    </row>
    <row r="440" spans="1:3" ht="13" x14ac:dyDescent="0.15">
      <c r="A440" s="10"/>
      <c r="B440" s="13"/>
      <c r="C440" s="13"/>
    </row>
    <row r="441" spans="1:3" ht="13" x14ac:dyDescent="0.15">
      <c r="A441" s="10"/>
      <c r="B441" s="13"/>
      <c r="C441" s="13"/>
    </row>
    <row r="442" spans="1:3" ht="13" x14ac:dyDescent="0.15">
      <c r="A442" s="10"/>
      <c r="B442" s="13"/>
      <c r="C442" s="13"/>
    </row>
    <row r="443" spans="1:3" ht="13" x14ac:dyDescent="0.15">
      <c r="A443" s="10"/>
      <c r="B443" s="13"/>
      <c r="C443" s="13"/>
    </row>
    <row r="444" spans="1:3" ht="13" x14ac:dyDescent="0.15">
      <c r="A444" s="10"/>
      <c r="B444" s="13"/>
      <c r="C444" s="13"/>
    </row>
    <row r="445" spans="1:3" ht="13" x14ac:dyDescent="0.15">
      <c r="A445" s="10"/>
      <c r="B445" s="13"/>
      <c r="C445" s="13"/>
    </row>
    <row r="446" spans="1:3" ht="13" x14ac:dyDescent="0.15">
      <c r="A446" s="10"/>
      <c r="B446" s="13"/>
      <c r="C446" s="13"/>
    </row>
    <row r="447" spans="1:3" ht="13" x14ac:dyDescent="0.15">
      <c r="A447" s="10"/>
      <c r="B447" s="13"/>
      <c r="C447" s="13"/>
    </row>
    <row r="448" spans="1:3" ht="13" x14ac:dyDescent="0.15">
      <c r="A448" s="10"/>
      <c r="B448" s="13"/>
      <c r="C448" s="13"/>
    </row>
    <row r="449" spans="1:3" ht="13" x14ac:dyDescent="0.15">
      <c r="A449" s="10"/>
      <c r="B449" s="13"/>
      <c r="C449" s="13"/>
    </row>
    <row r="450" spans="1:3" ht="13" x14ac:dyDescent="0.15">
      <c r="A450" s="10"/>
      <c r="B450" s="13"/>
      <c r="C450" s="13"/>
    </row>
    <row r="451" spans="1:3" ht="13" x14ac:dyDescent="0.15">
      <c r="A451" s="10"/>
      <c r="B451" s="13"/>
      <c r="C451" s="13"/>
    </row>
    <row r="452" spans="1:3" ht="13" x14ac:dyDescent="0.15">
      <c r="A452" s="10"/>
      <c r="B452" s="13"/>
      <c r="C452" s="13"/>
    </row>
    <row r="453" spans="1:3" ht="13" x14ac:dyDescent="0.15">
      <c r="A453" s="10"/>
      <c r="B453" s="13"/>
      <c r="C453" s="13"/>
    </row>
    <row r="454" spans="1:3" ht="13" x14ac:dyDescent="0.15">
      <c r="A454" s="10"/>
      <c r="B454" s="13"/>
      <c r="C454" s="13"/>
    </row>
    <row r="455" spans="1:3" ht="13" x14ac:dyDescent="0.15">
      <c r="A455" s="10"/>
      <c r="B455" s="13"/>
      <c r="C455" s="13"/>
    </row>
    <row r="456" spans="1:3" ht="13" x14ac:dyDescent="0.15">
      <c r="A456" s="10"/>
      <c r="B456" s="13"/>
      <c r="C456" s="13"/>
    </row>
    <row r="457" spans="1:3" ht="13" x14ac:dyDescent="0.15">
      <c r="A457" s="10"/>
      <c r="B457" s="13"/>
      <c r="C457" s="13"/>
    </row>
    <row r="458" spans="1:3" ht="13" x14ac:dyDescent="0.15">
      <c r="A458" s="10"/>
      <c r="B458" s="13"/>
      <c r="C458" s="13"/>
    </row>
    <row r="459" spans="1:3" ht="13" x14ac:dyDescent="0.15">
      <c r="A459" s="10"/>
      <c r="B459" s="13"/>
      <c r="C459" s="13"/>
    </row>
    <row r="460" spans="1:3" ht="13" x14ac:dyDescent="0.15">
      <c r="A460" s="10"/>
      <c r="B460" s="13"/>
      <c r="C460" s="13"/>
    </row>
    <row r="461" spans="1:3" ht="13" x14ac:dyDescent="0.15">
      <c r="A461" s="10"/>
      <c r="B461" s="13"/>
      <c r="C461" s="13"/>
    </row>
    <row r="462" spans="1:3" ht="13" x14ac:dyDescent="0.15">
      <c r="A462" s="10"/>
      <c r="B462" s="13"/>
      <c r="C462" s="13"/>
    </row>
    <row r="463" spans="1:3" ht="13" x14ac:dyDescent="0.15">
      <c r="A463" s="10"/>
      <c r="B463" s="13"/>
      <c r="C463" s="13"/>
    </row>
    <row r="464" spans="1:3" ht="13" x14ac:dyDescent="0.15">
      <c r="A464" s="10"/>
      <c r="B464" s="13"/>
      <c r="C464" s="13"/>
    </row>
    <row r="465" spans="1:3" ht="13" x14ac:dyDescent="0.15">
      <c r="A465" s="10"/>
      <c r="B465" s="13"/>
      <c r="C465" s="13"/>
    </row>
    <row r="466" spans="1:3" ht="13" x14ac:dyDescent="0.15">
      <c r="A466" s="10"/>
      <c r="B466" s="13"/>
      <c r="C466" s="13"/>
    </row>
    <row r="467" spans="1:3" ht="13" x14ac:dyDescent="0.15">
      <c r="A467" s="10"/>
      <c r="B467" s="13"/>
      <c r="C467" s="13"/>
    </row>
    <row r="468" spans="1:3" ht="13" x14ac:dyDescent="0.15">
      <c r="A468" s="10"/>
      <c r="B468" s="13"/>
      <c r="C468" s="13"/>
    </row>
    <row r="469" spans="1:3" ht="13" x14ac:dyDescent="0.15">
      <c r="A469" s="10"/>
      <c r="B469" s="13"/>
      <c r="C469" s="13"/>
    </row>
    <row r="470" spans="1:3" ht="13" x14ac:dyDescent="0.15">
      <c r="A470" s="10"/>
      <c r="B470" s="13"/>
      <c r="C470" s="13"/>
    </row>
    <row r="471" spans="1:3" ht="13" x14ac:dyDescent="0.15">
      <c r="A471" s="10"/>
      <c r="B471" s="13"/>
      <c r="C471" s="13"/>
    </row>
    <row r="472" spans="1:3" ht="13" x14ac:dyDescent="0.15">
      <c r="A472" s="10"/>
      <c r="B472" s="13"/>
      <c r="C472" s="13"/>
    </row>
    <row r="473" spans="1:3" ht="13" x14ac:dyDescent="0.15">
      <c r="A473" s="10"/>
      <c r="B473" s="13"/>
      <c r="C473" s="13"/>
    </row>
    <row r="474" spans="1:3" ht="13" x14ac:dyDescent="0.15">
      <c r="A474" s="10"/>
      <c r="B474" s="13"/>
      <c r="C474" s="13"/>
    </row>
    <row r="475" spans="1:3" ht="13" x14ac:dyDescent="0.15">
      <c r="A475" s="10"/>
      <c r="B475" s="13"/>
      <c r="C475" s="13"/>
    </row>
    <row r="476" spans="1:3" ht="13" x14ac:dyDescent="0.15">
      <c r="A476" s="10"/>
      <c r="B476" s="13"/>
      <c r="C476" s="13"/>
    </row>
    <row r="477" spans="1:3" ht="13" x14ac:dyDescent="0.15">
      <c r="A477" s="10"/>
      <c r="B477" s="13"/>
      <c r="C477" s="13"/>
    </row>
    <row r="478" spans="1:3" ht="13" x14ac:dyDescent="0.15">
      <c r="A478" s="10"/>
      <c r="B478" s="13"/>
      <c r="C478" s="13"/>
    </row>
    <row r="479" spans="1:3" ht="13" x14ac:dyDescent="0.15">
      <c r="A479" s="10"/>
      <c r="B479" s="13"/>
      <c r="C479" s="13"/>
    </row>
    <row r="480" spans="1:3" ht="13" x14ac:dyDescent="0.15">
      <c r="A480" s="10"/>
      <c r="B480" s="13"/>
      <c r="C480" s="13"/>
    </row>
    <row r="481" spans="1:3" ht="13" x14ac:dyDescent="0.15">
      <c r="A481" s="10"/>
      <c r="B481" s="13"/>
      <c r="C481" s="13"/>
    </row>
    <row r="482" spans="1:3" ht="13" x14ac:dyDescent="0.15">
      <c r="A482" s="10"/>
      <c r="B482" s="13"/>
      <c r="C482" s="13"/>
    </row>
    <row r="483" spans="1:3" ht="13" x14ac:dyDescent="0.15">
      <c r="A483" s="10"/>
      <c r="B483" s="13"/>
      <c r="C483" s="13"/>
    </row>
    <row r="484" spans="1:3" ht="13" x14ac:dyDescent="0.15">
      <c r="A484" s="10"/>
      <c r="B484" s="13"/>
      <c r="C484" s="13"/>
    </row>
    <row r="485" spans="1:3" ht="13" x14ac:dyDescent="0.15">
      <c r="A485" s="10"/>
      <c r="B485" s="13"/>
      <c r="C485" s="13"/>
    </row>
    <row r="486" spans="1:3" ht="13" x14ac:dyDescent="0.15">
      <c r="A486" s="10"/>
      <c r="B486" s="13"/>
      <c r="C486" s="13"/>
    </row>
    <row r="487" spans="1:3" ht="13" x14ac:dyDescent="0.15">
      <c r="A487" s="10"/>
      <c r="B487" s="13"/>
      <c r="C487" s="13"/>
    </row>
    <row r="488" spans="1:3" ht="13" x14ac:dyDescent="0.15">
      <c r="A488" s="10"/>
      <c r="B488" s="13"/>
      <c r="C488" s="13"/>
    </row>
    <row r="489" spans="1:3" ht="13" x14ac:dyDescent="0.15">
      <c r="A489" s="10"/>
      <c r="B489" s="13"/>
      <c r="C489" s="13"/>
    </row>
    <row r="490" spans="1:3" ht="13" x14ac:dyDescent="0.15">
      <c r="A490" s="10"/>
      <c r="B490" s="13"/>
      <c r="C490" s="13"/>
    </row>
    <row r="491" spans="1:3" ht="13" x14ac:dyDescent="0.15">
      <c r="A491" s="10"/>
      <c r="B491" s="13"/>
      <c r="C491" s="13"/>
    </row>
    <row r="492" spans="1:3" ht="13" x14ac:dyDescent="0.15">
      <c r="A492" s="10"/>
      <c r="B492" s="13"/>
      <c r="C492" s="13"/>
    </row>
    <row r="493" spans="1:3" ht="13" x14ac:dyDescent="0.15">
      <c r="A493" s="10"/>
      <c r="B493" s="13"/>
      <c r="C493" s="13"/>
    </row>
    <row r="494" spans="1:3" ht="13" x14ac:dyDescent="0.15">
      <c r="A494" s="10"/>
      <c r="B494" s="13"/>
      <c r="C494" s="13"/>
    </row>
    <row r="495" spans="1:3" ht="13" x14ac:dyDescent="0.15">
      <c r="A495" s="10"/>
      <c r="B495" s="13"/>
      <c r="C495" s="13"/>
    </row>
    <row r="496" spans="1:3" ht="13" x14ac:dyDescent="0.15">
      <c r="A496" s="10"/>
      <c r="B496" s="13"/>
      <c r="C496" s="13"/>
    </row>
    <row r="497" spans="1:3" ht="13" x14ac:dyDescent="0.15">
      <c r="A497" s="10"/>
      <c r="B497" s="13"/>
      <c r="C497" s="13"/>
    </row>
    <row r="498" spans="1:3" ht="13" x14ac:dyDescent="0.15">
      <c r="A498" s="10"/>
      <c r="B498" s="13"/>
      <c r="C498" s="13"/>
    </row>
    <row r="499" spans="1:3" ht="13" x14ac:dyDescent="0.15">
      <c r="A499" s="10"/>
      <c r="B499" s="13"/>
      <c r="C499" s="13"/>
    </row>
    <row r="500" spans="1:3" ht="13" x14ac:dyDescent="0.15">
      <c r="A500" s="10"/>
      <c r="B500" s="13"/>
      <c r="C500" s="13"/>
    </row>
    <row r="501" spans="1:3" ht="13" x14ac:dyDescent="0.15">
      <c r="A501" s="10"/>
      <c r="B501" s="13"/>
      <c r="C501" s="13"/>
    </row>
    <row r="502" spans="1:3" ht="13" x14ac:dyDescent="0.15">
      <c r="A502" s="10"/>
      <c r="B502" s="13"/>
      <c r="C502" s="13"/>
    </row>
    <row r="503" spans="1:3" ht="13" x14ac:dyDescent="0.15">
      <c r="A503" s="10"/>
      <c r="B503" s="13"/>
      <c r="C503" s="13"/>
    </row>
    <row r="504" spans="1:3" ht="13" x14ac:dyDescent="0.15">
      <c r="A504" s="10"/>
      <c r="B504" s="13"/>
      <c r="C504" s="13"/>
    </row>
    <row r="505" spans="1:3" ht="13" x14ac:dyDescent="0.15">
      <c r="A505" s="10"/>
      <c r="B505" s="13"/>
      <c r="C505" s="13"/>
    </row>
    <row r="506" spans="1:3" ht="13" x14ac:dyDescent="0.15">
      <c r="A506" s="10"/>
      <c r="B506" s="13"/>
      <c r="C506" s="13"/>
    </row>
    <row r="507" spans="1:3" ht="13" x14ac:dyDescent="0.15">
      <c r="A507" s="10"/>
      <c r="B507" s="13"/>
      <c r="C507" s="13"/>
    </row>
    <row r="508" spans="1:3" ht="13" x14ac:dyDescent="0.15">
      <c r="A508" s="10"/>
      <c r="B508" s="13"/>
      <c r="C508" s="13"/>
    </row>
    <row r="509" spans="1:3" ht="13" x14ac:dyDescent="0.15">
      <c r="A509" s="10"/>
      <c r="B509" s="13"/>
      <c r="C509" s="13"/>
    </row>
    <row r="510" spans="1:3" ht="13" x14ac:dyDescent="0.15">
      <c r="A510" s="10"/>
      <c r="B510" s="13"/>
      <c r="C510" s="13"/>
    </row>
    <row r="511" spans="1:3" ht="13" x14ac:dyDescent="0.15">
      <c r="A511" s="10"/>
      <c r="B511" s="13"/>
      <c r="C511" s="13"/>
    </row>
    <row r="512" spans="1:3" ht="13" x14ac:dyDescent="0.15">
      <c r="A512" s="10"/>
      <c r="B512" s="13"/>
      <c r="C512" s="13"/>
    </row>
    <row r="513" spans="1:3" ht="13" x14ac:dyDescent="0.15">
      <c r="A513" s="10"/>
      <c r="B513" s="13"/>
      <c r="C513" s="13"/>
    </row>
    <row r="514" spans="1:3" ht="13" x14ac:dyDescent="0.15">
      <c r="A514" s="10"/>
      <c r="B514" s="13"/>
      <c r="C514" s="13"/>
    </row>
    <row r="515" spans="1:3" ht="13" x14ac:dyDescent="0.15">
      <c r="A515" s="10"/>
      <c r="B515" s="13"/>
      <c r="C515" s="13"/>
    </row>
    <row r="516" spans="1:3" ht="13" x14ac:dyDescent="0.15">
      <c r="A516" s="10"/>
      <c r="B516" s="13"/>
      <c r="C516" s="13"/>
    </row>
    <row r="517" spans="1:3" ht="13" x14ac:dyDescent="0.15">
      <c r="A517" s="10"/>
      <c r="B517" s="13"/>
      <c r="C517" s="13"/>
    </row>
    <row r="518" spans="1:3" ht="13" x14ac:dyDescent="0.15">
      <c r="A518" s="10"/>
      <c r="B518" s="13"/>
      <c r="C518" s="13"/>
    </row>
    <row r="519" spans="1:3" ht="13" x14ac:dyDescent="0.15">
      <c r="A519" s="10"/>
      <c r="B519" s="13"/>
      <c r="C519" s="13"/>
    </row>
    <row r="520" spans="1:3" ht="13" x14ac:dyDescent="0.15">
      <c r="A520" s="10"/>
      <c r="B520" s="13"/>
      <c r="C520" s="13"/>
    </row>
    <row r="521" spans="1:3" ht="13" x14ac:dyDescent="0.15">
      <c r="A521" s="10"/>
      <c r="B521" s="13"/>
      <c r="C521" s="13"/>
    </row>
    <row r="522" spans="1:3" ht="13" x14ac:dyDescent="0.15">
      <c r="A522" s="10"/>
      <c r="B522" s="13"/>
      <c r="C522" s="13"/>
    </row>
    <row r="523" spans="1:3" ht="13" x14ac:dyDescent="0.15">
      <c r="A523" s="10"/>
      <c r="B523" s="13"/>
      <c r="C523" s="13"/>
    </row>
    <row r="524" spans="1:3" ht="13" x14ac:dyDescent="0.15">
      <c r="A524" s="10"/>
      <c r="B524" s="13"/>
      <c r="C524" s="13"/>
    </row>
    <row r="525" spans="1:3" ht="13" x14ac:dyDescent="0.15">
      <c r="A525" s="10"/>
      <c r="B525" s="13"/>
      <c r="C525" s="13"/>
    </row>
    <row r="526" spans="1:3" ht="13" x14ac:dyDescent="0.15">
      <c r="A526" s="10"/>
      <c r="B526" s="13"/>
      <c r="C526" s="13"/>
    </row>
    <row r="527" spans="1:3" ht="13" x14ac:dyDescent="0.15">
      <c r="A527" s="10"/>
      <c r="B527" s="13"/>
      <c r="C527" s="13"/>
    </row>
    <row r="528" spans="1:3" ht="13" x14ac:dyDescent="0.15">
      <c r="A528" s="10"/>
      <c r="B528" s="13"/>
      <c r="C528" s="13"/>
    </row>
    <row r="529" spans="1:3" ht="13" x14ac:dyDescent="0.15">
      <c r="A529" s="10"/>
      <c r="B529" s="13"/>
      <c r="C529" s="13"/>
    </row>
    <row r="530" spans="1:3" ht="13" x14ac:dyDescent="0.15">
      <c r="A530" s="10"/>
      <c r="B530" s="13"/>
      <c r="C530" s="13"/>
    </row>
    <row r="531" spans="1:3" ht="13" x14ac:dyDescent="0.15">
      <c r="A531" s="10"/>
      <c r="B531" s="13"/>
      <c r="C531" s="13"/>
    </row>
    <row r="532" spans="1:3" ht="13" x14ac:dyDescent="0.15">
      <c r="A532" s="10"/>
      <c r="B532" s="13"/>
      <c r="C532" s="13"/>
    </row>
    <row r="533" spans="1:3" ht="13" x14ac:dyDescent="0.15">
      <c r="A533" s="10"/>
      <c r="B533" s="13"/>
      <c r="C533" s="13"/>
    </row>
    <row r="534" spans="1:3" ht="13" x14ac:dyDescent="0.15">
      <c r="A534" s="10"/>
      <c r="B534" s="13"/>
      <c r="C534" s="13"/>
    </row>
    <row r="535" spans="1:3" ht="13" x14ac:dyDescent="0.15">
      <c r="A535" s="10"/>
      <c r="B535" s="13"/>
      <c r="C535" s="13"/>
    </row>
    <row r="536" spans="1:3" ht="13" x14ac:dyDescent="0.15">
      <c r="A536" s="10"/>
      <c r="B536" s="13"/>
      <c r="C536" s="13"/>
    </row>
    <row r="537" spans="1:3" ht="13" x14ac:dyDescent="0.15">
      <c r="A537" s="10"/>
      <c r="B537" s="13"/>
      <c r="C537" s="13"/>
    </row>
    <row r="538" spans="1:3" ht="13" x14ac:dyDescent="0.15">
      <c r="A538" s="10"/>
      <c r="B538" s="13"/>
      <c r="C538" s="13"/>
    </row>
    <row r="539" spans="1:3" ht="13" x14ac:dyDescent="0.15">
      <c r="A539" s="10"/>
      <c r="B539" s="13"/>
      <c r="C539" s="13"/>
    </row>
    <row r="540" spans="1:3" ht="13" x14ac:dyDescent="0.15">
      <c r="A540" s="10"/>
      <c r="B540" s="13"/>
      <c r="C540" s="13"/>
    </row>
    <row r="541" spans="1:3" ht="13" x14ac:dyDescent="0.15">
      <c r="A541" s="10"/>
      <c r="B541" s="13"/>
      <c r="C541" s="13"/>
    </row>
    <row r="542" spans="1:3" ht="13" x14ac:dyDescent="0.15">
      <c r="A542" s="10"/>
      <c r="B542" s="13"/>
      <c r="C542" s="13"/>
    </row>
    <row r="543" spans="1:3" ht="13" x14ac:dyDescent="0.15">
      <c r="A543" s="10"/>
      <c r="B543" s="13"/>
      <c r="C543" s="13"/>
    </row>
    <row r="544" spans="1:3" ht="13" x14ac:dyDescent="0.15">
      <c r="A544" s="10"/>
      <c r="B544" s="13"/>
      <c r="C544" s="13"/>
    </row>
    <row r="545" spans="1:3" ht="13" x14ac:dyDescent="0.15">
      <c r="A545" s="10"/>
      <c r="B545" s="13"/>
      <c r="C545" s="13"/>
    </row>
    <row r="546" spans="1:3" ht="13" x14ac:dyDescent="0.15">
      <c r="A546" s="10"/>
      <c r="B546" s="13"/>
      <c r="C546" s="13"/>
    </row>
    <row r="547" spans="1:3" ht="13" x14ac:dyDescent="0.15">
      <c r="A547" s="10"/>
      <c r="B547" s="13"/>
      <c r="C547" s="13"/>
    </row>
    <row r="548" spans="1:3" ht="13" x14ac:dyDescent="0.15">
      <c r="A548" s="10"/>
      <c r="B548" s="13"/>
      <c r="C548" s="13"/>
    </row>
    <row r="549" spans="1:3" ht="13" x14ac:dyDescent="0.15">
      <c r="A549" s="10"/>
      <c r="B549" s="13"/>
      <c r="C549" s="13"/>
    </row>
    <row r="550" spans="1:3" ht="13" x14ac:dyDescent="0.15">
      <c r="A550" s="10"/>
      <c r="B550" s="13"/>
      <c r="C550" s="13"/>
    </row>
    <row r="551" spans="1:3" ht="13" x14ac:dyDescent="0.15">
      <c r="A551" s="10"/>
      <c r="B551" s="13"/>
      <c r="C551" s="13"/>
    </row>
    <row r="552" spans="1:3" ht="13" x14ac:dyDescent="0.15">
      <c r="A552" s="10"/>
      <c r="B552" s="13"/>
      <c r="C552" s="13"/>
    </row>
    <row r="553" spans="1:3" ht="13" x14ac:dyDescent="0.15">
      <c r="A553" s="10"/>
      <c r="B553" s="13"/>
      <c r="C553" s="13"/>
    </row>
    <row r="554" spans="1:3" ht="13" x14ac:dyDescent="0.15">
      <c r="A554" s="10"/>
      <c r="B554" s="13"/>
      <c r="C554" s="13"/>
    </row>
    <row r="555" spans="1:3" ht="13" x14ac:dyDescent="0.15">
      <c r="A555" s="10"/>
      <c r="B555" s="13"/>
      <c r="C555" s="13"/>
    </row>
    <row r="556" spans="1:3" ht="13" x14ac:dyDescent="0.15">
      <c r="A556" s="10"/>
      <c r="B556" s="13"/>
      <c r="C556" s="13"/>
    </row>
    <row r="557" spans="1:3" ht="13" x14ac:dyDescent="0.15">
      <c r="A557" s="10"/>
      <c r="B557" s="13"/>
      <c r="C557" s="13"/>
    </row>
    <row r="558" spans="1:3" ht="13" x14ac:dyDescent="0.15">
      <c r="A558" s="10"/>
      <c r="B558" s="13"/>
      <c r="C558" s="13"/>
    </row>
    <row r="559" spans="1:3" ht="13" x14ac:dyDescent="0.15">
      <c r="A559" s="10"/>
      <c r="B559" s="13"/>
      <c r="C559" s="13"/>
    </row>
    <row r="560" spans="1:3" ht="13" x14ac:dyDescent="0.15">
      <c r="A560" s="10"/>
      <c r="B560" s="13"/>
      <c r="C560" s="13"/>
    </row>
    <row r="561" spans="1:3" ht="13" x14ac:dyDescent="0.15">
      <c r="A561" s="10"/>
      <c r="B561" s="13"/>
      <c r="C561" s="13"/>
    </row>
    <row r="562" spans="1:3" ht="13" x14ac:dyDescent="0.15">
      <c r="A562" s="10"/>
      <c r="B562" s="13"/>
      <c r="C562" s="13"/>
    </row>
    <row r="563" spans="1:3" ht="13" x14ac:dyDescent="0.15">
      <c r="A563" s="10"/>
      <c r="B563" s="13"/>
      <c r="C563" s="13"/>
    </row>
    <row r="564" spans="1:3" ht="13" x14ac:dyDescent="0.15">
      <c r="A564" s="10"/>
      <c r="B564" s="13"/>
      <c r="C564" s="13"/>
    </row>
    <row r="565" spans="1:3" ht="13" x14ac:dyDescent="0.15">
      <c r="A565" s="10"/>
      <c r="B565" s="13"/>
      <c r="C565" s="13"/>
    </row>
    <row r="566" spans="1:3" ht="13" x14ac:dyDescent="0.15">
      <c r="A566" s="10"/>
      <c r="B566" s="13"/>
      <c r="C566" s="13"/>
    </row>
    <row r="567" spans="1:3" ht="13" x14ac:dyDescent="0.15">
      <c r="A567" s="10"/>
      <c r="B567" s="13"/>
      <c r="C567" s="13"/>
    </row>
    <row r="568" spans="1:3" ht="13" x14ac:dyDescent="0.15">
      <c r="A568" s="10"/>
      <c r="B568" s="13"/>
      <c r="C568" s="13"/>
    </row>
    <row r="569" spans="1:3" ht="13" x14ac:dyDescent="0.15">
      <c r="A569" s="10"/>
      <c r="B569" s="13"/>
      <c r="C569" s="13"/>
    </row>
    <row r="570" spans="1:3" ht="13" x14ac:dyDescent="0.15">
      <c r="A570" s="10"/>
      <c r="B570" s="13"/>
      <c r="C570" s="13"/>
    </row>
    <row r="571" spans="1:3" ht="13" x14ac:dyDescent="0.15">
      <c r="A571" s="10"/>
      <c r="B571" s="13"/>
      <c r="C571" s="13"/>
    </row>
    <row r="572" spans="1:3" ht="13" x14ac:dyDescent="0.15">
      <c r="A572" s="10"/>
      <c r="B572" s="13"/>
      <c r="C572" s="13"/>
    </row>
    <row r="573" spans="1:3" ht="13" x14ac:dyDescent="0.15">
      <c r="A573" s="10"/>
      <c r="B573" s="13"/>
      <c r="C573" s="13"/>
    </row>
    <row r="574" spans="1:3" ht="13" x14ac:dyDescent="0.15">
      <c r="A574" s="10"/>
      <c r="B574" s="13"/>
      <c r="C574" s="13"/>
    </row>
    <row r="575" spans="1:3" ht="13" x14ac:dyDescent="0.15">
      <c r="A575" s="10"/>
      <c r="B575" s="13"/>
      <c r="C575" s="13"/>
    </row>
    <row r="576" spans="1:3" ht="13" x14ac:dyDescent="0.15">
      <c r="A576" s="10"/>
      <c r="B576" s="13"/>
      <c r="C576" s="13"/>
    </row>
    <row r="577" spans="1:3" ht="13" x14ac:dyDescent="0.15">
      <c r="A577" s="10"/>
      <c r="B577" s="13"/>
      <c r="C577" s="13"/>
    </row>
    <row r="578" spans="1:3" ht="13" x14ac:dyDescent="0.15">
      <c r="A578" s="10"/>
      <c r="B578" s="13"/>
      <c r="C578" s="13"/>
    </row>
    <row r="579" spans="1:3" ht="13" x14ac:dyDescent="0.15">
      <c r="A579" s="10"/>
      <c r="B579" s="13"/>
      <c r="C579" s="13"/>
    </row>
    <row r="580" spans="1:3" ht="13" x14ac:dyDescent="0.15">
      <c r="A580" s="10"/>
      <c r="B580" s="13"/>
      <c r="C580" s="13"/>
    </row>
    <row r="581" spans="1:3" ht="13" x14ac:dyDescent="0.15">
      <c r="A581" s="10"/>
      <c r="B581" s="13"/>
      <c r="C581" s="13"/>
    </row>
    <row r="582" spans="1:3" ht="13" x14ac:dyDescent="0.15">
      <c r="A582" s="10"/>
      <c r="B582" s="13"/>
      <c r="C582" s="13"/>
    </row>
    <row r="583" spans="1:3" ht="13" x14ac:dyDescent="0.15">
      <c r="A583" s="10"/>
      <c r="B583" s="13"/>
      <c r="C583" s="13"/>
    </row>
    <row r="584" spans="1:3" ht="13" x14ac:dyDescent="0.15">
      <c r="A584" s="10"/>
      <c r="B584" s="13"/>
      <c r="C584" s="13"/>
    </row>
    <row r="585" spans="1:3" ht="13" x14ac:dyDescent="0.15">
      <c r="A585" s="10"/>
      <c r="B585" s="13"/>
      <c r="C585" s="13"/>
    </row>
    <row r="586" spans="1:3" ht="13" x14ac:dyDescent="0.15">
      <c r="A586" s="10"/>
      <c r="B586" s="13"/>
      <c r="C586" s="13"/>
    </row>
    <row r="587" spans="1:3" ht="13" x14ac:dyDescent="0.15">
      <c r="A587" s="10"/>
      <c r="B587" s="13"/>
      <c r="C587" s="13"/>
    </row>
    <row r="588" spans="1:3" ht="13" x14ac:dyDescent="0.15">
      <c r="A588" s="10"/>
      <c r="B588" s="13"/>
      <c r="C588" s="13"/>
    </row>
    <row r="589" spans="1:3" ht="13" x14ac:dyDescent="0.15">
      <c r="A589" s="10"/>
      <c r="B589" s="13"/>
      <c r="C589" s="13"/>
    </row>
    <row r="590" spans="1:3" ht="13" x14ac:dyDescent="0.15">
      <c r="A590" s="10"/>
      <c r="B590" s="13"/>
      <c r="C590" s="13"/>
    </row>
    <row r="591" spans="1:3" ht="13" x14ac:dyDescent="0.15">
      <c r="A591" s="10"/>
      <c r="B591" s="13"/>
      <c r="C591" s="13"/>
    </row>
    <row r="592" spans="1:3" ht="13" x14ac:dyDescent="0.15">
      <c r="A592" s="10"/>
      <c r="B592" s="13"/>
      <c r="C592" s="13"/>
    </row>
    <row r="593" spans="1:3" ht="13" x14ac:dyDescent="0.15">
      <c r="A593" s="10"/>
      <c r="B593" s="13"/>
      <c r="C593" s="13"/>
    </row>
    <row r="594" spans="1:3" ht="13" x14ac:dyDescent="0.15">
      <c r="A594" s="10"/>
      <c r="B594" s="13"/>
      <c r="C594" s="13"/>
    </row>
    <row r="595" spans="1:3" ht="13" x14ac:dyDescent="0.15">
      <c r="A595" s="10"/>
      <c r="B595" s="13"/>
      <c r="C595" s="13"/>
    </row>
    <row r="596" spans="1:3" ht="13" x14ac:dyDescent="0.15">
      <c r="A596" s="10"/>
      <c r="B596" s="13"/>
      <c r="C596" s="13"/>
    </row>
    <row r="597" spans="1:3" ht="13" x14ac:dyDescent="0.15">
      <c r="A597" s="10"/>
      <c r="B597" s="13"/>
      <c r="C597" s="13"/>
    </row>
    <row r="598" spans="1:3" ht="13" x14ac:dyDescent="0.15">
      <c r="A598" s="10"/>
      <c r="B598" s="13"/>
      <c r="C598" s="13"/>
    </row>
    <row r="599" spans="1:3" ht="13" x14ac:dyDescent="0.15">
      <c r="A599" s="10"/>
      <c r="B599" s="13"/>
      <c r="C599" s="13"/>
    </row>
    <row r="600" spans="1:3" ht="13" x14ac:dyDescent="0.15">
      <c r="A600" s="10"/>
      <c r="B600" s="13"/>
      <c r="C600" s="13"/>
    </row>
    <row r="601" spans="1:3" ht="13" x14ac:dyDescent="0.15">
      <c r="A601" s="10"/>
      <c r="B601" s="13"/>
      <c r="C601" s="13"/>
    </row>
    <row r="602" spans="1:3" ht="13" x14ac:dyDescent="0.15">
      <c r="A602" s="10"/>
      <c r="B602" s="13"/>
      <c r="C602" s="13"/>
    </row>
    <row r="603" spans="1:3" ht="13" x14ac:dyDescent="0.15">
      <c r="A603" s="10"/>
      <c r="B603" s="13"/>
      <c r="C603" s="13"/>
    </row>
    <row r="604" spans="1:3" ht="13" x14ac:dyDescent="0.15">
      <c r="A604" s="10"/>
      <c r="B604" s="13"/>
      <c r="C604" s="13"/>
    </row>
    <row r="605" spans="1:3" ht="13" x14ac:dyDescent="0.15">
      <c r="A605" s="10"/>
      <c r="B605" s="13"/>
      <c r="C605" s="13"/>
    </row>
    <row r="606" spans="1:3" ht="13" x14ac:dyDescent="0.15">
      <c r="A606" s="10"/>
      <c r="B606" s="13"/>
      <c r="C606" s="13"/>
    </row>
    <row r="607" spans="1:3" ht="13" x14ac:dyDescent="0.15">
      <c r="A607" s="10"/>
      <c r="B607" s="13"/>
      <c r="C607" s="13"/>
    </row>
    <row r="608" spans="1:3" ht="13" x14ac:dyDescent="0.15">
      <c r="A608" s="10"/>
      <c r="B608" s="13"/>
      <c r="C608" s="13"/>
    </row>
    <row r="609" spans="1:3" ht="13" x14ac:dyDescent="0.15">
      <c r="A609" s="10"/>
      <c r="B609" s="13"/>
      <c r="C609" s="13"/>
    </row>
    <row r="610" spans="1:3" ht="13" x14ac:dyDescent="0.15">
      <c r="A610" s="10"/>
      <c r="B610" s="13"/>
      <c r="C610" s="13"/>
    </row>
    <row r="611" spans="1:3" ht="13" x14ac:dyDescent="0.15">
      <c r="A611" s="10"/>
      <c r="B611" s="13"/>
      <c r="C611" s="13"/>
    </row>
    <row r="612" spans="1:3" ht="13" x14ac:dyDescent="0.15">
      <c r="A612" s="10"/>
      <c r="B612" s="13"/>
      <c r="C612" s="13"/>
    </row>
    <row r="613" spans="1:3" ht="13" x14ac:dyDescent="0.15">
      <c r="A613" s="10"/>
      <c r="B613" s="13"/>
      <c r="C613" s="13"/>
    </row>
    <row r="614" spans="1:3" ht="13" x14ac:dyDescent="0.15">
      <c r="A614" s="10"/>
      <c r="B614" s="13"/>
      <c r="C614" s="13"/>
    </row>
    <row r="615" spans="1:3" ht="13" x14ac:dyDescent="0.15">
      <c r="A615" s="10"/>
      <c r="B615" s="13"/>
      <c r="C615" s="13"/>
    </row>
    <row r="616" spans="1:3" ht="13" x14ac:dyDescent="0.15">
      <c r="A616" s="10"/>
      <c r="B616" s="13"/>
      <c r="C616" s="13"/>
    </row>
    <row r="617" spans="1:3" ht="13" x14ac:dyDescent="0.15">
      <c r="A617" s="10"/>
      <c r="B617" s="13"/>
      <c r="C617" s="13"/>
    </row>
    <row r="618" spans="1:3" ht="13" x14ac:dyDescent="0.15">
      <c r="A618" s="10"/>
      <c r="B618" s="13"/>
      <c r="C618" s="13"/>
    </row>
    <row r="619" spans="1:3" ht="13" x14ac:dyDescent="0.15">
      <c r="A619" s="10"/>
      <c r="B619" s="13"/>
      <c r="C619" s="13"/>
    </row>
    <row r="620" spans="1:3" ht="13" x14ac:dyDescent="0.15">
      <c r="A620" s="10"/>
      <c r="B620" s="13"/>
      <c r="C620" s="13"/>
    </row>
    <row r="621" spans="1:3" ht="13" x14ac:dyDescent="0.15">
      <c r="A621" s="10"/>
      <c r="B621" s="13"/>
      <c r="C621" s="13"/>
    </row>
    <row r="622" spans="1:3" ht="13" x14ac:dyDescent="0.15">
      <c r="A622" s="10"/>
      <c r="B622" s="13"/>
      <c r="C622" s="13"/>
    </row>
    <row r="623" spans="1:3" ht="13" x14ac:dyDescent="0.15">
      <c r="A623" s="10"/>
      <c r="B623" s="13"/>
      <c r="C623" s="13"/>
    </row>
    <row r="624" spans="1:3" ht="13" x14ac:dyDescent="0.15">
      <c r="A624" s="10"/>
      <c r="B624" s="13"/>
      <c r="C624" s="13"/>
    </row>
    <row r="625" spans="1:3" ht="13" x14ac:dyDescent="0.15">
      <c r="A625" s="10"/>
      <c r="B625" s="13"/>
      <c r="C625" s="13"/>
    </row>
    <row r="626" spans="1:3" ht="13" x14ac:dyDescent="0.15">
      <c r="A626" s="10"/>
      <c r="B626" s="13"/>
      <c r="C626" s="13"/>
    </row>
    <row r="627" spans="1:3" ht="13" x14ac:dyDescent="0.15">
      <c r="A627" s="10"/>
      <c r="B627" s="13"/>
      <c r="C627" s="13"/>
    </row>
    <row r="628" spans="1:3" ht="13" x14ac:dyDescent="0.15">
      <c r="A628" s="10"/>
      <c r="B628" s="13"/>
      <c r="C628" s="13"/>
    </row>
    <row r="629" spans="1:3" ht="13" x14ac:dyDescent="0.15">
      <c r="A629" s="10"/>
      <c r="B629" s="13"/>
      <c r="C629" s="13"/>
    </row>
    <row r="630" spans="1:3" ht="13" x14ac:dyDescent="0.15">
      <c r="A630" s="10"/>
      <c r="B630" s="13"/>
      <c r="C630" s="13"/>
    </row>
    <row r="631" spans="1:3" ht="13" x14ac:dyDescent="0.15">
      <c r="A631" s="10"/>
      <c r="B631" s="13"/>
      <c r="C631" s="13"/>
    </row>
    <row r="632" spans="1:3" ht="13" x14ac:dyDescent="0.15">
      <c r="A632" s="10"/>
      <c r="B632" s="13"/>
      <c r="C632" s="13"/>
    </row>
    <row r="633" spans="1:3" ht="13" x14ac:dyDescent="0.15">
      <c r="A633" s="10"/>
      <c r="B633" s="13"/>
      <c r="C633" s="13"/>
    </row>
    <row r="634" spans="1:3" ht="13" x14ac:dyDescent="0.15">
      <c r="A634" s="10"/>
      <c r="B634" s="13"/>
      <c r="C634" s="13"/>
    </row>
    <row r="635" spans="1:3" ht="13" x14ac:dyDescent="0.15">
      <c r="A635" s="10"/>
      <c r="B635" s="13"/>
      <c r="C635" s="13"/>
    </row>
    <row r="636" spans="1:3" ht="13" x14ac:dyDescent="0.15">
      <c r="A636" s="10"/>
      <c r="B636" s="13"/>
      <c r="C636" s="13"/>
    </row>
    <row r="637" spans="1:3" ht="13" x14ac:dyDescent="0.15">
      <c r="A637" s="10"/>
      <c r="B637" s="13"/>
      <c r="C637" s="13"/>
    </row>
    <row r="638" spans="1:3" ht="13" x14ac:dyDescent="0.15">
      <c r="A638" s="10"/>
      <c r="B638" s="13"/>
      <c r="C638" s="13"/>
    </row>
    <row r="639" spans="1:3" ht="13" x14ac:dyDescent="0.15">
      <c r="A639" s="10"/>
      <c r="B639" s="13"/>
      <c r="C639" s="13"/>
    </row>
    <row r="640" spans="1:3" ht="13" x14ac:dyDescent="0.15">
      <c r="A640" s="10"/>
      <c r="B640" s="13"/>
      <c r="C640" s="13"/>
    </row>
    <row r="641" spans="1:3" ht="13" x14ac:dyDescent="0.15">
      <c r="A641" s="10"/>
      <c r="B641" s="13"/>
      <c r="C641" s="13"/>
    </row>
    <row r="642" spans="1:3" ht="13" x14ac:dyDescent="0.15">
      <c r="A642" s="10"/>
      <c r="B642" s="13"/>
      <c r="C642" s="13"/>
    </row>
    <row r="643" spans="1:3" ht="13" x14ac:dyDescent="0.15">
      <c r="A643" s="10"/>
      <c r="B643" s="13"/>
      <c r="C643" s="13"/>
    </row>
    <row r="644" spans="1:3" ht="13" x14ac:dyDescent="0.15">
      <c r="A644" s="10"/>
      <c r="B644" s="13"/>
      <c r="C644" s="13"/>
    </row>
    <row r="645" spans="1:3" ht="13" x14ac:dyDescent="0.15">
      <c r="A645" s="10"/>
      <c r="B645" s="13"/>
      <c r="C645" s="13"/>
    </row>
    <row r="646" spans="1:3" ht="13" x14ac:dyDescent="0.15">
      <c r="A646" s="10"/>
      <c r="B646" s="13"/>
      <c r="C646" s="13"/>
    </row>
    <row r="647" spans="1:3" ht="13" x14ac:dyDescent="0.15">
      <c r="A647" s="10"/>
      <c r="B647" s="13"/>
      <c r="C647" s="13"/>
    </row>
    <row r="648" spans="1:3" ht="13" x14ac:dyDescent="0.15">
      <c r="A648" s="10"/>
      <c r="B648" s="13"/>
      <c r="C648" s="13"/>
    </row>
    <row r="649" spans="1:3" ht="13" x14ac:dyDescent="0.15">
      <c r="A649" s="10"/>
      <c r="B649" s="13"/>
      <c r="C649" s="13"/>
    </row>
    <row r="650" spans="1:3" ht="13" x14ac:dyDescent="0.15">
      <c r="A650" s="10"/>
      <c r="B650" s="13"/>
      <c r="C650" s="13"/>
    </row>
    <row r="651" spans="1:3" ht="13" x14ac:dyDescent="0.15">
      <c r="A651" s="10"/>
      <c r="B651" s="13"/>
      <c r="C651" s="13"/>
    </row>
    <row r="652" spans="1:3" ht="13" x14ac:dyDescent="0.15">
      <c r="A652" s="10"/>
      <c r="B652" s="13"/>
      <c r="C652" s="13"/>
    </row>
    <row r="653" spans="1:3" ht="13" x14ac:dyDescent="0.15">
      <c r="A653" s="10"/>
      <c r="B653" s="13"/>
      <c r="C653" s="13"/>
    </row>
    <row r="654" spans="1:3" ht="13" x14ac:dyDescent="0.15">
      <c r="A654" s="10"/>
      <c r="B654" s="13"/>
      <c r="C654" s="13"/>
    </row>
    <row r="655" spans="1:3" ht="13" x14ac:dyDescent="0.15">
      <c r="A655" s="10"/>
      <c r="B655" s="13"/>
      <c r="C655" s="13"/>
    </row>
    <row r="656" spans="1:3" ht="13" x14ac:dyDescent="0.15">
      <c r="A656" s="10"/>
      <c r="B656" s="13"/>
      <c r="C656" s="13"/>
    </row>
    <row r="657" spans="1:3" ht="13" x14ac:dyDescent="0.15">
      <c r="A657" s="10"/>
      <c r="B657" s="13"/>
      <c r="C657" s="13"/>
    </row>
    <row r="658" spans="1:3" ht="13" x14ac:dyDescent="0.15">
      <c r="A658" s="10"/>
      <c r="B658" s="13"/>
      <c r="C658" s="13"/>
    </row>
    <row r="659" spans="1:3" ht="13" x14ac:dyDescent="0.15">
      <c r="A659" s="10"/>
      <c r="B659" s="13"/>
      <c r="C659" s="13"/>
    </row>
    <row r="660" spans="1:3" ht="13" x14ac:dyDescent="0.15">
      <c r="A660" s="10"/>
      <c r="B660" s="13"/>
      <c r="C660" s="13"/>
    </row>
    <row r="661" spans="1:3" ht="13" x14ac:dyDescent="0.15">
      <c r="A661" s="10"/>
      <c r="B661" s="13"/>
      <c r="C661" s="13"/>
    </row>
    <row r="662" spans="1:3" ht="13" x14ac:dyDescent="0.15">
      <c r="A662" s="10"/>
      <c r="B662" s="13"/>
      <c r="C662" s="13"/>
    </row>
    <row r="663" spans="1:3" ht="13" x14ac:dyDescent="0.15">
      <c r="A663" s="10"/>
      <c r="B663" s="13"/>
      <c r="C663" s="13"/>
    </row>
    <row r="664" spans="1:3" ht="13" x14ac:dyDescent="0.15">
      <c r="A664" s="10"/>
      <c r="B664" s="13"/>
      <c r="C664" s="13"/>
    </row>
    <row r="665" spans="1:3" ht="13" x14ac:dyDescent="0.15">
      <c r="A665" s="10"/>
      <c r="B665" s="13"/>
      <c r="C665" s="13"/>
    </row>
    <row r="666" spans="1:3" ht="13" x14ac:dyDescent="0.15">
      <c r="A666" s="10"/>
      <c r="B666" s="13"/>
      <c r="C666" s="13"/>
    </row>
    <row r="667" spans="1:3" ht="13" x14ac:dyDescent="0.15">
      <c r="A667" s="10"/>
      <c r="B667" s="13"/>
      <c r="C667" s="13"/>
    </row>
    <row r="668" spans="1:3" ht="13" x14ac:dyDescent="0.15">
      <c r="A668" s="10"/>
      <c r="B668" s="13"/>
      <c r="C668" s="13"/>
    </row>
    <row r="669" spans="1:3" ht="13" x14ac:dyDescent="0.15">
      <c r="A669" s="10"/>
      <c r="B669" s="13"/>
      <c r="C669" s="13"/>
    </row>
    <row r="670" spans="1:3" ht="13" x14ac:dyDescent="0.15">
      <c r="A670" s="10"/>
      <c r="B670" s="13"/>
      <c r="C670" s="13"/>
    </row>
    <row r="671" spans="1:3" ht="13" x14ac:dyDescent="0.15">
      <c r="A671" s="10"/>
      <c r="B671" s="13"/>
      <c r="C671" s="13"/>
    </row>
    <row r="672" spans="1:3" ht="13" x14ac:dyDescent="0.15">
      <c r="A672" s="10"/>
      <c r="B672" s="13"/>
      <c r="C672" s="13"/>
    </row>
    <row r="673" spans="1:3" ht="13" x14ac:dyDescent="0.15">
      <c r="A673" s="10"/>
      <c r="B673" s="13"/>
      <c r="C673" s="13"/>
    </row>
    <row r="674" spans="1:3" ht="13" x14ac:dyDescent="0.15">
      <c r="A674" s="10"/>
      <c r="B674" s="13"/>
      <c r="C674" s="13"/>
    </row>
    <row r="675" spans="1:3" ht="13" x14ac:dyDescent="0.15">
      <c r="A675" s="10"/>
      <c r="B675" s="13"/>
      <c r="C675" s="13"/>
    </row>
    <row r="676" spans="1:3" ht="13" x14ac:dyDescent="0.15">
      <c r="A676" s="10"/>
      <c r="B676" s="13"/>
      <c r="C676" s="13"/>
    </row>
    <row r="677" spans="1:3" ht="13" x14ac:dyDescent="0.15">
      <c r="A677" s="10"/>
      <c r="B677" s="13"/>
      <c r="C677" s="13"/>
    </row>
    <row r="678" spans="1:3" ht="13" x14ac:dyDescent="0.15">
      <c r="A678" s="10"/>
      <c r="B678" s="13"/>
      <c r="C678" s="13"/>
    </row>
    <row r="679" spans="1:3" ht="13" x14ac:dyDescent="0.15">
      <c r="A679" s="10"/>
      <c r="B679" s="13"/>
      <c r="C679" s="13"/>
    </row>
    <row r="680" spans="1:3" ht="13" x14ac:dyDescent="0.15">
      <c r="A680" s="10"/>
      <c r="B680" s="13"/>
      <c r="C680" s="13"/>
    </row>
    <row r="681" spans="1:3" ht="13" x14ac:dyDescent="0.15">
      <c r="A681" s="10"/>
      <c r="B681" s="13"/>
      <c r="C681" s="13"/>
    </row>
    <row r="682" spans="1:3" ht="13" x14ac:dyDescent="0.15">
      <c r="A682" s="10"/>
      <c r="B682" s="13"/>
      <c r="C682" s="13"/>
    </row>
    <row r="683" spans="1:3" ht="13" x14ac:dyDescent="0.15">
      <c r="A683" s="10"/>
      <c r="B683" s="13"/>
      <c r="C683" s="13"/>
    </row>
    <row r="684" spans="1:3" ht="13" x14ac:dyDescent="0.15">
      <c r="A684" s="10"/>
      <c r="B684" s="13"/>
      <c r="C684" s="13"/>
    </row>
    <row r="685" spans="1:3" ht="13" x14ac:dyDescent="0.15">
      <c r="A685" s="10"/>
      <c r="B685" s="13"/>
      <c r="C685" s="13"/>
    </row>
    <row r="686" spans="1:3" ht="13" x14ac:dyDescent="0.15">
      <c r="A686" s="10"/>
      <c r="B686" s="13"/>
      <c r="C686" s="13"/>
    </row>
    <row r="687" spans="1:3" ht="13" x14ac:dyDescent="0.15">
      <c r="A687" s="10"/>
      <c r="B687" s="13"/>
      <c r="C687" s="13"/>
    </row>
    <row r="688" spans="1:3" ht="13" x14ac:dyDescent="0.15">
      <c r="A688" s="10"/>
      <c r="B688" s="13"/>
      <c r="C688" s="13"/>
    </row>
    <row r="689" spans="1:3" ht="13" x14ac:dyDescent="0.15">
      <c r="A689" s="10"/>
      <c r="B689" s="13"/>
      <c r="C689" s="13"/>
    </row>
    <row r="690" spans="1:3" ht="13" x14ac:dyDescent="0.15">
      <c r="A690" s="10"/>
      <c r="B690" s="13"/>
      <c r="C690" s="13"/>
    </row>
    <row r="691" spans="1:3" ht="13" x14ac:dyDescent="0.15">
      <c r="A691" s="10"/>
      <c r="B691" s="13"/>
      <c r="C691" s="13"/>
    </row>
    <row r="692" spans="1:3" ht="13" x14ac:dyDescent="0.15">
      <c r="A692" s="10"/>
      <c r="B692" s="13"/>
      <c r="C692" s="13"/>
    </row>
    <row r="693" spans="1:3" ht="13" x14ac:dyDescent="0.15">
      <c r="A693" s="10"/>
      <c r="B693" s="13"/>
      <c r="C693" s="13"/>
    </row>
    <row r="694" spans="1:3" ht="13" x14ac:dyDescent="0.15">
      <c r="A694" s="10"/>
      <c r="B694" s="13"/>
      <c r="C694" s="13"/>
    </row>
    <row r="695" spans="1:3" ht="13" x14ac:dyDescent="0.15">
      <c r="A695" s="10"/>
      <c r="B695" s="13"/>
      <c r="C695" s="13"/>
    </row>
    <row r="696" spans="1:3" ht="13" x14ac:dyDescent="0.15">
      <c r="A696" s="10"/>
      <c r="B696" s="13"/>
      <c r="C696" s="13"/>
    </row>
    <row r="697" spans="1:3" ht="13" x14ac:dyDescent="0.15">
      <c r="A697" s="10"/>
      <c r="B697" s="13"/>
      <c r="C697" s="13"/>
    </row>
    <row r="698" spans="1:3" ht="13" x14ac:dyDescent="0.15">
      <c r="A698" s="10"/>
      <c r="B698" s="13"/>
      <c r="C698" s="13"/>
    </row>
    <row r="699" spans="1:3" ht="13" x14ac:dyDescent="0.15">
      <c r="A699" s="10"/>
      <c r="B699" s="13"/>
      <c r="C699" s="13"/>
    </row>
    <row r="700" spans="1:3" ht="13" x14ac:dyDescent="0.15">
      <c r="A700" s="10"/>
      <c r="B700" s="13"/>
      <c r="C700" s="13"/>
    </row>
    <row r="701" spans="1:3" ht="13" x14ac:dyDescent="0.15">
      <c r="A701" s="10"/>
      <c r="B701" s="13"/>
      <c r="C701" s="13"/>
    </row>
    <row r="702" spans="1:3" ht="13" x14ac:dyDescent="0.15">
      <c r="A702" s="10"/>
      <c r="B702" s="13"/>
      <c r="C702" s="13"/>
    </row>
    <row r="703" spans="1:3" ht="13" x14ac:dyDescent="0.15">
      <c r="A703" s="10"/>
      <c r="B703" s="13"/>
      <c r="C703" s="13"/>
    </row>
    <row r="704" spans="1:3" ht="13" x14ac:dyDescent="0.15">
      <c r="A704" s="10"/>
      <c r="B704" s="13"/>
      <c r="C704" s="13"/>
    </row>
    <row r="705" spans="1:3" ht="13" x14ac:dyDescent="0.15">
      <c r="A705" s="10"/>
      <c r="B705" s="13"/>
      <c r="C705" s="13"/>
    </row>
    <row r="706" spans="1:3" ht="13" x14ac:dyDescent="0.15">
      <c r="A706" s="10"/>
      <c r="B706" s="13"/>
      <c r="C706" s="13"/>
    </row>
    <row r="707" spans="1:3" ht="13" x14ac:dyDescent="0.15">
      <c r="A707" s="10"/>
      <c r="B707" s="13"/>
      <c r="C707" s="13"/>
    </row>
    <row r="708" spans="1:3" ht="13" x14ac:dyDescent="0.15">
      <c r="A708" s="10"/>
      <c r="B708" s="13"/>
      <c r="C708" s="13"/>
    </row>
    <row r="709" spans="1:3" ht="13" x14ac:dyDescent="0.15">
      <c r="A709" s="10"/>
      <c r="B709" s="13"/>
      <c r="C709" s="13"/>
    </row>
    <row r="710" spans="1:3" ht="13" x14ac:dyDescent="0.15">
      <c r="A710" s="10"/>
      <c r="B710" s="13"/>
      <c r="C710" s="13"/>
    </row>
    <row r="711" spans="1:3" ht="13" x14ac:dyDescent="0.15">
      <c r="A711" s="10"/>
      <c r="B711" s="13"/>
      <c r="C711" s="13"/>
    </row>
    <row r="712" spans="1:3" ht="13" x14ac:dyDescent="0.15">
      <c r="A712" s="10"/>
      <c r="B712" s="13"/>
      <c r="C712" s="13"/>
    </row>
    <row r="713" spans="1:3" ht="13" x14ac:dyDescent="0.15">
      <c r="A713" s="10"/>
      <c r="B713" s="13"/>
      <c r="C713" s="13"/>
    </row>
    <row r="714" spans="1:3" ht="13" x14ac:dyDescent="0.15">
      <c r="A714" s="10"/>
      <c r="B714" s="13"/>
      <c r="C714" s="13"/>
    </row>
    <row r="715" spans="1:3" ht="13" x14ac:dyDescent="0.15">
      <c r="A715" s="10"/>
      <c r="B715" s="13"/>
      <c r="C715" s="13"/>
    </row>
    <row r="716" spans="1:3" ht="13" x14ac:dyDescent="0.15">
      <c r="A716" s="10"/>
      <c r="B716" s="13"/>
      <c r="C716" s="13"/>
    </row>
    <row r="717" spans="1:3" ht="13" x14ac:dyDescent="0.15">
      <c r="A717" s="10"/>
      <c r="B717" s="13"/>
      <c r="C717" s="13"/>
    </row>
    <row r="718" spans="1:3" ht="13" x14ac:dyDescent="0.15">
      <c r="A718" s="10"/>
      <c r="B718" s="13"/>
      <c r="C718" s="13"/>
    </row>
    <row r="719" spans="1:3" ht="13" x14ac:dyDescent="0.15">
      <c r="A719" s="10"/>
      <c r="B719" s="13"/>
      <c r="C719" s="13"/>
    </row>
    <row r="720" spans="1:3" ht="13" x14ac:dyDescent="0.15">
      <c r="A720" s="10"/>
      <c r="B720" s="13"/>
      <c r="C720" s="13"/>
    </row>
    <row r="721" spans="1:3" ht="13" x14ac:dyDescent="0.15">
      <c r="A721" s="10"/>
      <c r="B721" s="13"/>
      <c r="C721" s="13"/>
    </row>
    <row r="722" spans="1:3" ht="13" x14ac:dyDescent="0.15">
      <c r="A722" s="10"/>
      <c r="B722" s="13"/>
      <c r="C722" s="13"/>
    </row>
    <row r="723" spans="1:3" ht="13" x14ac:dyDescent="0.15">
      <c r="A723" s="10"/>
      <c r="B723" s="13"/>
      <c r="C723" s="13"/>
    </row>
    <row r="724" spans="1:3" ht="13" x14ac:dyDescent="0.15">
      <c r="A724" s="10"/>
      <c r="B724" s="13"/>
      <c r="C724" s="13"/>
    </row>
    <row r="725" spans="1:3" ht="13" x14ac:dyDescent="0.15">
      <c r="A725" s="10"/>
      <c r="B725" s="13"/>
      <c r="C725" s="13"/>
    </row>
    <row r="726" spans="1:3" ht="13" x14ac:dyDescent="0.15">
      <c r="A726" s="10"/>
      <c r="B726" s="13"/>
      <c r="C726" s="13"/>
    </row>
    <row r="727" spans="1:3" ht="13" x14ac:dyDescent="0.15">
      <c r="A727" s="10"/>
      <c r="B727" s="13"/>
      <c r="C727" s="13"/>
    </row>
    <row r="728" spans="1:3" ht="13" x14ac:dyDescent="0.15">
      <c r="A728" s="10"/>
      <c r="B728" s="13"/>
      <c r="C728" s="13"/>
    </row>
    <row r="729" spans="1:3" ht="13" x14ac:dyDescent="0.15">
      <c r="A729" s="10"/>
      <c r="B729" s="13"/>
      <c r="C729" s="13"/>
    </row>
    <row r="730" spans="1:3" ht="13" x14ac:dyDescent="0.15">
      <c r="A730" s="10"/>
      <c r="B730" s="13"/>
      <c r="C730" s="13"/>
    </row>
    <row r="731" spans="1:3" ht="13" x14ac:dyDescent="0.15">
      <c r="A731" s="10"/>
      <c r="B731" s="13"/>
      <c r="C731" s="13"/>
    </row>
    <row r="732" spans="1:3" ht="13" x14ac:dyDescent="0.15">
      <c r="A732" s="10"/>
      <c r="B732" s="13"/>
      <c r="C732" s="13"/>
    </row>
    <row r="733" spans="1:3" ht="13" x14ac:dyDescent="0.15">
      <c r="A733" s="10"/>
      <c r="B733" s="13"/>
      <c r="C733" s="13"/>
    </row>
    <row r="734" spans="1:3" ht="13" x14ac:dyDescent="0.15">
      <c r="A734" s="10"/>
      <c r="B734" s="13"/>
      <c r="C734" s="13"/>
    </row>
    <row r="735" spans="1:3" ht="13" x14ac:dyDescent="0.15">
      <c r="A735" s="10"/>
      <c r="B735" s="13"/>
      <c r="C735" s="13"/>
    </row>
    <row r="736" spans="1:3" ht="13" x14ac:dyDescent="0.15">
      <c r="A736" s="10"/>
      <c r="B736" s="13"/>
      <c r="C736" s="13"/>
    </row>
    <row r="737" spans="1:3" ht="13" x14ac:dyDescent="0.15">
      <c r="A737" s="10"/>
      <c r="B737" s="13"/>
      <c r="C737" s="13"/>
    </row>
    <row r="738" spans="1:3" ht="13" x14ac:dyDescent="0.15">
      <c r="A738" s="10"/>
      <c r="B738" s="13"/>
      <c r="C738" s="13"/>
    </row>
    <row r="739" spans="1:3" ht="13" x14ac:dyDescent="0.15">
      <c r="A739" s="10"/>
      <c r="B739" s="13"/>
      <c r="C739" s="13"/>
    </row>
    <row r="740" spans="1:3" ht="13" x14ac:dyDescent="0.15">
      <c r="A740" s="10"/>
      <c r="B740" s="13"/>
      <c r="C740" s="13"/>
    </row>
    <row r="741" spans="1:3" ht="13" x14ac:dyDescent="0.15">
      <c r="A741" s="10"/>
      <c r="B741" s="13"/>
      <c r="C741" s="13"/>
    </row>
    <row r="742" spans="1:3" ht="13" x14ac:dyDescent="0.15">
      <c r="A742" s="10"/>
      <c r="B742" s="13"/>
      <c r="C742" s="13"/>
    </row>
    <row r="743" spans="1:3" ht="13" x14ac:dyDescent="0.15">
      <c r="A743" s="10"/>
      <c r="B743" s="13"/>
      <c r="C743" s="13"/>
    </row>
    <row r="744" spans="1:3" ht="13" x14ac:dyDescent="0.15">
      <c r="A744" s="10"/>
      <c r="B744" s="13"/>
      <c r="C744" s="13"/>
    </row>
    <row r="745" spans="1:3" ht="13" x14ac:dyDescent="0.15">
      <c r="A745" s="10"/>
      <c r="B745" s="13"/>
      <c r="C745" s="13"/>
    </row>
    <row r="746" spans="1:3" ht="13" x14ac:dyDescent="0.15">
      <c r="A746" s="10"/>
      <c r="B746" s="13"/>
      <c r="C746" s="13"/>
    </row>
    <row r="747" spans="1:3" ht="13" x14ac:dyDescent="0.15">
      <c r="A747" s="10"/>
      <c r="B747" s="13"/>
      <c r="C747" s="13"/>
    </row>
    <row r="748" spans="1:3" ht="13" x14ac:dyDescent="0.15">
      <c r="A748" s="10"/>
      <c r="B748" s="13"/>
      <c r="C748" s="13"/>
    </row>
    <row r="749" spans="1:3" ht="13" x14ac:dyDescent="0.15">
      <c r="A749" s="10"/>
      <c r="B749" s="13"/>
      <c r="C749" s="13"/>
    </row>
    <row r="750" spans="1:3" ht="13" x14ac:dyDescent="0.15">
      <c r="A750" s="10"/>
      <c r="B750" s="13"/>
      <c r="C750" s="13"/>
    </row>
    <row r="751" spans="1:3" ht="13" x14ac:dyDescent="0.15">
      <c r="A751" s="10"/>
      <c r="B751" s="13"/>
      <c r="C751" s="13"/>
    </row>
    <row r="752" spans="1:3" ht="13" x14ac:dyDescent="0.15">
      <c r="A752" s="10"/>
      <c r="B752" s="13"/>
      <c r="C752" s="13"/>
    </row>
    <row r="753" spans="1:3" ht="13" x14ac:dyDescent="0.15">
      <c r="A753" s="10"/>
      <c r="B753" s="13"/>
      <c r="C753" s="13"/>
    </row>
    <row r="754" spans="1:3" ht="13" x14ac:dyDescent="0.15">
      <c r="A754" s="10"/>
      <c r="B754" s="13"/>
      <c r="C754" s="13"/>
    </row>
    <row r="755" spans="1:3" ht="13" x14ac:dyDescent="0.15">
      <c r="A755" s="10"/>
      <c r="B755" s="13"/>
      <c r="C755" s="13"/>
    </row>
    <row r="756" spans="1:3" ht="13" x14ac:dyDescent="0.15">
      <c r="A756" s="10"/>
      <c r="B756" s="13"/>
      <c r="C756" s="13"/>
    </row>
    <row r="757" spans="1:3" ht="13" x14ac:dyDescent="0.15">
      <c r="A757" s="10"/>
      <c r="B757" s="13"/>
      <c r="C757" s="13"/>
    </row>
    <row r="758" spans="1:3" ht="13" x14ac:dyDescent="0.15">
      <c r="A758" s="10"/>
      <c r="B758" s="13"/>
      <c r="C758" s="13"/>
    </row>
    <row r="759" spans="1:3" ht="13" x14ac:dyDescent="0.15">
      <c r="A759" s="10"/>
      <c r="B759" s="13"/>
      <c r="C759" s="13"/>
    </row>
    <row r="760" spans="1:3" ht="13" x14ac:dyDescent="0.15">
      <c r="A760" s="10"/>
      <c r="B760" s="13"/>
      <c r="C760" s="13"/>
    </row>
    <row r="761" spans="1:3" ht="13" x14ac:dyDescent="0.15">
      <c r="A761" s="10"/>
      <c r="B761" s="13"/>
      <c r="C761" s="13"/>
    </row>
    <row r="762" spans="1:3" ht="13" x14ac:dyDescent="0.15">
      <c r="A762" s="10"/>
      <c r="B762" s="13"/>
      <c r="C762" s="13"/>
    </row>
    <row r="763" spans="1:3" ht="13" x14ac:dyDescent="0.15">
      <c r="A763" s="10"/>
      <c r="B763" s="13"/>
      <c r="C763" s="13"/>
    </row>
    <row r="764" spans="1:3" ht="13" x14ac:dyDescent="0.15">
      <c r="A764" s="10"/>
      <c r="B764" s="13"/>
      <c r="C764" s="13"/>
    </row>
    <row r="765" spans="1:3" ht="13" x14ac:dyDescent="0.15">
      <c r="A765" s="10"/>
      <c r="B765" s="13"/>
      <c r="C765" s="13"/>
    </row>
    <row r="766" spans="1:3" ht="13" x14ac:dyDescent="0.15">
      <c r="A766" s="10"/>
      <c r="B766" s="13"/>
      <c r="C766" s="13"/>
    </row>
    <row r="767" spans="1:3" ht="13" x14ac:dyDescent="0.15">
      <c r="A767" s="10"/>
      <c r="B767" s="13"/>
      <c r="C767" s="13"/>
    </row>
    <row r="768" spans="1:3" ht="13" x14ac:dyDescent="0.15">
      <c r="A768" s="10"/>
      <c r="B768" s="13"/>
      <c r="C768" s="13"/>
    </row>
    <row r="769" spans="1:3" ht="13" x14ac:dyDescent="0.15">
      <c r="A769" s="10"/>
      <c r="B769" s="13"/>
      <c r="C769" s="13"/>
    </row>
    <row r="770" spans="1:3" ht="13" x14ac:dyDescent="0.15">
      <c r="A770" s="10"/>
      <c r="B770" s="13"/>
      <c r="C770" s="13"/>
    </row>
    <row r="771" spans="1:3" ht="13" x14ac:dyDescent="0.15">
      <c r="A771" s="10"/>
      <c r="B771" s="13"/>
      <c r="C771" s="13"/>
    </row>
    <row r="772" spans="1:3" ht="13" x14ac:dyDescent="0.15">
      <c r="A772" s="10"/>
      <c r="B772" s="13"/>
      <c r="C772" s="13"/>
    </row>
    <row r="773" spans="1:3" ht="13" x14ac:dyDescent="0.15">
      <c r="A773" s="10"/>
      <c r="B773" s="13"/>
      <c r="C773" s="13"/>
    </row>
    <row r="774" spans="1:3" ht="13" x14ac:dyDescent="0.15">
      <c r="A774" s="10"/>
      <c r="B774" s="13"/>
      <c r="C774" s="13"/>
    </row>
    <row r="775" spans="1:3" ht="13" x14ac:dyDescent="0.15">
      <c r="A775" s="10"/>
      <c r="B775" s="13"/>
      <c r="C775" s="13"/>
    </row>
    <row r="776" spans="1:3" ht="13" x14ac:dyDescent="0.15">
      <c r="A776" s="10"/>
      <c r="B776" s="13"/>
      <c r="C776" s="13"/>
    </row>
    <row r="777" spans="1:3" ht="13" x14ac:dyDescent="0.15">
      <c r="A777" s="10"/>
      <c r="B777" s="13"/>
      <c r="C777" s="13"/>
    </row>
    <row r="778" spans="1:3" ht="13" x14ac:dyDescent="0.15">
      <c r="A778" s="10"/>
      <c r="B778" s="13"/>
      <c r="C778" s="13"/>
    </row>
    <row r="779" spans="1:3" ht="13" x14ac:dyDescent="0.15">
      <c r="A779" s="10"/>
      <c r="B779" s="13"/>
      <c r="C779" s="13"/>
    </row>
    <row r="780" spans="1:3" ht="13" x14ac:dyDescent="0.15">
      <c r="A780" s="10"/>
      <c r="B780" s="13"/>
      <c r="C780" s="13"/>
    </row>
    <row r="781" spans="1:3" ht="13" x14ac:dyDescent="0.15">
      <c r="A781" s="10"/>
      <c r="B781" s="13"/>
      <c r="C781" s="13"/>
    </row>
    <row r="782" spans="1:3" ht="13" x14ac:dyDescent="0.15">
      <c r="A782" s="10"/>
      <c r="B782" s="13"/>
      <c r="C782" s="13"/>
    </row>
    <row r="783" spans="1:3" ht="13" x14ac:dyDescent="0.15">
      <c r="A783" s="10"/>
      <c r="B783" s="13"/>
      <c r="C783" s="13"/>
    </row>
    <row r="784" spans="1:3" ht="13" x14ac:dyDescent="0.15">
      <c r="A784" s="10"/>
      <c r="B784" s="13"/>
      <c r="C784" s="13"/>
    </row>
    <row r="785" spans="1:3" ht="13" x14ac:dyDescent="0.15">
      <c r="A785" s="10"/>
      <c r="B785" s="13"/>
      <c r="C785" s="13"/>
    </row>
    <row r="786" spans="1:3" ht="13" x14ac:dyDescent="0.15">
      <c r="A786" s="10"/>
      <c r="B786" s="13"/>
      <c r="C786" s="13"/>
    </row>
    <row r="787" spans="1:3" ht="13" x14ac:dyDescent="0.15">
      <c r="A787" s="10"/>
      <c r="B787" s="13"/>
      <c r="C787" s="13"/>
    </row>
    <row r="788" spans="1:3" ht="13" x14ac:dyDescent="0.15">
      <c r="A788" s="10"/>
      <c r="B788" s="13"/>
      <c r="C788" s="13"/>
    </row>
    <row r="789" spans="1:3" ht="13" x14ac:dyDescent="0.15">
      <c r="A789" s="10"/>
      <c r="B789" s="13"/>
      <c r="C789" s="13"/>
    </row>
    <row r="790" spans="1:3" ht="13" x14ac:dyDescent="0.15">
      <c r="A790" s="10"/>
      <c r="B790" s="13"/>
      <c r="C790" s="13"/>
    </row>
    <row r="791" spans="1:3" ht="13" x14ac:dyDescent="0.15">
      <c r="A791" s="10"/>
      <c r="B791" s="13"/>
      <c r="C791" s="13"/>
    </row>
    <row r="792" spans="1:3" ht="13" x14ac:dyDescent="0.15">
      <c r="A792" s="10"/>
      <c r="B792" s="13"/>
      <c r="C792" s="13"/>
    </row>
    <row r="793" spans="1:3" ht="13" x14ac:dyDescent="0.15">
      <c r="A793" s="10"/>
      <c r="B793" s="13"/>
      <c r="C793" s="13"/>
    </row>
    <row r="794" spans="1:3" ht="13" x14ac:dyDescent="0.15">
      <c r="A794" s="10"/>
      <c r="B794" s="13"/>
      <c r="C794" s="13"/>
    </row>
    <row r="795" spans="1:3" ht="13" x14ac:dyDescent="0.15">
      <c r="A795" s="10"/>
      <c r="B795" s="13"/>
      <c r="C795" s="13"/>
    </row>
    <row r="796" spans="1:3" ht="13" x14ac:dyDescent="0.15">
      <c r="A796" s="10"/>
      <c r="B796" s="13"/>
      <c r="C796" s="13"/>
    </row>
    <row r="797" spans="1:3" ht="13" x14ac:dyDescent="0.15">
      <c r="A797" s="10"/>
      <c r="B797" s="13"/>
      <c r="C797" s="13"/>
    </row>
    <row r="798" spans="1:3" ht="13" x14ac:dyDescent="0.15">
      <c r="A798" s="10"/>
      <c r="B798" s="13"/>
      <c r="C798" s="13"/>
    </row>
    <row r="799" spans="1:3" ht="13" x14ac:dyDescent="0.15">
      <c r="A799" s="10"/>
      <c r="B799" s="13"/>
      <c r="C799" s="13"/>
    </row>
    <row r="800" spans="1:3" ht="13" x14ac:dyDescent="0.15">
      <c r="A800" s="10"/>
      <c r="B800" s="13"/>
      <c r="C800" s="13"/>
    </row>
    <row r="801" spans="1:3" ht="13" x14ac:dyDescent="0.15">
      <c r="A801" s="10"/>
      <c r="B801" s="13"/>
      <c r="C801" s="13"/>
    </row>
    <row r="802" spans="1:3" ht="13" x14ac:dyDescent="0.15">
      <c r="A802" s="10"/>
      <c r="B802" s="13"/>
      <c r="C802" s="13"/>
    </row>
    <row r="803" spans="1:3" ht="13" x14ac:dyDescent="0.15">
      <c r="A803" s="10"/>
      <c r="B803" s="13"/>
      <c r="C803" s="13"/>
    </row>
    <row r="804" spans="1:3" ht="13" x14ac:dyDescent="0.15">
      <c r="A804" s="10"/>
      <c r="B804" s="13"/>
      <c r="C804" s="13"/>
    </row>
    <row r="805" spans="1:3" ht="13" x14ac:dyDescent="0.15">
      <c r="A805" s="10"/>
      <c r="B805" s="13"/>
      <c r="C805" s="13"/>
    </row>
    <row r="806" spans="1:3" ht="13" x14ac:dyDescent="0.15">
      <c r="A806" s="10"/>
      <c r="B806" s="13"/>
      <c r="C806" s="13"/>
    </row>
    <row r="807" spans="1:3" ht="13" x14ac:dyDescent="0.15">
      <c r="A807" s="10"/>
      <c r="B807" s="13"/>
      <c r="C807" s="13"/>
    </row>
    <row r="808" spans="1:3" ht="13" x14ac:dyDescent="0.15">
      <c r="A808" s="10"/>
      <c r="B808" s="13"/>
      <c r="C808" s="13"/>
    </row>
    <row r="809" spans="1:3" ht="13" x14ac:dyDescent="0.15">
      <c r="A809" s="10"/>
      <c r="B809" s="13"/>
      <c r="C809" s="13"/>
    </row>
    <row r="810" spans="1:3" ht="13" x14ac:dyDescent="0.15">
      <c r="A810" s="10"/>
      <c r="B810" s="13"/>
      <c r="C810" s="13"/>
    </row>
    <row r="811" spans="1:3" ht="13" x14ac:dyDescent="0.15">
      <c r="A811" s="10"/>
      <c r="B811" s="13"/>
      <c r="C811" s="13"/>
    </row>
    <row r="812" spans="1:3" ht="13" x14ac:dyDescent="0.15">
      <c r="A812" s="10"/>
      <c r="B812" s="13"/>
      <c r="C812" s="13"/>
    </row>
    <row r="813" spans="1:3" ht="13" x14ac:dyDescent="0.15">
      <c r="A813" s="10"/>
      <c r="B813" s="13"/>
      <c r="C813" s="13"/>
    </row>
    <row r="814" spans="1:3" ht="13" x14ac:dyDescent="0.15">
      <c r="A814" s="10"/>
      <c r="B814" s="13"/>
      <c r="C814" s="13"/>
    </row>
    <row r="815" spans="1:3" ht="13" x14ac:dyDescent="0.15">
      <c r="A815" s="10"/>
      <c r="B815" s="13"/>
      <c r="C815" s="13"/>
    </row>
    <row r="816" spans="1:3" ht="13" x14ac:dyDescent="0.15">
      <c r="A816" s="10"/>
      <c r="B816" s="13"/>
      <c r="C816" s="13"/>
    </row>
    <row r="817" spans="1:3" ht="13" x14ac:dyDescent="0.15">
      <c r="A817" s="10"/>
      <c r="B817" s="13"/>
      <c r="C817" s="13"/>
    </row>
    <row r="818" spans="1:3" ht="13" x14ac:dyDescent="0.15">
      <c r="A818" s="10"/>
      <c r="B818" s="13"/>
      <c r="C818" s="13"/>
    </row>
    <row r="819" spans="1:3" ht="13" x14ac:dyDescent="0.15">
      <c r="A819" s="10"/>
      <c r="B819" s="13"/>
      <c r="C819" s="13"/>
    </row>
    <row r="820" spans="1:3" ht="13" x14ac:dyDescent="0.15">
      <c r="A820" s="10"/>
      <c r="B820" s="13"/>
      <c r="C820" s="13"/>
    </row>
    <row r="821" spans="1:3" ht="13" x14ac:dyDescent="0.15">
      <c r="A821" s="10"/>
      <c r="B821" s="13"/>
      <c r="C821" s="13"/>
    </row>
    <row r="822" spans="1:3" ht="13" x14ac:dyDescent="0.15">
      <c r="A822" s="10"/>
      <c r="B822" s="13"/>
      <c r="C822" s="13"/>
    </row>
    <row r="823" spans="1:3" ht="13" x14ac:dyDescent="0.15">
      <c r="A823" s="10"/>
      <c r="B823" s="13"/>
      <c r="C823" s="13"/>
    </row>
    <row r="824" spans="1:3" ht="13" x14ac:dyDescent="0.15">
      <c r="A824" s="10"/>
      <c r="B824" s="13"/>
      <c r="C824" s="13"/>
    </row>
    <row r="825" spans="1:3" ht="13" x14ac:dyDescent="0.15">
      <c r="A825" s="10"/>
      <c r="B825" s="13"/>
      <c r="C825" s="13"/>
    </row>
    <row r="826" spans="1:3" ht="13" x14ac:dyDescent="0.15">
      <c r="A826" s="10"/>
      <c r="B826" s="13"/>
      <c r="C826" s="13"/>
    </row>
    <row r="827" spans="1:3" ht="13" x14ac:dyDescent="0.15">
      <c r="A827" s="10"/>
      <c r="B827" s="13"/>
      <c r="C827" s="13"/>
    </row>
    <row r="828" spans="1:3" ht="13" x14ac:dyDescent="0.15">
      <c r="A828" s="10"/>
      <c r="B828" s="13"/>
      <c r="C828" s="13"/>
    </row>
    <row r="829" spans="1:3" ht="13" x14ac:dyDescent="0.15">
      <c r="A829" s="10"/>
      <c r="B829" s="13"/>
      <c r="C829" s="13"/>
    </row>
    <row r="830" spans="1:3" ht="13" x14ac:dyDescent="0.15">
      <c r="A830" s="10"/>
      <c r="B830" s="13"/>
      <c r="C830" s="13"/>
    </row>
    <row r="831" spans="1:3" ht="13" x14ac:dyDescent="0.15">
      <c r="A831" s="10"/>
      <c r="B831" s="13"/>
      <c r="C831" s="13"/>
    </row>
    <row r="832" spans="1:3" ht="13" x14ac:dyDescent="0.15">
      <c r="A832" s="10"/>
      <c r="B832" s="13"/>
      <c r="C832" s="13"/>
    </row>
    <row r="833" spans="1:3" ht="13" x14ac:dyDescent="0.15">
      <c r="A833" s="10"/>
      <c r="B833" s="13"/>
      <c r="C833" s="13"/>
    </row>
    <row r="834" spans="1:3" ht="13" x14ac:dyDescent="0.15">
      <c r="A834" s="10"/>
      <c r="B834" s="13"/>
      <c r="C834" s="13"/>
    </row>
    <row r="835" spans="1:3" ht="13" x14ac:dyDescent="0.15">
      <c r="A835" s="10"/>
      <c r="B835" s="13"/>
      <c r="C835" s="13"/>
    </row>
    <row r="836" spans="1:3" ht="13" x14ac:dyDescent="0.15">
      <c r="A836" s="10"/>
      <c r="B836" s="13"/>
      <c r="C836" s="13"/>
    </row>
    <row r="837" spans="1:3" ht="13" x14ac:dyDescent="0.15">
      <c r="A837" s="10"/>
      <c r="B837" s="13"/>
      <c r="C837" s="13"/>
    </row>
    <row r="838" spans="1:3" ht="13" x14ac:dyDescent="0.15">
      <c r="A838" s="10"/>
      <c r="B838" s="13"/>
      <c r="C838" s="13"/>
    </row>
    <row r="839" spans="1:3" ht="13" x14ac:dyDescent="0.15">
      <c r="A839" s="10"/>
      <c r="B839" s="13"/>
      <c r="C839" s="13"/>
    </row>
    <row r="840" spans="1:3" ht="13" x14ac:dyDescent="0.15">
      <c r="A840" s="10"/>
      <c r="B840" s="13"/>
      <c r="C840" s="13"/>
    </row>
    <row r="841" spans="1:3" ht="13" x14ac:dyDescent="0.15">
      <c r="A841" s="10"/>
      <c r="B841" s="13"/>
      <c r="C841" s="13"/>
    </row>
    <row r="842" spans="1:3" ht="13" x14ac:dyDescent="0.15">
      <c r="A842" s="10"/>
      <c r="B842" s="13"/>
      <c r="C842" s="13"/>
    </row>
    <row r="843" spans="1:3" ht="13" x14ac:dyDescent="0.15">
      <c r="A843" s="10"/>
      <c r="B843" s="13"/>
      <c r="C843" s="13"/>
    </row>
    <row r="844" spans="1:3" ht="13" x14ac:dyDescent="0.15">
      <c r="A844" s="10"/>
      <c r="B844" s="13"/>
      <c r="C844" s="13"/>
    </row>
    <row r="845" spans="1:3" ht="13" x14ac:dyDescent="0.15">
      <c r="A845" s="10"/>
      <c r="B845" s="13"/>
      <c r="C845" s="13"/>
    </row>
    <row r="846" spans="1:3" ht="13" x14ac:dyDescent="0.15">
      <c r="A846" s="10"/>
      <c r="B846" s="13"/>
      <c r="C846" s="13"/>
    </row>
    <row r="847" spans="1:3" ht="13" x14ac:dyDescent="0.15">
      <c r="A847" s="10"/>
      <c r="B847" s="13"/>
      <c r="C847" s="13"/>
    </row>
    <row r="848" spans="1:3" ht="13" x14ac:dyDescent="0.15">
      <c r="A848" s="10"/>
      <c r="B848" s="13"/>
      <c r="C848" s="13"/>
    </row>
    <row r="849" spans="1:3" ht="13" x14ac:dyDescent="0.15">
      <c r="A849" s="10"/>
      <c r="B849" s="13"/>
      <c r="C849" s="13"/>
    </row>
    <row r="850" spans="1:3" ht="13" x14ac:dyDescent="0.15">
      <c r="A850" s="10"/>
      <c r="B850" s="13"/>
      <c r="C850" s="13"/>
    </row>
    <row r="851" spans="1:3" ht="13" x14ac:dyDescent="0.15">
      <c r="A851" s="10"/>
      <c r="B851" s="13"/>
      <c r="C851" s="13"/>
    </row>
    <row r="852" spans="1:3" ht="13" x14ac:dyDescent="0.15">
      <c r="A852" s="10"/>
      <c r="B852" s="13"/>
      <c r="C852" s="13"/>
    </row>
    <row r="853" spans="1:3" ht="13" x14ac:dyDescent="0.15">
      <c r="A853" s="10"/>
      <c r="B853" s="13"/>
      <c r="C853" s="13"/>
    </row>
    <row r="854" spans="1:3" ht="13" x14ac:dyDescent="0.15">
      <c r="A854" s="10"/>
      <c r="B854" s="13"/>
      <c r="C854" s="13"/>
    </row>
    <row r="855" spans="1:3" ht="13" x14ac:dyDescent="0.15">
      <c r="A855" s="10"/>
      <c r="B855" s="13"/>
      <c r="C855" s="13"/>
    </row>
    <row r="856" spans="1:3" ht="13" x14ac:dyDescent="0.15">
      <c r="A856" s="10"/>
      <c r="B856" s="13"/>
      <c r="C856" s="13"/>
    </row>
    <row r="857" spans="1:3" ht="13" x14ac:dyDescent="0.15">
      <c r="A857" s="10"/>
      <c r="B857" s="13"/>
      <c r="C857" s="13"/>
    </row>
    <row r="858" spans="1:3" ht="13" x14ac:dyDescent="0.15">
      <c r="A858" s="10"/>
      <c r="B858" s="13"/>
      <c r="C858" s="13"/>
    </row>
    <row r="859" spans="1:3" ht="13" x14ac:dyDescent="0.15">
      <c r="A859" s="10"/>
      <c r="B859" s="13"/>
      <c r="C859" s="13"/>
    </row>
    <row r="860" spans="1:3" ht="13" x14ac:dyDescent="0.15">
      <c r="A860" s="10"/>
      <c r="B860" s="13"/>
      <c r="C860" s="13"/>
    </row>
    <row r="861" spans="1:3" ht="13" x14ac:dyDescent="0.15">
      <c r="A861" s="10"/>
      <c r="B861" s="13"/>
      <c r="C861" s="13"/>
    </row>
    <row r="862" spans="1:3" ht="13" x14ac:dyDescent="0.15">
      <c r="A862" s="10"/>
      <c r="B862" s="13"/>
      <c r="C862" s="13"/>
    </row>
    <row r="863" spans="1:3" ht="13" x14ac:dyDescent="0.15">
      <c r="A863" s="10"/>
      <c r="B863" s="13"/>
      <c r="C863" s="13"/>
    </row>
    <row r="864" spans="1:3" ht="13" x14ac:dyDescent="0.15">
      <c r="A864" s="10"/>
      <c r="B864" s="13"/>
      <c r="C864" s="13"/>
    </row>
    <row r="865" spans="1:3" ht="13" x14ac:dyDescent="0.15">
      <c r="A865" s="10"/>
      <c r="B865" s="13"/>
      <c r="C865" s="13"/>
    </row>
    <row r="866" spans="1:3" ht="13" x14ac:dyDescent="0.15">
      <c r="A866" s="10"/>
      <c r="B866" s="13"/>
      <c r="C866" s="13"/>
    </row>
    <row r="867" spans="1:3" ht="13" x14ac:dyDescent="0.15">
      <c r="A867" s="10"/>
      <c r="B867" s="13"/>
      <c r="C867" s="13"/>
    </row>
    <row r="868" spans="1:3" ht="13" x14ac:dyDescent="0.15">
      <c r="A868" s="10"/>
      <c r="B868" s="13"/>
      <c r="C868" s="13"/>
    </row>
    <row r="869" spans="1:3" ht="13" x14ac:dyDescent="0.15">
      <c r="A869" s="10"/>
      <c r="B869" s="13"/>
      <c r="C869" s="13"/>
    </row>
    <row r="870" spans="1:3" ht="13" x14ac:dyDescent="0.15">
      <c r="A870" s="10"/>
      <c r="B870" s="13"/>
      <c r="C870" s="13"/>
    </row>
    <row r="871" spans="1:3" ht="13" x14ac:dyDescent="0.15">
      <c r="A871" s="10"/>
      <c r="B871" s="13"/>
      <c r="C871" s="13"/>
    </row>
    <row r="872" spans="1:3" ht="13" x14ac:dyDescent="0.15">
      <c r="A872" s="10"/>
      <c r="B872" s="13"/>
      <c r="C872" s="13"/>
    </row>
    <row r="873" spans="1:3" ht="13" x14ac:dyDescent="0.15">
      <c r="A873" s="10"/>
      <c r="B873" s="13"/>
      <c r="C873" s="13"/>
    </row>
    <row r="874" spans="1:3" ht="13" x14ac:dyDescent="0.15">
      <c r="A874" s="10"/>
      <c r="B874" s="13"/>
      <c r="C874" s="13"/>
    </row>
    <row r="875" spans="1:3" ht="13" x14ac:dyDescent="0.15">
      <c r="A875" s="10"/>
      <c r="B875" s="13"/>
      <c r="C875" s="13"/>
    </row>
    <row r="876" spans="1:3" ht="13" x14ac:dyDescent="0.15">
      <c r="A876" s="10"/>
      <c r="B876" s="13"/>
      <c r="C876" s="13"/>
    </row>
    <row r="877" spans="1:3" ht="13" x14ac:dyDescent="0.15">
      <c r="A877" s="10"/>
      <c r="B877" s="13"/>
      <c r="C877" s="13"/>
    </row>
    <row r="878" spans="1:3" ht="13" x14ac:dyDescent="0.15">
      <c r="A878" s="10"/>
      <c r="B878" s="13"/>
      <c r="C878" s="13"/>
    </row>
    <row r="879" spans="1:3" ht="13" x14ac:dyDescent="0.15">
      <c r="A879" s="10"/>
      <c r="B879" s="13"/>
      <c r="C879" s="13"/>
    </row>
    <row r="880" spans="1:3" ht="13" x14ac:dyDescent="0.15">
      <c r="A880" s="10"/>
      <c r="B880" s="13"/>
      <c r="C880" s="13"/>
    </row>
    <row r="881" spans="1:3" ht="13" x14ac:dyDescent="0.15">
      <c r="A881" s="10"/>
      <c r="B881" s="13"/>
      <c r="C881" s="13"/>
    </row>
    <row r="882" spans="1:3" ht="13" x14ac:dyDescent="0.15">
      <c r="A882" s="10"/>
      <c r="B882" s="13"/>
      <c r="C882" s="13"/>
    </row>
    <row r="883" spans="1:3" ht="13" x14ac:dyDescent="0.15">
      <c r="A883" s="10"/>
      <c r="B883" s="13"/>
      <c r="C883" s="13"/>
    </row>
    <row r="884" spans="1:3" ht="13" x14ac:dyDescent="0.15">
      <c r="A884" s="10"/>
      <c r="B884" s="13"/>
      <c r="C884" s="13"/>
    </row>
    <row r="885" spans="1:3" ht="13" x14ac:dyDescent="0.15">
      <c r="A885" s="10"/>
      <c r="B885" s="13"/>
      <c r="C885" s="13"/>
    </row>
    <row r="886" spans="1:3" ht="13" x14ac:dyDescent="0.15">
      <c r="A886" s="10"/>
      <c r="B886" s="13"/>
      <c r="C886" s="13"/>
    </row>
    <row r="887" spans="1:3" ht="13" x14ac:dyDescent="0.15">
      <c r="A887" s="10"/>
      <c r="B887" s="13"/>
      <c r="C887" s="13"/>
    </row>
    <row r="888" spans="1:3" ht="13" x14ac:dyDescent="0.15">
      <c r="A888" s="10"/>
      <c r="B888" s="13"/>
      <c r="C888" s="13"/>
    </row>
    <row r="889" spans="1:3" ht="13" x14ac:dyDescent="0.15">
      <c r="A889" s="10"/>
      <c r="B889" s="13"/>
      <c r="C889" s="13"/>
    </row>
    <row r="890" spans="1:3" ht="13" x14ac:dyDescent="0.15">
      <c r="A890" s="10"/>
      <c r="B890" s="13"/>
      <c r="C890" s="13"/>
    </row>
    <row r="891" spans="1:3" ht="13" x14ac:dyDescent="0.15">
      <c r="A891" s="10"/>
      <c r="B891" s="13"/>
      <c r="C891" s="13"/>
    </row>
    <row r="892" spans="1:3" ht="13" x14ac:dyDescent="0.15">
      <c r="A892" s="10"/>
      <c r="B892" s="13"/>
      <c r="C892" s="13"/>
    </row>
    <row r="893" spans="1:3" ht="13" x14ac:dyDescent="0.15">
      <c r="A893" s="10"/>
      <c r="B893" s="13"/>
      <c r="C893" s="13"/>
    </row>
    <row r="894" spans="1:3" ht="13" x14ac:dyDescent="0.15">
      <c r="A894" s="10"/>
      <c r="B894" s="13"/>
      <c r="C894" s="13"/>
    </row>
    <row r="895" spans="1:3" ht="13" x14ac:dyDescent="0.15">
      <c r="A895" s="10"/>
      <c r="B895" s="13"/>
      <c r="C895" s="13"/>
    </row>
    <row r="896" spans="1:3" ht="13" x14ac:dyDescent="0.15">
      <c r="A896" s="10"/>
      <c r="B896" s="13"/>
      <c r="C896" s="13"/>
    </row>
    <row r="897" spans="1:3" ht="13" x14ac:dyDescent="0.15">
      <c r="A897" s="10"/>
      <c r="B897" s="13"/>
      <c r="C897" s="13"/>
    </row>
    <row r="898" spans="1:3" ht="13" x14ac:dyDescent="0.15">
      <c r="A898" s="10"/>
      <c r="B898" s="13"/>
      <c r="C898" s="13"/>
    </row>
    <row r="899" spans="1:3" ht="13" x14ac:dyDescent="0.15">
      <c r="A899" s="10"/>
      <c r="B899" s="13"/>
      <c r="C899" s="13"/>
    </row>
    <row r="900" spans="1:3" ht="13" x14ac:dyDescent="0.15">
      <c r="A900" s="10"/>
      <c r="B900" s="13"/>
      <c r="C900" s="13"/>
    </row>
    <row r="901" spans="1:3" ht="13" x14ac:dyDescent="0.15">
      <c r="A901" s="10"/>
      <c r="B901" s="13"/>
      <c r="C901" s="13"/>
    </row>
    <row r="902" spans="1:3" ht="13" x14ac:dyDescent="0.15">
      <c r="A902" s="10"/>
      <c r="B902" s="13"/>
      <c r="C902" s="13"/>
    </row>
    <row r="903" spans="1:3" ht="13" x14ac:dyDescent="0.15">
      <c r="A903" s="10"/>
      <c r="B903" s="13"/>
      <c r="C903" s="13"/>
    </row>
    <row r="904" spans="1:3" ht="13" x14ac:dyDescent="0.15">
      <c r="A904" s="10"/>
      <c r="B904" s="13"/>
      <c r="C904" s="13"/>
    </row>
    <row r="905" spans="1:3" ht="13" x14ac:dyDescent="0.15">
      <c r="A905" s="10"/>
      <c r="B905" s="13"/>
      <c r="C905" s="13"/>
    </row>
    <row r="906" spans="1:3" ht="13" x14ac:dyDescent="0.15">
      <c r="A906" s="10"/>
      <c r="B906" s="13"/>
      <c r="C906" s="13"/>
    </row>
    <row r="907" spans="1:3" ht="13" x14ac:dyDescent="0.15">
      <c r="A907" s="10"/>
      <c r="B907" s="13"/>
      <c r="C907" s="13"/>
    </row>
    <row r="908" spans="1:3" ht="13" x14ac:dyDescent="0.15">
      <c r="A908" s="10"/>
      <c r="B908" s="13"/>
      <c r="C908" s="13"/>
    </row>
    <row r="909" spans="1:3" ht="13" x14ac:dyDescent="0.15">
      <c r="A909" s="10"/>
      <c r="B909" s="13"/>
      <c r="C909" s="13"/>
    </row>
    <row r="910" spans="1:3" ht="13" x14ac:dyDescent="0.15">
      <c r="A910" s="10"/>
      <c r="B910" s="13"/>
      <c r="C910" s="13"/>
    </row>
    <row r="911" spans="1:3" ht="13" x14ac:dyDescent="0.15">
      <c r="A911" s="10"/>
      <c r="B911" s="13"/>
      <c r="C911" s="13"/>
    </row>
    <row r="912" spans="1:3" ht="13" x14ac:dyDescent="0.15">
      <c r="A912" s="10"/>
      <c r="B912" s="13"/>
      <c r="C912" s="13"/>
    </row>
    <row r="913" spans="1:3" ht="13" x14ac:dyDescent="0.15">
      <c r="A913" s="10"/>
      <c r="B913" s="13"/>
      <c r="C913" s="13"/>
    </row>
    <row r="914" spans="1:3" ht="13" x14ac:dyDescent="0.15">
      <c r="A914" s="10"/>
      <c r="B914" s="13"/>
      <c r="C914" s="13"/>
    </row>
    <row r="915" spans="1:3" ht="13" x14ac:dyDescent="0.15">
      <c r="A915" s="10"/>
      <c r="B915" s="13"/>
      <c r="C915" s="13"/>
    </row>
    <row r="916" spans="1:3" ht="13" x14ac:dyDescent="0.15">
      <c r="A916" s="10"/>
      <c r="B916" s="13"/>
      <c r="C916" s="13"/>
    </row>
    <row r="917" spans="1:3" ht="13" x14ac:dyDescent="0.15">
      <c r="A917" s="10"/>
      <c r="B917" s="13"/>
      <c r="C917" s="13"/>
    </row>
    <row r="918" spans="1:3" ht="13" x14ac:dyDescent="0.15">
      <c r="A918" s="10"/>
      <c r="B918" s="13"/>
      <c r="C918" s="13"/>
    </row>
    <row r="919" spans="1:3" ht="13" x14ac:dyDescent="0.15">
      <c r="A919" s="10"/>
      <c r="B919" s="13"/>
      <c r="C919" s="13"/>
    </row>
    <row r="920" spans="1:3" ht="13" x14ac:dyDescent="0.15">
      <c r="A920" s="10"/>
      <c r="B920" s="13"/>
      <c r="C920" s="13"/>
    </row>
    <row r="921" spans="1:3" ht="13" x14ac:dyDescent="0.15">
      <c r="A921" s="10"/>
      <c r="B921" s="13"/>
      <c r="C921" s="13"/>
    </row>
    <row r="922" spans="1:3" ht="13" x14ac:dyDescent="0.15">
      <c r="A922" s="10"/>
      <c r="B922" s="13"/>
      <c r="C922" s="13"/>
    </row>
    <row r="923" spans="1:3" ht="13" x14ac:dyDescent="0.15">
      <c r="A923" s="10"/>
      <c r="B923" s="13"/>
      <c r="C923" s="13"/>
    </row>
    <row r="924" spans="1:3" ht="13" x14ac:dyDescent="0.15">
      <c r="A924" s="10"/>
      <c r="B924" s="13"/>
      <c r="C924" s="13"/>
    </row>
    <row r="925" spans="1:3" ht="13" x14ac:dyDescent="0.15">
      <c r="A925" s="10"/>
      <c r="B925" s="13"/>
      <c r="C925" s="13"/>
    </row>
    <row r="926" spans="1:3" ht="13" x14ac:dyDescent="0.15">
      <c r="A926" s="10"/>
      <c r="B926" s="13"/>
      <c r="C926" s="13"/>
    </row>
    <row r="927" spans="1:3" ht="13" x14ac:dyDescent="0.15">
      <c r="A927" s="10"/>
      <c r="B927" s="13"/>
      <c r="C927" s="13"/>
    </row>
    <row r="928" spans="1:3" ht="13" x14ac:dyDescent="0.15">
      <c r="A928" s="10"/>
      <c r="B928" s="13"/>
      <c r="C928" s="13"/>
    </row>
    <row r="929" spans="1:3" ht="13" x14ac:dyDescent="0.15">
      <c r="A929" s="10"/>
      <c r="B929" s="13"/>
      <c r="C929" s="13"/>
    </row>
    <row r="930" spans="1:3" ht="13" x14ac:dyDescent="0.15">
      <c r="A930" s="10"/>
      <c r="B930" s="13"/>
      <c r="C930" s="13"/>
    </row>
    <row r="931" spans="1:3" ht="13" x14ac:dyDescent="0.15">
      <c r="A931" s="10"/>
      <c r="B931" s="13"/>
      <c r="C931" s="13"/>
    </row>
    <row r="932" spans="1:3" ht="13" x14ac:dyDescent="0.15">
      <c r="A932" s="10"/>
      <c r="B932" s="13"/>
      <c r="C932" s="13"/>
    </row>
    <row r="933" spans="1:3" ht="13" x14ac:dyDescent="0.15">
      <c r="A933" s="10"/>
      <c r="B933" s="13"/>
      <c r="C933" s="13"/>
    </row>
    <row r="934" spans="1:3" ht="13" x14ac:dyDescent="0.15">
      <c r="A934" s="10"/>
      <c r="B934" s="13"/>
      <c r="C934" s="13"/>
    </row>
    <row r="935" spans="1:3" ht="13" x14ac:dyDescent="0.15">
      <c r="A935" s="10"/>
      <c r="B935" s="13"/>
      <c r="C935" s="13"/>
    </row>
    <row r="936" spans="1:3" ht="13" x14ac:dyDescent="0.15">
      <c r="A936" s="10"/>
      <c r="B936" s="13"/>
      <c r="C936" s="13"/>
    </row>
    <row r="937" spans="1:3" ht="13" x14ac:dyDescent="0.15">
      <c r="A937" s="10"/>
      <c r="B937" s="13"/>
      <c r="C937" s="13"/>
    </row>
    <row r="938" spans="1:3" ht="13" x14ac:dyDescent="0.15">
      <c r="A938" s="10"/>
      <c r="B938" s="13"/>
      <c r="C938" s="13"/>
    </row>
    <row r="939" spans="1:3" ht="13" x14ac:dyDescent="0.15">
      <c r="A939" s="10"/>
      <c r="B939" s="13"/>
      <c r="C939" s="13"/>
    </row>
    <row r="940" spans="1:3" ht="13" x14ac:dyDescent="0.15">
      <c r="A940" s="10"/>
      <c r="B940" s="13"/>
      <c r="C940" s="13"/>
    </row>
    <row r="941" spans="1:3" ht="13" x14ac:dyDescent="0.15">
      <c r="A941" s="10"/>
      <c r="B941" s="13"/>
      <c r="C941" s="13"/>
    </row>
    <row r="942" spans="1:3" ht="13" x14ac:dyDescent="0.15">
      <c r="A942" s="10"/>
      <c r="B942" s="13"/>
      <c r="C942" s="13"/>
    </row>
    <row r="943" spans="1:3" ht="13" x14ac:dyDescent="0.15">
      <c r="A943" s="10"/>
      <c r="B943" s="13"/>
      <c r="C943" s="13"/>
    </row>
    <row r="944" spans="1:3" ht="13" x14ac:dyDescent="0.15">
      <c r="A944" s="10"/>
      <c r="B944" s="13"/>
      <c r="C944" s="13"/>
    </row>
    <row r="945" spans="1:3" ht="13" x14ac:dyDescent="0.15">
      <c r="A945" s="10"/>
      <c r="B945" s="13"/>
      <c r="C945" s="13"/>
    </row>
    <row r="946" spans="1:3" ht="13" x14ac:dyDescent="0.15">
      <c r="A946" s="10"/>
      <c r="B946" s="13"/>
      <c r="C946" s="13"/>
    </row>
    <row r="947" spans="1:3" ht="13" x14ac:dyDescent="0.15">
      <c r="A947" s="10"/>
      <c r="B947" s="13"/>
      <c r="C947" s="13"/>
    </row>
    <row r="948" spans="1:3" ht="13" x14ac:dyDescent="0.15">
      <c r="A948" s="10"/>
      <c r="B948" s="13"/>
      <c r="C948" s="13"/>
    </row>
    <row r="949" spans="1:3" ht="13" x14ac:dyDescent="0.15">
      <c r="A949" s="10"/>
      <c r="B949" s="13"/>
      <c r="C949" s="13"/>
    </row>
    <row r="950" spans="1:3" ht="13" x14ac:dyDescent="0.15">
      <c r="A950" s="10"/>
      <c r="B950" s="13"/>
      <c r="C950" s="13"/>
    </row>
    <row r="951" spans="1:3" ht="13" x14ac:dyDescent="0.15">
      <c r="A951" s="10"/>
      <c r="B951" s="13"/>
      <c r="C951" s="13"/>
    </row>
    <row r="952" spans="1:3" ht="13" x14ac:dyDescent="0.15">
      <c r="A952" s="10"/>
      <c r="B952" s="13"/>
      <c r="C952" s="13"/>
    </row>
    <row r="953" spans="1:3" ht="13" x14ac:dyDescent="0.15">
      <c r="A953" s="10"/>
      <c r="B953" s="13"/>
      <c r="C953" s="13"/>
    </row>
    <row r="954" spans="1:3" ht="13" x14ac:dyDescent="0.15">
      <c r="A954" s="10"/>
      <c r="B954" s="13"/>
      <c r="C954" s="13"/>
    </row>
    <row r="955" spans="1:3" ht="13" x14ac:dyDescent="0.15">
      <c r="A955" s="10"/>
      <c r="B955" s="13"/>
      <c r="C955" s="13"/>
    </row>
    <row r="956" spans="1:3" ht="13" x14ac:dyDescent="0.15">
      <c r="A956" s="10"/>
      <c r="B956" s="13"/>
      <c r="C956" s="13"/>
    </row>
    <row r="957" spans="1:3" ht="13" x14ac:dyDescent="0.15">
      <c r="A957" s="10"/>
      <c r="B957" s="13"/>
      <c r="C957" s="13"/>
    </row>
    <row r="958" spans="1:3" ht="13" x14ac:dyDescent="0.15">
      <c r="A958" s="10"/>
      <c r="B958" s="13"/>
      <c r="C958" s="13"/>
    </row>
    <row r="959" spans="1:3" ht="13" x14ac:dyDescent="0.15">
      <c r="A959" s="10"/>
      <c r="B959" s="13"/>
      <c r="C959" s="13"/>
    </row>
    <row r="960" spans="1:3" ht="13" x14ac:dyDescent="0.15">
      <c r="A960" s="10"/>
      <c r="B960" s="13"/>
      <c r="C960" s="13"/>
    </row>
    <row r="961" spans="1:3" ht="13" x14ac:dyDescent="0.15">
      <c r="A961" s="10"/>
      <c r="B961" s="13"/>
      <c r="C961" s="13"/>
    </row>
    <row r="962" spans="1:3" ht="13" x14ac:dyDescent="0.15">
      <c r="A962" s="10"/>
      <c r="B962" s="13"/>
      <c r="C962" s="13"/>
    </row>
    <row r="963" spans="1:3" ht="13" x14ac:dyDescent="0.15">
      <c r="A963" s="10"/>
      <c r="B963" s="13"/>
      <c r="C963" s="13"/>
    </row>
    <row r="964" spans="1:3" ht="13" x14ac:dyDescent="0.15">
      <c r="A964" s="10"/>
      <c r="B964" s="13"/>
      <c r="C964" s="13"/>
    </row>
    <row r="965" spans="1:3" ht="13" x14ac:dyDescent="0.15">
      <c r="A965" s="10"/>
      <c r="B965" s="13"/>
      <c r="C965" s="13"/>
    </row>
    <row r="966" spans="1:3" ht="13" x14ac:dyDescent="0.15">
      <c r="A966" s="10"/>
      <c r="B966" s="13"/>
      <c r="C966" s="13"/>
    </row>
    <row r="967" spans="1:3" ht="13" x14ac:dyDescent="0.15">
      <c r="A967" s="10"/>
      <c r="B967" s="13"/>
      <c r="C967" s="13"/>
    </row>
    <row r="968" spans="1:3" ht="13" x14ac:dyDescent="0.15">
      <c r="A968" s="10"/>
      <c r="B968" s="13"/>
      <c r="C968" s="13"/>
    </row>
    <row r="969" spans="1:3" ht="13" x14ac:dyDescent="0.15">
      <c r="A969" s="10"/>
      <c r="B969" s="13"/>
      <c r="C969" s="13"/>
    </row>
    <row r="970" spans="1:3" ht="13" x14ac:dyDescent="0.15">
      <c r="A970" s="10"/>
      <c r="B970" s="13"/>
      <c r="C970" s="13"/>
    </row>
    <row r="971" spans="1:3" ht="13" x14ac:dyDescent="0.15">
      <c r="A971" s="10"/>
      <c r="B971" s="13"/>
      <c r="C971" s="13"/>
    </row>
    <row r="972" spans="1:3" ht="13" x14ac:dyDescent="0.15">
      <c r="A972" s="10"/>
      <c r="B972" s="13"/>
      <c r="C972" s="13"/>
    </row>
    <row r="973" spans="1:3" ht="13" x14ac:dyDescent="0.15">
      <c r="A973" s="10"/>
      <c r="B973" s="13"/>
      <c r="C973" s="13"/>
    </row>
    <row r="974" spans="1:3" ht="13" x14ac:dyDescent="0.15">
      <c r="A974" s="10"/>
      <c r="B974" s="13"/>
      <c r="C974" s="13"/>
    </row>
    <row r="975" spans="1:3" ht="13" x14ac:dyDescent="0.15">
      <c r="A975" s="10"/>
      <c r="B975" s="13"/>
      <c r="C975" s="13"/>
    </row>
    <row r="976" spans="1:3" ht="13" x14ac:dyDescent="0.15">
      <c r="A976" s="10"/>
      <c r="B976" s="13"/>
      <c r="C976" s="13"/>
    </row>
    <row r="977" spans="1:3" ht="13" x14ac:dyDescent="0.15">
      <c r="A977" s="10"/>
      <c r="B977" s="13"/>
      <c r="C977" s="13"/>
    </row>
    <row r="978" spans="1:3" ht="13" x14ac:dyDescent="0.15">
      <c r="A978" s="10"/>
      <c r="B978" s="13"/>
      <c r="C978" s="13"/>
    </row>
    <row r="979" spans="1:3" ht="13" x14ac:dyDescent="0.15">
      <c r="A979" s="10"/>
      <c r="B979" s="13"/>
      <c r="C979" s="13"/>
    </row>
    <row r="980" spans="1:3" ht="13" x14ac:dyDescent="0.15">
      <c r="A980" s="10"/>
      <c r="B980" s="13"/>
      <c r="C980" s="13"/>
    </row>
    <row r="981" spans="1:3" ht="13" x14ac:dyDescent="0.15">
      <c r="A981" s="10"/>
      <c r="B981" s="13"/>
      <c r="C981" s="13"/>
    </row>
    <row r="982" spans="1:3" ht="13" x14ac:dyDescent="0.15">
      <c r="A982" s="10"/>
      <c r="B982" s="13"/>
      <c r="C982" s="13"/>
    </row>
    <row r="983" spans="1:3" ht="13" x14ac:dyDescent="0.15">
      <c r="A983" s="10"/>
      <c r="B983" s="13"/>
      <c r="C983" s="13"/>
    </row>
    <row r="984" spans="1:3" ht="13" x14ac:dyDescent="0.15">
      <c r="A984" s="10"/>
      <c r="B984" s="13"/>
      <c r="C984" s="13"/>
    </row>
    <row r="985" spans="1:3" ht="13" x14ac:dyDescent="0.15">
      <c r="A985" s="10"/>
      <c r="B985" s="13"/>
      <c r="C985" s="13"/>
    </row>
    <row r="986" spans="1:3" ht="13" x14ac:dyDescent="0.15">
      <c r="A986" s="10"/>
      <c r="B986" s="13"/>
      <c r="C986" s="13"/>
    </row>
    <row r="987" spans="1:3" ht="13" x14ac:dyDescent="0.15">
      <c r="A987" s="10"/>
      <c r="B987" s="13"/>
      <c r="C987" s="13"/>
    </row>
    <row r="988" spans="1:3" ht="13" x14ac:dyDescent="0.15">
      <c r="A988" s="10"/>
      <c r="B988" s="13"/>
      <c r="C988" s="13"/>
    </row>
    <row r="989" spans="1:3" ht="13" x14ac:dyDescent="0.15">
      <c r="A989" s="10"/>
      <c r="B989" s="13"/>
      <c r="C989" s="13"/>
    </row>
    <row r="990" spans="1:3" ht="13" x14ac:dyDescent="0.15">
      <c r="A990" s="10"/>
      <c r="B990" s="13"/>
      <c r="C990" s="13"/>
    </row>
    <row r="991" spans="1:3" ht="13" x14ac:dyDescent="0.15">
      <c r="A991" s="10"/>
      <c r="B991" s="13"/>
      <c r="C991" s="13"/>
    </row>
    <row r="992" spans="1:3" ht="13" x14ac:dyDescent="0.15">
      <c r="A992" s="10"/>
      <c r="B992" s="13"/>
      <c r="C992" s="13"/>
    </row>
    <row r="993" spans="1:3" ht="13" x14ac:dyDescent="0.15">
      <c r="A993" s="10"/>
      <c r="B993" s="13"/>
      <c r="C993" s="13"/>
    </row>
    <row r="994" spans="1:3" ht="13" x14ac:dyDescent="0.15">
      <c r="A994" s="10"/>
      <c r="B994" s="13"/>
      <c r="C994" s="13"/>
    </row>
    <row r="995" spans="1:3" ht="13" x14ac:dyDescent="0.15">
      <c r="A995" s="10"/>
      <c r="B995" s="13"/>
      <c r="C995" s="13"/>
    </row>
    <row r="996" spans="1:3" ht="13" x14ac:dyDescent="0.15">
      <c r="A996" s="10"/>
      <c r="B996" s="13"/>
      <c r="C996" s="13"/>
    </row>
    <row r="997" spans="1:3" ht="13" x14ac:dyDescent="0.15">
      <c r="A997" s="10"/>
      <c r="B997" s="13"/>
      <c r="C997" s="13"/>
    </row>
  </sheetData>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outlinePr summaryBelow="0" summaryRight="0"/>
  </sheetPr>
  <dimension ref="A1:D997"/>
  <sheetViews>
    <sheetView workbookViewId="0"/>
  </sheetViews>
  <sheetFormatPr baseColWidth="10" defaultColWidth="12.6640625" defaultRowHeight="15.75" customHeight="1" x14ac:dyDescent="0.15"/>
  <cols>
    <col min="1" max="1" width="71.5" customWidth="1"/>
    <col min="2" max="4" width="37.6640625" customWidth="1"/>
  </cols>
  <sheetData>
    <row r="1" spans="1:4" x14ac:dyDescent="0.2">
      <c r="A1" s="1"/>
      <c r="B1" s="22" t="str">
        <f ca="1">IFERROR(__xludf.DUMMYFUNCTION("IMPORTRANGE(""https://docs.google.com/spreadsheets/u/0/d/1_NcUY7_L0-VKMwwoDwesshr7eGsHFBVPNg4YI6jkjhk"", ""A80!B1:B22"")"),"Noelle Labadens")</f>
        <v>Noelle Labadens</v>
      </c>
      <c r="C1" s="10" t="str">
        <f ca="1">IFERROR(__xludf.DUMMYFUNCTION("IMPORTRANGE(""https://docs.google.com/spreadsheets/u/0/d/1DTeUShR903oScgwuFGuA8V8JqIoXmME8W-T3lNP0oHM"", ""A80!B1:B22"")"),"McKinzie Novak")</f>
        <v>McKinzie Novak</v>
      </c>
      <c r="D1" s="2" t="s">
        <v>1</v>
      </c>
    </row>
    <row r="2" spans="1:4" ht="15.75" customHeight="1" x14ac:dyDescent="0.15">
      <c r="A2" s="3" t="s">
        <v>2</v>
      </c>
      <c r="B2" s="15" t="str">
        <f ca="1">IFERROR(__xludf.DUMMYFUNCTION("""COMPUTED_VALUE"""),"48532-48284 REV")</f>
        <v>48532-48284 REV</v>
      </c>
      <c r="C2" s="15" t="str">
        <f ca="1">IFERROR(__xludf.DUMMYFUNCTION("""COMPUTED_VALUE"""),"START: 48532
STOP: 48284
REVERSE")</f>
        <v>START: 48532
STOP: 48284
REVERSE</v>
      </c>
      <c r="D2" s="4"/>
    </row>
    <row r="3" spans="1:4" ht="15.75" customHeight="1" x14ac:dyDescent="0.15">
      <c r="A3" s="5" t="s">
        <v>3</v>
      </c>
      <c r="B3" s="17" t="str">
        <f ca="1">IFERROR(__xludf.DUMMYFUNCTION("""COMPUTED_VALUE"""),"DNA Master: 79, Phamerator: 80")</f>
        <v>DNA Master: 79, Phamerator: 80</v>
      </c>
      <c r="C3" s="17" t="str">
        <f ca="1">IFERROR(__xludf.DUMMYFUNCTION("""COMPUTED_VALUE"""),"DNAM: 79
PHAM: 80
Phagesdb: 80")</f>
        <v>DNAM: 79
PHAM: 80
Phagesdb: 80</v>
      </c>
      <c r="D3" s="6"/>
    </row>
    <row r="4" spans="1:4" ht="15.75" customHeight="1" x14ac:dyDescent="0.15">
      <c r="A4" s="5" t="s">
        <v>4</v>
      </c>
      <c r="B4" s="17" t="str">
        <f ca="1">IFERROR(__xludf.DUMMYFUNCTION("""COMPUTED_VALUE"""),"pham 6756 3/17/25")</f>
        <v>pham 6756 3/17/25</v>
      </c>
      <c r="C4" s="17" t="str">
        <f ca="1">IFERROR(__xludf.DUMMYFUNCTION("""COMPUTED_VALUE"""),"#6756   3/19/25")</f>
        <v>#6756   3/19/25</v>
      </c>
      <c r="D4" s="6"/>
    </row>
    <row r="5" spans="1:4" ht="15.75" customHeight="1" x14ac:dyDescent="0.15">
      <c r="A5" s="5" t="s">
        <v>5</v>
      </c>
      <c r="B5" s="17" t="str">
        <f ca="1">IFERROR(__xludf.DUMMYFUNCTION("""COMPUTED_VALUE"""),"Kovu_78, LiSara_76")</f>
        <v>Kovu_78, LiSara_76</v>
      </c>
      <c r="C5" s="17" t="str">
        <f ca="1">IFERROR(__xludf.DUMMYFUNCTION("""COMPUTED_VALUE"""),"Kovu #78")</f>
        <v>Kovu #78</v>
      </c>
      <c r="D5" s="6"/>
    </row>
    <row r="6" spans="1:4" ht="15.75" customHeight="1" x14ac:dyDescent="0.15">
      <c r="A6" s="5" t="s">
        <v>6</v>
      </c>
      <c r="B6" s="17" t="str">
        <f ca="1">IFERROR(__xludf.DUMMYFUNCTION("""COMPUTED_VALUE"""),"gimmer call. GeneMark called start at 48583")</f>
        <v>gimmer call. GeneMark called start at 48583</v>
      </c>
      <c r="C6" s="17" t="str">
        <f ca="1">IFERROR(__xludf.DUMMYFUNCTION("""COMPUTED_VALUE"""),"Glimmer called start 48532, but genemark called an earlier start at 48583")</f>
        <v>Glimmer called start 48532, but genemark called an earlier start at 48583</v>
      </c>
      <c r="D6" s="6"/>
    </row>
    <row r="7" spans="1:4" ht="15.75" customHeight="1" x14ac:dyDescent="0.15">
      <c r="A7" s="5" t="s">
        <v>7</v>
      </c>
      <c r="B7" s="17" t="str">
        <f ca="1">IFERROR(__xludf.DUMMYFUNCTION("""COMPUTED_VALUE"""),"good coding potential, captures all potential")</f>
        <v>good coding potential, captures all potential</v>
      </c>
      <c r="C7" s="17" t="str">
        <f ca="1">IFERROR(__xludf.DUMMYFUNCTION("""COMPUTED_VALUE"""),"Yes the gene has good coding potential, and genemarks start captures all of it")</f>
        <v>Yes the gene has good coding potential, and genemarks start captures all of it</v>
      </c>
      <c r="D7" s="6"/>
    </row>
    <row r="8" spans="1:4" ht="15.75" customHeight="1" x14ac:dyDescent="0.15">
      <c r="A8" s="5" t="s">
        <v>8</v>
      </c>
      <c r="B8" s="17" t="str">
        <f ca="1">IFERROR(__xludf.DUMMYFUNCTION("""COMPUTED_VALUE"""),"no, one more start after it ")</f>
        <v xml:space="preserve">no, one more start after it </v>
      </c>
      <c r="C8" s="17" t="str">
        <f ca="1">IFERROR(__xludf.DUMMYFUNCTION("""COMPUTED_VALUE"""),"No, genemarks start is the longest ORF")</f>
        <v>No, genemarks start is the longest ORF</v>
      </c>
      <c r="D8" s="6"/>
    </row>
    <row r="9" spans="1:4" ht="15.75" customHeight="1" x14ac:dyDescent="0.15">
      <c r="A9" s="5" t="s">
        <v>9</v>
      </c>
      <c r="B9" s="17" t="str">
        <f ca="1">IFERROR(__xludf.DUMMYFUNCTION("""COMPUTED_VALUE"""),"123 nt gap")</f>
        <v>123 nt gap</v>
      </c>
      <c r="C9" s="17" t="str">
        <f ca="1">IFERROR(__xludf.DUMMYFUNCTION("""COMPUTED_VALUE"""),"Glimmers start has a 123 basepair gap, genemarks preferred start has a 52 baspair gap")</f>
        <v>Glimmers start has a 123 basepair gap, genemarks preferred start has a 52 baspair gap</v>
      </c>
      <c r="D9" s="6"/>
    </row>
    <row r="10" spans="1:4" ht="15.75" customHeight="1" x14ac:dyDescent="0.15">
      <c r="A10" s="5" t="s">
        <v>10</v>
      </c>
      <c r="B10" s="17" t="str">
        <f ca="1">IFERROR(__xludf.DUMMYFUNCTION("""COMPUTED_VALUE"""),"Z score: 2.957. Farther start z score is bad")</f>
        <v>Z score: 2.957. Farther start z score is bad</v>
      </c>
      <c r="C10" s="17" t="str">
        <f ca="1">IFERROR(__xludf.DUMMYFUNCTION("""COMPUTED_VALUE"""),"Start:48532 z-score:1.28 RBS: -2.4
Start:48583 z-score:2.96 RBS: -6.4")</f>
        <v>Start:48532 z-score:1.28 RBS: -2.4
Start:48583 z-score:2.96 RBS: -6.4</v>
      </c>
      <c r="D10" s="6"/>
    </row>
    <row r="11" spans="1:4" ht="15.75" customHeight="1" x14ac:dyDescent="0.15">
      <c r="A11" s="5" t="s">
        <v>11</v>
      </c>
      <c r="B11" s="17" t="str">
        <f ca="1">IFERROR(__xludf.DUMMYFUNCTION("""COMPUTED_VALUE"""),"these are nooot great. Kovu_78, 70%, 7e-26, q:4 s:3")</f>
        <v>these are nooot great. Kovu_78, 70%, 7e-26, q:4 s:3</v>
      </c>
      <c r="C11" s="17" t="str">
        <f ca="1">IFERROR(__xludf.DUMMYFUNCTION("""COMPUTED_VALUE"""),"Kovu #78 %ID:70.9 e-val:3.4e-14
Q:4 S:3")</f>
        <v>Kovu #78 %ID:70.9 e-val:3.4e-14
Q:4 S:3</v>
      </c>
      <c r="D11" s="6"/>
    </row>
    <row r="12" spans="1:4" ht="15.75" customHeight="1" x14ac:dyDescent="0.15">
      <c r="A12" s="5" t="s">
        <v>12</v>
      </c>
      <c r="B12" s="17" t="str">
        <f ca="1">IFERROR(__xludf.DUMMYFUNCTION("""COMPUTED_VALUE"""),"conserved in all but Kovu. most annotated start, called 62.5% when present. ")</f>
        <v xml:space="preserve">conserved in all but Kovu. most annotated start, called 62.5% when present. </v>
      </c>
      <c r="C12" s="17" t="str">
        <f ca="1">IFERROR(__xludf.DUMMYFUNCTION("""COMPUTED_VALUE"""),"Yes, most phages have this called start and it is the most called, other called starts are not in ApoKipo, but the z-score isn't good")</f>
        <v>Yes, most phages have this called start and it is the most called, other called starts are not in ApoKipo, but the z-score isn't good</v>
      </c>
      <c r="D12" s="6"/>
    </row>
    <row r="13" spans="1:4" ht="15.75" customHeight="1" x14ac:dyDescent="0.15">
      <c r="A13" s="5" t="s">
        <v>13</v>
      </c>
      <c r="B13" s="17" t="str">
        <f ca="1">IFERROR(__xludf.DUMMYFUNCTION("""COMPUTED_VALUE"""),"no. evidence is not compelling enough to move. original start has a good z score and good coding potential. At first I wanted to move it to GeneMark's start, but I changed my mind because even though it's not very similar to Kovu, keeping this start keeps"&amp;" the synteny of the gene's environment. ")</f>
        <v xml:space="preserve">no. evidence is not compelling enough to move. original start has a good z score and good coding potential. At first I wanted to move it to GeneMark's start, but I changed my mind because even though it's not very similar to Kovu, keeping this start keeps the synteny of the gene's environment. </v>
      </c>
      <c r="C13" s="17" t="str">
        <f ca="1">IFERROR(__xludf.DUMMYFUNCTION("""COMPUTED_VALUE"""),"Yes, it would close the big gap, the z-score is better, and it would catch ALL the coding potential")</f>
        <v>Yes, it would close the big gap, the z-score is better, and it would catch ALL the coding potential</v>
      </c>
      <c r="D13" s="6"/>
    </row>
    <row r="14" spans="1:4" ht="15.75" customHeight="1" x14ac:dyDescent="0.15">
      <c r="A14" s="5" t="s">
        <v>14</v>
      </c>
      <c r="B14" s="17" t="str">
        <f ca="1">IFERROR(__xludf.DUMMYFUNCTION("""COMPUTED_VALUE"""),"Kovu_78, 7e-26, Shrooms_77, 8e-22")</f>
        <v>Kovu_78, 7e-26, Shrooms_77, 8e-22</v>
      </c>
      <c r="C14" s="17" t="str">
        <f ca="1">IFERROR(__xludf.DUMMYFUNCTION("""COMPUTED_VALUE"""),"Kovu #78 e-val:3.4e-14")</f>
        <v>Kovu #78 e-val:3.4e-14</v>
      </c>
      <c r="D14" s="6"/>
    </row>
    <row r="15" spans="1:4" ht="15.75" customHeight="1" x14ac:dyDescent="0.15">
      <c r="A15" s="5" t="s">
        <v>15</v>
      </c>
      <c r="B15" s="17" t="str">
        <f ca="1">IFERROR(__xludf.DUMMYFUNCTION("""COMPUTED_VALUE"""),"function unknown, both")</f>
        <v>function unknown, both</v>
      </c>
      <c r="C15" s="17" t="str">
        <f ca="1">IFERROR(__xludf.DUMMYFUNCTION("""COMPUTED_VALUE"""),"Kovu #78 hypothetical protein")</f>
        <v>Kovu #78 hypothetical protein</v>
      </c>
      <c r="D15" s="6"/>
    </row>
    <row r="16" spans="1:4" ht="15.75" customHeight="1" x14ac:dyDescent="0.15">
      <c r="A16" s="5" t="s">
        <v>16</v>
      </c>
      <c r="B16" s="17" t="str">
        <f ca="1">IFERROR(__xludf.DUMMYFUNCTION("""COMPUTED_VALUE"""),"good synteny, but it becomes different towards the left of the gene.")</f>
        <v>good synteny, but it becomes different towards the left of the gene.</v>
      </c>
      <c r="C16" s="17" t="str">
        <f ca="1">IFERROR(__xludf.DUMMYFUNCTION("""COMPUTED_VALUE"""),"Yes the gene matches its environment. Adjacent genes are reversed and hypothetical proteins on both sides")</f>
        <v>Yes the gene matches its environment. Adjacent genes are reversed and hypothetical proteins on both sides</v>
      </c>
      <c r="D16" s="6"/>
    </row>
    <row r="17" spans="1:4" ht="15.75" customHeight="1" x14ac:dyDescent="0.15">
      <c r="A17" s="5" t="s">
        <v>17</v>
      </c>
      <c r="B17" s="17" t="str">
        <f ca="1">IFERROR(__xludf.DUMMYFUNCTION("""COMPUTED_VALUE"""),"all bad, nothing good here")</f>
        <v>all bad, nothing good here</v>
      </c>
      <c r="C17" s="17" t="str">
        <f ca="1">IFERROR(__xludf.DUMMYFUNCTION("""COMPUTED_VALUE"""),"DESC: signal transduction histidine kinase; PAS-like domain, homologous to domain in soluble guanylyl cyclase, TRANSFERASE
Prob:59.9 %ALQ:23.2 %ALT:16.5
Technically no, the domain is included, just not all of it but we match to a small portion - needs fur"&amp;"ther research.")</f>
        <v>DESC: signal transduction histidine kinase; PAS-like domain, homologous to domain in soluble guanylyl cyclase, TRANSFERASE
Prob:59.9 %ALQ:23.2 %ALT:16.5
Technically no, the domain is included, just not all of it but we match to a small portion - needs further research.</v>
      </c>
      <c r="D17" s="6"/>
    </row>
    <row r="18" spans="1:4" ht="15.75" customHeight="1" x14ac:dyDescent="0.15">
      <c r="A18" s="5" t="s">
        <v>18</v>
      </c>
      <c r="B18" s="17" t="str">
        <f ca="1">IFERROR(__xludf.DUMMYFUNCTION("""COMPUTED_VALUE"""),"none")</f>
        <v>none</v>
      </c>
      <c r="C18" s="17" t="str">
        <f ca="1">IFERROR(__xludf.DUMMYFUNCTION("""COMPUTED_VALUE"""),"DUF")</f>
        <v>DUF</v>
      </c>
      <c r="D18" s="6"/>
    </row>
    <row r="19" spans="1:4" ht="15.75" customHeight="1" x14ac:dyDescent="0.15">
      <c r="A19" s="5" t="s">
        <v>19</v>
      </c>
      <c r="B19" s="17" t="str">
        <f ca="1">IFERROR(__xludf.DUMMYFUNCTION("""COMPUTED_VALUE"""),"none")</f>
        <v>none</v>
      </c>
      <c r="C19" s="17" t="str">
        <f ca="1">IFERROR(__xludf.DUMMYFUNCTION("""COMPUTED_VALUE"""),"NONE - completely outside the membrane according ")</f>
        <v xml:space="preserve">NONE - completely outside the membrane according </v>
      </c>
      <c r="D19" s="6"/>
    </row>
    <row r="20" spans="1:4" ht="15.75" customHeight="1" x14ac:dyDescent="0.15">
      <c r="A20" s="5" t="s">
        <v>20</v>
      </c>
      <c r="B20" s="17" t="str">
        <f ca="1">IFERROR(__xludf.DUMMYFUNCTION("""COMPUTED_VALUE"""),"unknown function. no one in this pham calls a function and HHpred was not helpful.")</f>
        <v>unknown function. no one in this pham calls a function and HHpred was not helpful.</v>
      </c>
      <c r="C20" s="17" t="str">
        <f ca="1">IFERROR(__xludf.DUMMYFUNCTION("""COMPUTED_VALUE"""),"Hypothetical protein")</f>
        <v>Hypothetical protein</v>
      </c>
      <c r="D20" s="6"/>
    </row>
    <row r="21" spans="1:4" x14ac:dyDescent="0.2">
      <c r="A21" s="7"/>
      <c r="B21" s="19"/>
      <c r="C21" s="19"/>
      <c r="D21" s="8"/>
    </row>
    <row r="22" spans="1:4" ht="15.75" customHeight="1" x14ac:dyDescent="0.15">
      <c r="A22" s="9" t="s">
        <v>21</v>
      </c>
      <c r="B22" s="19"/>
      <c r="C22" s="19"/>
      <c r="D22" s="8"/>
    </row>
    <row r="23" spans="1:4" ht="15.75" customHeight="1" x14ac:dyDescent="0.15">
      <c r="A23" s="10"/>
      <c r="B23" s="13"/>
      <c r="C23" s="13"/>
    </row>
    <row r="24" spans="1:4" ht="15.75" customHeight="1" x14ac:dyDescent="0.15">
      <c r="A24" s="10"/>
      <c r="B24" s="13"/>
      <c r="C24" s="13"/>
    </row>
    <row r="25" spans="1:4" ht="15.75" customHeight="1" x14ac:dyDescent="0.15">
      <c r="A25" s="10"/>
      <c r="B25" s="13"/>
      <c r="C25" s="13"/>
    </row>
    <row r="26" spans="1:4" ht="15.75" customHeight="1" x14ac:dyDescent="0.15">
      <c r="A26" s="10"/>
      <c r="B26" s="13"/>
      <c r="C26" s="13"/>
    </row>
    <row r="27" spans="1:4" ht="15.75" customHeight="1" x14ac:dyDescent="0.15">
      <c r="A27" s="10"/>
      <c r="B27" s="13"/>
      <c r="C27" s="13"/>
    </row>
    <row r="28" spans="1:4" ht="15.75" customHeight="1" x14ac:dyDescent="0.15">
      <c r="A28" s="10"/>
      <c r="B28" s="13"/>
      <c r="C28" s="13"/>
    </row>
    <row r="29" spans="1:4" ht="15.75" customHeight="1" x14ac:dyDescent="0.15">
      <c r="A29" s="10"/>
      <c r="B29" s="13"/>
      <c r="C29" s="13"/>
    </row>
    <row r="30" spans="1:4" ht="15.75" customHeight="1" x14ac:dyDescent="0.15">
      <c r="A30" s="10"/>
      <c r="B30" s="13"/>
      <c r="C30" s="13"/>
    </row>
    <row r="31" spans="1:4" ht="15.75" customHeight="1" x14ac:dyDescent="0.15">
      <c r="A31" s="10"/>
      <c r="B31" s="13"/>
      <c r="C31" s="13"/>
    </row>
    <row r="32" spans="1:4" ht="15.75" customHeight="1" x14ac:dyDescent="0.15">
      <c r="A32" s="10"/>
      <c r="B32" s="13"/>
      <c r="C32" s="13"/>
    </row>
    <row r="33" spans="1:3" ht="15.75" customHeight="1" x14ac:dyDescent="0.15">
      <c r="A33" s="10"/>
      <c r="B33" s="13"/>
      <c r="C33" s="13"/>
    </row>
    <row r="34" spans="1:3" ht="15.75" customHeight="1" x14ac:dyDescent="0.15">
      <c r="A34" s="10"/>
      <c r="B34" s="13"/>
      <c r="C34" s="13"/>
    </row>
    <row r="35" spans="1:3" ht="15.75" customHeight="1" x14ac:dyDescent="0.15">
      <c r="A35" s="10"/>
      <c r="B35" s="13"/>
      <c r="C35" s="13"/>
    </row>
    <row r="36" spans="1:3" ht="15.75" customHeight="1" x14ac:dyDescent="0.15">
      <c r="A36" s="10"/>
      <c r="B36" s="13"/>
      <c r="C36" s="13"/>
    </row>
    <row r="37" spans="1:3" ht="15.75" customHeight="1" x14ac:dyDescent="0.15">
      <c r="A37" s="10"/>
      <c r="B37" s="13"/>
      <c r="C37" s="13"/>
    </row>
    <row r="38" spans="1:3" ht="15.75" customHeight="1" x14ac:dyDescent="0.15">
      <c r="A38" s="10"/>
      <c r="B38" s="13"/>
      <c r="C38" s="13"/>
    </row>
    <row r="39" spans="1:3" ht="13" x14ac:dyDescent="0.15">
      <c r="A39" s="10"/>
      <c r="B39" s="13"/>
      <c r="C39" s="13"/>
    </row>
    <row r="40" spans="1:3" ht="13" x14ac:dyDescent="0.15">
      <c r="A40" s="10"/>
      <c r="B40" s="13"/>
      <c r="C40" s="13"/>
    </row>
    <row r="41" spans="1:3" ht="13" x14ac:dyDescent="0.15">
      <c r="A41" s="10"/>
      <c r="B41" s="13"/>
      <c r="C41" s="13"/>
    </row>
    <row r="42" spans="1:3" ht="13" x14ac:dyDescent="0.15">
      <c r="A42" s="10"/>
      <c r="B42" s="13"/>
      <c r="C42" s="13"/>
    </row>
    <row r="43" spans="1:3" ht="13" x14ac:dyDescent="0.15">
      <c r="A43" s="10"/>
      <c r="B43" s="13"/>
      <c r="C43" s="13"/>
    </row>
    <row r="44" spans="1:3" ht="13" x14ac:dyDescent="0.15">
      <c r="A44" s="10"/>
      <c r="B44" s="13"/>
      <c r="C44" s="13"/>
    </row>
    <row r="45" spans="1:3" ht="13" x14ac:dyDescent="0.15">
      <c r="A45" s="10"/>
      <c r="B45" s="13"/>
      <c r="C45" s="13"/>
    </row>
    <row r="46" spans="1:3" ht="13" x14ac:dyDescent="0.15">
      <c r="A46" s="10"/>
      <c r="B46" s="13"/>
      <c r="C46" s="13"/>
    </row>
    <row r="47" spans="1:3" ht="13" x14ac:dyDescent="0.15">
      <c r="A47" s="10"/>
      <c r="B47" s="13"/>
      <c r="C47" s="13"/>
    </row>
    <row r="48" spans="1:3" ht="13" x14ac:dyDescent="0.15">
      <c r="A48" s="10"/>
      <c r="B48" s="13"/>
      <c r="C48" s="13"/>
    </row>
    <row r="49" spans="1:3" ht="13" x14ac:dyDescent="0.15">
      <c r="A49" s="10"/>
      <c r="B49" s="13"/>
      <c r="C49" s="13"/>
    </row>
    <row r="50" spans="1:3" ht="13" x14ac:dyDescent="0.15">
      <c r="A50" s="10"/>
      <c r="B50" s="13"/>
      <c r="C50" s="13"/>
    </row>
    <row r="51" spans="1:3" ht="13" x14ac:dyDescent="0.15">
      <c r="A51" s="10"/>
      <c r="B51" s="13"/>
      <c r="C51" s="13"/>
    </row>
    <row r="52" spans="1:3" ht="13" x14ac:dyDescent="0.15">
      <c r="A52" s="10"/>
      <c r="B52" s="13"/>
      <c r="C52" s="13"/>
    </row>
    <row r="53" spans="1:3" ht="13" x14ac:dyDescent="0.15">
      <c r="A53" s="10"/>
      <c r="B53" s="13"/>
      <c r="C53" s="13"/>
    </row>
    <row r="54" spans="1:3" ht="13" x14ac:dyDescent="0.15">
      <c r="A54" s="10"/>
      <c r="B54" s="13"/>
      <c r="C54" s="13"/>
    </row>
    <row r="55" spans="1:3" ht="13" x14ac:dyDescent="0.15">
      <c r="A55" s="10"/>
      <c r="B55" s="13"/>
      <c r="C55" s="13"/>
    </row>
    <row r="56" spans="1:3" ht="13" x14ac:dyDescent="0.15">
      <c r="A56" s="10"/>
      <c r="B56" s="13"/>
      <c r="C56" s="13"/>
    </row>
    <row r="57" spans="1:3" ht="13" x14ac:dyDescent="0.15">
      <c r="A57" s="10"/>
      <c r="B57" s="13"/>
      <c r="C57" s="13"/>
    </row>
    <row r="58" spans="1:3" ht="13" x14ac:dyDescent="0.15">
      <c r="A58" s="10"/>
      <c r="B58" s="13"/>
      <c r="C58" s="13"/>
    </row>
    <row r="59" spans="1:3" ht="13" x14ac:dyDescent="0.15">
      <c r="A59" s="10"/>
      <c r="B59" s="13"/>
      <c r="C59" s="13"/>
    </row>
    <row r="60" spans="1:3" ht="13" x14ac:dyDescent="0.15">
      <c r="A60" s="10"/>
      <c r="B60" s="13"/>
      <c r="C60" s="13"/>
    </row>
    <row r="61" spans="1:3" ht="13" x14ac:dyDescent="0.15">
      <c r="A61" s="10"/>
      <c r="B61" s="13"/>
      <c r="C61" s="13"/>
    </row>
    <row r="62" spans="1:3" ht="13" x14ac:dyDescent="0.15">
      <c r="A62" s="10"/>
      <c r="B62" s="13"/>
      <c r="C62" s="13"/>
    </row>
    <row r="63" spans="1:3" ht="13" x14ac:dyDescent="0.15">
      <c r="A63" s="10"/>
      <c r="B63" s="13"/>
      <c r="C63" s="13"/>
    </row>
    <row r="64" spans="1:3" ht="13" x14ac:dyDescent="0.15">
      <c r="A64" s="10"/>
      <c r="B64" s="13"/>
      <c r="C64" s="13"/>
    </row>
    <row r="65" spans="1:3" ht="13" x14ac:dyDescent="0.15">
      <c r="A65" s="10"/>
      <c r="B65" s="13"/>
      <c r="C65" s="13"/>
    </row>
    <row r="66" spans="1:3" ht="13" x14ac:dyDescent="0.15">
      <c r="A66" s="10"/>
      <c r="B66" s="13"/>
      <c r="C66" s="13"/>
    </row>
    <row r="67" spans="1:3" ht="13" x14ac:dyDescent="0.15">
      <c r="A67" s="10"/>
      <c r="B67" s="13"/>
      <c r="C67" s="13"/>
    </row>
    <row r="68" spans="1:3" ht="13" x14ac:dyDescent="0.15">
      <c r="A68" s="10"/>
      <c r="B68" s="13"/>
      <c r="C68" s="13"/>
    </row>
    <row r="69" spans="1:3" ht="13" x14ac:dyDescent="0.15">
      <c r="A69" s="10"/>
      <c r="B69" s="13"/>
      <c r="C69" s="13"/>
    </row>
    <row r="70" spans="1:3" ht="13" x14ac:dyDescent="0.15">
      <c r="A70" s="10"/>
      <c r="B70" s="13"/>
      <c r="C70" s="13"/>
    </row>
    <row r="71" spans="1:3" ht="13" x14ac:dyDescent="0.15">
      <c r="A71" s="10"/>
      <c r="B71" s="13"/>
      <c r="C71" s="13"/>
    </row>
    <row r="72" spans="1:3" ht="13" x14ac:dyDescent="0.15">
      <c r="A72" s="10"/>
      <c r="B72" s="13"/>
      <c r="C72" s="13"/>
    </row>
    <row r="73" spans="1:3" ht="13" x14ac:dyDescent="0.15">
      <c r="A73" s="10"/>
      <c r="B73" s="13"/>
      <c r="C73" s="13"/>
    </row>
    <row r="74" spans="1:3" ht="13" x14ac:dyDescent="0.15">
      <c r="A74" s="10"/>
      <c r="B74" s="13"/>
      <c r="C74" s="13"/>
    </row>
    <row r="75" spans="1:3" ht="13" x14ac:dyDescent="0.15">
      <c r="A75" s="10"/>
      <c r="B75" s="13"/>
      <c r="C75" s="13"/>
    </row>
    <row r="76" spans="1:3" ht="13" x14ac:dyDescent="0.15">
      <c r="A76" s="10"/>
      <c r="B76" s="13"/>
      <c r="C76" s="13"/>
    </row>
    <row r="77" spans="1:3" ht="13" x14ac:dyDescent="0.15">
      <c r="A77" s="10"/>
      <c r="B77" s="13"/>
      <c r="C77" s="13"/>
    </row>
    <row r="78" spans="1:3" ht="13" x14ac:dyDescent="0.15">
      <c r="A78" s="10"/>
      <c r="B78" s="13"/>
      <c r="C78" s="13"/>
    </row>
    <row r="79" spans="1:3" ht="13" x14ac:dyDescent="0.15">
      <c r="A79" s="10"/>
      <c r="B79" s="13"/>
      <c r="C79" s="13"/>
    </row>
    <row r="80" spans="1:3" ht="13" x14ac:dyDescent="0.15">
      <c r="A80" s="10"/>
      <c r="B80" s="13"/>
      <c r="C80" s="13"/>
    </row>
    <row r="81" spans="1:3" ht="13" x14ac:dyDescent="0.15">
      <c r="A81" s="10"/>
      <c r="B81" s="13"/>
      <c r="C81" s="13"/>
    </row>
    <row r="82" spans="1:3" ht="13" x14ac:dyDescent="0.15">
      <c r="A82" s="10"/>
      <c r="B82" s="13"/>
      <c r="C82" s="13"/>
    </row>
    <row r="83" spans="1:3" ht="13" x14ac:dyDescent="0.15">
      <c r="A83" s="10"/>
      <c r="B83" s="13"/>
      <c r="C83" s="13"/>
    </row>
    <row r="84" spans="1:3" ht="13" x14ac:dyDescent="0.15">
      <c r="A84" s="10"/>
      <c r="B84" s="13"/>
      <c r="C84" s="13"/>
    </row>
    <row r="85" spans="1:3" ht="13" x14ac:dyDescent="0.15">
      <c r="A85" s="10"/>
      <c r="B85" s="13"/>
      <c r="C85" s="13"/>
    </row>
    <row r="86" spans="1:3" ht="13" x14ac:dyDescent="0.15">
      <c r="A86" s="10"/>
      <c r="B86" s="13"/>
      <c r="C86" s="13"/>
    </row>
    <row r="87" spans="1:3" ht="13" x14ac:dyDescent="0.15">
      <c r="A87" s="10"/>
      <c r="B87" s="13"/>
      <c r="C87" s="13"/>
    </row>
    <row r="88" spans="1:3" ht="13" x14ac:dyDescent="0.15">
      <c r="A88" s="10"/>
      <c r="B88" s="13"/>
      <c r="C88" s="13"/>
    </row>
    <row r="89" spans="1:3" ht="13" x14ac:dyDescent="0.15">
      <c r="A89" s="10"/>
      <c r="B89" s="13"/>
      <c r="C89" s="13"/>
    </row>
    <row r="90" spans="1:3" ht="13" x14ac:dyDescent="0.15">
      <c r="A90" s="10"/>
      <c r="B90" s="13"/>
      <c r="C90" s="13"/>
    </row>
    <row r="91" spans="1:3" ht="13" x14ac:dyDescent="0.15">
      <c r="A91" s="10"/>
      <c r="B91" s="13"/>
      <c r="C91" s="13"/>
    </row>
    <row r="92" spans="1:3" ht="13" x14ac:dyDescent="0.15">
      <c r="A92" s="10"/>
      <c r="B92" s="13"/>
      <c r="C92" s="13"/>
    </row>
    <row r="93" spans="1:3" ht="13" x14ac:dyDescent="0.15">
      <c r="A93" s="10"/>
      <c r="B93" s="13"/>
      <c r="C93" s="13"/>
    </row>
    <row r="94" spans="1:3" ht="13" x14ac:dyDescent="0.15">
      <c r="A94" s="10"/>
      <c r="B94" s="13"/>
      <c r="C94" s="13"/>
    </row>
    <row r="95" spans="1:3" ht="13" x14ac:dyDescent="0.15">
      <c r="A95" s="10"/>
      <c r="B95" s="13"/>
      <c r="C95" s="13"/>
    </row>
    <row r="96" spans="1:3" ht="13" x14ac:dyDescent="0.15">
      <c r="A96" s="10"/>
      <c r="B96" s="13"/>
      <c r="C96" s="13"/>
    </row>
    <row r="97" spans="1:3" ht="13" x14ac:dyDescent="0.15">
      <c r="A97" s="10"/>
      <c r="B97" s="13"/>
      <c r="C97" s="13"/>
    </row>
    <row r="98" spans="1:3" ht="13" x14ac:dyDescent="0.15">
      <c r="A98" s="10"/>
      <c r="B98" s="13"/>
      <c r="C98" s="13"/>
    </row>
    <row r="99" spans="1:3" ht="13" x14ac:dyDescent="0.15">
      <c r="A99" s="10"/>
      <c r="B99" s="13"/>
      <c r="C99" s="13"/>
    </row>
    <row r="100" spans="1:3" ht="13" x14ac:dyDescent="0.15">
      <c r="A100" s="10"/>
      <c r="B100" s="13"/>
      <c r="C100" s="13"/>
    </row>
    <row r="101" spans="1:3" ht="13" x14ac:dyDescent="0.15">
      <c r="A101" s="10"/>
      <c r="B101" s="13"/>
      <c r="C101" s="13"/>
    </row>
    <row r="102" spans="1:3" ht="13" x14ac:dyDescent="0.15">
      <c r="A102" s="10"/>
      <c r="B102" s="13"/>
      <c r="C102" s="13"/>
    </row>
    <row r="103" spans="1:3" ht="13" x14ac:dyDescent="0.15">
      <c r="A103" s="10"/>
      <c r="B103" s="13"/>
      <c r="C103" s="13"/>
    </row>
    <row r="104" spans="1:3" ht="13" x14ac:dyDescent="0.15">
      <c r="A104" s="10"/>
      <c r="B104" s="13"/>
      <c r="C104" s="13"/>
    </row>
    <row r="105" spans="1:3" ht="13" x14ac:dyDescent="0.15">
      <c r="A105" s="10"/>
      <c r="B105" s="13"/>
      <c r="C105" s="13"/>
    </row>
    <row r="106" spans="1:3" ht="13" x14ac:dyDescent="0.15">
      <c r="A106" s="10"/>
      <c r="B106" s="13"/>
      <c r="C106" s="13"/>
    </row>
    <row r="107" spans="1:3" ht="13" x14ac:dyDescent="0.15">
      <c r="A107" s="10"/>
      <c r="B107" s="13"/>
      <c r="C107" s="13"/>
    </row>
    <row r="108" spans="1:3" ht="13" x14ac:dyDescent="0.15">
      <c r="A108" s="10"/>
      <c r="B108" s="13"/>
      <c r="C108" s="13"/>
    </row>
    <row r="109" spans="1:3" ht="13" x14ac:dyDescent="0.15">
      <c r="A109" s="10"/>
      <c r="B109" s="13"/>
      <c r="C109" s="13"/>
    </row>
    <row r="110" spans="1:3" ht="13" x14ac:dyDescent="0.15">
      <c r="A110" s="10"/>
      <c r="B110" s="13"/>
      <c r="C110" s="13"/>
    </row>
    <row r="111" spans="1:3" ht="13" x14ac:dyDescent="0.15">
      <c r="A111" s="10"/>
      <c r="B111" s="13"/>
      <c r="C111" s="13"/>
    </row>
    <row r="112" spans="1:3" ht="13" x14ac:dyDescent="0.15">
      <c r="A112" s="10"/>
      <c r="B112" s="13"/>
      <c r="C112" s="13"/>
    </row>
    <row r="113" spans="1:3" ht="13" x14ac:dyDescent="0.15">
      <c r="A113" s="10"/>
      <c r="B113" s="13"/>
      <c r="C113" s="13"/>
    </row>
    <row r="114" spans="1:3" ht="13" x14ac:dyDescent="0.15">
      <c r="A114" s="10"/>
      <c r="B114" s="13"/>
      <c r="C114" s="13"/>
    </row>
    <row r="115" spans="1:3" ht="13" x14ac:dyDescent="0.15">
      <c r="A115" s="10"/>
      <c r="B115" s="13"/>
      <c r="C115" s="13"/>
    </row>
    <row r="116" spans="1:3" ht="13" x14ac:dyDescent="0.15">
      <c r="A116" s="10"/>
      <c r="B116" s="13"/>
      <c r="C116" s="13"/>
    </row>
    <row r="117" spans="1:3" ht="13" x14ac:dyDescent="0.15">
      <c r="A117" s="10"/>
      <c r="B117" s="13"/>
      <c r="C117" s="13"/>
    </row>
    <row r="118" spans="1:3" ht="13" x14ac:dyDescent="0.15">
      <c r="A118" s="10"/>
      <c r="B118" s="13"/>
      <c r="C118" s="13"/>
    </row>
    <row r="119" spans="1:3" ht="13" x14ac:dyDescent="0.15">
      <c r="A119" s="10"/>
      <c r="B119" s="13"/>
      <c r="C119" s="13"/>
    </row>
    <row r="120" spans="1:3" ht="13" x14ac:dyDescent="0.15">
      <c r="A120" s="10"/>
      <c r="B120" s="13"/>
      <c r="C120" s="13"/>
    </row>
    <row r="121" spans="1:3" ht="13" x14ac:dyDescent="0.15">
      <c r="A121" s="10"/>
      <c r="B121" s="13"/>
      <c r="C121" s="13"/>
    </row>
    <row r="122" spans="1:3" ht="13" x14ac:dyDescent="0.15">
      <c r="A122" s="10"/>
      <c r="B122" s="13"/>
      <c r="C122" s="13"/>
    </row>
    <row r="123" spans="1:3" ht="13" x14ac:dyDescent="0.15">
      <c r="A123" s="10"/>
      <c r="B123" s="13"/>
      <c r="C123" s="13"/>
    </row>
    <row r="124" spans="1:3" ht="13" x14ac:dyDescent="0.15">
      <c r="A124" s="10"/>
      <c r="B124" s="13"/>
      <c r="C124" s="13"/>
    </row>
    <row r="125" spans="1:3" ht="13" x14ac:dyDescent="0.15">
      <c r="A125" s="10"/>
      <c r="B125" s="13"/>
      <c r="C125" s="13"/>
    </row>
    <row r="126" spans="1:3" ht="13" x14ac:dyDescent="0.15">
      <c r="A126" s="10"/>
      <c r="B126" s="13"/>
      <c r="C126" s="13"/>
    </row>
    <row r="127" spans="1:3" ht="13" x14ac:dyDescent="0.15">
      <c r="A127" s="10"/>
      <c r="B127" s="13"/>
      <c r="C127" s="13"/>
    </row>
    <row r="128" spans="1:3" ht="13" x14ac:dyDescent="0.15">
      <c r="A128" s="10"/>
      <c r="B128" s="13"/>
      <c r="C128" s="13"/>
    </row>
    <row r="129" spans="1:3" ht="13" x14ac:dyDescent="0.15">
      <c r="A129" s="10"/>
      <c r="B129" s="13"/>
      <c r="C129" s="13"/>
    </row>
    <row r="130" spans="1:3" ht="13" x14ac:dyDescent="0.15">
      <c r="A130" s="10"/>
      <c r="B130" s="13"/>
      <c r="C130" s="13"/>
    </row>
    <row r="131" spans="1:3" ht="13" x14ac:dyDescent="0.15">
      <c r="A131" s="10"/>
      <c r="B131" s="13"/>
      <c r="C131" s="13"/>
    </row>
    <row r="132" spans="1:3" ht="13" x14ac:dyDescent="0.15">
      <c r="A132" s="10"/>
      <c r="B132" s="13"/>
      <c r="C132" s="13"/>
    </row>
    <row r="133" spans="1:3" ht="13" x14ac:dyDescent="0.15">
      <c r="A133" s="10"/>
      <c r="B133" s="13"/>
      <c r="C133" s="13"/>
    </row>
    <row r="134" spans="1:3" ht="13" x14ac:dyDescent="0.15">
      <c r="A134" s="10"/>
      <c r="B134" s="13"/>
      <c r="C134" s="13"/>
    </row>
    <row r="135" spans="1:3" ht="13" x14ac:dyDescent="0.15">
      <c r="A135" s="10"/>
      <c r="B135" s="13"/>
      <c r="C135" s="13"/>
    </row>
    <row r="136" spans="1:3" ht="13" x14ac:dyDescent="0.15">
      <c r="A136" s="10"/>
      <c r="B136" s="13"/>
      <c r="C136" s="13"/>
    </row>
    <row r="137" spans="1:3" ht="13" x14ac:dyDescent="0.15">
      <c r="A137" s="10"/>
      <c r="B137" s="13"/>
      <c r="C137" s="13"/>
    </row>
    <row r="138" spans="1:3" ht="13" x14ac:dyDescent="0.15">
      <c r="A138" s="10"/>
      <c r="B138" s="13"/>
      <c r="C138" s="13"/>
    </row>
    <row r="139" spans="1:3" ht="13" x14ac:dyDescent="0.15">
      <c r="A139" s="10"/>
      <c r="B139" s="13"/>
      <c r="C139" s="13"/>
    </row>
    <row r="140" spans="1:3" ht="13" x14ac:dyDescent="0.15">
      <c r="A140" s="10"/>
      <c r="B140" s="13"/>
      <c r="C140" s="13"/>
    </row>
    <row r="141" spans="1:3" ht="13" x14ac:dyDescent="0.15">
      <c r="A141" s="10"/>
      <c r="B141" s="13"/>
      <c r="C141" s="13"/>
    </row>
    <row r="142" spans="1:3" ht="13" x14ac:dyDescent="0.15">
      <c r="A142" s="10"/>
      <c r="B142" s="13"/>
      <c r="C142" s="13"/>
    </row>
    <row r="143" spans="1:3" ht="13" x14ac:dyDescent="0.15">
      <c r="A143" s="10"/>
      <c r="B143" s="13"/>
      <c r="C143" s="13"/>
    </row>
    <row r="144" spans="1:3" ht="13" x14ac:dyDescent="0.15">
      <c r="A144" s="10"/>
      <c r="B144" s="13"/>
      <c r="C144" s="13"/>
    </row>
    <row r="145" spans="1:3" ht="13" x14ac:dyDescent="0.15">
      <c r="A145" s="10"/>
      <c r="B145" s="13"/>
      <c r="C145" s="13"/>
    </row>
    <row r="146" spans="1:3" ht="13" x14ac:dyDescent="0.15">
      <c r="A146" s="10"/>
      <c r="B146" s="13"/>
      <c r="C146" s="13"/>
    </row>
    <row r="147" spans="1:3" ht="13" x14ac:dyDescent="0.15">
      <c r="A147" s="10"/>
      <c r="B147" s="13"/>
      <c r="C147" s="13"/>
    </row>
    <row r="148" spans="1:3" ht="13" x14ac:dyDescent="0.15">
      <c r="A148" s="10"/>
      <c r="B148" s="13"/>
      <c r="C148" s="13"/>
    </row>
    <row r="149" spans="1:3" ht="13" x14ac:dyDescent="0.15">
      <c r="A149" s="10"/>
      <c r="B149" s="13"/>
      <c r="C149" s="13"/>
    </row>
    <row r="150" spans="1:3" ht="13" x14ac:dyDescent="0.15">
      <c r="A150" s="10"/>
      <c r="B150" s="13"/>
      <c r="C150" s="13"/>
    </row>
    <row r="151" spans="1:3" ht="13" x14ac:dyDescent="0.15">
      <c r="A151" s="10"/>
      <c r="B151" s="13"/>
      <c r="C151" s="13"/>
    </row>
    <row r="152" spans="1:3" ht="13" x14ac:dyDescent="0.15">
      <c r="A152" s="10"/>
      <c r="B152" s="13"/>
      <c r="C152" s="13"/>
    </row>
    <row r="153" spans="1:3" ht="13" x14ac:dyDescent="0.15">
      <c r="A153" s="10"/>
      <c r="B153" s="13"/>
      <c r="C153" s="13"/>
    </row>
    <row r="154" spans="1:3" ht="13" x14ac:dyDescent="0.15">
      <c r="A154" s="10"/>
      <c r="B154" s="13"/>
      <c r="C154" s="13"/>
    </row>
    <row r="155" spans="1:3" ht="13" x14ac:dyDescent="0.15">
      <c r="A155" s="10"/>
      <c r="B155" s="13"/>
      <c r="C155" s="13"/>
    </row>
    <row r="156" spans="1:3" ht="13" x14ac:dyDescent="0.15">
      <c r="A156" s="10"/>
      <c r="B156" s="13"/>
      <c r="C156" s="13"/>
    </row>
    <row r="157" spans="1:3" ht="13" x14ac:dyDescent="0.15">
      <c r="A157" s="10"/>
      <c r="B157" s="13"/>
      <c r="C157" s="13"/>
    </row>
    <row r="158" spans="1:3" ht="13" x14ac:dyDescent="0.15">
      <c r="A158" s="10"/>
      <c r="B158" s="13"/>
      <c r="C158" s="13"/>
    </row>
    <row r="159" spans="1:3" ht="13" x14ac:dyDescent="0.15">
      <c r="A159" s="10"/>
      <c r="B159" s="13"/>
      <c r="C159" s="13"/>
    </row>
    <row r="160" spans="1:3" ht="13" x14ac:dyDescent="0.15">
      <c r="A160" s="10"/>
      <c r="B160" s="13"/>
      <c r="C160" s="13"/>
    </row>
    <row r="161" spans="1:3" ht="13" x14ac:dyDescent="0.15">
      <c r="A161" s="10"/>
      <c r="B161" s="13"/>
      <c r="C161" s="13"/>
    </row>
    <row r="162" spans="1:3" ht="13" x14ac:dyDescent="0.15">
      <c r="A162" s="10"/>
      <c r="B162" s="13"/>
      <c r="C162" s="13"/>
    </row>
    <row r="163" spans="1:3" ht="13" x14ac:dyDescent="0.15">
      <c r="A163" s="10"/>
      <c r="B163" s="13"/>
      <c r="C163" s="13"/>
    </row>
    <row r="164" spans="1:3" ht="13" x14ac:dyDescent="0.15">
      <c r="A164" s="10"/>
      <c r="B164" s="13"/>
      <c r="C164" s="13"/>
    </row>
    <row r="165" spans="1:3" ht="13" x14ac:dyDescent="0.15">
      <c r="A165" s="10"/>
      <c r="B165" s="13"/>
      <c r="C165" s="13"/>
    </row>
    <row r="166" spans="1:3" ht="13" x14ac:dyDescent="0.15">
      <c r="A166" s="10"/>
      <c r="B166" s="13"/>
      <c r="C166" s="13"/>
    </row>
    <row r="167" spans="1:3" ht="13" x14ac:dyDescent="0.15">
      <c r="A167" s="10"/>
      <c r="B167" s="13"/>
      <c r="C167" s="13"/>
    </row>
    <row r="168" spans="1:3" ht="13" x14ac:dyDescent="0.15">
      <c r="A168" s="10"/>
      <c r="B168" s="13"/>
      <c r="C168" s="13"/>
    </row>
    <row r="169" spans="1:3" ht="13" x14ac:dyDescent="0.15">
      <c r="A169" s="10"/>
      <c r="B169" s="13"/>
      <c r="C169" s="13"/>
    </row>
    <row r="170" spans="1:3" ht="13" x14ac:dyDescent="0.15">
      <c r="A170" s="10"/>
      <c r="B170" s="13"/>
      <c r="C170" s="13"/>
    </row>
    <row r="171" spans="1:3" ht="13" x14ac:dyDescent="0.15">
      <c r="A171" s="10"/>
      <c r="B171" s="13"/>
      <c r="C171" s="13"/>
    </row>
    <row r="172" spans="1:3" ht="13" x14ac:dyDescent="0.15">
      <c r="A172" s="10"/>
      <c r="B172" s="13"/>
      <c r="C172" s="13"/>
    </row>
    <row r="173" spans="1:3" ht="13" x14ac:dyDescent="0.15">
      <c r="A173" s="10"/>
      <c r="B173" s="13"/>
      <c r="C173" s="13"/>
    </row>
    <row r="174" spans="1:3" ht="13" x14ac:dyDescent="0.15">
      <c r="A174" s="10"/>
      <c r="B174" s="13"/>
      <c r="C174" s="13"/>
    </row>
    <row r="175" spans="1:3" ht="13" x14ac:dyDescent="0.15">
      <c r="A175" s="10"/>
      <c r="B175" s="13"/>
      <c r="C175" s="13"/>
    </row>
    <row r="176" spans="1:3" ht="13" x14ac:dyDescent="0.15">
      <c r="A176" s="10"/>
      <c r="B176" s="13"/>
      <c r="C176" s="13"/>
    </row>
    <row r="177" spans="1:3" ht="13" x14ac:dyDescent="0.15">
      <c r="A177" s="10"/>
      <c r="B177" s="13"/>
      <c r="C177" s="13"/>
    </row>
    <row r="178" spans="1:3" ht="13" x14ac:dyDescent="0.15">
      <c r="A178" s="10"/>
      <c r="B178" s="13"/>
      <c r="C178" s="13"/>
    </row>
    <row r="179" spans="1:3" ht="13" x14ac:dyDescent="0.15">
      <c r="A179" s="10"/>
      <c r="B179" s="13"/>
      <c r="C179" s="13"/>
    </row>
    <row r="180" spans="1:3" ht="13" x14ac:dyDescent="0.15">
      <c r="A180" s="10"/>
      <c r="B180" s="13"/>
      <c r="C180" s="13"/>
    </row>
    <row r="181" spans="1:3" ht="13" x14ac:dyDescent="0.15">
      <c r="A181" s="10"/>
      <c r="B181" s="13"/>
      <c r="C181" s="13"/>
    </row>
    <row r="182" spans="1:3" ht="13" x14ac:dyDescent="0.15">
      <c r="A182" s="10"/>
      <c r="B182" s="13"/>
      <c r="C182" s="13"/>
    </row>
    <row r="183" spans="1:3" ht="13" x14ac:dyDescent="0.15">
      <c r="A183" s="10"/>
      <c r="B183" s="13"/>
      <c r="C183" s="13"/>
    </row>
    <row r="184" spans="1:3" ht="13" x14ac:dyDescent="0.15">
      <c r="A184" s="10"/>
      <c r="B184" s="13"/>
      <c r="C184" s="13"/>
    </row>
    <row r="185" spans="1:3" ht="13" x14ac:dyDescent="0.15">
      <c r="A185" s="10"/>
      <c r="B185" s="13"/>
      <c r="C185" s="13"/>
    </row>
    <row r="186" spans="1:3" ht="13" x14ac:dyDescent="0.15">
      <c r="A186" s="10"/>
      <c r="B186" s="13"/>
      <c r="C186" s="13"/>
    </row>
    <row r="187" spans="1:3" ht="13" x14ac:dyDescent="0.15">
      <c r="A187" s="10"/>
      <c r="B187" s="13"/>
      <c r="C187" s="13"/>
    </row>
    <row r="188" spans="1:3" ht="13" x14ac:dyDescent="0.15">
      <c r="A188" s="10"/>
      <c r="B188" s="13"/>
      <c r="C188" s="13"/>
    </row>
    <row r="189" spans="1:3" ht="13" x14ac:dyDescent="0.15">
      <c r="A189" s="10"/>
      <c r="B189" s="13"/>
      <c r="C189" s="13"/>
    </row>
    <row r="190" spans="1:3" ht="13" x14ac:dyDescent="0.15">
      <c r="A190" s="10"/>
      <c r="B190" s="13"/>
      <c r="C190" s="13"/>
    </row>
    <row r="191" spans="1:3" ht="13" x14ac:dyDescent="0.15">
      <c r="A191" s="10"/>
      <c r="B191" s="13"/>
      <c r="C191" s="13"/>
    </row>
    <row r="192" spans="1:3" ht="13" x14ac:dyDescent="0.15">
      <c r="A192" s="10"/>
      <c r="B192" s="13"/>
      <c r="C192" s="13"/>
    </row>
    <row r="193" spans="1:3" ht="13" x14ac:dyDescent="0.15">
      <c r="A193" s="10"/>
      <c r="B193" s="13"/>
      <c r="C193" s="13"/>
    </row>
    <row r="194" spans="1:3" ht="13" x14ac:dyDescent="0.15">
      <c r="A194" s="10"/>
      <c r="B194" s="13"/>
      <c r="C194" s="13"/>
    </row>
    <row r="195" spans="1:3" ht="13" x14ac:dyDescent="0.15">
      <c r="A195" s="10"/>
      <c r="B195" s="13"/>
      <c r="C195" s="13"/>
    </row>
    <row r="196" spans="1:3" ht="13" x14ac:dyDescent="0.15">
      <c r="A196" s="10"/>
      <c r="B196" s="13"/>
      <c r="C196" s="13"/>
    </row>
    <row r="197" spans="1:3" ht="13" x14ac:dyDescent="0.15">
      <c r="A197" s="10"/>
      <c r="B197" s="13"/>
      <c r="C197" s="13"/>
    </row>
    <row r="198" spans="1:3" ht="13" x14ac:dyDescent="0.15">
      <c r="A198" s="10"/>
      <c r="B198" s="13"/>
      <c r="C198" s="13"/>
    </row>
    <row r="199" spans="1:3" ht="13" x14ac:dyDescent="0.15">
      <c r="A199" s="10"/>
      <c r="B199" s="13"/>
      <c r="C199" s="13"/>
    </row>
    <row r="200" spans="1:3" ht="13" x14ac:dyDescent="0.15">
      <c r="A200" s="10"/>
      <c r="B200" s="13"/>
      <c r="C200" s="13"/>
    </row>
    <row r="201" spans="1:3" ht="13" x14ac:dyDescent="0.15">
      <c r="A201" s="10"/>
      <c r="B201" s="13"/>
      <c r="C201" s="13"/>
    </row>
    <row r="202" spans="1:3" ht="13" x14ac:dyDescent="0.15">
      <c r="A202" s="10"/>
      <c r="B202" s="13"/>
      <c r="C202" s="13"/>
    </row>
    <row r="203" spans="1:3" ht="13" x14ac:dyDescent="0.15">
      <c r="A203" s="10"/>
      <c r="B203" s="13"/>
      <c r="C203" s="13"/>
    </row>
    <row r="204" spans="1:3" ht="13" x14ac:dyDescent="0.15">
      <c r="A204" s="10"/>
      <c r="B204" s="13"/>
      <c r="C204" s="13"/>
    </row>
    <row r="205" spans="1:3" ht="13" x14ac:dyDescent="0.15">
      <c r="A205" s="10"/>
      <c r="B205" s="13"/>
      <c r="C205" s="13"/>
    </row>
    <row r="206" spans="1:3" ht="13" x14ac:dyDescent="0.15">
      <c r="A206" s="10"/>
      <c r="B206" s="13"/>
      <c r="C206" s="13"/>
    </row>
    <row r="207" spans="1:3" ht="13" x14ac:dyDescent="0.15">
      <c r="A207" s="10"/>
      <c r="B207" s="13"/>
      <c r="C207" s="13"/>
    </row>
    <row r="208" spans="1:3" ht="13" x14ac:dyDescent="0.15">
      <c r="A208" s="10"/>
      <c r="B208" s="13"/>
      <c r="C208" s="13"/>
    </row>
    <row r="209" spans="1:3" ht="13" x14ac:dyDescent="0.15">
      <c r="A209" s="10"/>
      <c r="B209" s="13"/>
      <c r="C209" s="13"/>
    </row>
    <row r="210" spans="1:3" ht="13" x14ac:dyDescent="0.15">
      <c r="A210" s="10"/>
      <c r="B210" s="13"/>
      <c r="C210" s="13"/>
    </row>
    <row r="211" spans="1:3" ht="13" x14ac:dyDescent="0.15">
      <c r="A211" s="10"/>
      <c r="B211" s="13"/>
      <c r="C211" s="13"/>
    </row>
    <row r="212" spans="1:3" ht="13" x14ac:dyDescent="0.15">
      <c r="A212" s="10"/>
      <c r="B212" s="13"/>
      <c r="C212" s="13"/>
    </row>
    <row r="213" spans="1:3" ht="13" x14ac:dyDescent="0.15">
      <c r="A213" s="10"/>
      <c r="B213" s="13"/>
      <c r="C213" s="13"/>
    </row>
    <row r="214" spans="1:3" ht="13" x14ac:dyDescent="0.15">
      <c r="A214" s="10"/>
      <c r="B214" s="13"/>
      <c r="C214" s="13"/>
    </row>
    <row r="215" spans="1:3" ht="13" x14ac:dyDescent="0.15">
      <c r="A215" s="10"/>
      <c r="B215" s="13"/>
      <c r="C215" s="13"/>
    </row>
    <row r="216" spans="1:3" ht="13" x14ac:dyDescent="0.15">
      <c r="A216" s="10"/>
      <c r="B216" s="13"/>
      <c r="C216" s="13"/>
    </row>
    <row r="217" spans="1:3" ht="13" x14ac:dyDescent="0.15">
      <c r="A217" s="10"/>
      <c r="B217" s="13"/>
      <c r="C217" s="13"/>
    </row>
    <row r="218" spans="1:3" ht="13" x14ac:dyDescent="0.15">
      <c r="A218" s="10"/>
      <c r="B218" s="13"/>
      <c r="C218" s="13"/>
    </row>
    <row r="219" spans="1:3" ht="13" x14ac:dyDescent="0.15">
      <c r="A219" s="10"/>
      <c r="B219" s="13"/>
      <c r="C219" s="13"/>
    </row>
    <row r="220" spans="1:3" ht="13" x14ac:dyDescent="0.15">
      <c r="A220" s="10"/>
      <c r="B220" s="13"/>
      <c r="C220" s="13"/>
    </row>
    <row r="221" spans="1:3" ht="13" x14ac:dyDescent="0.15">
      <c r="A221" s="10"/>
      <c r="B221" s="13"/>
      <c r="C221" s="13"/>
    </row>
    <row r="222" spans="1:3" ht="13" x14ac:dyDescent="0.15">
      <c r="A222" s="10"/>
      <c r="B222" s="13"/>
      <c r="C222" s="13"/>
    </row>
    <row r="223" spans="1:3" ht="13" x14ac:dyDescent="0.15">
      <c r="A223" s="10"/>
      <c r="B223" s="13"/>
      <c r="C223" s="13"/>
    </row>
    <row r="224" spans="1:3" ht="13" x14ac:dyDescent="0.15">
      <c r="A224" s="10"/>
      <c r="B224" s="13"/>
      <c r="C224" s="13"/>
    </row>
    <row r="225" spans="1:3" ht="13" x14ac:dyDescent="0.15">
      <c r="A225" s="10"/>
      <c r="B225" s="13"/>
      <c r="C225" s="13"/>
    </row>
    <row r="226" spans="1:3" ht="13" x14ac:dyDescent="0.15">
      <c r="A226" s="10"/>
      <c r="B226" s="13"/>
      <c r="C226" s="13"/>
    </row>
    <row r="227" spans="1:3" ht="13" x14ac:dyDescent="0.15">
      <c r="A227" s="10"/>
      <c r="B227" s="13"/>
      <c r="C227" s="13"/>
    </row>
    <row r="228" spans="1:3" ht="13" x14ac:dyDescent="0.15">
      <c r="A228" s="10"/>
      <c r="B228" s="13"/>
      <c r="C228" s="13"/>
    </row>
    <row r="229" spans="1:3" ht="13" x14ac:dyDescent="0.15">
      <c r="A229" s="10"/>
      <c r="B229" s="13"/>
      <c r="C229" s="13"/>
    </row>
    <row r="230" spans="1:3" ht="13" x14ac:dyDescent="0.15">
      <c r="A230" s="10"/>
      <c r="B230" s="13"/>
      <c r="C230" s="13"/>
    </row>
    <row r="231" spans="1:3" ht="13" x14ac:dyDescent="0.15">
      <c r="A231" s="10"/>
      <c r="B231" s="13"/>
      <c r="C231" s="13"/>
    </row>
    <row r="232" spans="1:3" ht="13" x14ac:dyDescent="0.15">
      <c r="A232" s="10"/>
      <c r="B232" s="13"/>
      <c r="C232" s="13"/>
    </row>
    <row r="233" spans="1:3" ht="13" x14ac:dyDescent="0.15">
      <c r="A233" s="10"/>
      <c r="B233" s="13"/>
      <c r="C233" s="13"/>
    </row>
    <row r="234" spans="1:3" ht="13" x14ac:dyDescent="0.15">
      <c r="A234" s="10"/>
      <c r="B234" s="13"/>
      <c r="C234" s="13"/>
    </row>
    <row r="235" spans="1:3" ht="13" x14ac:dyDescent="0.15">
      <c r="A235" s="10"/>
      <c r="B235" s="13"/>
      <c r="C235" s="13"/>
    </row>
    <row r="236" spans="1:3" ht="13" x14ac:dyDescent="0.15">
      <c r="A236" s="10"/>
      <c r="B236" s="13"/>
      <c r="C236" s="13"/>
    </row>
    <row r="237" spans="1:3" ht="13" x14ac:dyDescent="0.15">
      <c r="A237" s="10"/>
      <c r="B237" s="13"/>
      <c r="C237" s="13"/>
    </row>
    <row r="238" spans="1:3" ht="13" x14ac:dyDescent="0.15">
      <c r="A238" s="10"/>
      <c r="B238" s="13"/>
      <c r="C238" s="13"/>
    </row>
    <row r="239" spans="1:3" ht="13" x14ac:dyDescent="0.15">
      <c r="A239" s="10"/>
      <c r="B239" s="13"/>
      <c r="C239" s="13"/>
    </row>
    <row r="240" spans="1:3" ht="13" x14ac:dyDescent="0.15">
      <c r="A240" s="10"/>
      <c r="B240" s="13"/>
      <c r="C240" s="13"/>
    </row>
    <row r="241" spans="1:3" ht="13" x14ac:dyDescent="0.15">
      <c r="A241" s="10"/>
      <c r="B241" s="13"/>
      <c r="C241" s="13"/>
    </row>
    <row r="242" spans="1:3" ht="13" x14ac:dyDescent="0.15">
      <c r="A242" s="10"/>
      <c r="B242" s="13"/>
      <c r="C242" s="13"/>
    </row>
    <row r="243" spans="1:3" ht="13" x14ac:dyDescent="0.15">
      <c r="A243" s="10"/>
      <c r="B243" s="13"/>
      <c r="C243" s="13"/>
    </row>
    <row r="244" spans="1:3" ht="13" x14ac:dyDescent="0.15">
      <c r="A244" s="10"/>
      <c r="B244" s="13"/>
      <c r="C244" s="13"/>
    </row>
    <row r="245" spans="1:3" ht="13" x14ac:dyDescent="0.15">
      <c r="A245" s="10"/>
      <c r="B245" s="13"/>
      <c r="C245" s="13"/>
    </row>
    <row r="246" spans="1:3" ht="13" x14ac:dyDescent="0.15">
      <c r="A246" s="10"/>
      <c r="B246" s="13"/>
      <c r="C246" s="13"/>
    </row>
    <row r="247" spans="1:3" ht="13" x14ac:dyDescent="0.15">
      <c r="A247" s="10"/>
      <c r="B247" s="13"/>
      <c r="C247" s="13"/>
    </row>
    <row r="248" spans="1:3" ht="13" x14ac:dyDescent="0.15">
      <c r="A248" s="10"/>
      <c r="B248" s="13"/>
      <c r="C248" s="13"/>
    </row>
    <row r="249" spans="1:3" ht="13" x14ac:dyDescent="0.15">
      <c r="A249" s="10"/>
      <c r="B249" s="13"/>
      <c r="C249" s="13"/>
    </row>
    <row r="250" spans="1:3" ht="13" x14ac:dyDescent="0.15">
      <c r="A250" s="10"/>
      <c r="B250" s="13"/>
      <c r="C250" s="13"/>
    </row>
    <row r="251" spans="1:3" ht="13" x14ac:dyDescent="0.15">
      <c r="A251" s="10"/>
      <c r="B251" s="13"/>
      <c r="C251" s="13"/>
    </row>
    <row r="252" spans="1:3" ht="13" x14ac:dyDescent="0.15">
      <c r="A252" s="10"/>
      <c r="B252" s="13"/>
      <c r="C252" s="13"/>
    </row>
    <row r="253" spans="1:3" ht="13" x14ac:dyDescent="0.15">
      <c r="A253" s="10"/>
      <c r="B253" s="13"/>
      <c r="C253" s="13"/>
    </row>
    <row r="254" spans="1:3" ht="13" x14ac:dyDescent="0.15">
      <c r="A254" s="10"/>
      <c r="B254" s="13"/>
      <c r="C254" s="13"/>
    </row>
    <row r="255" spans="1:3" ht="13" x14ac:dyDescent="0.15">
      <c r="A255" s="10"/>
      <c r="B255" s="13"/>
      <c r="C255" s="13"/>
    </row>
    <row r="256" spans="1:3" ht="13" x14ac:dyDescent="0.15">
      <c r="A256" s="10"/>
      <c r="B256" s="13"/>
      <c r="C256" s="13"/>
    </row>
    <row r="257" spans="1:3" ht="13" x14ac:dyDescent="0.15">
      <c r="A257" s="10"/>
      <c r="B257" s="13"/>
      <c r="C257" s="13"/>
    </row>
    <row r="258" spans="1:3" ht="13" x14ac:dyDescent="0.15">
      <c r="A258" s="10"/>
      <c r="B258" s="13"/>
      <c r="C258" s="13"/>
    </row>
    <row r="259" spans="1:3" ht="13" x14ac:dyDescent="0.15">
      <c r="A259" s="10"/>
      <c r="B259" s="13"/>
      <c r="C259" s="13"/>
    </row>
    <row r="260" spans="1:3" ht="13" x14ac:dyDescent="0.15">
      <c r="A260" s="10"/>
      <c r="B260" s="13"/>
      <c r="C260" s="13"/>
    </row>
    <row r="261" spans="1:3" ht="13" x14ac:dyDescent="0.15">
      <c r="A261" s="10"/>
      <c r="B261" s="13"/>
      <c r="C261" s="13"/>
    </row>
    <row r="262" spans="1:3" ht="13" x14ac:dyDescent="0.15">
      <c r="A262" s="10"/>
      <c r="B262" s="13"/>
      <c r="C262" s="13"/>
    </row>
    <row r="263" spans="1:3" ht="13" x14ac:dyDescent="0.15">
      <c r="A263" s="10"/>
      <c r="B263" s="13"/>
      <c r="C263" s="13"/>
    </row>
    <row r="264" spans="1:3" ht="13" x14ac:dyDescent="0.15">
      <c r="A264" s="10"/>
      <c r="B264" s="13"/>
      <c r="C264" s="13"/>
    </row>
    <row r="265" spans="1:3" ht="13" x14ac:dyDescent="0.15">
      <c r="A265" s="10"/>
      <c r="B265" s="13"/>
      <c r="C265" s="13"/>
    </row>
    <row r="266" spans="1:3" ht="13" x14ac:dyDescent="0.15">
      <c r="A266" s="10"/>
      <c r="B266" s="13"/>
      <c r="C266" s="13"/>
    </row>
    <row r="267" spans="1:3" ht="13" x14ac:dyDescent="0.15">
      <c r="A267" s="10"/>
      <c r="B267" s="13"/>
      <c r="C267" s="13"/>
    </row>
    <row r="268" spans="1:3" ht="13" x14ac:dyDescent="0.15">
      <c r="A268" s="10"/>
      <c r="B268" s="13"/>
      <c r="C268" s="13"/>
    </row>
    <row r="269" spans="1:3" ht="13" x14ac:dyDescent="0.15">
      <c r="A269" s="10"/>
      <c r="B269" s="13"/>
      <c r="C269" s="13"/>
    </row>
    <row r="270" spans="1:3" ht="13" x14ac:dyDescent="0.15">
      <c r="A270" s="10"/>
      <c r="B270" s="13"/>
      <c r="C270" s="13"/>
    </row>
    <row r="271" spans="1:3" ht="13" x14ac:dyDescent="0.15">
      <c r="A271" s="10"/>
      <c r="B271" s="13"/>
      <c r="C271" s="13"/>
    </row>
    <row r="272" spans="1:3" ht="13" x14ac:dyDescent="0.15">
      <c r="A272" s="10"/>
      <c r="B272" s="13"/>
      <c r="C272" s="13"/>
    </row>
    <row r="273" spans="1:3" ht="13" x14ac:dyDescent="0.15">
      <c r="A273" s="10"/>
      <c r="B273" s="13"/>
      <c r="C273" s="13"/>
    </row>
    <row r="274" spans="1:3" ht="13" x14ac:dyDescent="0.15">
      <c r="A274" s="10"/>
      <c r="B274" s="13"/>
      <c r="C274" s="13"/>
    </row>
    <row r="275" spans="1:3" ht="13" x14ac:dyDescent="0.15">
      <c r="A275" s="10"/>
      <c r="B275" s="13"/>
      <c r="C275" s="13"/>
    </row>
    <row r="276" spans="1:3" ht="13" x14ac:dyDescent="0.15">
      <c r="A276" s="10"/>
      <c r="B276" s="13"/>
      <c r="C276" s="13"/>
    </row>
    <row r="277" spans="1:3" ht="13" x14ac:dyDescent="0.15">
      <c r="A277" s="10"/>
      <c r="B277" s="13"/>
      <c r="C277" s="13"/>
    </row>
    <row r="278" spans="1:3" ht="13" x14ac:dyDescent="0.15">
      <c r="A278" s="10"/>
      <c r="B278" s="13"/>
      <c r="C278" s="13"/>
    </row>
    <row r="279" spans="1:3" ht="13" x14ac:dyDescent="0.15">
      <c r="A279" s="10"/>
      <c r="B279" s="13"/>
      <c r="C279" s="13"/>
    </row>
    <row r="280" spans="1:3" ht="13" x14ac:dyDescent="0.15">
      <c r="A280" s="10"/>
      <c r="B280" s="13"/>
      <c r="C280" s="13"/>
    </row>
    <row r="281" spans="1:3" ht="13" x14ac:dyDescent="0.15">
      <c r="A281" s="10"/>
      <c r="B281" s="13"/>
      <c r="C281" s="13"/>
    </row>
    <row r="282" spans="1:3" ht="13" x14ac:dyDescent="0.15">
      <c r="A282" s="10"/>
      <c r="B282" s="13"/>
      <c r="C282" s="13"/>
    </row>
    <row r="283" spans="1:3" ht="13" x14ac:dyDescent="0.15">
      <c r="A283" s="10"/>
      <c r="B283" s="13"/>
      <c r="C283" s="13"/>
    </row>
    <row r="284" spans="1:3" ht="13" x14ac:dyDescent="0.15">
      <c r="A284" s="10"/>
      <c r="B284" s="13"/>
      <c r="C284" s="13"/>
    </row>
    <row r="285" spans="1:3" ht="13" x14ac:dyDescent="0.15">
      <c r="A285" s="10"/>
      <c r="B285" s="13"/>
      <c r="C285" s="13"/>
    </row>
    <row r="286" spans="1:3" ht="13" x14ac:dyDescent="0.15">
      <c r="A286" s="10"/>
      <c r="B286" s="13"/>
      <c r="C286" s="13"/>
    </row>
    <row r="287" spans="1:3" ht="13" x14ac:dyDescent="0.15">
      <c r="A287" s="10"/>
      <c r="B287" s="13"/>
      <c r="C287" s="13"/>
    </row>
    <row r="288" spans="1:3" ht="13" x14ac:dyDescent="0.15">
      <c r="A288" s="10"/>
      <c r="B288" s="13"/>
      <c r="C288" s="13"/>
    </row>
    <row r="289" spans="1:3" ht="13" x14ac:dyDescent="0.15">
      <c r="A289" s="10"/>
      <c r="B289" s="13"/>
      <c r="C289" s="13"/>
    </row>
    <row r="290" spans="1:3" ht="13" x14ac:dyDescent="0.15">
      <c r="A290" s="10"/>
      <c r="B290" s="13"/>
      <c r="C290" s="13"/>
    </row>
    <row r="291" spans="1:3" ht="13" x14ac:dyDescent="0.15">
      <c r="A291" s="10"/>
      <c r="B291" s="13"/>
      <c r="C291" s="13"/>
    </row>
    <row r="292" spans="1:3" ht="13" x14ac:dyDescent="0.15">
      <c r="A292" s="10"/>
      <c r="B292" s="13"/>
      <c r="C292" s="13"/>
    </row>
    <row r="293" spans="1:3" ht="13" x14ac:dyDescent="0.15">
      <c r="A293" s="10"/>
      <c r="B293" s="13"/>
      <c r="C293" s="13"/>
    </row>
    <row r="294" spans="1:3" ht="13" x14ac:dyDescent="0.15">
      <c r="A294" s="10"/>
      <c r="B294" s="13"/>
      <c r="C294" s="13"/>
    </row>
    <row r="295" spans="1:3" ht="13" x14ac:dyDescent="0.15">
      <c r="A295" s="10"/>
      <c r="B295" s="13"/>
      <c r="C295" s="13"/>
    </row>
    <row r="296" spans="1:3" ht="13" x14ac:dyDescent="0.15">
      <c r="A296" s="10"/>
      <c r="B296" s="13"/>
      <c r="C296" s="13"/>
    </row>
    <row r="297" spans="1:3" ht="13" x14ac:dyDescent="0.15">
      <c r="A297" s="10"/>
      <c r="B297" s="13"/>
      <c r="C297" s="13"/>
    </row>
    <row r="298" spans="1:3" ht="13" x14ac:dyDescent="0.15">
      <c r="A298" s="10"/>
      <c r="B298" s="13"/>
      <c r="C298" s="13"/>
    </row>
    <row r="299" spans="1:3" ht="13" x14ac:dyDescent="0.15">
      <c r="A299" s="10"/>
      <c r="B299" s="13"/>
      <c r="C299" s="13"/>
    </row>
    <row r="300" spans="1:3" ht="13" x14ac:dyDescent="0.15">
      <c r="A300" s="10"/>
      <c r="B300" s="13"/>
      <c r="C300" s="13"/>
    </row>
    <row r="301" spans="1:3" ht="13" x14ac:dyDescent="0.15">
      <c r="A301" s="10"/>
      <c r="B301" s="13"/>
      <c r="C301" s="13"/>
    </row>
    <row r="302" spans="1:3" ht="13" x14ac:dyDescent="0.15">
      <c r="A302" s="10"/>
      <c r="B302" s="13"/>
      <c r="C302" s="13"/>
    </row>
    <row r="303" spans="1:3" ht="13" x14ac:dyDescent="0.15">
      <c r="A303" s="10"/>
      <c r="B303" s="13"/>
      <c r="C303" s="13"/>
    </row>
    <row r="304" spans="1:3" ht="13" x14ac:dyDescent="0.15">
      <c r="A304" s="10"/>
      <c r="B304" s="13"/>
      <c r="C304" s="13"/>
    </row>
    <row r="305" spans="1:3" ht="13" x14ac:dyDescent="0.15">
      <c r="A305" s="10"/>
      <c r="B305" s="13"/>
      <c r="C305" s="13"/>
    </row>
    <row r="306" spans="1:3" ht="13" x14ac:dyDescent="0.15">
      <c r="A306" s="10"/>
      <c r="B306" s="13"/>
      <c r="C306" s="13"/>
    </row>
    <row r="307" spans="1:3" ht="13" x14ac:dyDescent="0.15">
      <c r="A307" s="10"/>
      <c r="B307" s="13"/>
      <c r="C307" s="13"/>
    </row>
    <row r="308" spans="1:3" ht="13" x14ac:dyDescent="0.15">
      <c r="A308" s="10"/>
      <c r="B308" s="13"/>
      <c r="C308" s="13"/>
    </row>
    <row r="309" spans="1:3" ht="13" x14ac:dyDescent="0.15">
      <c r="A309" s="10"/>
      <c r="B309" s="13"/>
      <c r="C309" s="13"/>
    </row>
    <row r="310" spans="1:3" ht="13" x14ac:dyDescent="0.15">
      <c r="A310" s="10"/>
      <c r="B310" s="13"/>
      <c r="C310" s="13"/>
    </row>
    <row r="311" spans="1:3" ht="13" x14ac:dyDescent="0.15">
      <c r="A311" s="10"/>
      <c r="B311" s="13"/>
      <c r="C311" s="13"/>
    </row>
    <row r="312" spans="1:3" ht="13" x14ac:dyDescent="0.15">
      <c r="A312" s="10"/>
      <c r="B312" s="13"/>
      <c r="C312" s="13"/>
    </row>
    <row r="313" spans="1:3" ht="13" x14ac:dyDescent="0.15">
      <c r="A313" s="10"/>
      <c r="B313" s="13"/>
      <c r="C313" s="13"/>
    </row>
    <row r="314" spans="1:3" ht="13" x14ac:dyDescent="0.15">
      <c r="A314" s="10"/>
      <c r="B314" s="13"/>
      <c r="C314" s="13"/>
    </row>
    <row r="315" spans="1:3" ht="13" x14ac:dyDescent="0.15">
      <c r="A315" s="10"/>
      <c r="B315" s="13"/>
      <c r="C315" s="13"/>
    </row>
    <row r="316" spans="1:3" ht="13" x14ac:dyDescent="0.15">
      <c r="A316" s="10"/>
      <c r="B316" s="13"/>
      <c r="C316" s="13"/>
    </row>
    <row r="317" spans="1:3" ht="13" x14ac:dyDescent="0.15">
      <c r="A317" s="10"/>
      <c r="B317" s="13"/>
      <c r="C317" s="13"/>
    </row>
    <row r="318" spans="1:3" ht="13" x14ac:dyDescent="0.15">
      <c r="A318" s="10"/>
      <c r="B318" s="13"/>
      <c r="C318" s="13"/>
    </row>
    <row r="319" spans="1:3" ht="13" x14ac:dyDescent="0.15">
      <c r="A319" s="10"/>
      <c r="B319" s="13"/>
      <c r="C319" s="13"/>
    </row>
    <row r="320" spans="1:3" ht="13" x14ac:dyDescent="0.15">
      <c r="A320" s="10"/>
      <c r="B320" s="13"/>
      <c r="C320" s="13"/>
    </row>
    <row r="321" spans="1:3" ht="13" x14ac:dyDescent="0.15">
      <c r="A321" s="10"/>
      <c r="B321" s="13"/>
      <c r="C321" s="13"/>
    </row>
    <row r="322" spans="1:3" ht="13" x14ac:dyDescent="0.15">
      <c r="A322" s="10"/>
      <c r="B322" s="13"/>
      <c r="C322" s="13"/>
    </row>
    <row r="323" spans="1:3" ht="13" x14ac:dyDescent="0.15">
      <c r="A323" s="10"/>
      <c r="B323" s="13"/>
      <c r="C323" s="13"/>
    </row>
    <row r="324" spans="1:3" ht="13" x14ac:dyDescent="0.15">
      <c r="A324" s="10"/>
      <c r="B324" s="13"/>
      <c r="C324" s="13"/>
    </row>
    <row r="325" spans="1:3" ht="13" x14ac:dyDescent="0.15">
      <c r="A325" s="10"/>
      <c r="B325" s="13"/>
      <c r="C325" s="13"/>
    </row>
    <row r="326" spans="1:3" ht="13" x14ac:dyDescent="0.15">
      <c r="A326" s="10"/>
      <c r="B326" s="13"/>
      <c r="C326" s="13"/>
    </row>
    <row r="327" spans="1:3" ht="13" x14ac:dyDescent="0.15">
      <c r="A327" s="10"/>
      <c r="B327" s="13"/>
      <c r="C327" s="13"/>
    </row>
    <row r="328" spans="1:3" ht="13" x14ac:dyDescent="0.15">
      <c r="A328" s="10"/>
      <c r="B328" s="13"/>
      <c r="C328" s="13"/>
    </row>
    <row r="329" spans="1:3" ht="13" x14ac:dyDescent="0.15">
      <c r="A329" s="10"/>
      <c r="B329" s="13"/>
      <c r="C329" s="13"/>
    </row>
    <row r="330" spans="1:3" ht="13" x14ac:dyDescent="0.15">
      <c r="A330" s="10"/>
      <c r="B330" s="13"/>
      <c r="C330" s="13"/>
    </row>
    <row r="331" spans="1:3" ht="13" x14ac:dyDescent="0.15">
      <c r="A331" s="10"/>
      <c r="B331" s="13"/>
      <c r="C331" s="13"/>
    </row>
    <row r="332" spans="1:3" ht="13" x14ac:dyDescent="0.15">
      <c r="A332" s="10"/>
      <c r="B332" s="13"/>
      <c r="C332" s="13"/>
    </row>
    <row r="333" spans="1:3" ht="13" x14ac:dyDescent="0.15">
      <c r="A333" s="10"/>
      <c r="B333" s="13"/>
      <c r="C333" s="13"/>
    </row>
    <row r="334" spans="1:3" ht="13" x14ac:dyDescent="0.15">
      <c r="A334" s="10"/>
      <c r="B334" s="13"/>
      <c r="C334" s="13"/>
    </row>
    <row r="335" spans="1:3" ht="13" x14ac:dyDescent="0.15">
      <c r="A335" s="10"/>
      <c r="B335" s="13"/>
      <c r="C335" s="13"/>
    </row>
    <row r="336" spans="1:3" ht="13" x14ac:dyDescent="0.15">
      <c r="A336" s="10"/>
      <c r="B336" s="13"/>
      <c r="C336" s="13"/>
    </row>
    <row r="337" spans="1:3" ht="13" x14ac:dyDescent="0.15">
      <c r="A337" s="10"/>
      <c r="B337" s="13"/>
      <c r="C337" s="13"/>
    </row>
    <row r="338" spans="1:3" ht="13" x14ac:dyDescent="0.15">
      <c r="A338" s="10"/>
      <c r="B338" s="13"/>
      <c r="C338" s="13"/>
    </row>
    <row r="339" spans="1:3" ht="13" x14ac:dyDescent="0.15">
      <c r="A339" s="10"/>
      <c r="B339" s="13"/>
      <c r="C339" s="13"/>
    </row>
    <row r="340" spans="1:3" ht="13" x14ac:dyDescent="0.15">
      <c r="A340" s="10"/>
      <c r="B340" s="13"/>
      <c r="C340" s="13"/>
    </row>
    <row r="341" spans="1:3" ht="13" x14ac:dyDescent="0.15">
      <c r="A341" s="10"/>
      <c r="B341" s="13"/>
      <c r="C341" s="13"/>
    </row>
    <row r="342" spans="1:3" ht="13" x14ac:dyDescent="0.15">
      <c r="A342" s="10"/>
      <c r="B342" s="13"/>
      <c r="C342" s="13"/>
    </row>
    <row r="343" spans="1:3" ht="13" x14ac:dyDescent="0.15">
      <c r="A343" s="10"/>
      <c r="B343" s="13"/>
      <c r="C343" s="13"/>
    </row>
    <row r="344" spans="1:3" ht="13" x14ac:dyDescent="0.15">
      <c r="A344" s="10"/>
      <c r="B344" s="13"/>
      <c r="C344" s="13"/>
    </row>
    <row r="345" spans="1:3" ht="13" x14ac:dyDescent="0.15">
      <c r="A345" s="10"/>
      <c r="B345" s="13"/>
      <c r="C345" s="13"/>
    </row>
    <row r="346" spans="1:3" ht="13" x14ac:dyDescent="0.15">
      <c r="A346" s="10"/>
      <c r="B346" s="13"/>
      <c r="C346" s="13"/>
    </row>
    <row r="347" spans="1:3" ht="13" x14ac:dyDescent="0.15">
      <c r="A347" s="10"/>
      <c r="B347" s="13"/>
      <c r="C347" s="13"/>
    </row>
    <row r="348" spans="1:3" ht="13" x14ac:dyDescent="0.15">
      <c r="A348" s="10"/>
      <c r="B348" s="13"/>
      <c r="C348" s="13"/>
    </row>
    <row r="349" spans="1:3" ht="13" x14ac:dyDescent="0.15">
      <c r="A349" s="10"/>
      <c r="B349" s="13"/>
      <c r="C349" s="13"/>
    </row>
    <row r="350" spans="1:3" ht="13" x14ac:dyDescent="0.15">
      <c r="A350" s="10"/>
      <c r="B350" s="13"/>
      <c r="C350" s="13"/>
    </row>
    <row r="351" spans="1:3" ht="13" x14ac:dyDescent="0.15">
      <c r="A351" s="10"/>
      <c r="B351" s="13"/>
      <c r="C351" s="13"/>
    </row>
    <row r="352" spans="1:3" ht="13" x14ac:dyDescent="0.15">
      <c r="A352" s="10"/>
      <c r="B352" s="13"/>
      <c r="C352" s="13"/>
    </row>
    <row r="353" spans="1:3" ht="13" x14ac:dyDescent="0.15">
      <c r="A353" s="10"/>
      <c r="B353" s="13"/>
      <c r="C353" s="13"/>
    </row>
    <row r="354" spans="1:3" ht="13" x14ac:dyDescent="0.15">
      <c r="A354" s="10"/>
      <c r="B354" s="13"/>
      <c r="C354" s="13"/>
    </row>
    <row r="355" spans="1:3" ht="13" x14ac:dyDescent="0.15">
      <c r="A355" s="10"/>
      <c r="B355" s="13"/>
      <c r="C355" s="13"/>
    </row>
    <row r="356" spans="1:3" ht="13" x14ac:dyDescent="0.15">
      <c r="A356" s="10"/>
      <c r="B356" s="13"/>
      <c r="C356" s="13"/>
    </row>
    <row r="357" spans="1:3" ht="13" x14ac:dyDescent="0.15">
      <c r="A357" s="10"/>
      <c r="B357" s="13"/>
      <c r="C357" s="13"/>
    </row>
    <row r="358" spans="1:3" ht="13" x14ac:dyDescent="0.15">
      <c r="A358" s="10"/>
      <c r="B358" s="13"/>
      <c r="C358" s="13"/>
    </row>
    <row r="359" spans="1:3" ht="13" x14ac:dyDescent="0.15">
      <c r="A359" s="10"/>
      <c r="B359" s="13"/>
      <c r="C359" s="13"/>
    </row>
    <row r="360" spans="1:3" ht="13" x14ac:dyDescent="0.15">
      <c r="A360" s="10"/>
      <c r="B360" s="13"/>
      <c r="C360" s="13"/>
    </row>
    <row r="361" spans="1:3" ht="13" x14ac:dyDescent="0.15">
      <c r="A361" s="10"/>
      <c r="B361" s="13"/>
      <c r="C361" s="13"/>
    </row>
    <row r="362" spans="1:3" ht="13" x14ac:dyDescent="0.15">
      <c r="A362" s="10"/>
      <c r="B362" s="13"/>
      <c r="C362" s="13"/>
    </row>
    <row r="363" spans="1:3" ht="13" x14ac:dyDescent="0.15">
      <c r="A363" s="10"/>
      <c r="B363" s="13"/>
      <c r="C363" s="13"/>
    </row>
    <row r="364" spans="1:3" ht="13" x14ac:dyDescent="0.15">
      <c r="A364" s="10"/>
      <c r="B364" s="13"/>
      <c r="C364" s="13"/>
    </row>
    <row r="365" spans="1:3" ht="13" x14ac:dyDescent="0.15">
      <c r="A365" s="10"/>
      <c r="B365" s="13"/>
      <c r="C365" s="13"/>
    </row>
    <row r="366" spans="1:3" ht="13" x14ac:dyDescent="0.15">
      <c r="A366" s="10"/>
      <c r="B366" s="13"/>
      <c r="C366" s="13"/>
    </row>
    <row r="367" spans="1:3" ht="13" x14ac:dyDescent="0.15">
      <c r="A367" s="10"/>
      <c r="B367" s="13"/>
      <c r="C367" s="13"/>
    </row>
    <row r="368" spans="1:3" ht="13" x14ac:dyDescent="0.15">
      <c r="A368" s="10"/>
      <c r="B368" s="13"/>
      <c r="C368" s="13"/>
    </row>
    <row r="369" spans="1:3" ht="13" x14ac:dyDescent="0.15">
      <c r="A369" s="10"/>
      <c r="B369" s="13"/>
      <c r="C369" s="13"/>
    </row>
    <row r="370" spans="1:3" ht="13" x14ac:dyDescent="0.15">
      <c r="A370" s="10"/>
      <c r="B370" s="13"/>
      <c r="C370" s="13"/>
    </row>
    <row r="371" spans="1:3" ht="13" x14ac:dyDescent="0.15">
      <c r="A371" s="10"/>
      <c r="B371" s="13"/>
      <c r="C371" s="13"/>
    </row>
    <row r="372" spans="1:3" ht="13" x14ac:dyDescent="0.15">
      <c r="A372" s="10"/>
      <c r="B372" s="13"/>
      <c r="C372" s="13"/>
    </row>
    <row r="373" spans="1:3" ht="13" x14ac:dyDescent="0.15">
      <c r="A373" s="10"/>
      <c r="B373" s="13"/>
      <c r="C373" s="13"/>
    </row>
    <row r="374" spans="1:3" ht="13" x14ac:dyDescent="0.15">
      <c r="A374" s="10"/>
      <c r="B374" s="13"/>
      <c r="C374" s="13"/>
    </row>
    <row r="375" spans="1:3" ht="13" x14ac:dyDescent="0.15">
      <c r="A375" s="10"/>
      <c r="B375" s="13"/>
      <c r="C375" s="13"/>
    </row>
    <row r="376" spans="1:3" ht="13" x14ac:dyDescent="0.15">
      <c r="A376" s="10"/>
      <c r="B376" s="13"/>
      <c r="C376" s="13"/>
    </row>
    <row r="377" spans="1:3" ht="13" x14ac:dyDescent="0.15">
      <c r="A377" s="10"/>
      <c r="B377" s="13"/>
      <c r="C377" s="13"/>
    </row>
    <row r="378" spans="1:3" ht="13" x14ac:dyDescent="0.15">
      <c r="A378" s="10"/>
      <c r="B378" s="13"/>
      <c r="C378" s="13"/>
    </row>
    <row r="379" spans="1:3" ht="13" x14ac:dyDescent="0.15">
      <c r="A379" s="10"/>
      <c r="B379" s="13"/>
      <c r="C379" s="13"/>
    </row>
    <row r="380" spans="1:3" ht="13" x14ac:dyDescent="0.15">
      <c r="A380" s="10"/>
      <c r="B380" s="13"/>
      <c r="C380" s="13"/>
    </row>
    <row r="381" spans="1:3" ht="13" x14ac:dyDescent="0.15">
      <c r="A381" s="10"/>
      <c r="B381" s="13"/>
      <c r="C381" s="13"/>
    </row>
    <row r="382" spans="1:3" ht="13" x14ac:dyDescent="0.15">
      <c r="A382" s="10"/>
      <c r="B382" s="13"/>
      <c r="C382" s="13"/>
    </row>
    <row r="383" spans="1:3" ht="13" x14ac:dyDescent="0.15">
      <c r="A383" s="10"/>
      <c r="B383" s="13"/>
      <c r="C383" s="13"/>
    </row>
    <row r="384" spans="1:3" ht="13" x14ac:dyDescent="0.15">
      <c r="A384" s="10"/>
      <c r="B384" s="13"/>
      <c r="C384" s="13"/>
    </row>
    <row r="385" spans="1:3" ht="13" x14ac:dyDescent="0.15">
      <c r="A385" s="10"/>
      <c r="B385" s="13"/>
      <c r="C385" s="13"/>
    </row>
    <row r="386" spans="1:3" ht="13" x14ac:dyDescent="0.15">
      <c r="A386" s="10"/>
      <c r="B386" s="13"/>
      <c r="C386" s="13"/>
    </row>
    <row r="387" spans="1:3" ht="13" x14ac:dyDescent="0.15">
      <c r="A387" s="10"/>
      <c r="B387" s="13"/>
      <c r="C387" s="13"/>
    </row>
    <row r="388" spans="1:3" ht="13" x14ac:dyDescent="0.15">
      <c r="A388" s="10"/>
      <c r="B388" s="13"/>
      <c r="C388" s="13"/>
    </row>
    <row r="389" spans="1:3" ht="13" x14ac:dyDescent="0.15">
      <c r="A389" s="10"/>
      <c r="B389" s="13"/>
      <c r="C389" s="13"/>
    </row>
    <row r="390" spans="1:3" ht="13" x14ac:dyDescent="0.15">
      <c r="A390" s="10"/>
      <c r="B390" s="13"/>
      <c r="C390" s="13"/>
    </row>
    <row r="391" spans="1:3" ht="13" x14ac:dyDescent="0.15">
      <c r="A391" s="10"/>
      <c r="B391" s="13"/>
      <c r="C391" s="13"/>
    </row>
    <row r="392" spans="1:3" ht="13" x14ac:dyDescent="0.15">
      <c r="A392" s="10"/>
      <c r="B392" s="13"/>
      <c r="C392" s="13"/>
    </row>
    <row r="393" spans="1:3" ht="13" x14ac:dyDescent="0.15">
      <c r="A393" s="10"/>
      <c r="B393" s="13"/>
      <c r="C393" s="13"/>
    </row>
    <row r="394" spans="1:3" ht="13" x14ac:dyDescent="0.15">
      <c r="A394" s="10"/>
      <c r="B394" s="13"/>
      <c r="C394" s="13"/>
    </row>
    <row r="395" spans="1:3" ht="13" x14ac:dyDescent="0.15">
      <c r="A395" s="10"/>
      <c r="B395" s="13"/>
      <c r="C395" s="13"/>
    </row>
    <row r="396" spans="1:3" ht="13" x14ac:dyDescent="0.15">
      <c r="A396" s="10"/>
      <c r="B396" s="13"/>
      <c r="C396" s="13"/>
    </row>
    <row r="397" spans="1:3" ht="13" x14ac:dyDescent="0.15">
      <c r="A397" s="10"/>
      <c r="B397" s="13"/>
      <c r="C397" s="13"/>
    </row>
    <row r="398" spans="1:3" ht="13" x14ac:dyDescent="0.15">
      <c r="A398" s="10"/>
      <c r="B398" s="13"/>
      <c r="C398" s="13"/>
    </row>
    <row r="399" spans="1:3" ht="13" x14ac:dyDescent="0.15">
      <c r="A399" s="10"/>
      <c r="B399" s="13"/>
      <c r="C399" s="13"/>
    </row>
    <row r="400" spans="1:3" ht="13" x14ac:dyDescent="0.15">
      <c r="A400" s="10"/>
      <c r="B400" s="13"/>
      <c r="C400" s="13"/>
    </row>
    <row r="401" spans="1:3" ht="13" x14ac:dyDescent="0.15">
      <c r="A401" s="10"/>
      <c r="B401" s="13"/>
      <c r="C401" s="13"/>
    </row>
    <row r="402" spans="1:3" ht="13" x14ac:dyDescent="0.15">
      <c r="A402" s="10"/>
      <c r="B402" s="13"/>
      <c r="C402" s="13"/>
    </row>
    <row r="403" spans="1:3" ht="13" x14ac:dyDescent="0.15">
      <c r="A403" s="10"/>
      <c r="B403" s="13"/>
      <c r="C403" s="13"/>
    </row>
    <row r="404" spans="1:3" ht="13" x14ac:dyDescent="0.15">
      <c r="A404" s="10"/>
      <c r="B404" s="13"/>
      <c r="C404" s="13"/>
    </row>
    <row r="405" spans="1:3" ht="13" x14ac:dyDescent="0.15">
      <c r="A405" s="10"/>
      <c r="B405" s="13"/>
      <c r="C405" s="13"/>
    </row>
    <row r="406" spans="1:3" ht="13" x14ac:dyDescent="0.15">
      <c r="A406" s="10"/>
      <c r="B406" s="13"/>
      <c r="C406" s="13"/>
    </row>
    <row r="407" spans="1:3" ht="13" x14ac:dyDescent="0.15">
      <c r="A407" s="10"/>
      <c r="B407" s="13"/>
      <c r="C407" s="13"/>
    </row>
    <row r="408" spans="1:3" ht="13" x14ac:dyDescent="0.15">
      <c r="A408" s="10"/>
      <c r="B408" s="13"/>
      <c r="C408" s="13"/>
    </row>
    <row r="409" spans="1:3" ht="13" x14ac:dyDescent="0.15">
      <c r="A409" s="10"/>
      <c r="B409" s="13"/>
      <c r="C409" s="13"/>
    </row>
    <row r="410" spans="1:3" ht="13" x14ac:dyDescent="0.15">
      <c r="A410" s="10"/>
      <c r="B410" s="13"/>
      <c r="C410" s="13"/>
    </row>
    <row r="411" spans="1:3" ht="13" x14ac:dyDescent="0.15">
      <c r="A411" s="10"/>
      <c r="B411" s="13"/>
      <c r="C411" s="13"/>
    </row>
    <row r="412" spans="1:3" ht="13" x14ac:dyDescent="0.15">
      <c r="A412" s="10"/>
      <c r="B412" s="13"/>
      <c r="C412" s="13"/>
    </row>
    <row r="413" spans="1:3" ht="13" x14ac:dyDescent="0.15">
      <c r="A413" s="10"/>
      <c r="B413" s="13"/>
      <c r="C413" s="13"/>
    </row>
    <row r="414" spans="1:3" ht="13" x14ac:dyDescent="0.15">
      <c r="A414" s="10"/>
      <c r="B414" s="13"/>
      <c r="C414" s="13"/>
    </row>
    <row r="415" spans="1:3" ht="13" x14ac:dyDescent="0.15">
      <c r="A415" s="10"/>
      <c r="B415" s="13"/>
      <c r="C415" s="13"/>
    </row>
    <row r="416" spans="1:3" ht="13" x14ac:dyDescent="0.15">
      <c r="A416" s="10"/>
      <c r="B416" s="13"/>
      <c r="C416" s="13"/>
    </row>
    <row r="417" spans="1:3" ht="13" x14ac:dyDescent="0.15">
      <c r="A417" s="10"/>
      <c r="B417" s="13"/>
      <c r="C417" s="13"/>
    </row>
    <row r="418" spans="1:3" ht="13" x14ac:dyDescent="0.15">
      <c r="A418" s="10"/>
      <c r="B418" s="13"/>
      <c r="C418" s="13"/>
    </row>
    <row r="419" spans="1:3" ht="13" x14ac:dyDescent="0.15">
      <c r="A419" s="10"/>
      <c r="B419" s="13"/>
      <c r="C419" s="13"/>
    </row>
    <row r="420" spans="1:3" ht="13" x14ac:dyDescent="0.15">
      <c r="A420" s="10"/>
      <c r="B420" s="13"/>
      <c r="C420" s="13"/>
    </row>
    <row r="421" spans="1:3" ht="13" x14ac:dyDescent="0.15">
      <c r="A421" s="10"/>
      <c r="B421" s="13"/>
      <c r="C421" s="13"/>
    </row>
    <row r="422" spans="1:3" ht="13" x14ac:dyDescent="0.15">
      <c r="A422" s="10"/>
      <c r="B422" s="13"/>
      <c r="C422" s="13"/>
    </row>
    <row r="423" spans="1:3" ht="13" x14ac:dyDescent="0.15">
      <c r="A423" s="10"/>
      <c r="B423" s="13"/>
      <c r="C423" s="13"/>
    </row>
    <row r="424" spans="1:3" ht="13" x14ac:dyDescent="0.15">
      <c r="A424" s="10"/>
      <c r="B424" s="13"/>
      <c r="C424" s="13"/>
    </row>
    <row r="425" spans="1:3" ht="13" x14ac:dyDescent="0.15">
      <c r="A425" s="10"/>
      <c r="B425" s="13"/>
      <c r="C425" s="13"/>
    </row>
    <row r="426" spans="1:3" ht="13" x14ac:dyDescent="0.15">
      <c r="A426" s="10"/>
      <c r="B426" s="13"/>
      <c r="C426" s="13"/>
    </row>
    <row r="427" spans="1:3" ht="13" x14ac:dyDescent="0.15">
      <c r="A427" s="10"/>
      <c r="B427" s="13"/>
      <c r="C427" s="13"/>
    </row>
    <row r="428" spans="1:3" ht="13" x14ac:dyDescent="0.15">
      <c r="A428" s="10"/>
      <c r="B428" s="13"/>
      <c r="C428" s="13"/>
    </row>
    <row r="429" spans="1:3" ht="13" x14ac:dyDescent="0.15">
      <c r="A429" s="10"/>
      <c r="B429" s="13"/>
      <c r="C429" s="13"/>
    </row>
    <row r="430" spans="1:3" ht="13" x14ac:dyDescent="0.15">
      <c r="A430" s="10"/>
      <c r="B430" s="13"/>
      <c r="C430" s="13"/>
    </row>
    <row r="431" spans="1:3" ht="13" x14ac:dyDescent="0.15">
      <c r="A431" s="10"/>
      <c r="B431" s="13"/>
      <c r="C431" s="13"/>
    </row>
    <row r="432" spans="1:3" ht="13" x14ac:dyDescent="0.15">
      <c r="A432" s="10"/>
      <c r="B432" s="13"/>
      <c r="C432" s="13"/>
    </row>
    <row r="433" spans="1:3" ht="13" x14ac:dyDescent="0.15">
      <c r="A433" s="10"/>
      <c r="B433" s="13"/>
      <c r="C433" s="13"/>
    </row>
    <row r="434" spans="1:3" ht="13" x14ac:dyDescent="0.15">
      <c r="A434" s="10"/>
      <c r="B434" s="13"/>
      <c r="C434" s="13"/>
    </row>
    <row r="435" spans="1:3" ht="13" x14ac:dyDescent="0.15">
      <c r="A435" s="10"/>
      <c r="B435" s="13"/>
      <c r="C435" s="13"/>
    </row>
    <row r="436" spans="1:3" ht="13" x14ac:dyDescent="0.15">
      <c r="A436" s="10"/>
      <c r="B436" s="13"/>
      <c r="C436" s="13"/>
    </row>
    <row r="437" spans="1:3" ht="13" x14ac:dyDescent="0.15">
      <c r="A437" s="10"/>
      <c r="B437" s="13"/>
      <c r="C437" s="13"/>
    </row>
    <row r="438" spans="1:3" ht="13" x14ac:dyDescent="0.15">
      <c r="A438" s="10"/>
      <c r="B438" s="13"/>
      <c r="C438" s="13"/>
    </row>
    <row r="439" spans="1:3" ht="13" x14ac:dyDescent="0.15">
      <c r="A439" s="10"/>
      <c r="B439" s="13"/>
      <c r="C439" s="13"/>
    </row>
    <row r="440" spans="1:3" ht="13" x14ac:dyDescent="0.15">
      <c r="A440" s="10"/>
      <c r="B440" s="13"/>
      <c r="C440" s="13"/>
    </row>
    <row r="441" spans="1:3" ht="13" x14ac:dyDescent="0.15">
      <c r="A441" s="10"/>
      <c r="B441" s="13"/>
      <c r="C441" s="13"/>
    </row>
    <row r="442" spans="1:3" ht="13" x14ac:dyDescent="0.15">
      <c r="A442" s="10"/>
      <c r="B442" s="13"/>
      <c r="C442" s="13"/>
    </row>
    <row r="443" spans="1:3" ht="13" x14ac:dyDescent="0.15">
      <c r="A443" s="10"/>
      <c r="B443" s="13"/>
      <c r="C443" s="13"/>
    </row>
    <row r="444" spans="1:3" ht="13" x14ac:dyDescent="0.15">
      <c r="A444" s="10"/>
      <c r="B444" s="13"/>
      <c r="C444" s="13"/>
    </row>
    <row r="445" spans="1:3" ht="13" x14ac:dyDescent="0.15">
      <c r="A445" s="10"/>
      <c r="B445" s="13"/>
      <c r="C445" s="13"/>
    </row>
    <row r="446" spans="1:3" ht="13" x14ac:dyDescent="0.15">
      <c r="A446" s="10"/>
      <c r="B446" s="13"/>
      <c r="C446" s="13"/>
    </row>
    <row r="447" spans="1:3" ht="13" x14ac:dyDescent="0.15">
      <c r="A447" s="10"/>
      <c r="B447" s="13"/>
      <c r="C447" s="13"/>
    </row>
    <row r="448" spans="1:3" ht="13" x14ac:dyDescent="0.15">
      <c r="A448" s="10"/>
      <c r="B448" s="13"/>
      <c r="C448" s="13"/>
    </row>
    <row r="449" spans="1:3" ht="13" x14ac:dyDescent="0.15">
      <c r="A449" s="10"/>
      <c r="B449" s="13"/>
      <c r="C449" s="13"/>
    </row>
    <row r="450" spans="1:3" ht="13" x14ac:dyDescent="0.15">
      <c r="A450" s="10"/>
      <c r="B450" s="13"/>
      <c r="C450" s="13"/>
    </row>
    <row r="451" spans="1:3" ht="13" x14ac:dyDescent="0.15">
      <c r="A451" s="10"/>
      <c r="B451" s="13"/>
      <c r="C451" s="13"/>
    </row>
    <row r="452" spans="1:3" ht="13" x14ac:dyDescent="0.15">
      <c r="A452" s="10"/>
      <c r="B452" s="13"/>
      <c r="C452" s="13"/>
    </row>
    <row r="453" spans="1:3" ht="13" x14ac:dyDescent="0.15">
      <c r="A453" s="10"/>
      <c r="B453" s="13"/>
      <c r="C453" s="13"/>
    </row>
    <row r="454" spans="1:3" ht="13" x14ac:dyDescent="0.15">
      <c r="A454" s="10"/>
      <c r="B454" s="13"/>
      <c r="C454" s="13"/>
    </row>
    <row r="455" spans="1:3" ht="13" x14ac:dyDescent="0.15">
      <c r="A455" s="10"/>
      <c r="B455" s="13"/>
      <c r="C455" s="13"/>
    </row>
    <row r="456" spans="1:3" ht="13" x14ac:dyDescent="0.15">
      <c r="A456" s="10"/>
      <c r="B456" s="13"/>
      <c r="C456" s="13"/>
    </row>
    <row r="457" spans="1:3" ht="13" x14ac:dyDescent="0.15">
      <c r="A457" s="10"/>
      <c r="B457" s="13"/>
      <c r="C457" s="13"/>
    </row>
    <row r="458" spans="1:3" ht="13" x14ac:dyDescent="0.15">
      <c r="A458" s="10"/>
      <c r="B458" s="13"/>
      <c r="C458" s="13"/>
    </row>
    <row r="459" spans="1:3" ht="13" x14ac:dyDescent="0.15">
      <c r="A459" s="10"/>
      <c r="B459" s="13"/>
      <c r="C459" s="13"/>
    </row>
    <row r="460" spans="1:3" ht="13" x14ac:dyDescent="0.15">
      <c r="A460" s="10"/>
      <c r="B460" s="13"/>
      <c r="C460" s="13"/>
    </row>
    <row r="461" spans="1:3" ht="13" x14ac:dyDescent="0.15">
      <c r="A461" s="10"/>
      <c r="B461" s="13"/>
      <c r="C461" s="13"/>
    </row>
    <row r="462" spans="1:3" ht="13" x14ac:dyDescent="0.15">
      <c r="A462" s="10"/>
      <c r="B462" s="13"/>
      <c r="C462" s="13"/>
    </row>
    <row r="463" spans="1:3" ht="13" x14ac:dyDescent="0.15">
      <c r="A463" s="10"/>
      <c r="B463" s="13"/>
      <c r="C463" s="13"/>
    </row>
    <row r="464" spans="1:3" ht="13" x14ac:dyDescent="0.15">
      <c r="A464" s="10"/>
      <c r="B464" s="13"/>
      <c r="C464" s="13"/>
    </row>
    <row r="465" spans="1:3" ht="13" x14ac:dyDescent="0.15">
      <c r="A465" s="10"/>
      <c r="B465" s="13"/>
      <c r="C465" s="13"/>
    </row>
    <row r="466" spans="1:3" ht="13" x14ac:dyDescent="0.15">
      <c r="A466" s="10"/>
      <c r="B466" s="13"/>
      <c r="C466" s="13"/>
    </row>
    <row r="467" spans="1:3" ht="13" x14ac:dyDescent="0.15">
      <c r="A467" s="10"/>
      <c r="B467" s="13"/>
      <c r="C467" s="13"/>
    </row>
    <row r="468" spans="1:3" ht="13" x14ac:dyDescent="0.15">
      <c r="A468" s="10"/>
      <c r="B468" s="13"/>
      <c r="C468" s="13"/>
    </row>
    <row r="469" spans="1:3" ht="13" x14ac:dyDescent="0.15">
      <c r="A469" s="10"/>
      <c r="B469" s="13"/>
      <c r="C469" s="13"/>
    </row>
    <row r="470" spans="1:3" ht="13" x14ac:dyDescent="0.15">
      <c r="A470" s="10"/>
      <c r="B470" s="13"/>
      <c r="C470" s="13"/>
    </row>
    <row r="471" spans="1:3" ht="13" x14ac:dyDescent="0.15">
      <c r="A471" s="10"/>
      <c r="B471" s="13"/>
      <c r="C471" s="13"/>
    </row>
    <row r="472" spans="1:3" ht="13" x14ac:dyDescent="0.15">
      <c r="A472" s="10"/>
      <c r="B472" s="13"/>
      <c r="C472" s="13"/>
    </row>
    <row r="473" spans="1:3" ht="13" x14ac:dyDescent="0.15">
      <c r="A473" s="10"/>
      <c r="B473" s="13"/>
      <c r="C473" s="13"/>
    </row>
    <row r="474" spans="1:3" ht="13" x14ac:dyDescent="0.15">
      <c r="A474" s="10"/>
      <c r="B474" s="13"/>
      <c r="C474" s="13"/>
    </row>
    <row r="475" spans="1:3" ht="13" x14ac:dyDescent="0.15">
      <c r="A475" s="10"/>
      <c r="B475" s="13"/>
      <c r="C475" s="13"/>
    </row>
    <row r="476" spans="1:3" ht="13" x14ac:dyDescent="0.15">
      <c r="A476" s="10"/>
      <c r="B476" s="13"/>
      <c r="C476" s="13"/>
    </row>
    <row r="477" spans="1:3" ht="13" x14ac:dyDescent="0.15">
      <c r="A477" s="10"/>
      <c r="B477" s="13"/>
      <c r="C477" s="13"/>
    </row>
    <row r="478" spans="1:3" ht="13" x14ac:dyDescent="0.15">
      <c r="A478" s="10"/>
      <c r="B478" s="13"/>
      <c r="C478" s="13"/>
    </row>
    <row r="479" spans="1:3" ht="13" x14ac:dyDescent="0.15">
      <c r="A479" s="10"/>
      <c r="B479" s="13"/>
      <c r="C479" s="13"/>
    </row>
    <row r="480" spans="1:3" ht="13" x14ac:dyDescent="0.15">
      <c r="A480" s="10"/>
      <c r="B480" s="13"/>
      <c r="C480" s="13"/>
    </row>
    <row r="481" spans="1:3" ht="13" x14ac:dyDescent="0.15">
      <c r="A481" s="10"/>
      <c r="B481" s="13"/>
      <c r="C481" s="13"/>
    </row>
    <row r="482" spans="1:3" ht="13" x14ac:dyDescent="0.15">
      <c r="A482" s="10"/>
      <c r="B482" s="13"/>
      <c r="C482" s="13"/>
    </row>
    <row r="483" spans="1:3" ht="13" x14ac:dyDescent="0.15">
      <c r="A483" s="10"/>
      <c r="B483" s="13"/>
      <c r="C483" s="13"/>
    </row>
    <row r="484" spans="1:3" ht="13" x14ac:dyDescent="0.15">
      <c r="A484" s="10"/>
      <c r="B484" s="13"/>
      <c r="C484" s="13"/>
    </row>
    <row r="485" spans="1:3" ht="13" x14ac:dyDescent="0.15">
      <c r="A485" s="10"/>
      <c r="B485" s="13"/>
      <c r="C485" s="13"/>
    </row>
    <row r="486" spans="1:3" ht="13" x14ac:dyDescent="0.15">
      <c r="A486" s="10"/>
      <c r="B486" s="13"/>
      <c r="C486" s="13"/>
    </row>
    <row r="487" spans="1:3" ht="13" x14ac:dyDescent="0.15">
      <c r="A487" s="10"/>
      <c r="B487" s="13"/>
      <c r="C487" s="13"/>
    </row>
    <row r="488" spans="1:3" ht="13" x14ac:dyDescent="0.15">
      <c r="A488" s="10"/>
      <c r="B488" s="13"/>
      <c r="C488" s="13"/>
    </row>
    <row r="489" spans="1:3" ht="13" x14ac:dyDescent="0.15">
      <c r="A489" s="10"/>
      <c r="B489" s="13"/>
      <c r="C489" s="13"/>
    </row>
    <row r="490" spans="1:3" ht="13" x14ac:dyDescent="0.15">
      <c r="A490" s="10"/>
      <c r="B490" s="13"/>
      <c r="C490" s="13"/>
    </row>
    <row r="491" spans="1:3" ht="13" x14ac:dyDescent="0.15">
      <c r="A491" s="10"/>
      <c r="B491" s="13"/>
      <c r="C491" s="13"/>
    </row>
    <row r="492" spans="1:3" ht="13" x14ac:dyDescent="0.15">
      <c r="A492" s="10"/>
      <c r="B492" s="13"/>
      <c r="C492" s="13"/>
    </row>
    <row r="493" spans="1:3" ht="13" x14ac:dyDescent="0.15">
      <c r="A493" s="10"/>
      <c r="B493" s="13"/>
      <c r="C493" s="13"/>
    </row>
    <row r="494" spans="1:3" ht="13" x14ac:dyDescent="0.15">
      <c r="A494" s="10"/>
      <c r="B494" s="13"/>
      <c r="C494" s="13"/>
    </row>
    <row r="495" spans="1:3" ht="13" x14ac:dyDescent="0.15">
      <c r="A495" s="10"/>
      <c r="B495" s="13"/>
      <c r="C495" s="13"/>
    </row>
    <row r="496" spans="1:3" ht="13" x14ac:dyDescent="0.15">
      <c r="A496" s="10"/>
      <c r="B496" s="13"/>
      <c r="C496" s="13"/>
    </row>
    <row r="497" spans="1:3" ht="13" x14ac:dyDescent="0.15">
      <c r="A497" s="10"/>
      <c r="B497" s="13"/>
      <c r="C497" s="13"/>
    </row>
    <row r="498" spans="1:3" ht="13" x14ac:dyDescent="0.15">
      <c r="A498" s="10"/>
      <c r="B498" s="13"/>
      <c r="C498" s="13"/>
    </row>
    <row r="499" spans="1:3" ht="13" x14ac:dyDescent="0.15">
      <c r="A499" s="10"/>
      <c r="B499" s="13"/>
      <c r="C499" s="13"/>
    </row>
    <row r="500" spans="1:3" ht="13" x14ac:dyDescent="0.15">
      <c r="A500" s="10"/>
      <c r="B500" s="13"/>
      <c r="C500" s="13"/>
    </row>
    <row r="501" spans="1:3" ht="13" x14ac:dyDescent="0.15">
      <c r="A501" s="10"/>
      <c r="B501" s="13"/>
      <c r="C501" s="13"/>
    </row>
    <row r="502" spans="1:3" ht="13" x14ac:dyDescent="0.15">
      <c r="A502" s="10"/>
      <c r="B502" s="13"/>
      <c r="C502" s="13"/>
    </row>
    <row r="503" spans="1:3" ht="13" x14ac:dyDescent="0.15">
      <c r="A503" s="10"/>
      <c r="B503" s="13"/>
      <c r="C503" s="13"/>
    </row>
    <row r="504" spans="1:3" ht="13" x14ac:dyDescent="0.15">
      <c r="A504" s="10"/>
      <c r="B504" s="13"/>
      <c r="C504" s="13"/>
    </row>
    <row r="505" spans="1:3" ht="13" x14ac:dyDescent="0.15">
      <c r="A505" s="10"/>
      <c r="B505" s="13"/>
      <c r="C505" s="13"/>
    </row>
    <row r="506" spans="1:3" ht="13" x14ac:dyDescent="0.15">
      <c r="A506" s="10"/>
      <c r="B506" s="13"/>
      <c r="C506" s="13"/>
    </row>
    <row r="507" spans="1:3" ht="13" x14ac:dyDescent="0.15">
      <c r="A507" s="10"/>
      <c r="B507" s="13"/>
      <c r="C507" s="13"/>
    </row>
    <row r="508" spans="1:3" ht="13" x14ac:dyDescent="0.15">
      <c r="A508" s="10"/>
      <c r="B508" s="13"/>
      <c r="C508" s="13"/>
    </row>
    <row r="509" spans="1:3" ht="13" x14ac:dyDescent="0.15">
      <c r="A509" s="10"/>
      <c r="B509" s="13"/>
      <c r="C509" s="13"/>
    </row>
    <row r="510" spans="1:3" ht="13" x14ac:dyDescent="0.15">
      <c r="A510" s="10"/>
      <c r="B510" s="13"/>
      <c r="C510" s="13"/>
    </row>
    <row r="511" spans="1:3" ht="13" x14ac:dyDescent="0.15">
      <c r="A511" s="10"/>
      <c r="B511" s="13"/>
      <c r="C511" s="13"/>
    </row>
    <row r="512" spans="1:3" ht="13" x14ac:dyDescent="0.15">
      <c r="A512" s="10"/>
      <c r="B512" s="13"/>
      <c r="C512" s="13"/>
    </row>
    <row r="513" spans="1:3" ht="13" x14ac:dyDescent="0.15">
      <c r="A513" s="10"/>
      <c r="B513" s="13"/>
      <c r="C513" s="13"/>
    </row>
    <row r="514" spans="1:3" ht="13" x14ac:dyDescent="0.15">
      <c r="A514" s="10"/>
      <c r="B514" s="13"/>
      <c r="C514" s="13"/>
    </row>
    <row r="515" spans="1:3" ht="13" x14ac:dyDescent="0.15">
      <c r="A515" s="10"/>
      <c r="B515" s="13"/>
      <c r="C515" s="13"/>
    </row>
    <row r="516" spans="1:3" ht="13" x14ac:dyDescent="0.15">
      <c r="A516" s="10"/>
      <c r="B516" s="13"/>
      <c r="C516" s="13"/>
    </row>
    <row r="517" spans="1:3" ht="13" x14ac:dyDescent="0.15">
      <c r="A517" s="10"/>
      <c r="B517" s="13"/>
      <c r="C517" s="13"/>
    </row>
    <row r="518" spans="1:3" ht="13" x14ac:dyDescent="0.15">
      <c r="A518" s="10"/>
      <c r="B518" s="13"/>
      <c r="C518" s="13"/>
    </row>
    <row r="519" spans="1:3" ht="13" x14ac:dyDescent="0.15">
      <c r="A519" s="10"/>
      <c r="B519" s="13"/>
      <c r="C519" s="13"/>
    </row>
    <row r="520" spans="1:3" ht="13" x14ac:dyDescent="0.15">
      <c r="A520" s="10"/>
      <c r="B520" s="13"/>
      <c r="C520" s="13"/>
    </row>
    <row r="521" spans="1:3" ht="13" x14ac:dyDescent="0.15">
      <c r="A521" s="10"/>
      <c r="B521" s="13"/>
      <c r="C521" s="13"/>
    </row>
    <row r="522" spans="1:3" ht="13" x14ac:dyDescent="0.15">
      <c r="A522" s="10"/>
      <c r="B522" s="13"/>
      <c r="C522" s="13"/>
    </row>
    <row r="523" spans="1:3" ht="13" x14ac:dyDescent="0.15">
      <c r="A523" s="10"/>
      <c r="B523" s="13"/>
      <c r="C523" s="13"/>
    </row>
    <row r="524" spans="1:3" ht="13" x14ac:dyDescent="0.15">
      <c r="A524" s="10"/>
      <c r="B524" s="13"/>
      <c r="C524" s="13"/>
    </row>
    <row r="525" spans="1:3" ht="13" x14ac:dyDescent="0.15">
      <c r="A525" s="10"/>
      <c r="B525" s="13"/>
      <c r="C525" s="13"/>
    </row>
    <row r="526" spans="1:3" ht="13" x14ac:dyDescent="0.15">
      <c r="A526" s="10"/>
      <c r="B526" s="13"/>
      <c r="C526" s="13"/>
    </row>
    <row r="527" spans="1:3" ht="13" x14ac:dyDescent="0.15">
      <c r="A527" s="10"/>
      <c r="B527" s="13"/>
      <c r="C527" s="13"/>
    </row>
    <row r="528" spans="1:3" ht="13" x14ac:dyDescent="0.15">
      <c r="A528" s="10"/>
      <c r="B528" s="13"/>
      <c r="C528" s="13"/>
    </row>
    <row r="529" spans="1:3" ht="13" x14ac:dyDescent="0.15">
      <c r="A529" s="10"/>
      <c r="B529" s="13"/>
      <c r="C529" s="13"/>
    </row>
    <row r="530" spans="1:3" ht="13" x14ac:dyDescent="0.15">
      <c r="A530" s="10"/>
      <c r="B530" s="13"/>
      <c r="C530" s="13"/>
    </row>
    <row r="531" spans="1:3" ht="13" x14ac:dyDescent="0.15">
      <c r="A531" s="10"/>
      <c r="B531" s="13"/>
      <c r="C531" s="13"/>
    </row>
    <row r="532" spans="1:3" ht="13" x14ac:dyDescent="0.15">
      <c r="A532" s="10"/>
      <c r="B532" s="13"/>
      <c r="C532" s="13"/>
    </row>
    <row r="533" spans="1:3" ht="13" x14ac:dyDescent="0.15">
      <c r="A533" s="10"/>
      <c r="B533" s="13"/>
      <c r="C533" s="13"/>
    </row>
    <row r="534" spans="1:3" ht="13" x14ac:dyDescent="0.15">
      <c r="A534" s="10"/>
      <c r="B534" s="13"/>
      <c r="C534" s="13"/>
    </row>
    <row r="535" spans="1:3" ht="13" x14ac:dyDescent="0.15">
      <c r="A535" s="10"/>
      <c r="B535" s="13"/>
      <c r="C535" s="13"/>
    </row>
    <row r="536" spans="1:3" ht="13" x14ac:dyDescent="0.15">
      <c r="A536" s="10"/>
      <c r="B536" s="13"/>
      <c r="C536" s="13"/>
    </row>
    <row r="537" spans="1:3" ht="13" x14ac:dyDescent="0.15">
      <c r="A537" s="10"/>
      <c r="B537" s="13"/>
      <c r="C537" s="13"/>
    </row>
    <row r="538" spans="1:3" ht="13" x14ac:dyDescent="0.15">
      <c r="A538" s="10"/>
      <c r="B538" s="13"/>
      <c r="C538" s="13"/>
    </row>
    <row r="539" spans="1:3" ht="13" x14ac:dyDescent="0.15">
      <c r="A539" s="10"/>
      <c r="B539" s="13"/>
      <c r="C539" s="13"/>
    </row>
    <row r="540" spans="1:3" ht="13" x14ac:dyDescent="0.15">
      <c r="A540" s="10"/>
      <c r="B540" s="13"/>
      <c r="C540" s="13"/>
    </row>
    <row r="541" spans="1:3" ht="13" x14ac:dyDescent="0.15">
      <c r="A541" s="10"/>
      <c r="B541" s="13"/>
      <c r="C541" s="13"/>
    </row>
    <row r="542" spans="1:3" ht="13" x14ac:dyDescent="0.15">
      <c r="A542" s="10"/>
      <c r="B542" s="13"/>
      <c r="C542" s="13"/>
    </row>
    <row r="543" spans="1:3" ht="13" x14ac:dyDescent="0.15">
      <c r="A543" s="10"/>
      <c r="B543" s="13"/>
      <c r="C543" s="13"/>
    </row>
    <row r="544" spans="1:3" ht="13" x14ac:dyDescent="0.15">
      <c r="A544" s="10"/>
      <c r="B544" s="13"/>
      <c r="C544" s="13"/>
    </row>
    <row r="545" spans="1:3" ht="13" x14ac:dyDescent="0.15">
      <c r="A545" s="10"/>
      <c r="B545" s="13"/>
      <c r="C545" s="13"/>
    </row>
    <row r="546" spans="1:3" ht="13" x14ac:dyDescent="0.15">
      <c r="A546" s="10"/>
      <c r="B546" s="13"/>
      <c r="C546" s="13"/>
    </row>
    <row r="547" spans="1:3" ht="13" x14ac:dyDescent="0.15">
      <c r="A547" s="10"/>
      <c r="B547" s="13"/>
      <c r="C547" s="13"/>
    </row>
    <row r="548" spans="1:3" ht="13" x14ac:dyDescent="0.15">
      <c r="A548" s="10"/>
      <c r="B548" s="13"/>
      <c r="C548" s="13"/>
    </row>
    <row r="549" spans="1:3" ht="13" x14ac:dyDescent="0.15">
      <c r="A549" s="10"/>
      <c r="B549" s="13"/>
      <c r="C549" s="13"/>
    </row>
    <row r="550" spans="1:3" ht="13" x14ac:dyDescent="0.15">
      <c r="A550" s="10"/>
      <c r="B550" s="13"/>
      <c r="C550" s="13"/>
    </row>
    <row r="551" spans="1:3" ht="13" x14ac:dyDescent="0.15">
      <c r="A551" s="10"/>
      <c r="B551" s="13"/>
      <c r="C551" s="13"/>
    </row>
    <row r="552" spans="1:3" ht="13" x14ac:dyDescent="0.15">
      <c r="A552" s="10"/>
      <c r="B552" s="13"/>
      <c r="C552" s="13"/>
    </row>
    <row r="553" spans="1:3" ht="13" x14ac:dyDescent="0.15">
      <c r="A553" s="10"/>
      <c r="B553" s="13"/>
      <c r="C553" s="13"/>
    </row>
    <row r="554" spans="1:3" ht="13" x14ac:dyDescent="0.15">
      <c r="A554" s="10"/>
      <c r="B554" s="13"/>
      <c r="C554" s="13"/>
    </row>
    <row r="555" spans="1:3" ht="13" x14ac:dyDescent="0.15">
      <c r="A555" s="10"/>
      <c r="B555" s="13"/>
      <c r="C555" s="13"/>
    </row>
    <row r="556" spans="1:3" ht="13" x14ac:dyDescent="0.15">
      <c r="A556" s="10"/>
      <c r="B556" s="13"/>
      <c r="C556" s="13"/>
    </row>
    <row r="557" spans="1:3" ht="13" x14ac:dyDescent="0.15">
      <c r="A557" s="10"/>
      <c r="B557" s="13"/>
      <c r="C557" s="13"/>
    </row>
    <row r="558" spans="1:3" ht="13" x14ac:dyDescent="0.15">
      <c r="A558" s="10"/>
      <c r="B558" s="13"/>
      <c r="C558" s="13"/>
    </row>
    <row r="559" spans="1:3" ht="13" x14ac:dyDescent="0.15">
      <c r="A559" s="10"/>
      <c r="B559" s="13"/>
      <c r="C559" s="13"/>
    </row>
    <row r="560" spans="1:3" ht="13" x14ac:dyDescent="0.15">
      <c r="A560" s="10"/>
      <c r="B560" s="13"/>
      <c r="C560" s="13"/>
    </row>
    <row r="561" spans="1:3" ht="13" x14ac:dyDescent="0.15">
      <c r="A561" s="10"/>
      <c r="B561" s="13"/>
      <c r="C561" s="13"/>
    </row>
    <row r="562" spans="1:3" ht="13" x14ac:dyDescent="0.15">
      <c r="A562" s="10"/>
      <c r="B562" s="13"/>
      <c r="C562" s="13"/>
    </row>
    <row r="563" spans="1:3" ht="13" x14ac:dyDescent="0.15">
      <c r="A563" s="10"/>
      <c r="B563" s="13"/>
      <c r="C563" s="13"/>
    </row>
    <row r="564" spans="1:3" ht="13" x14ac:dyDescent="0.15">
      <c r="A564" s="10"/>
      <c r="B564" s="13"/>
      <c r="C564" s="13"/>
    </row>
    <row r="565" spans="1:3" ht="13" x14ac:dyDescent="0.15">
      <c r="A565" s="10"/>
      <c r="B565" s="13"/>
      <c r="C565" s="13"/>
    </row>
    <row r="566" spans="1:3" ht="13" x14ac:dyDescent="0.15">
      <c r="A566" s="10"/>
      <c r="B566" s="13"/>
      <c r="C566" s="13"/>
    </row>
    <row r="567" spans="1:3" ht="13" x14ac:dyDescent="0.15">
      <c r="A567" s="10"/>
      <c r="B567" s="13"/>
      <c r="C567" s="13"/>
    </row>
    <row r="568" spans="1:3" ht="13" x14ac:dyDescent="0.15">
      <c r="A568" s="10"/>
      <c r="B568" s="13"/>
      <c r="C568" s="13"/>
    </row>
    <row r="569" spans="1:3" ht="13" x14ac:dyDescent="0.15">
      <c r="A569" s="10"/>
      <c r="B569" s="13"/>
      <c r="C569" s="13"/>
    </row>
    <row r="570" spans="1:3" ht="13" x14ac:dyDescent="0.15">
      <c r="A570" s="10"/>
      <c r="B570" s="13"/>
      <c r="C570" s="13"/>
    </row>
    <row r="571" spans="1:3" ht="13" x14ac:dyDescent="0.15">
      <c r="A571" s="10"/>
      <c r="B571" s="13"/>
      <c r="C571" s="13"/>
    </row>
    <row r="572" spans="1:3" ht="13" x14ac:dyDescent="0.15">
      <c r="A572" s="10"/>
      <c r="B572" s="13"/>
      <c r="C572" s="13"/>
    </row>
    <row r="573" spans="1:3" ht="13" x14ac:dyDescent="0.15">
      <c r="A573" s="10"/>
      <c r="B573" s="13"/>
      <c r="C573" s="13"/>
    </row>
    <row r="574" spans="1:3" ht="13" x14ac:dyDescent="0.15">
      <c r="A574" s="10"/>
      <c r="B574" s="13"/>
      <c r="C574" s="13"/>
    </row>
    <row r="575" spans="1:3" ht="13" x14ac:dyDescent="0.15">
      <c r="A575" s="10"/>
      <c r="B575" s="13"/>
      <c r="C575" s="13"/>
    </row>
    <row r="576" spans="1:3" ht="13" x14ac:dyDescent="0.15">
      <c r="A576" s="10"/>
      <c r="B576" s="13"/>
      <c r="C576" s="13"/>
    </row>
    <row r="577" spans="1:3" ht="13" x14ac:dyDescent="0.15">
      <c r="A577" s="10"/>
      <c r="B577" s="13"/>
      <c r="C577" s="13"/>
    </row>
    <row r="578" spans="1:3" ht="13" x14ac:dyDescent="0.15">
      <c r="A578" s="10"/>
      <c r="B578" s="13"/>
      <c r="C578" s="13"/>
    </row>
    <row r="579" spans="1:3" ht="13" x14ac:dyDescent="0.15">
      <c r="A579" s="10"/>
      <c r="B579" s="13"/>
      <c r="C579" s="13"/>
    </row>
    <row r="580" spans="1:3" ht="13" x14ac:dyDescent="0.15">
      <c r="A580" s="10"/>
      <c r="B580" s="13"/>
      <c r="C580" s="13"/>
    </row>
    <row r="581" spans="1:3" ht="13" x14ac:dyDescent="0.15">
      <c r="A581" s="10"/>
      <c r="B581" s="13"/>
      <c r="C581" s="13"/>
    </row>
    <row r="582" spans="1:3" ht="13" x14ac:dyDescent="0.15">
      <c r="A582" s="10"/>
      <c r="B582" s="13"/>
      <c r="C582" s="13"/>
    </row>
    <row r="583" spans="1:3" ht="13" x14ac:dyDescent="0.15">
      <c r="A583" s="10"/>
      <c r="B583" s="13"/>
      <c r="C583" s="13"/>
    </row>
    <row r="584" spans="1:3" ht="13" x14ac:dyDescent="0.15">
      <c r="A584" s="10"/>
      <c r="B584" s="13"/>
      <c r="C584" s="13"/>
    </row>
    <row r="585" spans="1:3" ht="13" x14ac:dyDescent="0.15">
      <c r="A585" s="10"/>
      <c r="B585" s="13"/>
      <c r="C585" s="13"/>
    </row>
    <row r="586" spans="1:3" ht="13" x14ac:dyDescent="0.15">
      <c r="A586" s="10"/>
      <c r="B586" s="13"/>
      <c r="C586" s="13"/>
    </row>
    <row r="587" spans="1:3" ht="13" x14ac:dyDescent="0.15">
      <c r="A587" s="10"/>
      <c r="B587" s="13"/>
      <c r="C587" s="13"/>
    </row>
    <row r="588" spans="1:3" ht="13" x14ac:dyDescent="0.15">
      <c r="A588" s="10"/>
      <c r="B588" s="13"/>
      <c r="C588" s="13"/>
    </row>
    <row r="589" spans="1:3" ht="13" x14ac:dyDescent="0.15">
      <c r="A589" s="10"/>
      <c r="B589" s="13"/>
      <c r="C589" s="13"/>
    </row>
    <row r="590" spans="1:3" ht="13" x14ac:dyDescent="0.15">
      <c r="A590" s="10"/>
      <c r="B590" s="13"/>
      <c r="C590" s="13"/>
    </row>
    <row r="591" spans="1:3" ht="13" x14ac:dyDescent="0.15">
      <c r="A591" s="10"/>
      <c r="B591" s="13"/>
      <c r="C591" s="13"/>
    </row>
    <row r="592" spans="1:3" ht="13" x14ac:dyDescent="0.15">
      <c r="A592" s="10"/>
      <c r="B592" s="13"/>
      <c r="C592" s="13"/>
    </row>
    <row r="593" spans="1:3" ht="13" x14ac:dyDescent="0.15">
      <c r="A593" s="10"/>
      <c r="B593" s="13"/>
      <c r="C593" s="13"/>
    </row>
    <row r="594" spans="1:3" ht="13" x14ac:dyDescent="0.15">
      <c r="A594" s="10"/>
      <c r="B594" s="13"/>
      <c r="C594" s="13"/>
    </row>
    <row r="595" spans="1:3" ht="13" x14ac:dyDescent="0.15">
      <c r="A595" s="10"/>
      <c r="B595" s="13"/>
      <c r="C595" s="13"/>
    </row>
    <row r="596" spans="1:3" ht="13" x14ac:dyDescent="0.15">
      <c r="A596" s="10"/>
      <c r="B596" s="13"/>
      <c r="C596" s="13"/>
    </row>
    <row r="597" spans="1:3" ht="13" x14ac:dyDescent="0.15">
      <c r="A597" s="10"/>
      <c r="B597" s="13"/>
      <c r="C597" s="13"/>
    </row>
    <row r="598" spans="1:3" ht="13" x14ac:dyDescent="0.15">
      <c r="A598" s="10"/>
      <c r="B598" s="13"/>
      <c r="C598" s="13"/>
    </row>
    <row r="599" spans="1:3" ht="13" x14ac:dyDescent="0.15">
      <c r="A599" s="10"/>
      <c r="B599" s="13"/>
      <c r="C599" s="13"/>
    </row>
    <row r="600" spans="1:3" ht="13" x14ac:dyDescent="0.15">
      <c r="A600" s="10"/>
      <c r="B600" s="13"/>
      <c r="C600" s="13"/>
    </row>
    <row r="601" spans="1:3" ht="13" x14ac:dyDescent="0.15">
      <c r="A601" s="10"/>
      <c r="B601" s="13"/>
      <c r="C601" s="13"/>
    </row>
    <row r="602" spans="1:3" ht="13" x14ac:dyDescent="0.15">
      <c r="A602" s="10"/>
      <c r="B602" s="13"/>
      <c r="C602" s="13"/>
    </row>
    <row r="603" spans="1:3" ht="13" x14ac:dyDescent="0.15">
      <c r="A603" s="10"/>
      <c r="B603" s="13"/>
      <c r="C603" s="13"/>
    </row>
    <row r="604" spans="1:3" ht="13" x14ac:dyDescent="0.15">
      <c r="A604" s="10"/>
      <c r="B604" s="13"/>
      <c r="C604" s="13"/>
    </row>
    <row r="605" spans="1:3" ht="13" x14ac:dyDescent="0.15">
      <c r="A605" s="10"/>
      <c r="B605" s="13"/>
      <c r="C605" s="13"/>
    </row>
    <row r="606" spans="1:3" ht="13" x14ac:dyDescent="0.15">
      <c r="A606" s="10"/>
      <c r="B606" s="13"/>
      <c r="C606" s="13"/>
    </row>
    <row r="607" spans="1:3" ht="13" x14ac:dyDescent="0.15">
      <c r="A607" s="10"/>
      <c r="B607" s="13"/>
      <c r="C607" s="13"/>
    </row>
    <row r="608" spans="1:3" ht="13" x14ac:dyDescent="0.15">
      <c r="A608" s="10"/>
      <c r="B608" s="13"/>
      <c r="C608" s="13"/>
    </row>
    <row r="609" spans="1:3" ht="13" x14ac:dyDescent="0.15">
      <c r="A609" s="10"/>
      <c r="B609" s="13"/>
      <c r="C609" s="13"/>
    </row>
    <row r="610" spans="1:3" ht="13" x14ac:dyDescent="0.15">
      <c r="A610" s="10"/>
      <c r="B610" s="13"/>
      <c r="C610" s="13"/>
    </row>
    <row r="611" spans="1:3" ht="13" x14ac:dyDescent="0.15">
      <c r="A611" s="10"/>
      <c r="B611" s="13"/>
      <c r="C611" s="13"/>
    </row>
    <row r="612" spans="1:3" ht="13" x14ac:dyDescent="0.15">
      <c r="A612" s="10"/>
      <c r="B612" s="13"/>
      <c r="C612" s="13"/>
    </row>
    <row r="613" spans="1:3" ht="13" x14ac:dyDescent="0.15">
      <c r="A613" s="10"/>
      <c r="B613" s="13"/>
      <c r="C613" s="13"/>
    </row>
    <row r="614" spans="1:3" ht="13" x14ac:dyDescent="0.15">
      <c r="A614" s="10"/>
      <c r="B614" s="13"/>
      <c r="C614" s="13"/>
    </row>
    <row r="615" spans="1:3" ht="13" x14ac:dyDescent="0.15">
      <c r="A615" s="10"/>
      <c r="B615" s="13"/>
      <c r="C615" s="13"/>
    </row>
    <row r="616" spans="1:3" ht="13" x14ac:dyDescent="0.15">
      <c r="A616" s="10"/>
      <c r="B616" s="13"/>
      <c r="C616" s="13"/>
    </row>
    <row r="617" spans="1:3" ht="13" x14ac:dyDescent="0.15">
      <c r="A617" s="10"/>
      <c r="B617" s="13"/>
      <c r="C617" s="13"/>
    </row>
    <row r="618" spans="1:3" ht="13" x14ac:dyDescent="0.15">
      <c r="A618" s="10"/>
      <c r="B618" s="13"/>
      <c r="C618" s="13"/>
    </row>
    <row r="619" spans="1:3" ht="13" x14ac:dyDescent="0.15">
      <c r="A619" s="10"/>
      <c r="B619" s="13"/>
      <c r="C619" s="13"/>
    </row>
    <row r="620" spans="1:3" ht="13" x14ac:dyDescent="0.15">
      <c r="A620" s="10"/>
      <c r="B620" s="13"/>
      <c r="C620" s="13"/>
    </row>
    <row r="621" spans="1:3" ht="13" x14ac:dyDescent="0.15">
      <c r="A621" s="10"/>
      <c r="B621" s="13"/>
      <c r="C621" s="13"/>
    </row>
    <row r="622" spans="1:3" ht="13" x14ac:dyDescent="0.15">
      <c r="A622" s="10"/>
      <c r="B622" s="13"/>
      <c r="C622" s="13"/>
    </row>
    <row r="623" spans="1:3" ht="13" x14ac:dyDescent="0.15">
      <c r="A623" s="10"/>
      <c r="B623" s="13"/>
      <c r="C623" s="13"/>
    </row>
    <row r="624" spans="1:3" ht="13" x14ac:dyDescent="0.15">
      <c r="A624" s="10"/>
      <c r="B624" s="13"/>
      <c r="C624" s="13"/>
    </row>
    <row r="625" spans="1:3" ht="13" x14ac:dyDescent="0.15">
      <c r="A625" s="10"/>
      <c r="B625" s="13"/>
      <c r="C625" s="13"/>
    </row>
    <row r="626" spans="1:3" ht="13" x14ac:dyDescent="0.15">
      <c r="A626" s="10"/>
      <c r="B626" s="13"/>
      <c r="C626" s="13"/>
    </row>
    <row r="627" spans="1:3" ht="13" x14ac:dyDescent="0.15">
      <c r="A627" s="10"/>
      <c r="B627" s="13"/>
      <c r="C627" s="13"/>
    </row>
    <row r="628" spans="1:3" ht="13" x14ac:dyDescent="0.15">
      <c r="A628" s="10"/>
      <c r="B628" s="13"/>
      <c r="C628" s="13"/>
    </row>
    <row r="629" spans="1:3" ht="13" x14ac:dyDescent="0.15">
      <c r="A629" s="10"/>
      <c r="B629" s="13"/>
      <c r="C629" s="13"/>
    </row>
    <row r="630" spans="1:3" ht="13" x14ac:dyDescent="0.15">
      <c r="A630" s="10"/>
      <c r="B630" s="13"/>
      <c r="C630" s="13"/>
    </row>
    <row r="631" spans="1:3" ht="13" x14ac:dyDescent="0.15">
      <c r="A631" s="10"/>
      <c r="B631" s="13"/>
      <c r="C631" s="13"/>
    </row>
    <row r="632" spans="1:3" ht="13" x14ac:dyDescent="0.15">
      <c r="A632" s="10"/>
      <c r="B632" s="13"/>
      <c r="C632" s="13"/>
    </row>
    <row r="633" spans="1:3" ht="13" x14ac:dyDescent="0.15">
      <c r="A633" s="10"/>
      <c r="B633" s="13"/>
      <c r="C633" s="13"/>
    </row>
    <row r="634" spans="1:3" ht="13" x14ac:dyDescent="0.15">
      <c r="A634" s="10"/>
      <c r="B634" s="13"/>
      <c r="C634" s="13"/>
    </row>
    <row r="635" spans="1:3" ht="13" x14ac:dyDescent="0.15">
      <c r="A635" s="10"/>
      <c r="B635" s="13"/>
      <c r="C635" s="13"/>
    </row>
    <row r="636" spans="1:3" ht="13" x14ac:dyDescent="0.15">
      <c r="A636" s="10"/>
      <c r="B636" s="13"/>
      <c r="C636" s="13"/>
    </row>
    <row r="637" spans="1:3" ht="13" x14ac:dyDescent="0.15">
      <c r="A637" s="10"/>
      <c r="B637" s="13"/>
      <c r="C637" s="13"/>
    </row>
    <row r="638" spans="1:3" ht="13" x14ac:dyDescent="0.15">
      <c r="A638" s="10"/>
      <c r="B638" s="13"/>
      <c r="C638" s="13"/>
    </row>
    <row r="639" spans="1:3" ht="13" x14ac:dyDescent="0.15">
      <c r="A639" s="10"/>
      <c r="B639" s="13"/>
      <c r="C639" s="13"/>
    </row>
    <row r="640" spans="1:3" ht="13" x14ac:dyDescent="0.15">
      <c r="A640" s="10"/>
      <c r="B640" s="13"/>
      <c r="C640" s="13"/>
    </row>
    <row r="641" spans="1:3" ht="13" x14ac:dyDescent="0.15">
      <c r="A641" s="10"/>
      <c r="B641" s="13"/>
      <c r="C641" s="13"/>
    </row>
    <row r="642" spans="1:3" ht="13" x14ac:dyDescent="0.15">
      <c r="A642" s="10"/>
      <c r="B642" s="13"/>
      <c r="C642" s="13"/>
    </row>
    <row r="643" spans="1:3" ht="13" x14ac:dyDescent="0.15">
      <c r="A643" s="10"/>
      <c r="B643" s="13"/>
      <c r="C643" s="13"/>
    </row>
    <row r="644" spans="1:3" ht="13" x14ac:dyDescent="0.15">
      <c r="A644" s="10"/>
      <c r="B644" s="13"/>
      <c r="C644" s="13"/>
    </row>
    <row r="645" spans="1:3" ht="13" x14ac:dyDescent="0.15">
      <c r="A645" s="10"/>
      <c r="B645" s="13"/>
      <c r="C645" s="13"/>
    </row>
    <row r="646" spans="1:3" ht="13" x14ac:dyDescent="0.15">
      <c r="A646" s="10"/>
      <c r="B646" s="13"/>
      <c r="C646" s="13"/>
    </row>
    <row r="647" spans="1:3" ht="13" x14ac:dyDescent="0.15">
      <c r="A647" s="10"/>
      <c r="B647" s="13"/>
      <c r="C647" s="13"/>
    </row>
    <row r="648" spans="1:3" ht="13" x14ac:dyDescent="0.15">
      <c r="A648" s="10"/>
      <c r="B648" s="13"/>
      <c r="C648" s="13"/>
    </row>
    <row r="649" spans="1:3" ht="13" x14ac:dyDescent="0.15">
      <c r="A649" s="10"/>
      <c r="B649" s="13"/>
      <c r="C649" s="13"/>
    </row>
    <row r="650" spans="1:3" ht="13" x14ac:dyDescent="0.15">
      <c r="A650" s="10"/>
      <c r="B650" s="13"/>
      <c r="C650" s="13"/>
    </row>
    <row r="651" spans="1:3" ht="13" x14ac:dyDescent="0.15">
      <c r="A651" s="10"/>
      <c r="B651" s="13"/>
      <c r="C651" s="13"/>
    </row>
    <row r="652" spans="1:3" ht="13" x14ac:dyDescent="0.15">
      <c r="A652" s="10"/>
      <c r="B652" s="13"/>
      <c r="C652" s="13"/>
    </row>
    <row r="653" spans="1:3" ht="13" x14ac:dyDescent="0.15">
      <c r="A653" s="10"/>
      <c r="B653" s="13"/>
      <c r="C653" s="13"/>
    </row>
    <row r="654" spans="1:3" ht="13" x14ac:dyDescent="0.15">
      <c r="A654" s="10"/>
      <c r="B654" s="13"/>
      <c r="C654" s="13"/>
    </row>
    <row r="655" spans="1:3" ht="13" x14ac:dyDescent="0.15">
      <c r="A655" s="10"/>
      <c r="B655" s="13"/>
      <c r="C655" s="13"/>
    </row>
    <row r="656" spans="1:3" ht="13" x14ac:dyDescent="0.15">
      <c r="A656" s="10"/>
      <c r="B656" s="13"/>
      <c r="C656" s="13"/>
    </row>
    <row r="657" spans="1:3" ht="13" x14ac:dyDescent="0.15">
      <c r="A657" s="10"/>
      <c r="B657" s="13"/>
      <c r="C657" s="13"/>
    </row>
    <row r="658" spans="1:3" ht="13" x14ac:dyDescent="0.15">
      <c r="A658" s="10"/>
      <c r="B658" s="13"/>
      <c r="C658" s="13"/>
    </row>
    <row r="659" spans="1:3" ht="13" x14ac:dyDescent="0.15">
      <c r="A659" s="10"/>
      <c r="B659" s="13"/>
      <c r="C659" s="13"/>
    </row>
    <row r="660" spans="1:3" ht="13" x14ac:dyDescent="0.15">
      <c r="A660" s="10"/>
      <c r="B660" s="13"/>
      <c r="C660" s="13"/>
    </row>
    <row r="661" spans="1:3" ht="13" x14ac:dyDescent="0.15">
      <c r="A661" s="10"/>
      <c r="B661" s="13"/>
      <c r="C661" s="13"/>
    </row>
    <row r="662" spans="1:3" ht="13" x14ac:dyDescent="0.15">
      <c r="A662" s="10"/>
      <c r="B662" s="13"/>
      <c r="C662" s="13"/>
    </row>
    <row r="663" spans="1:3" ht="13" x14ac:dyDescent="0.15">
      <c r="A663" s="10"/>
      <c r="B663" s="13"/>
      <c r="C663" s="13"/>
    </row>
    <row r="664" spans="1:3" ht="13" x14ac:dyDescent="0.15">
      <c r="A664" s="10"/>
      <c r="B664" s="13"/>
      <c r="C664" s="13"/>
    </row>
    <row r="665" spans="1:3" ht="13" x14ac:dyDescent="0.15">
      <c r="A665" s="10"/>
      <c r="B665" s="13"/>
      <c r="C665" s="13"/>
    </row>
    <row r="666" spans="1:3" ht="13" x14ac:dyDescent="0.15">
      <c r="A666" s="10"/>
      <c r="B666" s="13"/>
      <c r="C666" s="13"/>
    </row>
    <row r="667" spans="1:3" ht="13" x14ac:dyDescent="0.15">
      <c r="A667" s="10"/>
      <c r="B667" s="13"/>
      <c r="C667" s="13"/>
    </row>
    <row r="668" spans="1:3" ht="13" x14ac:dyDescent="0.15">
      <c r="A668" s="10"/>
      <c r="B668" s="13"/>
      <c r="C668" s="13"/>
    </row>
    <row r="669" spans="1:3" ht="13" x14ac:dyDescent="0.15">
      <c r="A669" s="10"/>
      <c r="B669" s="13"/>
      <c r="C669" s="13"/>
    </row>
    <row r="670" spans="1:3" ht="13" x14ac:dyDescent="0.15">
      <c r="A670" s="10"/>
      <c r="B670" s="13"/>
      <c r="C670" s="13"/>
    </row>
    <row r="671" spans="1:3" ht="13" x14ac:dyDescent="0.15">
      <c r="A671" s="10"/>
      <c r="B671" s="13"/>
      <c r="C671" s="13"/>
    </row>
    <row r="672" spans="1:3" ht="13" x14ac:dyDescent="0.15">
      <c r="A672" s="10"/>
      <c r="B672" s="13"/>
      <c r="C672" s="13"/>
    </row>
    <row r="673" spans="1:3" ht="13" x14ac:dyDescent="0.15">
      <c r="A673" s="10"/>
      <c r="B673" s="13"/>
      <c r="C673" s="13"/>
    </row>
    <row r="674" spans="1:3" ht="13" x14ac:dyDescent="0.15">
      <c r="A674" s="10"/>
      <c r="B674" s="13"/>
      <c r="C674" s="13"/>
    </row>
    <row r="675" spans="1:3" ht="13" x14ac:dyDescent="0.15">
      <c r="A675" s="10"/>
      <c r="B675" s="13"/>
      <c r="C675" s="13"/>
    </row>
    <row r="676" spans="1:3" ht="13" x14ac:dyDescent="0.15">
      <c r="A676" s="10"/>
      <c r="B676" s="13"/>
      <c r="C676" s="13"/>
    </row>
    <row r="677" spans="1:3" ht="13" x14ac:dyDescent="0.15">
      <c r="A677" s="10"/>
      <c r="B677" s="13"/>
      <c r="C677" s="13"/>
    </row>
    <row r="678" spans="1:3" ht="13" x14ac:dyDescent="0.15">
      <c r="A678" s="10"/>
      <c r="B678" s="13"/>
      <c r="C678" s="13"/>
    </row>
    <row r="679" spans="1:3" ht="13" x14ac:dyDescent="0.15">
      <c r="A679" s="10"/>
      <c r="B679" s="13"/>
      <c r="C679" s="13"/>
    </row>
    <row r="680" spans="1:3" ht="13" x14ac:dyDescent="0.15">
      <c r="A680" s="10"/>
      <c r="B680" s="13"/>
      <c r="C680" s="13"/>
    </row>
    <row r="681" spans="1:3" ht="13" x14ac:dyDescent="0.15">
      <c r="A681" s="10"/>
      <c r="B681" s="13"/>
      <c r="C681" s="13"/>
    </row>
    <row r="682" spans="1:3" ht="13" x14ac:dyDescent="0.15">
      <c r="A682" s="10"/>
      <c r="B682" s="13"/>
      <c r="C682" s="13"/>
    </row>
    <row r="683" spans="1:3" ht="13" x14ac:dyDescent="0.15">
      <c r="A683" s="10"/>
      <c r="B683" s="13"/>
      <c r="C683" s="13"/>
    </row>
    <row r="684" spans="1:3" ht="13" x14ac:dyDescent="0.15">
      <c r="A684" s="10"/>
      <c r="B684" s="13"/>
      <c r="C684" s="13"/>
    </row>
    <row r="685" spans="1:3" ht="13" x14ac:dyDescent="0.15">
      <c r="A685" s="10"/>
      <c r="B685" s="13"/>
      <c r="C685" s="13"/>
    </row>
    <row r="686" spans="1:3" ht="13" x14ac:dyDescent="0.15">
      <c r="A686" s="10"/>
      <c r="B686" s="13"/>
      <c r="C686" s="13"/>
    </row>
    <row r="687" spans="1:3" ht="13" x14ac:dyDescent="0.15">
      <c r="A687" s="10"/>
      <c r="B687" s="13"/>
      <c r="C687" s="13"/>
    </row>
    <row r="688" spans="1:3" ht="13" x14ac:dyDescent="0.15">
      <c r="A688" s="10"/>
      <c r="B688" s="13"/>
      <c r="C688" s="13"/>
    </row>
    <row r="689" spans="1:3" ht="13" x14ac:dyDescent="0.15">
      <c r="A689" s="10"/>
      <c r="B689" s="13"/>
      <c r="C689" s="13"/>
    </row>
    <row r="690" spans="1:3" ht="13" x14ac:dyDescent="0.15">
      <c r="A690" s="10"/>
      <c r="B690" s="13"/>
      <c r="C690" s="13"/>
    </row>
    <row r="691" spans="1:3" ht="13" x14ac:dyDescent="0.15">
      <c r="A691" s="10"/>
      <c r="B691" s="13"/>
      <c r="C691" s="13"/>
    </row>
    <row r="692" spans="1:3" ht="13" x14ac:dyDescent="0.15">
      <c r="A692" s="10"/>
      <c r="B692" s="13"/>
      <c r="C692" s="13"/>
    </row>
    <row r="693" spans="1:3" ht="13" x14ac:dyDescent="0.15">
      <c r="A693" s="10"/>
      <c r="B693" s="13"/>
      <c r="C693" s="13"/>
    </row>
    <row r="694" spans="1:3" ht="13" x14ac:dyDescent="0.15">
      <c r="A694" s="10"/>
      <c r="B694" s="13"/>
      <c r="C694" s="13"/>
    </row>
    <row r="695" spans="1:3" ht="13" x14ac:dyDescent="0.15">
      <c r="A695" s="10"/>
      <c r="B695" s="13"/>
      <c r="C695" s="13"/>
    </row>
    <row r="696" spans="1:3" ht="13" x14ac:dyDescent="0.15">
      <c r="A696" s="10"/>
      <c r="B696" s="13"/>
      <c r="C696" s="13"/>
    </row>
    <row r="697" spans="1:3" ht="13" x14ac:dyDescent="0.15">
      <c r="A697" s="10"/>
      <c r="B697" s="13"/>
      <c r="C697" s="13"/>
    </row>
    <row r="698" spans="1:3" ht="13" x14ac:dyDescent="0.15">
      <c r="A698" s="10"/>
      <c r="B698" s="13"/>
      <c r="C698" s="13"/>
    </row>
    <row r="699" spans="1:3" ht="13" x14ac:dyDescent="0.15">
      <c r="A699" s="10"/>
      <c r="B699" s="13"/>
      <c r="C699" s="13"/>
    </row>
    <row r="700" spans="1:3" ht="13" x14ac:dyDescent="0.15">
      <c r="A700" s="10"/>
      <c r="B700" s="13"/>
      <c r="C700" s="13"/>
    </row>
    <row r="701" spans="1:3" ht="13" x14ac:dyDescent="0.15">
      <c r="A701" s="10"/>
      <c r="B701" s="13"/>
      <c r="C701" s="13"/>
    </row>
    <row r="702" spans="1:3" ht="13" x14ac:dyDescent="0.15">
      <c r="A702" s="10"/>
      <c r="B702" s="13"/>
      <c r="C702" s="13"/>
    </row>
    <row r="703" spans="1:3" ht="13" x14ac:dyDescent="0.15">
      <c r="A703" s="10"/>
      <c r="B703" s="13"/>
      <c r="C703" s="13"/>
    </row>
    <row r="704" spans="1:3" ht="13" x14ac:dyDescent="0.15">
      <c r="A704" s="10"/>
      <c r="B704" s="13"/>
      <c r="C704" s="13"/>
    </row>
    <row r="705" spans="1:3" ht="13" x14ac:dyDescent="0.15">
      <c r="A705" s="10"/>
      <c r="B705" s="13"/>
      <c r="C705" s="13"/>
    </row>
    <row r="706" spans="1:3" ht="13" x14ac:dyDescent="0.15">
      <c r="A706" s="10"/>
      <c r="B706" s="13"/>
      <c r="C706" s="13"/>
    </row>
    <row r="707" spans="1:3" ht="13" x14ac:dyDescent="0.15">
      <c r="A707" s="10"/>
      <c r="B707" s="13"/>
      <c r="C707" s="13"/>
    </row>
    <row r="708" spans="1:3" ht="13" x14ac:dyDescent="0.15">
      <c r="A708" s="10"/>
      <c r="B708" s="13"/>
      <c r="C708" s="13"/>
    </row>
    <row r="709" spans="1:3" ht="13" x14ac:dyDescent="0.15">
      <c r="A709" s="10"/>
      <c r="B709" s="13"/>
      <c r="C709" s="13"/>
    </row>
    <row r="710" spans="1:3" ht="13" x14ac:dyDescent="0.15">
      <c r="A710" s="10"/>
      <c r="B710" s="13"/>
      <c r="C710" s="13"/>
    </row>
    <row r="711" spans="1:3" ht="13" x14ac:dyDescent="0.15">
      <c r="A711" s="10"/>
      <c r="B711" s="13"/>
      <c r="C711" s="13"/>
    </row>
    <row r="712" spans="1:3" ht="13" x14ac:dyDescent="0.15">
      <c r="A712" s="10"/>
      <c r="B712" s="13"/>
      <c r="C712" s="13"/>
    </row>
    <row r="713" spans="1:3" ht="13" x14ac:dyDescent="0.15">
      <c r="A713" s="10"/>
      <c r="B713" s="13"/>
      <c r="C713" s="13"/>
    </row>
    <row r="714" spans="1:3" ht="13" x14ac:dyDescent="0.15">
      <c r="A714" s="10"/>
      <c r="B714" s="13"/>
      <c r="C714" s="13"/>
    </row>
    <row r="715" spans="1:3" ht="13" x14ac:dyDescent="0.15">
      <c r="A715" s="10"/>
      <c r="B715" s="13"/>
      <c r="C715" s="13"/>
    </row>
    <row r="716" spans="1:3" ht="13" x14ac:dyDescent="0.15">
      <c r="A716" s="10"/>
      <c r="B716" s="13"/>
      <c r="C716" s="13"/>
    </row>
    <row r="717" spans="1:3" ht="13" x14ac:dyDescent="0.15">
      <c r="A717" s="10"/>
      <c r="B717" s="13"/>
      <c r="C717" s="13"/>
    </row>
    <row r="718" spans="1:3" ht="13" x14ac:dyDescent="0.15">
      <c r="A718" s="10"/>
      <c r="B718" s="13"/>
      <c r="C718" s="13"/>
    </row>
    <row r="719" spans="1:3" ht="13" x14ac:dyDescent="0.15">
      <c r="A719" s="10"/>
      <c r="B719" s="13"/>
      <c r="C719" s="13"/>
    </row>
    <row r="720" spans="1:3" ht="13" x14ac:dyDescent="0.15">
      <c r="A720" s="10"/>
      <c r="B720" s="13"/>
      <c r="C720" s="13"/>
    </row>
    <row r="721" spans="1:3" ht="13" x14ac:dyDescent="0.15">
      <c r="A721" s="10"/>
      <c r="B721" s="13"/>
      <c r="C721" s="13"/>
    </row>
    <row r="722" spans="1:3" ht="13" x14ac:dyDescent="0.15">
      <c r="A722" s="10"/>
      <c r="B722" s="13"/>
      <c r="C722" s="13"/>
    </row>
    <row r="723" spans="1:3" ht="13" x14ac:dyDescent="0.15">
      <c r="A723" s="10"/>
      <c r="B723" s="13"/>
      <c r="C723" s="13"/>
    </row>
    <row r="724" spans="1:3" ht="13" x14ac:dyDescent="0.15">
      <c r="A724" s="10"/>
      <c r="B724" s="13"/>
      <c r="C724" s="13"/>
    </row>
    <row r="725" spans="1:3" ht="13" x14ac:dyDescent="0.15">
      <c r="A725" s="10"/>
      <c r="B725" s="13"/>
      <c r="C725" s="13"/>
    </row>
    <row r="726" spans="1:3" ht="13" x14ac:dyDescent="0.15">
      <c r="A726" s="10"/>
      <c r="B726" s="13"/>
      <c r="C726" s="13"/>
    </row>
    <row r="727" spans="1:3" ht="13" x14ac:dyDescent="0.15">
      <c r="A727" s="10"/>
      <c r="B727" s="13"/>
      <c r="C727" s="13"/>
    </row>
    <row r="728" spans="1:3" ht="13" x14ac:dyDescent="0.15">
      <c r="A728" s="10"/>
      <c r="B728" s="13"/>
      <c r="C728" s="13"/>
    </row>
    <row r="729" spans="1:3" ht="13" x14ac:dyDescent="0.15">
      <c r="A729" s="10"/>
      <c r="B729" s="13"/>
      <c r="C729" s="13"/>
    </row>
    <row r="730" spans="1:3" ht="13" x14ac:dyDescent="0.15">
      <c r="A730" s="10"/>
      <c r="B730" s="13"/>
      <c r="C730" s="13"/>
    </row>
    <row r="731" spans="1:3" ht="13" x14ac:dyDescent="0.15">
      <c r="A731" s="10"/>
      <c r="B731" s="13"/>
      <c r="C731" s="13"/>
    </row>
    <row r="732" spans="1:3" ht="13" x14ac:dyDescent="0.15">
      <c r="A732" s="10"/>
      <c r="B732" s="13"/>
      <c r="C732" s="13"/>
    </row>
    <row r="733" spans="1:3" ht="13" x14ac:dyDescent="0.15">
      <c r="A733" s="10"/>
      <c r="B733" s="13"/>
      <c r="C733" s="13"/>
    </row>
    <row r="734" spans="1:3" ht="13" x14ac:dyDescent="0.15">
      <c r="A734" s="10"/>
      <c r="B734" s="13"/>
      <c r="C734" s="13"/>
    </row>
    <row r="735" spans="1:3" ht="13" x14ac:dyDescent="0.15">
      <c r="A735" s="10"/>
      <c r="B735" s="13"/>
      <c r="C735" s="13"/>
    </row>
    <row r="736" spans="1:3" ht="13" x14ac:dyDescent="0.15">
      <c r="A736" s="10"/>
      <c r="B736" s="13"/>
      <c r="C736" s="13"/>
    </row>
    <row r="737" spans="1:3" ht="13" x14ac:dyDescent="0.15">
      <c r="A737" s="10"/>
      <c r="B737" s="13"/>
      <c r="C737" s="13"/>
    </row>
    <row r="738" spans="1:3" ht="13" x14ac:dyDescent="0.15">
      <c r="A738" s="10"/>
      <c r="B738" s="13"/>
      <c r="C738" s="13"/>
    </row>
    <row r="739" spans="1:3" ht="13" x14ac:dyDescent="0.15">
      <c r="A739" s="10"/>
      <c r="B739" s="13"/>
      <c r="C739" s="13"/>
    </row>
    <row r="740" spans="1:3" ht="13" x14ac:dyDescent="0.15">
      <c r="A740" s="10"/>
      <c r="B740" s="13"/>
      <c r="C740" s="13"/>
    </row>
    <row r="741" spans="1:3" ht="13" x14ac:dyDescent="0.15">
      <c r="A741" s="10"/>
      <c r="B741" s="13"/>
      <c r="C741" s="13"/>
    </row>
    <row r="742" spans="1:3" ht="13" x14ac:dyDescent="0.15">
      <c r="A742" s="10"/>
      <c r="B742" s="13"/>
      <c r="C742" s="13"/>
    </row>
    <row r="743" spans="1:3" ht="13" x14ac:dyDescent="0.15">
      <c r="A743" s="10"/>
      <c r="B743" s="13"/>
      <c r="C743" s="13"/>
    </row>
    <row r="744" spans="1:3" ht="13" x14ac:dyDescent="0.15">
      <c r="A744" s="10"/>
      <c r="B744" s="13"/>
      <c r="C744" s="13"/>
    </row>
    <row r="745" spans="1:3" ht="13" x14ac:dyDescent="0.15">
      <c r="A745" s="10"/>
      <c r="B745" s="13"/>
      <c r="C745" s="13"/>
    </row>
    <row r="746" spans="1:3" ht="13" x14ac:dyDescent="0.15">
      <c r="A746" s="10"/>
      <c r="B746" s="13"/>
      <c r="C746" s="13"/>
    </row>
    <row r="747" spans="1:3" ht="13" x14ac:dyDescent="0.15">
      <c r="A747" s="10"/>
      <c r="B747" s="13"/>
      <c r="C747" s="13"/>
    </row>
    <row r="748" spans="1:3" ht="13" x14ac:dyDescent="0.15">
      <c r="A748" s="10"/>
      <c r="B748" s="13"/>
      <c r="C748" s="13"/>
    </row>
    <row r="749" spans="1:3" ht="13" x14ac:dyDescent="0.15">
      <c r="A749" s="10"/>
      <c r="B749" s="13"/>
      <c r="C749" s="13"/>
    </row>
    <row r="750" spans="1:3" ht="13" x14ac:dyDescent="0.15">
      <c r="A750" s="10"/>
      <c r="B750" s="13"/>
      <c r="C750" s="13"/>
    </row>
    <row r="751" spans="1:3" ht="13" x14ac:dyDescent="0.15">
      <c r="A751" s="10"/>
      <c r="B751" s="13"/>
      <c r="C751" s="13"/>
    </row>
    <row r="752" spans="1:3" ht="13" x14ac:dyDescent="0.15">
      <c r="A752" s="10"/>
      <c r="B752" s="13"/>
      <c r="C752" s="13"/>
    </row>
    <row r="753" spans="1:3" ht="13" x14ac:dyDescent="0.15">
      <c r="A753" s="10"/>
      <c r="B753" s="13"/>
      <c r="C753" s="13"/>
    </row>
    <row r="754" spans="1:3" ht="13" x14ac:dyDescent="0.15">
      <c r="A754" s="10"/>
      <c r="B754" s="13"/>
      <c r="C754" s="13"/>
    </row>
    <row r="755" spans="1:3" ht="13" x14ac:dyDescent="0.15">
      <c r="A755" s="10"/>
      <c r="B755" s="13"/>
      <c r="C755" s="13"/>
    </row>
    <row r="756" spans="1:3" ht="13" x14ac:dyDescent="0.15">
      <c r="A756" s="10"/>
      <c r="B756" s="13"/>
      <c r="C756" s="13"/>
    </row>
    <row r="757" spans="1:3" ht="13" x14ac:dyDescent="0.15">
      <c r="A757" s="10"/>
      <c r="B757" s="13"/>
      <c r="C757" s="13"/>
    </row>
    <row r="758" spans="1:3" ht="13" x14ac:dyDescent="0.15">
      <c r="A758" s="10"/>
      <c r="B758" s="13"/>
      <c r="C758" s="13"/>
    </row>
    <row r="759" spans="1:3" ht="13" x14ac:dyDescent="0.15">
      <c r="A759" s="10"/>
      <c r="B759" s="13"/>
      <c r="C759" s="13"/>
    </row>
    <row r="760" spans="1:3" ht="13" x14ac:dyDescent="0.15">
      <c r="A760" s="10"/>
      <c r="B760" s="13"/>
      <c r="C760" s="13"/>
    </row>
    <row r="761" spans="1:3" ht="13" x14ac:dyDescent="0.15">
      <c r="A761" s="10"/>
      <c r="B761" s="13"/>
      <c r="C761" s="13"/>
    </row>
    <row r="762" spans="1:3" ht="13" x14ac:dyDescent="0.15">
      <c r="A762" s="10"/>
      <c r="B762" s="13"/>
      <c r="C762" s="13"/>
    </row>
    <row r="763" spans="1:3" ht="13" x14ac:dyDescent="0.15">
      <c r="A763" s="10"/>
      <c r="B763" s="13"/>
      <c r="C763" s="13"/>
    </row>
    <row r="764" spans="1:3" ht="13" x14ac:dyDescent="0.15">
      <c r="A764" s="10"/>
      <c r="B764" s="13"/>
      <c r="C764" s="13"/>
    </row>
    <row r="765" spans="1:3" ht="13" x14ac:dyDescent="0.15">
      <c r="A765" s="10"/>
      <c r="B765" s="13"/>
      <c r="C765" s="13"/>
    </row>
    <row r="766" spans="1:3" ht="13" x14ac:dyDescent="0.15">
      <c r="A766" s="10"/>
      <c r="B766" s="13"/>
      <c r="C766" s="13"/>
    </row>
    <row r="767" spans="1:3" ht="13" x14ac:dyDescent="0.15">
      <c r="A767" s="10"/>
      <c r="B767" s="13"/>
      <c r="C767" s="13"/>
    </row>
    <row r="768" spans="1:3" ht="13" x14ac:dyDescent="0.15">
      <c r="A768" s="10"/>
      <c r="B768" s="13"/>
      <c r="C768" s="13"/>
    </row>
    <row r="769" spans="1:3" ht="13" x14ac:dyDescent="0.15">
      <c r="A769" s="10"/>
      <c r="B769" s="13"/>
      <c r="C769" s="13"/>
    </row>
    <row r="770" spans="1:3" ht="13" x14ac:dyDescent="0.15">
      <c r="A770" s="10"/>
      <c r="B770" s="13"/>
      <c r="C770" s="13"/>
    </row>
    <row r="771" spans="1:3" ht="13" x14ac:dyDescent="0.15">
      <c r="A771" s="10"/>
      <c r="B771" s="13"/>
      <c r="C771" s="13"/>
    </row>
    <row r="772" spans="1:3" ht="13" x14ac:dyDescent="0.15">
      <c r="A772" s="10"/>
      <c r="B772" s="13"/>
      <c r="C772" s="13"/>
    </row>
    <row r="773" spans="1:3" ht="13" x14ac:dyDescent="0.15">
      <c r="A773" s="10"/>
      <c r="B773" s="13"/>
      <c r="C773" s="13"/>
    </row>
    <row r="774" spans="1:3" ht="13" x14ac:dyDescent="0.15">
      <c r="A774" s="10"/>
      <c r="B774" s="13"/>
      <c r="C774" s="13"/>
    </row>
    <row r="775" spans="1:3" ht="13" x14ac:dyDescent="0.15">
      <c r="A775" s="10"/>
      <c r="B775" s="13"/>
      <c r="C775" s="13"/>
    </row>
    <row r="776" spans="1:3" ht="13" x14ac:dyDescent="0.15">
      <c r="A776" s="10"/>
      <c r="B776" s="13"/>
      <c r="C776" s="13"/>
    </row>
    <row r="777" spans="1:3" ht="13" x14ac:dyDescent="0.15">
      <c r="A777" s="10"/>
      <c r="B777" s="13"/>
      <c r="C777" s="13"/>
    </row>
    <row r="778" spans="1:3" ht="13" x14ac:dyDescent="0.15">
      <c r="A778" s="10"/>
      <c r="B778" s="13"/>
      <c r="C778" s="13"/>
    </row>
    <row r="779" spans="1:3" ht="13" x14ac:dyDescent="0.15">
      <c r="A779" s="10"/>
      <c r="B779" s="13"/>
      <c r="C779" s="13"/>
    </row>
    <row r="780" spans="1:3" ht="13" x14ac:dyDescent="0.15">
      <c r="A780" s="10"/>
      <c r="B780" s="13"/>
      <c r="C780" s="13"/>
    </row>
    <row r="781" spans="1:3" ht="13" x14ac:dyDescent="0.15">
      <c r="A781" s="10"/>
      <c r="B781" s="13"/>
      <c r="C781" s="13"/>
    </row>
    <row r="782" spans="1:3" ht="13" x14ac:dyDescent="0.15">
      <c r="A782" s="10"/>
      <c r="B782" s="13"/>
      <c r="C782" s="13"/>
    </row>
    <row r="783" spans="1:3" ht="13" x14ac:dyDescent="0.15">
      <c r="A783" s="10"/>
      <c r="B783" s="13"/>
      <c r="C783" s="13"/>
    </row>
    <row r="784" spans="1:3" ht="13" x14ac:dyDescent="0.15">
      <c r="A784" s="10"/>
      <c r="B784" s="13"/>
      <c r="C784" s="13"/>
    </row>
    <row r="785" spans="1:3" ht="13" x14ac:dyDescent="0.15">
      <c r="A785" s="10"/>
      <c r="B785" s="13"/>
      <c r="C785" s="13"/>
    </row>
    <row r="786" spans="1:3" ht="13" x14ac:dyDescent="0.15">
      <c r="A786" s="10"/>
      <c r="B786" s="13"/>
      <c r="C786" s="13"/>
    </row>
    <row r="787" spans="1:3" ht="13" x14ac:dyDescent="0.15">
      <c r="A787" s="10"/>
      <c r="B787" s="13"/>
      <c r="C787" s="13"/>
    </row>
    <row r="788" spans="1:3" ht="13" x14ac:dyDescent="0.15">
      <c r="A788" s="10"/>
      <c r="B788" s="13"/>
      <c r="C788" s="13"/>
    </row>
    <row r="789" spans="1:3" ht="13" x14ac:dyDescent="0.15">
      <c r="A789" s="10"/>
      <c r="B789" s="13"/>
      <c r="C789" s="13"/>
    </row>
    <row r="790" spans="1:3" ht="13" x14ac:dyDescent="0.15">
      <c r="A790" s="10"/>
      <c r="B790" s="13"/>
      <c r="C790" s="13"/>
    </row>
    <row r="791" spans="1:3" ht="13" x14ac:dyDescent="0.15">
      <c r="A791" s="10"/>
      <c r="B791" s="13"/>
      <c r="C791" s="13"/>
    </row>
    <row r="792" spans="1:3" ht="13" x14ac:dyDescent="0.15">
      <c r="A792" s="10"/>
      <c r="B792" s="13"/>
      <c r="C792" s="13"/>
    </row>
    <row r="793" spans="1:3" ht="13" x14ac:dyDescent="0.15">
      <c r="A793" s="10"/>
      <c r="B793" s="13"/>
      <c r="C793" s="13"/>
    </row>
    <row r="794" spans="1:3" ht="13" x14ac:dyDescent="0.15">
      <c r="A794" s="10"/>
      <c r="B794" s="13"/>
      <c r="C794" s="13"/>
    </row>
    <row r="795" spans="1:3" ht="13" x14ac:dyDescent="0.15">
      <c r="A795" s="10"/>
      <c r="B795" s="13"/>
      <c r="C795" s="13"/>
    </row>
    <row r="796" spans="1:3" ht="13" x14ac:dyDescent="0.15">
      <c r="A796" s="10"/>
      <c r="B796" s="13"/>
      <c r="C796" s="13"/>
    </row>
    <row r="797" spans="1:3" ht="13" x14ac:dyDescent="0.15">
      <c r="A797" s="10"/>
      <c r="B797" s="13"/>
      <c r="C797" s="13"/>
    </row>
    <row r="798" spans="1:3" ht="13" x14ac:dyDescent="0.15">
      <c r="A798" s="10"/>
      <c r="B798" s="13"/>
      <c r="C798" s="13"/>
    </row>
    <row r="799" spans="1:3" ht="13" x14ac:dyDescent="0.15">
      <c r="A799" s="10"/>
      <c r="B799" s="13"/>
      <c r="C799" s="13"/>
    </row>
    <row r="800" spans="1:3" ht="13" x14ac:dyDescent="0.15">
      <c r="A800" s="10"/>
      <c r="B800" s="13"/>
      <c r="C800" s="13"/>
    </row>
    <row r="801" spans="1:3" ht="13" x14ac:dyDescent="0.15">
      <c r="A801" s="10"/>
      <c r="B801" s="13"/>
      <c r="C801" s="13"/>
    </row>
    <row r="802" spans="1:3" ht="13" x14ac:dyDescent="0.15">
      <c r="A802" s="10"/>
      <c r="B802" s="13"/>
      <c r="C802" s="13"/>
    </row>
    <row r="803" spans="1:3" ht="13" x14ac:dyDescent="0.15">
      <c r="A803" s="10"/>
      <c r="B803" s="13"/>
      <c r="C803" s="13"/>
    </row>
    <row r="804" spans="1:3" ht="13" x14ac:dyDescent="0.15">
      <c r="A804" s="10"/>
      <c r="B804" s="13"/>
      <c r="C804" s="13"/>
    </row>
    <row r="805" spans="1:3" ht="13" x14ac:dyDescent="0.15">
      <c r="A805" s="10"/>
      <c r="B805" s="13"/>
      <c r="C805" s="13"/>
    </row>
    <row r="806" spans="1:3" ht="13" x14ac:dyDescent="0.15">
      <c r="A806" s="10"/>
      <c r="B806" s="13"/>
      <c r="C806" s="13"/>
    </row>
    <row r="807" spans="1:3" ht="13" x14ac:dyDescent="0.15">
      <c r="A807" s="10"/>
      <c r="B807" s="13"/>
      <c r="C807" s="13"/>
    </row>
    <row r="808" spans="1:3" ht="13" x14ac:dyDescent="0.15">
      <c r="A808" s="10"/>
      <c r="B808" s="13"/>
      <c r="C808" s="13"/>
    </row>
    <row r="809" spans="1:3" ht="13" x14ac:dyDescent="0.15">
      <c r="A809" s="10"/>
      <c r="B809" s="13"/>
      <c r="C809" s="13"/>
    </row>
    <row r="810" spans="1:3" ht="13" x14ac:dyDescent="0.15">
      <c r="A810" s="10"/>
      <c r="B810" s="13"/>
      <c r="C810" s="13"/>
    </row>
    <row r="811" spans="1:3" ht="13" x14ac:dyDescent="0.15">
      <c r="A811" s="10"/>
      <c r="B811" s="13"/>
      <c r="C811" s="13"/>
    </row>
    <row r="812" spans="1:3" ht="13" x14ac:dyDescent="0.15">
      <c r="A812" s="10"/>
      <c r="B812" s="13"/>
      <c r="C812" s="13"/>
    </row>
    <row r="813" spans="1:3" ht="13" x14ac:dyDescent="0.15">
      <c r="A813" s="10"/>
      <c r="B813" s="13"/>
      <c r="C813" s="13"/>
    </row>
    <row r="814" spans="1:3" ht="13" x14ac:dyDescent="0.15">
      <c r="A814" s="10"/>
      <c r="B814" s="13"/>
      <c r="C814" s="13"/>
    </row>
    <row r="815" spans="1:3" ht="13" x14ac:dyDescent="0.15">
      <c r="A815" s="10"/>
      <c r="B815" s="13"/>
      <c r="C815" s="13"/>
    </row>
    <row r="816" spans="1:3" ht="13" x14ac:dyDescent="0.15">
      <c r="A816" s="10"/>
      <c r="B816" s="13"/>
      <c r="C816" s="13"/>
    </row>
    <row r="817" spans="1:3" ht="13" x14ac:dyDescent="0.15">
      <c r="A817" s="10"/>
      <c r="B817" s="13"/>
      <c r="C817" s="13"/>
    </row>
    <row r="818" spans="1:3" ht="13" x14ac:dyDescent="0.15">
      <c r="A818" s="10"/>
      <c r="B818" s="13"/>
      <c r="C818" s="13"/>
    </row>
    <row r="819" spans="1:3" ht="13" x14ac:dyDescent="0.15">
      <c r="A819" s="10"/>
      <c r="B819" s="13"/>
      <c r="C819" s="13"/>
    </row>
    <row r="820" spans="1:3" ht="13" x14ac:dyDescent="0.15">
      <c r="A820" s="10"/>
      <c r="B820" s="13"/>
      <c r="C820" s="13"/>
    </row>
    <row r="821" spans="1:3" ht="13" x14ac:dyDescent="0.15">
      <c r="A821" s="10"/>
      <c r="B821" s="13"/>
      <c r="C821" s="13"/>
    </row>
    <row r="822" spans="1:3" ht="13" x14ac:dyDescent="0.15">
      <c r="A822" s="10"/>
      <c r="B822" s="13"/>
      <c r="C822" s="13"/>
    </row>
    <row r="823" spans="1:3" ht="13" x14ac:dyDescent="0.15">
      <c r="A823" s="10"/>
      <c r="B823" s="13"/>
      <c r="C823" s="13"/>
    </row>
    <row r="824" spans="1:3" ht="13" x14ac:dyDescent="0.15">
      <c r="A824" s="10"/>
      <c r="B824" s="13"/>
      <c r="C824" s="13"/>
    </row>
    <row r="825" spans="1:3" ht="13" x14ac:dyDescent="0.15">
      <c r="A825" s="10"/>
      <c r="B825" s="13"/>
      <c r="C825" s="13"/>
    </row>
    <row r="826" spans="1:3" ht="13" x14ac:dyDescent="0.15">
      <c r="A826" s="10"/>
      <c r="B826" s="13"/>
      <c r="C826" s="13"/>
    </row>
    <row r="827" spans="1:3" ht="13" x14ac:dyDescent="0.15">
      <c r="A827" s="10"/>
      <c r="B827" s="13"/>
      <c r="C827" s="13"/>
    </row>
    <row r="828" spans="1:3" ht="13" x14ac:dyDescent="0.15">
      <c r="A828" s="10"/>
      <c r="B828" s="13"/>
      <c r="C828" s="13"/>
    </row>
    <row r="829" spans="1:3" ht="13" x14ac:dyDescent="0.15">
      <c r="A829" s="10"/>
      <c r="B829" s="13"/>
      <c r="C829" s="13"/>
    </row>
    <row r="830" spans="1:3" ht="13" x14ac:dyDescent="0.15">
      <c r="A830" s="10"/>
      <c r="B830" s="13"/>
      <c r="C830" s="13"/>
    </row>
    <row r="831" spans="1:3" ht="13" x14ac:dyDescent="0.15">
      <c r="A831" s="10"/>
      <c r="B831" s="13"/>
      <c r="C831" s="13"/>
    </row>
    <row r="832" spans="1:3" ht="13" x14ac:dyDescent="0.15">
      <c r="A832" s="10"/>
      <c r="B832" s="13"/>
      <c r="C832" s="13"/>
    </row>
    <row r="833" spans="1:3" ht="13" x14ac:dyDescent="0.15">
      <c r="A833" s="10"/>
      <c r="B833" s="13"/>
      <c r="C833" s="13"/>
    </row>
    <row r="834" spans="1:3" ht="13" x14ac:dyDescent="0.15">
      <c r="A834" s="10"/>
      <c r="B834" s="13"/>
      <c r="C834" s="13"/>
    </row>
    <row r="835" spans="1:3" ht="13" x14ac:dyDescent="0.15">
      <c r="A835" s="10"/>
      <c r="B835" s="13"/>
      <c r="C835" s="13"/>
    </row>
    <row r="836" spans="1:3" ht="13" x14ac:dyDescent="0.15">
      <c r="A836" s="10"/>
      <c r="B836" s="13"/>
      <c r="C836" s="13"/>
    </row>
    <row r="837" spans="1:3" ht="13" x14ac:dyDescent="0.15">
      <c r="A837" s="10"/>
      <c r="B837" s="13"/>
      <c r="C837" s="13"/>
    </row>
    <row r="838" spans="1:3" ht="13" x14ac:dyDescent="0.15">
      <c r="A838" s="10"/>
      <c r="B838" s="13"/>
      <c r="C838" s="13"/>
    </row>
    <row r="839" spans="1:3" ht="13" x14ac:dyDescent="0.15">
      <c r="A839" s="10"/>
      <c r="B839" s="13"/>
      <c r="C839" s="13"/>
    </row>
    <row r="840" spans="1:3" ht="13" x14ac:dyDescent="0.15">
      <c r="A840" s="10"/>
      <c r="B840" s="13"/>
      <c r="C840" s="13"/>
    </row>
    <row r="841" spans="1:3" ht="13" x14ac:dyDescent="0.15">
      <c r="A841" s="10"/>
      <c r="B841" s="13"/>
      <c r="C841" s="13"/>
    </row>
    <row r="842" spans="1:3" ht="13" x14ac:dyDescent="0.15">
      <c r="A842" s="10"/>
      <c r="B842" s="13"/>
      <c r="C842" s="13"/>
    </row>
    <row r="843" spans="1:3" ht="13" x14ac:dyDescent="0.15">
      <c r="A843" s="10"/>
      <c r="B843" s="13"/>
      <c r="C843" s="13"/>
    </row>
    <row r="844" spans="1:3" ht="13" x14ac:dyDescent="0.15">
      <c r="A844" s="10"/>
      <c r="B844" s="13"/>
      <c r="C844" s="13"/>
    </row>
    <row r="845" spans="1:3" ht="13" x14ac:dyDescent="0.15">
      <c r="A845" s="10"/>
      <c r="B845" s="13"/>
      <c r="C845" s="13"/>
    </row>
    <row r="846" spans="1:3" ht="13" x14ac:dyDescent="0.15">
      <c r="A846" s="10"/>
      <c r="B846" s="13"/>
      <c r="C846" s="13"/>
    </row>
    <row r="847" spans="1:3" ht="13" x14ac:dyDescent="0.15">
      <c r="A847" s="10"/>
      <c r="B847" s="13"/>
      <c r="C847" s="13"/>
    </row>
    <row r="848" spans="1:3" ht="13" x14ac:dyDescent="0.15">
      <c r="A848" s="10"/>
      <c r="B848" s="13"/>
      <c r="C848" s="13"/>
    </row>
    <row r="849" spans="1:3" ht="13" x14ac:dyDescent="0.15">
      <c r="A849" s="10"/>
      <c r="B849" s="13"/>
      <c r="C849" s="13"/>
    </row>
    <row r="850" spans="1:3" ht="13" x14ac:dyDescent="0.15">
      <c r="A850" s="10"/>
      <c r="B850" s="13"/>
      <c r="C850" s="13"/>
    </row>
    <row r="851" spans="1:3" ht="13" x14ac:dyDescent="0.15">
      <c r="A851" s="10"/>
      <c r="B851" s="13"/>
      <c r="C851" s="13"/>
    </row>
    <row r="852" spans="1:3" ht="13" x14ac:dyDescent="0.15">
      <c r="A852" s="10"/>
      <c r="B852" s="13"/>
      <c r="C852" s="13"/>
    </row>
    <row r="853" spans="1:3" ht="13" x14ac:dyDescent="0.15">
      <c r="A853" s="10"/>
      <c r="B853" s="13"/>
      <c r="C853" s="13"/>
    </row>
    <row r="854" spans="1:3" ht="13" x14ac:dyDescent="0.15">
      <c r="A854" s="10"/>
      <c r="B854" s="13"/>
      <c r="C854" s="13"/>
    </row>
    <row r="855" spans="1:3" ht="13" x14ac:dyDescent="0.15">
      <c r="A855" s="10"/>
      <c r="B855" s="13"/>
      <c r="C855" s="13"/>
    </row>
    <row r="856" spans="1:3" ht="13" x14ac:dyDescent="0.15">
      <c r="A856" s="10"/>
      <c r="B856" s="13"/>
      <c r="C856" s="13"/>
    </row>
    <row r="857" spans="1:3" ht="13" x14ac:dyDescent="0.15">
      <c r="A857" s="10"/>
      <c r="B857" s="13"/>
      <c r="C857" s="13"/>
    </row>
    <row r="858" spans="1:3" ht="13" x14ac:dyDescent="0.15">
      <c r="A858" s="10"/>
      <c r="B858" s="13"/>
      <c r="C858" s="13"/>
    </row>
    <row r="859" spans="1:3" ht="13" x14ac:dyDescent="0.15">
      <c r="A859" s="10"/>
      <c r="B859" s="13"/>
      <c r="C859" s="13"/>
    </row>
    <row r="860" spans="1:3" ht="13" x14ac:dyDescent="0.15">
      <c r="A860" s="10"/>
      <c r="B860" s="13"/>
      <c r="C860" s="13"/>
    </row>
    <row r="861" spans="1:3" ht="13" x14ac:dyDescent="0.15">
      <c r="A861" s="10"/>
      <c r="B861" s="13"/>
      <c r="C861" s="13"/>
    </row>
    <row r="862" spans="1:3" ht="13" x14ac:dyDescent="0.15">
      <c r="A862" s="10"/>
      <c r="B862" s="13"/>
      <c r="C862" s="13"/>
    </row>
    <row r="863" spans="1:3" ht="13" x14ac:dyDescent="0.15">
      <c r="A863" s="10"/>
      <c r="B863" s="13"/>
      <c r="C863" s="13"/>
    </row>
    <row r="864" spans="1:3" ht="13" x14ac:dyDescent="0.15">
      <c r="A864" s="10"/>
      <c r="B864" s="13"/>
      <c r="C864" s="13"/>
    </row>
    <row r="865" spans="1:3" ht="13" x14ac:dyDescent="0.15">
      <c r="A865" s="10"/>
      <c r="B865" s="13"/>
      <c r="C865" s="13"/>
    </row>
    <row r="866" spans="1:3" ht="13" x14ac:dyDescent="0.15">
      <c r="A866" s="10"/>
      <c r="B866" s="13"/>
      <c r="C866" s="13"/>
    </row>
    <row r="867" spans="1:3" ht="13" x14ac:dyDescent="0.15">
      <c r="A867" s="10"/>
      <c r="B867" s="13"/>
      <c r="C867" s="13"/>
    </row>
    <row r="868" spans="1:3" ht="13" x14ac:dyDescent="0.15">
      <c r="A868" s="10"/>
      <c r="B868" s="13"/>
      <c r="C868" s="13"/>
    </row>
    <row r="869" spans="1:3" ht="13" x14ac:dyDescent="0.15">
      <c r="A869" s="10"/>
      <c r="B869" s="13"/>
      <c r="C869" s="13"/>
    </row>
    <row r="870" spans="1:3" ht="13" x14ac:dyDescent="0.15">
      <c r="A870" s="10"/>
      <c r="B870" s="13"/>
      <c r="C870" s="13"/>
    </row>
    <row r="871" spans="1:3" ht="13" x14ac:dyDescent="0.15">
      <c r="A871" s="10"/>
      <c r="B871" s="13"/>
      <c r="C871" s="13"/>
    </row>
    <row r="872" spans="1:3" ht="13" x14ac:dyDescent="0.15">
      <c r="A872" s="10"/>
      <c r="B872" s="13"/>
      <c r="C872" s="13"/>
    </row>
    <row r="873" spans="1:3" ht="13" x14ac:dyDescent="0.15">
      <c r="A873" s="10"/>
      <c r="B873" s="13"/>
      <c r="C873" s="13"/>
    </row>
    <row r="874" spans="1:3" ht="13" x14ac:dyDescent="0.15">
      <c r="A874" s="10"/>
      <c r="B874" s="13"/>
      <c r="C874" s="13"/>
    </row>
    <row r="875" spans="1:3" ht="13" x14ac:dyDescent="0.15">
      <c r="A875" s="10"/>
      <c r="B875" s="13"/>
      <c r="C875" s="13"/>
    </row>
    <row r="876" spans="1:3" ht="13" x14ac:dyDescent="0.15">
      <c r="A876" s="10"/>
      <c r="B876" s="13"/>
      <c r="C876" s="13"/>
    </row>
    <row r="877" spans="1:3" ht="13" x14ac:dyDescent="0.15">
      <c r="A877" s="10"/>
      <c r="B877" s="13"/>
      <c r="C877" s="13"/>
    </row>
    <row r="878" spans="1:3" ht="13" x14ac:dyDescent="0.15">
      <c r="A878" s="10"/>
      <c r="B878" s="13"/>
      <c r="C878" s="13"/>
    </row>
    <row r="879" spans="1:3" ht="13" x14ac:dyDescent="0.15">
      <c r="A879" s="10"/>
      <c r="B879" s="13"/>
      <c r="C879" s="13"/>
    </row>
    <row r="880" spans="1:3" ht="13" x14ac:dyDescent="0.15">
      <c r="A880" s="10"/>
      <c r="B880" s="13"/>
      <c r="C880" s="13"/>
    </row>
    <row r="881" spans="1:3" ht="13" x14ac:dyDescent="0.15">
      <c r="A881" s="10"/>
      <c r="B881" s="13"/>
      <c r="C881" s="13"/>
    </row>
    <row r="882" spans="1:3" ht="13" x14ac:dyDescent="0.15">
      <c r="A882" s="10"/>
      <c r="B882" s="13"/>
      <c r="C882" s="13"/>
    </row>
    <row r="883" spans="1:3" ht="13" x14ac:dyDescent="0.15">
      <c r="A883" s="10"/>
      <c r="B883" s="13"/>
      <c r="C883" s="13"/>
    </row>
    <row r="884" spans="1:3" ht="13" x14ac:dyDescent="0.15">
      <c r="A884" s="10"/>
      <c r="B884" s="13"/>
      <c r="C884" s="13"/>
    </row>
    <row r="885" spans="1:3" ht="13" x14ac:dyDescent="0.15">
      <c r="A885" s="10"/>
      <c r="B885" s="13"/>
      <c r="C885" s="13"/>
    </row>
    <row r="886" spans="1:3" ht="13" x14ac:dyDescent="0.15">
      <c r="A886" s="10"/>
      <c r="B886" s="13"/>
      <c r="C886" s="13"/>
    </row>
    <row r="887" spans="1:3" ht="13" x14ac:dyDescent="0.15">
      <c r="A887" s="10"/>
      <c r="B887" s="13"/>
      <c r="C887" s="13"/>
    </row>
    <row r="888" spans="1:3" ht="13" x14ac:dyDescent="0.15">
      <c r="A888" s="10"/>
      <c r="B888" s="13"/>
      <c r="C888" s="13"/>
    </row>
    <row r="889" spans="1:3" ht="13" x14ac:dyDescent="0.15">
      <c r="A889" s="10"/>
      <c r="B889" s="13"/>
      <c r="C889" s="13"/>
    </row>
    <row r="890" spans="1:3" ht="13" x14ac:dyDescent="0.15">
      <c r="A890" s="10"/>
      <c r="B890" s="13"/>
      <c r="C890" s="13"/>
    </row>
    <row r="891" spans="1:3" ht="13" x14ac:dyDescent="0.15">
      <c r="A891" s="10"/>
      <c r="B891" s="13"/>
      <c r="C891" s="13"/>
    </row>
    <row r="892" spans="1:3" ht="13" x14ac:dyDescent="0.15">
      <c r="A892" s="10"/>
      <c r="B892" s="13"/>
      <c r="C892" s="13"/>
    </row>
    <row r="893" spans="1:3" ht="13" x14ac:dyDescent="0.15">
      <c r="A893" s="10"/>
      <c r="B893" s="13"/>
      <c r="C893" s="13"/>
    </row>
    <row r="894" spans="1:3" ht="13" x14ac:dyDescent="0.15">
      <c r="A894" s="10"/>
      <c r="B894" s="13"/>
      <c r="C894" s="13"/>
    </row>
    <row r="895" spans="1:3" ht="13" x14ac:dyDescent="0.15">
      <c r="A895" s="10"/>
      <c r="B895" s="13"/>
      <c r="C895" s="13"/>
    </row>
    <row r="896" spans="1:3" ht="13" x14ac:dyDescent="0.15">
      <c r="A896" s="10"/>
      <c r="B896" s="13"/>
      <c r="C896" s="13"/>
    </row>
    <row r="897" spans="1:3" ht="13" x14ac:dyDescent="0.15">
      <c r="A897" s="10"/>
      <c r="B897" s="13"/>
      <c r="C897" s="13"/>
    </row>
    <row r="898" spans="1:3" ht="13" x14ac:dyDescent="0.15">
      <c r="A898" s="10"/>
      <c r="B898" s="13"/>
      <c r="C898" s="13"/>
    </row>
    <row r="899" spans="1:3" ht="13" x14ac:dyDescent="0.15">
      <c r="A899" s="10"/>
      <c r="B899" s="13"/>
      <c r="C899" s="13"/>
    </row>
    <row r="900" spans="1:3" ht="13" x14ac:dyDescent="0.15">
      <c r="A900" s="10"/>
      <c r="B900" s="13"/>
      <c r="C900" s="13"/>
    </row>
    <row r="901" spans="1:3" ht="13" x14ac:dyDescent="0.15">
      <c r="A901" s="10"/>
      <c r="B901" s="13"/>
      <c r="C901" s="13"/>
    </row>
    <row r="902" spans="1:3" ht="13" x14ac:dyDescent="0.15">
      <c r="A902" s="10"/>
      <c r="B902" s="13"/>
      <c r="C902" s="13"/>
    </row>
    <row r="903" spans="1:3" ht="13" x14ac:dyDescent="0.15">
      <c r="A903" s="10"/>
      <c r="B903" s="13"/>
      <c r="C903" s="13"/>
    </row>
    <row r="904" spans="1:3" ht="13" x14ac:dyDescent="0.15">
      <c r="A904" s="10"/>
      <c r="B904" s="13"/>
      <c r="C904" s="13"/>
    </row>
    <row r="905" spans="1:3" ht="13" x14ac:dyDescent="0.15">
      <c r="A905" s="10"/>
      <c r="B905" s="13"/>
      <c r="C905" s="13"/>
    </row>
    <row r="906" spans="1:3" ht="13" x14ac:dyDescent="0.15">
      <c r="A906" s="10"/>
      <c r="B906" s="13"/>
      <c r="C906" s="13"/>
    </row>
    <row r="907" spans="1:3" ht="13" x14ac:dyDescent="0.15">
      <c r="A907" s="10"/>
      <c r="B907" s="13"/>
      <c r="C907" s="13"/>
    </row>
    <row r="908" spans="1:3" ht="13" x14ac:dyDescent="0.15">
      <c r="A908" s="10"/>
      <c r="B908" s="13"/>
      <c r="C908" s="13"/>
    </row>
    <row r="909" spans="1:3" ht="13" x14ac:dyDescent="0.15">
      <c r="A909" s="10"/>
      <c r="B909" s="13"/>
      <c r="C909" s="13"/>
    </row>
    <row r="910" spans="1:3" ht="13" x14ac:dyDescent="0.15">
      <c r="A910" s="10"/>
      <c r="B910" s="13"/>
      <c r="C910" s="13"/>
    </row>
    <row r="911" spans="1:3" ht="13" x14ac:dyDescent="0.15">
      <c r="A911" s="10"/>
      <c r="B911" s="13"/>
      <c r="C911" s="13"/>
    </row>
    <row r="912" spans="1:3" ht="13" x14ac:dyDescent="0.15">
      <c r="A912" s="10"/>
      <c r="B912" s="13"/>
      <c r="C912" s="13"/>
    </row>
    <row r="913" spans="1:3" ht="13" x14ac:dyDescent="0.15">
      <c r="A913" s="10"/>
      <c r="B913" s="13"/>
      <c r="C913" s="13"/>
    </row>
    <row r="914" spans="1:3" ht="13" x14ac:dyDescent="0.15">
      <c r="A914" s="10"/>
      <c r="B914" s="13"/>
      <c r="C914" s="13"/>
    </row>
    <row r="915" spans="1:3" ht="13" x14ac:dyDescent="0.15">
      <c r="A915" s="10"/>
      <c r="B915" s="13"/>
      <c r="C915" s="13"/>
    </row>
    <row r="916" spans="1:3" ht="13" x14ac:dyDescent="0.15">
      <c r="A916" s="10"/>
      <c r="B916" s="13"/>
      <c r="C916" s="13"/>
    </row>
    <row r="917" spans="1:3" ht="13" x14ac:dyDescent="0.15">
      <c r="A917" s="10"/>
      <c r="B917" s="13"/>
      <c r="C917" s="13"/>
    </row>
    <row r="918" spans="1:3" ht="13" x14ac:dyDescent="0.15">
      <c r="A918" s="10"/>
      <c r="B918" s="13"/>
      <c r="C918" s="13"/>
    </row>
    <row r="919" spans="1:3" ht="13" x14ac:dyDescent="0.15">
      <c r="A919" s="10"/>
      <c r="B919" s="13"/>
      <c r="C919" s="13"/>
    </row>
    <row r="920" spans="1:3" ht="13" x14ac:dyDescent="0.15">
      <c r="A920" s="10"/>
      <c r="B920" s="13"/>
      <c r="C920" s="13"/>
    </row>
    <row r="921" spans="1:3" ht="13" x14ac:dyDescent="0.15">
      <c r="A921" s="10"/>
      <c r="B921" s="13"/>
      <c r="C921" s="13"/>
    </row>
    <row r="922" spans="1:3" ht="13" x14ac:dyDescent="0.15">
      <c r="A922" s="10"/>
      <c r="B922" s="13"/>
      <c r="C922" s="13"/>
    </row>
    <row r="923" spans="1:3" ht="13" x14ac:dyDescent="0.15">
      <c r="A923" s="10"/>
      <c r="B923" s="13"/>
      <c r="C923" s="13"/>
    </row>
    <row r="924" spans="1:3" ht="13" x14ac:dyDescent="0.15">
      <c r="A924" s="10"/>
      <c r="B924" s="13"/>
      <c r="C924" s="13"/>
    </row>
    <row r="925" spans="1:3" ht="13" x14ac:dyDescent="0.15">
      <c r="A925" s="10"/>
      <c r="B925" s="13"/>
      <c r="C925" s="13"/>
    </row>
    <row r="926" spans="1:3" ht="13" x14ac:dyDescent="0.15">
      <c r="A926" s="10"/>
      <c r="B926" s="13"/>
      <c r="C926" s="13"/>
    </row>
    <row r="927" spans="1:3" ht="13" x14ac:dyDescent="0.15">
      <c r="A927" s="10"/>
      <c r="B927" s="13"/>
      <c r="C927" s="13"/>
    </row>
    <row r="928" spans="1:3" ht="13" x14ac:dyDescent="0.15">
      <c r="A928" s="10"/>
      <c r="B928" s="13"/>
      <c r="C928" s="13"/>
    </row>
    <row r="929" spans="1:3" ht="13" x14ac:dyDescent="0.15">
      <c r="A929" s="10"/>
      <c r="B929" s="13"/>
      <c r="C929" s="13"/>
    </row>
    <row r="930" spans="1:3" ht="13" x14ac:dyDescent="0.15">
      <c r="A930" s="10"/>
      <c r="B930" s="13"/>
      <c r="C930" s="13"/>
    </row>
    <row r="931" spans="1:3" ht="13" x14ac:dyDescent="0.15">
      <c r="A931" s="10"/>
      <c r="B931" s="13"/>
      <c r="C931" s="13"/>
    </row>
    <row r="932" spans="1:3" ht="13" x14ac:dyDescent="0.15">
      <c r="A932" s="10"/>
      <c r="B932" s="13"/>
      <c r="C932" s="13"/>
    </row>
    <row r="933" spans="1:3" ht="13" x14ac:dyDescent="0.15">
      <c r="A933" s="10"/>
      <c r="B933" s="13"/>
      <c r="C933" s="13"/>
    </row>
    <row r="934" spans="1:3" ht="13" x14ac:dyDescent="0.15">
      <c r="A934" s="10"/>
      <c r="B934" s="13"/>
      <c r="C934" s="13"/>
    </row>
    <row r="935" spans="1:3" ht="13" x14ac:dyDescent="0.15">
      <c r="A935" s="10"/>
      <c r="B935" s="13"/>
      <c r="C935" s="13"/>
    </row>
    <row r="936" spans="1:3" ht="13" x14ac:dyDescent="0.15">
      <c r="A936" s="10"/>
      <c r="B936" s="13"/>
      <c r="C936" s="13"/>
    </row>
    <row r="937" spans="1:3" ht="13" x14ac:dyDescent="0.15">
      <c r="A937" s="10"/>
      <c r="B937" s="13"/>
      <c r="C937" s="13"/>
    </row>
    <row r="938" spans="1:3" ht="13" x14ac:dyDescent="0.15">
      <c r="A938" s="10"/>
      <c r="B938" s="13"/>
      <c r="C938" s="13"/>
    </row>
    <row r="939" spans="1:3" ht="13" x14ac:dyDescent="0.15">
      <c r="A939" s="10"/>
      <c r="B939" s="13"/>
      <c r="C939" s="13"/>
    </row>
    <row r="940" spans="1:3" ht="13" x14ac:dyDescent="0.15">
      <c r="A940" s="10"/>
      <c r="B940" s="13"/>
      <c r="C940" s="13"/>
    </row>
    <row r="941" spans="1:3" ht="13" x14ac:dyDescent="0.15">
      <c r="A941" s="10"/>
      <c r="B941" s="13"/>
      <c r="C941" s="13"/>
    </row>
    <row r="942" spans="1:3" ht="13" x14ac:dyDescent="0.15">
      <c r="A942" s="10"/>
      <c r="B942" s="13"/>
      <c r="C942" s="13"/>
    </row>
    <row r="943" spans="1:3" ht="13" x14ac:dyDescent="0.15">
      <c r="A943" s="10"/>
      <c r="B943" s="13"/>
      <c r="C943" s="13"/>
    </row>
    <row r="944" spans="1:3" ht="13" x14ac:dyDescent="0.15">
      <c r="A944" s="10"/>
      <c r="B944" s="13"/>
      <c r="C944" s="13"/>
    </row>
    <row r="945" spans="1:3" ht="13" x14ac:dyDescent="0.15">
      <c r="A945" s="10"/>
      <c r="B945" s="13"/>
      <c r="C945" s="13"/>
    </row>
    <row r="946" spans="1:3" ht="13" x14ac:dyDescent="0.15">
      <c r="A946" s="10"/>
      <c r="B946" s="13"/>
      <c r="C946" s="13"/>
    </row>
    <row r="947" spans="1:3" ht="13" x14ac:dyDescent="0.15">
      <c r="A947" s="10"/>
      <c r="B947" s="13"/>
      <c r="C947" s="13"/>
    </row>
    <row r="948" spans="1:3" ht="13" x14ac:dyDescent="0.15">
      <c r="A948" s="10"/>
      <c r="B948" s="13"/>
      <c r="C948" s="13"/>
    </row>
    <row r="949" spans="1:3" ht="13" x14ac:dyDescent="0.15">
      <c r="A949" s="10"/>
      <c r="B949" s="13"/>
      <c r="C949" s="13"/>
    </row>
    <row r="950" spans="1:3" ht="13" x14ac:dyDescent="0.15">
      <c r="A950" s="10"/>
      <c r="B950" s="13"/>
      <c r="C950" s="13"/>
    </row>
    <row r="951" spans="1:3" ht="13" x14ac:dyDescent="0.15">
      <c r="A951" s="10"/>
      <c r="B951" s="13"/>
      <c r="C951" s="13"/>
    </row>
    <row r="952" spans="1:3" ht="13" x14ac:dyDescent="0.15">
      <c r="A952" s="10"/>
      <c r="B952" s="13"/>
      <c r="C952" s="13"/>
    </row>
    <row r="953" spans="1:3" ht="13" x14ac:dyDescent="0.15">
      <c r="A953" s="10"/>
      <c r="B953" s="13"/>
      <c r="C953" s="13"/>
    </row>
    <row r="954" spans="1:3" ht="13" x14ac:dyDescent="0.15">
      <c r="A954" s="10"/>
      <c r="B954" s="13"/>
      <c r="C954" s="13"/>
    </row>
    <row r="955" spans="1:3" ht="13" x14ac:dyDescent="0.15">
      <c r="A955" s="10"/>
      <c r="B955" s="13"/>
      <c r="C955" s="13"/>
    </row>
    <row r="956" spans="1:3" ht="13" x14ac:dyDescent="0.15">
      <c r="A956" s="10"/>
      <c r="B956" s="13"/>
      <c r="C956" s="13"/>
    </row>
    <row r="957" spans="1:3" ht="13" x14ac:dyDescent="0.15">
      <c r="A957" s="10"/>
      <c r="B957" s="13"/>
      <c r="C957" s="13"/>
    </row>
    <row r="958" spans="1:3" ht="13" x14ac:dyDescent="0.15">
      <c r="A958" s="10"/>
      <c r="B958" s="13"/>
      <c r="C958" s="13"/>
    </row>
    <row r="959" spans="1:3" ht="13" x14ac:dyDescent="0.15">
      <c r="A959" s="10"/>
      <c r="B959" s="13"/>
      <c r="C959" s="13"/>
    </row>
    <row r="960" spans="1:3" ht="13" x14ac:dyDescent="0.15">
      <c r="A960" s="10"/>
      <c r="B960" s="13"/>
      <c r="C960" s="13"/>
    </row>
    <row r="961" spans="1:3" ht="13" x14ac:dyDescent="0.15">
      <c r="A961" s="10"/>
      <c r="B961" s="13"/>
      <c r="C961" s="13"/>
    </row>
    <row r="962" spans="1:3" ht="13" x14ac:dyDescent="0.15">
      <c r="A962" s="10"/>
      <c r="B962" s="13"/>
      <c r="C962" s="13"/>
    </row>
    <row r="963" spans="1:3" ht="13" x14ac:dyDescent="0.15">
      <c r="A963" s="10"/>
      <c r="B963" s="13"/>
      <c r="C963" s="13"/>
    </row>
    <row r="964" spans="1:3" ht="13" x14ac:dyDescent="0.15">
      <c r="A964" s="10"/>
      <c r="B964" s="13"/>
      <c r="C964" s="13"/>
    </row>
    <row r="965" spans="1:3" ht="13" x14ac:dyDescent="0.15">
      <c r="A965" s="10"/>
      <c r="B965" s="13"/>
      <c r="C965" s="13"/>
    </row>
    <row r="966" spans="1:3" ht="13" x14ac:dyDescent="0.15">
      <c r="A966" s="10"/>
      <c r="B966" s="13"/>
      <c r="C966" s="13"/>
    </row>
    <row r="967" spans="1:3" ht="13" x14ac:dyDescent="0.15">
      <c r="A967" s="10"/>
      <c r="B967" s="13"/>
      <c r="C967" s="13"/>
    </row>
    <row r="968" spans="1:3" ht="13" x14ac:dyDescent="0.15">
      <c r="A968" s="10"/>
      <c r="B968" s="13"/>
      <c r="C968" s="13"/>
    </row>
    <row r="969" spans="1:3" ht="13" x14ac:dyDescent="0.15">
      <c r="A969" s="10"/>
      <c r="B969" s="13"/>
      <c r="C969" s="13"/>
    </row>
    <row r="970" spans="1:3" ht="13" x14ac:dyDescent="0.15">
      <c r="A970" s="10"/>
      <c r="B970" s="13"/>
      <c r="C970" s="13"/>
    </row>
    <row r="971" spans="1:3" ht="13" x14ac:dyDescent="0.15">
      <c r="A971" s="10"/>
      <c r="B971" s="13"/>
      <c r="C971" s="13"/>
    </row>
    <row r="972" spans="1:3" ht="13" x14ac:dyDescent="0.15">
      <c r="A972" s="10"/>
      <c r="B972" s="13"/>
      <c r="C972" s="13"/>
    </row>
    <row r="973" spans="1:3" ht="13" x14ac:dyDescent="0.15">
      <c r="A973" s="10"/>
      <c r="B973" s="13"/>
      <c r="C973" s="13"/>
    </row>
    <row r="974" spans="1:3" ht="13" x14ac:dyDescent="0.15">
      <c r="A974" s="10"/>
      <c r="B974" s="13"/>
      <c r="C974" s="13"/>
    </row>
    <row r="975" spans="1:3" ht="13" x14ac:dyDescent="0.15">
      <c r="A975" s="10"/>
      <c r="B975" s="13"/>
      <c r="C975" s="13"/>
    </row>
    <row r="976" spans="1:3" ht="13" x14ac:dyDescent="0.15">
      <c r="A976" s="10"/>
      <c r="B976" s="13"/>
      <c r="C976" s="13"/>
    </row>
    <row r="977" spans="1:3" ht="13" x14ac:dyDescent="0.15">
      <c r="A977" s="10"/>
      <c r="B977" s="13"/>
      <c r="C977" s="13"/>
    </row>
    <row r="978" spans="1:3" ht="13" x14ac:dyDescent="0.15">
      <c r="A978" s="10"/>
      <c r="B978" s="13"/>
      <c r="C978" s="13"/>
    </row>
    <row r="979" spans="1:3" ht="13" x14ac:dyDescent="0.15">
      <c r="A979" s="10"/>
      <c r="B979" s="13"/>
      <c r="C979" s="13"/>
    </row>
    <row r="980" spans="1:3" ht="13" x14ac:dyDescent="0.15">
      <c r="A980" s="10"/>
      <c r="B980" s="13"/>
      <c r="C980" s="13"/>
    </row>
    <row r="981" spans="1:3" ht="13" x14ac:dyDescent="0.15">
      <c r="A981" s="10"/>
      <c r="B981" s="13"/>
      <c r="C981" s="13"/>
    </row>
    <row r="982" spans="1:3" ht="13" x14ac:dyDescent="0.15">
      <c r="A982" s="10"/>
      <c r="B982" s="13"/>
      <c r="C982" s="13"/>
    </row>
    <row r="983" spans="1:3" ht="13" x14ac:dyDescent="0.15">
      <c r="A983" s="10"/>
      <c r="B983" s="13"/>
      <c r="C983" s="13"/>
    </row>
    <row r="984" spans="1:3" ht="13" x14ac:dyDescent="0.15">
      <c r="A984" s="10"/>
      <c r="B984" s="13"/>
      <c r="C984" s="13"/>
    </row>
    <row r="985" spans="1:3" ht="13" x14ac:dyDescent="0.15">
      <c r="A985" s="10"/>
      <c r="B985" s="13"/>
      <c r="C985" s="13"/>
    </row>
    <row r="986" spans="1:3" ht="13" x14ac:dyDescent="0.15">
      <c r="A986" s="10"/>
      <c r="B986" s="13"/>
      <c r="C986" s="13"/>
    </row>
    <row r="987" spans="1:3" ht="13" x14ac:dyDescent="0.15">
      <c r="A987" s="10"/>
      <c r="B987" s="13"/>
      <c r="C987" s="13"/>
    </row>
    <row r="988" spans="1:3" ht="13" x14ac:dyDescent="0.15">
      <c r="A988" s="10"/>
      <c r="B988" s="13"/>
      <c r="C988" s="13"/>
    </row>
    <row r="989" spans="1:3" ht="13" x14ac:dyDescent="0.15">
      <c r="A989" s="10"/>
      <c r="B989" s="13"/>
      <c r="C989" s="13"/>
    </row>
    <row r="990" spans="1:3" ht="13" x14ac:dyDescent="0.15">
      <c r="A990" s="10"/>
      <c r="B990" s="13"/>
      <c r="C990" s="13"/>
    </row>
    <row r="991" spans="1:3" ht="13" x14ac:dyDescent="0.15">
      <c r="A991" s="10"/>
      <c r="B991" s="13"/>
      <c r="C991" s="13"/>
    </row>
    <row r="992" spans="1:3" ht="13" x14ac:dyDescent="0.15">
      <c r="A992" s="10"/>
      <c r="B992" s="13"/>
      <c r="C992" s="13"/>
    </row>
    <row r="993" spans="1:3" ht="13" x14ac:dyDescent="0.15">
      <c r="A993" s="10"/>
      <c r="B993" s="13"/>
      <c r="C993" s="13"/>
    </row>
    <row r="994" spans="1:3" ht="13" x14ac:dyDescent="0.15">
      <c r="A994" s="10"/>
      <c r="B994" s="13"/>
      <c r="C994" s="13"/>
    </row>
    <row r="995" spans="1:3" ht="13" x14ac:dyDescent="0.15">
      <c r="A995" s="10"/>
      <c r="B995" s="13"/>
      <c r="C995" s="13"/>
    </row>
    <row r="996" spans="1:3" ht="13" x14ac:dyDescent="0.15">
      <c r="A996" s="10"/>
      <c r="B996" s="13"/>
      <c r="C996" s="13"/>
    </row>
    <row r="997" spans="1:3" ht="13" x14ac:dyDescent="0.15">
      <c r="A997" s="10"/>
      <c r="B997" s="13"/>
      <c r="C997" s="13"/>
    </row>
  </sheetData>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outlinePr summaryBelow="0" summaryRight="0"/>
  </sheetPr>
  <dimension ref="A1:D997"/>
  <sheetViews>
    <sheetView workbookViewId="0"/>
  </sheetViews>
  <sheetFormatPr baseColWidth="10" defaultColWidth="12.6640625" defaultRowHeight="15.75" customHeight="1" x14ac:dyDescent="0.15"/>
  <cols>
    <col min="1" max="1" width="71.5" customWidth="1"/>
    <col min="2" max="4" width="37.6640625" customWidth="1"/>
  </cols>
  <sheetData>
    <row r="1" spans="1:4" ht="15.75" customHeight="1" x14ac:dyDescent="0.15">
      <c r="A1" s="1"/>
      <c r="B1" s="12" t="str">
        <f ca="1">IFERROR(__xludf.DUMMYFUNCTION("IMPORTRANGE(""https://docs.google.com/spreadsheets/d/19FYWDv6QyCNB_zbElAOE5cOI1IJ2jraXGOFWNs-qsQM"",""A81!B1:B22"")"),"Braden Brennan")</f>
        <v>Braden Brennan</v>
      </c>
      <c r="C1" s="10" t="str">
        <f ca="1">IFERROR(__xludf.DUMMYFUNCTION("IMPORTRANGE(""https://docs.google.com/spreadsheets/u/0/d/1e6QLf1_HeiTNz7JOFlwsfbt48UsSPCJuGTSppexqIJc"", ""A81!B1:B22"")"),"Tyler Thibodeaux")</f>
        <v>Tyler Thibodeaux</v>
      </c>
      <c r="D1" s="2" t="s">
        <v>1</v>
      </c>
    </row>
    <row r="2" spans="1:4" ht="15.75" customHeight="1" x14ac:dyDescent="0.15">
      <c r="A2" s="3" t="s">
        <v>2</v>
      </c>
      <c r="B2" s="15" t="str">
        <f ca="1">IFERROR(__xludf.DUMMYFUNCTION("""COMPUTED_VALUE"""),"49110 - 48655")</f>
        <v>49110 - 48655</v>
      </c>
      <c r="C2" s="15"/>
      <c r="D2" s="4"/>
    </row>
    <row r="3" spans="1:4" ht="15.75" customHeight="1" x14ac:dyDescent="0.15">
      <c r="A3" s="5" t="s">
        <v>3</v>
      </c>
      <c r="B3" s="17" t="str">
        <f ca="1">IFERROR(__xludf.DUMMYFUNCTION("""COMPUTED_VALUE"""),"Pham 81, DNAM 80")</f>
        <v>Pham 81, DNAM 80</v>
      </c>
      <c r="C3" s="17"/>
      <c r="D3" s="6"/>
    </row>
    <row r="4" spans="1:4" ht="15.75" customHeight="1" x14ac:dyDescent="0.15">
      <c r="A4" s="5" t="s">
        <v>4</v>
      </c>
      <c r="B4" s="17" t="str">
        <f ca="1">IFERROR(__xludf.DUMMYFUNCTION("""COMPUTED_VALUE"""),"pham 6874 3/21/2025")</f>
        <v>pham 6874 3/21/2025</v>
      </c>
      <c r="C4" s="17"/>
      <c r="D4" s="6"/>
    </row>
    <row r="5" spans="1:4" ht="15.75" customHeight="1" x14ac:dyDescent="0.15">
      <c r="A5" s="5" t="s">
        <v>5</v>
      </c>
      <c r="B5" s="17"/>
      <c r="C5" s="17"/>
      <c r="D5" s="6"/>
    </row>
    <row r="6" spans="1:4" ht="15.75" customHeight="1" x14ac:dyDescent="0.15">
      <c r="A6" s="5" t="s">
        <v>6</v>
      </c>
      <c r="B6" s="17" t="str">
        <f ca="1">IFERROR(__xludf.DUMMYFUNCTION("""COMPUTED_VALUE"""),"Glimmer call bp 49110 has strength 13.81")</f>
        <v>Glimmer call bp 49110 has strength 13.81</v>
      </c>
      <c r="C6" s="17"/>
      <c r="D6" s="6"/>
    </row>
    <row r="7" spans="1:4" ht="15.75" customHeight="1" x14ac:dyDescent="0.15">
      <c r="A7" s="5" t="s">
        <v>7</v>
      </c>
      <c r="B7" s="17" t="str">
        <f ca="1">IFERROR(__xludf.DUMMYFUNCTION("""COMPUTED_VALUE"""),"Good coding potential")</f>
        <v>Good coding potential</v>
      </c>
      <c r="C7" s="17"/>
      <c r="D7" s="6"/>
    </row>
    <row r="8" spans="1:4" ht="15.75" customHeight="1" x14ac:dyDescent="0.15">
      <c r="A8" s="5" t="s">
        <v>8</v>
      </c>
      <c r="B8" s="17" t="str">
        <f ca="1">IFERROR(__xludf.DUMMYFUNCTION("""COMPUTED_VALUE"""),"Yes longest possible ORF")</f>
        <v>Yes longest possible ORF</v>
      </c>
      <c r="C8" s="17"/>
      <c r="D8" s="6"/>
    </row>
    <row r="9" spans="1:4" ht="15.75" customHeight="1" x14ac:dyDescent="0.15">
      <c r="A9" s="5" t="s">
        <v>9</v>
      </c>
      <c r="B9" s="17" t="str">
        <f ca="1">IFERROR(__xludf.DUMMYFUNCTION("""COMPUTED_VALUE"""),"123 nucleotide gap")</f>
        <v>123 nucleotide gap</v>
      </c>
      <c r="C9" s="17"/>
      <c r="D9" s="6"/>
    </row>
    <row r="10" spans="1:4" ht="15.75" customHeight="1" x14ac:dyDescent="0.15">
      <c r="A10" s="5" t="s">
        <v>10</v>
      </c>
      <c r="B10" s="17" t="str">
        <f ca="1">IFERROR(__xludf.DUMMYFUNCTION("""COMPUTED_VALUE"""),"SD: -1.767 Z: 2.950 Final: -2.182")</f>
        <v>SD: -1.767 Z: 2.950 Final: -2.182</v>
      </c>
      <c r="C10" s="17"/>
      <c r="D10" s="6"/>
    </row>
    <row r="11" spans="1:4" ht="15.75" customHeight="1" x14ac:dyDescent="0.15">
      <c r="A11" s="5" t="s">
        <v>11</v>
      </c>
      <c r="B11" s="17" t="str">
        <f ca="1">IFERROR(__xludf.DUMMYFUNCTION("""COMPUTED_VALUE"""),"Hypothetical Protein, SeaWaltz 77, 40.65% identity, 2.2E-10")</f>
        <v>Hypothetical Protein, SeaWaltz 77, 40.65% identity, 2.2E-10</v>
      </c>
      <c r="C11" s="17"/>
      <c r="D11" s="6"/>
    </row>
    <row r="12" spans="1:4" ht="15.75" customHeight="1" x14ac:dyDescent="0.15">
      <c r="A12" s="5" t="s">
        <v>12</v>
      </c>
      <c r="B12" s="17" t="str">
        <f ca="1">IFERROR(__xludf.DUMMYFUNCTION("""COMPUTED_VALUE"""),"• Found in 1 of 8 ( 12.5% ) of genes in pham called 100 % ")</f>
        <v xml:space="preserve">• Found in 1 of 8 ( 12.5% ) of genes in pham called 100 % </v>
      </c>
      <c r="C12" s="17"/>
      <c r="D12" s="6"/>
    </row>
    <row r="13" spans="1:4" ht="15.75" customHeight="1" x14ac:dyDescent="0.15">
      <c r="A13" s="5" t="s">
        <v>13</v>
      </c>
      <c r="B13" s="17" t="str">
        <f ca="1">IFERROR(__xludf.DUMMYFUNCTION("""COMPUTED_VALUE"""),"No, no other starts seem better.")</f>
        <v>No, no other starts seem better.</v>
      </c>
      <c r="C13" s="17"/>
      <c r="D13" s="6"/>
    </row>
    <row r="14" spans="1:4" ht="15.75" customHeight="1" x14ac:dyDescent="0.15">
      <c r="A14" s="5" t="s">
        <v>14</v>
      </c>
      <c r="B14" s="17" t="str">
        <f ca="1">IFERROR(__xludf.DUMMYFUNCTION("""COMPUTED_VALUE"""),"Edmundo_80) Laroye_80) LiSara_77) Salgado_80) Shrooms_78) Waltz_77) Wheelbite_76")</f>
        <v>Edmundo_80) Laroye_80) LiSara_77) Salgado_80) Shrooms_78) Waltz_77) Wheelbite_76</v>
      </c>
      <c r="C14" s="17"/>
      <c r="D14" s="6"/>
    </row>
    <row r="15" spans="1:4" ht="15.75" customHeight="1" x14ac:dyDescent="0.15">
      <c r="A15" s="5" t="s">
        <v>15</v>
      </c>
      <c r="B15" s="17" t="str">
        <f ca="1">IFERROR(__xludf.DUMMYFUNCTION("""COMPUTED_VALUE"""),"no function listed on phages DB ")</f>
        <v xml:space="preserve">no function listed on phages DB </v>
      </c>
      <c r="C15" s="17"/>
      <c r="D15" s="6"/>
    </row>
    <row r="16" spans="1:4" ht="15.75" customHeight="1" x14ac:dyDescent="0.15">
      <c r="A16" s="5" t="s">
        <v>16</v>
      </c>
      <c r="B16" s="17" t="str">
        <f ca="1">IFERROR(__xludf.DUMMYFUNCTION("""COMPUTED_VALUE"""),"Doesn't fit in the sequence what so ever. Has no counterpart in Kovu")</f>
        <v>Doesn't fit in the sequence what so ever. Has no counterpart in Kovu</v>
      </c>
      <c r="C16" s="17"/>
      <c r="D16" s="6"/>
    </row>
    <row r="17" spans="1:4" ht="15.75" customHeight="1" x14ac:dyDescent="0.15">
      <c r="A17" s="5" t="s">
        <v>17</v>
      </c>
      <c r="B17" s="17" t="str">
        <f ca="1">IFERROR(__xludf.DUMMYFUNCTION("""COMPUTED_VALUE"""),"3GZ7_B- Putative antibiotic biosynthesis monooxygenase, 78.61% probability, Q: 39.07% ) T: 51.3%")</f>
        <v>3GZ7_B- Putative antibiotic biosynthesis monooxygenase, 78.61% probability, Q: 39.07% ) T: 51.3%</v>
      </c>
      <c r="C17" s="17"/>
      <c r="D17" s="6"/>
    </row>
    <row r="18" spans="1:4" ht="15.75" customHeight="1" x14ac:dyDescent="0.15">
      <c r="A18" s="5" t="s">
        <v>18</v>
      </c>
      <c r="B18" s="17" t="str">
        <f ca="1">IFERROR(__xludf.DUMMYFUNCTION("""COMPUTED_VALUE"""),"No conserved domains listed ")</f>
        <v xml:space="preserve">No conserved domains listed </v>
      </c>
      <c r="C18" s="17"/>
      <c r="D18" s="6"/>
    </row>
    <row r="19" spans="1:4" ht="15.75" customHeight="1" x14ac:dyDescent="0.15">
      <c r="A19" s="5" t="s">
        <v>19</v>
      </c>
      <c r="B19" s="17" t="str">
        <f ca="1">IFERROR(__xludf.DUMMYFUNCTION("""COMPUTED_VALUE"""),"inside 1.0")</f>
        <v>inside 1.0</v>
      </c>
      <c r="C19" s="17"/>
      <c r="D19" s="6"/>
    </row>
    <row r="20" spans="1:4" ht="15.75" customHeight="1" x14ac:dyDescent="0.15">
      <c r="A20" s="5" t="s">
        <v>20</v>
      </c>
      <c r="B20" s="17" t="str">
        <f ca="1">IFERROR(__xludf.DUMMYFUNCTION("""COMPUTED_VALUE"""),"Hypothetical protein. Most other HHpred hits led to hypothetical proteins. The only thing that concerns me is the Synteny.")</f>
        <v>Hypothetical protein. Most other HHpred hits led to hypothetical proteins. The only thing that concerns me is the Synteny.</v>
      </c>
      <c r="C20" s="17"/>
      <c r="D20" s="6"/>
    </row>
    <row r="21" spans="1:4" x14ac:dyDescent="0.2">
      <c r="A21" s="7"/>
      <c r="B21" s="19"/>
      <c r="C21" s="19"/>
      <c r="D21" s="8"/>
    </row>
    <row r="22" spans="1:4" ht="15.75" customHeight="1" x14ac:dyDescent="0.15">
      <c r="A22" s="9" t="s">
        <v>21</v>
      </c>
      <c r="B22" s="19"/>
      <c r="C22" s="19"/>
      <c r="D22" s="8"/>
    </row>
    <row r="23" spans="1:4" ht="15.75" customHeight="1" x14ac:dyDescent="0.15">
      <c r="A23" s="10"/>
      <c r="B23" s="13"/>
      <c r="C23" s="13"/>
    </row>
    <row r="24" spans="1:4" ht="15.75" customHeight="1" x14ac:dyDescent="0.15">
      <c r="A24" s="10"/>
      <c r="B24" s="13"/>
      <c r="C24" s="13"/>
    </row>
    <row r="25" spans="1:4" ht="15.75" customHeight="1" x14ac:dyDescent="0.15">
      <c r="A25" s="10"/>
      <c r="B25" s="13"/>
      <c r="C25" s="13"/>
    </row>
    <row r="26" spans="1:4" ht="15.75" customHeight="1" x14ac:dyDescent="0.15">
      <c r="A26" s="10"/>
      <c r="B26" s="13"/>
      <c r="C26" s="13"/>
    </row>
    <row r="27" spans="1:4" ht="15.75" customHeight="1" x14ac:dyDescent="0.15">
      <c r="A27" s="10"/>
      <c r="B27" s="13"/>
      <c r="C27" s="13"/>
    </row>
    <row r="28" spans="1:4" ht="15.75" customHeight="1" x14ac:dyDescent="0.15">
      <c r="A28" s="10"/>
      <c r="B28" s="13"/>
      <c r="C28" s="13"/>
    </row>
    <row r="29" spans="1:4" ht="15.75" customHeight="1" x14ac:dyDescent="0.15">
      <c r="A29" s="10"/>
      <c r="B29" s="13"/>
      <c r="C29" s="13"/>
    </row>
    <row r="30" spans="1:4" ht="15.75" customHeight="1" x14ac:dyDescent="0.15">
      <c r="A30" s="10"/>
      <c r="B30" s="13"/>
      <c r="C30" s="13"/>
    </row>
    <row r="31" spans="1:4" ht="15.75" customHeight="1" x14ac:dyDescent="0.15">
      <c r="A31" s="10"/>
      <c r="B31" s="13"/>
      <c r="C31" s="13"/>
    </row>
    <row r="32" spans="1:4" ht="15.75" customHeight="1" x14ac:dyDescent="0.15">
      <c r="A32" s="10"/>
      <c r="B32" s="13"/>
      <c r="C32" s="13"/>
    </row>
    <row r="33" spans="1:3" ht="15.75" customHeight="1" x14ac:dyDescent="0.15">
      <c r="A33" s="10"/>
      <c r="B33" s="13"/>
      <c r="C33" s="13"/>
    </row>
    <row r="34" spans="1:3" ht="15.75" customHeight="1" x14ac:dyDescent="0.15">
      <c r="A34" s="10"/>
      <c r="B34" s="13"/>
      <c r="C34" s="13"/>
    </row>
    <row r="35" spans="1:3" ht="15.75" customHeight="1" x14ac:dyDescent="0.15">
      <c r="A35" s="10"/>
      <c r="B35" s="13"/>
      <c r="C35" s="13"/>
    </row>
    <row r="36" spans="1:3" ht="15.75" customHeight="1" x14ac:dyDescent="0.15">
      <c r="A36" s="10"/>
      <c r="B36" s="13"/>
      <c r="C36" s="13"/>
    </row>
    <row r="37" spans="1:3" ht="15.75" customHeight="1" x14ac:dyDescent="0.15">
      <c r="A37" s="10"/>
      <c r="B37" s="13"/>
      <c r="C37" s="13"/>
    </row>
    <row r="38" spans="1:3" ht="15.75" customHeight="1" x14ac:dyDescent="0.15">
      <c r="A38" s="10"/>
      <c r="B38" s="13"/>
      <c r="C38" s="13"/>
    </row>
    <row r="39" spans="1:3" ht="13" x14ac:dyDescent="0.15">
      <c r="A39" s="10"/>
      <c r="B39" s="13"/>
      <c r="C39" s="13"/>
    </row>
    <row r="40" spans="1:3" ht="13" x14ac:dyDescent="0.15">
      <c r="A40" s="10"/>
      <c r="B40" s="13"/>
      <c r="C40" s="13"/>
    </row>
    <row r="41" spans="1:3" ht="13" x14ac:dyDescent="0.15">
      <c r="A41" s="10"/>
      <c r="B41" s="13"/>
      <c r="C41" s="13"/>
    </row>
    <row r="42" spans="1:3" ht="13" x14ac:dyDescent="0.15">
      <c r="A42" s="10"/>
      <c r="B42" s="13"/>
      <c r="C42" s="13"/>
    </row>
    <row r="43" spans="1:3" ht="13" x14ac:dyDescent="0.15">
      <c r="A43" s="10"/>
      <c r="B43" s="13"/>
      <c r="C43" s="13"/>
    </row>
    <row r="44" spans="1:3" ht="13" x14ac:dyDescent="0.15">
      <c r="A44" s="10"/>
      <c r="B44" s="13"/>
      <c r="C44" s="13"/>
    </row>
    <row r="45" spans="1:3" ht="13" x14ac:dyDescent="0.15">
      <c r="A45" s="10"/>
      <c r="B45" s="13"/>
      <c r="C45" s="13"/>
    </row>
    <row r="46" spans="1:3" ht="13" x14ac:dyDescent="0.15">
      <c r="A46" s="10"/>
      <c r="B46" s="13"/>
      <c r="C46" s="13"/>
    </row>
    <row r="47" spans="1:3" ht="13" x14ac:dyDescent="0.15">
      <c r="A47" s="10"/>
      <c r="B47" s="13"/>
      <c r="C47" s="13"/>
    </row>
    <row r="48" spans="1:3" ht="13" x14ac:dyDescent="0.15">
      <c r="A48" s="10"/>
      <c r="B48" s="13"/>
      <c r="C48" s="13"/>
    </row>
    <row r="49" spans="1:3" ht="13" x14ac:dyDescent="0.15">
      <c r="A49" s="10"/>
      <c r="B49" s="13"/>
      <c r="C49" s="13"/>
    </row>
    <row r="50" spans="1:3" ht="13" x14ac:dyDescent="0.15">
      <c r="A50" s="10"/>
      <c r="B50" s="13"/>
      <c r="C50" s="13"/>
    </row>
    <row r="51" spans="1:3" ht="13" x14ac:dyDescent="0.15">
      <c r="A51" s="10"/>
      <c r="B51" s="13"/>
      <c r="C51" s="13"/>
    </row>
    <row r="52" spans="1:3" ht="13" x14ac:dyDescent="0.15">
      <c r="A52" s="10"/>
      <c r="B52" s="13"/>
      <c r="C52" s="13"/>
    </row>
    <row r="53" spans="1:3" ht="13" x14ac:dyDescent="0.15">
      <c r="A53" s="10"/>
      <c r="B53" s="13"/>
      <c r="C53" s="13"/>
    </row>
    <row r="54" spans="1:3" ht="13" x14ac:dyDescent="0.15">
      <c r="A54" s="10"/>
      <c r="B54" s="13"/>
      <c r="C54" s="13"/>
    </row>
    <row r="55" spans="1:3" ht="13" x14ac:dyDescent="0.15">
      <c r="A55" s="10"/>
      <c r="B55" s="13"/>
      <c r="C55" s="13"/>
    </row>
    <row r="56" spans="1:3" ht="13" x14ac:dyDescent="0.15">
      <c r="A56" s="10"/>
      <c r="B56" s="13"/>
      <c r="C56" s="13"/>
    </row>
    <row r="57" spans="1:3" ht="13" x14ac:dyDescent="0.15">
      <c r="A57" s="10"/>
      <c r="B57" s="13"/>
      <c r="C57" s="13"/>
    </row>
    <row r="58" spans="1:3" ht="13" x14ac:dyDescent="0.15">
      <c r="A58" s="10"/>
      <c r="B58" s="13"/>
      <c r="C58" s="13"/>
    </row>
    <row r="59" spans="1:3" ht="13" x14ac:dyDescent="0.15">
      <c r="A59" s="10"/>
      <c r="B59" s="13"/>
      <c r="C59" s="13"/>
    </row>
    <row r="60" spans="1:3" ht="13" x14ac:dyDescent="0.15">
      <c r="A60" s="10"/>
      <c r="B60" s="13"/>
      <c r="C60" s="13"/>
    </row>
    <row r="61" spans="1:3" ht="13" x14ac:dyDescent="0.15">
      <c r="A61" s="10"/>
      <c r="B61" s="13"/>
      <c r="C61" s="13"/>
    </row>
    <row r="62" spans="1:3" ht="13" x14ac:dyDescent="0.15">
      <c r="A62" s="10"/>
      <c r="B62" s="13"/>
      <c r="C62" s="13"/>
    </row>
    <row r="63" spans="1:3" ht="13" x14ac:dyDescent="0.15">
      <c r="A63" s="10"/>
      <c r="B63" s="13"/>
      <c r="C63" s="13"/>
    </row>
    <row r="64" spans="1:3" ht="13" x14ac:dyDescent="0.15">
      <c r="A64" s="10"/>
      <c r="B64" s="13"/>
      <c r="C64" s="13"/>
    </row>
    <row r="65" spans="1:3" ht="13" x14ac:dyDescent="0.15">
      <c r="A65" s="10"/>
      <c r="B65" s="13"/>
      <c r="C65" s="13"/>
    </row>
    <row r="66" spans="1:3" ht="13" x14ac:dyDescent="0.15">
      <c r="A66" s="10"/>
      <c r="B66" s="13"/>
      <c r="C66" s="13"/>
    </row>
    <row r="67" spans="1:3" ht="13" x14ac:dyDescent="0.15">
      <c r="A67" s="10"/>
      <c r="B67" s="13"/>
      <c r="C67" s="13"/>
    </row>
    <row r="68" spans="1:3" ht="13" x14ac:dyDescent="0.15">
      <c r="A68" s="10"/>
      <c r="B68" s="13"/>
      <c r="C68" s="13"/>
    </row>
    <row r="69" spans="1:3" ht="13" x14ac:dyDescent="0.15">
      <c r="A69" s="10"/>
      <c r="B69" s="13"/>
      <c r="C69" s="13"/>
    </row>
    <row r="70" spans="1:3" ht="13" x14ac:dyDescent="0.15">
      <c r="A70" s="10"/>
      <c r="B70" s="13"/>
      <c r="C70" s="13"/>
    </row>
    <row r="71" spans="1:3" ht="13" x14ac:dyDescent="0.15">
      <c r="A71" s="10"/>
      <c r="B71" s="13"/>
      <c r="C71" s="13"/>
    </row>
    <row r="72" spans="1:3" ht="13" x14ac:dyDescent="0.15">
      <c r="A72" s="10"/>
      <c r="B72" s="13"/>
      <c r="C72" s="13"/>
    </row>
    <row r="73" spans="1:3" ht="13" x14ac:dyDescent="0.15">
      <c r="A73" s="10"/>
      <c r="B73" s="13"/>
      <c r="C73" s="13"/>
    </row>
    <row r="74" spans="1:3" ht="13" x14ac:dyDescent="0.15">
      <c r="A74" s="10"/>
      <c r="B74" s="13"/>
      <c r="C74" s="13"/>
    </row>
    <row r="75" spans="1:3" ht="13" x14ac:dyDescent="0.15">
      <c r="A75" s="10"/>
      <c r="B75" s="13"/>
      <c r="C75" s="13"/>
    </row>
    <row r="76" spans="1:3" ht="13" x14ac:dyDescent="0.15">
      <c r="A76" s="10"/>
      <c r="B76" s="13"/>
      <c r="C76" s="13"/>
    </row>
    <row r="77" spans="1:3" ht="13" x14ac:dyDescent="0.15">
      <c r="A77" s="10"/>
      <c r="B77" s="13"/>
      <c r="C77" s="13"/>
    </row>
    <row r="78" spans="1:3" ht="13" x14ac:dyDescent="0.15">
      <c r="A78" s="10"/>
      <c r="B78" s="13"/>
      <c r="C78" s="13"/>
    </row>
    <row r="79" spans="1:3" ht="13" x14ac:dyDescent="0.15">
      <c r="A79" s="10"/>
      <c r="B79" s="13"/>
      <c r="C79" s="13"/>
    </row>
    <row r="80" spans="1:3" ht="13" x14ac:dyDescent="0.15">
      <c r="A80" s="10"/>
      <c r="B80" s="13"/>
      <c r="C80" s="13"/>
    </row>
    <row r="81" spans="1:3" ht="13" x14ac:dyDescent="0.15">
      <c r="A81" s="10"/>
      <c r="B81" s="13"/>
      <c r="C81" s="13"/>
    </row>
    <row r="82" spans="1:3" ht="13" x14ac:dyDescent="0.15">
      <c r="A82" s="10"/>
      <c r="B82" s="13"/>
      <c r="C82" s="13"/>
    </row>
    <row r="83" spans="1:3" ht="13" x14ac:dyDescent="0.15">
      <c r="A83" s="10"/>
      <c r="B83" s="13"/>
      <c r="C83" s="13"/>
    </row>
    <row r="84" spans="1:3" ht="13" x14ac:dyDescent="0.15">
      <c r="A84" s="10"/>
      <c r="B84" s="13"/>
      <c r="C84" s="13"/>
    </row>
    <row r="85" spans="1:3" ht="13" x14ac:dyDescent="0.15">
      <c r="A85" s="10"/>
      <c r="B85" s="13"/>
      <c r="C85" s="13"/>
    </row>
    <row r="86" spans="1:3" ht="13" x14ac:dyDescent="0.15">
      <c r="A86" s="10"/>
      <c r="B86" s="13"/>
      <c r="C86" s="13"/>
    </row>
    <row r="87" spans="1:3" ht="13" x14ac:dyDescent="0.15">
      <c r="A87" s="10"/>
      <c r="B87" s="13"/>
      <c r="C87" s="13"/>
    </row>
    <row r="88" spans="1:3" ht="13" x14ac:dyDescent="0.15">
      <c r="A88" s="10"/>
      <c r="B88" s="13"/>
      <c r="C88" s="13"/>
    </row>
    <row r="89" spans="1:3" ht="13" x14ac:dyDescent="0.15">
      <c r="A89" s="10"/>
      <c r="B89" s="13"/>
      <c r="C89" s="13"/>
    </row>
    <row r="90" spans="1:3" ht="13" x14ac:dyDescent="0.15">
      <c r="A90" s="10"/>
      <c r="B90" s="13"/>
      <c r="C90" s="13"/>
    </row>
    <row r="91" spans="1:3" ht="13" x14ac:dyDescent="0.15">
      <c r="A91" s="10"/>
      <c r="B91" s="13"/>
      <c r="C91" s="13"/>
    </row>
    <row r="92" spans="1:3" ht="13" x14ac:dyDescent="0.15">
      <c r="A92" s="10"/>
      <c r="B92" s="13"/>
      <c r="C92" s="13"/>
    </row>
    <row r="93" spans="1:3" ht="13" x14ac:dyDescent="0.15">
      <c r="A93" s="10"/>
      <c r="B93" s="13"/>
      <c r="C93" s="13"/>
    </row>
    <row r="94" spans="1:3" ht="13" x14ac:dyDescent="0.15">
      <c r="A94" s="10"/>
      <c r="B94" s="13"/>
      <c r="C94" s="13"/>
    </row>
    <row r="95" spans="1:3" ht="13" x14ac:dyDescent="0.15">
      <c r="A95" s="10"/>
      <c r="B95" s="13"/>
      <c r="C95" s="13"/>
    </row>
    <row r="96" spans="1:3" ht="13" x14ac:dyDescent="0.15">
      <c r="A96" s="10"/>
      <c r="B96" s="13"/>
      <c r="C96" s="13"/>
    </row>
    <row r="97" spans="1:3" ht="13" x14ac:dyDescent="0.15">
      <c r="A97" s="10"/>
      <c r="B97" s="13"/>
      <c r="C97" s="13"/>
    </row>
    <row r="98" spans="1:3" ht="13" x14ac:dyDescent="0.15">
      <c r="A98" s="10"/>
      <c r="B98" s="13"/>
      <c r="C98" s="13"/>
    </row>
    <row r="99" spans="1:3" ht="13" x14ac:dyDescent="0.15">
      <c r="A99" s="10"/>
      <c r="B99" s="13"/>
      <c r="C99" s="13"/>
    </row>
    <row r="100" spans="1:3" ht="13" x14ac:dyDescent="0.15">
      <c r="A100" s="10"/>
      <c r="B100" s="13"/>
      <c r="C100" s="13"/>
    </row>
    <row r="101" spans="1:3" ht="13" x14ac:dyDescent="0.15">
      <c r="A101" s="10"/>
      <c r="B101" s="13"/>
      <c r="C101" s="13"/>
    </row>
    <row r="102" spans="1:3" ht="13" x14ac:dyDescent="0.15">
      <c r="A102" s="10"/>
      <c r="B102" s="13"/>
      <c r="C102" s="13"/>
    </row>
    <row r="103" spans="1:3" ht="13" x14ac:dyDescent="0.15">
      <c r="A103" s="10"/>
      <c r="B103" s="13"/>
      <c r="C103" s="13"/>
    </row>
    <row r="104" spans="1:3" ht="13" x14ac:dyDescent="0.15">
      <c r="A104" s="10"/>
      <c r="B104" s="13"/>
      <c r="C104" s="13"/>
    </row>
    <row r="105" spans="1:3" ht="13" x14ac:dyDescent="0.15">
      <c r="A105" s="10"/>
      <c r="B105" s="13"/>
      <c r="C105" s="13"/>
    </row>
    <row r="106" spans="1:3" ht="13" x14ac:dyDescent="0.15">
      <c r="A106" s="10"/>
      <c r="B106" s="13"/>
      <c r="C106" s="13"/>
    </row>
    <row r="107" spans="1:3" ht="13" x14ac:dyDescent="0.15">
      <c r="A107" s="10"/>
      <c r="B107" s="13"/>
      <c r="C107" s="13"/>
    </row>
    <row r="108" spans="1:3" ht="13" x14ac:dyDescent="0.15">
      <c r="A108" s="10"/>
      <c r="B108" s="13"/>
      <c r="C108" s="13"/>
    </row>
    <row r="109" spans="1:3" ht="13" x14ac:dyDescent="0.15">
      <c r="A109" s="10"/>
      <c r="B109" s="13"/>
      <c r="C109" s="13"/>
    </row>
    <row r="110" spans="1:3" ht="13" x14ac:dyDescent="0.15">
      <c r="A110" s="10"/>
      <c r="B110" s="13"/>
      <c r="C110" s="13"/>
    </row>
    <row r="111" spans="1:3" ht="13" x14ac:dyDescent="0.15">
      <c r="A111" s="10"/>
      <c r="B111" s="13"/>
      <c r="C111" s="13"/>
    </row>
    <row r="112" spans="1:3" ht="13" x14ac:dyDescent="0.15">
      <c r="A112" s="10"/>
      <c r="B112" s="13"/>
      <c r="C112" s="13"/>
    </row>
    <row r="113" spans="1:3" ht="13" x14ac:dyDescent="0.15">
      <c r="A113" s="10"/>
      <c r="B113" s="13"/>
      <c r="C113" s="13"/>
    </row>
    <row r="114" spans="1:3" ht="13" x14ac:dyDescent="0.15">
      <c r="A114" s="10"/>
      <c r="B114" s="13"/>
      <c r="C114" s="13"/>
    </row>
    <row r="115" spans="1:3" ht="13" x14ac:dyDescent="0.15">
      <c r="A115" s="10"/>
      <c r="B115" s="13"/>
      <c r="C115" s="13"/>
    </row>
    <row r="116" spans="1:3" ht="13" x14ac:dyDescent="0.15">
      <c r="A116" s="10"/>
      <c r="B116" s="13"/>
      <c r="C116" s="13"/>
    </row>
    <row r="117" spans="1:3" ht="13" x14ac:dyDescent="0.15">
      <c r="A117" s="10"/>
      <c r="B117" s="13"/>
      <c r="C117" s="13"/>
    </row>
    <row r="118" spans="1:3" ht="13" x14ac:dyDescent="0.15">
      <c r="A118" s="10"/>
      <c r="B118" s="13"/>
      <c r="C118" s="13"/>
    </row>
    <row r="119" spans="1:3" ht="13" x14ac:dyDescent="0.15">
      <c r="A119" s="10"/>
      <c r="B119" s="13"/>
      <c r="C119" s="13"/>
    </row>
    <row r="120" spans="1:3" ht="13" x14ac:dyDescent="0.15">
      <c r="A120" s="10"/>
      <c r="B120" s="13"/>
      <c r="C120" s="13"/>
    </row>
    <row r="121" spans="1:3" ht="13" x14ac:dyDescent="0.15">
      <c r="A121" s="10"/>
      <c r="B121" s="13"/>
      <c r="C121" s="13"/>
    </row>
    <row r="122" spans="1:3" ht="13" x14ac:dyDescent="0.15">
      <c r="A122" s="10"/>
      <c r="B122" s="13"/>
      <c r="C122" s="13"/>
    </row>
    <row r="123" spans="1:3" ht="13" x14ac:dyDescent="0.15">
      <c r="A123" s="10"/>
      <c r="B123" s="13"/>
      <c r="C123" s="13"/>
    </row>
    <row r="124" spans="1:3" ht="13" x14ac:dyDescent="0.15">
      <c r="A124" s="10"/>
      <c r="B124" s="13"/>
      <c r="C124" s="13"/>
    </row>
    <row r="125" spans="1:3" ht="13" x14ac:dyDescent="0.15">
      <c r="A125" s="10"/>
      <c r="B125" s="13"/>
      <c r="C125" s="13"/>
    </row>
    <row r="126" spans="1:3" ht="13" x14ac:dyDescent="0.15">
      <c r="A126" s="10"/>
      <c r="B126" s="13"/>
      <c r="C126" s="13"/>
    </row>
    <row r="127" spans="1:3" ht="13" x14ac:dyDescent="0.15">
      <c r="A127" s="10"/>
      <c r="B127" s="13"/>
      <c r="C127" s="13"/>
    </row>
    <row r="128" spans="1:3" ht="13" x14ac:dyDescent="0.15">
      <c r="A128" s="10"/>
      <c r="B128" s="13"/>
      <c r="C128" s="13"/>
    </row>
    <row r="129" spans="1:3" ht="13" x14ac:dyDescent="0.15">
      <c r="A129" s="10"/>
      <c r="B129" s="13"/>
      <c r="C129" s="13"/>
    </row>
    <row r="130" spans="1:3" ht="13" x14ac:dyDescent="0.15">
      <c r="A130" s="10"/>
      <c r="B130" s="13"/>
      <c r="C130" s="13"/>
    </row>
    <row r="131" spans="1:3" ht="13" x14ac:dyDescent="0.15">
      <c r="A131" s="10"/>
      <c r="B131" s="13"/>
      <c r="C131" s="13"/>
    </row>
    <row r="132" spans="1:3" ht="13" x14ac:dyDescent="0.15">
      <c r="A132" s="10"/>
      <c r="B132" s="13"/>
      <c r="C132" s="13"/>
    </row>
    <row r="133" spans="1:3" ht="13" x14ac:dyDescent="0.15">
      <c r="A133" s="10"/>
      <c r="B133" s="13"/>
      <c r="C133" s="13"/>
    </row>
    <row r="134" spans="1:3" ht="13" x14ac:dyDescent="0.15">
      <c r="A134" s="10"/>
      <c r="B134" s="13"/>
      <c r="C134" s="13"/>
    </row>
    <row r="135" spans="1:3" ht="13" x14ac:dyDescent="0.15">
      <c r="A135" s="10"/>
      <c r="B135" s="13"/>
      <c r="C135" s="13"/>
    </row>
    <row r="136" spans="1:3" ht="13" x14ac:dyDescent="0.15">
      <c r="A136" s="10"/>
      <c r="B136" s="13"/>
      <c r="C136" s="13"/>
    </row>
    <row r="137" spans="1:3" ht="13" x14ac:dyDescent="0.15">
      <c r="A137" s="10"/>
      <c r="B137" s="13"/>
      <c r="C137" s="13"/>
    </row>
    <row r="138" spans="1:3" ht="13" x14ac:dyDescent="0.15">
      <c r="A138" s="10"/>
      <c r="B138" s="13"/>
      <c r="C138" s="13"/>
    </row>
    <row r="139" spans="1:3" ht="13" x14ac:dyDescent="0.15">
      <c r="A139" s="10"/>
      <c r="B139" s="13"/>
      <c r="C139" s="13"/>
    </row>
    <row r="140" spans="1:3" ht="13" x14ac:dyDescent="0.15">
      <c r="A140" s="10"/>
      <c r="B140" s="13"/>
      <c r="C140" s="13"/>
    </row>
    <row r="141" spans="1:3" ht="13" x14ac:dyDescent="0.15">
      <c r="A141" s="10"/>
      <c r="B141" s="13"/>
      <c r="C141" s="13"/>
    </row>
    <row r="142" spans="1:3" ht="13" x14ac:dyDescent="0.15">
      <c r="A142" s="10"/>
      <c r="B142" s="13"/>
      <c r="C142" s="13"/>
    </row>
    <row r="143" spans="1:3" ht="13" x14ac:dyDescent="0.15">
      <c r="A143" s="10"/>
      <c r="B143" s="13"/>
      <c r="C143" s="13"/>
    </row>
    <row r="144" spans="1:3" ht="13" x14ac:dyDescent="0.15">
      <c r="A144" s="10"/>
      <c r="B144" s="13"/>
      <c r="C144" s="13"/>
    </row>
    <row r="145" spans="1:3" ht="13" x14ac:dyDescent="0.15">
      <c r="A145" s="10"/>
      <c r="B145" s="13"/>
      <c r="C145" s="13"/>
    </row>
    <row r="146" spans="1:3" ht="13" x14ac:dyDescent="0.15">
      <c r="A146" s="10"/>
      <c r="B146" s="13"/>
      <c r="C146" s="13"/>
    </row>
    <row r="147" spans="1:3" ht="13" x14ac:dyDescent="0.15">
      <c r="A147" s="10"/>
      <c r="B147" s="13"/>
      <c r="C147" s="13"/>
    </row>
    <row r="148" spans="1:3" ht="13" x14ac:dyDescent="0.15">
      <c r="A148" s="10"/>
      <c r="B148" s="13"/>
      <c r="C148" s="13"/>
    </row>
    <row r="149" spans="1:3" ht="13" x14ac:dyDescent="0.15">
      <c r="A149" s="10"/>
      <c r="B149" s="13"/>
      <c r="C149" s="13"/>
    </row>
    <row r="150" spans="1:3" ht="13" x14ac:dyDescent="0.15">
      <c r="A150" s="10"/>
      <c r="B150" s="13"/>
      <c r="C150" s="13"/>
    </row>
    <row r="151" spans="1:3" ht="13" x14ac:dyDescent="0.15">
      <c r="A151" s="10"/>
      <c r="B151" s="13"/>
      <c r="C151" s="13"/>
    </row>
    <row r="152" spans="1:3" ht="13" x14ac:dyDescent="0.15">
      <c r="A152" s="10"/>
      <c r="B152" s="13"/>
      <c r="C152" s="13"/>
    </row>
    <row r="153" spans="1:3" ht="13" x14ac:dyDescent="0.15">
      <c r="A153" s="10"/>
      <c r="B153" s="13"/>
      <c r="C153" s="13"/>
    </row>
    <row r="154" spans="1:3" ht="13" x14ac:dyDescent="0.15">
      <c r="A154" s="10"/>
      <c r="B154" s="13"/>
      <c r="C154" s="13"/>
    </row>
    <row r="155" spans="1:3" ht="13" x14ac:dyDescent="0.15">
      <c r="A155" s="10"/>
      <c r="B155" s="13"/>
      <c r="C155" s="13"/>
    </row>
    <row r="156" spans="1:3" ht="13" x14ac:dyDescent="0.15">
      <c r="A156" s="10"/>
      <c r="B156" s="13"/>
      <c r="C156" s="13"/>
    </row>
    <row r="157" spans="1:3" ht="13" x14ac:dyDescent="0.15">
      <c r="A157" s="10"/>
      <c r="B157" s="13"/>
      <c r="C157" s="13"/>
    </row>
    <row r="158" spans="1:3" ht="13" x14ac:dyDescent="0.15">
      <c r="A158" s="10"/>
      <c r="B158" s="13"/>
      <c r="C158" s="13"/>
    </row>
    <row r="159" spans="1:3" ht="13" x14ac:dyDescent="0.15">
      <c r="A159" s="10"/>
      <c r="B159" s="13"/>
      <c r="C159" s="13"/>
    </row>
    <row r="160" spans="1:3" ht="13" x14ac:dyDescent="0.15">
      <c r="A160" s="10"/>
      <c r="B160" s="13"/>
      <c r="C160" s="13"/>
    </row>
    <row r="161" spans="1:3" ht="13" x14ac:dyDescent="0.15">
      <c r="A161" s="10"/>
      <c r="B161" s="13"/>
      <c r="C161" s="13"/>
    </row>
    <row r="162" spans="1:3" ht="13" x14ac:dyDescent="0.15">
      <c r="A162" s="10"/>
      <c r="B162" s="13"/>
      <c r="C162" s="13"/>
    </row>
    <row r="163" spans="1:3" ht="13" x14ac:dyDescent="0.15">
      <c r="A163" s="10"/>
      <c r="B163" s="13"/>
      <c r="C163" s="13"/>
    </row>
    <row r="164" spans="1:3" ht="13" x14ac:dyDescent="0.15">
      <c r="A164" s="10"/>
      <c r="B164" s="13"/>
      <c r="C164" s="13"/>
    </row>
    <row r="165" spans="1:3" ht="13" x14ac:dyDescent="0.15">
      <c r="A165" s="10"/>
      <c r="B165" s="13"/>
      <c r="C165" s="13"/>
    </row>
    <row r="166" spans="1:3" ht="13" x14ac:dyDescent="0.15">
      <c r="A166" s="10"/>
      <c r="B166" s="13"/>
      <c r="C166" s="13"/>
    </row>
    <row r="167" spans="1:3" ht="13" x14ac:dyDescent="0.15">
      <c r="A167" s="10"/>
      <c r="B167" s="13"/>
      <c r="C167" s="13"/>
    </row>
    <row r="168" spans="1:3" ht="13" x14ac:dyDescent="0.15">
      <c r="A168" s="10"/>
      <c r="B168" s="13"/>
      <c r="C168" s="13"/>
    </row>
    <row r="169" spans="1:3" ht="13" x14ac:dyDescent="0.15">
      <c r="A169" s="10"/>
      <c r="B169" s="13"/>
      <c r="C169" s="13"/>
    </row>
    <row r="170" spans="1:3" ht="13" x14ac:dyDescent="0.15">
      <c r="A170" s="10"/>
      <c r="B170" s="13"/>
      <c r="C170" s="13"/>
    </row>
    <row r="171" spans="1:3" ht="13" x14ac:dyDescent="0.15">
      <c r="A171" s="10"/>
      <c r="B171" s="13"/>
      <c r="C171" s="13"/>
    </row>
    <row r="172" spans="1:3" ht="13" x14ac:dyDescent="0.15">
      <c r="A172" s="10"/>
      <c r="B172" s="13"/>
      <c r="C172" s="13"/>
    </row>
    <row r="173" spans="1:3" ht="13" x14ac:dyDescent="0.15">
      <c r="A173" s="10"/>
      <c r="B173" s="13"/>
      <c r="C173" s="13"/>
    </row>
    <row r="174" spans="1:3" ht="13" x14ac:dyDescent="0.15">
      <c r="A174" s="10"/>
      <c r="B174" s="13"/>
      <c r="C174" s="13"/>
    </row>
    <row r="175" spans="1:3" ht="13" x14ac:dyDescent="0.15">
      <c r="A175" s="10"/>
      <c r="B175" s="13"/>
      <c r="C175" s="13"/>
    </row>
    <row r="176" spans="1:3" ht="13" x14ac:dyDescent="0.15">
      <c r="A176" s="10"/>
      <c r="B176" s="13"/>
      <c r="C176" s="13"/>
    </row>
    <row r="177" spans="1:3" ht="13" x14ac:dyDescent="0.15">
      <c r="A177" s="10"/>
      <c r="B177" s="13"/>
      <c r="C177" s="13"/>
    </row>
    <row r="178" spans="1:3" ht="13" x14ac:dyDescent="0.15">
      <c r="A178" s="10"/>
      <c r="B178" s="13"/>
      <c r="C178" s="13"/>
    </row>
    <row r="179" spans="1:3" ht="13" x14ac:dyDescent="0.15">
      <c r="A179" s="10"/>
      <c r="B179" s="13"/>
      <c r="C179" s="13"/>
    </row>
    <row r="180" spans="1:3" ht="13" x14ac:dyDescent="0.15">
      <c r="A180" s="10"/>
      <c r="B180" s="13"/>
      <c r="C180" s="13"/>
    </row>
    <row r="181" spans="1:3" ht="13" x14ac:dyDescent="0.15">
      <c r="A181" s="10"/>
      <c r="B181" s="13"/>
      <c r="C181" s="13"/>
    </row>
    <row r="182" spans="1:3" ht="13" x14ac:dyDescent="0.15">
      <c r="A182" s="10"/>
      <c r="B182" s="13"/>
      <c r="C182" s="13"/>
    </row>
    <row r="183" spans="1:3" ht="13" x14ac:dyDescent="0.15">
      <c r="A183" s="10"/>
      <c r="B183" s="13"/>
      <c r="C183" s="13"/>
    </row>
    <row r="184" spans="1:3" ht="13" x14ac:dyDescent="0.15">
      <c r="A184" s="10"/>
      <c r="B184" s="13"/>
      <c r="C184" s="13"/>
    </row>
    <row r="185" spans="1:3" ht="13" x14ac:dyDescent="0.15">
      <c r="A185" s="10"/>
      <c r="B185" s="13"/>
      <c r="C185" s="13"/>
    </row>
    <row r="186" spans="1:3" ht="13" x14ac:dyDescent="0.15">
      <c r="A186" s="10"/>
      <c r="B186" s="13"/>
      <c r="C186" s="13"/>
    </row>
    <row r="187" spans="1:3" ht="13" x14ac:dyDescent="0.15">
      <c r="A187" s="10"/>
      <c r="B187" s="13"/>
      <c r="C187" s="13"/>
    </row>
    <row r="188" spans="1:3" ht="13" x14ac:dyDescent="0.15">
      <c r="A188" s="10"/>
      <c r="B188" s="13"/>
      <c r="C188" s="13"/>
    </row>
    <row r="189" spans="1:3" ht="13" x14ac:dyDescent="0.15">
      <c r="A189" s="10"/>
      <c r="B189" s="13"/>
      <c r="C189" s="13"/>
    </row>
    <row r="190" spans="1:3" ht="13" x14ac:dyDescent="0.15">
      <c r="A190" s="10"/>
      <c r="B190" s="13"/>
      <c r="C190" s="13"/>
    </row>
    <row r="191" spans="1:3" ht="13" x14ac:dyDescent="0.15">
      <c r="A191" s="10"/>
      <c r="B191" s="13"/>
      <c r="C191" s="13"/>
    </row>
    <row r="192" spans="1:3" ht="13" x14ac:dyDescent="0.15">
      <c r="A192" s="10"/>
      <c r="B192" s="13"/>
      <c r="C192" s="13"/>
    </row>
    <row r="193" spans="1:3" ht="13" x14ac:dyDescent="0.15">
      <c r="A193" s="10"/>
      <c r="B193" s="13"/>
      <c r="C193" s="13"/>
    </row>
    <row r="194" spans="1:3" ht="13" x14ac:dyDescent="0.15">
      <c r="A194" s="10"/>
      <c r="B194" s="13"/>
      <c r="C194" s="13"/>
    </row>
    <row r="195" spans="1:3" ht="13" x14ac:dyDescent="0.15">
      <c r="A195" s="10"/>
      <c r="B195" s="13"/>
      <c r="C195" s="13"/>
    </row>
    <row r="196" spans="1:3" ht="13" x14ac:dyDescent="0.15">
      <c r="A196" s="10"/>
      <c r="B196" s="13"/>
      <c r="C196" s="13"/>
    </row>
    <row r="197" spans="1:3" ht="13" x14ac:dyDescent="0.15">
      <c r="A197" s="10"/>
      <c r="B197" s="13"/>
      <c r="C197" s="13"/>
    </row>
    <row r="198" spans="1:3" ht="13" x14ac:dyDescent="0.15">
      <c r="A198" s="10"/>
      <c r="B198" s="13"/>
      <c r="C198" s="13"/>
    </row>
    <row r="199" spans="1:3" ht="13" x14ac:dyDescent="0.15">
      <c r="A199" s="10"/>
      <c r="B199" s="13"/>
      <c r="C199" s="13"/>
    </row>
    <row r="200" spans="1:3" ht="13" x14ac:dyDescent="0.15">
      <c r="A200" s="10"/>
      <c r="B200" s="13"/>
      <c r="C200" s="13"/>
    </row>
    <row r="201" spans="1:3" ht="13" x14ac:dyDescent="0.15">
      <c r="A201" s="10"/>
      <c r="B201" s="13"/>
      <c r="C201" s="13"/>
    </row>
    <row r="202" spans="1:3" ht="13" x14ac:dyDescent="0.15">
      <c r="A202" s="10"/>
      <c r="B202" s="13"/>
      <c r="C202" s="13"/>
    </row>
    <row r="203" spans="1:3" ht="13" x14ac:dyDescent="0.15">
      <c r="A203" s="10"/>
      <c r="B203" s="13"/>
      <c r="C203" s="13"/>
    </row>
    <row r="204" spans="1:3" ht="13" x14ac:dyDescent="0.15">
      <c r="A204" s="10"/>
      <c r="B204" s="13"/>
      <c r="C204" s="13"/>
    </row>
    <row r="205" spans="1:3" ht="13" x14ac:dyDescent="0.15">
      <c r="A205" s="10"/>
      <c r="B205" s="13"/>
      <c r="C205" s="13"/>
    </row>
    <row r="206" spans="1:3" ht="13" x14ac:dyDescent="0.15">
      <c r="A206" s="10"/>
      <c r="B206" s="13"/>
      <c r="C206" s="13"/>
    </row>
    <row r="207" spans="1:3" ht="13" x14ac:dyDescent="0.15">
      <c r="A207" s="10"/>
      <c r="B207" s="13"/>
      <c r="C207" s="13"/>
    </row>
    <row r="208" spans="1:3" ht="13" x14ac:dyDescent="0.15">
      <c r="A208" s="10"/>
      <c r="B208" s="13"/>
      <c r="C208" s="13"/>
    </row>
    <row r="209" spans="1:3" ht="13" x14ac:dyDescent="0.15">
      <c r="A209" s="10"/>
      <c r="B209" s="13"/>
      <c r="C209" s="13"/>
    </row>
    <row r="210" spans="1:3" ht="13" x14ac:dyDescent="0.15">
      <c r="A210" s="10"/>
      <c r="B210" s="13"/>
      <c r="C210" s="13"/>
    </row>
    <row r="211" spans="1:3" ht="13" x14ac:dyDescent="0.15">
      <c r="A211" s="10"/>
      <c r="B211" s="13"/>
      <c r="C211" s="13"/>
    </row>
    <row r="212" spans="1:3" ht="13" x14ac:dyDescent="0.15">
      <c r="A212" s="10"/>
      <c r="B212" s="13"/>
      <c r="C212" s="13"/>
    </row>
    <row r="213" spans="1:3" ht="13" x14ac:dyDescent="0.15">
      <c r="A213" s="10"/>
      <c r="B213" s="13"/>
      <c r="C213" s="13"/>
    </row>
    <row r="214" spans="1:3" ht="13" x14ac:dyDescent="0.15">
      <c r="A214" s="10"/>
      <c r="B214" s="13"/>
      <c r="C214" s="13"/>
    </row>
    <row r="215" spans="1:3" ht="13" x14ac:dyDescent="0.15">
      <c r="A215" s="10"/>
      <c r="B215" s="13"/>
      <c r="C215" s="13"/>
    </row>
    <row r="216" spans="1:3" ht="13" x14ac:dyDescent="0.15">
      <c r="A216" s="10"/>
      <c r="B216" s="13"/>
      <c r="C216" s="13"/>
    </row>
    <row r="217" spans="1:3" ht="13" x14ac:dyDescent="0.15">
      <c r="A217" s="10"/>
      <c r="B217" s="13"/>
      <c r="C217" s="13"/>
    </row>
    <row r="218" spans="1:3" ht="13" x14ac:dyDescent="0.15">
      <c r="A218" s="10"/>
      <c r="B218" s="13"/>
      <c r="C218" s="13"/>
    </row>
    <row r="219" spans="1:3" ht="13" x14ac:dyDescent="0.15">
      <c r="A219" s="10"/>
      <c r="B219" s="13"/>
      <c r="C219" s="13"/>
    </row>
    <row r="220" spans="1:3" ht="13" x14ac:dyDescent="0.15">
      <c r="A220" s="10"/>
      <c r="B220" s="13"/>
      <c r="C220" s="13"/>
    </row>
    <row r="221" spans="1:3" ht="13" x14ac:dyDescent="0.15">
      <c r="A221" s="10"/>
      <c r="B221" s="13"/>
      <c r="C221" s="13"/>
    </row>
    <row r="222" spans="1:3" ht="13" x14ac:dyDescent="0.15">
      <c r="A222" s="10"/>
      <c r="B222" s="13"/>
      <c r="C222" s="13"/>
    </row>
    <row r="223" spans="1:3" ht="13" x14ac:dyDescent="0.15">
      <c r="A223" s="10"/>
      <c r="B223" s="13"/>
      <c r="C223" s="13"/>
    </row>
    <row r="224" spans="1:3" ht="13" x14ac:dyDescent="0.15">
      <c r="A224" s="10"/>
      <c r="B224" s="13"/>
      <c r="C224" s="13"/>
    </row>
    <row r="225" spans="1:3" ht="13" x14ac:dyDescent="0.15">
      <c r="A225" s="10"/>
      <c r="B225" s="13"/>
      <c r="C225" s="13"/>
    </row>
    <row r="226" spans="1:3" ht="13" x14ac:dyDescent="0.15">
      <c r="A226" s="10"/>
      <c r="B226" s="13"/>
      <c r="C226" s="13"/>
    </row>
    <row r="227" spans="1:3" ht="13" x14ac:dyDescent="0.15">
      <c r="A227" s="10"/>
      <c r="B227" s="13"/>
      <c r="C227" s="13"/>
    </row>
    <row r="228" spans="1:3" ht="13" x14ac:dyDescent="0.15">
      <c r="A228" s="10"/>
      <c r="B228" s="13"/>
      <c r="C228" s="13"/>
    </row>
    <row r="229" spans="1:3" ht="13" x14ac:dyDescent="0.15">
      <c r="A229" s="10"/>
      <c r="B229" s="13"/>
      <c r="C229" s="13"/>
    </row>
    <row r="230" spans="1:3" ht="13" x14ac:dyDescent="0.15">
      <c r="A230" s="10"/>
      <c r="B230" s="13"/>
      <c r="C230" s="13"/>
    </row>
    <row r="231" spans="1:3" ht="13" x14ac:dyDescent="0.15">
      <c r="A231" s="10"/>
      <c r="B231" s="13"/>
      <c r="C231" s="13"/>
    </row>
    <row r="232" spans="1:3" ht="13" x14ac:dyDescent="0.15">
      <c r="A232" s="10"/>
      <c r="B232" s="13"/>
      <c r="C232" s="13"/>
    </row>
    <row r="233" spans="1:3" ht="13" x14ac:dyDescent="0.15">
      <c r="A233" s="10"/>
      <c r="B233" s="13"/>
      <c r="C233" s="13"/>
    </row>
    <row r="234" spans="1:3" ht="13" x14ac:dyDescent="0.15">
      <c r="A234" s="10"/>
      <c r="B234" s="13"/>
      <c r="C234" s="13"/>
    </row>
    <row r="235" spans="1:3" ht="13" x14ac:dyDescent="0.15">
      <c r="A235" s="10"/>
      <c r="B235" s="13"/>
      <c r="C235" s="13"/>
    </row>
    <row r="236" spans="1:3" ht="13" x14ac:dyDescent="0.15">
      <c r="A236" s="10"/>
      <c r="B236" s="13"/>
      <c r="C236" s="13"/>
    </row>
    <row r="237" spans="1:3" ht="13" x14ac:dyDescent="0.15">
      <c r="A237" s="10"/>
      <c r="B237" s="13"/>
      <c r="C237" s="13"/>
    </row>
    <row r="238" spans="1:3" ht="13" x14ac:dyDescent="0.15">
      <c r="A238" s="10"/>
      <c r="B238" s="13"/>
      <c r="C238" s="13"/>
    </row>
    <row r="239" spans="1:3" ht="13" x14ac:dyDescent="0.15">
      <c r="A239" s="10"/>
      <c r="B239" s="13"/>
      <c r="C239" s="13"/>
    </row>
    <row r="240" spans="1:3" ht="13" x14ac:dyDescent="0.15">
      <c r="A240" s="10"/>
      <c r="B240" s="13"/>
      <c r="C240" s="13"/>
    </row>
    <row r="241" spans="1:3" ht="13" x14ac:dyDescent="0.15">
      <c r="A241" s="10"/>
      <c r="B241" s="13"/>
      <c r="C241" s="13"/>
    </row>
    <row r="242" spans="1:3" ht="13" x14ac:dyDescent="0.15">
      <c r="A242" s="10"/>
      <c r="B242" s="13"/>
      <c r="C242" s="13"/>
    </row>
    <row r="243" spans="1:3" ht="13" x14ac:dyDescent="0.15">
      <c r="A243" s="10"/>
      <c r="B243" s="13"/>
      <c r="C243" s="13"/>
    </row>
    <row r="244" spans="1:3" ht="13" x14ac:dyDescent="0.15">
      <c r="A244" s="10"/>
      <c r="B244" s="13"/>
      <c r="C244" s="13"/>
    </row>
    <row r="245" spans="1:3" ht="13" x14ac:dyDescent="0.15">
      <c r="A245" s="10"/>
      <c r="B245" s="13"/>
      <c r="C245" s="13"/>
    </row>
    <row r="246" spans="1:3" ht="13" x14ac:dyDescent="0.15">
      <c r="A246" s="10"/>
      <c r="B246" s="13"/>
      <c r="C246" s="13"/>
    </row>
    <row r="247" spans="1:3" ht="13" x14ac:dyDescent="0.15">
      <c r="A247" s="10"/>
      <c r="B247" s="13"/>
      <c r="C247" s="13"/>
    </row>
    <row r="248" spans="1:3" ht="13" x14ac:dyDescent="0.15">
      <c r="A248" s="10"/>
      <c r="B248" s="13"/>
      <c r="C248" s="13"/>
    </row>
    <row r="249" spans="1:3" ht="13" x14ac:dyDescent="0.15">
      <c r="A249" s="10"/>
      <c r="B249" s="13"/>
      <c r="C249" s="13"/>
    </row>
    <row r="250" spans="1:3" ht="13" x14ac:dyDescent="0.15">
      <c r="A250" s="10"/>
      <c r="B250" s="13"/>
      <c r="C250" s="13"/>
    </row>
    <row r="251" spans="1:3" ht="13" x14ac:dyDescent="0.15">
      <c r="A251" s="10"/>
      <c r="B251" s="13"/>
      <c r="C251" s="13"/>
    </row>
    <row r="252" spans="1:3" ht="13" x14ac:dyDescent="0.15">
      <c r="A252" s="10"/>
      <c r="B252" s="13"/>
      <c r="C252" s="13"/>
    </row>
    <row r="253" spans="1:3" ht="13" x14ac:dyDescent="0.15">
      <c r="A253" s="10"/>
      <c r="B253" s="13"/>
      <c r="C253" s="13"/>
    </row>
    <row r="254" spans="1:3" ht="13" x14ac:dyDescent="0.15">
      <c r="A254" s="10"/>
      <c r="B254" s="13"/>
      <c r="C254" s="13"/>
    </row>
    <row r="255" spans="1:3" ht="13" x14ac:dyDescent="0.15">
      <c r="A255" s="10"/>
      <c r="B255" s="13"/>
      <c r="C255" s="13"/>
    </row>
    <row r="256" spans="1:3" ht="13" x14ac:dyDescent="0.15">
      <c r="A256" s="10"/>
      <c r="B256" s="13"/>
      <c r="C256" s="13"/>
    </row>
    <row r="257" spans="1:3" ht="13" x14ac:dyDescent="0.15">
      <c r="A257" s="10"/>
      <c r="B257" s="13"/>
      <c r="C257" s="13"/>
    </row>
    <row r="258" spans="1:3" ht="13" x14ac:dyDescent="0.15">
      <c r="A258" s="10"/>
      <c r="B258" s="13"/>
      <c r="C258" s="13"/>
    </row>
    <row r="259" spans="1:3" ht="13" x14ac:dyDescent="0.15">
      <c r="A259" s="10"/>
      <c r="B259" s="13"/>
      <c r="C259" s="13"/>
    </row>
    <row r="260" spans="1:3" ht="13" x14ac:dyDescent="0.15">
      <c r="A260" s="10"/>
      <c r="B260" s="13"/>
      <c r="C260" s="13"/>
    </row>
    <row r="261" spans="1:3" ht="13" x14ac:dyDescent="0.15">
      <c r="A261" s="10"/>
      <c r="B261" s="13"/>
      <c r="C261" s="13"/>
    </row>
    <row r="262" spans="1:3" ht="13" x14ac:dyDescent="0.15">
      <c r="A262" s="10"/>
      <c r="B262" s="13"/>
      <c r="C262" s="13"/>
    </row>
    <row r="263" spans="1:3" ht="13" x14ac:dyDescent="0.15">
      <c r="A263" s="10"/>
      <c r="B263" s="13"/>
      <c r="C263" s="13"/>
    </row>
    <row r="264" spans="1:3" ht="13" x14ac:dyDescent="0.15">
      <c r="A264" s="10"/>
      <c r="B264" s="13"/>
      <c r="C264" s="13"/>
    </row>
    <row r="265" spans="1:3" ht="13" x14ac:dyDescent="0.15">
      <c r="A265" s="10"/>
      <c r="B265" s="13"/>
      <c r="C265" s="13"/>
    </row>
    <row r="266" spans="1:3" ht="13" x14ac:dyDescent="0.15">
      <c r="A266" s="10"/>
      <c r="B266" s="13"/>
      <c r="C266" s="13"/>
    </row>
    <row r="267" spans="1:3" ht="13" x14ac:dyDescent="0.15">
      <c r="A267" s="10"/>
      <c r="B267" s="13"/>
      <c r="C267" s="13"/>
    </row>
    <row r="268" spans="1:3" ht="13" x14ac:dyDescent="0.15">
      <c r="A268" s="10"/>
      <c r="B268" s="13"/>
      <c r="C268" s="13"/>
    </row>
    <row r="269" spans="1:3" ht="13" x14ac:dyDescent="0.15">
      <c r="A269" s="10"/>
      <c r="B269" s="13"/>
      <c r="C269" s="13"/>
    </row>
    <row r="270" spans="1:3" ht="13" x14ac:dyDescent="0.15">
      <c r="A270" s="10"/>
      <c r="B270" s="13"/>
      <c r="C270" s="13"/>
    </row>
    <row r="271" spans="1:3" ht="13" x14ac:dyDescent="0.15">
      <c r="A271" s="10"/>
      <c r="B271" s="13"/>
      <c r="C271" s="13"/>
    </row>
    <row r="272" spans="1:3" ht="13" x14ac:dyDescent="0.15">
      <c r="A272" s="10"/>
      <c r="B272" s="13"/>
      <c r="C272" s="13"/>
    </row>
    <row r="273" spans="1:3" ht="13" x14ac:dyDescent="0.15">
      <c r="A273" s="10"/>
      <c r="B273" s="13"/>
      <c r="C273" s="13"/>
    </row>
    <row r="274" spans="1:3" ht="13" x14ac:dyDescent="0.15">
      <c r="A274" s="10"/>
      <c r="B274" s="13"/>
      <c r="C274" s="13"/>
    </row>
    <row r="275" spans="1:3" ht="13" x14ac:dyDescent="0.15">
      <c r="A275" s="10"/>
      <c r="B275" s="13"/>
      <c r="C275" s="13"/>
    </row>
    <row r="276" spans="1:3" ht="13" x14ac:dyDescent="0.15">
      <c r="A276" s="10"/>
      <c r="B276" s="13"/>
      <c r="C276" s="13"/>
    </row>
    <row r="277" spans="1:3" ht="13" x14ac:dyDescent="0.15">
      <c r="A277" s="10"/>
      <c r="B277" s="13"/>
      <c r="C277" s="13"/>
    </row>
    <row r="278" spans="1:3" ht="13" x14ac:dyDescent="0.15">
      <c r="A278" s="10"/>
      <c r="B278" s="13"/>
      <c r="C278" s="13"/>
    </row>
    <row r="279" spans="1:3" ht="13" x14ac:dyDescent="0.15">
      <c r="A279" s="10"/>
      <c r="B279" s="13"/>
      <c r="C279" s="13"/>
    </row>
    <row r="280" spans="1:3" ht="13" x14ac:dyDescent="0.15">
      <c r="A280" s="10"/>
      <c r="B280" s="13"/>
      <c r="C280" s="13"/>
    </row>
    <row r="281" spans="1:3" ht="13" x14ac:dyDescent="0.15">
      <c r="A281" s="10"/>
      <c r="B281" s="13"/>
      <c r="C281" s="13"/>
    </row>
    <row r="282" spans="1:3" ht="13" x14ac:dyDescent="0.15">
      <c r="A282" s="10"/>
      <c r="B282" s="13"/>
      <c r="C282" s="13"/>
    </row>
    <row r="283" spans="1:3" ht="13" x14ac:dyDescent="0.15">
      <c r="A283" s="10"/>
      <c r="B283" s="13"/>
      <c r="C283" s="13"/>
    </row>
    <row r="284" spans="1:3" ht="13" x14ac:dyDescent="0.15">
      <c r="A284" s="10"/>
      <c r="B284" s="13"/>
      <c r="C284" s="13"/>
    </row>
    <row r="285" spans="1:3" ht="13" x14ac:dyDescent="0.15">
      <c r="A285" s="10"/>
      <c r="B285" s="13"/>
      <c r="C285" s="13"/>
    </row>
    <row r="286" spans="1:3" ht="13" x14ac:dyDescent="0.15">
      <c r="A286" s="10"/>
      <c r="B286" s="13"/>
      <c r="C286" s="13"/>
    </row>
    <row r="287" spans="1:3" ht="13" x14ac:dyDescent="0.15">
      <c r="A287" s="10"/>
      <c r="B287" s="13"/>
      <c r="C287" s="13"/>
    </row>
    <row r="288" spans="1:3" ht="13" x14ac:dyDescent="0.15">
      <c r="A288" s="10"/>
      <c r="B288" s="13"/>
      <c r="C288" s="13"/>
    </row>
    <row r="289" spans="1:3" ht="13" x14ac:dyDescent="0.15">
      <c r="A289" s="10"/>
      <c r="B289" s="13"/>
      <c r="C289" s="13"/>
    </row>
    <row r="290" spans="1:3" ht="13" x14ac:dyDescent="0.15">
      <c r="A290" s="10"/>
      <c r="B290" s="13"/>
      <c r="C290" s="13"/>
    </row>
    <row r="291" spans="1:3" ht="13" x14ac:dyDescent="0.15">
      <c r="A291" s="10"/>
      <c r="B291" s="13"/>
      <c r="C291" s="13"/>
    </row>
    <row r="292" spans="1:3" ht="13" x14ac:dyDescent="0.15">
      <c r="A292" s="10"/>
      <c r="B292" s="13"/>
      <c r="C292" s="13"/>
    </row>
    <row r="293" spans="1:3" ht="13" x14ac:dyDescent="0.15">
      <c r="A293" s="10"/>
      <c r="B293" s="13"/>
      <c r="C293" s="13"/>
    </row>
    <row r="294" spans="1:3" ht="13" x14ac:dyDescent="0.15">
      <c r="A294" s="10"/>
      <c r="B294" s="13"/>
      <c r="C294" s="13"/>
    </row>
    <row r="295" spans="1:3" ht="13" x14ac:dyDescent="0.15">
      <c r="A295" s="10"/>
      <c r="B295" s="13"/>
      <c r="C295" s="13"/>
    </row>
    <row r="296" spans="1:3" ht="13" x14ac:dyDescent="0.15">
      <c r="A296" s="10"/>
      <c r="B296" s="13"/>
      <c r="C296" s="13"/>
    </row>
    <row r="297" spans="1:3" ht="13" x14ac:dyDescent="0.15">
      <c r="A297" s="10"/>
      <c r="B297" s="13"/>
      <c r="C297" s="13"/>
    </row>
    <row r="298" spans="1:3" ht="13" x14ac:dyDescent="0.15">
      <c r="A298" s="10"/>
      <c r="B298" s="13"/>
      <c r="C298" s="13"/>
    </row>
    <row r="299" spans="1:3" ht="13" x14ac:dyDescent="0.15">
      <c r="A299" s="10"/>
      <c r="B299" s="13"/>
      <c r="C299" s="13"/>
    </row>
    <row r="300" spans="1:3" ht="13" x14ac:dyDescent="0.15">
      <c r="A300" s="10"/>
      <c r="B300" s="13"/>
      <c r="C300" s="13"/>
    </row>
    <row r="301" spans="1:3" ht="13" x14ac:dyDescent="0.15">
      <c r="A301" s="10"/>
      <c r="B301" s="13"/>
      <c r="C301" s="13"/>
    </row>
    <row r="302" spans="1:3" ht="13" x14ac:dyDescent="0.15">
      <c r="A302" s="10"/>
      <c r="B302" s="13"/>
      <c r="C302" s="13"/>
    </row>
    <row r="303" spans="1:3" ht="13" x14ac:dyDescent="0.15">
      <c r="A303" s="10"/>
      <c r="B303" s="13"/>
      <c r="C303" s="13"/>
    </row>
    <row r="304" spans="1:3" ht="13" x14ac:dyDescent="0.15">
      <c r="A304" s="10"/>
      <c r="B304" s="13"/>
      <c r="C304" s="13"/>
    </row>
    <row r="305" spans="1:3" ht="13" x14ac:dyDescent="0.15">
      <c r="A305" s="10"/>
      <c r="B305" s="13"/>
      <c r="C305" s="13"/>
    </row>
    <row r="306" spans="1:3" ht="13" x14ac:dyDescent="0.15">
      <c r="A306" s="10"/>
      <c r="B306" s="13"/>
      <c r="C306" s="13"/>
    </row>
    <row r="307" spans="1:3" ht="13" x14ac:dyDescent="0.15">
      <c r="A307" s="10"/>
      <c r="B307" s="13"/>
      <c r="C307" s="13"/>
    </row>
    <row r="308" spans="1:3" ht="13" x14ac:dyDescent="0.15">
      <c r="A308" s="10"/>
      <c r="B308" s="13"/>
      <c r="C308" s="13"/>
    </row>
    <row r="309" spans="1:3" ht="13" x14ac:dyDescent="0.15">
      <c r="A309" s="10"/>
      <c r="B309" s="13"/>
      <c r="C309" s="13"/>
    </row>
    <row r="310" spans="1:3" ht="13" x14ac:dyDescent="0.15">
      <c r="A310" s="10"/>
      <c r="B310" s="13"/>
      <c r="C310" s="13"/>
    </row>
    <row r="311" spans="1:3" ht="13" x14ac:dyDescent="0.15">
      <c r="A311" s="10"/>
      <c r="B311" s="13"/>
      <c r="C311" s="13"/>
    </row>
    <row r="312" spans="1:3" ht="13" x14ac:dyDescent="0.15">
      <c r="A312" s="10"/>
      <c r="B312" s="13"/>
      <c r="C312" s="13"/>
    </row>
    <row r="313" spans="1:3" ht="13" x14ac:dyDescent="0.15">
      <c r="A313" s="10"/>
      <c r="B313" s="13"/>
      <c r="C313" s="13"/>
    </row>
    <row r="314" spans="1:3" ht="13" x14ac:dyDescent="0.15">
      <c r="A314" s="10"/>
      <c r="B314" s="13"/>
      <c r="C314" s="13"/>
    </row>
    <row r="315" spans="1:3" ht="13" x14ac:dyDescent="0.15">
      <c r="A315" s="10"/>
      <c r="B315" s="13"/>
      <c r="C315" s="13"/>
    </row>
    <row r="316" spans="1:3" ht="13" x14ac:dyDescent="0.15">
      <c r="A316" s="10"/>
      <c r="B316" s="13"/>
      <c r="C316" s="13"/>
    </row>
    <row r="317" spans="1:3" ht="13" x14ac:dyDescent="0.15">
      <c r="A317" s="10"/>
      <c r="B317" s="13"/>
      <c r="C317" s="13"/>
    </row>
    <row r="318" spans="1:3" ht="13" x14ac:dyDescent="0.15">
      <c r="A318" s="10"/>
      <c r="B318" s="13"/>
      <c r="C318" s="13"/>
    </row>
    <row r="319" spans="1:3" ht="13" x14ac:dyDescent="0.15">
      <c r="A319" s="10"/>
      <c r="B319" s="13"/>
      <c r="C319" s="13"/>
    </row>
    <row r="320" spans="1:3" ht="13" x14ac:dyDescent="0.15">
      <c r="A320" s="10"/>
      <c r="B320" s="13"/>
      <c r="C320" s="13"/>
    </row>
    <row r="321" spans="1:3" ht="13" x14ac:dyDescent="0.15">
      <c r="A321" s="10"/>
      <c r="B321" s="13"/>
      <c r="C321" s="13"/>
    </row>
    <row r="322" spans="1:3" ht="13" x14ac:dyDescent="0.15">
      <c r="A322" s="10"/>
      <c r="B322" s="13"/>
      <c r="C322" s="13"/>
    </row>
    <row r="323" spans="1:3" ht="13" x14ac:dyDescent="0.15">
      <c r="A323" s="10"/>
      <c r="B323" s="13"/>
      <c r="C323" s="13"/>
    </row>
    <row r="324" spans="1:3" ht="13" x14ac:dyDescent="0.15">
      <c r="A324" s="10"/>
      <c r="B324" s="13"/>
      <c r="C324" s="13"/>
    </row>
    <row r="325" spans="1:3" ht="13" x14ac:dyDescent="0.15">
      <c r="A325" s="10"/>
      <c r="B325" s="13"/>
      <c r="C325" s="13"/>
    </row>
    <row r="326" spans="1:3" ht="13" x14ac:dyDescent="0.15">
      <c r="A326" s="10"/>
      <c r="B326" s="13"/>
      <c r="C326" s="13"/>
    </row>
    <row r="327" spans="1:3" ht="13" x14ac:dyDescent="0.15">
      <c r="A327" s="10"/>
      <c r="B327" s="13"/>
      <c r="C327" s="13"/>
    </row>
    <row r="328" spans="1:3" ht="13" x14ac:dyDescent="0.15">
      <c r="A328" s="10"/>
      <c r="B328" s="13"/>
      <c r="C328" s="13"/>
    </row>
    <row r="329" spans="1:3" ht="13" x14ac:dyDescent="0.15">
      <c r="A329" s="10"/>
      <c r="B329" s="13"/>
      <c r="C329" s="13"/>
    </row>
    <row r="330" spans="1:3" ht="13" x14ac:dyDescent="0.15">
      <c r="A330" s="10"/>
      <c r="B330" s="13"/>
      <c r="C330" s="13"/>
    </row>
    <row r="331" spans="1:3" ht="13" x14ac:dyDescent="0.15">
      <c r="A331" s="10"/>
      <c r="B331" s="13"/>
      <c r="C331" s="13"/>
    </row>
    <row r="332" spans="1:3" ht="13" x14ac:dyDescent="0.15">
      <c r="A332" s="10"/>
      <c r="B332" s="13"/>
      <c r="C332" s="13"/>
    </row>
    <row r="333" spans="1:3" ht="13" x14ac:dyDescent="0.15">
      <c r="A333" s="10"/>
      <c r="B333" s="13"/>
      <c r="C333" s="13"/>
    </row>
    <row r="334" spans="1:3" ht="13" x14ac:dyDescent="0.15">
      <c r="A334" s="10"/>
      <c r="B334" s="13"/>
      <c r="C334" s="13"/>
    </row>
    <row r="335" spans="1:3" ht="13" x14ac:dyDescent="0.15">
      <c r="A335" s="10"/>
      <c r="B335" s="13"/>
      <c r="C335" s="13"/>
    </row>
    <row r="336" spans="1:3" ht="13" x14ac:dyDescent="0.15">
      <c r="A336" s="10"/>
      <c r="B336" s="13"/>
      <c r="C336" s="13"/>
    </row>
    <row r="337" spans="1:3" ht="13" x14ac:dyDescent="0.15">
      <c r="A337" s="10"/>
      <c r="B337" s="13"/>
      <c r="C337" s="13"/>
    </row>
    <row r="338" spans="1:3" ht="13" x14ac:dyDescent="0.15">
      <c r="A338" s="10"/>
      <c r="B338" s="13"/>
      <c r="C338" s="13"/>
    </row>
    <row r="339" spans="1:3" ht="13" x14ac:dyDescent="0.15">
      <c r="A339" s="10"/>
      <c r="B339" s="13"/>
      <c r="C339" s="13"/>
    </row>
    <row r="340" spans="1:3" ht="13" x14ac:dyDescent="0.15">
      <c r="A340" s="10"/>
      <c r="B340" s="13"/>
      <c r="C340" s="13"/>
    </row>
    <row r="341" spans="1:3" ht="13" x14ac:dyDescent="0.15">
      <c r="A341" s="10"/>
      <c r="B341" s="13"/>
      <c r="C341" s="13"/>
    </row>
    <row r="342" spans="1:3" ht="13" x14ac:dyDescent="0.15">
      <c r="A342" s="10"/>
      <c r="B342" s="13"/>
      <c r="C342" s="13"/>
    </row>
    <row r="343" spans="1:3" ht="13" x14ac:dyDescent="0.15">
      <c r="A343" s="10"/>
      <c r="B343" s="13"/>
      <c r="C343" s="13"/>
    </row>
    <row r="344" spans="1:3" ht="13" x14ac:dyDescent="0.15">
      <c r="A344" s="10"/>
      <c r="B344" s="13"/>
      <c r="C344" s="13"/>
    </row>
    <row r="345" spans="1:3" ht="13" x14ac:dyDescent="0.15">
      <c r="A345" s="10"/>
      <c r="B345" s="13"/>
      <c r="C345" s="13"/>
    </row>
    <row r="346" spans="1:3" ht="13" x14ac:dyDescent="0.15">
      <c r="A346" s="10"/>
      <c r="B346" s="13"/>
      <c r="C346" s="13"/>
    </row>
    <row r="347" spans="1:3" ht="13" x14ac:dyDescent="0.15">
      <c r="A347" s="10"/>
      <c r="B347" s="13"/>
      <c r="C347" s="13"/>
    </row>
    <row r="348" spans="1:3" ht="13" x14ac:dyDescent="0.15">
      <c r="A348" s="10"/>
      <c r="B348" s="13"/>
      <c r="C348" s="13"/>
    </row>
    <row r="349" spans="1:3" ht="13" x14ac:dyDescent="0.15">
      <c r="A349" s="10"/>
      <c r="B349" s="13"/>
      <c r="C349" s="13"/>
    </row>
    <row r="350" spans="1:3" ht="13" x14ac:dyDescent="0.15">
      <c r="A350" s="10"/>
      <c r="B350" s="13"/>
      <c r="C350" s="13"/>
    </row>
    <row r="351" spans="1:3" ht="13" x14ac:dyDescent="0.15">
      <c r="A351" s="10"/>
      <c r="B351" s="13"/>
      <c r="C351" s="13"/>
    </row>
    <row r="352" spans="1:3" ht="13" x14ac:dyDescent="0.15">
      <c r="A352" s="10"/>
      <c r="B352" s="13"/>
      <c r="C352" s="13"/>
    </row>
    <row r="353" spans="1:3" ht="13" x14ac:dyDescent="0.15">
      <c r="A353" s="10"/>
      <c r="B353" s="13"/>
      <c r="C353" s="13"/>
    </row>
    <row r="354" spans="1:3" ht="13" x14ac:dyDescent="0.15">
      <c r="A354" s="10"/>
      <c r="B354" s="13"/>
      <c r="C354" s="13"/>
    </row>
    <row r="355" spans="1:3" ht="13" x14ac:dyDescent="0.15">
      <c r="A355" s="10"/>
      <c r="B355" s="13"/>
      <c r="C355" s="13"/>
    </row>
    <row r="356" spans="1:3" ht="13" x14ac:dyDescent="0.15">
      <c r="A356" s="10"/>
      <c r="B356" s="13"/>
      <c r="C356" s="13"/>
    </row>
    <row r="357" spans="1:3" ht="13" x14ac:dyDescent="0.15">
      <c r="A357" s="10"/>
      <c r="B357" s="13"/>
      <c r="C357" s="13"/>
    </row>
    <row r="358" spans="1:3" ht="13" x14ac:dyDescent="0.15">
      <c r="A358" s="10"/>
      <c r="B358" s="13"/>
      <c r="C358" s="13"/>
    </row>
    <row r="359" spans="1:3" ht="13" x14ac:dyDescent="0.15">
      <c r="A359" s="10"/>
      <c r="B359" s="13"/>
      <c r="C359" s="13"/>
    </row>
    <row r="360" spans="1:3" ht="13" x14ac:dyDescent="0.15">
      <c r="A360" s="10"/>
      <c r="B360" s="13"/>
      <c r="C360" s="13"/>
    </row>
    <row r="361" spans="1:3" ht="13" x14ac:dyDescent="0.15">
      <c r="A361" s="10"/>
      <c r="B361" s="13"/>
      <c r="C361" s="13"/>
    </row>
    <row r="362" spans="1:3" ht="13" x14ac:dyDescent="0.15">
      <c r="A362" s="10"/>
      <c r="B362" s="13"/>
      <c r="C362" s="13"/>
    </row>
    <row r="363" spans="1:3" ht="13" x14ac:dyDescent="0.15">
      <c r="A363" s="10"/>
      <c r="B363" s="13"/>
      <c r="C363" s="13"/>
    </row>
    <row r="364" spans="1:3" ht="13" x14ac:dyDescent="0.15">
      <c r="A364" s="10"/>
      <c r="B364" s="13"/>
      <c r="C364" s="13"/>
    </row>
    <row r="365" spans="1:3" ht="13" x14ac:dyDescent="0.15">
      <c r="A365" s="10"/>
      <c r="B365" s="13"/>
      <c r="C365" s="13"/>
    </row>
    <row r="366" spans="1:3" ht="13" x14ac:dyDescent="0.15">
      <c r="A366" s="10"/>
      <c r="B366" s="13"/>
      <c r="C366" s="13"/>
    </row>
    <row r="367" spans="1:3" ht="13" x14ac:dyDescent="0.15">
      <c r="A367" s="10"/>
      <c r="B367" s="13"/>
      <c r="C367" s="13"/>
    </row>
    <row r="368" spans="1:3" ht="13" x14ac:dyDescent="0.15">
      <c r="A368" s="10"/>
      <c r="B368" s="13"/>
      <c r="C368" s="13"/>
    </row>
    <row r="369" spans="1:3" ht="13" x14ac:dyDescent="0.15">
      <c r="A369" s="10"/>
      <c r="B369" s="13"/>
      <c r="C369" s="13"/>
    </row>
    <row r="370" spans="1:3" ht="13" x14ac:dyDescent="0.15">
      <c r="A370" s="10"/>
      <c r="B370" s="13"/>
      <c r="C370" s="13"/>
    </row>
    <row r="371" spans="1:3" ht="13" x14ac:dyDescent="0.15">
      <c r="A371" s="10"/>
      <c r="B371" s="13"/>
      <c r="C371" s="13"/>
    </row>
    <row r="372" spans="1:3" ht="13" x14ac:dyDescent="0.15">
      <c r="A372" s="10"/>
      <c r="B372" s="13"/>
      <c r="C372" s="13"/>
    </row>
    <row r="373" spans="1:3" ht="13" x14ac:dyDescent="0.15">
      <c r="A373" s="10"/>
      <c r="B373" s="13"/>
      <c r="C373" s="13"/>
    </row>
    <row r="374" spans="1:3" ht="13" x14ac:dyDescent="0.15">
      <c r="A374" s="10"/>
      <c r="B374" s="13"/>
      <c r="C374" s="13"/>
    </row>
    <row r="375" spans="1:3" ht="13" x14ac:dyDescent="0.15">
      <c r="A375" s="10"/>
      <c r="B375" s="13"/>
      <c r="C375" s="13"/>
    </row>
    <row r="376" spans="1:3" ht="13" x14ac:dyDescent="0.15">
      <c r="A376" s="10"/>
      <c r="B376" s="13"/>
      <c r="C376" s="13"/>
    </row>
    <row r="377" spans="1:3" ht="13" x14ac:dyDescent="0.15">
      <c r="A377" s="10"/>
      <c r="B377" s="13"/>
      <c r="C377" s="13"/>
    </row>
    <row r="378" spans="1:3" ht="13" x14ac:dyDescent="0.15">
      <c r="A378" s="10"/>
      <c r="B378" s="13"/>
      <c r="C378" s="13"/>
    </row>
    <row r="379" spans="1:3" ht="13" x14ac:dyDescent="0.15">
      <c r="A379" s="10"/>
      <c r="B379" s="13"/>
      <c r="C379" s="13"/>
    </row>
    <row r="380" spans="1:3" ht="13" x14ac:dyDescent="0.15">
      <c r="A380" s="10"/>
      <c r="B380" s="13"/>
      <c r="C380" s="13"/>
    </row>
    <row r="381" spans="1:3" ht="13" x14ac:dyDescent="0.15">
      <c r="A381" s="10"/>
      <c r="B381" s="13"/>
      <c r="C381" s="13"/>
    </row>
    <row r="382" spans="1:3" ht="13" x14ac:dyDescent="0.15">
      <c r="A382" s="10"/>
      <c r="B382" s="13"/>
      <c r="C382" s="13"/>
    </row>
    <row r="383" spans="1:3" ht="13" x14ac:dyDescent="0.15">
      <c r="A383" s="10"/>
      <c r="B383" s="13"/>
      <c r="C383" s="13"/>
    </row>
    <row r="384" spans="1:3" ht="13" x14ac:dyDescent="0.15">
      <c r="A384" s="10"/>
      <c r="B384" s="13"/>
      <c r="C384" s="13"/>
    </row>
    <row r="385" spans="1:3" ht="13" x14ac:dyDescent="0.15">
      <c r="A385" s="10"/>
      <c r="B385" s="13"/>
      <c r="C385" s="13"/>
    </row>
    <row r="386" spans="1:3" ht="13" x14ac:dyDescent="0.15">
      <c r="A386" s="10"/>
      <c r="B386" s="13"/>
      <c r="C386" s="13"/>
    </row>
    <row r="387" spans="1:3" ht="13" x14ac:dyDescent="0.15">
      <c r="A387" s="10"/>
      <c r="B387" s="13"/>
      <c r="C387" s="13"/>
    </row>
    <row r="388" spans="1:3" ht="13" x14ac:dyDescent="0.15">
      <c r="A388" s="10"/>
      <c r="B388" s="13"/>
      <c r="C388" s="13"/>
    </row>
    <row r="389" spans="1:3" ht="13" x14ac:dyDescent="0.15">
      <c r="A389" s="10"/>
      <c r="B389" s="13"/>
      <c r="C389" s="13"/>
    </row>
    <row r="390" spans="1:3" ht="13" x14ac:dyDescent="0.15">
      <c r="A390" s="10"/>
      <c r="B390" s="13"/>
      <c r="C390" s="13"/>
    </row>
    <row r="391" spans="1:3" ht="13" x14ac:dyDescent="0.15">
      <c r="A391" s="10"/>
      <c r="B391" s="13"/>
      <c r="C391" s="13"/>
    </row>
    <row r="392" spans="1:3" ht="13" x14ac:dyDescent="0.15">
      <c r="A392" s="10"/>
      <c r="B392" s="13"/>
      <c r="C392" s="13"/>
    </row>
    <row r="393" spans="1:3" ht="13" x14ac:dyDescent="0.15">
      <c r="A393" s="10"/>
      <c r="B393" s="13"/>
      <c r="C393" s="13"/>
    </row>
    <row r="394" spans="1:3" ht="13" x14ac:dyDescent="0.15">
      <c r="A394" s="10"/>
      <c r="B394" s="13"/>
      <c r="C394" s="13"/>
    </row>
    <row r="395" spans="1:3" ht="13" x14ac:dyDescent="0.15">
      <c r="A395" s="10"/>
      <c r="B395" s="13"/>
      <c r="C395" s="13"/>
    </row>
    <row r="396" spans="1:3" ht="13" x14ac:dyDescent="0.15">
      <c r="A396" s="10"/>
      <c r="B396" s="13"/>
      <c r="C396" s="13"/>
    </row>
    <row r="397" spans="1:3" ht="13" x14ac:dyDescent="0.15">
      <c r="A397" s="10"/>
      <c r="B397" s="13"/>
      <c r="C397" s="13"/>
    </row>
    <row r="398" spans="1:3" ht="13" x14ac:dyDescent="0.15">
      <c r="A398" s="10"/>
      <c r="B398" s="13"/>
      <c r="C398" s="13"/>
    </row>
    <row r="399" spans="1:3" ht="13" x14ac:dyDescent="0.15">
      <c r="A399" s="10"/>
      <c r="B399" s="13"/>
      <c r="C399" s="13"/>
    </row>
    <row r="400" spans="1:3" ht="13" x14ac:dyDescent="0.15">
      <c r="A400" s="10"/>
      <c r="B400" s="13"/>
      <c r="C400" s="13"/>
    </row>
    <row r="401" spans="1:3" ht="13" x14ac:dyDescent="0.15">
      <c r="A401" s="10"/>
      <c r="B401" s="13"/>
      <c r="C401" s="13"/>
    </row>
    <row r="402" spans="1:3" ht="13" x14ac:dyDescent="0.15">
      <c r="A402" s="10"/>
      <c r="B402" s="13"/>
      <c r="C402" s="13"/>
    </row>
    <row r="403" spans="1:3" ht="13" x14ac:dyDescent="0.15">
      <c r="A403" s="10"/>
      <c r="B403" s="13"/>
      <c r="C403" s="13"/>
    </row>
    <row r="404" spans="1:3" ht="13" x14ac:dyDescent="0.15">
      <c r="A404" s="10"/>
      <c r="B404" s="13"/>
      <c r="C404" s="13"/>
    </row>
    <row r="405" spans="1:3" ht="13" x14ac:dyDescent="0.15">
      <c r="A405" s="10"/>
      <c r="B405" s="13"/>
      <c r="C405" s="13"/>
    </row>
    <row r="406" spans="1:3" ht="13" x14ac:dyDescent="0.15">
      <c r="A406" s="10"/>
      <c r="B406" s="13"/>
      <c r="C406" s="13"/>
    </row>
    <row r="407" spans="1:3" ht="13" x14ac:dyDescent="0.15">
      <c r="A407" s="10"/>
      <c r="B407" s="13"/>
      <c r="C407" s="13"/>
    </row>
    <row r="408" spans="1:3" ht="13" x14ac:dyDescent="0.15">
      <c r="A408" s="10"/>
      <c r="B408" s="13"/>
      <c r="C408" s="13"/>
    </row>
    <row r="409" spans="1:3" ht="13" x14ac:dyDescent="0.15">
      <c r="A409" s="10"/>
      <c r="B409" s="13"/>
      <c r="C409" s="13"/>
    </row>
    <row r="410" spans="1:3" ht="13" x14ac:dyDescent="0.15">
      <c r="A410" s="10"/>
      <c r="B410" s="13"/>
      <c r="C410" s="13"/>
    </row>
    <row r="411" spans="1:3" ht="13" x14ac:dyDescent="0.15">
      <c r="A411" s="10"/>
      <c r="B411" s="13"/>
      <c r="C411" s="13"/>
    </row>
    <row r="412" spans="1:3" ht="13" x14ac:dyDescent="0.15">
      <c r="A412" s="10"/>
      <c r="B412" s="13"/>
      <c r="C412" s="13"/>
    </row>
    <row r="413" spans="1:3" ht="13" x14ac:dyDescent="0.15">
      <c r="A413" s="10"/>
      <c r="B413" s="13"/>
      <c r="C413" s="13"/>
    </row>
    <row r="414" spans="1:3" ht="13" x14ac:dyDescent="0.15">
      <c r="A414" s="10"/>
      <c r="B414" s="13"/>
      <c r="C414" s="13"/>
    </row>
    <row r="415" spans="1:3" ht="13" x14ac:dyDescent="0.15">
      <c r="A415" s="10"/>
      <c r="B415" s="13"/>
      <c r="C415" s="13"/>
    </row>
    <row r="416" spans="1:3" ht="13" x14ac:dyDescent="0.15">
      <c r="A416" s="10"/>
      <c r="B416" s="13"/>
      <c r="C416" s="13"/>
    </row>
    <row r="417" spans="1:3" ht="13" x14ac:dyDescent="0.15">
      <c r="A417" s="10"/>
      <c r="B417" s="13"/>
      <c r="C417" s="13"/>
    </row>
    <row r="418" spans="1:3" ht="13" x14ac:dyDescent="0.15">
      <c r="A418" s="10"/>
      <c r="B418" s="13"/>
      <c r="C418" s="13"/>
    </row>
    <row r="419" spans="1:3" ht="13" x14ac:dyDescent="0.15">
      <c r="A419" s="10"/>
      <c r="B419" s="13"/>
      <c r="C419" s="13"/>
    </row>
    <row r="420" spans="1:3" ht="13" x14ac:dyDescent="0.15">
      <c r="A420" s="10"/>
      <c r="B420" s="13"/>
      <c r="C420" s="13"/>
    </row>
    <row r="421" spans="1:3" ht="13" x14ac:dyDescent="0.15">
      <c r="A421" s="10"/>
      <c r="B421" s="13"/>
      <c r="C421" s="13"/>
    </row>
    <row r="422" spans="1:3" ht="13" x14ac:dyDescent="0.15">
      <c r="A422" s="10"/>
      <c r="B422" s="13"/>
      <c r="C422" s="13"/>
    </row>
    <row r="423" spans="1:3" ht="13" x14ac:dyDescent="0.15">
      <c r="A423" s="10"/>
      <c r="B423" s="13"/>
      <c r="C423" s="13"/>
    </row>
    <row r="424" spans="1:3" ht="13" x14ac:dyDescent="0.15">
      <c r="A424" s="10"/>
      <c r="B424" s="13"/>
      <c r="C424" s="13"/>
    </row>
    <row r="425" spans="1:3" ht="13" x14ac:dyDescent="0.15">
      <c r="A425" s="10"/>
      <c r="B425" s="13"/>
      <c r="C425" s="13"/>
    </row>
    <row r="426" spans="1:3" ht="13" x14ac:dyDescent="0.15">
      <c r="A426" s="10"/>
      <c r="B426" s="13"/>
      <c r="C426" s="13"/>
    </row>
    <row r="427" spans="1:3" ht="13" x14ac:dyDescent="0.15">
      <c r="A427" s="10"/>
      <c r="B427" s="13"/>
      <c r="C427" s="13"/>
    </row>
    <row r="428" spans="1:3" ht="13" x14ac:dyDescent="0.15">
      <c r="A428" s="10"/>
      <c r="B428" s="13"/>
      <c r="C428" s="13"/>
    </row>
    <row r="429" spans="1:3" ht="13" x14ac:dyDescent="0.15">
      <c r="A429" s="10"/>
      <c r="B429" s="13"/>
      <c r="C429" s="13"/>
    </row>
    <row r="430" spans="1:3" ht="13" x14ac:dyDescent="0.15">
      <c r="A430" s="10"/>
      <c r="B430" s="13"/>
      <c r="C430" s="13"/>
    </row>
    <row r="431" spans="1:3" ht="13" x14ac:dyDescent="0.15">
      <c r="A431" s="10"/>
      <c r="B431" s="13"/>
      <c r="C431" s="13"/>
    </row>
    <row r="432" spans="1:3" ht="13" x14ac:dyDescent="0.15">
      <c r="A432" s="10"/>
      <c r="B432" s="13"/>
      <c r="C432" s="13"/>
    </row>
    <row r="433" spans="1:3" ht="13" x14ac:dyDescent="0.15">
      <c r="A433" s="10"/>
      <c r="B433" s="13"/>
      <c r="C433" s="13"/>
    </row>
    <row r="434" spans="1:3" ht="13" x14ac:dyDescent="0.15">
      <c r="A434" s="10"/>
      <c r="B434" s="13"/>
      <c r="C434" s="13"/>
    </row>
    <row r="435" spans="1:3" ht="13" x14ac:dyDescent="0.15">
      <c r="A435" s="10"/>
      <c r="B435" s="13"/>
      <c r="C435" s="13"/>
    </row>
    <row r="436" spans="1:3" ht="13" x14ac:dyDescent="0.15">
      <c r="A436" s="10"/>
      <c r="B436" s="13"/>
      <c r="C436" s="13"/>
    </row>
    <row r="437" spans="1:3" ht="13" x14ac:dyDescent="0.15">
      <c r="A437" s="10"/>
      <c r="B437" s="13"/>
      <c r="C437" s="13"/>
    </row>
    <row r="438" spans="1:3" ht="13" x14ac:dyDescent="0.15">
      <c r="A438" s="10"/>
      <c r="B438" s="13"/>
      <c r="C438" s="13"/>
    </row>
    <row r="439" spans="1:3" ht="13" x14ac:dyDescent="0.15">
      <c r="A439" s="10"/>
      <c r="B439" s="13"/>
      <c r="C439" s="13"/>
    </row>
    <row r="440" spans="1:3" ht="13" x14ac:dyDescent="0.15">
      <c r="A440" s="10"/>
      <c r="B440" s="13"/>
      <c r="C440" s="13"/>
    </row>
    <row r="441" spans="1:3" ht="13" x14ac:dyDescent="0.15">
      <c r="A441" s="10"/>
      <c r="B441" s="13"/>
      <c r="C441" s="13"/>
    </row>
    <row r="442" spans="1:3" ht="13" x14ac:dyDescent="0.15">
      <c r="A442" s="10"/>
      <c r="B442" s="13"/>
      <c r="C442" s="13"/>
    </row>
    <row r="443" spans="1:3" ht="13" x14ac:dyDescent="0.15">
      <c r="A443" s="10"/>
      <c r="B443" s="13"/>
      <c r="C443" s="13"/>
    </row>
    <row r="444" spans="1:3" ht="13" x14ac:dyDescent="0.15">
      <c r="A444" s="10"/>
      <c r="B444" s="13"/>
      <c r="C444" s="13"/>
    </row>
    <row r="445" spans="1:3" ht="13" x14ac:dyDescent="0.15">
      <c r="A445" s="10"/>
      <c r="B445" s="13"/>
      <c r="C445" s="13"/>
    </row>
    <row r="446" spans="1:3" ht="13" x14ac:dyDescent="0.15">
      <c r="A446" s="10"/>
      <c r="B446" s="13"/>
      <c r="C446" s="13"/>
    </row>
    <row r="447" spans="1:3" ht="13" x14ac:dyDescent="0.15">
      <c r="A447" s="10"/>
      <c r="B447" s="13"/>
      <c r="C447" s="13"/>
    </row>
    <row r="448" spans="1:3" ht="13" x14ac:dyDescent="0.15">
      <c r="A448" s="10"/>
      <c r="B448" s="13"/>
      <c r="C448" s="13"/>
    </row>
    <row r="449" spans="1:3" ht="13" x14ac:dyDescent="0.15">
      <c r="A449" s="10"/>
      <c r="B449" s="13"/>
      <c r="C449" s="13"/>
    </row>
    <row r="450" spans="1:3" ht="13" x14ac:dyDescent="0.15">
      <c r="A450" s="10"/>
      <c r="B450" s="13"/>
      <c r="C450" s="13"/>
    </row>
    <row r="451" spans="1:3" ht="13" x14ac:dyDescent="0.15">
      <c r="A451" s="10"/>
      <c r="B451" s="13"/>
      <c r="C451" s="13"/>
    </row>
    <row r="452" spans="1:3" ht="13" x14ac:dyDescent="0.15">
      <c r="A452" s="10"/>
      <c r="B452" s="13"/>
      <c r="C452" s="13"/>
    </row>
    <row r="453" spans="1:3" ht="13" x14ac:dyDescent="0.15">
      <c r="A453" s="10"/>
      <c r="B453" s="13"/>
      <c r="C453" s="13"/>
    </row>
    <row r="454" spans="1:3" ht="13" x14ac:dyDescent="0.15">
      <c r="A454" s="10"/>
      <c r="B454" s="13"/>
      <c r="C454" s="13"/>
    </row>
    <row r="455" spans="1:3" ht="13" x14ac:dyDescent="0.15">
      <c r="A455" s="10"/>
      <c r="B455" s="13"/>
      <c r="C455" s="13"/>
    </row>
    <row r="456" spans="1:3" ht="13" x14ac:dyDescent="0.15">
      <c r="A456" s="10"/>
      <c r="B456" s="13"/>
      <c r="C456" s="13"/>
    </row>
    <row r="457" spans="1:3" ht="13" x14ac:dyDescent="0.15">
      <c r="A457" s="10"/>
      <c r="B457" s="13"/>
      <c r="C457" s="13"/>
    </row>
    <row r="458" spans="1:3" ht="13" x14ac:dyDescent="0.15">
      <c r="A458" s="10"/>
      <c r="B458" s="13"/>
      <c r="C458" s="13"/>
    </row>
    <row r="459" spans="1:3" ht="13" x14ac:dyDescent="0.15">
      <c r="A459" s="10"/>
      <c r="B459" s="13"/>
      <c r="C459" s="13"/>
    </row>
    <row r="460" spans="1:3" ht="13" x14ac:dyDescent="0.15">
      <c r="A460" s="10"/>
      <c r="B460" s="13"/>
      <c r="C460" s="13"/>
    </row>
    <row r="461" spans="1:3" ht="13" x14ac:dyDescent="0.15">
      <c r="A461" s="10"/>
      <c r="B461" s="13"/>
      <c r="C461" s="13"/>
    </row>
    <row r="462" spans="1:3" ht="13" x14ac:dyDescent="0.15">
      <c r="A462" s="10"/>
      <c r="B462" s="13"/>
      <c r="C462" s="13"/>
    </row>
    <row r="463" spans="1:3" ht="13" x14ac:dyDescent="0.15">
      <c r="A463" s="10"/>
      <c r="B463" s="13"/>
      <c r="C463" s="13"/>
    </row>
    <row r="464" spans="1:3" ht="13" x14ac:dyDescent="0.15">
      <c r="A464" s="10"/>
      <c r="B464" s="13"/>
      <c r="C464" s="13"/>
    </row>
    <row r="465" spans="1:3" ht="13" x14ac:dyDescent="0.15">
      <c r="A465" s="10"/>
      <c r="B465" s="13"/>
      <c r="C465" s="13"/>
    </row>
    <row r="466" spans="1:3" ht="13" x14ac:dyDescent="0.15">
      <c r="A466" s="10"/>
      <c r="B466" s="13"/>
      <c r="C466" s="13"/>
    </row>
    <row r="467" spans="1:3" ht="13" x14ac:dyDescent="0.15">
      <c r="A467" s="10"/>
      <c r="B467" s="13"/>
      <c r="C467" s="13"/>
    </row>
    <row r="468" spans="1:3" ht="13" x14ac:dyDescent="0.15">
      <c r="A468" s="10"/>
      <c r="B468" s="13"/>
      <c r="C468" s="13"/>
    </row>
    <row r="469" spans="1:3" ht="13" x14ac:dyDescent="0.15">
      <c r="A469" s="10"/>
      <c r="B469" s="13"/>
      <c r="C469" s="13"/>
    </row>
    <row r="470" spans="1:3" ht="13" x14ac:dyDescent="0.15">
      <c r="A470" s="10"/>
      <c r="B470" s="13"/>
      <c r="C470" s="13"/>
    </row>
    <row r="471" spans="1:3" ht="13" x14ac:dyDescent="0.15">
      <c r="A471" s="10"/>
      <c r="B471" s="13"/>
      <c r="C471" s="13"/>
    </row>
    <row r="472" spans="1:3" ht="13" x14ac:dyDescent="0.15">
      <c r="A472" s="10"/>
      <c r="B472" s="13"/>
      <c r="C472" s="13"/>
    </row>
    <row r="473" spans="1:3" ht="13" x14ac:dyDescent="0.15">
      <c r="A473" s="10"/>
      <c r="B473" s="13"/>
      <c r="C473" s="13"/>
    </row>
    <row r="474" spans="1:3" ht="13" x14ac:dyDescent="0.15">
      <c r="A474" s="10"/>
      <c r="B474" s="13"/>
      <c r="C474" s="13"/>
    </row>
    <row r="475" spans="1:3" ht="13" x14ac:dyDescent="0.15">
      <c r="A475" s="10"/>
      <c r="B475" s="13"/>
      <c r="C475" s="13"/>
    </row>
    <row r="476" spans="1:3" ht="13" x14ac:dyDescent="0.15">
      <c r="A476" s="10"/>
      <c r="B476" s="13"/>
      <c r="C476" s="13"/>
    </row>
    <row r="477" spans="1:3" ht="13" x14ac:dyDescent="0.15">
      <c r="A477" s="10"/>
      <c r="B477" s="13"/>
      <c r="C477" s="13"/>
    </row>
    <row r="478" spans="1:3" ht="13" x14ac:dyDescent="0.15">
      <c r="A478" s="10"/>
      <c r="B478" s="13"/>
      <c r="C478" s="13"/>
    </row>
    <row r="479" spans="1:3" ht="13" x14ac:dyDescent="0.15">
      <c r="A479" s="10"/>
      <c r="B479" s="13"/>
      <c r="C479" s="13"/>
    </row>
    <row r="480" spans="1:3" ht="13" x14ac:dyDescent="0.15">
      <c r="A480" s="10"/>
      <c r="B480" s="13"/>
      <c r="C480" s="13"/>
    </row>
    <row r="481" spans="1:3" ht="13" x14ac:dyDescent="0.15">
      <c r="A481" s="10"/>
      <c r="B481" s="13"/>
      <c r="C481" s="13"/>
    </row>
    <row r="482" spans="1:3" ht="13" x14ac:dyDescent="0.15">
      <c r="A482" s="10"/>
      <c r="B482" s="13"/>
      <c r="C482" s="13"/>
    </row>
    <row r="483" spans="1:3" ht="13" x14ac:dyDescent="0.15">
      <c r="A483" s="10"/>
      <c r="B483" s="13"/>
      <c r="C483" s="13"/>
    </row>
    <row r="484" spans="1:3" ht="13" x14ac:dyDescent="0.15">
      <c r="A484" s="10"/>
      <c r="B484" s="13"/>
      <c r="C484" s="13"/>
    </row>
    <row r="485" spans="1:3" ht="13" x14ac:dyDescent="0.15">
      <c r="A485" s="10"/>
      <c r="B485" s="13"/>
      <c r="C485" s="13"/>
    </row>
    <row r="486" spans="1:3" ht="13" x14ac:dyDescent="0.15">
      <c r="A486" s="10"/>
      <c r="B486" s="13"/>
      <c r="C486" s="13"/>
    </row>
    <row r="487" spans="1:3" ht="13" x14ac:dyDescent="0.15">
      <c r="A487" s="10"/>
      <c r="B487" s="13"/>
      <c r="C487" s="13"/>
    </row>
    <row r="488" spans="1:3" ht="13" x14ac:dyDescent="0.15">
      <c r="A488" s="10"/>
      <c r="B488" s="13"/>
      <c r="C488" s="13"/>
    </row>
    <row r="489" spans="1:3" ht="13" x14ac:dyDescent="0.15">
      <c r="A489" s="10"/>
      <c r="B489" s="13"/>
      <c r="C489" s="13"/>
    </row>
    <row r="490" spans="1:3" ht="13" x14ac:dyDescent="0.15">
      <c r="A490" s="10"/>
      <c r="B490" s="13"/>
      <c r="C490" s="13"/>
    </row>
    <row r="491" spans="1:3" ht="13" x14ac:dyDescent="0.15">
      <c r="A491" s="10"/>
      <c r="B491" s="13"/>
      <c r="C491" s="13"/>
    </row>
    <row r="492" spans="1:3" ht="13" x14ac:dyDescent="0.15">
      <c r="A492" s="10"/>
      <c r="B492" s="13"/>
      <c r="C492" s="13"/>
    </row>
    <row r="493" spans="1:3" ht="13" x14ac:dyDescent="0.15">
      <c r="A493" s="10"/>
      <c r="B493" s="13"/>
      <c r="C493" s="13"/>
    </row>
    <row r="494" spans="1:3" ht="13" x14ac:dyDescent="0.15">
      <c r="A494" s="10"/>
      <c r="B494" s="13"/>
      <c r="C494" s="13"/>
    </row>
    <row r="495" spans="1:3" ht="13" x14ac:dyDescent="0.15">
      <c r="A495" s="10"/>
      <c r="B495" s="13"/>
      <c r="C495" s="13"/>
    </row>
    <row r="496" spans="1:3" ht="13" x14ac:dyDescent="0.15">
      <c r="A496" s="10"/>
      <c r="B496" s="13"/>
      <c r="C496" s="13"/>
    </row>
    <row r="497" spans="1:3" ht="13" x14ac:dyDescent="0.15">
      <c r="A497" s="10"/>
      <c r="B497" s="13"/>
      <c r="C497" s="13"/>
    </row>
    <row r="498" spans="1:3" ht="13" x14ac:dyDescent="0.15">
      <c r="A498" s="10"/>
      <c r="B498" s="13"/>
      <c r="C498" s="13"/>
    </row>
    <row r="499" spans="1:3" ht="13" x14ac:dyDescent="0.15">
      <c r="A499" s="10"/>
      <c r="B499" s="13"/>
      <c r="C499" s="13"/>
    </row>
    <row r="500" spans="1:3" ht="13" x14ac:dyDescent="0.15">
      <c r="A500" s="10"/>
      <c r="B500" s="13"/>
      <c r="C500" s="13"/>
    </row>
    <row r="501" spans="1:3" ht="13" x14ac:dyDescent="0.15">
      <c r="A501" s="10"/>
      <c r="B501" s="13"/>
      <c r="C501" s="13"/>
    </row>
    <row r="502" spans="1:3" ht="13" x14ac:dyDescent="0.15">
      <c r="A502" s="10"/>
      <c r="B502" s="13"/>
      <c r="C502" s="13"/>
    </row>
    <row r="503" spans="1:3" ht="13" x14ac:dyDescent="0.15">
      <c r="A503" s="10"/>
      <c r="B503" s="13"/>
      <c r="C503" s="13"/>
    </row>
    <row r="504" spans="1:3" ht="13" x14ac:dyDescent="0.15">
      <c r="A504" s="10"/>
      <c r="B504" s="13"/>
      <c r="C504" s="13"/>
    </row>
    <row r="505" spans="1:3" ht="13" x14ac:dyDescent="0.15">
      <c r="A505" s="10"/>
      <c r="B505" s="13"/>
      <c r="C505" s="13"/>
    </row>
    <row r="506" spans="1:3" ht="13" x14ac:dyDescent="0.15">
      <c r="A506" s="10"/>
      <c r="B506" s="13"/>
      <c r="C506" s="13"/>
    </row>
    <row r="507" spans="1:3" ht="13" x14ac:dyDescent="0.15">
      <c r="A507" s="10"/>
      <c r="B507" s="13"/>
      <c r="C507" s="13"/>
    </row>
    <row r="508" spans="1:3" ht="13" x14ac:dyDescent="0.15">
      <c r="A508" s="10"/>
      <c r="B508" s="13"/>
      <c r="C508" s="13"/>
    </row>
    <row r="509" spans="1:3" ht="13" x14ac:dyDescent="0.15">
      <c r="A509" s="10"/>
      <c r="B509" s="13"/>
      <c r="C509" s="13"/>
    </row>
    <row r="510" spans="1:3" ht="13" x14ac:dyDescent="0.15">
      <c r="A510" s="10"/>
      <c r="B510" s="13"/>
      <c r="C510" s="13"/>
    </row>
    <row r="511" spans="1:3" ht="13" x14ac:dyDescent="0.15">
      <c r="A511" s="10"/>
      <c r="B511" s="13"/>
      <c r="C511" s="13"/>
    </row>
    <row r="512" spans="1:3" ht="13" x14ac:dyDescent="0.15">
      <c r="A512" s="10"/>
      <c r="B512" s="13"/>
      <c r="C512" s="13"/>
    </row>
    <row r="513" spans="1:3" ht="13" x14ac:dyDescent="0.15">
      <c r="A513" s="10"/>
      <c r="B513" s="13"/>
      <c r="C513" s="13"/>
    </row>
    <row r="514" spans="1:3" ht="13" x14ac:dyDescent="0.15">
      <c r="A514" s="10"/>
      <c r="B514" s="13"/>
      <c r="C514" s="13"/>
    </row>
    <row r="515" spans="1:3" ht="13" x14ac:dyDescent="0.15">
      <c r="A515" s="10"/>
      <c r="B515" s="13"/>
      <c r="C515" s="13"/>
    </row>
    <row r="516" spans="1:3" ht="13" x14ac:dyDescent="0.15">
      <c r="A516" s="10"/>
      <c r="B516" s="13"/>
      <c r="C516" s="13"/>
    </row>
    <row r="517" spans="1:3" ht="13" x14ac:dyDescent="0.15">
      <c r="A517" s="10"/>
      <c r="B517" s="13"/>
      <c r="C517" s="13"/>
    </row>
    <row r="518" spans="1:3" ht="13" x14ac:dyDescent="0.15">
      <c r="A518" s="10"/>
      <c r="B518" s="13"/>
      <c r="C518" s="13"/>
    </row>
    <row r="519" spans="1:3" ht="13" x14ac:dyDescent="0.15">
      <c r="A519" s="10"/>
      <c r="B519" s="13"/>
      <c r="C519" s="13"/>
    </row>
    <row r="520" spans="1:3" ht="13" x14ac:dyDescent="0.15">
      <c r="A520" s="10"/>
      <c r="B520" s="13"/>
      <c r="C520" s="13"/>
    </row>
    <row r="521" spans="1:3" ht="13" x14ac:dyDescent="0.15">
      <c r="A521" s="10"/>
      <c r="B521" s="13"/>
      <c r="C521" s="13"/>
    </row>
    <row r="522" spans="1:3" ht="13" x14ac:dyDescent="0.15">
      <c r="A522" s="10"/>
      <c r="B522" s="13"/>
      <c r="C522" s="13"/>
    </row>
    <row r="523" spans="1:3" ht="13" x14ac:dyDescent="0.15">
      <c r="A523" s="10"/>
      <c r="B523" s="13"/>
      <c r="C523" s="13"/>
    </row>
    <row r="524" spans="1:3" ht="13" x14ac:dyDescent="0.15">
      <c r="A524" s="10"/>
      <c r="B524" s="13"/>
      <c r="C524" s="13"/>
    </row>
    <row r="525" spans="1:3" ht="13" x14ac:dyDescent="0.15">
      <c r="A525" s="10"/>
      <c r="B525" s="13"/>
      <c r="C525" s="13"/>
    </row>
    <row r="526" spans="1:3" ht="13" x14ac:dyDescent="0.15">
      <c r="A526" s="10"/>
      <c r="B526" s="13"/>
      <c r="C526" s="13"/>
    </row>
    <row r="527" spans="1:3" ht="13" x14ac:dyDescent="0.15">
      <c r="A527" s="10"/>
      <c r="B527" s="13"/>
      <c r="C527" s="13"/>
    </row>
    <row r="528" spans="1:3" ht="13" x14ac:dyDescent="0.15">
      <c r="A528" s="10"/>
      <c r="B528" s="13"/>
      <c r="C528" s="13"/>
    </row>
    <row r="529" spans="1:3" ht="13" x14ac:dyDescent="0.15">
      <c r="A529" s="10"/>
      <c r="B529" s="13"/>
      <c r="C529" s="13"/>
    </row>
    <row r="530" spans="1:3" ht="13" x14ac:dyDescent="0.15">
      <c r="A530" s="10"/>
      <c r="B530" s="13"/>
      <c r="C530" s="13"/>
    </row>
    <row r="531" spans="1:3" ht="13" x14ac:dyDescent="0.15">
      <c r="A531" s="10"/>
      <c r="B531" s="13"/>
      <c r="C531" s="13"/>
    </row>
    <row r="532" spans="1:3" ht="13" x14ac:dyDescent="0.15">
      <c r="A532" s="10"/>
      <c r="B532" s="13"/>
      <c r="C532" s="13"/>
    </row>
    <row r="533" spans="1:3" ht="13" x14ac:dyDescent="0.15">
      <c r="A533" s="10"/>
      <c r="B533" s="13"/>
      <c r="C533" s="13"/>
    </row>
    <row r="534" spans="1:3" ht="13" x14ac:dyDescent="0.15">
      <c r="A534" s="10"/>
      <c r="B534" s="13"/>
      <c r="C534" s="13"/>
    </row>
    <row r="535" spans="1:3" ht="13" x14ac:dyDescent="0.15">
      <c r="A535" s="10"/>
      <c r="B535" s="13"/>
      <c r="C535" s="13"/>
    </row>
    <row r="536" spans="1:3" ht="13" x14ac:dyDescent="0.15">
      <c r="A536" s="10"/>
      <c r="B536" s="13"/>
      <c r="C536" s="13"/>
    </row>
    <row r="537" spans="1:3" ht="13" x14ac:dyDescent="0.15">
      <c r="A537" s="10"/>
      <c r="B537" s="13"/>
      <c r="C537" s="13"/>
    </row>
    <row r="538" spans="1:3" ht="13" x14ac:dyDescent="0.15">
      <c r="A538" s="10"/>
      <c r="B538" s="13"/>
      <c r="C538" s="13"/>
    </row>
    <row r="539" spans="1:3" ht="13" x14ac:dyDescent="0.15">
      <c r="A539" s="10"/>
      <c r="B539" s="13"/>
      <c r="C539" s="13"/>
    </row>
    <row r="540" spans="1:3" ht="13" x14ac:dyDescent="0.15">
      <c r="A540" s="10"/>
      <c r="B540" s="13"/>
      <c r="C540" s="13"/>
    </row>
    <row r="541" spans="1:3" ht="13" x14ac:dyDescent="0.15">
      <c r="A541" s="10"/>
      <c r="B541" s="13"/>
      <c r="C541" s="13"/>
    </row>
    <row r="542" spans="1:3" ht="13" x14ac:dyDescent="0.15">
      <c r="A542" s="10"/>
      <c r="B542" s="13"/>
      <c r="C542" s="13"/>
    </row>
    <row r="543" spans="1:3" ht="13" x14ac:dyDescent="0.15">
      <c r="A543" s="10"/>
      <c r="B543" s="13"/>
      <c r="C543" s="13"/>
    </row>
    <row r="544" spans="1:3" ht="13" x14ac:dyDescent="0.15">
      <c r="A544" s="10"/>
      <c r="B544" s="13"/>
      <c r="C544" s="13"/>
    </row>
    <row r="545" spans="1:3" ht="13" x14ac:dyDescent="0.15">
      <c r="A545" s="10"/>
      <c r="B545" s="13"/>
      <c r="C545" s="13"/>
    </row>
    <row r="546" spans="1:3" ht="13" x14ac:dyDescent="0.15">
      <c r="A546" s="10"/>
      <c r="B546" s="13"/>
      <c r="C546" s="13"/>
    </row>
    <row r="547" spans="1:3" ht="13" x14ac:dyDescent="0.15">
      <c r="A547" s="10"/>
      <c r="B547" s="13"/>
      <c r="C547" s="13"/>
    </row>
    <row r="548" spans="1:3" ht="13" x14ac:dyDescent="0.15">
      <c r="A548" s="10"/>
      <c r="B548" s="13"/>
      <c r="C548" s="13"/>
    </row>
    <row r="549" spans="1:3" ht="13" x14ac:dyDescent="0.15">
      <c r="A549" s="10"/>
      <c r="B549" s="13"/>
      <c r="C549" s="13"/>
    </row>
    <row r="550" spans="1:3" ht="13" x14ac:dyDescent="0.15">
      <c r="A550" s="10"/>
      <c r="B550" s="13"/>
      <c r="C550" s="13"/>
    </row>
    <row r="551" spans="1:3" ht="13" x14ac:dyDescent="0.15">
      <c r="A551" s="10"/>
      <c r="B551" s="13"/>
      <c r="C551" s="13"/>
    </row>
    <row r="552" spans="1:3" ht="13" x14ac:dyDescent="0.15">
      <c r="A552" s="10"/>
      <c r="B552" s="13"/>
      <c r="C552" s="13"/>
    </row>
    <row r="553" spans="1:3" ht="13" x14ac:dyDescent="0.15">
      <c r="A553" s="10"/>
      <c r="B553" s="13"/>
      <c r="C553" s="13"/>
    </row>
    <row r="554" spans="1:3" ht="13" x14ac:dyDescent="0.15">
      <c r="A554" s="10"/>
      <c r="B554" s="13"/>
      <c r="C554" s="13"/>
    </row>
    <row r="555" spans="1:3" ht="13" x14ac:dyDescent="0.15">
      <c r="A555" s="10"/>
      <c r="B555" s="13"/>
      <c r="C555" s="13"/>
    </row>
    <row r="556" spans="1:3" ht="13" x14ac:dyDescent="0.15">
      <c r="A556" s="10"/>
      <c r="B556" s="13"/>
      <c r="C556" s="13"/>
    </row>
    <row r="557" spans="1:3" ht="13" x14ac:dyDescent="0.15">
      <c r="A557" s="10"/>
      <c r="B557" s="13"/>
      <c r="C557" s="13"/>
    </row>
    <row r="558" spans="1:3" ht="13" x14ac:dyDescent="0.15">
      <c r="A558" s="10"/>
      <c r="B558" s="13"/>
      <c r="C558" s="13"/>
    </row>
    <row r="559" spans="1:3" ht="13" x14ac:dyDescent="0.15">
      <c r="A559" s="10"/>
      <c r="B559" s="13"/>
      <c r="C559" s="13"/>
    </row>
    <row r="560" spans="1:3" ht="13" x14ac:dyDescent="0.15">
      <c r="A560" s="10"/>
      <c r="B560" s="13"/>
      <c r="C560" s="13"/>
    </row>
    <row r="561" spans="1:3" ht="13" x14ac:dyDescent="0.15">
      <c r="A561" s="10"/>
      <c r="B561" s="13"/>
      <c r="C561" s="13"/>
    </row>
    <row r="562" spans="1:3" ht="13" x14ac:dyDescent="0.15">
      <c r="A562" s="10"/>
      <c r="B562" s="13"/>
      <c r="C562" s="13"/>
    </row>
    <row r="563" spans="1:3" ht="13" x14ac:dyDescent="0.15">
      <c r="A563" s="10"/>
      <c r="B563" s="13"/>
      <c r="C563" s="13"/>
    </row>
    <row r="564" spans="1:3" ht="13" x14ac:dyDescent="0.15">
      <c r="A564" s="10"/>
      <c r="B564" s="13"/>
      <c r="C564" s="13"/>
    </row>
    <row r="565" spans="1:3" ht="13" x14ac:dyDescent="0.15">
      <c r="A565" s="10"/>
      <c r="B565" s="13"/>
      <c r="C565" s="13"/>
    </row>
    <row r="566" spans="1:3" ht="13" x14ac:dyDescent="0.15">
      <c r="A566" s="10"/>
      <c r="B566" s="13"/>
      <c r="C566" s="13"/>
    </row>
    <row r="567" spans="1:3" ht="13" x14ac:dyDescent="0.15">
      <c r="A567" s="10"/>
      <c r="B567" s="13"/>
      <c r="C567" s="13"/>
    </row>
    <row r="568" spans="1:3" ht="13" x14ac:dyDescent="0.15">
      <c r="A568" s="10"/>
      <c r="B568" s="13"/>
      <c r="C568" s="13"/>
    </row>
    <row r="569" spans="1:3" ht="13" x14ac:dyDescent="0.15">
      <c r="A569" s="10"/>
      <c r="B569" s="13"/>
      <c r="C569" s="13"/>
    </row>
    <row r="570" spans="1:3" ht="13" x14ac:dyDescent="0.15">
      <c r="A570" s="10"/>
      <c r="B570" s="13"/>
      <c r="C570" s="13"/>
    </row>
    <row r="571" spans="1:3" ht="13" x14ac:dyDescent="0.15">
      <c r="A571" s="10"/>
      <c r="B571" s="13"/>
      <c r="C571" s="13"/>
    </row>
    <row r="572" spans="1:3" ht="13" x14ac:dyDescent="0.15">
      <c r="A572" s="10"/>
      <c r="B572" s="13"/>
      <c r="C572" s="13"/>
    </row>
    <row r="573" spans="1:3" ht="13" x14ac:dyDescent="0.15">
      <c r="A573" s="10"/>
      <c r="B573" s="13"/>
      <c r="C573" s="13"/>
    </row>
    <row r="574" spans="1:3" ht="13" x14ac:dyDescent="0.15">
      <c r="A574" s="10"/>
      <c r="B574" s="13"/>
      <c r="C574" s="13"/>
    </row>
    <row r="575" spans="1:3" ht="13" x14ac:dyDescent="0.15">
      <c r="A575" s="10"/>
      <c r="B575" s="13"/>
      <c r="C575" s="13"/>
    </row>
    <row r="576" spans="1:3" ht="13" x14ac:dyDescent="0.15">
      <c r="A576" s="10"/>
      <c r="B576" s="13"/>
      <c r="C576" s="13"/>
    </row>
    <row r="577" spans="1:3" ht="13" x14ac:dyDescent="0.15">
      <c r="A577" s="10"/>
      <c r="B577" s="13"/>
      <c r="C577" s="13"/>
    </row>
    <row r="578" spans="1:3" ht="13" x14ac:dyDescent="0.15">
      <c r="A578" s="10"/>
      <c r="B578" s="13"/>
      <c r="C578" s="13"/>
    </row>
    <row r="579" spans="1:3" ht="13" x14ac:dyDescent="0.15">
      <c r="A579" s="10"/>
      <c r="B579" s="13"/>
      <c r="C579" s="13"/>
    </row>
    <row r="580" spans="1:3" ht="13" x14ac:dyDescent="0.15">
      <c r="A580" s="10"/>
      <c r="B580" s="13"/>
      <c r="C580" s="13"/>
    </row>
    <row r="581" spans="1:3" ht="13" x14ac:dyDescent="0.15">
      <c r="A581" s="10"/>
      <c r="B581" s="13"/>
      <c r="C581" s="13"/>
    </row>
    <row r="582" spans="1:3" ht="13" x14ac:dyDescent="0.15">
      <c r="A582" s="10"/>
      <c r="B582" s="13"/>
      <c r="C582" s="13"/>
    </row>
    <row r="583" spans="1:3" ht="13" x14ac:dyDescent="0.15">
      <c r="A583" s="10"/>
      <c r="B583" s="13"/>
      <c r="C583" s="13"/>
    </row>
    <row r="584" spans="1:3" ht="13" x14ac:dyDescent="0.15">
      <c r="A584" s="10"/>
      <c r="B584" s="13"/>
      <c r="C584" s="13"/>
    </row>
    <row r="585" spans="1:3" ht="13" x14ac:dyDescent="0.15">
      <c r="A585" s="10"/>
      <c r="B585" s="13"/>
      <c r="C585" s="13"/>
    </row>
    <row r="586" spans="1:3" ht="13" x14ac:dyDescent="0.15">
      <c r="A586" s="10"/>
      <c r="B586" s="13"/>
      <c r="C586" s="13"/>
    </row>
    <row r="587" spans="1:3" ht="13" x14ac:dyDescent="0.15">
      <c r="A587" s="10"/>
      <c r="B587" s="13"/>
      <c r="C587" s="13"/>
    </row>
    <row r="588" spans="1:3" ht="13" x14ac:dyDescent="0.15">
      <c r="A588" s="10"/>
      <c r="B588" s="13"/>
      <c r="C588" s="13"/>
    </row>
    <row r="589" spans="1:3" ht="13" x14ac:dyDescent="0.15">
      <c r="A589" s="10"/>
      <c r="B589" s="13"/>
      <c r="C589" s="13"/>
    </row>
    <row r="590" spans="1:3" ht="13" x14ac:dyDescent="0.15">
      <c r="A590" s="10"/>
      <c r="B590" s="13"/>
      <c r="C590" s="13"/>
    </row>
    <row r="591" spans="1:3" ht="13" x14ac:dyDescent="0.15">
      <c r="A591" s="10"/>
      <c r="B591" s="13"/>
      <c r="C591" s="13"/>
    </row>
    <row r="592" spans="1:3" ht="13" x14ac:dyDescent="0.15">
      <c r="A592" s="10"/>
      <c r="B592" s="13"/>
      <c r="C592" s="13"/>
    </row>
    <row r="593" spans="1:3" ht="13" x14ac:dyDescent="0.15">
      <c r="A593" s="10"/>
      <c r="B593" s="13"/>
      <c r="C593" s="13"/>
    </row>
    <row r="594" spans="1:3" ht="13" x14ac:dyDescent="0.15">
      <c r="A594" s="10"/>
      <c r="B594" s="13"/>
      <c r="C594" s="13"/>
    </row>
    <row r="595" spans="1:3" ht="13" x14ac:dyDescent="0.15">
      <c r="A595" s="10"/>
      <c r="B595" s="13"/>
      <c r="C595" s="13"/>
    </row>
    <row r="596" spans="1:3" ht="13" x14ac:dyDescent="0.15">
      <c r="A596" s="10"/>
      <c r="B596" s="13"/>
      <c r="C596" s="13"/>
    </row>
    <row r="597" spans="1:3" ht="13" x14ac:dyDescent="0.15">
      <c r="A597" s="10"/>
      <c r="B597" s="13"/>
      <c r="C597" s="13"/>
    </row>
    <row r="598" spans="1:3" ht="13" x14ac:dyDescent="0.15">
      <c r="A598" s="10"/>
      <c r="B598" s="13"/>
      <c r="C598" s="13"/>
    </row>
    <row r="599" spans="1:3" ht="13" x14ac:dyDescent="0.15">
      <c r="A599" s="10"/>
      <c r="B599" s="13"/>
      <c r="C599" s="13"/>
    </row>
    <row r="600" spans="1:3" ht="13" x14ac:dyDescent="0.15">
      <c r="A600" s="10"/>
      <c r="B600" s="13"/>
      <c r="C600" s="13"/>
    </row>
    <row r="601" spans="1:3" ht="13" x14ac:dyDescent="0.15">
      <c r="A601" s="10"/>
      <c r="B601" s="13"/>
      <c r="C601" s="13"/>
    </row>
    <row r="602" spans="1:3" ht="13" x14ac:dyDescent="0.15">
      <c r="A602" s="10"/>
      <c r="B602" s="13"/>
      <c r="C602" s="13"/>
    </row>
    <row r="603" spans="1:3" ht="13" x14ac:dyDescent="0.15">
      <c r="A603" s="10"/>
      <c r="B603" s="13"/>
      <c r="C603" s="13"/>
    </row>
    <row r="604" spans="1:3" ht="13" x14ac:dyDescent="0.15">
      <c r="A604" s="10"/>
      <c r="B604" s="13"/>
      <c r="C604" s="13"/>
    </row>
    <row r="605" spans="1:3" ht="13" x14ac:dyDescent="0.15">
      <c r="A605" s="10"/>
      <c r="B605" s="13"/>
      <c r="C605" s="13"/>
    </row>
    <row r="606" spans="1:3" ht="13" x14ac:dyDescent="0.15">
      <c r="A606" s="10"/>
      <c r="B606" s="13"/>
      <c r="C606" s="13"/>
    </row>
    <row r="607" spans="1:3" ht="13" x14ac:dyDescent="0.15">
      <c r="A607" s="10"/>
      <c r="B607" s="13"/>
      <c r="C607" s="13"/>
    </row>
    <row r="608" spans="1:3" ht="13" x14ac:dyDescent="0.15">
      <c r="A608" s="10"/>
      <c r="B608" s="13"/>
      <c r="C608" s="13"/>
    </row>
    <row r="609" spans="1:3" ht="13" x14ac:dyDescent="0.15">
      <c r="A609" s="10"/>
      <c r="B609" s="13"/>
      <c r="C609" s="13"/>
    </row>
    <row r="610" spans="1:3" ht="13" x14ac:dyDescent="0.15">
      <c r="A610" s="10"/>
      <c r="B610" s="13"/>
      <c r="C610" s="13"/>
    </row>
    <row r="611" spans="1:3" ht="13" x14ac:dyDescent="0.15">
      <c r="A611" s="10"/>
      <c r="B611" s="13"/>
      <c r="C611" s="13"/>
    </row>
    <row r="612" spans="1:3" ht="13" x14ac:dyDescent="0.15">
      <c r="A612" s="10"/>
      <c r="B612" s="13"/>
      <c r="C612" s="13"/>
    </row>
    <row r="613" spans="1:3" ht="13" x14ac:dyDescent="0.15">
      <c r="A613" s="10"/>
      <c r="B613" s="13"/>
      <c r="C613" s="13"/>
    </row>
    <row r="614" spans="1:3" ht="13" x14ac:dyDescent="0.15">
      <c r="A614" s="10"/>
      <c r="B614" s="13"/>
      <c r="C614" s="13"/>
    </row>
    <row r="615" spans="1:3" ht="13" x14ac:dyDescent="0.15">
      <c r="A615" s="10"/>
      <c r="B615" s="13"/>
      <c r="C615" s="13"/>
    </row>
    <row r="616" spans="1:3" ht="13" x14ac:dyDescent="0.15">
      <c r="A616" s="10"/>
      <c r="B616" s="13"/>
      <c r="C616" s="13"/>
    </row>
    <row r="617" spans="1:3" ht="13" x14ac:dyDescent="0.15">
      <c r="A617" s="10"/>
      <c r="B617" s="13"/>
      <c r="C617" s="13"/>
    </row>
    <row r="618" spans="1:3" ht="13" x14ac:dyDescent="0.15">
      <c r="A618" s="10"/>
      <c r="B618" s="13"/>
      <c r="C618" s="13"/>
    </row>
    <row r="619" spans="1:3" ht="13" x14ac:dyDescent="0.15">
      <c r="A619" s="10"/>
      <c r="B619" s="13"/>
      <c r="C619" s="13"/>
    </row>
    <row r="620" spans="1:3" ht="13" x14ac:dyDescent="0.15">
      <c r="A620" s="10"/>
      <c r="B620" s="13"/>
      <c r="C620" s="13"/>
    </row>
    <row r="621" spans="1:3" ht="13" x14ac:dyDescent="0.15">
      <c r="A621" s="10"/>
      <c r="B621" s="13"/>
      <c r="C621" s="13"/>
    </row>
    <row r="622" spans="1:3" ht="13" x14ac:dyDescent="0.15">
      <c r="A622" s="10"/>
      <c r="B622" s="13"/>
      <c r="C622" s="13"/>
    </row>
    <row r="623" spans="1:3" ht="13" x14ac:dyDescent="0.15">
      <c r="A623" s="10"/>
      <c r="B623" s="13"/>
      <c r="C623" s="13"/>
    </row>
    <row r="624" spans="1:3" ht="13" x14ac:dyDescent="0.15">
      <c r="A624" s="10"/>
      <c r="B624" s="13"/>
      <c r="C624" s="13"/>
    </row>
    <row r="625" spans="1:3" ht="13" x14ac:dyDescent="0.15">
      <c r="A625" s="10"/>
      <c r="B625" s="13"/>
      <c r="C625" s="13"/>
    </row>
    <row r="626" spans="1:3" ht="13" x14ac:dyDescent="0.15">
      <c r="A626" s="10"/>
      <c r="B626" s="13"/>
      <c r="C626" s="13"/>
    </row>
    <row r="627" spans="1:3" ht="13" x14ac:dyDescent="0.15">
      <c r="A627" s="10"/>
      <c r="B627" s="13"/>
      <c r="C627" s="13"/>
    </row>
    <row r="628" spans="1:3" ht="13" x14ac:dyDescent="0.15">
      <c r="A628" s="10"/>
      <c r="B628" s="13"/>
      <c r="C628" s="13"/>
    </row>
    <row r="629" spans="1:3" ht="13" x14ac:dyDescent="0.15">
      <c r="A629" s="10"/>
      <c r="B629" s="13"/>
      <c r="C629" s="13"/>
    </row>
    <row r="630" spans="1:3" ht="13" x14ac:dyDescent="0.15">
      <c r="A630" s="10"/>
      <c r="B630" s="13"/>
      <c r="C630" s="13"/>
    </row>
    <row r="631" spans="1:3" ht="13" x14ac:dyDescent="0.15">
      <c r="A631" s="10"/>
      <c r="B631" s="13"/>
      <c r="C631" s="13"/>
    </row>
    <row r="632" spans="1:3" ht="13" x14ac:dyDescent="0.15">
      <c r="A632" s="10"/>
      <c r="B632" s="13"/>
      <c r="C632" s="13"/>
    </row>
    <row r="633" spans="1:3" ht="13" x14ac:dyDescent="0.15">
      <c r="A633" s="10"/>
      <c r="B633" s="13"/>
      <c r="C633" s="13"/>
    </row>
    <row r="634" spans="1:3" ht="13" x14ac:dyDescent="0.15">
      <c r="A634" s="10"/>
      <c r="B634" s="13"/>
      <c r="C634" s="13"/>
    </row>
    <row r="635" spans="1:3" ht="13" x14ac:dyDescent="0.15">
      <c r="A635" s="10"/>
      <c r="B635" s="13"/>
      <c r="C635" s="13"/>
    </row>
    <row r="636" spans="1:3" ht="13" x14ac:dyDescent="0.15">
      <c r="A636" s="10"/>
      <c r="B636" s="13"/>
      <c r="C636" s="13"/>
    </row>
    <row r="637" spans="1:3" ht="13" x14ac:dyDescent="0.15">
      <c r="A637" s="10"/>
      <c r="B637" s="13"/>
      <c r="C637" s="13"/>
    </row>
    <row r="638" spans="1:3" ht="13" x14ac:dyDescent="0.15">
      <c r="A638" s="10"/>
      <c r="B638" s="13"/>
      <c r="C638" s="13"/>
    </row>
    <row r="639" spans="1:3" ht="13" x14ac:dyDescent="0.15">
      <c r="A639" s="10"/>
      <c r="B639" s="13"/>
      <c r="C639" s="13"/>
    </row>
    <row r="640" spans="1:3" ht="13" x14ac:dyDescent="0.15">
      <c r="A640" s="10"/>
      <c r="B640" s="13"/>
      <c r="C640" s="13"/>
    </row>
    <row r="641" spans="1:3" ht="13" x14ac:dyDescent="0.15">
      <c r="A641" s="10"/>
      <c r="B641" s="13"/>
      <c r="C641" s="13"/>
    </row>
    <row r="642" spans="1:3" ht="13" x14ac:dyDescent="0.15">
      <c r="A642" s="10"/>
      <c r="B642" s="13"/>
      <c r="C642" s="13"/>
    </row>
    <row r="643" spans="1:3" ht="13" x14ac:dyDescent="0.15">
      <c r="A643" s="10"/>
      <c r="B643" s="13"/>
      <c r="C643" s="13"/>
    </row>
    <row r="644" spans="1:3" ht="13" x14ac:dyDescent="0.15">
      <c r="A644" s="10"/>
      <c r="B644" s="13"/>
      <c r="C644" s="13"/>
    </row>
    <row r="645" spans="1:3" ht="13" x14ac:dyDescent="0.15">
      <c r="A645" s="10"/>
      <c r="B645" s="13"/>
      <c r="C645" s="13"/>
    </row>
    <row r="646" spans="1:3" ht="13" x14ac:dyDescent="0.15">
      <c r="A646" s="10"/>
      <c r="B646" s="13"/>
      <c r="C646" s="13"/>
    </row>
    <row r="647" spans="1:3" ht="13" x14ac:dyDescent="0.15">
      <c r="A647" s="10"/>
      <c r="B647" s="13"/>
      <c r="C647" s="13"/>
    </row>
    <row r="648" spans="1:3" ht="13" x14ac:dyDescent="0.15">
      <c r="A648" s="10"/>
      <c r="B648" s="13"/>
      <c r="C648" s="13"/>
    </row>
    <row r="649" spans="1:3" ht="13" x14ac:dyDescent="0.15">
      <c r="A649" s="10"/>
      <c r="B649" s="13"/>
      <c r="C649" s="13"/>
    </row>
    <row r="650" spans="1:3" ht="13" x14ac:dyDescent="0.15">
      <c r="A650" s="10"/>
      <c r="B650" s="13"/>
      <c r="C650" s="13"/>
    </row>
    <row r="651" spans="1:3" ht="13" x14ac:dyDescent="0.15">
      <c r="A651" s="10"/>
      <c r="B651" s="13"/>
      <c r="C651" s="13"/>
    </row>
    <row r="652" spans="1:3" ht="13" x14ac:dyDescent="0.15">
      <c r="A652" s="10"/>
      <c r="B652" s="13"/>
      <c r="C652" s="13"/>
    </row>
    <row r="653" spans="1:3" ht="13" x14ac:dyDescent="0.15">
      <c r="A653" s="10"/>
      <c r="B653" s="13"/>
      <c r="C653" s="13"/>
    </row>
    <row r="654" spans="1:3" ht="13" x14ac:dyDescent="0.15">
      <c r="A654" s="10"/>
      <c r="B654" s="13"/>
      <c r="C654" s="13"/>
    </row>
    <row r="655" spans="1:3" ht="13" x14ac:dyDescent="0.15">
      <c r="A655" s="10"/>
      <c r="B655" s="13"/>
      <c r="C655" s="13"/>
    </row>
    <row r="656" spans="1:3" ht="13" x14ac:dyDescent="0.15">
      <c r="A656" s="10"/>
      <c r="B656" s="13"/>
      <c r="C656" s="13"/>
    </row>
    <row r="657" spans="1:3" ht="13" x14ac:dyDescent="0.15">
      <c r="A657" s="10"/>
      <c r="B657" s="13"/>
      <c r="C657" s="13"/>
    </row>
    <row r="658" spans="1:3" ht="13" x14ac:dyDescent="0.15">
      <c r="A658" s="10"/>
      <c r="B658" s="13"/>
      <c r="C658" s="13"/>
    </row>
    <row r="659" spans="1:3" ht="13" x14ac:dyDescent="0.15">
      <c r="A659" s="10"/>
      <c r="B659" s="13"/>
      <c r="C659" s="13"/>
    </row>
    <row r="660" spans="1:3" ht="13" x14ac:dyDescent="0.15">
      <c r="A660" s="10"/>
      <c r="B660" s="13"/>
      <c r="C660" s="13"/>
    </row>
    <row r="661" spans="1:3" ht="13" x14ac:dyDescent="0.15">
      <c r="A661" s="10"/>
      <c r="B661" s="13"/>
      <c r="C661" s="13"/>
    </row>
    <row r="662" spans="1:3" ht="13" x14ac:dyDescent="0.15">
      <c r="A662" s="10"/>
      <c r="B662" s="13"/>
      <c r="C662" s="13"/>
    </row>
    <row r="663" spans="1:3" ht="13" x14ac:dyDescent="0.15">
      <c r="A663" s="10"/>
      <c r="B663" s="13"/>
      <c r="C663" s="13"/>
    </row>
    <row r="664" spans="1:3" ht="13" x14ac:dyDescent="0.15">
      <c r="A664" s="10"/>
      <c r="B664" s="13"/>
      <c r="C664" s="13"/>
    </row>
    <row r="665" spans="1:3" ht="13" x14ac:dyDescent="0.15">
      <c r="A665" s="10"/>
      <c r="B665" s="13"/>
      <c r="C665" s="13"/>
    </row>
    <row r="666" spans="1:3" ht="13" x14ac:dyDescent="0.15">
      <c r="A666" s="10"/>
      <c r="B666" s="13"/>
      <c r="C666" s="13"/>
    </row>
    <row r="667" spans="1:3" ht="13" x14ac:dyDescent="0.15">
      <c r="A667" s="10"/>
      <c r="B667" s="13"/>
      <c r="C667" s="13"/>
    </row>
    <row r="668" spans="1:3" ht="13" x14ac:dyDescent="0.15">
      <c r="A668" s="10"/>
      <c r="B668" s="13"/>
      <c r="C668" s="13"/>
    </row>
    <row r="669" spans="1:3" ht="13" x14ac:dyDescent="0.15">
      <c r="A669" s="10"/>
      <c r="B669" s="13"/>
      <c r="C669" s="13"/>
    </row>
    <row r="670" spans="1:3" ht="13" x14ac:dyDescent="0.15">
      <c r="A670" s="10"/>
      <c r="B670" s="13"/>
      <c r="C670" s="13"/>
    </row>
    <row r="671" spans="1:3" ht="13" x14ac:dyDescent="0.15">
      <c r="A671" s="10"/>
      <c r="B671" s="13"/>
      <c r="C671" s="13"/>
    </row>
    <row r="672" spans="1:3" ht="13" x14ac:dyDescent="0.15">
      <c r="A672" s="10"/>
      <c r="B672" s="13"/>
      <c r="C672" s="13"/>
    </row>
    <row r="673" spans="1:3" ht="13" x14ac:dyDescent="0.15">
      <c r="A673" s="10"/>
      <c r="B673" s="13"/>
      <c r="C673" s="13"/>
    </row>
    <row r="674" spans="1:3" ht="13" x14ac:dyDescent="0.15">
      <c r="A674" s="10"/>
      <c r="B674" s="13"/>
      <c r="C674" s="13"/>
    </row>
    <row r="675" spans="1:3" ht="13" x14ac:dyDescent="0.15">
      <c r="A675" s="10"/>
      <c r="B675" s="13"/>
      <c r="C675" s="13"/>
    </row>
    <row r="676" spans="1:3" ht="13" x14ac:dyDescent="0.15">
      <c r="A676" s="10"/>
      <c r="B676" s="13"/>
      <c r="C676" s="13"/>
    </row>
    <row r="677" spans="1:3" ht="13" x14ac:dyDescent="0.15">
      <c r="A677" s="10"/>
      <c r="B677" s="13"/>
      <c r="C677" s="13"/>
    </row>
    <row r="678" spans="1:3" ht="13" x14ac:dyDescent="0.15">
      <c r="A678" s="10"/>
      <c r="B678" s="13"/>
      <c r="C678" s="13"/>
    </row>
    <row r="679" spans="1:3" ht="13" x14ac:dyDescent="0.15">
      <c r="A679" s="10"/>
      <c r="B679" s="13"/>
      <c r="C679" s="13"/>
    </row>
    <row r="680" spans="1:3" ht="13" x14ac:dyDescent="0.15">
      <c r="A680" s="10"/>
      <c r="B680" s="13"/>
      <c r="C680" s="13"/>
    </row>
    <row r="681" spans="1:3" ht="13" x14ac:dyDescent="0.15">
      <c r="A681" s="10"/>
      <c r="B681" s="13"/>
      <c r="C681" s="13"/>
    </row>
    <row r="682" spans="1:3" ht="13" x14ac:dyDescent="0.15">
      <c r="A682" s="10"/>
      <c r="B682" s="13"/>
      <c r="C682" s="13"/>
    </row>
    <row r="683" spans="1:3" ht="13" x14ac:dyDescent="0.15">
      <c r="A683" s="10"/>
      <c r="B683" s="13"/>
      <c r="C683" s="13"/>
    </row>
    <row r="684" spans="1:3" ht="13" x14ac:dyDescent="0.15">
      <c r="A684" s="10"/>
      <c r="B684" s="13"/>
      <c r="C684" s="13"/>
    </row>
    <row r="685" spans="1:3" ht="13" x14ac:dyDescent="0.15">
      <c r="A685" s="10"/>
      <c r="B685" s="13"/>
      <c r="C685" s="13"/>
    </row>
    <row r="686" spans="1:3" ht="13" x14ac:dyDescent="0.15">
      <c r="A686" s="10"/>
      <c r="B686" s="13"/>
      <c r="C686" s="13"/>
    </row>
    <row r="687" spans="1:3" ht="13" x14ac:dyDescent="0.15">
      <c r="A687" s="10"/>
      <c r="B687" s="13"/>
      <c r="C687" s="13"/>
    </row>
    <row r="688" spans="1:3" ht="13" x14ac:dyDescent="0.15">
      <c r="A688" s="10"/>
      <c r="B688" s="13"/>
      <c r="C688" s="13"/>
    </row>
    <row r="689" spans="1:3" ht="13" x14ac:dyDescent="0.15">
      <c r="A689" s="10"/>
      <c r="B689" s="13"/>
      <c r="C689" s="13"/>
    </row>
    <row r="690" spans="1:3" ht="13" x14ac:dyDescent="0.15">
      <c r="A690" s="10"/>
      <c r="B690" s="13"/>
      <c r="C690" s="13"/>
    </row>
    <row r="691" spans="1:3" ht="13" x14ac:dyDescent="0.15">
      <c r="A691" s="10"/>
      <c r="B691" s="13"/>
      <c r="C691" s="13"/>
    </row>
    <row r="692" spans="1:3" ht="13" x14ac:dyDescent="0.15">
      <c r="A692" s="10"/>
      <c r="B692" s="13"/>
      <c r="C692" s="13"/>
    </row>
    <row r="693" spans="1:3" ht="13" x14ac:dyDescent="0.15">
      <c r="A693" s="10"/>
      <c r="B693" s="13"/>
      <c r="C693" s="13"/>
    </row>
    <row r="694" spans="1:3" ht="13" x14ac:dyDescent="0.15">
      <c r="A694" s="10"/>
      <c r="B694" s="13"/>
      <c r="C694" s="13"/>
    </row>
    <row r="695" spans="1:3" ht="13" x14ac:dyDescent="0.15">
      <c r="A695" s="10"/>
      <c r="B695" s="13"/>
      <c r="C695" s="13"/>
    </row>
    <row r="696" spans="1:3" ht="13" x14ac:dyDescent="0.15">
      <c r="A696" s="10"/>
      <c r="B696" s="13"/>
      <c r="C696" s="13"/>
    </row>
    <row r="697" spans="1:3" ht="13" x14ac:dyDescent="0.15">
      <c r="A697" s="10"/>
      <c r="B697" s="13"/>
      <c r="C697" s="13"/>
    </row>
    <row r="698" spans="1:3" ht="13" x14ac:dyDescent="0.15">
      <c r="A698" s="10"/>
      <c r="B698" s="13"/>
      <c r="C698" s="13"/>
    </row>
    <row r="699" spans="1:3" ht="13" x14ac:dyDescent="0.15">
      <c r="A699" s="10"/>
      <c r="B699" s="13"/>
      <c r="C699" s="13"/>
    </row>
    <row r="700" spans="1:3" ht="13" x14ac:dyDescent="0.15">
      <c r="A700" s="10"/>
      <c r="B700" s="13"/>
      <c r="C700" s="13"/>
    </row>
    <row r="701" spans="1:3" ht="13" x14ac:dyDescent="0.15">
      <c r="A701" s="10"/>
      <c r="B701" s="13"/>
      <c r="C701" s="13"/>
    </row>
    <row r="702" spans="1:3" ht="13" x14ac:dyDescent="0.15">
      <c r="A702" s="10"/>
      <c r="B702" s="13"/>
      <c r="C702" s="13"/>
    </row>
    <row r="703" spans="1:3" ht="13" x14ac:dyDescent="0.15">
      <c r="A703" s="10"/>
      <c r="B703" s="13"/>
      <c r="C703" s="13"/>
    </row>
    <row r="704" spans="1:3" ht="13" x14ac:dyDescent="0.15">
      <c r="A704" s="10"/>
      <c r="B704" s="13"/>
      <c r="C704" s="13"/>
    </row>
    <row r="705" spans="1:3" ht="13" x14ac:dyDescent="0.15">
      <c r="A705" s="10"/>
      <c r="B705" s="13"/>
      <c r="C705" s="13"/>
    </row>
    <row r="706" spans="1:3" ht="13" x14ac:dyDescent="0.15">
      <c r="A706" s="10"/>
      <c r="B706" s="13"/>
      <c r="C706" s="13"/>
    </row>
    <row r="707" spans="1:3" ht="13" x14ac:dyDescent="0.15">
      <c r="A707" s="10"/>
      <c r="B707" s="13"/>
      <c r="C707" s="13"/>
    </row>
    <row r="708" spans="1:3" ht="13" x14ac:dyDescent="0.15">
      <c r="A708" s="10"/>
      <c r="B708" s="13"/>
      <c r="C708" s="13"/>
    </row>
    <row r="709" spans="1:3" ht="13" x14ac:dyDescent="0.15">
      <c r="A709" s="10"/>
      <c r="B709" s="13"/>
      <c r="C709" s="13"/>
    </row>
    <row r="710" spans="1:3" ht="13" x14ac:dyDescent="0.15">
      <c r="A710" s="10"/>
      <c r="B710" s="13"/>
      <c r="C710" s="13"/>
    </row>
    <row r="711" spans="1:3" ht="13" x14ac:dyDescent="0.15">
      <c r="A711" s="10"/>
      <c r="B711" s="13"/>
      <c r="C711" s="13"/>
    </row>
    <row r="712" spans="1:3" ht="13" x14ac:dyDescent="0.15">
      <c r="A712" s="10"/>
      <c r="B712" s="13"/>
      <c r="C712" s="13"/>
    </row>
    <row r="713" spans="1:3" ht="13" x14ac:dyDescent="0.15">
      <c r="A713" s="10"/>
      <c r="B713" s="13"/>
      <c r="C713" s="13"/>
    </row>
    <row r="714" spans="1:3" ht="13" x14ac:dyDescent="0.15">
      <c r="A714" s="10"/>
      <c r="B714" s="13"/>
      <c r="C714" s="13"/>
    </row>
    <row r="715" spans="1:3" ht="13" x14ac:dyDescent="0.15">
      <c r="A715" s="10"/>
      <c r="B715" s="13"/>
      <c r="C715" s="13"/>
    </row>
    <row r="716" spans="1:3" ht="13" x14ac:dyDescent="0.15">
      <c r="A716" s="10"/>
      <c r="B716" s="13"/>
      <c r="C716" s="13"/>
    </row>
    <row r="717" spans="1:3" ht="13" x14ac:dyDescent="0.15">
      <c r="A717" s="10"/>
      <c r="B717" s="13"/>
      <c r="C717" s="13"/>
    </row>
    <row r="718" spans="1:3" ht="13" x14ac:dyDescent="0.15">
      <c r="A718" s="10"/>
      <c r="B718" s="13"/>
      <c r="C718" s="13"/>
    </row>
    <row r="719" spans="1:3" ht="13" x14ac:dyDescent="0.15">
      <c r="A719" s="10"/>
      <c r="B719" s="13"/>
      <c r="C719" s="13"/>
    </row>
    <row r="720" spans="1:3" ht="13" x14ac:dyDescent="0.15">
      <c r="A720" s="10"/>
      <c r="B720" s="13"/>
      <c r="C720" s="13"/>
    </row>
    <row r="721" spans="1:3" ht="13" x14ac:dyDescent="0.15">
      <c r="A721" s="10"/>
      <c r="B721" s="13"/>
      <c r="C721" s="13"/>
    </row>
    <row r="722" spans="1:3" ht="13" x14ac:dyDescent="0.15">
      <c r="A722" s="10"/>
      <c r="B722" s="13"/>
      <c r="C722" s="13"/>
    </row>
    <row r="723" spans="1:3" ht="13" x14ac:dyDescent="0.15">
      <c r="A723" s="10"/>
      <c r="B723" s="13"/>
      <c r="C723" s="13"/>
    </row>
    <row r="724" spans="1:3" ht="13" x14ac:dyDescent="0.15">
      <c r="A724" s="10"/>
      <c r="B724" s="13"/>
      <c r="C724" s="13"/>
    </row>
    <row r="725" spans="1:3" ht="13" x14ac:dyDescent="0.15">
      <c r="A725" s="10"/>
      <c r="B725" s="13"/>
      <c r="C725" s="13"/>
    </row>
    <row r="726" spans="1:3" ht="13" x14ac:dyDescent="0.15">
      <c r="A726" s="10"/>
      <c r="B726" s="13"/>
      <c r="C726" s="13"/>
    </row>
    <row r="727" spans="1:3" ht="13" x14ac:dyDescent="0.15">
      <c r="A727" s="10"/>
      <c r="B727" s="13"/>
      <c r="C727" s="13"/>
    </row>
    <row r="728" spans="1:3" ht="13" x14ac:dyDescent="0.15">
      <c r="A728" s="10"/>
      <c r="B728" s="13"/>
      <c r="C728" s="13"/>
    </row>
    <row r="729" spans="1:3" ht="13" x14ac:dyDescent="0.15">
      <c r="A729" s="10"/>
      <c r="B729" s="13"/>
      <c r="C729" s="13"/>
    </row>
    <row r="730" spans="1:3" ht="13" x14ac:dyDescent="0.15">
      <c r="A730" s="10"/>
      <c r="B730" s="13"/>
      <c r="C730" s="13"/>
    </row>
    <row r="731" spans="1:3" ht="13" x14ac:dyDescent="0.15">
      <c r="A731" s="10"/>
      <c r="B731" s="13"/>
      <c r="C731" s="13"/>
    </row>
    <row r="732" spans="1:3" ht="13" x14ac:dyDescent="0.15">
      <c r="A732" s="10"/>
      <c r="B732" s="13"/>
      <c r="C732" s="13"/>
    </row>
    <row r="733" spans="1:3" ht="13" x14ac:dyDescent="0.15">
      <c r="A733" s="10"/>
      <c r="B733" s="13"/>
      <c r="C733" s="13"/>
    </row>
    <row r="734" spans="1:3" ht="13" x14ac:dyDescent="0.15">
      <c r="A734" s="10"/>
      <c r="B734" s="13"/>
      <c r="C734" s="13"/>
    </row>
    <row r="735" spans="1:3" ht="13" x14ac:dyDescent="0.15">
      <c r="A735" s="10"/>
      <c r="B735" s="13"/>
      <c r="C735" s="13"/>
    </row>
    <row r="736" spans="1:3" ht="13" x14ac:dyDescent="0.15">
      <c r="A736" s="10"/>
      <c r="B736" s="13"/>
      <c r="C736" s="13"/>
    </row>
    <row r="737" spans="1:3" ht="13" x14ac:dyDescent="0.15">
      <c r="A737" s="10"/>
      <c r="B737" s="13"/>
      <c r="C737" s="13"/>
    </row>
    <row r="738" spans="1:3" ht="13" x14ac:dyDescent="0.15">
      <c r="A738" s="10"/>
      <c r="B738" s="13"/>
      <c r="C738" s="13"/>
    </row>
    <row r="739" spans="1:3" ht="13" x14ac:dyDescent="0.15">
      <c r="A739" s="10"/>
      <c r="B739" s="13"/>
      <c r="C739" s="13"/>
    </row>
    <row r="740" spans="1:3" ht="13" x14ac:dyDescent="0.15">
      <c r="A740" s="10"/>
      <c r="B740" s="13"/>
      <c r="C740" s="13"/>
    </row>
    <row r="741" spans="1:3" ht="13" x14ac:dyDescent="0.15">
      <c r="A741" s="10"/>
      <c r="B741" s="13"/>
      <c r="C741" s="13"/>
    </row>
    <row r="742" spans="1:3" ht="13" x14ac:dyDescent="0.15">
      <c r="A742" s="10"/>
      <c r="B742" s="13"/>
      <c r="C742" s="13"/>
    </row>
    <row r="743" spans="1:3" ht="13" x14ac:dyDescent="0.15">
      <c r="A743" s="10"/>
      <c r="B743" s="13"/>
      <c r="C743" s="13"/>
    </row>
    <row r="744" spans="1:3" ht="13" x14ac:dyDescent="0.15">
      <c r="A744" s="10"/>
      <c r="B744" s="13"/>
      <c r="C744" s="13"/>
    </row>
    <row r="745" spans="1:3" ht="13" x14ac:dyDescent="0.15">
      <c r="A745" s="10"/>
      <c r="B745" s="13"/>
      <c r="C745" s="13"/>
    </row>
    <row r="746" spans="1:3" ht="13" x14ac:dyDescent="0.15">
      <c r="A746" s="10"/>
      <c r="B746" s="13"/>
      <c r="C746" s="13"/>
    </row>
    <row r="747" spans="1:3" ht="13" x14ac:dyDescent="0.15">
      <c r="A747" s="10"/>
      <c r="B747" s="13"/>
      <c r="C747" s="13"/>
    </row>
    <row r="748" spans="1:3" ht="13" x14ac:dyDescent="0.15">
      <c r="A748" s="10"/>
      <c r="B748" s="13"/>
      <c r="C748" s="13"/>
    </row>
    <row r="749" spans="1:3" ht="13" x14ac:dyDescent="0.15">
      <c r="A749" s="10"/>
      <c r="B749" s="13"/>
      <c r="C749" s="13"/>
    </row>
    <row r="750" spans="1:3" ht="13" x14ac:dyDescent="0.15">
      <c r="A750" s="10"/>
      <c r="B750" s="13"/>
      <c r="C750" s="13"/>
    </row>
    <row r="751" spans="1:3" ht="13" x14ac:dyDescent="0.15">
      <c r="A751" s="10"/>
      <c r="B751" s="13"/>
      <c r="C751" s="13"/>
    </row>
    <row r="752" spans="1:3" ht="13" x14ac:dyDescent="0.15">
      <c r="A752" s="10"/>
      <c r="B752" s="13"/>
      <c r="C752" s="13"/>
    </row>
    <row r="753" spans="1:3" ht="13" x14ac:dyDescent="0.15">
      <c r="A753" s="10"/>
      <c r="B753" s="13"/>
      <c r="C753" s="13"/>
    </row>
    <row r="754" spans="1:3" ht="13" x14ac:dyDescent="0.15">
      <c r="A754" s="10"/>
      <c r="B754" s="13"/>
      <c r="C754" s="13"/>
    </row>
    <row r="755" spans="1:3" ht="13" x14ac:dyDescent="0.15">
      <c r="A755" s="10"/>
      <c r="B755" s="13"/>
      <c r="C755" s="13"/>
    </row>
    <row r="756" spans="1:3" ht="13" x14ac:dyDescent="0.15">
      <c r="A756" s="10"/>
      <c r="B756" s="13"/>
      <c r="C756" s="13"/>
    </row>
    <row r="757" spans="1:3" ht="13" x14ac:dyDescent="0.15">
      <c r="A757" s="10"/>
      <c r="B757" s="13"/>
      <c r="C757" s="13"/>
    </row>
    <row r="758" spans="1:3" ht="13" x14ac:dyDescent="0.15">
      <c r="A758" s="10"/>
      <c r="B758" s="13"/>
      <c r="C758" s="13"/>
    </row>
    <row r="759" spans="1:3" ht="13" x14ac:dyDescent="0.15">
      <c r="A759" s="10"/>
      <c r="B759" s="13"/>
      <c r="C759" s="13"/>
    </row>
    <row r="760" spans="1:3" ht="13" x14ac:dyDescent="0.15">
      <c r="A760" s="10"/>
      <c r="B760" s="13"/>
      <c r="C760" s="13"/>
    </row>
    <row r="761" spans="1:3" ht="13" x14ac:dyDescent="0.15">
      <c r="A761" s="10"/>
      <c r="B761" s="13"/>
      <c r="C761" s="13"/>
    </row>
    <row r="762" spans="1:3" ht="13" x14ac:dyDescent="0.15">
      <c r="A762" s="10"/>
      <c r="B762" s="13"/>
      <c r="C762" s="13"/>
    </row>
    <row r="763" spans="1:3" ht="13" x14ac:dyDescent="0.15">
      <c r="A763" s="10"/>
      <c r="B763" s="13"/>
      <c r="C763" s="13"/>
    </row>
    <row r="764" spans="1:3" ht="13" x14ac:dyDescent="0.15">
      <c r="A764" s="10"/>
      <c r="B764" s="13"/>
      <c r="C764" s="13"/>
    </row>
    <row r="765" spans="1:3" ht="13" x14ac:dyDescent="0.15">
      <c r="A765" s="10"/>
      <c r="B765" s="13"/>
      <c r="C765" s="13"/>
    </row>
    <row r="766" spans="1:3" ht="13" x14ac:dyDescent="0.15">
      <c r="A766" s="10"/>
      <c r="B766" s="13"/>
      <c r="C766" s="13"/>
    </row>
    <row r="767" spans="1:3" ht="13" x14ac:dyDescent="0.15">
      <c r="A767" s="10"/>
      <c r="B767" s="13"/>
      <c r="C767" s="13"/>
    </row>
    <row r="768" spans="1:3" ht="13" x14ac:dyDescent="0.15">
      <c r="A768" s="10"/>
      <c r="B768" s="13"/>
      <c r="C768" s="13"/>
    </row>
    <row r="769" spans="1:3" ht="13" x14ac:dyDescent="0.15">
      <c r="A769" s="10"/>
      <c r="B769" s="13"/>
      <c r="C769" s="13"/>
    </row>
    <row r="770" spans="1:3" ht="13" x14ac:dyDescent="0.15">
      <c r="A770" s="10"/>
      <c r="B770" s="13"/>
      <c r="C770" s="13"/>
    </row>
    <row r="771" spans="1:3" ht="13" x14ac:dyDescent="0.15">
      <c r="A771" s="10"/>
      <c r="B771" s="13"/>
      <c r="C771" s="13"/>
    </row>
    <row r="772" spans="1:3" ht="13" x14ac:dyDescent="0.15">
      <c r="A772" s="10"/>
      <c r="B772" s="13"/>
      <c r="C772" s="13"/>
    </row>
    <row r="773" spans="1:3" ht="13" x14ac:dyDescent="0.15">
      <c r="A773" s="10"/>
      <c r="B773" s="13"/>
      <c r="C773" s="13"/>
    </row>
    <row r="774" spans="1:3" ht="13" x14ac:dyDescent="0.15">
      <c r="A774" s="10"/>
      <c r="B774" s="13"/>
      <c r="C774" s="13"/>
    </row>
    <row r="775" spans="1:3" ht="13" x14ac:dyDescent="0.15">
      <c r="A775" s="10"/>
      <c r="B775" s="13"/>
      <c r="C775" s="13"/>
    </row>
    <row r="776" spans="1:3" ht="13" x14ac:dyDescent="0.15">
      <c r="A776" s="10"/>
      <c r="B776" s="13"/>
      <c r="C776" s="13"/>
    </row>
    <row r="777" spans="1:3" ht="13" x14ac:dyDescent="0.15">
      <c r="A777" s="10"/>
      <c r="B777" s="13"/>
      <c r="C777" s="13"/>
    </row>
    <row r="778" spans="1:3" ht="13" x14ac:dyDescent="0.15">
      <c r="A778" s="10"/>
      <c r="B778" s="13"/>
      <c r="C778" s="13"/>
    </row>
    <row r="779" spans="1:3" ht="13" x14ac:dyDescent="0.15">
      <c r="A779" s="10"/>
      <c r="B779" s="13"/>
      <c r="C779" s="13"/>
    </row>
    <row r="780" spans="1:3" ht="13" x14ac:dyDescent="0.15">
      <c r="A780" s="10"/>
      <c r="B780" s="13"/>
      <c r="C780" s="13"/>
    </row>
    <row r="781" spans="1:3" ht="13" x14ac:dyDescent="0.15">
      <c r="A781" s="10"/>
      <c r="B781" s="13"/>
      <c r="C781" s="13"/>
    </row>
    <row r="782" spans="1:3" ht="13" x14ac:dyDescent="0.15">
      <c r="A782" s="10"/>
      <c r="B782" s="13"/>
      <c r="C782" s="13"/>
    </row>
    <row r="783" spans="1:3" ht="13" x14ac:dyDescent="0.15">
      <c r="A783" s="10"/>
      <c r="B783" s="13"/>
      <c r="C783" s="13"/>
    </row>
    <row r="784" spans="1:3" ht="13" x14ac:dyDescent="0.15">
      <c r="A784" s="10"/>
      <c r="B784" s="13"/>
      <c r="C784" s="13"/>
    </row>
    <row r="785" spans="1:3" ht="13" x14ac:dyDescent="0.15">
      <c r="A785" s="10"/>
      <c r="B785" s="13"/>
      <c r="C785" s="13"/>
    </row>
    <row r="786" spans="1:3" ht="13" x14ac:dyDescent="0.15">
      <c r="A786" s="10"/>
      <c r="B786" s="13"/>
      <c r="C786" s="13"/>
    </row>
    <row r="787" spans="1:3" ht="13" x14ac:dyDescent="0.15">
      <c r="A787" s="10"/>
      <c r="B787" s="13"/>
      <c r="C787" s="13"/>
    </row>
    <row r="788" spans="1:3" ht="13" x14ac:dyDescent="0.15">
      <c r="A788" s="10"/>
      <c r="B788" s="13"/>
      <c r="C788" s="13"/>
    </row>
    <row r="789" spans="1:3" ht="13" x14ac:dyDescent="0.15">
      <c r="A789" s="10"/>
      <c r="B789" s="13"/>
      <c r="C789" s="13"/>
    </row>
    <row r="790" spans="1:3" ht="13" x14ac:dyDescent="0.15">
      <c r="A790" s="10"/>
      <c r="B790" s="13"/>
      <c r="C790" s="13"/>
    </row>
    <row r="791" spans="1:3" ht="13" x14ac:dyDescent="0.15">
      <c r="A791" s="10"/>
      <c r="B791" s="13"/>
      <c r="C791" s="13"/>
    </row>
    <row r="792" spans="1:3" ht="13" x14ac:dyDescent="0.15">
      <c r="A792" s="10"/>
      <c r="B792" s="13"/>
      <c r="C792" s="13"/>
    </row>
    <row r="793" spans="1:3" ht="13" x14ac:dyDescent="0.15">
      <c r="A793" s="10"/>
      <c r="B793" s="13"/>
      <c r="C793" s="13"/>
    </row>
    <row r="794" spans="1:3" ht="13" x14ac:dyDescent="0.15">
      <c r="A794" s="10"/>
      <c r="B794" s="13"/>
      <c r="C794" s="13"/>
    </row>
    <row r="795" spans="1:3" ht="13" x14ac:dyDescent="0.15">
      <c r="A795" s="10"/>
      <c r="B795" s="13"/>
      <c r="C795" s="13"/>
    </row>
    <row r="796" spans="1:3" ht="13" x14ac:dyDescent="0.15">
      <c r="A796" s="10"/>
      <c r="B796" s="13"/>
      <c r="C796" s="13"/>
    </row>
    <row r="797" spans="1:3" ht="13" x14ac:dyDescent="0.15">
      <c r="A797" s="10"/>
      <c r="B797" s="13"/>
      <c r="C797" s="13"/>
    </row>
    <row r="798" spans="1:3" ht="13" x14ac:dyDescent="0.15">
      <c r="A798" s="10"/>
      <c r="B798" s="13"/>
      <c r="C798" s="13"/>
    </row>
    <row r="799" spans="1:3" ht="13" x14ac:dyDescent="0.15">
      <c r="A799" s="10"/>
      <c r="B799" s="13"/>
      <c r="C799" s="13"/>
    </row>
    <row r="800" spans="1:3" ht="13" x14ac:dyDescent="0.15">
      <c r="A800" s="10"/>
      <c r="B800" s="13"/>
      <c r="C800" s="13"/>
    </row>
    <row r="801" spans="1:3" ht="13" x14ac:dyDescent="0.15">
      <c r="A801" s="10"/>
      <c r="B801" s="13"/>
      <c r="C801" s="13"/>
    </row>
    <row r="802" spans="1:3" ht="13" x14ac:dyDescent="0.15">
      <c r="A802" s="10"/>
      <c r="B802" s="13"/>
      <c r="C802" s="13"/>
    </row>
    <row r="803" spans="1:3" ht="13" x14ac:dyDescent="0.15">
      <c r="A803" s="10"/>
      <c r="B803" s="13"/>
      <c r="C803" s="13"/>
    </row>
    <row r="804" spans="1:3" ht="13" x14ac:dyDescent="0.15">
      <c r="A804" s="10"/>
      <c r="B804" s="13"/>
      <c r="C804" s="13"/>
    </row>
    <row r="805" spans="1:3" ht="13" x14ac:dyDescent="0.15">
      <c r="A805" s="10"/>
      <c r="B805" s="13"/>
      <c r="C805" s="13"/>
    </row>
    <row r="806" spans="1:3" ht="13" x14ac:dyDescent="0.15">
      <c r="A806" s="10"/>
      <c r="B806" s="13"/>
      <c r="C806" s="13"/>
    </row>
    <row r="807" spans="1:3" ht="13" x14ac:dyDescent="0.15">
      <c r="A807" s="10"/>
      <c r="B807" s="13"/>
      <c r="C807" s="13"/>
    </row>
    <row r="808" spans="1:3" ht="13" x14ac:dyDescent="0.15">
      <c r="A808" s="10"/>
      <c r="B808" s="13"/>
      <c r="C808" s="13"/>
    </row>
    <row r="809" spans="1:3" ht="13" x14ac:dyDescent="0.15">
      <c r="A809" s="10"/>
      <c r="B809" s="13"/>
      <c r="C809" s="13"/>
    </row>
    <row r="810" spans="1:3" ht="13" x14ac:dyDescent="0.15">
      <c r="A810" s="10"/>
      <c r="B810" s="13"/>
      <c r="C810" s="13"/>
    </row>
    <row r="811" spans="1:3" ht="13" x14ac:dyDescent="0.15">
      <c r="A811" s="10"/>
      <c r="B811" s="13"/>
      <c r="C811" s="13"/>
    </row>
    <row r="812" spans="1:3" ht="13" x14ac:dyDescent="0.15">
      <c r="A812" s="10"/>
      <c r="B812" s="13"/>
      <c r="C812" s="13"/>
    </row>
    <row r="813" spans="1:3" ht="13" x14ac:dyDescent="0.15">
      <c r="A813" s="10"/>
      <c r="B813" s="13"/>
      <c r="C813" s="13"/>
    </row>
    <row r="814" spans="1:3" ht="13" x14ac:dyDescent="0.15">
      <c r="A814" s="10"/>
      <c r="B814" s="13"/>
      <c r="C814" s="13"/>
    </row>
    <row r="815" spans="1:3" ht="13" x14ac:dyDescent="0.15">
      <c r="A815" s="10"/>
      <c r="B815" s="13"/>
      <c r="C815" s="13"/>
    </row>
    <row r="816" spans="1:3" ht="13" x14ac:dyDescent="0.15">
      <c r="A816" s="10"/>
      <c r="B816" s="13"/>
      <c r="C816" s="13"/>
    </row>
    <row r="817" spans="1:3" ht="13" x14ac:dyDescent="0.15">
      <c r="A817" s="10"/>
      <c r="B817" s="13"/>
      <c r="C817" s="13"/>
    </row>
    <row r="818" spans="1:3" ht="13" x14ac:dyDescent="0.15">
      <c r="A818" s="10"/>
      <c r="B818" s="13"/>
      <c r="C818" s="13"/>
    </row>
    <row r="819" spans="1:3" ht="13" x14ac:dyDescent="0.15">
      <c r="A819" s="10"/>
      <c r="B819" s="13"/>
      <c r="C819" s="13"/>
    </row>
    <row r="820" spans="1:3" ht="13" x14ac:dyDescent="0.15">
      <c r="A820" s="10"/>
      <c r="B820" s="13"/>
      <c r="C820" s="13"/>
    </row>
    <row r="821" spans="1:3" ht="13" x14ac:dyDescent="0.15">
      <c r="A821" s="10"/>
      <c r="B821" s="13"/>
      <c r="C821" s="13"/>
    </row>
    <row r="822" spans="1:3" ht="13" x14ac:dyDescent="0.15">
      <c r="A822" s="10"/>
      <c r="B822" s="13"/>
      <c r="C822" s="13"/>
    </row>
    <row r="823" spans="1:3" ht="13" x14ac:dyDescent="0.15">
      <c r="A823" s="10"/>
      <c r="B823" s="13"/>
      <c r="C823" s="13"/>
    </row>
    <row r="824" spans="1:3" ht="13" x14ac:dyDescent="0.15">
      <c r="A824" s="10"/>
      <c r="B824" s="13"/>
      <c r="C824" s="13"/>
    </row>
    <row r="825" spans="1:3" ht="13" x14ac:dyDescent="0.15">
      <c r="A825" s="10"/>
      <c r="B825" s="13"/>
      <c r="C825" s="13"/>
    </row>
    <row r="826" spans="1:3" ht="13" x14ac:dyDescent="0.15">
      <c r="A826" s="10"/>
      <c r="B826" s="13"/>
      <c r="C826" s="13"/>
    </row>
    <row r="827" spans="1:3" ht="13" x14ac:dyDescent="0.15">
      <c r="A827" s="10"/>
      <c r="B827" s="13"/>
      <c r="C827" s="13"/>
    </row>
    <row r="828" spans="1:3" ht="13" x14ac:dyDescent="0.15">
      <c r="A828" s="10"/>
      <c r="B828" s="13"/>
      <c r="C828" s="13"/>
    </row>
    <row r="829" spans="1:3" ht="13" x14ac:dyDescent="0.15">
      <c r="A829" s="10"/>
      <c r="B829" s="13"/>
      <c r="C829" s="13"/>
    </row>
    <row r="830" spans="1:3" ht="13" x14ac:dyDescent="0.15">
      <c r="A830" s="10"/>
      <c r="B830" s="13"/>
      <c r="C830" s="13"/>
    </row>
    <row r="831" spans="1:3" ht="13" x14ac:dyDescent="0.15">
      <c r="A831" s="10"/>
      <c r="B831" s="13"/>
      <c r="C831" s="13"/>
    </row>
    <row r="832" spans="1:3" ht="13" x14ac:dyDescent="0.15">
      <c r="A832" s="10"/>
      <c r="B832" s="13"/>
      <c r="C832" s="13"/>
    </row>
    <row r="833" spans="1:3" ht="13" x14ac:dyDescent="0.15">
      <c r="A833" s="10"/>
      <c r="B833" s="13"/>
      <c r="C833" s="13"/>
    </row>
    <row r="834" spans="1:3" ht="13" x14ac:dyDescent="0.15">
      <c r="A834" s="10"/>
      <c r="B834" s="13"/>
      <c r="C834" s="13"/>
    </row>
    <row r="835" spans="1:3" ht="13" x14ac:dyDescent="0.15">
      <c r="A835" s="10"/>
      <c r="B835" s="13"/>
      <c r="C835" s="13"/>
    </row>
    <row r="836" spans="1:3" ht="13" x14ac:dyDescent="0.15">
      <c r="A836" s="10"/>
      <c r="B836" s="13"/>
      <c r="C836" s="13"/>
    </row>
    <row r="837" spans="1:3" ht="13" x14ac:dyDescent="0.15">
      <c r="A837" s="10"/>
      <c r="B837" s="13"/>
      <c r="C837" s="13"/>
    </row>
    <row r="838" spans="1:3" ht="13" x14ac:dyDescent="0.15">
      <c r="A838" s="10"/>
      <c r="B838" s="13"/>
      <c r="C838" s="13"/>
    </row>
    <row r="839" spans="1:3" ht="13" x14ac:dyDescent="0.15">
      <c r="A839" s="10"/>
      <c r="B839" s="13"/>
      <c r="C839" s="13"/>
    </row>
    <row r="840" spans="1:3" ht="13" x14ac:dyDescent="0.15">
      <c r="A840" s="10"/>
      <c r="B840" s="13"/>
      <c r="C840" s="13"/>
    </row>
    <row r="841" spans="1:3" ht="13" x14ac:dyDescent="0.15">
      <c r="A841" s="10"/>
      <c r="B841" s="13"/>
      <c r="C841" s="13"/>
    </row>
    <row r="842" spans="1:3" ht="13" x14ac:dyDescent="0.15">
      <c r="A842" s="10"/>
      <c r="B842" s="13"/>
      <c r="C842" s="13"/>
    </row>
    <row r="843" spans="1:3" ht="13" x14ac:dyDescent="0.15">
      <c r="A843" s="10"/>
      <c r="B843" s="13"/>
      <c r="C843" s="13"/>
    </row>
    <row r="844" spans="1:3" ht="13" x14ac:dyDescent="0.15">
      <c r="A844" s="10"/>
      <c r="B844" s="13"/>
      <c r="C844" s="13"/>
    </row>
    <row r="845" spans="1:3" ht="13" x14ac:dyDescent="0.15">
      <c r="A845" s="10"/>
      <c r="B845" s="13"/>
      <c r="C845" s="13"/>
    </row>
    <row r="846" spans="1:3" ht="13" x14ac:dyDescent="0.15">
      <c r="A846" s="10"/>
      <c r="B846" s="13"/>
      <c r="C846" s="13"/>
    </row>
    <row r="847" spans="1:3" ht="13" x14ac:dyDescent="0.15">
      <c r="A847" s="10"/>
      <c r="B847" s="13"/>
      <c r="C847" s="13"/>
    </row>
    <row r="848" spans="1:3" ht="13" x14ac:dyDescent="0.15">
      <c r="A848" s="10"/>
      <c r="B848" s="13"/>
      <c r="C848" s="13"/>
    </row>
    <row r="849" spans="1:3" ht="13" x14ac:dyDescent="0.15">
      <c r="A849" s="10"/>
      <c r="B849" s="13"/>
      <c r="C849" s="13"/>
    </row>
    <row r="850" spans="1:3" ht="13" x14ac:dyDescent="0.15">
      <c r="A850" s="10"/>
      <c r="B850" s="13"/>
      <c r="C850" s="13"/>
    </row>
    <row r="851" spans="1:3" ht="13" x14ac:dyDescent="0.15">
      <c r="A851" s="10"/>
      <c r="B851" s="13"/>
      <c r="C851" s="13"/>
    </row>
    <row r="852" spans="1:3" ht="13" x14ac:dyDescent="0.15">
      <c r="A852" s="10"/>
      <c r="B852" s="13"/>
      <c r="C852" s="13"/>
    </row>
    <row r="853" spans="1:3" ht="13" x14ac:dyDescent="0.15">
      <c r="A853" s="10"/>
      <c r="B853" s="13"/>
      <c r="C853" s="13"/>
    </row>
    <row r="854" spans="1:3" ht="13" x14ac:dyDescent="0.15">
      <c r="A854" s="10"/>
      <c r="B854" s="13"/>
      <c r="C854" s="13"/>
    </row>
    <row r="855" spans="1:3" ht="13" x14ac:dyDescent="0.15">
      <c r="A855" s="10"/>
      <c r="B855" s="13"/>
      <c r="C855" s="13"/>
    </row>
    <row r="856" spans="1:3" ht="13" x14ac:dyDescent="0.15">
      <c r="A856" s="10"/>
      <c r="B856" s="13"/>
      <c r="C856" s="13"/>
    </row>
    <row r="857" spans="1:3" ht="13" x14ac:dyDescent="0.15">
      <c r="A857" s="10"/>
      <c r="B857" s="13"/>
      <c r="C857" s="13"/>
    </row>
    <row r="858" spans="1:3" ht="13" x14ac:dyDescent="0.15">
      <c r="A858" s="10"/>
      <c r="B858" s="13"/>
      <c r="C858" s="13"/>
    </row>
    <row r="859" spans="1:3" ht="13" x14ac:dyDescent="0.15">
      <c r="A859" s="10"/>
      <c r="B859" s="13"/>
      <c r="C859" s="13"/>
    </row>
    <row r="860" spans="1:3" ht="13" x14ac:dyDescent="0.15">
      <c r="A860" s="10"/>
      <c r="B860" s="13"/>
      <c r="C860" s="13"/>
    </row>
    <row r="861" spans="1:3" ht="13" x14ac:dyDescent="0.15">
      <c r="A861" s="10"/>
      <c r="B861" s="13"/>
      <c r="C861" s="13"/>
    </row>
    <row r="862" spans="1:3" ht="13" x14ac:dyDescent="0.15">
      <c r="A862" s="10"/>
      <c r="B862" s="13"/>
      <c r="C862" s="13"/>
    </row>
    <row r="863" spans="1:3" ht="13" x14ac:dyDescent="0.15">
      <c r="A863" s="10"/>
      <c r="B863" s="13"/>
      <c r="C863" s="13"/>
    </row>
    <row r="864" spans="1:3" ht="13" x14ac:dyDescent="0.15">
      <c r="A864" s="10"/>
      <c r="B864" s="13"/>
      <c r="C864" s="13"/>
    </row>
    <row r="865" spans="1:3" ht="13" x14ac:dyDescent="0.15">
      <c r="A865" s="10"/>
      <c r="B865" s="13"/>
      <c r="C865" s="13"/>
    </row>
    <row r="866" spans="1:3" ht="13" x14ac:dyDescent="0.15">
      <c r="A866" s="10"/>
      <c r="B866" s="13"/>
      <c r="C866" s="13"/>
    </row>
    <row r="867" spans="1:3" ht="13" x14ac:dyDescent="0.15">
      <c r="A867" s="10"/>
      <c r="B867" s="13"/>
      <c r="C867" s="13"/>
    </row>
    <row r="868" spans="1:3" ht="13" x14ac:dyDescent="0.15">
      <c r="A868" s="10"/>
      <c r="B868" s="13"/>
      <c r="C868" s="13"/>
    </row>
    <row r="869" spans="1:3" ht="13" x14ac:dyDescent="0.15">
      <c r="A869" s="10"/>
      <c r="B869" s="13"/>
      <c r="C869" s="13"/>
    </row>
    <row r="870" spans="1:3" ht="13" x14ac:dyDescent="0.15">
      <c r="A870" s="10"/>
      <c r="B870" s="13"/>
      <c r="C870" s="13"/>
    </row>
    <row r="871" spans="1:3" ht="13" x14ac:dyDescent="0.15">
      <c r="A871" s="10"/>
      <c r="B871" s="13"/>
      <c r="C871" s="13"/>
    </row>
    <row r="872" spans="1:3" ht="13" x14ac:dyDescent="0.15">
      <c r="A872" s="10"/>
      <c r="B872" s="13"/>
      <c r="C872" s="13"/>
    </row>
    <row r="873" spans="1:3" ht="13" x14ac:dyDescent="0.15">
      <c r="A873" s="10"/>
      <c r="B873" s="13"/>
      <c r="C873" s="13"/>
    </row>
    <row r="874" spans="1:3" ht="13" x14ac:dyDescent="0.15">
      <c r="A874" s="10"/>
      <c r="B874" s="13"/>
      <c r="C874" s="13"/>
    </row>
    <row r="875" spans="1:3" ht="13" x14ac:dyDescent="0.15">
      <c r="A875" s="10"/>
      <c r="B875" s="13"/>
      <c r="C875" s="13"/>
    </row>
    <row r="876" spans="1:3" ht="13" x14ac:dyDescent="0.15">
      <c r="A876" s="10"/>
      <c r="B876" s="13"/>
      <c r="C876" s="13"/>
    </row>
    <row r="877" spans="1:3" ht="13" x14ac:dyDescent="0.15">
      <c r="A877" s="10"/>
      <c r="B877" s="13"/>
      <c r="C877" s="13"/>
    </row>
    <row r="878" spans="1:3" ht="13" x14ac:dyDescent="0.15">
      <c r="A878" s="10"/>
      <c r="B878" s="13"/>
      <c r="C878" s="13"/>
    </row>
    <row r="879" spans="1:3" ht="13" x14ac:dyDescent="0.15">
      <c r="A879" s="10"/>
      <c r="B879" s="13"/>
      <c r="C879" s="13"/>
    </row>
    <row r="880" spans="1:3" ht="13" x14ac:dyDescent="0.15">
      <c r="A880" s="10"/>
      <c r="B880" s="13"/>
      <c r="C880" s="13"/>
    </row>
    <row r="881" spans="1:3" ht="13" x14ac:dyDescent="0.15">
      <c r="A881" s="10"/>
      <c r="B881" s="13"/>
      <c r="C881" s="13"/>
    </row>
    <row r="882" spans="1:3" ht="13" x14ac:dyDescent="0.15">
      <c r="A882" s="10"/>
      <c r="B882" s="13"/>
      <c r="C882" s="13"/>
    </row>
    <row r="883" spans="1:3" ht="13" x14ac:dyDescent="0.15">
      <c r="A883" s="10"/>
      <c r="B883" s="13"/>
      <c r="C883" s="13"/>
    </row>
    <row r="884" spans="1:3" ht="13" x14ac:dyDescent="0.15">
      <c r="A884" s="10"/>
      <c r="B884" s="13"/>
      <c r="C884" s="13"/>
    </row>
    <row r="885" spans="1:3" ht="13" x14ac:dyDescent="0.15">
      <c r="A885" s="10"/>
      <c r="B885" s="13"/>
      <c r="C885" s="13"/>
    </row>
    <row r="886" spans="1:3" ht="13" x14ac:dyDescent="0.15">
      <c r="A886" s="10"/>
      <c r="B886" s="13"/>
      <c r="C886" s="13"/>
    </row>
    <row r="887" spans="1:3" ht="13" x14ac:dyDescent="0.15">
      <c r="A887" s="10"/>
      <c r="B887" s="13"/>
      <c r="C887" s="13"/>
    </row>
    <row r="888" spans="1:3" ht="13" x14ac:dyDescent="0.15">
      <c r="A888" s="10"/>
      <c r="B888" s="13"/>
      <c r="C888" s="13"/>
    </row>
    <row r="889" spans="1:3" ht="13" x14ac:dyDescent="0.15">
      <c r="A889" s="10"/>
      <c r="B889" s="13"/>
      <c r="C889" s="13"/>
    </row>
    <row r="890" spans="1:3" ht="13" x14ac:dyDescent="0.15">
      <c r="A890" s="10"/>
      <c r="B890" s="13"/>
      <c r="C890" s="13"/>
    </row>
    <row r="891" spans="1:3" ht="13" x14ac:dyDescent="0.15">
      <c r="A891" s="10"/>
      <c r="B891" s="13"/>
      <c r="C891" s="13"/>
    </row>
    <row r="892" spans="1:3" ht="13" x14ac:dyDescent="0.15">
      <c r="A892" s="10"/>
      <c r="B892" s="13"/>
      <c r="C892" s="13"/>
    </row>
    <row r="893" spans="1:3" ht="13" x14ac:dyDescent="0.15">
      <c r="A893" s="10"/>
      <c r="B893" s="13"/>
      <c r="C893" s="13"/>
    </row>
    <row r="894" spans="1:3" ht="13" x14ac:dyDescent="0.15">
      <c r="A894" s="10"/>
      <c r="B894" s="13"/>
      <c r="C894" s="13"/>
    </row>
    <row r="895" spans="1:3" ht="13" x14ac:dyDescent="0.15">
      <c r="A895" s="10"/>
      <c r="B895" s="13"/>
      <c r="C895" s="13"/>
    </row>
    <row r="896" spans="1:3" ht="13" x14ac:dyDescent="0.15">
      <c r="A896" s="10"/>
      <c r="B896" s="13"/>
      <c r="C896" s="13"/>
    </row>
    <row r="897" spans="1:3" ht="13" x14ac:dyDescent="0.15">
      <c r="A897" s="10"/>
      <c r="B897" s="13"/>
      <c r="C897" s="13"/>
    </row>
    <row r="898" spans="1:3" ht="13" x14ac:dyDescent="0.15">
      <c r="A898" s="10"/>
      <c r="B898" s="13"/>
      <c r="C898" s="13"/>
    </row>
    <row r="899" spans="1:3" ht="13" x14ac:dyDescent="0.15">
      <c r="A899" s="10"/>
      <c r="B899" s="13"/>
      <c r="C899" s="13"/>
    </row>
    <row r="900" spans="1:3" ht="13" x14ac:dyDescent="0.15">
      <c r="A900" s="10"/>
      <c r="B900" s="13"/>
      <c r="C900" s="13"/>
    </row>
    <row r="901" spans="1:3" ht="13" x14ac:dyDescent="0.15">
      <c r="A901" s="10"/>
      <c r="B901" s="13"/>
      <c r="C901" s="13"/>
    </row>
    <row r="902" spans="1:3" ht="13" x14ac:dyDescent="0.15">
      <c r="A902" s="10"/>
      <c r="B902" s="13"/>
      <c r="C902" s="13"/>
    </row>
    <row r="903" spans="1:3" ht="13" x14ac:dyDescent="0.15">
      <c r="A903" s="10"/>
      <c r="B903" s="13"/>
      <c r="C903" s="13"/>
    </row>
    <row r="904" spans="1:3" ht="13" x14ac:dyDescent="0.15">
      <c r="A904" s="10"/>
      <c r="B904" s="13"/>
      <c r="C904" s="13"/>
    </row>
    <row r="905" spans="1:3" ht="13" x14ac:dyDescent="0.15">
      <c r="A905" s="10"/>
      <c r="B905" s="13"/>
      <c r="C905" s="13"/>
    </row>
    <row r="906" spans="1:3" ht="13" x14ac:dyDescent="0.15">
      <c r="A906" s="10"/>
      <c r="B906" s="13"/>
      <c r="C906" s="13"/>
    </row>
    <row r="907" spans="1:3" ht="13" x14ac:dyDescent="0.15">
      <c r="A907" s="10"/>
      <c r="B907" s="13"/>
      <c r="C907" s="13"/>
    </row>
    <row r="908" spans="1:3" ht="13" x14ac:dyDescent="0.15">
      <c r="A908" s="10"/>
      <c r="B908" s="13"/>
      <c r="C908" s="13"/>
    </row>
    <row r="909" spans="1:3" ht="13" x14ac:dyDescent="0.15">
      <c r="A909" s="10"/>
      <c r="B909" s="13"/>
      <c r="C909" s="13"/>
    </row>
    <row r="910" spans="1:3" ht="13" x14ac:dyDescent="0.15">
      <c r="A910" s="10"/>
      <c r="B910" s="13"/>
      <c r="C910" s="13"/>
    </row>
    <row r="911" spans="1:3" ht="13" x14ac:dyDescent="0.15">
      <c r="A911" s="10"/>
      <c r="B911" s="13"/>
      <c r="C911" s="13"/>
    </row>
    <row r="912" spans="1:3" ht="13" x14ac:dyDescent="0.15">
      <c r="A912" s="10"/>
      <c r="B912" s="13"/>
      <c r="C912" s="13"/>
    </row>
    <row r="913" spans="1:3" ht="13" x14ac:dyDescent="0.15">
      <c r="A913" s="10"/>
      <c r="B913" s="13"/>
      <c r="C913" s="13"/>
    </row>
    <row r="914" spans="1:3" ht="13" x14ac:dyDescent="0.15">
      <c r="A914" s="10"/>
      <c r="B914" s="13"/>
      <c r="C914" s="13"/>
    </row>
    <row r="915" spans="1:3" ht="13" x14ac:dyDescent="0.15">
      <c r="A915" s="10"/>
      <c r="B915" s="13"/>
      <c r="C915" s="13"/>
    </row>
    <row r="916" spans="1:3" ht="13" x14ac:dyDescent="0.15">
      <c r="A916" s="10"/>
      <c r="B916" s="13"/>
      <c r="C916" s="13"/>
    </row>
    <row r="917" spans="1:3" ht="13" x14ac:dyDescent="0.15">
      <c r="A917" s="10"/>
      <c r="B917" s="13"/>
      <c r="C917" s="13"/>
    </row>
    <row r="918" spans="1:3" ht="13" x14ac:dyDescent="0.15">
      <c r="A918" s="10"/>
      <c r="B918" s="13"/>
      <c r="C918" s="13"/>
    </row>
    <row r="919" spans="1:3" ht="13" x14ac:dyDescent="0.15">
      <c r="A919" s="10"/>
      <c r="B919" s="13"/>
      <c r="C919" s="13"/>
    </row>
    <row r="920" spans="1:3" ht="13" x14ac:dyDescent="0.15">
      <c r="A920" s="10"/>
      <c r="B920" s="13"/>
      <c r="C920" s="13"/>
    </row>
    <row r="921" spans="1:3" ht="13" x14ac:dyDescent="0.15">
      <c r="A921" s="10"/>
      <c r="B921" s="13"/>
      <c r="C921" s="13"/>
    </row>
    <row r="922" spans="1:3" ht="13" x14ac:dyDescent="0.15">
      <c r="A922" s="10"/>
      <c r="B922" s="13"/>
      <c r="C922" s="13"/>
    </row>
    <row r="923" spans="1:3" ht="13" x14ac:dyDescent="0.15">
      <c r="A923" s="10"/>
      <c r="B923" s="13"/>
      <c r="C923" s="13"/>
    </row>
    <row r="924" spans="1:3" ht="13" x14ac:dyDescent="0.15">
      <c r="A924" s="10"/>
      <c r="B924" s="13"/>
      <c r="C924" s="13"/>
    </row>
    <row r="925" spans="1:3" ht="13" x14ac:dyDescent="0.15">
      <c r="A925" s="10"/>
      <c r="B925" s="13"/>
      <c r="C925" s="13"/>
    </row>
    <row r="926" spans="1:3" ht="13" x14ac:dyDescent="0.15">
      <c r="A926" s="10"/>
      <c r="B926" s="13"/>
      <c r="C926" s="13"/>
    </row>
    <row r="927" spans="1:3" ht="13" x14ac:dyDescent="0.15">
      <c r="A927" s="10"/>
      <c r="B927" s="13"/>
      <c r="C927" s="13"/>
    </row>
    <row r="928" spans="1:3" ht="13" x14ac:dyDescent="0.15">
      <c r="A928" s="10"/>
      <c r="B928" s="13"/>
      <c r="C928" s="13"/>
    </row>
    <row r="929" spans="1:3" ht="13" x14ac:dyDescent="0.15">
      <c r="A929" s="10"/>
      <c r="B929" s="13"/>
      <c r="C929" s="13"/>
    </row>
    <row r="930" spans="1:3" ht="13" x14ac:dyDescent="0.15">
      <c r="A930" s="10"/>
      <c r="B930" s="13"/>
      <c r="C930" s="13"/>
    </row>
    <row r="931" spans="1:3" ht="13" x14ac:dyDescent="0.15">
      <c r="A931" s="10"/>
      <c r="B931" s="13"/>
      <c r="C931" s="13"/>
    </row>
    <row r="932" spans="1:3" ht="13" x14ac:dyDescent="0.15">
      <c r="A932" s="10"/>
      <c r="B932" s="13"/>
      <c r="C932" s="13"/>
    </row>
    <row r="933" spans="1:3" ht="13" x14ac:dyDescent="0.15">
      <c r="A933" s="10"/>
      <c r="B933" s="13"/>
      <c r="C933" s="13"/>
    </row>
    <row r="934" spans="1:3" ht="13" x14ac:dyDescent="0.15">
      <c r="A934" s="10"/>
      <c r="B934" s="13"/>
      <c r="C934" s="13"/>
    </row>
    <row r="935" spans="1:3" ht="13" x14ac:dyDescent="0.15">
      <c r="A935" s="10"/>
      <c r="B935" s="13"/>
      <c r="C935" s="13"/>
    </row>
    <row r="936" spans="1:3" ht="13" x14ac:dyDescent="0.15">
      <c r="A936" s="10"/>
      <c r="B936" s="13"/>
      <c r="C936" s="13"/>
    </row>
    <row r="937" spans="1:3" ht="13" x14ac:dyDescent="0.15">
      <c r="A937" s="10"/>
      <c r="B937" s="13"/>
      <c r="C937" s="13"/>
    </row>
    <row r="938" spans="1:3" ht="13" x14ac:dyDescent="0.15">
      <c r="A938" s="10"/>
      <c r="B938" s="13"/>
      <c r="C938" s="13"/>
    </row>
    <row r="939" spans="1:3" ht="13" x14ac:dyDescent="0.15">
      <c r="A939" s="10"/>
      <c r="B939" s="13"/>
      <c r="C939" s="13"/>
    </row>
    <row r="940" spans="1:3" ht="13" x14ac:dyDescent="0.15">
      <c r="A940" s="10"/>
      <c r="B940" s="13"/>
      <c r="C940" s="13"/>
    </row>
    <row r="941" spans="1:3" ht="13" x14ac:dyDescent="0.15">
      <c r="A941" s="10"/>
      <c r="B941" s="13"/>
      <c r="C941" s="13"/>
    </row>
    <row r="942" spans="1:3" ht="13" x14ac:dyDescent="0.15">
      <c r="A942" s="10"/>
      <c r="B942" s="13"/>
      <c r="C942" s="13"/>
    </row>
    <row r="943" spans="1:3" ht="13" x14ac:dyDescent="0.15">
      <c r="A943" s="10"/>
      <c r="B943" s="13"/>
      <c r="C943" s="13"/>
    </row>
    <row r="944" spans="1:3" ht="13" x14ac:dyDescent="0.15">
      <c r="A944" s="10"/>
      <c r="B944" s="13"/>
      <c r="C944" s="13"/>
    </row>
    <row r="945" spans="1:3" ht="13" x14ac:dyDescent="0.15">
      <c r="A945" s="10"/>
      <c r="B945" s="13"/>
      <c r="C945" s="13"/>
    </row>
    <row r="946" spans="1:3" ht="13" x14ac:dyDescent="0.15">
      <c r="A946" s="10"/>
      <c r="B946" s="13"/>
      <c r="C946" s="13"/>
    </row>
    <row r="947" spans="1:3" ht="13" x14ac:dyDescent="0.15">
      <c r="A947" s="10"/>
      <c r="B947" s="13"/>
      <c r="C947" s="13"/>
    </row>
    <row r="948" spans="1:3" ht="13" x14ac:dyDescent="0.15">
      <c r="A948" s="10"/>
      <c r="B948" s="13"/>
      <c r="C948" s="13"/>
    </row>
    <row r="949" spans="1:3" ht="13" x14ac:dyDescent="0.15">
      <c r="A949" s="10"/>
      <c r="B949" s="13"/>
      <c r="C949" s="13"/>
    </row>
    <row r="950" spans="1:3" ht="13" x14ac:dyDescent="0.15">
      <c r="A950" s="10"/>
      <c r="B950" s="13"/>
      <c r="C950" s="13"/>
    </row>
    <row r="951" spans="1:3" ht="13" x14ac:dyDescent="0.15">
      <c r="A951" s="10"/>
      <c r="B951" s="13"/>
      <c r="C951" s="13"/>
    </row>
    <row r="952" spans="1:3" ht="13" x14ac:dyDescent="0.15">
      <c r="A952" s="10"/>
      <c r="B952" s="13"/>
      <c r="C952" s="13"/>
    </row>
    <row r="953" spans="1:3" ht="13" x14ac:dyDescent="0.15">
      <c r="A953" s="10"/>
      <c r="B953" s="13"/>
      <c r="C953" s="13"/>
    </row>
    <row r="954" spans="1:3" ht="13" x14ac:dyDescent="0.15">
      <c r="A954" s="10"/>
      <c r="B954" s="13"/>
      <c r="C954" s="13"/>
    </row>
    <row r="955" spans="1:3" ht="13" x14ac:dyDescent="0.15">
      <c r="A955" s="10"/>
      <c r="B955" s="13"/>
      <c r="C955" s="13"/>
    </row>
    <row r="956" spans="1:3" ht="13" x14ac:dyDescent="0.15">
      <c r="A956" s="10"/>
      <c r="B956" s="13"/>
      <c r="C956" s="13"/>
    </row>
    <row r="957" spans="1:3" ht="13" x14ac:dyDescent="0.15">
      <c r="A957" s="10"/>
      <c r="B957" s="13"/>
      <c r="C957" s="13"/>
    </row>
    <row r="958" spans="1:3" ht="13" x14ac:dyDescent="0.15">
      <c r="A958" s="10"/>
      <c r="B958" s="13"/>
      <c r="C958" s="13"/>
    </row>
    <row r="959" spans="1:3" ht="13" x14ac:dyDescent="0.15">
      <c r="A959" s="10"/>
      <c r="B959" s="13"/>
      <c r="C959" s="13"/>
    </row>
    <row r="960" spans="1:3" ht="13" x14ac:dyDescent="0.15">
      <c r="A960" s="10"/>
      <c r="B960" s="13"/>
      <c r="C960" s="13"/>
    </row>
    <row r="961" spans="1:3" ht="13" x14ac:dyDescent="0.15">
      <c r="A961" s="10"/>
      <c r="B961" s="13"/>
      <c r="C961" s="13"/>
    </row>
    <row r="962" spans="1:3" ht="13" x14ac:dyDescent="0.15">
      <c r="A962" s="10"/>
      <c r="B962" s="13"/>
      <c r="C962" s="13"/>
    </row>
    <row r="963" spans="1:3" ht="13" x14ac:dyDescent="0.15">
      <c r="A963" s="10"/>
      <c r="B963" s="13"/>
      <c r="C963" s="13"/>
    </row>
    <row r="964" spans="1:3" ht="13" x14ac:dyDescent="0.15">
      <c r="A964" s="10"/>
      <c r="B964" s="13"/>
      <c r="C964" s="13"/>
    </row>
    <row r="965" spans="1:3" ht="13" x14ac:dyDescent="0.15">
      <c r="A965" s="10"/>
      <c r="B965" s="13"/>
      <c r="C965" s="13"/>
    </row>
    <row r="966" spans="1:3" ht="13" x14ac:dyDescent="0.15">
      <c r="A966" s="10"/>
      <c r="B966" s="13"/>
      <c r="C966" s="13"/>
    </row>
    <row r="967" spans="1:3" ht="13" x14ac:dyDescent="0.15">
      <c r="A967" s="10"/>
      <c r="B967" s="13"/>
      <c r="C967" s="13"/>
    </row>
    <row r="968" spans="1:3" ht="13" x14ac:dyDescent="0.15">
      <c r="A968" s="10"/>
      <c r="B968" s="13"/>
      <c r="C968" s="13"/>
    </row>
    <row r="969" spans="1:3" ht="13" x14ac:dyDescent="0.15">
      <c r="A969" s="10"/>
      <c r="B969" s="13"/>
      <c r="C969" s="13"/>
    </row>
    <row r="970" spans="1:3" ht="13" x14ac:dyDescent="0.15">
      <c r="A970" s="10"/>
      <c r="B970" s="13"/>
      <c r="C970" s="13"/>
    </row>
    <row r="971" spans="1:3" ht="13" x14ac:dyDescent="0.15">
      <c r="A971" s="10"/>
      <c r="B971" s="13"/>
      <c r="C971" s="13"/>
    </row>
    <row r="972" spans="1:3" ht="13" x14ac:dyDescent="0.15">
      <c r="A972" s="10"/>
      <c r="B972" s="13"/>
      <c r="C972" s="13"/>
    </row>
    <row r="973" spans="1:3" ht="13" x14ac:dyDescent="0.15">
      <c r="A973" s="10"/>
      <c r="B973" s="13"/>
      <c r="C973" s="13"/>
    </row>
    <row r="974" spans="1:3" ht="13" x14ac:dyDescent="0.15">
      <c r="A974" s="10"/>
      <c r="B974" s="13"/>
      <c r="C974" s="13"/>
    </row>
    <row r="975" spans="1:3" ht="13" x14ac:dyDescent="0.15">
      <c r="A975" s="10"/>
      <c r="B975" s="13"/>
      <c r="C975" s="13"/>
    </row>
    <row r="976" spans="1:3" ht="13" x14ac:dyDescent="0.15">
      <c r="A976" s="10"/>
      <c r="B976" s="13"/>
      <c r="C976" s="13"/>
    </row>
    <row r="977" spans="1:3" ht="13" x14ac:dyDescent="0.15">
      <c r="A977" s="10"/>
      <c r="B977" s="13"/>
      <c r="C977" s="13"/>
    </row>
    <row r="978" spans="1:3" ht="13" x14ac:dyDescent="0.15">
      <c r="A978" s="10"/>
      <c r="B978" s="13"/>
      <c r="C978" s="13"/>
    </row>
    <row r="979" spans="1:3" ht="13" x14ac:dyDescent="0.15">
      <c r="A979" s="10"/>
      <c r="B979" s="13"/>
      <c r="C979" s="13"/>
    </row>
    <row r="980" spans="1:3" ht="13" x14ac:dyDescent="0.15">
      <c r="A980" s="10"/>
      <c r="B980" s="13"/>
      <c r="C980" s="13"/>
    </row>
    <row r="981" spans="1:3" ht="13" x14ac:dyDescent="0.15">
      <c r="A981" s="10"/>
      <c r="B981" s="13"/>
      <c r="C981" s="13"/>
    </row>
    <row r="982" spans="1:3" ht="13" x14ac:dyDescent="0.15">
      <c r="A982" s="10"/>
      <c r="B982" s="13"/>
      <c r="C982" s="13"/>
    </row>
    <row r="983" spans="1:3" ht="13" x14ac:dyDescent="0.15">
      <c r="A983" s="10"/>
      <c r="B983" s="13"/>
      <c r="C983" s="13"/>
    </row>
    <row r="984" spans="1:3" ht="13" x14ac:dyDescent="0.15">
      <c r="A984" s="10"/>
      <c r="B984" s="13"/>
      <c r="C984" s="13"/>
    </row>
    <row r="985" spans="1:3" ht="13" x14ac:dyDescent="0.15">
      <c r="A985" s="10"/>
      <c r="B985" s="13"/>
      <c r="C985" s="13"/>
    </row>
    <row r="986" spans="1:3" ht="13" x14ac:dyDescent="0.15">
      <c r="A986" s="10"/>
      <c r="B986" s="13"/>
      <c r="C986" s="13"/>
    </row>
    <row r="987" spans="1:3" ht="13" x14ac:dyDescent="0.15">
      <c r="A987" s="10"/>
      <c r="B987" s="13"/>
      <c r="C987" s="13"/>
    </row>
    <row r="988" spans="1:3" ht="13" x14ac:dyDescent="0.15">
      <c r="A988" s="10"/>
      <c r="B988" s="13"/>
      <c r="C988" s="13"/>
    </row>
    <row r="989" spans="1:3" ht="13" x14ac:dyDescent="0.15">
      <c r="A989" s="10"/>
      <c r="B989" s="13"/>
      <c r="C989" s="13"/>
    </row>
    <row r="990" spans="1:3" ht="13" x14ac:dyDescent="0.15">
      <c r="A990" s="10"/>
      <c r="B990" s="13"/>
      <c r="C990" s="13"/>
    </row>
    <row r="991" spans="1:3" ht="13" x14ac:dyDescent="0.15">
      <c r="A991" s="10"/>
      <c r="B991" s="13"/>
      <c r="C991" s="13"/>
    </row>
    <row r="992" spans="1:3" ht="13" x14ac:dyDescent="0.15">
      <c r="A992" s="10"/>
      <c r="B992" s="13"/>
      <c r="C992" s="13"/>
    </row>
    <row r="993" spans="1:3" ht="13" x14ac:dyDescent="0.15">
      <c r="A993" s="10"/>
      <c r="B993" s="13"/>
      <c r="C993" s="13"/>
    </row>
    <row r="994" spans="1:3" ht="13" x14ac:dyDescent="0.15">
      <c r="A994" s="10"/>
      <c r="B994" s="13"/>
      <c r="C994" s="13"/>
    </row>
    <row r="995" spans="1:3" ht="13" x14ac:dyDescent="0.15">
      <c r="A995" s="10"/>
      <c r="B995" s="13"/>
      <c r="C995" s="13"/>
    </row>
    <row r="996" spans="1:3" ht="13" x14ac:dyDescent="0.15">
      <c r="A996" s="10"/>
      <c r="B996" s="13"/>
      <c r="C996" s="13"/>
    </row>
    <row r="997" spans="1:3" ht="13" x14ac:dyDescent="0.15">
      <c r="A997" s="10"/>
      <c r="B997" s="13"/>
      <c r="C997" s="13"/>
    </row>
  </sheetData>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outlinePr summaryBelow="0" summaryRight="0"/>
  </sheetPr>
  <dimension ref="A1:D997"/>
  <sheetViews>
    <sheetView workbookViewId="0"/>
  </sheetViews>
  <sheetFormatPr baseColWidth="10" defaultColWidth="12.6640625" defaultRowHeight="15.75" customHeight="1" x14ac:dyDescent="0.15"/>
  <cols>
    <col min="1" max="1" width="71.5" customWidth="1"/>
    <col min="2" max="4" width="37.6640625" customWidth="1"/>
  </cols>
  <sheetData>
    <row r="1" spans="1:4" ht="15.75" customHeight="1" x14ac:dyDescent="0.15">
      <c r="A1" s="1"/>
      <c r="B1" s="10" t="str">
        <f ca="1">IFERROR(__xludf.DUMMYFUNCTION("IMPORTRANGE(""https://docs.google.com/spreadsheets/u/0/d/1DTeUShR903oScgwuFGuA8V8JqIoXmME8W-T3lNP0oHM"", ""A82!B1:B22"")"),"McKinzie Novak")</f>
        <v>McKinzie Novak</v>
      </c>
      <c r="C1" s="10" t="str">
        <f ca="1">IFERROR(__xludf.DUMMYFUNCTION("IMPORTRANGE(""https://docs.google.com/spreadsheets/u/0/d/13SmE7eku7nG0PwUe_FIOCUfCnXVjPMNZ0Q_x8FW6s5I"", ""A82!B1:B22"")"),"Josiah Bolton")</f>
        <v>Josiah Bolton</v>
      </c>
      <c r="D1" s="2" t="s">
        <v>1</v>
      </c>
    </row>
    <row r="2" spans="1:4" ht="15.75" customHeight="1" x14ac:dyDescent="0.15">
      <c r="A2" s="3" t="s">
        <v>2</v>
      </c>
      <c r="B2" s="15" t="str">
        <f ca="1">IFERROR(__xludf.DUMMYFUNCTION("""COMPUTED_VALUE"""),"START: 49489
STOP: 49166
REVERSE")</f>
        <v>START: 49489
STOP: 49166
REVERSE</v>
      </c>
      <c r="C2" s="15" t="str">
        <f ca="1">IFERROR(__xludf.DUMMYFUNCTION("""COMPUTED_VALUE"""),"49489-49166 Reverse")</f>
        <v>49489-49166 Reverse</v>
      </c>
      <c r="D2" s="4"/>
    </row>
    <row r="3" spans="1:4" ht="15.75" customHeight="1" x14ac:dyDescent="0.15">
      <c r="A3" s="5" t="s">
        <v>3</v>
      </c>
      <c r="B3" s="17" t="str">
        <f ca="1">IFERROR(__xludf.DUMMYFUNCTION("""COMPUTED_VALUE"""),"DNAM: 81
PHAM: 82
Phagesdb: 82")</f>
        <v>DNAM: 81
PHAM: 82
Phagesdb: 82</v>
      </c>
      <c r="C3" s="17" t="str">
        <f ca="1">IFERROR(__xludf.DUMMYFUNCTION("""COMPUTED_VALUE"""),"81 in DNAM
82 in phamerator
")</f>
        <v xml:space="preserve">81 in DNAM
82 in phamerator
</v>
      </c>
      <c r="D3" s="6"/>
    </row>
    <row r="4" spans="1:4" ht="15.75" customHeight="1" x14ac:dyDescent="0.15">
      <c r="A4" s="5" t="s">
        <v>4</v>
      </c>
      <c r="B4" s="17" t="str">
        <f ca="1">IFERROR(__xludf.DUMMYFUNCTION("""COMPUTED_VALUE"""),"#178642   3/20/25")</f>
        <v>#178642   3/20/25</v>
      </c>
      <c r="C4" s="17" t="str">
        <f ca="1">IFERROR(__xludf.DUMMYFUNCTION("""COMPUTED_VALUE"""),"178642 3/24/25
")</f>
        <v xml:space="preserve">178642 3/24/25
</v>
      </c>
      <c r="D4" s="6"/>
    </row>
    <row r="5" spans="1:4" ht="15.75" customHeight="1" x14ac:dyDescent="0.15">
      <c r="A5" s="5" t="s">
        <v>5</v>
      </c>
      <c r="B5" s="17" t="str">
        <f ca="1">IFERROR(__xludf.DUMMYFUNCTION("""COMPUTED_VALUE"""),"Kovu #79")</f>
        <v>Kovu #79</v>
      </c>
      <c r="C5" s="17" t="str">
        <f ca="1">IFERROR(__xludf.DUMMYFUNCTION("""COMPUTED_VALUE"""),"Kovu 79
")</f>
        <v xml:space="preserve">Kovu 79
</v>
      </c>
      <c r="D5" s="6"/>
    </row>
    <row r="6" spans="1:4" ht="15.75" customHeight="1" x14ac:dyDescent="0.15">
      <c r="A6" s="5" t="s">
        <v>6</v>
      </c>
      <c r="B6" s="17" t="str">
        <f ca="1">IFERROR(__xludf.DUMMYFUNCTION("""COMPUTED_VALUE"""),"Glimmer calls a start at 49489 but genemark calls an earlier start at 49495")</f>
        <v>Glimmer calls a start at 49489 but genemark calls an earlier start at 49495</v>
      </c>
      <c r="C6" s="17" t="str">
        <f ca="1">IFERROR(__xludf.DUMMYFUNCTION("""COMPUTED_VALUE"""),"Glimmer calls 49489
GeneMark calls 49495
")</f>
        <v xml:space="preserve">Glimmer calls 49489
GeneMark calls 49495
</v>
      </c>
      <c r="D6" s="6"/>
    </row>
    <row r="7" spans="1:4" ht="15.75" customHeight="1" x14ac:dyDescent="0.15">
      <c r="A7" s="5" t="s">
        <v>7</v>
      </c>
      <c r="B7" s="17" t="str">
        <f ca="1">IFERROR(__xludf.DUMMYFUNCTION("""COMPUTED_VALUE"""),"Yes the gene has good coding potential, and both starts capture all of it")</f>
        <v>Yes the gene has good coding potential, and both starts capture all of it</v>
      </c>
      <c r="C7" s="17" t="str">
        <f ca="1">IFERROR(__xludf.DUMMYFUNCTION("""COMPUTED_VALUE"""),"Has good coding potential. Black line leaves out some of the beginning.
")</f>
        <v xml:space="preserve">Has good coding potential. Black line leaves out some of the beginning.
</v>
      </c>
      <c r="D7" s="6"/>
    </row>
    <row r="8" spans="1:4" ht="15.75" customHeight="1" x14ac:dyDescent="0.15">
      <c r="A8" s="5" t="s">
        <v>8</v>
      </c>
      <c r="B8" s="17" t="str">
        <f ca="1">IFERROR(__xludf.DUMMYFUNCTION("""COMPUTED_VALUE"""),"No, neither start is the ORF, it is at start 49570")</f>
        <v>No, neither start is the ORF, it is at start 49570</v>
      </c>
      <c r="C8" s="17" t="str">
        <f ca="1">IFERROR(__xludf.DUMMYFUNCTION("""COMPUTED_VALUE"""),"Could be a little longer because of a gap.")</f>
        <v>Could be a little longer because of a gap.</v>
      </c>
      <c r="D8" s="6"/>
    </row>
    <row r="9" spans="1:4" ht="15.75" customHeight="1" x14ac:dyDescent="0.15">
      <c r="A9" s="5" t="s">
        <v>9</v>
      </c>
      <c r="B9" s="17" t="str">
        <f ca="1">IFERROR(__xludf.DUMMYFUNCTION("""COMPUTED_VALUE"""),"Glimmers start has a 201 basepair gap, genemarks start has a 195 basepair gap")</f>
        <v>Glimmers start has a 201 basepair gap, genemarks start has a 195 basepair gap</v>
      </c>
      <c r="C9" s="17" t="str">
        <f ca="1">IFERROR(__xludf.DUMMYFUNCTION("""COMPUTED_VALUE"""),"202 gap between 81-82
")</f>
        <v xml:space="preserve">202 gap between 81-82
</v>
      </c>
      <c r="D9" s="6"/>
    </row>
    <row r="10" spans="1:4" ht="15.75" customHeight="1" x14ac:dyDescent="0.15">
      <c r="A10" s="5" t="s">
        <v>10</v>
      </c>
      <c r="B10" s="17" t="str">
        <f ca="1">IFERROR(__xludf.DUMMYFUNCTION("""COMPUTED_VALUE"""),"Start: 49489 z-score:2.55 rbs:-3.3
Start: 49495 z-score:2.25 rbs:-4.4")</f>
        <v>Start: 49489 z-score:2.55 rbs:-3.3
Start: 49495 z-score:2.25 rbs:-4.4</v>
      </c>
      <c r="C10" s="17" t="str">
        <f ca="1">IFERROR(__xludf.DUMMYFUNCTION("""COMPUTED_VALUE"""),"Z score is 2.555 with final score of -3.306 and best score is at 49570 with a z score of 2.783 and final score of -4.122.")</f>
        <v>Z score is 2.555 with final score of -3.306 and best score is at 49570 with a z score of 2.783 and final score of -4.122.</v>
      </c>
      <c r="D10" s="6"/>
    </row>
    <row r="11" spans="1:4" ht="15.75" customHeight="1" x14ac:dyDescent="0.15">
      <c r="A11" s="5" t="s">
        <v>11</v>
      </c>
      <c r="B11" s="17" t="str">
        <f ca="1">IFERROR(__xludf.DUMMYFUNCTION("""COMPUTED_VALUE"""),"Kovu #79 %ID:89.72 e-val:3.3e-32
Q:1 S:1")</f>
        <v>Kovu #79 %ID:89.72 e-val:3.3e-32
Q:1 S:1</v>
      </c>
      <c r="C11" s="17" t="str">
        <f ca="1">IFERROR(__xludf.DUMMYFUNCTION("""COMPUTED_VALUE"""),"The e value is not great and does not help. Kovu gene # 79
89.72 % gene identity 3e-54
Quer #1 1.107 and so is Target.
")</f>
        <v xml:space="preserve">The e value is not great and does not help. Kovu gene # 79
89.72 % gene identity 3e-54
Quer #1 1.107 and so is Target.
</v>
      </c>
      <c r="D11" s="6"/>
    </row>
    <row r="12" spans="1:4" ht="15.75" customHeight="1" x14ac:dyDescent="0.15">
      <c r="A12" s="5" t="s">
        <v>12</v>
      </c>
      <c r="B12" s="17" t="str">
        <f ca="1">IFERROR(__xludf.DUMMYFUNCTION("""COMPUTED_VALUE"""),"Only Kovu and Apokipo have the called start #5, the other phages aren't manually annotated yet, but call a start apokipo doesn't have")</f>
        <v>Only Kovu and Apokipo have the called start #5, the other phages aren't manually annotated yet, but call a start apokipo doesn't have</v>
      </c>
      <c r="C12" s="17" t="str">
        <f ca="1">IFERROR(__xludf.DUMMYFUNCTION("""COMPUTED_VALUE"""),"Called in Kovu but no other AL cluster phages. Both are called at start 5 100% of the time present.
")</f>
        <v xml:space="preserve">Called in Kovu but no other AL cluster phages. Both are called at start 5 100% of the time present.
</v>
      </c>
      <c r="D12" s="6"/>
    </row>
    <row r="13" spans="1:4" ht="15.75" customHeight="1" x14ac:dyDescent="0.15">
      <c r="A13" s="5" t="s">
        <v>13</v>
      </c>
      <c r="B13" s="17" t="str">
        <f ca="1">IFERROR(__xludf.DUMMYFUNCTION("""COMPUTED_VALUE"""),"No, no point in changing from glimmer when the start is conserved in kovu, it has the better z-score, and already catches all coding potential")</f>
        <v>No, no point in changing from glimmer when the start is conserved in kovu, it has the better z-score, and already catches all coding potential</v>
      </c>
      <c r="C13" s="17" t="str">
        <f ca="1">IFERROR(__xludf.DUMMYFUNCTION("""COMPUTED_VALUE"""),"No. Shouldn’t be deleted")</f>
        <v>No. Shouldn’t be deleted</v>
      </c>
      <c r="D13" s="6"/>
    </row>
    <row r="14" spans="1:4" ht="15.75" customHeight="1" x14ac:dyDescent="0.15">
      <c r="A14" s="5" t="s">
        <v>14</v>
      </c>
      <c r="B14" s="17" t="str">
        <f ca="1">IFERROR(__xludf.DUMMYFUNCTION("""COMPUTED_VALUE"""),"Kovu #79 e-val:3.3e-32")</f>
        <v>Kovu #79 e-val:3.3e-32</v>
      </c>
      <c r="C14" s="17" t="str">
        <f ca="1">IFERROR(__xludf.DUMMYFUNCTION("""COMPUTED_VALUE"""),"Kovu 79 1e-49")</f>
        <v>Kovu 79 1e-49</v>
      </c>
      <c r="D14" s="6"/>
    </row>
    <row r="15" spans="1:4" ht="15.75" customHeight="1" x14ac:dyDescent="0.15">
      <c r="A15" s="5" t="s">
        <v>15</v>
      </c>
      <c r="B15" s="17" t="str">
        <f ca="1">IFERROR(__xludf.DUMMYFUNCTION("""COMPUTED_VALUE"""),"Hypothetical protein")</f>
        <v>Hypothetical protein</v>
      </c>
      <c r="C15" s="17" t="str">
        <f ca="1">IFERROR(__xludf.DUMMYFUNCTION("""COMPUTED_VALUE"""),"Hypothetical protein.")</f>
        <v>Hypothetical protein.</v>
      </c>
      <c r="D15" s="6"/>
    </row>
    <row r="16" spans="1:4" ht="15.75" customHeight="1" x14ac:dyDescent="0.15">
      <c r="A16" s="5" t="s">
        <v>16</v>
      </c>
      <c r="B16" s="17" t="str">
        <f ca="1">IFERROR(__xludf.DUMMYFUNCTION("""COMPUTED_VALUE"""),"Yes, the gene matches its genetic environment and has good alignment. The adjacent genes on both sides are hypothetical proteins")</f>
        <v>Yes, the gene matches its genetic environment and has good alignment. The adjacent genes on both sides are hypothetical proteins</v>
      </c>
      <c r="C16" s="17" t="str">
        <f ca="1">IFERROR(__xludf.DUMMYFUNCTION("""COMPUTED_VALUE"""),"Yes because Kovu and ApoKipo are very close together.")</f>
        <v>Yes because Kovu and ApoKipo are very close together.</v>
      </c>
      <c r="D16" s="6"/>
    </row>
    <row r="17" spans="1:4" ht="15.75" customHeight="1" x14ac:dyDescent="0.15">
      <c r="A17" s="5" t="s">
        <v>17</v>
      </c>
      <c r="B17" s="17" t="str">
        <f ca="1">IFERROR(__xludf.DUMMYFUNCTION("""COMPUTED_VALUE"""),"DESC: Stage V sporulation protein T; Transcription, Activator, DNA-binding, Repressor, Sporulation, Transcription regulation
Prob:60.6 %ALQ:33.6 %ALT:65.45
Surprisingly yes for the most part, misses some of the domain at the front amino acids for abt 7 am"&amp;"inos. (Technically No)")</f>
        <v>DESC: Stage V sporulation protein T; Transcription, Activator, DNA-binding, Repressor, Sporulation, Transcription regulation
Prob:60.6 %ALQ:33.6 %ALT:65.45
Surprisingly yes for the most part, misses some of the domain at the front amino acids for abt 7 aminos. (Technically No)</v>
      </c>
      <c r="C17" s="17" t="str">
        <f ca="1">IFERROR(__xludf.DUMMYFUNCTION("""COMPUTED_VALUE"""),"Not helpful at all. Most likely leading to hypothetical protein.")</f>
        <v>Not helpful at all. Most likely leading to hypothetical protein.</v>
      </c>
      <c r="D17" s="6"/>
    </row>
    <row r="18" spans="1:4" ht="15.75" customHeight="1" x14ac:dyDescent="0.15">
      <c r="A18" s="5" t="s">
        <v>18</v>
      </c>
      <c r="B18" s="17" t="str">
        <f ca="1">IFERROR(__xludf.DUMMYFUNCTION("""COMPUTED_VALUE"""),"DUF - Could be bacterial antitoxin MazE but it seems highly unlikely that these domains line up well enough")</f>
        <v>DUF - Could be bacterial antitoxin MazE but it seems highly unlikely that these domains line up well enough</v>
      </c>
      <c r="C18" s="17" t="str">
        <f ca="1">IFERROR(__xludf.DUMMYFUNCTION("""COMPUTED_VALUE"""),"No conserved domain.")</f>
        <v>No conserved domain.</v>
      </c>
      <c r="D18" s="6"/>
    </row>
    <row r="19" spans="1:4" ht="15.75" customHeight="1" x14ac:dyDescent="0.15">
      <c r="A19" s="5" t="s">
        <v>19</v>
      </c>
      <c r="B19" s="17" t="str">
        <f ca="1">IFERROR(__xludf.DUMMYFUNCTION("""COMPUTED_VALUE"""),"NONE")</f>
        <v>NONE</v>
      </c>
      <c r="C19" s="17" t="str">
        <f ca="1">IFERROR(__xludf.DUMMYFUNCTION("""COMPUTED_VALUE"""),"None.")</f>
        <v>None.</v>
      </c>
      <c r="D19" s="6"/>
    </row>
    <row r="20" spans="1:4" ht="15.75" customHeight="1" x14ac:dyDescent="0.15">
      <c r="A20" s="5" t="s">
        <v>20</v>
      </c>
      <c r="B20" s="17" t="str">
        <f ca="1">IFERROR(__xludf.DUMMYFUNCTION("""COMPUTED_VALUE"""),"Hypothetical protein")</f>
        <v>Hypothetical protein</v>
      </c>
      <c r="C20" s="17" t="str">
        <f ca="1">IFERROR(__xludf.DUMMYFUNCTION("""COMPUTED_VALUE"""),"Hypothetical Protein because there is not enough evidence to give a specific gene call. This is based off the evidence from PhagesDB, HHPred, Phamerator, and DNA Master.")</f>
        <v>Hypothetical Protein because there is not enough evidence to give a specific gene call. This is based off the evidence from PhagesDB, HHPred, Phamerator, and DNA Master.</v>
      </c>
      <c r="D20" s="6"/>
    </row>
    <row r="21" spans="1:4" x14ac:dyDescent="0.2">
      <c r="A21" s="7"/>
      <c r="B21" s="19"/>
      <c r="C21" s="19"/>
      <c r="D21" s="8"/>
    </row>
    <row r="22" spans="1:4" ht="15.75" customHeight="1" x14ac:dyDescent="0.15">
      <c r="A22" s="9" t="s">
        <v>21</v>
      </c>
      <c r="B22" s="19"/>
      <c r="C22" s="19"/>
      <c r="D22" s="8"/>
    </row>
    <row r="23" spans="1:4" ht="15.75" customHeight="1" x14ac:dyDescent="0.15">
      <c r="A23" s="10"/>
      <c r="B23" s="13"/>
      <c r="C23" s="13"/>
    </row>
    <row r="24" spans="1:4" ht="15.75" customHeight="1" x14ac:dyDescent="0.15">
      <c r="A24" s="10"/>
      <c r="B24" s="13"/>
      <c r="C24" s="13"/>
    </row>
    <row r="25" spans="1:4" ht="15.75" customHeight="1" x14ac:dyDescent="0.15">
      <c r="A25" s="10"/>
      <c r="B25" s="13"/>
      <c r="C25" s="13"/>
    </row>
    <row r="26" spans="1:4" ht="15.75" customHeight="1" x14ac:dyDescent="0.15">
      <c r="A26" s="10"/>
      <c r="B26" s="13"/>
      <c r="C26" s="13"/>
    </row>
    <row r="27" spans="1:4" ht="15.75" customHeight="1" x14ac:dyDescent="0.15">
      <c r="A27" s="10"/>
      <c r="B27" s="13"/>
      <c r="C27" s="13"/>
    </row>
    <row r="28" spans="1:4" ht="15.75" customHeight="1" x14ac:dyDescent="0.15">
      <c r="A28" s="10"/>
      <c r="B28" s="13"/>
      <c r="C28" s="13"/>
    </row>
    <row r="29" spans="1:4" ht="15.75" customHeight="1" x14ac:dyDescent="0.15">
      <c r="A29" s="10"/>
      <c r="B29" s="13"/>
      <c r="C29" s="13"/>
    </row>
    <row r="30" spans="1:4" ht="15.75" customHeight="1" x14ac:dyDescent="0.15">
      <c r="A30" s="10"/>
      <c r="B30" s="13"/>
      <c r="C30" s="13"/>
    </row>
    <row r="31" spans="1:4" ht="15.75" customHeight="1" x14ac:dyDescent="0.15">
      <c r="A31" s="10"/>
      <c r="B31" s="13"/>
      <c r="C31" s="13"/>
    </row>
    <row r="32" spans="1:4" ht="15.75" customHeight="1" x14ac:dyDescent="0.15">
      <c r="A32" s="10"/>
      <c r="B32" s="13"/>
      <c r="C32" s="13"/>
    </row>
    <row r="33" spans="1:3" ht="15.75" customHeight="1" x14ac:dyDescent="0.15">
      <c r="A33" s="10"/>
      <c r="B33" s="13"/>
      <c r="C33" s="13"/>
    </row>
    <row r="34" spans="1:3" ht="15.75" customHeight="1" x14ac:dyDescent="0.15">
      <c r="A34" s="10"/>
      <c r="B34" s="13"/>
      <c r="C34" s="13"/>
    </row>
    <row r="35" spans="1:3" ht="15.75" customHeight="1" x14ac:dyDescent="0.15">
      <c r="A35" s="10"/>
      <c r="B35" s="13"/>
      <c r="C35" s="13"/>
    </row>
    <row r="36" spans="1:3" ht="15.75" customHeight="1" x14ac:dyDescent="0.15">
      <c r="A36" s="10"/>
      <c r="B36" s="13"/>
      <c r="C36" s="13"/>
    </row>
    <row r="37" spans="1:3" ht="15.75" customHeight="1" x14ac:dyDescent="0.15">
      <c r="A37" s="10"/>
      <c r="B37" s="13"/>
      <c r="C37" s="13"/>
    </row>
    <row r="38" spans="1:3" ht="15.75" customHeight="1" x14ac:dyDescent="0.15">
      <c r="A38" s="10"/>
      <c r="B38" s="13"/>
      <c r="C38" s="13"/>
    </row>
    <row r="39" spans="1:3" ht="13" x14ac:dyDescent="0.15">
      <c r="A39" s="10"/>
      <c r="B39" s="13"/>
      <c r="C39" s="13"/>
    </row>
    <row r="40" spans="1:3" ht="13" x14ac:dyDescent="0.15">
      <c r="A40" s="10"/>
      <c r="B40" s="13"/>
      <c r="C40" s="13"/>
    </row>
    <row r="41" spans="1:3" ht="13" x14ac:dyDescent="0.15">
      <c r="A41" s="10"/>
      <c r="B41" s="13"/>
      <c r="C41" s="13"/>
    </row>
    <row r="42" spans="1:3" ht="13" x14ac:dyDescent="0.15">
      <c r="A42" s="10"/>
      <c r="B42" s="13"/>
      <c r="C42" s="13"/>
    </row>
    <row r="43" spans="1:3" ht="13" x14ac:dyDescent="0.15">
      <c r="A43" s="10"/>
      <c r="B43" s="13"/>
      <c r="C43" s="13"/>
    </row>
    <row r="44" spans="1:3" ht="13" x14ac:dyDescent="0.15">
      <c r="A44" s="10"/>
      <c r="B44" s="13"/>
      <c r="C44" s="13"/>
    </row>
    <row r="45" spans="1:3" ht="13" x14ac:dyDescent="0.15">
      <c r="A45" s="10"/>
      <c r="B45" s="13"/>
      <c r="C45" s="13"/>
    </row>
    <row r="46" spans="1:3" ht="13" x14ac:dyDescent="0.15">
      <c r="A46" s="10"/>
      <c r="B46" s="13"/>
      <c r="C46" s="13"/>
    </row>
    <row r="47" spans="1:3" ht="13" x14ac:dyDescent="0.15">
      <c r="A47" s="10"/>
      <c r="B47" s="13"/>
      <c r="C47" s="13"/>
    </row>
    <row r="48" spans="1:3" ht="13" x14ac:dyDescent="0.15">
      <c r="A48" s="10"/>
      <c r="B48" s="13"/>
      <c r="C48" s="13"/>
    </row>
    <row r="49" spans="1:3" ht="13" x14ac:dyDescent="0.15">
      <c r="A49" s="10"/>
      <c r="B49" s="13"/>
      <c r="C49" s="13"/>
    </row>
    <row r="50" spans="1:3" ht="13" x14ac:dyDescent="0.15">
      <c r="A50" s="10"/>
      <c r="B50" s="13"/>
      <c r="C50" s="13"/>
    </row>
    <row r="51" spans="1:3" ht="13" x14ac:dyDescent="0.15">
      <c r="A51" s="10"/>
      <c r="B51" s="13"/>
      <c r="C51" s="13"/>
    </row>
    <row r="52" spans="1:3" ht="13" x14ac:dyDescent="0.15">
      <c r="A52" s="10"/>
      <c r="B52" s="13"/>
      <c r="C52" s="13"/>
    </row>
    <row r="53" spans="1:3" ht="13" x14ac:dyDescent="0.15">
      <c r="A53" s="10"/>
      <c r="B53" s="13"/>
      <c r="C53" s="13"/>
    </row>
    <row r="54" spans="1:3" ht="13" x14ac:dyDescent="0.15">
      <c r="A54" s="10"/>
      <c r="B54" s="13"/>
      <c r="C54" s="13"/>
    </row>
    <row r="55" spans="1:3" ht="13" x14ac:dyDescent="0.15">
      <c r="A55" s="10"/>
      <c r="B55" s="13"/>
      <c r="C55" s="13"/>
    </row>
    <row r="56" spans="1:3" ht="13" x14ac:dyDescent="0.15">
      <c r="A56" s="10"/>
      <c r="B56" s="13"/>
      <c r="C56" s="13"/>
    </row>
    <row r="57" spans="1:3" ht="13" x14ac:dyDescent="0.15">
      <c r="A57" s="10"/>
      <c r="B57" s="13"/>
      <c r="C57" s="13"/>
    </row>
    <row r="58" spans="1:3" ht="13" x14ac:dyDescent="0.15">
      <c r="A58" s="10"/>
      <c r="B58" s="13"/>
      <c r="C58" s="13"/>
    </row>
    <row r="59" spans="1:3" ht="13" x14ac:dyDescent="0.15">
      <c r="A59" s="10"/>
      <c r="B59" s="13"/>
      <c r="C59" s="13"/>
    </row>
    <row r="60" spans="1:3" ht="13" x14ac:dyDescent="0.15">
      <c r="A60" s="10"/>
      <c r="B60" s="13"/>
      <c r="C60" s="13"/>
    </row>
    <row r="61" spans="1:3" ht="13" x14ac:dyDescent="0.15">
      <c r="A61" s="10"/>
      <c r="B61" s="13"/>
      <c r="C61" s="13"/>
    </row>
    <row r="62" spans="1:3" ht="13" x14ac:dyDescent="0.15">
      <c r="A62" s="10"/>
      <c r="B62" s="13"/>
      <c r="C62" s="13"/>
    </row>
    <row r="63" spans="1:3" ht="13" x14ac:dyDescent="0.15">
      <c r="A63" s="10"/>
      <c r="B63" s="13"/>
      <c r="C63" s="13"/>
    </row>
    <row r="64" spans="1:3" ht="13" x14ac:dyDescent="0.15">
      <c r="A64" s="10"/>
      <c r="B64" s="13"/>
      <c r="C64" s="13"/>
    </row>
    <row r="65" spans="1:3" ht="13" x14ac:dyDescent="0.15">
      <c r="A65" s="10"/>
      <c r="B65" s="13"/>
      <c r="C65" s="13"/>
    </row>
    <row r="66" spans="1:3" ht="13" x14ac:dyDescent="0.15">
      <c r="A66" s="10"/>
      <c r="B66" s="13"/>
      <c r="C66" s="13"/>
    </row>
    <row r="67" spans="1:3" ht="13" x14ac:dyDescent="0.15">
      <c r="A67" s="10"/>
      <c r="B67" s="13"/>
      <c r="C67" s="13"/>
    </row>
    <row r="68" spans="1:3" ht="13" x14ac:dyDescent="0.15">
      <c r="A68" s="10"/>
      <c r="B68" s="13"/>
      <c r="C68" s="13"/>
    </row>
    <row r="69" spans="1:3" ht="13" x14ac:dyDescent="0.15">
      <c r="A69" s="10"/>
      <c r="B69" s="13"/>
      <c r="C69" s="13"/>
    </row>
    <row r="70" spans="1:3" ht="13" x14ac:dyDescent="0.15">
      <c r="A70" s="10"/>
      <c r="B70" s="13"/>
      <c r="C70" s="13"/>
    </row>
    <row r="71" spans="1:3" ht="13" x14ac:dyDescent="0.15">
      <c r="A71" s="10"/>
      <c r="B71" s="13"/>
      <c r="C71" s="13"/>
    </row>
    <row r="72" spans="1:3" ht="13" x14ac:dyDescent="0.15">
      <c r="A72" s="10"/>
      <c r="B72" s="13"/>
      <c r="C72" s="13"/>
    </row>
    <row r="73" spans="1:3" ht="13" x14ac:dyDescent="0.15">
      <c r="A73" s="10"/>
      <c r="B73" s="13"/>
      <c r="C73" s="13"/>
    </row>
    <row r="74" spans="1:3" ht="13" x14ac:dyDescent="0.15">
      <c r="A74" s="10"/>
      <c r="B74" s="13"/>
      <c r="C74" s="13"/>
    </row>
    <row r="75" spans="1:3" ht="13" x14ac:dyDescent="0.15">
      <c r="A75" s="10"/>
      <c r="B75" s="13"/>
      <c r="C75" s="13"/>
    </row>
    <row r="76" spans="1:3" ht="13" x14ac:dyDescent="0.15">
      <c r="A76" s="10"/>
      <c r="B76" s="13"/>
      <c r="C76" s="13"/>
    </row>
    <row r="77" spans="1:3" ht="13" x14ac:dyDescent="0.15">
      <c r="A77" s="10"/>
      <c r="B77" s="13"/>
      <c r="C77" s="13"/>
    </row>
    <row r="78" spans="1:3" ht="13" x14ac:dyDescent="0.15">
      <c r="A78" s="10"/>
      <c r="B78" s="13"/>
      <c r="C78" s="13"/>
    </row>
    <row r="79" spans="1:3" ht="13" x14ac:dyDescent="0.15">
      <c r="A79" s="10"/>
      <c r="B79" s="13"/>
      <c r="C79" s="13"/>
    </row>
    <row r="80" spans="1:3" ht="13" x14ac:dyDescent="0.15">
      <c r="A80" s="10"/>
      <c r="B80" s="13"/>
      <c r="C80" s="13"/>
    </row>
    <row r="81" spans="1:3" ht="13" x14ac:dyDescent="0.15">
      <c r="A81" s="10"/>
      <c r="B81" s="13"/>
      <c r="C81" s="13"/>
    </row>
    <row r="82" spans="1:3" ht="13" x14ac:dyDescent="0.15">
      <c r="A82" s="10"/>
      <c r="B82" s="13"/>
      <c r="C82" s="13"/>
    </row>
    <row r="83" spans="1:3" ht="13" x14ac:dyDescent="0.15">
      <c r="A83" s="10"/>
      <c r="B83" s="13"/>
      <c r="C83" s="13"/>
    </row>
    <row r="84" spans="1:3" ht="13" x14ac:dyDescent="0.15">
      <c r="A84" s="10"/>
      <c r="B84" s="13"/>
      <c r="C84" s="13"/>
    </row>
    <row r="85" spans="1:3" ht="13" x14ac:dyDescent="0.15">
      <c r="A85" s="10"/>
      <c r="B85" s="13"/>
      <c r="C85" s="13"/>
    </row>
    <row r="86" spans="1:3" ht="13" x14ac:dyDescent="0.15">
      <c r="A86" s="10"/>
      <c r="B86" s="13"/>
      <c r="C86" s="13"/>
    </row>
    <row r="87" spans="1:3" ht="13" x14ac:dyDescent="0.15">
      <c r="A87" s="10"/>
      <c r="B87" s="13"/>
      <c r="C87" s="13"/>
    </row>
    <row r="88" spans="1:3" ht="13" x14ac:dyDescent="0.15">
      <c r="A88" s="10"/>
      <c r="B88" s="13"/>
      <c r="C88" s="13"/>
    </row>
    <row r="89" spans="1:3" ht="13" x14ac:dyDescent="0.15">
      <c r="A89" s="10"/>
      <c r="B89" s="13"/>
      <c r="C89" s="13"/>
    </row>
    <row r="90" spans="1:3" ht="13" x14ac:dyDescent="0.15">
      <c r="A90" s="10"/>
      <c r="B90" s="13"/>
      <c r="C90" s="13"/>
    </row>
    <row r="91" spans="1:3" ht="13" x14ac:dyDescent="0.15">
      <c r="A91" s="10"/>
      <c r="B91" s="13"/>
      <c r="C91" s="13"/>
    </row>
    <row r="92" spans="1:3" ht="13" x14ac:dyDescent="0.15">
      <c r="A92" s="10"/>
      <c r="B92" s="13"/>
      <c r="C92" s="13"/>
    </row>
    <row r="93" spans="1:3" ht="13" x14ac:dyDescent="0.15">
      <c r="A93" s="10"/>
      <c r="B93" s="13"/>
      <c r="C93" s="13"/>
    </row>
    <row r="94" spans="1:3" ht="13" x14ac:dyDescent="0.15">
      <c r="A94" s="10"/>
      <c r="B94" s="13"/>
      <c r="C94" s="13"/>
    </row>
    <row r="95" spans="1:3" ht="13" x14ac:dyDescent="0.15">
      <c r="A95" s="10"/>
      <c r="B95" s="13"/>
      <c r="C95" s="13"/>
    </row>
    <row r="96" spans="1:3" ht="13" x14ac:dyDescent="0.15">
      <c r="A96" s="10"/>
      <c r="B96" s="13"/>
      <c r="C96" s="13"/>
    </row>
    <row r="97" spans="1:3" ht="13" x14ac:dyDescent="0.15">
      <c r="A97" s="10"/>
      <c r="B97" s="13"/>
      <c r="C97" s="13"/>
    </row>
    <row r="98" spans="1:3" ht="13" x14ac:dyDescent="0.15">
      <c r="A98" s="10"/>
      <c r="B98" s="13"/>
      <c r="C98" s="13"/>
    </row>
    <row r="99" spans="1:3" ht="13" x14ac:dyDescent="0.15">
      <c r="A99" s="10"/>
      <c r="B99" s="13"/>
      <c r="C99" s="13"/>
    </row>
    <row r="100" spans="1:3" ht="13" x14ac:dyDescent="0.15">
      <c r="A100" s="10"/>
      <c r="B100" s="13"/>
      <c r="C100" s="13"/>
    </row>
    <row r="101" spans="1:3" ht="13" x14ac:dyDescent="0.15">
      <c r="A101" s="10"/>
      <c r="B101" s="13"/>
      <c r="C101" s="13"/>
    </row>
    <row r="102" spans="1:3" ht="13" x14ac:dyDescent="0.15">
      <c r="A102" s="10"/>
      <c r="B102" s="13"/>
      <c r="C102" s="13"/>
    </row>
    <row r="103" spans="1:3" ht="13" x14ac:dyDescent="0.15">
      <c r="A103" s="10"/>
      <c r="B103" s="13"/>
      <c r="C103" s="13"/>
    </row>
    <row r="104" spans="1:3" ht="13" x14ac:dyDescent="0.15">
      <c r="A104" s="10"/>
      <c r="B104" s="13"/>
      <c r="C104" s="13"/>
    </row>
    <row r="105" spans="1:3" ht="13" x14ac:dyDescent="0.15">
      <c r="A105" s="10"/>
      <c r="B105" s="13"/>
      <c r="C105" s="13"/>
    </row>
    <row r="106" spans="1:3" ht="13" x14ac:dyDescent="0.15">
      <c r="A106" s="10"/>
      <c r="B106" s="13"/>
      <c r="C106" s="13"/>
    </row>
    <row r="107" spans="1:3" ht="13" x14ac:dyDescent="0.15">
      <c r="A107" s="10"/>
      <c r="B107" s="13"/>
      <c r="C107" s="13"/>
    </row>
    <row r="108" spans="1:3" ht="13" x14ac:dyDescent="0.15">
      <c r="A108" s="10"/>
      <c r="B108" s="13"/>
      <c r="C108" s="13"/>
    </row>
    <row r="109" spans="1:3" ht="13" x14ac:dyDescent="0.15">
      <c r="A109" s="10"/>
      <c r="B109" s="13"/>
      <c r="C109" s="13"/>
    </row>
    <row r="110" spans="1:3" ht="13" x14ac:dyDescent="0.15">
      <c r="A110" s="10"/>
      <c r="B110" s="13"/>
      <c r="C110" s="13"/>
    </row>
    <row r="111" spans="1:3" ht="13" x14ac:dyDescent="0.15">
      <c r="A111" s="10"/>
      <c r="B111" s="13"/>
      <c r="C111" s="13"/>
    </row>
    <row r="112" spans="1:3" ht="13" x14ac:dyDescent="0.15">
      <c r="A112" s="10"/>
      <c r="B112" s="13"/>
      <c r="C112" s="13"/>
    </row>
    <row r="113" spans="1:3" ht="13" x14ac:dyDescent="0.15">
      <c r="A113" s="10"/>
      <c r="B113" s="13"/>
      <c r="C113" s="13"/>
    </row>
    <row r="114" spans="1:3" ht="13" x14ac:dyDescent="0.15">
      <c r="A114" s="10"/>
      <c r="B114" s="13"/>
      <c r="C114" s="13"/>
    </row>
    <row r="115" spans="1:3" ht="13" x14ac:dyDescent="0.15">
      <c r="A115" s="10"/>
      <c r="B115" s="13"/>
      <c r="C115" s="13"/>
    </row>
    <row r="116" spans="1:3" ht="13" x14ac:dyDescent="0.15">
      <c r="A116" s="10"/>
      <c r="B116" s="13"/>
      <c r="C116" s="13"/>
    </row>
    <row r="117" spans="1:3" ht="13" x14ac:dyDescent="0.15">
      <c r="A117" s="10"/>
      <c r="B117" s="13"/>
      <c r="C117" s="13"/>
    </row>
    <row r="118" spans="1:3" ht="13" x14ac:dyDescent="0.15">
      <c r="A118" s="10"/>
      <c r="B118" s="13"/>
      <c r="C118" s="13"/>
    </row>
    <row r="119" spans="1:3" ht="13" x14ac:dyDescent="0.15">
      <c r="A119" s="10"/>
      <c r="B119" s="13"/>
      <c r="C119" s="13"/>
    </row>
    <row r="120" spans="1:3" ht="13" x14ac:dyDescent="0.15">
      <c r="A120" s="10"/>
      <c r="B120" s="13"/>
      <c r="C120" s="13"/>
    </row>
    <row r="121" spans="1:3" ht="13" x14ac:dyDescent="0.15">
      <c r="A121" s="10"/>
      <c r="B121" s="13"/>
      <c r="C121" s="13"/>
    </row>
    <row r="122" spans="1:3" ht="13" x14ac:dyDescent="0.15">
      <c r="A122" s="10"/>
      <c r="B122" s="13"/>
      <c r="C122" s="13"/>
    </row>
    <row r="123" spans="1:3" ht="13" x14ac:dyDescent="0.15">
      <c r="A123" s="10"/>
      <c r="B123" s="13"/>
      <c r="C123" s="13"/>
    </row>
    <row r="124" spans="1:3" ht="13" x14ac:dyDescent="0.15">
      <c r="A124" s="10"/>
      <c r="B124" s="13"/>
      <c r="C124" s="13"/>
    </row>
    <row r="125" spans="1:3" ht="13" x14ac:dyDescent="0.15">
      <c r="A125" s="10"/>
      <c r="B125" s="13"/>
      <c r="C125" s="13"/>
    </row>
    <row r="126" spans="1:3" ht="13" x14ac:dyDescent="0.15">
      <c r="A126" s="10"/>
      <c r="B126" s="13"/>
      <c r="C126" s="13"/>
    </row>
    <row r="127" spans="1:3" ht="13" x14ac:dyDescent="0.15">
      <c r="A127" s="10"/>
      <c r="B127" s="13"/>
      <c r="C127" s="13"/>
    </row>
    <row r="128" spans="1:3" ht="13" x14ac:dyDescent="0.15">
      <c r="A128" s="10"/>
      <c r="B128" s="13"/>
      <c r="C128" s="13"/>
    </row>
    <row r="129" spans="1:3" ht="13" x14ac:dyDescent="0.15">
      <c r="A129" s="10"/>
      <c r="B129" s="13"/>
      <c r="C129" s="13"/>
    </row>
    <row r="130" spans="1:3" ht="13" x14ac:dyDescent="0.15">
      <c r="A130" s="10"/>
      <c r="B130" s="13"/>
      <c r="C130" s="13"/>
    </row>
    <row r="131" spans="1:3" ht="13" x14ac:dyDescent="0.15">
      <c r="A131" s="10"/>
      <c r="B131" s="13"/>
      <c r="C131" s="13"/>
    </row>
    <row r="132" spans="1:3" ht="13" x14ac:dyDescent="0.15">
      <c r="A132" s="10"/>
      <c r="B132" s="13"/>
      <c r="C132" s="13"/>
    </row>
    <row r="133" spans="1:3" ht="13" x14ac:dyDescent="0.15">
      <c r="A133" s="10"/>
      <c r="B133" s="13"/>
      <c r="C133" s="13"/>
    </row>
    <row r="134" spans="1:3" ht="13" x14ac:dyDescent="0.15">
      <c r="A134" s="10"/>
      <c r="B134" s="13"/>
      <c r="C134" s="13"/>
    </row>
    <row r="135" spans="1:3" ht="13" x14ac:dyDescent="0.15">
      <c r="A135" s="10"/>
      <c r="B135" s="13"/>
      <c r="C135" s="13"/>
    </row>
    <row r="136" spans="1:3" ht="13" x14ac:dyDescent="0.15">
      <c r="A136" s="10"/>
      <c r="B136" s="13"/>
      <c r="C136" s="13"/>
    </row>
    <row r="137" spans="1:3" ht="13" x14ac:dyDescent="0.15">
      <c r="A137" s="10"/>
      <c r="B137" s="13"/>
      <c r="C137" s="13"/>
    </row>
    <row r="138" spans="1:3" ht="13" x14ac:dyDescent="0.15">
      <c r="A138" s="10"/>
      <c r="B138" s="13"/>
      <c r="C138" s="13"/>
    </row>
    <row r="139" spans="1:3" ht="13" x14ac:dyDescent="0.15">
      <c r="A139" s="10"/>
      <c r="B139" s="13"/>
      <c r="C139" s="13"/>
    </row>
    <row r="140" spans="1:3" ht="13" x14ac:dyDescent="0.15">
      <c r="A140" s="10"/>
      <c r="B140" s="13"/>
      <c r="C140" s="13"/>
    </row>
    <row r="141" spans="1:3" ht="13" x14ac:dyDescent="0.15">
      <c r="A141" s="10"/>
      <c r="B141" s="13"/>
      <c r="C141" s="13"/>
    </row>
    <row r="142" spans="1:3" ht="13" x14ac:dyDescent="0.15">
      <c r="A142" s="10"/>
      <c r="B142" s="13"/>
      <c r="C142" s="13"/>
    </row>
    <row r="143" spans="1:3" ht="13" x14ac:dyDescent="0.15">
      <c r="A143" s="10"/>
      <c r="B143" s="13"/>
      <c r="C143" s="13"/>
    </row>
    <row r="144" spans="1:3" ht="13" x14ac:dyDescent="0.15">
      <c r="A144" s="10"/>
      <c r="B144" s="13"/>
      <c r="C144" s="13"/>
    </row>
    <row r="145" spans="1:3" ht="13" x14ac:dyDescent="0.15">
      <c r="A145" s="10"/>
      <c r="B145" s="13"/>
      <c r="C145" s="13"/>
    </row>
    <row r="146" spans="1:3" ht="13" x14ac:dyDescent="0.15">
      <c r="A146" s="10"/>
      <c r="B146" s="13"/>
      <c r="C146" s="13"/>
    </row>
    <row r="147" spans="1:3" ht="13" x14ac:dyDescent="0.15">
      <c r="A147" s="10"/>
      <c r="B147" s="13"/>
      <c r="C147" s="13"/>
    </row>
    <row r="148" spans="1:3" ht="13" x14ac:dyDescent="0.15">
      <c r="A148" s="10"/>
      <c r="B148" s="13"/>
      <c r="C148" s="13"/>
    </row>
    <row r="149" spans="1:3" ht="13" x14ac:dyDescent="0.15">
      <c r="A149" s="10"/>
      <c r="B149" s="13"/>
      <c r="C149" s="13"/>
    </row>
    <row r="150" spans="1:3" ht="13" x14ac:dyDescent="0.15">
      <c r="A150" s="10"/>
      <c r="B150" s="13"/>
      <c r="C150" s="13"/>
    </row>
    <row r="151" spans="1:3" ht="13" x14ac:dyDescent="0.15">
      <c r="A151" s="10"/>
      <c r="B151" s="13"/>
      <c r="C151" s="13"/>
    </row>
    <row r="152" spans="1:3" ht="13" x14ac:dyDescent="0.15">
      <c r="A152" s="10"/>
      <c r="B152" s="13"/>
      <c r="C152" s="13"/>
    </row>
    <row r="153" spans="1:3" ht="13" x14ac:dyDescent="0.15">
      <c r="A153" s="10"/>
      <c r="B153" s="13"/>
      <c r="C153" s="13"/>
    </row>
    <row r="154" spans="1:3" ht="13" x14ac:dyDescent="0.15">
      <c r="A154" s="10"/>
      <c r="B154" s="13"/>
      <c r="C154" s="13"/>
    </row>
    <row r="155" spans="1:3" ht="13" x14ac:dyDescent="0.15">
      <c r="A155" s="10"/>
      <c r="B155" s="13"/>
      <c r="C155" s="13"/>
    </row>
    <row r="156" spans="1:3" ht="13" x14ac:dyDescent="0.15">
      <c r="A156" s="10"/>
      <c r="B156" s="13"/>
      <c r="C156" s="13"/>
    </row>
    <row r="157" spans="1:3" ht="13" x14ac:dyDescent="0.15">
      <c r="A157" s="10"/>
      <c r="B157" s="13"/>
      <c r="C157" s="13"/>
    </row>
    <row r="158" spans="1:3" ht="13" x14ac:dyDescent="0.15">
      <c r="A158" s="10"/>
      <c r="B158" s="13"/>
      <c r="C158" s="13"/>
    </row>
    <row r="159" spans="1:3" ht="13" x14ac:dyDescent="0.15">
      <c r="A159" s="10"/>
      <c r="B159" s="13"/>
      <c r="C159" s="13"/>
    </row>
    <row r="160" spans="1:3" ht="13" x14ac:dyDescent="0.15">
      <c r="A160" s="10"/>
      <c r="B160" s="13"/>
      <c r="C160" s="13"/>
    </row>
    <row r="161" spans="1:3" ht="13" x14ac:dyDescent="0.15">
      <c r="A161" s="10"/>
      <c r="B161" s="13"/>
      <c r="C161" s="13"/>
    </row>
    <row r="162" spans="1:3" ht="13" x14ac:dyDescent="0.15">
      <c r="A162" s="10"/>
      <c r="B162" s="13"/>
      <c r="C162" s="13"/>
    </row>
    <row r="163" spans="1:3" ht="13" x14ac:dyDescent="0.15">
      <c r="A163" s="10"/>
      <c r="B163" s="13"/>
      <c r="C163" s="13"/>
    </row>
    <row r="164" spans="1:3" ht="13" x14ac:dyDescent="0.15">
      <c r="A164" s="10"/>
      <c r="B164" s="13"/>
      <c r="C164" s="13"/>
    </row>
    <row r="165" spans="1:3" ht="13" x14ac:dyDescent="0.15">
      <c r="A165" s="10"/>
      <c r="B165" s="13"/>
      <c r="C165" s="13"/>
    </row>
    <row r="166" spans="1:3" ht="13" x14ac:dyDescent="0.15">
      <c r="A166" s="10"/>
      <c r="B166" s="13"/>
      <c r="C166" s="13"/>
    </row>
    <row r="167" spans="1:3" ht="13" x14ac:dyDescent="0.15">
      <c r="A167" s="10"/>
      <c r="B167" s="13"/>
      <c r="C167" s="13"/>
    </row>
    <row r="168" spans="1:3" ht="13" x14ac:dyDescent="0.15">
      <c r="A168" s="10"/>
      <c r="B168" s="13"/>
      <c r="C168" s="13"/>
    </row>
    <row r="169" spans="1:3" ht="13" x14ac:dyDescent="0.15">
      <c r="A169" s="10"/>
      <c r="B169" s="13"/>
      <c r="C169" s="13"/>
    </row>
    <row r="170" spans="1:3" ht="13" x14ac:dyDescent="0.15">
      <c r="A170" s="10"/>
      <c r="B170" s="13"/>
      <c r="C170" s="13"/>
    </row>
    <row r="171" spans="1:3" ht="13" x14ac:dyDescent="0.15">
      <c r="A171" s="10"/>
      <c r="B171" s="13"/>
      <c r="C171" s="13"/>
    </row>
    <row r="172" spans="1:3" ht="13" x14ac:dyDescent="0.15">
      <c r="A172" s="10"/>
      <c r="B172" s="13"/>
      <c r="C172" s="13"/>
    </row>
    <row r="173" spans="1:3" ht="13" x14ac:dyDescent="0.15">
      <c r="A173" s="10"/>
      <c r="B173" s="13"/>
      <c r="C173" s="13"/>
    </row>
    <row r="174" spans="1:3" ht="13" x14ac:dyDescent="0.15">
      <c r="A174" s="10"/>
      <c r="B174" s="13"/>
      <c r="C174" s="13"/>
    </row>
    <row r="175" spans="1:3" ht="13" x14ac:dyDescent="0.15">
      <c r="A175" s="10"/>
      <c r="B175" s="13"/>
      <c r="C175" s="13"/>
    </row>
    <row r="176" spans="1:3" ht="13" x14ac:dyDescent="0.15">
      <c r="A176" s="10"/>
      <c r="B176" s="13"/>
      <c r="C176" s="13"/>
    </row>
    <row r="177" spans="1:3" ht="13" x14ac:dyDescent="0.15">
      <c r="A177" s="10"/>
      <c r="B177" s="13"/>
      <c r="C177" s="13"/>
    </row>
    <row r="178" spans="1:3" ht="13" x14ac:dyDescent="0.15">
      <c r="A178" s="10"/>
      <c r="B178" s="13"/>
      <c r="C178" s="13"/>
    </row>
    <row r="179" spans="1:3" ht="13" x14ac:dyDescent="0.15">
      <c r="A179" s="10"/>
      <c r="B179" s="13"/>
      <c r="C179" s="13"/>
    </row>
    <row r="180" spans="1:3" ht="13" x14ac:dyDescent="0.15">
      <c r="A180" s="10"/>
      <c r="B180" s="13"/>
      <c r="C180" s="13"/>
    </row>
    <row r="181" spans="1:3" ht="13" x14ac:dyDescent="0.15">
      <c r="A181" s="10"/>
      <c r="B181" s="13"/>
      <c r="C181" s="13"/>
    </row>
    <row r="182" spans="1:3" ht="13" x14ac:dyDescent="0.15">
      <c r="A182" s="10"/>
      <c r="B182" s="13"/>
      <c r="C182" s="13"/>
    </row>
    <row r="183" spans="1:3" ht="13" x14ac:dyDescent="0.15">
      <c r="A183" s="10"/>
      <c r="B183" s="13"/>
      <c r="C183" s="13"/>
    </row>
    <row r="184" spans="1:3" ht="13" x14ac:dyDescent="0.15">
      <c r="A184" s="10"/>
      <c r="B184" s="13"/>
      <c r="C184" s="13"/>
    </row>
    <row r="185" spans="1:3" ht="13" x14ac:dyDescent="0.15">
      <c r="A185" s="10"/>
      <c r="B185" s="13"/>
      <c r="C185" s="13"/>
    </row>
    <row r="186" spans="1:3" ht="13" x14ac:dyDescent="0.15">
      <c r="A186" s="10"/>
      <c r="B186" s="13"/>
      <c r="C186" s="13"/>
    </row>
    <row r="187" spans="1:3" ht="13" x14ac:dyDescent="0.15">
      <c r="A187" s="10"/>
      <c r="B187" s="13"/>
      <c r="C187" s="13"/>
    </row>
    <row r="188" spans="1:3" ht="13" x14ac:dyDescent="0.15">
      <c r="A188" s="10"/>
      <c r="B188" s="13"/>
      <c r="C188" s="13"/>
    </row>
    <row r="189" spans="1:3" ht="13" x14ac:dyDescent="0.15">
      <c r="A189" s="10"/>
      <c r="B189" s="13"/>
      <c r="C189" s="13"/>
    </row>
    <row r="190" spans="1:3" ht="13" x14ac:dyDescent="0.15">
      <c r="A190" s="10"/>
      <c r="B190" s="13"/>
      <c r="C190" s="13"/>
    </row>
    <row r="191" spans="1:3" ht="13" x14ac:dyDescent="0.15">
      <c r="A191" s="10"/>
      <c r="B191" s="13"/>
      <c r="C191" s="13"/>
    </row>
    <row r="192" spans="1:3" ht="13" x14ac:dyDescent="0.15">
      <c r="A192" s="10"/>
      <c r="B192" s="13"/>
      <c r="C192" s="13"/>
    </row>
    <row r="193" spans="1:3" ht="13" x14ac:dyDescent="0.15">
      <c r="A193" s="10"/>
      <c r="B193" s="13"/>
      <c r="C193" s="13"/>
    </row>
    <row r="194" spans="1:3" ht="13" x14ac:dyDescent="0.15">
      <c r="A194" s="10"/>
      <c r="B194" s="13"/>
      <c r="C194" s="13"/>
    </row>
    <row r="195" spans="1:3" ht="13" x14ac:dyDescent="0.15">
      <c r="A195" s="10"/>
      <c r="B195" s="13"/>
      <c r="C195" s="13"/>
    </row>
    <row r="196" spans="1:3" ht="13" x14ac:dyDescent="0.15">
      <c r="A196" s="10"/>
      <c r="B196" s="13"/>
      <c r="C196" s="13"/>
    </row>
    <row r="197" spans="1:3" ht="13" x14ac:dyDescent="0.15">
      <c r="A197" s="10"/>
      <c r="B197" s="13"/>
      <c r="C197" s="13"/>
    </row>
    <row r="198" spans="1:3" ht="13" x14ac:dyDescent="0.15">
      <c r="A198" s="10"/>
      <c r="B198" s="13"/>
      <c r="C198" s="13"/>
    </row>
    <row r="199" spans="1:3" ht="13" x14ac:dyDescent="0.15">
      <c r="A199" s="10"/>
      <c r="B199" s="13"/>
      <c r="C199" s="13"/>
    </row>
    <row r="200" spans="1:3" ht="13" x14ac:dyDescent="0.15">
      <c r="A200" s="10"/>
      <c r="B200" s="13"/>
      <c r="C200" s="13"/>
    </row>
    <row r="201" spans="1:3" ht="13" x14ac:dyDescent="0.15">
      <c r="A201" s="10"/>
      <c r="B201" s="13"/>
      <c r="C201" s="13"/>
    </row>
    <row r="202" spans="1:3" ht="13" x14ac:dyDescent="0.15">
      <c r="A202" s="10"/>
      <c r="B202" s="13"/>
      <c r="C202" s="13"/>
    </row>
    <row r="203" spans="1:3" ht="13" x14ac:dyDescent="0.15">
      <c r="A203" s="10"/>
      <c r="B203" s="13"/>
      <c r="C203" s="13"/>
    </row>
    <row r="204" spans="1:3" ht="13" x14ac:dyDescent="0.15">
      <c r="A204" s="10"/>
      <c r="B204" s="13"/>
      <c r="C204" s="13"/>
    </row>
    <row r="205" spans="1:3" ht="13" x14ac:dyDescent="0.15">
      <c r="A205" s="10"/>
      <c r="B205" s="13"/>
      <c r="C205" s="13"/>
    </row>
    <row r="206" spans="1:3" ht="13" x14ac:dyDescent="0.15">
      <c r="A206" s="10"/>
      <c r="B206" s="13"/>
      <c r="C206" s="13"/>
    </row>
    <row r="207" spans="1:3" ht="13" x14ac:dyDescent="0.15">
      <c r="A207" s="10"/>
      <c r="B207" s="13"/>
      <c r="C207" s="13"/>
    </row>
    <row r="208" spans="1:3" ht="13" x14ac:dyDescent="0.15">
      <c r="A208" s="10"/>
      <c r="B208" s="13"/>
      <c r="C208" s="13"/>
    </row>
    <row r="209" spans="1:3" ht="13" x14ac:dyDescent="0.15">
      <c r="A209" s="10"/>
      <c r="B209" s="13"/>
      <c r="C209" s="13"/>
    </row>
    <row r="210" spans="1:3" ht="13" x14ac:dyDescent="0.15">
      <c r="A210" s="10"/>
      <c r="B210" s="13"/>
      <c r="C210" s="13"/>
    </row>
    <row r="211" spans="1:3" ht="13" x14ac:dyDescent="0.15">
      <c r="A211" s="10"/>
      <c r="B211" s="13"/>
      <c r="C211" s="13"/>
    </row>
    <row r="212" spans="1:3" ht="13" x14ac:dyDescent="0.15">
      <c r="A212" s="10"/>
      <c r="B212" s="13"/>
      <c r="C212" s="13"/>
    </row>
    <row r="213" spans="1:3" ht="13" x14ac:dyDescent="0.15">
      <c r="A213" s="10"/>
      <c r="B213" s="13"/>
      <c r="C213" s="13"/>
    </row>
    <row r="214" spans="1:3" ht="13" x14ac:dyDescent="0.15">
      <c r="A214" s="10"/>
      <c r="B214" s="13"/>
      <c r="C214" s="13"/>
    </row>
    <row r="215" spans="1:3" ht="13" x14ac:dyDescent="0.15">
      <c r="A215" s="10"/>
      <c r="B215" s="13"/>
      <c r="C215" s="13"/>
    </row>
    <row r="216" spans="1:3" ht="13" x14ac:dyDescent="0.15">
      <c r="A216" s="10"/>
      <c r="B216" s="13"/>
      <c r="C216" s="13"/>
    </row>
    <row r="217" spans="1:3" ht="13" x14ac:dyDescent="0.15">
      <c r="A217" s="10"/>
      <c r="B217" s="13"/>
      <c r="C217" s="13"/>
    </row>
    <row r="218" spans="1:3" ht="13" x14ac:dyDescent="0.15">
      <c r="A218" s="10"/>
      <c r="B218" s="13"/>
      <c r="C218" s="13"/>
    </row>
    <row r="219" spans="1:3" ht="13" x14ac:dyDescent="0.15">
      <c r="A219" s="10"/>
      <c r="B219" s="13"/>
      <c r="C219" s="13"/>
    </row>
    <row r="220" spans="1:3" ht="13" x14ac:dyDescent="0.15">
      <c r="A220" s="10"/>
      <c r="B220" s="13"/>
      <c r="C220" s="13"/>
    </row>
    <row r="221" spans="1:3" ht="13" x14ac:dyDescent="0.15">
      <c r="A221" s="10"/>
      <c r="B221" s="13"/>
      <c r="C221" s="13"/>
    </row>
    <row r="222" spans="1:3" ht="13" x14ac:dyDescent="0.15">
      <c r="A222" s="10"/>
      <c r="B222" s="13"/>
      <c r="C222" s="13"/>
    </row>
    <row r="223" spans="1:3" ht="13" x14ac:dyDescent="0.15">
      <c r="A223" s="10"/>
      <c r="B223" s="13"/>
      <c r="C223" s="13"/>
    </row>
    <row r="224" spans="1:3" ht="13" x14ac:dyDescent="0.15">
      <c r="A224" s="10"/>
      <c r="B224" s="13"/>
      <c r="C224" s="13"/>
    </row>
    <row r="225" spans="1:3" ht="13" x14ac:dyDescent="0.15">
      <c r="A225" s="10"/>
      <c r="B225" s="13"/>
      <c r="C225" s="13"/>
    </row>
    <row r="226" spans="1:3" ht="13" x14ac:dyDescent="0.15">
      <c r="A226" s="10"/>
      <c r="B226" s="13"/>
      <c r="C226" s="13"/>
    </row>
    <row r="227" spans="1:3" ht="13" x14ac:dyDescent="0.15">
      <c r="A227" s="10"/>
      <c r="B227" s="13"/>
      <c r="C227" s="13"/>
    </row>
    <row r="228" spans="1:3" ht="13" x14ac:dyDescent="0.15">
      <c r="A228" s="10"/>
      <c r="B228" s="13"/>
      <c r="C228" s="13"/>
    </row>
    <row r="229" spans="1:3" ht="13" x14ac:dyDescent="0.15">
      <c r="A229" s="10"/>
      <c r="B229" s="13"/>
      <c r="C229" s="13"/>
    </row>
    <row r="230" spans="1:3" ht="13" x14ac:dyDescent="0.15">
      <c r="A230" s="10"/>
      <c r="B230" s="13"/>
      <c r="C230" s="13"/>
    </row>
    <row r="231" spans="1:3" ht="13" x14ac:dyDescent="0.15">
      <c r="A231" s="10"/>
      <c r="B231" s="13"/>
      <c r="C231" s="13"/>
    </row>
    <row r="232" spans="1:3" ht="13" x14ac:dyDescent="0.15">
      <c r="A232" s="10"/>
      <c r="B232" s="13"/>
      <c r="C232" s="13"/>
    </row>
    <row r="233" spans="1:3" ht="13" x14ac:dyDescent="0.15">
      <c r="A233" s="10"/>
      <c r="B233" s="13"/>
      <c r="C233" s="13"/>
    </row>
    <row r="234" spans="1:3" ht="13" x14ac:dyDescent="0.15">
      <c r="A234" s="10"/>
      <c r="B234" s="13"/>
      <c r="C234" s="13"/>
    </row>
    <row r="235" spans="1:3" ht="13" x14ac:dyDescent="0.15">
      <c r="A235" s="10"/>
      <c r="B235" s="13"/>
      <c r="C235" s="13"/>
    </row>
    <row r="236" spans="1:3" ht="13" x14ac:dyDescent="0.15">
      <c r="A236" s="10"/>
      <c r="B236" s="13"/>
      <c r="C236" s="13"/>
    </row>
    <row r="237" spans="1:3" ht="13" x14ac:dyDescent="0.15">
      <c r="A237" s="10"/>
      <c r="B237" s="13"/>
      <c r="C237" s="13"/>
    </row>
    <row r="238" spans="1:3" ht="13" x14ac:dyDescent="0.15">
      <c r="A238" s="10"/>
      <c r="B238" s="13"/>
      <c r="C238" s="13"/>
    </row>
    <row r="239" spans="1:3" ht="13" x14ac:dyDescent="0.15">
      <c r="A239" s="10"/>
      <c r="B239" s="13"/>
      <c r="C239" s="13"/>
    </row>
    <row r="240" spans="1:3" ht="13" x14ac:dyDescent="0.15">
      <c r="A240" s="10"/>
      <c r="B240" s="13"/>
      <c r="C240" s="13"/>
    </row>
    <row r="241" spans="1:3" ht="13" x14ac:dyDescent="0.15">
      <c r="A241" s="10"/>
      <c r="B241" s="13"/>
      <c r="C241" s="13"/>
    </row>
    <row r="242" spans="1:3" ht="13" x14ac:dyDescent="0.15">
      <c r="A242" s="10"/>
      <c r="B242" s="13"/>
      <c r="C242" s="13"/>
    </row>
    <row r="243" spans="1:3" ht="13" x14ac:dyDescent="0.15">
      <c r="A243" s="10"/>
      <c r="B243" s="13"/>
      <c r="C243" s="13"/>
    </row>
    <row r="244" spans="1:3" ht="13" x14ac:dyDescent="0.15">
      <c r="A244" s="10"/>
      <c r="B244" s="13"/>
      <c r="C244" s="13"/>
    </row>
    <row r="245" spans="1:3" ht="13" x14ac:dyDescent="0.15">
      <c r="A245" s="10"/>
      <c r="B245" s="13"/>
      <c r="C245" s="13"/>
    </row>
    <row r="246" spans="1:3" ht="13" x14ac:dyDescent="0.15">
      <c r="A246" s="10"/>
      <c r="B246" s="13"/>
      <c r="C246" s="13"/>
    </row>
    <row r="247" spans="1:3" ht="13" x14ac:dyDescent="0.15">
      <c r="A247" s="10"/>
      <c r="B247" s="13"/>
      <c r="C247" s="13"/>
    </row>
    <row r="248" spans="1:3" ht="13" x14ac:dyDescent="0.15">
      <c r="A248" s="10"/>
      <c r="B248" s="13"/>
      <c r="C248" s="13"/>
    </row>
    <row r="249" spans="1:3" ht="13" x14ac:dyDescent="0.15">
      <c r="A249" s="10"/>
      <c r="B249" s="13"/>
      <c r="C249" s="13"/>
    </row>
    <row r="250" spans="1:3" ht="13" x14ac:dyDescent="0.15">
      <c r="A250" s="10"/>
      <c r="B250" s="13"/>
      <c r="C250" s="13"/>
    </row>
    <row r="251" spans="1:3" ht="13" x14ac:dyDescent="0.15">
      <c r="A251" s="10"/>
      <c r="B251" s="13"/>
      <c r="C251" s="13"/>
    </row>
    <row r="252" spans="1:3" ht="13" x14ac:dyDescent="0.15">
      <c r="A252" s="10"/>
      <c r="B252" s="13"/>
      <c r="C252" s="13"/>
    </row>
    <row r="253" spans="1:3" ht="13" x14ac:dyDescent="0.15">
      <c r="A253" s="10"/>
      <c r="B253" s="13"/>
      <c r="C253" s="13"/>
    </row>
    <row r="254" spans="1:3" ht="13" x14ac:dyDescent="0.15">
      <c r="A254" s="10"/>
      <c r="B254" s="13"/>
      <c r="C254" s="13"/>
    </row>
    <row r="255" spans="1:3" ht="13" x14ac:dyDescent="0.15">
      <c r="A255" s="10"/>
      <c r="B255" s="13"/>
      <c r="C255" s="13"/>
    </row>
    <row r="256" spans="1:3" ht="13" x14ac:dyDescent="0.15">
      <c r="A256" s="10"/>
      <c r="B256" s="13"/>
      <c r="C256" s="13"/>
    </row>
    <row r="257" spans="1:3" ht="13" x14ac:dyDescent="0.15">
      <c r="A257" s="10"/>
      <c r="B257" s="13"/>
      <c r="C257" s="13"/>
    </row>
    <row r="258" spans="1:3" ht="13" x14ac:dyDescent="0.15">
      <c r="A258" s="10"/>
      <c r="B258" s="13"/>
      <c r="C258" s="13"/>
    </row>
    <row r="259" spans="1:3" ht="13" x14ac:dyDescent="0.15">
      <c r="A259" s="10"/>
      <c r="B259" s="13"/>
      <c r="C259" s="13"/>
    </row>
    <row r="260" spans="1:3" ht="13" x14ac:dyDescent="0.15">
      <c r="A260" s="10"/>
      <c r="B260" s="13"/>
      <c r="C260" s="13"/>
    </row>
    <row r="261" spans="1:3" ht="13" x14ac:dyDescent="0.15">
      <c r="A261" s="10"/>
      <c r="B261" s="13"/>
      <c r="C261" s="13"/>
    </row>
    <row r="262" spans="1:3" ht="13" x14ac:dyDescent="0.15">
      <c r="A262" s="10"/>
      <c r="B262" s="13"/>
      <c r="C262" s="13"/>
    </row>
    <row r="263" spans="1:3" ht="13" x14ac:dyDescent="0.15">
      <c r="A263" s="10"/>
      <c r="B263" s="13"/>
      <c r="C263" s="13"/>
    </row>
    <row r="264" spans="1:3" ht="13" x14ac:dyDescent="0.15">
      <c r="A264" s="10"/>
      <c r="B264" s="13"/>
      <c r="C264" s="13"/>
    </row>
    <row r="265" spans="1:3" ht="13" x14ac:dyDescent="0.15">
      <c r="A265" s="10"/>
      <c r="B265" s="13"/>
      <c r="C265" s="13"/>
    </row>
    <row r="266" spans="1:3" ht="13" x14ac:dyDescent="0.15">
      <c r="A266" s="10"/>
      <c r="B266" s="13"/>
      <c r="C266" s="13"/>
    </row>
    <row r="267" spans="1:3" ht="13" x14ac:dyDescent="0.15">
      <c r="A267" s="10"/>
      <c r="B267" s="13"/>
      <c r="C267" s="13"/>
    </row>
    <row r="268" spans="1:3" ht="13" x14ac:dyDescent="0.15">
      <c r="A268" s="10"/>
      <c r="B268" s="13"/>
      <c r="C268" s="13"/>
    </row>
    <row r="269" spans="1:3" ht="13" x14ac:dyDescent="0.15">
      <c r="A269" s="10"/>
      <c r="B269" s="13"/>
      <c r="C269" s="13"/>
    </row>
    <row r="270" spans="1:3" ht="13" x14ac:dyDescent="0.15">
      <c r="A270" s="10"/>
      <c r="B270" s="13"/>
      <c r="C270" s="13"/>
    </row>
    <row r="271" spans="1:3" ht="13" x14ac:dyDescent="0.15">
      <c r="A271" s="10"/>
      <c r="B271" s="13"/>
      <c r="C271" s="13"/>
    </row>
    <row r="272" spans="1:3" ht="13" x14ac:dyDescent="0.15">
      <c r="A272" s="10"/>
      <c r="B272" s="13"/>
      <c r="C272" s="13"/>
    </row>
    <row r="273" spans="1:3" ht="13" x14ac:dyDescent="0.15">
      <c r="A273" s="10"/>
      <c r="B273" s="13"/>
      <c r="C273" s="13"/>
    </row>
    <row r="274" spans="1:3" ht="13" x14ac:dyDescent="0.15">
      <c r="A274" s="10"/>
      <c r="B274" s="13"/>
      <c r="C274" s="13"/>
    </row>
    <row r="275" spans="1:3" ht="13" x14ac:dyDescent="0.15">
      <c r="A275" s="10"/>
      <c r="B275" s="13"/>
      <c r="C275" s="13"/>
    </row>
    <row r="276" spans="1:3" ht="13" x14ac:dyDescent="0.15">
      <c r="A276" s="10"/>
      <c r="B276" s="13"/>
      <c r="C276" s="13"/>
    </row>
    <row r="277" spans="1:3" ht="13" x14ac:dyDescent="0.15">
      <c r="A277" s="10"/>
      <c r="B277" s="13"/>
      <c r="C277" s="13"/>
    </row>
    <row r="278" spans="1:3" ht="13" x14ac:dyDescent="0.15">
      <c r="A278" s="10"/>
      <c r="B278" s="13"/>
      <c r="C278" s="13"/>
    </row>
    <row r="279" spans="1:3" ht="13" x14ac:dyDescent="0.15">
      <c r="A279" s="10"/>
      <c r="B279" s="13"/>
      <c r="C279" s="13"/>
    </row>
    <row r="280" spans="1:3" ht="13" x14ac:dyDescent="0.15">
      <c r="A280" s="10"/>
      <c r="B280" s="13"/>
      <c r="C280" s="13"/>
    </row>
    <row r="281" spans="1:3" ht="13" x14ac:dyDescent="0.15">
      <c r="A281" s="10"/>
      <c r="B281" s="13"/>
      <c r="C281" s="13"/>
    </row>
    <row r="282" spans="1:3" ht="13" x14ac:dyDescent="0.15">
      <c r="A282" s="10"/>
      <c r="B282" s="13"/>
      <c r="C282" s="13"/>
    </row>
    <row r="283" spans="1:3" ht="13" x14ac:dyDescent="0.15">
      <c r="A283" s="10"/>
      <c r="B283" s="13"/>
      <c r="C283" s="13"/>
    </row>
    <row r="284" spans="1:3" ht="13" x14ac:dyDescent="0.15">
      <c r="A284" s="10"/>
      <c r="B284" s="13"/>
      <c r="C284" s="13"/>
    </row>
    <row r="285" spans="1:3" ht="13" x14ac:dyDescent="0.15">
      <c r="A285" s="10"/>
      <c r="B285" s="13"/>
      <c r="C285" s="13"/>
    </row>
    <row r="286" spans="1:3" ht="13" x14ac:dyDescent="0.15">
      <c r="A286" s="10"/>
      <c r="B286" s="13"/>
      <c r="C286" s="13"/>
    </row>
    <row r="287" spans="1:3" ht="13" x14ac:dyDescent="0.15">
      <c r="A287" s="10"/>
      <c r="B287" s="13"/>
      <c r="C287" s="13"/>
    </row>
    <row r="288" spans="1:3" ht="13" x14ac:dyDescent="0.15">
      <c r="A288" s="10"/>
      <c r="B288" s="13"/>
      <c r="C288" s="13"/>
    </row>
    <row r="289" spans="1:3" ht="13" x14ac:dyDescent="0.15">
      <c r="A289" s="10"/>
      <c r="B289" s="13"/>
      <c r="C289" s="13"/>
    </row>
    <row r="290" spans="1:3" ht="13" x14ac:dyDescent="0.15">
      <c r="A290" s="10"/>
      <c r="B290" s="13"/>
      <c r="C290" s="13"/>
    </row>
    <row r="291" spans="1:3" ht="13" x14ac:dyDescent="0.15">
      <c r="A291" s="10"/>
      <c r="B291" s="13"/>
      <c r="C291" s="13"/>
    </row>
    <row r="292" spans="1:3" ht="13" x14ac:dyDescent="0.15">
      <c r="A292" s="10"/>
      <c r="B292" s="13"/>
      <c r="C292" s="13"/>
    </row>
    <row r="293" spans="1:3" ht="13" x14ac:dyDescent="0.15">
      <c r="A293" s="10"/>
      <c r="B293" s="13"/>
      <c r="C293" s="13"/>
    </row>
    <row r="294" spans="1:3" ht="13" x14ac:dyDescent="0.15">
      <c r="A294" s="10"/>
      <c r="B294" s="13"/>
      <c r="C294" s="13"/>
    </row>
    <row r="295" spans="1:3" ht="13" x14ac:dyDescent="0.15">
      <c r="A295" s="10"/>
      <c r="B295" s="13"/>
      <c r="C295" s="13"/>
    </row>
    <row r="296" spans="1:3" ht="13" x14ac:dyDescent="0.15">
      <c r="A296" s="10"/>
      <c r="B296" s="13"/>
      <c r="C296" s="13"/>
    </row>
    <row r="297" spans="1:3" ht="13" x14ac:dyDescent="0.15">
      <c r="A297" s="10"/>
      <c r="B297" s="13"/>
      <c r="C297" s="13"/>
    </row>
    <row r="298" spans="1:3" ht="13" x14ac:dyDescent="0.15">
      <c r="A298" s="10"/>
      <c r="B298" s="13"/>
      <c r="C298" s="13"/>
    </row>
    <row r="299" spans="1:3" ht="13" x14ac:dyDescent="0.15">
      <c r="A299" s="10"/>
      <c r="B299" s="13"/>
      <c r="C299" s="13"/>
    </row>
    <row r="300" spans="1:3" ht="13" x14ac:dyDescent="0.15">
      <c r="A300" s="10"/>
      <c r="B300" s="13"/>
      <c r="C300" s="13"/>
    </row>
    <row r="301" spans="1:3" ht="13" x14ac:dyDescent="0.15">
      <c r="A301" s="10"/>
      <c r="B301" s="13"/>
      <c r="C301" s="13"/>
    </row>
    <row r="302" spans="1:3" ht="13" x14ac:dyDescent="0.15">
      <c r="A302" s="10"/>
      <c r="B302" s="13"/>
      <c r="C302" s="13"/>
    </row>
    <row r="303" spans="1:3" ht="13" x14ac:dyDescent="0.15">
      <c r="A303" s="10"/>
      <c r="B303" s="13"/>
      <c r="C303" s="13"/>
    </row>
    <row r="304" spans="1:3" ht="13" x14ac:dyDescent="0.15">
      <c r="A304" s="10"/>
      <c r="B304" s="13"/>
      <c r="C304" s="13"/>
    </row>
    <row r="305" spans="1:3" ht="13" x14ac:dyDescent="0.15">
      <c r="A305" s="10"/>
      <c r="B305" s="13"/>
      <c r="C305" s="13"/>
    </row>
    <row r="306" spans="1:3" ht="13" x14ac:dyDescent="0.15">
      <c r="A306" s="10"/>
      <c r="B306" s="13"/>
      <c r="C306" s="13"/>
    </row>
    <row r="307" spans="1:3" ht="13" x14ac:dyDescent="0.15">
      <c r="A307" s="10"/>
      <c r="B307" s="13"/>
      <c r="C307" s="13"/>
    </row>
    <row r="308" spans="1:3" ht="13" x14ac:dyDescent="0.15">
      <c r="A308" s="10"/>
      <c r="B308" s="13"/>
      <c r="C308" s="13"/>
    </row>
    <row r="309" spans="1:3" ht="13" x14ac:dyDescent="0.15">
      <c r="A309" s="10"/>
      <c r="B309" s="13"/>
      <c r="C309" s="13"/>
    </row>
    <row r="310" spans="1:3" ht="13" x14ac:dyDescent="0.15">
      <c r="A310" s="10"/>
      <c r="B310" s="13"/>
      <c r="C310" s="13"/>
    </row>
    <row r="311" spans="1:3" ht="13" x14ac:dyDescent="0.15">
      <c r="A311" s="10"/>
      <c r="B311" s="13"/>
      <c r="C311" s="13"/>
    </row>
    <row r="312" spans="1:3" ht="13" x14ac:dyDescent="0.15">
      <c r="A312" s="10"/>
      <c r="B312" s="13"/>
      <c r="C312" s="13"/>
    </row>
    <row r="313" spans="1:3" ht="13" x14ac:dyDescent="0.15">
      <c r="A313" s="10"/>
      <c r="B313" s="13"/>
      <c r="C313" s="13"/>
    </row>
    <row r="314" spans="1:3" ht="13" x14ac:dyDescent="0.15">
      <c r="A314" s="10"/>
      <c r="B314" s="13"/>
      <c r="C314" s="13"/>
    </row>
    <row r="315" spans="1:3" ht="13" x14ac:dyDescent="0.15">
      <c r="A315" s="10"/>
      <c r="B315" s="13"/>
      <c r="C315" s="13"/>
    </row>
    <row r="316" spans="1:3" ht="13" x14ac:dyDescent="0.15">
      <c r="A316" s="10"/>
      <c r="B316" s="13"/>
      <c r="C316" s="13"/>
    </row>
    <row r="317" spans="1:3" ht="13" x14ac:dyDescent="0.15">
      <c r="A317" s="10"/>
      <c r="B317" s="13"/>
      <c r="C317" s="13"/>
    </row>
    <row r="318" spans="1:3" ht="13" x14ac:dyDescent="0.15">
      <c r="A318" s="10"/>
      <c r="B318" s="13"/>
      <c r="C318" s="13"/>
    </row>
    <row r="319" spans="1:3" ht="13" x14ac:dyDescent="0.15">
      <c r="A319" s="10"/>
      <c r="B319" s="13"/>
      <c r="C319" s="13"/>
    </row>
    <row r="320" spans="1:3" ht="13" x14ac:dyDescent="0.15">
      <c r="A320" s="10"/>
      <c r="B320" s="13"/>
      <c r="C320" s="13"/>
    </row>
    <row r="321" spans="1:3" ht="13" x14ac:dyDescent="0.15">
      <c r="A321" s="10"/>
      <c r="B321" s="13"/>
      <c r="C321" s="13"/>
    </row>
    <row r="322" spans="1:3" ht="13" x14ac:dyDescent="0.15">
      <c r="A322" s="10"/>
      <c r="B322" s="13"/>
      <c r="C322" s="13"/>
    </row>
    <row r="323" spans="1:3" ht="13" x14ac:dyDescent="0.15">
      <c r="A323" s="10"/>
      <c r="B323" s="13"/>
      <c r="C323" s="13"/>
    </row>
    <row r="324" spans="1:3" ht="13" x14ac:dyDescent="0.15">
      <c r="A324" s="10"/>
      <c r="B324" s="13"/>
      <c r="C324" s="13"/>
    </row>
    <row r="325" spans="1:3" ht="13" x14ac:dyDescent="0.15">
      <c r="A325" s="10"/>
      <c r="B325" s="13"/>
      <c r="C325" s="13"/>
    </row>
    <row r="326" spans="1:3" ht="13" x14ac:dyDescent="0.15">
      <c r="A326" s="10"/>
      <c r="B326" s="13"/>
      <c r="C326" s="13"/>
    </row>
    <row r="327" spans="1:3" ht="13" x14ac:dyDescent="0.15">
      <c r="A327" s="10"/>
      <c r="B327" s="13"/>
      <c r="C327" s="13"/>
    </row>
    <row r="328" spans="1:3" ht="13" x14ac:dyDescent="0.15">
      <c r="A328" s="10"/>
      <c r="B328" s="13"/>
      <c r="C328" s="13"/>
    </row>
    <row r="329" spans="1:3" ht="13" x14ac:dyDescent="0.15">
      <c r="A329" s="10"/>
      <c r="B329" s="13"/>
      <c r="C329" s="13"/>
    </row>
    <row r="330" spans="1:3" ht="13" x14ac:dyDescent="0.15">
      <c r="A330" s="10"/>
      <c r="B330" s="13"/>
      <c r="C330" s="13"/>
    </row>
    <row r="331" spans="1:3" ht="13" x14ac:dyDescent="0.15">
      <c r="A331" s="10"/>
      <c r="B331" s="13"/>
      <c r="C331" s="13"/>
    </row>
    <row r="332" spans="1:3" ht="13" x14ac:dyDescent="0.15">
      <c r="A332" s="10"/>
      <c r="B332" s="13"/>
      <c r="C332" s="13"/>
    </row>
    <row r="333" spans="1:3" ht="13" x14ac:dyDescent="0.15">
      <c r="A333" s="10"/>
      <c r="B333" s="13"/>
      <c r="C333" s="13"/>
    </row>
    <row r="334" spans="1:3" ht="13" x14ac:dyDescent="0.15">
      <c r="A334" s="10"/>
      <c r="B334" s="13"/>
      <c r="C334" s="13"/>
    </row>
    <row r="335" spans="1:3" ht="13" x14ac:dyDescent="0.15">
      <c r="A335" s="10"/>
      <c r="B335" s="13"/>
      <c r="C335" s="13"/>
    </row>
    <row r="336" spans="1:3" ht="13" x14ac:dyDescent="0.15">
      <c r="A336" s="10"/>
      <c r="B336" s="13"/>
      <c r="C336" s="13"/>
    </row>
    <row r="337" spans="1:3" ht="13" x14ac:dyDescent="0.15">
      <c r="A337" s="10"/>
      <c r="B337" s="13"/>
      <c r="C337" s="13"/>
    </row>
    <row r="338" spans="1:3" ht="13" x14ac:dyDescent="0.15">
      <c r="A338" s="10"/>
      <c r="B338" s="13"/>
      <c r="C338" s="13"/>
    </row>
    <row r="339" spans="1:3" ht="13" x14ac:dyDescent="0.15">
      <c r="A339" s="10"/>
      <c r="B339" s="13"/>
      <c r="C339" s="13"/>
    </row>
    <row r="340" spans="1:3" ht="13" x14ac:dyDescent="0.15">
      <c r="A340" s="10"/>
      <c r="B340" s="13"/>
      <c r="C340" s="13"/>
    </row>
    <row r="341" spans="1:3" ht="13" x14ac:dyDescent="0.15">
      <c r="A341" s="10"/>
      <c r="B341" s="13"/>
      <c r="C341" s="13"/>
    </row>
    <row r="342" spans="1:3" ht="13" x14ac:dyDescent="0.15">
      <c r="A342" s="10"/>
      <c r="B342" s="13"/>
      <c r="C342" s="13"/>
    </row>
    <row r="343" spans="1:3" ht="13" x14ac:dyDescent="0.15">
      <c r="A343" s="10"/>
      <c r="B343" s="13"/>
      <c r="C343" s="13"/>
    </row>
    <row r="344" spans="1:3" ht="13" x14ac:dyDescent="0.15">
      <c r="A344" s="10"/>
      <c r="B344" s="13"/>
      <c r="C344" s="13"/>
    </row>
    <row r="345" spans="1:3" ht="13" x14ac:dyDescent="0.15">
      <c r="A345" s="10"/>
      <c r="B345" s="13"/>
      <c r="C345" s="13"/>
    </row>
    <row r="346" spans="1:3" ht="13" x14ac:dyDescent="0.15">
      <c r="A346" s="10"/>
      <c r="B346" s="13"/>
      <c r="C346" s="13"/>
    </row>
    <row r="347" spans="1:3" ht="13" x14ac:dyDescent="0.15">
      <c r="A347" s="10"/>
      <c r="B347" s="13"/>
      <c r="C347" s="13"/>
    </row>
    <row r="348" spans="1:3" ht="13" x14ac:dyDescent="0.15">
      <c r="A348" s="10"/>
      <c r="B348" s="13"/>
      <c r="C348" s="13"/>
    </row>
    <row r="349" spans="1:3" ht="13" x14ac:dyDescent="0.15">
      <c r="A349" s="10"/>
      <c r="B349" s="13"/>
      <c r="C349" s="13"/>
    </row>
    <row r="350" spans="1:3" ht="13" x14ac:dyDescent="0.15">
      <c r="A350" s="10"/>
      <c r="B350" s="13"/>
      <c r="C350" s="13"/>
    </row>
    <row r="351" spans="1:3" ht="13" x14ac:dyDescent="0.15">
      <c r="A351" s="10"/>
      <c r="B351" s="13"/>
      <c r="C351" s="13"/>
    </row>
    <row r="352" spans="1:3" ht="13" x14ac:dyDescent="0.15">
      <c r="A352" s="10"/>
      <c r="B352" s="13"/>
      <c r="C352" s="13"/>
    </row>
    <row r="353" spans="1:3" ht="13" x14ac:dyDescent="0.15">
      <c r="A353" s="10"/>
      <c r="B353" s="13"/>
      <c r="C353" s="13"/>
    </row>
    <row r="354" spans="1:3" ht="13" x14ac:dyDescent="0.15">
      <c r="A354" s="10"/>
      <c r="B354" s="13"/>
      <c r="C354" s="13"/>
    </row>
    <row r="355" spans="1:3" ht="13" x14ac:dyDescent="0.15">
      <c r="A355" s="10"/>
      <c r="B355" s="13"/>
      <c r="C355" s="13"/>
    </row>
    <row r="356" spans="1:3" ht="13" x14ac:dyDescent="0.15">
      <c r="A356" s="10"/>
      <c r="B356" s="13"/>
      <c r="C356" s="13"/>
    </row>
    <row r="357" spans="1:3" ht="13" x14ac:dyDescent="0.15">
      <c r="A357" s="10"/>
      <c r="B357" s="13"/>
      <c r="C357" s="13"/>
    </row>
    <row r="358" spans="1:3" ht="13" x14ac:dyDescent="0.15">
      <c r="A358" s="10"/>
      <c r="B358" s="13"/>
      <c r="C358" s="13"/>
    </row>
    <row r="359" spans="1:3" ht="13" x14ac:dyDescent="0.15">
      <c r="A359" s="10"/>
      <c r="B359" s="13"/>
      <c r="C359" s="13"/>
    </row>
    <row r="360" spans="1:3" ht="13" x14ac:dyDescent="0.15">
      <c r="A360" s="10"/>
      <c r="B360" s="13"/>
      <c r="C360" s="13"/>
    </row>
    <row r="361" spans="1:3" ht="13" x14ac:dyDescent="0.15">
      <c r="A361" s="10"/>
      <c r="B361" s="13"/>
      <c r="C361" s="13"/>
    </row>
    <row r="362" spans="1:3" ht="13" x14ac:dyDescent="0.15">
      <c r="A362" s="10"/>
      <c r="B362" s="13"/>
      <c r="C362" s="13"/>
    </row>
    <row r="363" spans="1:3" ht="13" x14ac:dyDescent="0.15">
      <c r="A363" s="10"/>
      <c r="B363" s="13"/>
      <c r="C363" s="13"/>
    </row>
    <row r="364" spans="1:3" ht="13" x14ac:dyDescent="0.15">
      <c r="A364" s="10"/>
      <c r="B364" s="13"/>
      <c r="C364" s="13"/>
    </row>
    <row r="365" spans="1:3" ht="13" x14ac:dyDescent="0.15">
      <c r="A365" s="10"/>
      <c r="B365" s="13"/>
      <c r="C365" s="13"/>
    </row>
    <row r="366" spans="1:3" ht="13" x14ac:dyDescent="0.15">
      <c r="A366" s="10"/>
      <c r="B366" s="13"/>
      <c r="C366" s="13"/>
    </row>
    <row r="367" spans="1:3" ht="13" x14ac:dyDescent="0.15">
      <c r="A367" s="10"/>
      <c r="B367" s="13"/>
      <c r="C367" s="13"/>
    </row>
    <row r="368" spans="1:3" ht="13" x14ac:dyDescent="0.15">
      <c r="A368" s="10"/>
      <c r="B368" s="13"/>
      <c r="C368" s="13"/>
    </row>
    <row r="369" spans="1:3" ht="13" x14ac:dyDescent="0.15">
      <c r="A369" s="10"/>
      <c r="B369" s="13"/>
      <c r="C369" s="13"/>
    </row>
    <row r="370" spans="1:3" ht="13" x14ac:dyDescent="0.15">
      <c r="A370" s="10"/>
      <c r="B370" s="13"/>
      <c r="C370" s="13"/>
    </row>
    <row r="371" spans="1:3" ht="13" x14ac:dyDescent="0.15">
      <c r="A371" s="10"/>
      <c r="B371" s="13"/>
      <c r="C371" s="13"/>
    </row>
    <row r="372" spans="1:3" ht="13" x14ac:dyDescent="0.15">
      <c r="A372" s="10"/>
      <c r="B372" s="13"/>
      <c r="C372" s="13"/>
    </row>
    <row r="373" spans="1:3" ht="13" x14ac:dyDescent="0.15">
      <c r="A373" s="10"/>
      <c r="B373" s="13"/>
      <c r="C373" s="13"/>
    </row>
    <row r="374" spans="1:3" ht="13" x14ac:dyDescent="0.15">
      <c r="A374" s="10"/>
      <c r="B374" s="13"/>
      <c r="C374" s="13"/>
    </row>
    <row r="375" spans="1:3" ht="13" x14ac:dyDescent="0.15">
      <c r="A375" s="10"/>
      <c r="B375" s="13"/>
      <c r="C375" s="13"/>
    </row>
    <row r="376" spans="1:3" ht="13" x14ac:dyDescent="0.15">
      <c r="A376" s="10"/>
      <c r="B376" s="13"/>
      <c r="C376" s="13"/>
    </row>
    <row r="377" spans="1:3" ht="13" x14ac:dyDescent="0.15">
      <c r="A377" s="10"/>
      <c r="B377" s="13"/>
      <c r="C377" s="13"/>
    </row>
    <row r="378" spans="1:3" ht="13" x14ac:dyDescent="0.15">
      <c r="A378" s="10"/>
      <c r="B378" s="13"/>
      <c r="C378" s="13"/>
    </row>
    <row r="379" spans="1:3" ht="13" x14ac:dyDescent="0.15">
      <c r="A379" s="10"/>
      <c r="B379" s="13"/>
      <c r="C379" s="13"/>
    </row>
    <row r="380" spans="1:3" ht="13" x14ac:dyDescent="0.15">
      <c r="A380" s="10"/>
      <c r="B380" s="13"/>
      <c r="C380" s="13"/>
    </row>
    <row r="381" spans="1:3" ht="13" x14ac:dyDescent="0.15">
      <c r="A381" s="10"/>
      <c r="B381" s="13"/>
      <c r="C381" s="13"/>
    </row>
    <row r="382" spans="1:3" ht="13" x14ac:dyDescent="0.15">
      <c r="A382" s="10"/>
      <c r="B382" s="13"/>
      <c r="C382" s="13"/>
    </row>
    <row r="383" spans="1:3" ht="13" x14ac:dyDescent="0.15">
      <c r="A383" s="10"/>
      <c r="B383" s="13"/>
      <c r="C383" s="13"/>
    </row>
    <row r="384" spans="1:3" ht="13" x14ac:dyDescent="0.15">
      <c r="A384" s="10"/>
      <c r="B384" s="13"/>
      <c r="C384" s="13"/>
    </row>
    <row r="385" spans="1:3" ht="13" x14ac:dyDescent="0.15">
      <c r="A385" s="10"/>
      <c r="B385" s="13"/>
      <c r="C385" s="13"/>
    </row>
    <row r="386" spans="1:3" ht="13" x14ac:dyDescent="0.15">
      <c r="A386" s="10"/>
      <c r="B386" s="13"/>
      <c r="C386" s="13"/>
    </row>
    <row r="387" spans="1:3" ht="13" x14ac:dyDescent="0.15">
      <c r="A387" s="10"/>
      <c r="B387" s="13"/>
      <c r="C387" s="13"/>
    </row>
    <row r="388" spans="1:3" ht="13" x14ac:dyDescent="0.15">
      <c r="A388" s="10"/>
      <c r="B388" s="13"/>
      <c r="C388" s="13"/>
    </row>
    <row r="389" spans="1:3" ht="13" x14ac:dyDescent="0.15">
      <c r="A389" s="10"/>
      <c r="B389" s="13"/>
      <c r="C389" s="13"/>
    </row>
    <row r="390" spans="1:3" ht="13" x14ac:dyDescent="0.15">
      <c r="A390" s="10"/>
      <c r="B390" s="13"/>
      <c r="C390" s="13"/>
    </row>
    <row r="391" spans="1:3" ht="13" x14ac:dyDescent="0.15">
      <c r="A391" s="10"/>
      <c r="B391" s="13"/>
      <c r="C391" s="13"/>
    </row>
    <row r="392" spans="1:3" ht="13" x14ac:dyDescent="0.15">
      <c r="A392" s="10"/>
      <c r="B392" s="13"/>
      <c r="C392" s="13"/>
    </row>
    <row r="393" spans="1:3" ht="13" x14ac:dyDescent="0.15">
      <c r="A393" s="10"/>
      <c r="B393" s="13"/>
      <c r="C393" s="13"/>
    </row>
    <row r="394" spans="1:3" ht="13" x14ac:dyDescent="0.15">
      <c r="A394" s="10"/>
      <c r="B394" s="13"/>
      <c r="C394" s="13"/>
    </row>
    <row r="395" spans="1:3" ht="13" x14ac:dyDescent="0.15">
      <c r="A395" s="10"/>
      <c r="B395" s="13"/>
      <c r="C395" s="13"/>
    </row>
    <row r="396" spans="1:3" ht="13" x14ac:dyDescent="0.15">
      <c r="A396" s="10"/>
      <c r="B396" s="13"/>
      <c r="C396" s="13"/>
    </row>
    <row r="397" spans="1:3" ht="13" x14ac:dyDescent="0.15">
      <c r="A397" s="10"/>
      <c r="B397" s="13"/>
      <c r="C397" s="13"/>
    </row>
    <row r="398" spans="1:3" ht="13" x14ac:dyDescent="0.15">
      <c r="A398" s="10"/>
      <c r="B398" s="13"/>
      <c r="C398" s="13"/>
    </row>
    <row r="399" spans="1:3" ht="13" x14ac:dyDescent="0.15">
      <c r="A399" s="10"/>
      <c r="B399" s="13"/>
      <c r="C399" s="13"/>
    </row>
    <row r="400" spans="1:3" ht="13" x14ac:dyDescent="0.15">
      <c r="A400" s="10"/>
      <c r="B400" s="13"/>
      <c r="C400" s="13"/>
    </row>
    <row r="401" spans="1:3" ht="13" x14ac:dyDescent="0.15">
      <c r="A401" s="10"/>
      <c r="B401" s="13"/>
      <c r="C401" s="13"/>
    </row>
    <row r="402" spans="1:3" ht="13" x14ac:dyDescent="0.15">
      <c r="A402" s="10"/>
      <c r="B402" s="13"/>
      <c r="C402" s="13"/>
    </row>
    <row r="403" spans="1:3" ht="13" x14ac:dyDescent="0.15">
      <c r="A403" s="10"/>
      <c r="B403" s="13"/>
      <c r="C403" s="13"/>
    </row>
    <row r="404" spans="1:3" ht="13" x14ac:dyDescent="0.15">
      <c r="A404" s="10"/>
      <c r="B404" s="13"/>
      <c r="C404" s="13"/>
    </row>
    <row r="405" spans="1:3" ht="13" x14ac:dyDescent="0.15">
      <c r="A405" s="10"/>
      <c r="B405" s="13"/>
      <c r="C405" s="13"/>
    </row>
    <row r="406" spans="1:3" ht="13" x14ac:dyDescent="0.15">
      <c r="A406" s="10"/>
      <c r="B406" s="13"/>
      <c r="C406" s="13"/>
    </row>
    <row r="407" spans="1:3" ht="13" x14ac:dyDescent="0.15">
      <c r="A407" s="10"/>
      <c r="B407" s="13"/>
      <c r="C407" s="13"/>
    </row>
    <row r="408" spans="1:3" ht="13" x14ac:dyDescent="0.15">
      <c r="A408" s="10"/>
      <c r="B408" s="13"/>
      <c r="C408" s="13"/>
    </row>
    <row r="409" spans="1:3" ht="13" x14ac:dyDescent="0.15">
      <c r="A409" s="10"/>
      <c r="B409" s="13"/>
      <c r="C409" s="13"/>
    </row>
    <row r="410" spans="1:3" ht="13" x14ac:dyDescent="0.15">
      <c r="A410" s="10"/>
      <c r="B410" s="13"/>
      <c r="C410" s="13"/>
    </row>
    <row r="411" spans="1:3" ht="13" x14ac:dyDescent="0.15">
      <c r="A411" s="10"/>
      <c r="B411" s="13"/>
      <c r="C411" s="13"/>
    </row>
    <row r="412" spans="1:3" ht="13" x14ac:dyDescent="0.15">
      <c r="A412" s="10"/>
      <c r="B412" s="13"/>
      <c r="C412" s="13"/>
    </row>
    <row r="413" spans="1:3" ht="13" x14ac:dyDescent="0.15">
      <c r="A413" s="10"/>
      <c r="B413" s="13"/>
      <c r="C413" s="13"/>
    </row>
    <row r="414" spans="1:3" ht="13" x14ac:dyDescent="0.15">
      <c r="A414" s="10"/>
      <c r="B414" s="13"/>
      <c r="C414" s="13"/>
    </row>
    <row r="415" spans="1:3" ht="13" x14ac:dyDescent="0.15">
      <c r="A415" s="10"/>
      <c r="B415" s="13"/>
      <c r="C415" s="13"/>
    </row>
    <row r="416" spans="1:3" ht="13" x14ac:dyDescent="0.15">
      <c r="A416" s="10"/>
      <c r="B416" s="13"/>
      <c r="C416" s="13"/>
    </row>
    <row r="417" spans="1:3" ht="13" x14ac:dyDescent="0.15">
      <c r="A417" s="10"/>
      <c r="B417" s="13"/>
      <c r="C417" s="13"/>
    </row>
    <row r="418" spans="1:3" ht="13" x14ac:dyDescent="0.15">
      <c r="A418" s="10"/>
      <c r="B418" s="13"/>
      <c r="C418" s="13"/>
    </row>
    <row r="419" spans="1:3" ht="13" x14ac:dyDescent="0.15">
      <c r="A419" s="10"/>
      <c r="B419" s="13"/>
      <c r="C419" s="13"/>
    </row>
    <row r="420" spans="1:3" ht="13" x14ac:dyDescent="0.15">
      <c r="A420" s="10"/>
      <c r="B420" s="13"/>
      <c r="C420" s="13"/>
    </row>
    <row r="421" spans="1:3" ht="13" x14ac:dyDescent="0.15">
      <c r="A421" s="10"/>
      <c r="B421" s="13"/>
      <c r="C421" s="13"/>
    </row>
    <row r="422" spans="1:3" ht="13" x14ac:dyDescent="0.15">
      <c r="A422" s="10"/>
      <c r="B422" s="13"/>
      <c r="C422" s="13"/>
    </row>
    <row r="423" spans="1:3" ht="13" x14ac:dyDescent="0.15">
      <c r="A423" s="10"/>
      <c r="B423" s="13"/>
      <c r="C423" s="13"/>
    </row>
    <row r="424" spans="1:3" ht="13" x14ac:dyDescent="0.15">
      <c r="A424" s="10"/>
      <c r="B424" s="13"/>
      <c r="C424" s="13"/>
    </row>
    <row r="425" spans="1:3" ht="13" x14ac:dyDescent="0.15">
      <c r="A425" s="10"/>
      <c r="B425" s="13"/>
      <c r="C425" s="13"/>
    </row>
    <row r="426" spans="1:3" ht="13" x14ac:dyDescent="0.15">
      <c r="A426" s="10"/>
      <c r="B426" s="13"/>
      <c r="C426" s="13"/>
    </row>
    <row r="427" spans="1:3" ht="13" x14ac:dyDescent="0.15">
      <c r="A427" s="10"/>
      <c r="B427" s="13"/>
      <c r="C427" s="13"/>
    </row>
    <row r="428" spans="1:3" ht="13" x14ac:dyDescent="0.15">
      <c r="A428" s="10"/>
      <c r="B428" s="13"/>
      <c r="C428" s="13"/>
    </row>
    <row r="429" spans="1:3" ht="13" x14ac:dyDescent="0.15">
      <c r="A429" s="10"/>
      <c r="B429" s="13"/>
      <c r="C429" s="13"/>
    </row>
    <row r="430" spans="1:3" ht="13" x14ac:dyDescent="0.15">
      <c r="A430" s="10"/>
      <c r="B430" s="13"/>
      <c r="C430" s="13"/>
    </row>
    <row r="431" spans="1:3" ht="13" x14ac:dyDescent="0.15">
      <c r="A431" s="10"/>
      <c r="B431" s="13"/>
      <c r="C431" s="13"/>
    </row>
    <row r="432" spans="1:3" ht="13" x14ac:dyDescent="0.15">
      <c r="A432" s="10"/>
      <c r="B432" s="13"/>
      <c r="C432" s="13"/>
    </row>
    <row r="433" spans="1:3" ht="13" x14ac:dyDescent="0.15">
      <c r="A433" s="10"/>
      <c r="B433" s="13"/>
      <c r="C433" s="13"/>
    </row>
    <row r="434" spans="1:3" ht="13" x14ac:dyDescent="0.15">
      <c r="A434" s="10"/>
      <c r="B434" s="13"/>
      <c r="C434" s="13"/>
    </row>
    <row r="435" spans="1:3" ht="13" x14ac:dyDescent="0.15">
      <c r="A435" s="10"/>
      <c r="B435" s="13"/>
      <c r="C435" s="13"/>
    </row>
    <row r="436" spans="1:3" ht="13" x14ac:dyDescent="0.15">
      <c r="A436" s="10"/>
      <c r="B436" s="13"/>
      <c r="C436" s="13"/>
    </row>
    <row r="437" spans="1:3" ht="13" x14ac:dyDescent="0.15">
      <c r="A437" s="10"/>
      <c r="B437" s="13"/>
      <c r="C437" s="13"/>
    </row>
    <row r="438" spans="1:3" ht="13" x14ac:dyDescent="0.15">
      <c r="A438" s="10"/>
      <c r="B438" s="13"/>
      <c r="C438" s="13"/>
    </row>
    <row r="439" spans="1:3" ht="13" x14ac:dyDescent="0.15">
      <c r="A439" s="10"/>
      <c r="B439" s="13"/>
      <c r="C439" s="13"/>
    </row>
    <row r="440" spans="1:3" ht="13" x14ac:dyDescent="0.15">
      <c r="A440" s="10"/>
      <c r="B440" s="13"/>
      <c r="C440" s="13"/>
    </row>
    <row r="441" spans="1:3" ht="13" x14ac:dyDescent="0.15">
      <c r="A441" s="10"/>
      <c r="B441" s="13"/>
      <c r="C441" s="13"/>
    </row>
    <row r="442" spans="1:3" ht="13" x14ac:dyDescent="0.15">
      <c r="A442" s="10"/>
      <c r="B442" s="13"/>
      <c r="C442" s="13"/>
    </row>
    <row r="443" spans="1:3" ht="13" x14ac:dyDescent="0.15">
      <c r="A443" s="10"/>
      <c r="B443" s="13"/>
      <c r="C443" s="13"/>
    </row>
    <row r="444" spans="1:3" ht="13" x14ac:dyDescent="0.15">
      <c r="A444" s="10"/>
      <c r="B444" s="13"/>
      <c r="C444" s="13"/>
    </row>
    <row r="445" spans="1:3" ht="13" x14ac:dyDescent="0.15">
      <c r="A445" s="10"/>
      <c r="B445" s="13"/>
      <c r="C445" s="13"/>
    </row>
    <row r="446" spans="1:3" ht="13" x14ac:dyDescent="0.15">
      <c r="A446" s="10"/>
      <c r="B446" s="13"/>
      <c r="C446" s="13"/>
    </row>
    <row r="447" spans="1:3" ht="13" x14ac:dyDescent="0.15">
      <c r="A447" s="10"/>
      <c r="B447" s="13"/>
      <c r="C447" s="13"/>
    </row>
    <row r="448" spans="1:3" ht="13" x14ac:dyDescent="0.15">
      <c r="A448" s="10"/>
      <c r="B448" s="13"/>
      <c r="C448" s="13"/>
    </row>
    <row r="449" spans="1:3" ht="13" x14ac:dyDescent="0.15">
      <c r="A449" s="10"/>
      <c r="B449" s="13"/>
      <c r="C449" s="13"/>
    </row>
    <row r="450" spans="1:3" ht="13" x14ac:dyDescent="0.15">
      <c r="A450" s="10"/>
      <c r="B450" s="13"/>
      <c r="C450" s="13"/>
    </row>
    <row r="451" spans="1:3" ht="13" x14ac:dyDescent="0.15">
      <c r="A451" s="10"/>
      <c r="B451" s="13"/>
      <c r="C451" s="13"/>
    </row>
    <row r="452" spans="1:3" ht="13" x14ac:dyDescent="0.15">
      <c r="A452" s="10"/>
      <c r="B452" s="13"/>
      <c r="C452" s="13"/>
    </row>
    <row r="453" spans="1:3" ht="13" x14ac:dyDescent="0.15">
      <c r="A453" s="10"/>
      <c r="B453" s="13"/>
      <c r="C453" s="13"/>
    </row>
    <row r="454" spans="1:3" ht="13" x14ac:dyDescent="0.15">
      <c r="A454" s="10"/>
      <c r="B454" s="13"/>
      <c r="C454" s="13"/>
    </row>
    <row r="455" spans="1:3" ht="13" x14ac:dyDescent="0.15">
      <c r="A455" s="10"/>
      <c r="B455" s="13"/>
      <c r="C455" s="13"/>
    </row>
    <row r="456" spans="1:3" ht="13" x14ac:dyDescent="0.15">
      <c r="A456" s="10"/>
      <c r="B456" s="13"/>
      <c r="C456" s="13"/>
    </row>
    <row r="457" spans="1:3" ht="13" x14ac:dyDescent="0.15">
      <c r="A457" s="10"/>
      <c r="B457" s="13"/>
      <c r="C457" s="13"/>
    </row>
    <row r="458" spans="1:3" ht="13" x14ac:dyDescent="0.15">
      <c r="A458" s="10"/>
      <c r="B458" s="13"/>
      <c r="C458" s="13"/>
    </row>
    <row r="459" spans="1:3" ht="13" x14ac:dyDescent="0.15">
      <c r="A459" s="10"/>
      <c r="B459" s="13"/>
      <c r="C459" s="13"/>
    </row>
    <row r="460" spans="1:3" ht="13" x14ac:dyDescent="0.15">
      <c r="A460" s="10"/>
      <c r="B460" s="13"/>
      <c r="C460" s="13"/>
    </row>
    <row r="461" spans="1:3" ht="13" x14ac:dyDescent="0.15">
      <c r="A461" s="10"/>
      <c r="B461" s="13"/>
      <c r="C461" s="13"/>
    </row>
    <row r="462" spans="1:3" ht="13" x14ac:dyDescent="0.15">
      <c r="A462" s="10"/>
      <c r="B462" s="13"/>
      <c r="C462" s="13"/>
    </row>
    <row r="463" spans="1:3" ht="13" x14ac:dyDescent="0.15">
      <c r="A463" s="10"/>
      <c r="B463" s="13"/>
      <c r="C463" s="13"/>
    </row>
    <row r="464" spans="1:3" ht="13" x14ac:dyDescent="0.15">
      <c r="A464" s="10"/>
      <c r="B464" s="13"/>
      <c r="C464" s="13"/>
    </row>
    <row r="465" spans="1:3" ht="13" x14ac:dyDescent="0.15">
      <c r="A465" s="10"/>
      <c r="B465" s="13"/>
      <c r="C465" s="13"/>
    </row>
    <row r="466" spans="1:3" ht="13" x14ac:dyDescent="0.15">
      <c r="A466" s="10"/>
      <c r="B466" s="13"/>
      <c r="C466" s="13"/>
    </row>
    <row r="467" spans="1:3" ht="13" x14ac:dyDescent="0.15">
      <c r="A467" s="10"/>
      <c r="B467" s="13"/>
      <c r="C467" s="13"/>
    </row>
    <row r="468" spans="1:3" ht="13" x14ac:dyDescent="0.15">
      <c r="A468" s="10"/>
      <c r="B468" s="13"/>
      <c r="C468" s="13"/>
    </row>
    <row r="469" spans="1:3" ht="13" x14ac:dyDescent="0.15">
      <c r="A469" s="10"/>
      <c r="B469" s="13"/>
      <c r="C469" s="13"/>
    </row>
    <row r="470" spans="1:3" ht="13" x14ac:dyDescent="0.15">
      <c r="A470" s="10"/>
      <c r="B470" s="13"/>
      <c r="C470" s="13"/>
    </row>
    <row r="471" spans="1:3" ht="13" x14ac:dyDescent="0.15">
      <c r="A471" s="10"/>
      <c r="B471" s="13"/>
      <c r="C471" s="13"/>
    </row>
    <row r="472" spans="1:3" ht="13" x14ac:dyDescent="0.15">
      <c r="A472" s="10"/>
      <c r="B472" s="13"/>
      <c r="C472" s="13"/>
    </row>
    <row r="473" spans="1:3" ht="13" x14ac:dyDescent="0.15">
      <c r="A473" s="10"/>
      <c r="B473" s="13"/>
      <c r="C473" s="13"/>
    </row>
    <row r="474" spans="1:3" ht="13" x14ac:dyDescent="0.15">
      <c r="A474" s="10"/>
      <c r="B474" s="13"/>
      <c r="C474" s="13"/>
    </row>
    <row r="475" spans="1:3" ht="13" x14ac:dyDescent="0.15">
      <c r="A475" s="10"/>
      <c r="B475" s="13"/>
      <c r="C475" s="13"/>
    </row>
    <row r="476" spans="1:3" ht="13" x14ac:dyDescent="0.15">
      <c r="A476" s="10"/>
      <c r="B476" s="13"/>
      <c r="C476" s="13"/>
    </row>
    <row r="477" spans="1:3" ht="13" x14ac:dyDescent="0.15">
      <c r="A477" s="10"/>
      <c r="B477" s="13"/>
      <c r="C477" s="13"/>
    </row>
    <row r="478" spans="1:3" ht="13" x14ac:dyDescent="0.15">
      <c r="A478" s="10"/>
      <c r="B478" s="13"/>
      <c r="C478" s="13"/>
    </row>
    <row r="479" spans="1:3" ht="13" x14ac:dyDescent="0.15">
      <c r="A479" s="10"/>
      <c r="B479" s="13"/>
      <c r="C479" s="13"/>
    </row>
    <row r="480" spans="1:3" ht="13" x14ac:dyDescent="0.15">
      <c r="A480" s="10"/>
      <c r="B480" s="13"/>
      <c r="C480" s="13"/>
    </row>
    <row r="481" spans="1:3" ht="13" x14ac:dyDescent="0.15">
      <c r="A481" s="10"/>
      <c r="B481" s="13"/>
      <c r="C481" s="13"/>
    </row>
    <row r="482" spans="1:3" ht="13" x14ac:dyDescent="0.15">
      <c r="A482" s="10"/>
      <c r="B482" s="13"/>
      <c r="C482" s="13"/>
    </row>
    <row r="483" spans="1:3" ht="13" x14ac:dyDescent="0.15">
      <c r="A483" s="10"/>
      <c r="B483" s="13"/>
      <c r="C483" s="13"/>
    </row>
    <row r="484" spans="1:3" ht="13" x14ac:dyDescent="0.15">
      <c r="A484" s="10"/>
      <c r="B484" s="13"/>
      <c r="C484" s="13"/>
    </row>
    <row r="485" spans="1:3" ht="13" x14ac:dyDescent="0.15">
      <c r="A485" s="10"/>
      <c r="B485" s="13"/>
      <c r="C485" s="13"/>
    </row>
    <row r="486" spans="1:3" ht="13" x14ac:dyDescent="0.15">
      <c r="A486" s="10"/>
      <c r="B486" s="13"/>
      <c r="C486" s="13"/>
    </row>
    <row r="487" spans="1:3" ht="13" x14ac:dyDescent="0.15">
      <c r="A487" s="10"/>
      <c r="B487" s="13"/>
      <c r="C487" s="13"/>
    </row>
    <row r="488" spans="1:3" ht="13" x14ac:dyDescent="0.15">
      <c r="A488" s="10"/>
      <c r="B488" s="13"/>
      <c r="C488" s="13"/>
    </row>
    <row r="489" spans="1:3" ht="13" x14ac:dyDescent="0.15">
      <c r="A489" s="10"/>
      <c r="B489" s="13"/>
      <c r="C489" s="13"/>
    </row>
    <row r="490" spans="1:3" ht="13" x14ac:dyDescent="0.15">
      <c r="A490" s="10"/>
      <c r="B490" s="13"/>
      <c r="C490" s="13"/>
    </row>
    <row r="491" spans="1:3" ht="13" x14ac:dyDescent="0.15">
      <c r="A491" s="10"/>
      <c r="B491" s="13"/>
      <c r="C491" s="13"/>
    </row>
    <row r="492" spans="1:3" ht="13" x14ac:dyDescent="0.15">
      <c r="A492" s="10"/>
      <c r="B492" s="13"/>
      <c r="C492" s="13"/>
    </row>
    <row r="493" spans="1:3" ht="13" x14ac:dyDescent="0.15">
      <c r="A493" s="10"/>
      <c r="B493" s="13"/>
      <c r="C493" s="13"/>
    </row>
    <row r="494" spans="1:3" ht="13" x14ac:dyDescent="0.15">
      <c r="A494" s="10"/>
      <c r="B494" s="13"/>
      <c r="C494" s="13"/>
    </row>
    <row r="495" spans="1:3" ht="13" x14ac:dyDescent="0.15">
      <c r="A495" s="10"/>
      <c r="B495" s="13"/>
      <c r="C495" s="13"/>
    </row>
    <row r="496" spans="1:3" ht="13" x14ac:dyDescent="0.15">
      <c r="A496" s="10"/>
      <c r="B496" s="13"/>
      <c r="C496" s="13"/>
    </row>
    <row r="497" spans="1:3" ht="13" x14ac:dyDescent="0.15">
      <c r="A497" s="10"/>
      <c r="B497" s="13"/>
      <c r="C497" s="13"/>
    </row>
    <row r="498" spans="1:3" ht="13" x14ac:dyDescent="0.15">
      <c r="A498" s="10"/>
      <c r="B498" s="13"/>
      <c r="C498" s="13"/>
    </row>
    <row r="499" spans="1:3" ht="13" x14ac:dyDescent="0.15">
      <c r="A499" s="10"/>
      <c r="B499" s="13"/>
      <c r="C499" s="13"/>
    </row>
    <row r="500" spans="1:3" ht="13" x14ac:dyDescent="0.15">
      <c r="A500" s="10"/>
      <c r="B500" s="13"/>
      <c r="C500" s="13"/>
    </row>
    <row r="501" spans="1:3" ht="13" x14ac:dyDescent="0.15">
      <c r="A501" s="10"/>
      <c r="B501" s="13"/>
      <c r="C501" s="13"/>
    </row>
    <row r="502" spans="1:3" ht="13" x14ac:dyDescent="0.15">
      <c r="A502" s="10"/>
      <c r="B502" s="13"/>
      <c r="C502" s="13"/>
    </row>
    <row r="503" spans="1:3" ht="13" x14ac:dyDescent="0.15">
      <c r="A503" s="10"/>
      <c r="B503" s="13"/>
      <c r="C503" s="13"/>
    </row>
    <row r="504" spans="1:3" ht="13" x14ac:dyDescent="0.15">
      <c r="A504" s="10"/>
      <c r="B504" s="13"/>
      <c r="C504" s="13"/>
    </row>
    <row r="505" spans="1:3" ht="13" x14ac:dyDescent="0.15">
      <c r="A505" s="10"/>
      <c r="B505" s="13"/>
      <c r="C505" s="13"/>
    </row>
    <row r="506" spans="1:3" ht="13" x14ac:dyDescent="0.15">
      <c r="A506" s="10"/>
      <c r="B506" s="13"/>
      <c r="C506" s="13"/>
    </row>
    <row r="507" spans="1:3" ht="13" x14ac:dyDescent="0.15">
      <c r="A507" s="10"/>
      <c r="B507" s="13"/>
      <c r="C507" s="13"/>
    </row>
    <row r="508" spans="1:3" ht="13" x14ac:dyDescent="0.15">
      <c r="A508" s="10"/>
      <c r="B508" s="13"/>
      <c r="C508" s="13"/>
    </row>
    <row r="509" spans="1:3" ht="13" x14ac:dyDescent="0.15">
      <c r="A509" s="10"/>
      <c r="B509" s="13"/>
      <c r="C509" s="13"/>
    </row>
    <row r="510" spans="1:3" ht="13" x14ac:dyDescent="0.15">
      <c r="A510" s="10"/>
      <c r="B510" s="13"/>
      <c r="C510" s="13"/>
    </row>
    <row r="511" spans="1:3" ht="13" x14ac:dyDescent="0.15">
      <c r="A511" s="10"/>
      <c r="B511" s="13"/>
      <c r="C511" s="13"/>
    </row>
    <row r="512" spans="1:3" ht="13" x14ac:dyDescent="0.15">
      <c r="A512" s="10"/>
      <c r="B512" s="13"/>
      <c r="C512" s="13"/>
    </row>
    <row r="513" spans="1:3" ht="13" x14ac:dyDescent="0.15">
      <c r="A513" s="10"/>
      <c r="B513" s="13"/>
      <c r="C513" s="13"/>
    </row>
    <row r="514" spans="1:3" ht="13" x14ac:dyDescent="0.15">
      <c r="A514" s="10"/>
      <c r="B514" s="13"/>
      <c r="C514" s="13"/>
    </row>
    <row r="515" spans="1:3" ht="13" x14ac:dyDescent="0.15">
      <c r="A515" s="10"/>
      <c r="B515" s="13"/>
      <c r="C515" s="13"/>
    </row>
    <row r="516" spans="1:3" ht="13" x14ac:dyDescent="0.15">
      <c r="A516" s="10"/>
      <c r="B516" s="13"/>
      <c r="C516" s="13"/>
    </row>
    <row r="517" spans="1:3" ht="13" x14ac:dyDescent="0.15">
      <c r="A517" s="10"/>
      <c r="B517" s="13"/>
      <c r="C517" s="13"/>
    </row>
    <row r="518" spans="1:3" ht="13" x14ac:dyDescent="0.15">
      <c r="A518" s="10"/>
      <c r="B518" s="13"/>
      <c r="C518" s="13"/>
    </row>
    <row r="519" spans="1:3" ht="13" x14ac:dyDescent="0.15">
      <c r="A519" s="10"/>
      <c r="B519" s="13"/>
      <c r="C519" s="13"/>
    </row>
    <row r="520" spans="1:3" ht="13" x14ac:dyDescent="0.15">
      <c r="A520" s="10"/>
      <c r="B520" s="13"/>
      <c r="C520" s="13"/>
    </row>
    <row r="521" spans="1:3" ht="13" x14ac:dyDescent="0.15">
      <c r="A521" s="10"/>
      <c r="B521" s="13"/>
      <c r="C521" s="13"/>
    </row>
    <row r="522" spans="1:3" ht="13" x14ac:dyDescent="0.15">
      <c r="A522" s="10"/>
      <c r="B522" s="13"/>
      <c r="C522" s="13"/>
    </row>
    <row r="523" spans="1:3" ht="13" x14ac:dyDescent="0.15">
      <c r="A523" s="10"/>
      <c r="B523" s="13"/>
      <c r="C523" s="13"/>
    </row>
    <row r="524" spans="1:3" ht="13" x14ac:dyDescent="0.15">
      <c r="A524" s="10"/>
      <c r="B524" s="13"/>
      <c r="C524" s="13"/>
    </row>
    <row r="525" spans="1:3" ht="13" x14ac:dyDescent="0.15">
      <c r="A525" s="10"/>
      <c r="B525" s="13"/>
      <c r="C525" s="13"/>
    </row>
    <row r="526" spans="1:3" ht="13" x14ac:dyDescent="0.15">
      <c r="A526" s="10"/>
      <c r="B526" s="13"/>
      <c r="C526" s="13"/>
    </row>
    <row r="527" spans="1:3" ht="13" x14ac:dyDescent="0.15">
      <c r="A527" s="10"/>
      <c r="B527" s="13"/>
      <c r="C527" s="13"/>
    </row>
    <row r="528" spans="1:3" ht="13" x14ac:dyDescent="0.15">
      <c r="A528" s="10"/>
      <c r="B528" s="13"/>
      <c r="C528" s="13"/>
    </row>
    <row r="529" spans="1:3" ht="13" x14ac:dyDescent="0.15">
      <c r="A529" s="10"/>
      <c r="B529" s="13"/>
      <c r="C529" s="13"/>
    </row>
    <row r="530" spans="1:3" ht="13" x14ac:dyDescent="0.15">
      <c r="A530" s="10"/>
      <c r="B530" s="13"/>
      <c r="C530" s="13"/>
    </row>
    <row r="531" spans="1:3" ht="13" x14ac:dyDescent="0.15">
      <c r="A531" s="10"/>
      <c r="B531" s="13"/>
      <c r="C531" s="13"/>
    </row>
    <row r="532" spans="1:3" ht="13" x14ac:dyDescent="0.15">
      <c r="A532" s="10"/>
      <c r="B532" s="13"/>
      <c r="C532" s="13"/>
    </row>
    <row r="533" spans="1:3" ht="13" x14ac:dyDescent="0.15">
      <c r="A533" s="10"/>
      <c r="B533" s="13"/>
      <c r="C533" s="13"/>
    </row>
    <row r="534" spans="1:3" ht="13" x14ac:dyDescent="0.15">
      <c r="A534" s="10"/>
      <c r="B534" s="13"/>
      <c r="C534" s="13"/>
    </row>
    <row r="535" spans="1:3" ht="13" x14ac:dyDescent="0.15">
      <c r="A535" s="10"/>
      <c r="B535" s="13"/>
      <c r="C535" s="13"/>
    </row>
    <row r="536" spans="1:3" ht="13" x14ac:dyDescent="0.15">
      <c r="A536" s="10"/>
      <c r="B536" s="13"/>
      <c r="C536" s="13"/>
    </row>
    <row r="537" spans="1:3" ht="13" x14ac:dyDescent="0.15">
      <c r="A537" s="10"/>
      <c r="B537" s="13"/>
      <c r="C537" s="13"/>
    </row>
    <row r="538" spans="1:3" ht="13" x14ac:dyDescent="0.15">
      <c r="A538" s="10"/>
      <c r="B538" s="13"/>
      <c r="C538" s="13"/>
    </row>
    <row r="539" spans="1:3" ht="13" x14ac:dyDescent="0.15">
      <c r="A539" s="10"/>
      <c r="B539" s="13"/>
      <c r="C539" s="13"/>
    </row>
    <row r="540" spans="1:3" ht="13" x14ac:dyDescent="0.15">
      <c r="A540" s="10"/>
      <c r="B540" s="13"/>
      <c r="C540" s="13"/>
    </row>
    <row r="541" spans="1:3" ht="13" x14ac:dyDescent="0.15">
      <c r="A541" s="10"/>
      <c r="B541" s="13"/>
      <c r="C541" s="13"/>
    </row>
    <row r="542" spans="1:3" ht="13" x14ac:dyDescent="0.15">
      <c r="A542" s="10"/>
      <c r="B542" s="13"/>
      <c r="C542" s="13"/>
    </row>
    <row r="543" spans="1:3" ht="13" x14ac:dyDescent="0.15">
      <c r="A543" s="10"/>
      <c r="B543" s="13"/>
      <c r="C543" s="13"/>
    </row>
    <row r="544" spans="1:3" ht="13" x14ac:dyDescent="0.15">
      <c r="A544" s="10"/>
      <c r="B544" s="13"/>
      <c r="C544" s="13"/>
    </row>
    <row r="545" spans="1:3" ht="13" x14ac:dyDescent="0.15">
      <c r="A545" s="10"/>
      <c r="B545" s="13"/>
      <c r="C545" s="13"/>
    </row>
    <row r="546" spans="1:3" ht="13" x14ac:dyDescent="0.15">
      <c r="A546" s="10"/>
      <c r="B546" s="13"/>
      <c r="C546" s="13"/>
    </row>
    <row r="547" spans="1:3" ht="13" x14ac:dyDescent="0.15">
      <c r="A547" s="10"/>
      <c r="B547" s="13"/>
      <c r="C547" s="13"/>
    </row>
    <row r="548" spans="1:3" ht="13" x14ac:dyDescent="0.15">
      <c r="A548" s="10"/>
      <c r="B548" s="13"/>
      <c r="C548" s="13"/>
    </row>
    <row r="549" spans="1:3" ht="13" x14ac:dyDescent="0.15">
      <c r="A549" s="10"/>
      <c r="B549" s="13"/>
      <c r="C549" s="13"/>
    </row>
    <row r="550" spans="1:3" ht="13" x14ac:dyDescent="0.15">
      <c r="A550" s="10"/>
      <c r="B550" s="13"/>
      <c r="C550" s="13"/>
    </row>
    <row r="551" spans="1:3" ht="13" x14ac:dyDescent="0.15">
      <c r="A551" s="10"/>
      <c r="B551" s="13"/>
      <c r="C551" s="13"/>
    </row>
    <row r="552" spans="1:3" ht="13" x14ac:dyDescent="0.15">
      <c r="A552" s="10"/>
      <c r="B552" s="13"/>
      <c r="C552" s="13"/>
    </row>
    <row r="553" spans="1:3" ht="13" x14ac:dyDescent="0.15">
      <c r="A553" s="10"/>
      <c r="B553" s="13"/>
      <c r="C553" s="13"/>
    </row>
    <row r="554" spans="1:3" ht="13" x14ac:dyDescent="0.15">
      <c r="A554" s="10"/>
      <c r="B554" s="13"/>
      <c r="C554" s="13"/>
    </row>
    <row r="555" spans="1:3" ht="13" x14ac:dyDescent="0.15">
      <c r="A555" s="10"/>
      <c r="B555" s="13"/>
      <c r="C555" s="13"/>
    </row>
    <row r="556" spans="1:3" ht="13" x14ac:dyDescent="0.15">
      <c r="A556" s="10"/>
      <c r="B556" s="13"/>
      <c r="C556" s="13"/>
    </row>
    <row r="557" spans="1:3" ht="13" x14ac:dyDescent="0.15">
      <c r="A557" s="10"/>
      <c r="B557" s="13"/>
      <c r="C557" s="13"/>
    </row>
    <row r="558" spans="1:3" ht="13" x14ac:dyDescent="0.15">
      <c r="A558" s="10"/>
      <c r="B558" s="13"/>
      <c r="C558" s="13"/>
    </row>
    <row r="559" spans="1:3" ht="13" x14ac:dyDescent="0.15">
      <c r="A559" s="10"/>
      <c r="B559" s="13"/>
      <c r="C559" s="13"/>
    </row>
    <row r="560" spans="1:3" ht="13" x14ac:dyDescent="0.15">
      <c r="A560" s="10"/>
      <c r="B560" s="13"/>
      <c r="C560" s="13"/>
    </row>
    <row r="561" spans="1:3" ht="13" x14ac:dyDescent="0.15">
      <c r="A561" s="10"/>
      <c r="B561" s="13"/>
      <c r="C561" s="13"/>
    </row>
    <row r="562" spans="1:3" ht="13" x14ac:dyDescent="0.15">
      <c r="A562" s="10"/>
      <c r="B562" s="13"/>
      <c r="C562" s="13"/>
    </row>
    <row r="563" spans="1:3" ht="13" x14ac:dyDescent="0.15">
      <c r="A563" s="10"/>
      <c r="B563" s="13"/>
      <c r="C563" s="13"/>
    </row>
    <row r="564" spans="1:3" ht="13" x14ac:dyDescent="0.15">
      <c r="A564" s="10"/>
      <c r="B564" s="13"/>
      <c r="C564" s="13"/>
    </row>
    <row r="565" spans="1:3" ht="13" x14ac:dyDescent="0.15">
      <c r="A565" s="10"/>
      <c r="B565" s="13"/>
      <c r="C565" s="13"/>
    </row>
    <row r="566" spans="1:3" ht="13" x14ac:dyDescent="0.15">
      <c r="A566" s="10"/>
      <c r="B566" s="13"/>
      <c r="C566" s="13"/>
    </row>
    <row r="567" spans="1:3" ht="13" x14ac:dyDescent="0.15">
      <c r="A567" s="10"/>
      <c r="B567" s="13"/>
      <c r="C567" s="13"/>
    </row>
    <row r="568" spans="1:3" ht="13" x14ac:dyDescent="0.15">
      <c r="A568" s="10"/>
      <c r="B568" s="13"/>
      <c r="C568" s="13"/>
    </row>
    <row r="569" spans="1:3" ht="13" x14ac:dyDescent="0.15">
      <c r="A569" s="10"/>
      <c r="B569" s="13"/>
      <c r="C569" s="13"/>
    </row>
    <row r="570" spans="1:3" ht="13" x14ac:dyDescent="0.15">
      <c r="A570" s="10"/>
      <c r="B570" s="13"/>
      <c r="C570" s="13"/>
    </row>
    <row r="571" spans="1:3" ht="13" x14ac:dyDescent="0.15">
      <c r="A571" s="10"/>
      <c r="B571" s="13"/>
      <c r="C571" s="13"/>
    </row>
    <row r="572" spans="1:3" ht="13" x14ac:dyDescent="0.15">
      <c r="A572" s="10"/>
      <c r="B572" s="13"/>
      <c r="C572" s="13"/>
    </row>
    <row r="573" spans="1:3" ht="13" x14ac:dyDescent="0.15">
      <c r="A573" s="10"/>
      <c r="B573" s="13"/>
      <c r="C573" s="13"/>
    </row>
    <row r="574" spans="1:3" ht="13" x14ac:dyDescent="0.15">
      <c r="A574" s="10"/>
      <c r="B574" s="13"/>
      <c r="C574" s="13"/>
    </row>
    <row r="575" spans="1:3" ht="13" x14ac:dyDescent="0.15">
      <c r="A575" s="10"/>
      <c r="B575" s="13"/>
      <c r="C575" s="13"/>
    </row>
    <row r="576" spans="1:3" ht="13" x14ac:dyDescent="0.15">
      <c r="A576" s="10"/>
      <c r="B576" s="13"/>
      <c r="C576" s="13"/>
    </row>
    <row r="577" spans="1:3" ht="13" x14ac:dyDescent="0.15">
      <c r="A577" s="10"/>
      <c r="B577" s="13"/>
      <c r="C577" s="13"/>
    </row>
    <row r="578" spans="1:3" ht="13" x14ac:dyDescent="0.15">
      <c r="A578" s="10"/>
      <c r="B578" s="13"/>
      <c r="C578" s="13"/>
    </row>
    <row r="579" spans="1:3" ht="13" x14ac:dyDescent="0.15">
      <c r="A579" s="10"/>
      <c r="B579" s="13"/>
      <c r="C579" s="13"/>
    </row>
    <row r="580" spans="1:3" ht="13" x14ac:dyDescent="0.15">
      <c r="A580" s="10"/>
      <c r="B580" s="13"/>
      <c r="C580" s="13"/>
    </row>
    <row r="581" spans="1:3" ht="13" x14ac:dyDescent="0.15">
      <c r="A581" s="10"/>
      <c r="B581" s="13"/>
      <c r="C581" s="13"/>
    </row>
    <row r="582" spans="1:3" ht="13" x14ac:dyDescent="0.15">
      <c r="A582" s="10"/>
      <c r="B582" s="13"/>
      <c r="C582" s="13"/>
    </row>
    <row r="583" spans="1:3" ht="13" x14ac:dyDescent="0.15">
      <c r="A583" s="10"/>
      <c r="B583" s="13"/>
      <c r="C583" s="13"/>
    </row>
    <row r="584" spans="1:3" ht="13" x14ac:dyDescent="0.15">
      <c r="A584" s="10"/>
      <c r="B584" s="13"/>
      <c r="C584" s="13"/>
    </row>
    <row r="585" spans="1:3" ht="13" x14ac:dyDescent="0.15">
      <c r="A585" s="10"/>
      <c r="B585" s="13"/>
      <c r="C585" s="13"/>
    </row>
    <row r="586" spans="1:3" ht="13" x14ac:dyDescent="0.15">
      <c r="A586" s="10"/>
      <c r="B586" s="13"/>
      <c r="C586" s="13"/>
    </row>
    <row r="587" spans="1:3" ht="13" x14ac:dyDescent="0.15">
      <c r="A587" s="10"/>
      <c r="B587" s="13"/>
      <c r="C587" s="13"/>
    </row>
    <row r="588" spans="1:3" ht="13" x14ac:dyDescent="0.15">
      <c r="A588" s="10"/>
      <c r="B588" s="13"/>
      <c r="C588" s="13"/>
    </row>
    <row r="589" spans="1:3" ht="13" x14ac:dyDescent="0.15">
      <c r="A589" s="10"/>
      <c r="B589" s="13"/>
      <c r="C589" s="13"/>
    </row>
    <row r="590" spans="1:3" ht="13" x14ac:dyDescent="0.15">
      <c r="A590" s="10"/>
      <c r="B590" s="13"/>
      <c r="C590" s="13"/>
    </row>
    <row r="591" spans="1:3" ht="13" x14ac:dyDescent="0.15">
      <c r="A591" s="10"/>
      <c r="B591" s="13"/>
      <c r="C591" s="13"/>
    </row>
    <row r="592" spans="1:3" ht="13" x14ac:dyDescent="0.15">
      <c r="A592" s="10"/>
      <c r="B592" s="13"/>
      <c r="C592" s="13"/>
    </row>
    <row r="593" spans="1:3" ht="13" x14ac:dyDescent="0.15">
      <c r="A593" s="10"/>
      <c r="B593" s="13"/>
      <c r="C593" s="13"/>
    </row>
    <row r="594" spans="1:3" ht="13" x14ac:dyDescent="0.15">
      <c r="A594" s="10"/>
      <c r="B594" s="13"/>
      <c r="C594" s="13"/>
    </row>
    <row r="595" spans="1:3" ht="13" x14ac:dyDescent="0.15">
      <c r="A595" s="10"/>
      <c r="B595" s="13"/>
      <c r="C595" s="13"/>
    </row>
    <row r="596" spans="1:3" ht="13" x14ac:dyDescent="0.15">
      <c r="A596" s="10"/>
      <c r="B596" s="13"/>
      <c r="C596" s="13"/>
    </row>
    <row r="597" spans="1:3" ht="13" x14ac:dyDescent="0.15">
      <c r="A597" s="10"/>
      <c r="B597" s="13"/>
      <c r="C597" s="13"/>
    </row>
    <row r="598" spans="1:3" ht="13" x14ac:dyDescent="0.15">
      <c r="A598" s="10"/>
      <c r="B598" s="13"/>
      <c r="C598" s="13"/>
    </row>
    <row r="599" spans="1:3" ht="13" x14ac:dyDescent="0.15">
      <c r="A599" s="10"/>
      <c r="B599" s="13"/>
      <c r="C599" s="13"/>
    </row>
    <row r="600" spans="1:3" ht="13" x14ac:dyDescent="0.15">
      <c r="A600" s="10"/>
      <c r="B600" s="13"/>
      <c r="C600" s="13"/>
    </row>
    <row r="601" spans="1:3" ht="13" x14ac:dyDescent="0.15">
      <c r="A601" s="10"/>
      <c r="B601" s="13"/>
      <c r="C601" s="13"/>
    </row>
    <row r="602" spans="1:3" ht="13" x14ac:dyDescent="0.15">
      <c r="A602" s="10"/>
      <c r="B602" s="13"/>
      <c r="C602" s="13"/>
    </row>
    <row r="603" spans="1:3" ht="13" x14ac:dyDescent="0.15">
      <c r="A603" s="10"/>
      <c r="B603" s="13"/>
      <c r="C603" s="13"/>
    </row>
    <row r="604" spans="1:3" ht="13" x14ac:dyDescent="0.15">
      <c r="A604" s="10"/>
      <c r="B604" s="13"/>
      <c r="C604" s="13"/>
    </row>
    <row r="605" spans="1:3" ht="13" x14ac:dyDescent="0.15">
      <c r="A605" s="10"/>
      <c r="B605" s="13"/>
      <c r="C605" s="13"/>
    </row>
    <row r="606" spans="1:3" ht="13" x14ac:dyDescent="0.15">
      <c r="A606" s="10"/>
      <c r="B606" s="13"/>
      <c r="C606" s="13"/>
    </row>
    <row r="607" spans="1:3" ht="13" x14ac:dyDescent="0.15">
      <c r="A607" s="10"/>
      <c r="B607" s="13"/>
      <c r="C607" s="13"/>
    </row>
    <row r="608" spans="1:3" ht="13" x14ac:dyDescent="0.15">
      <c r="A608" s="10"/>
      <c r="B608" s="13"/>
      <c r="C608" s="13"/>
    </row>
    <row r="609" spans="1:3" ht="13" x14ac:dyDescent="0.15">
      <c r="A609" s="10"/>
      <c r="B609" s="13"/>
      <c r="C609" s="13"/>
    </row>
    <row r="610" spans="1:3" ht="13" x14ac:dyDescent="0.15">
      <c r="A610" s="10"/>
      <c r="B610" s="13"/>
      <c r="C610" s="13"/>
    </row>
    <row r="611" spans="1:3" ht="13" x14ac:dyDescent="0.15">
      <c r="A611" s="10"/>
      <c r="B611" s="13"/>
      <c r="C611" s="13"/>
    </row>
    <row r="612" spans="1:3" ht="13" x14ac:dyDescent="0.15">
      <c r="A612" s="10"/>
      <c r="B612" s="13"/>
      <c r="C612" s="13"/>
    </row>
    <row r="613" spans="1:3" ht="13" x14ac:dyDescent="0.15">
      <c r="A613" s="10"/>
      <c r="B613" s="13"/>
      <c r="C613" s="13"/>
    </row>
    <row r="614" spans="1:3" ht="13" x14ac:dyDescent="0.15">
      <c r="A614" s="10"/>
      <c r="B614" s="13"/>
      <c r="C614" s="13"/>
    </row>
    <row r="615" spans="1:3" ht="13" x14ac:dyDescent="0.15">
      <c r="A615" s="10"/>
      <c r="B615" s="13"/>
      <c r="C615" s="13"/>
    </row>
    <row r="616" spans="1:3" ht="13" x14ac:dyDescent="0.15">
      <c r="A616" s="10"/>
      <c r="B616" s="13"/>
      <c r="C616" s="13"/>
    </row>
    <row r="617" spans="1:3" ht="13" x14ac:dyDescent="0.15">
      <c r="A617" s="10"/>
      <c r="B617" s="13"/>
      <c r="C617" s="13"/>
    </row>
    <row r="618" spans="1:3" ht="13" x14ac:dyDescent="0.15">
      <c r="A618" s="10"/>
      <c r="B618" s="13"/>
      <c r="C618" s="13"/>
    </row>
    <row r="619" spans="1:3" ht="13" x14ac:dyDescent="0.15">
      <c r="A619" s="10"/>
      <c r="B619" s="13"/>
      <c r="C619" s="13"/>
    </row>
    <row r="620" spans="1:3" ht="13" x14ac:dyDescent="0.15">
      <c r="A620" s="10"/>
      <c r="B620" s="13"/>
      <c r="C620" s="13"/>
    </row>
    <row r="621" spans="1:3" ht="13" x14ac:dyDescent="0.15">
      <c r="A621" s="10"/>
      <c r="B621" s="13"/>
      <c r="C621" s="13"/>
    </row>
    <row r="622" spans="1:3" ht="13" x14ac:dyDescent="0.15">
      <c r="A622" s="10"/>
      <c r="B622" s="13"/>
      <c r="C622" s="13"/>
    </row>
    <row r="623" spans="1:3" ht="13" x14ac:dyDescent="0.15">
      <c r="A623" s="10"/>
      <c r="B623" s="13"/>
      <c r="C623" s="13"/>
    </row>
    <row r="624" spans="1:3" ht="13" x14ac:dyDescent="0.15">
      <c r="A624" s="10"/>
      <c r="B624" s="13"/>
      <c r="C624" s="13"/>
    </row>
    <row r="625" spans="1:3" ht="13" x14ac:dyDescent="0.15">
      <c r="A625" s="10"/>
      <c r="B625" s="13"/>
      <c r="C625" s="13"/>
    </row>
    <row r="626" spans="1:3" ht="13" x14ac:dyDescent="0.15">
      <c r="A626" s="10"/>
      <c r="B626" s="13"/>
      <c r="C626" s="13"/>
    </row>
    <row r="627" spans="1:3" ht="13" x14ac:dyDescent="0.15">
      <c r="A627" s="10"/>
      <c r="B627" s="13"/>
      <c r="C627" s="13"/>
    </row>
    <row r="628" spans="1:3" ht="13" x14ac:dyDescent="0.15">
      <c r="A628" s="10"/>
      <c r="B628" s="13"/>
      <c r="C628" s="13"/>
    </row>
    <row r="629" spans="1:3" ht="13" x14ac:dyDescent="0.15">
      <c r="A629" s="10"/>
      <c r="B629" s="13"/>
      <c r="C629" s="13"/>
    </row>
    <row r="630" spans="1:3" ht="13" x14ac:dyDescent="0.15">
      <c r="A630" s="10"/>
      <c r="B630" s="13"/>
      <c r="C630" s="13"/>
    </row>
    <row r="631" spans="1:3" ht="13" x14ac:dyDescent="0.15">
      <c r="A631" s="10"/>
      <c r="B631" s="13"/>
      <c r="C631" s="13"/>
    </row>
    <row r="632" spans="1:3" ht="13" x14ac:dyDescent="0.15">
      <c r="A632" s="10"/>
      <c r="B632" s="13"/>
      <c r="C632" s="13"/>
    </row>
    <row r="633" spans="1:3" ht="13" x14ac:dyDescent="0.15">
      <c r="A633" s="10"/>
      <c r="B633" s="13"/>
      <c r="C633" s="13"/>
    </row>
    <row r="634" spans="1:3" ht="13" x14ac:dyDescent="0.15">
      <c r="A634" s="10"/>
      <c r="B634" s="13"/>
      <c r="C634" s="13"/>
    </row>
    <row r="635" spans="1:3" ht="13" x14ac:dyDescent="0.15">
      <c r="A635" s="10"/>
      <c r="B635" s="13"/>
      <c r="C635" s="13"/>
    </row>
    <row r="636" spans="1:3" ht="13" x14ac:dyDescent="0.15">
      <c r="A636" s="10"/>
      <c r="B636" s="13"/>
      <c r="C636" s="13"/>
    </row>
    <row r="637" spans="1:3" ht="13" x14ac:dyDescent="0.15">
      <c r="A637" s="10"/>
      <c r="B637" s="13"/>
      <c r="C637" s="13"/>
    </row>
    <row r="638" spans="1:3" ht="13" x14ac:dyDescent="0.15">
      <c r="A638" s="10"/>
      <c r="B638" s="13"/>
      <c r="C638" s="13"/>
    </row>
    <row r="639" spans="1:3" ht="13" x14ac:dyDescent="0.15">
      <c r="A639" s="10"/>
      <c r="B639" s="13"/>
      <c r="C639" s="13"/>
    </row>
    <row r="640" spans="1:3" ht="13" x14ac:dyDescent="0.15">
      <c r="A640" s="10"/>
      <c r="B640" s="13"/>
      <c r="C640" s="13"/>
    </row>
    <row r="641" spans="1:3" ht="13" x14ac:dyDescent="0.15">
      <c r="A641" s="10"/>
      <c r="B641" s="13"/>
      <c r="C641" s="13"/>
    </row>
    <row r="642" spans="1:3" ht="13" x14ac:dyDescent="0.15">
      <c r="A642" s="10"/>
      <c r="B642" s="13"/>
      <c r="C642" s="13"/>
    </row>
    <row r="643" spans="1:3" ht="13" x14ac:dyDescent="0.15">
      <c r="A643" s="10"/>
      <c r="B643" s="13"/>
      <c r="C643" s="13"/>
    </row>
    <row r="644" spans="1:3" ht="13" x14ac:dyDescent="0.15">
      <c r="A644" s="10"/>
      <c r="B644" s="13"/>
      <c r="C644" s="13"/>
    </row>
    <row r="645" spans="1:3" ht="13" x14ac:dyDescent="0.15">
      <c r="A645" s="10"/>
      <c r="B645" s="13"/>
      <c r="C645" s="13"/>
    </row>
    <row r="646" spans="1:3" ht="13" x14ac:dyDescent="0.15">
      <c r="A646" s="10"/>
      <c r="B646" s="13"/>
      <c r="C646" s="13"/>
    </row>
    <row r="647" spans="1:3" ht="13" x14ac:dyDescent="0.15">
      <c r="A647" s="10"/>
      <c r="B647" s="13"/>
      <c r="C647" s="13"/>
    </row>
    <row r="648" spans="1:3" ht="13" x14ac:dyDescent="0.15">
      <c r="A648" s="10"/>
      <c r="B648" s="13"/>
      <c r="C648" s="13"/>
    </row>
    <row r="649" spans="1:3" ht="13" x14ac:dyDescent="0.15">
      <c r="A649" s="10"/>
      <c r="B649" s="13"/>
      <c r="C649" s="13"/>
    </row>
    <row r="650" spans="1:3" ht="13" x14ac:dyDescent="0.15">
      <c r="A650" s="10"/>
      <c r="B650" s="13"/>
      <c r="C650" s="13"/>
    </row>
    <row r="651" spans="1:3" ht="13" x14ac:dyDescent="0.15">
      <c r="A651" s="10"/>
      <c r="B651" s="13"/>
      <c r="C651" s="13"/>
    </row>
    <row r="652" spans="1:3" ht="13" x14ac:dyDescent="0.15">
      <c r="A652" s="10"/>
      <c r="B652" s="13"/>
      <c r="C652" s="13"/>
    </row>
    <row r="653" spans="1:3" ht="13" x14ac:dyDescent="0.15">
      <c r="A653" s="10"/>
      <c r="B653" s="13"/>
      <c r="C653" s="13"/>
    </row>
    <row r="654" spans="1:3" ht="13" x14ac:dyDescent="0.15">
      <c r="A654" s="10"/>
      <c r="B654" s="13"/>
      <c r="C654" s="13"/>
    </row>
    <row r="655" spans="1:3" ht="13" x14ac:dyDescent="0.15">
      <c r="A655" s="10"/>
      <c r="B655" s="13"/>
      <c r="C655" s="13"/>
    </row>
    <row r="656" spans="1:3" ht="13" x14ac:dyDescent="0.15">
      <c r="A656" s="10"/>
      <c r="B656" s="13"/>
      <c r="C656" s="13"/>
    </row>
    <row r="657" spans="1:3" ht="13" x14ac:dyDescent="0.15">
      <c r="A657" s="10"/>
      <c r="B657" s="13"/>
      <c r="C657" s="13"/>
    </row>
    <row r="658" spans="1:3" ht="13" x14ac:dyDescent="0.15">
      <c r="A658" s="10"/>
      <c r="B658" s="13"/>
      <c r="C658" s="13"/>
    </row>
    <row r="659" spans="1:3" ht="13" x14ac:dyDescent="0.15">
      <c r="A659" s="10"/>
      <c r="B659" s="13"/>
      <c r="C659" s="13"/>
    </row>
    <row r="660" spans="1:3" ht="13" x14ac:dyDescent="0.15">
      <c r="A660" s="10"/>
      <c r="B660" s="13"/>
      <c r="C660" s="13"/>
    </row>
    <row r="661" spans="1:3" ht="13" x14ac:dyDescent="0.15">
      <c r="A661" s="10"/>
      <c r="B661" s="13"/>
      <c r="C661" s="13"/>
    </row>
    <row r="662" spans="1:3" ht="13" x14ac:dyDescent="0.15">
      <c r="A662" s="10"/>
      <c r="B662" s="13"/>
      <c r="C662" s="13"/>
    </row>
    <row r="663" spans="1:3" ht="13" x14ac:dyDescent="0.15">
      <c r="A663" s="10"/>
      <c r="B663" s="13"/>
      <c r="C663" s="13"/>
    </row>
    <row r="664" spans="1:3" ht="13" x14ac:dyDescent="0.15">
      <c r="A664" s="10"/>
      <c r="B664" s="13"/>
      <c r="C664" s="13"/>
    </row>
    <row r="665" spans="1:3" ht="13" x14ac:dyDescent="0.15">
      <c r="A665" s="10"/>
      <c r="B665" s="13"/>
      <c r="C665" s="13"/>
    </row>
    <row r="666" spans="1:3" ht="13" x14ac:dyDescent="0.15">
      <c r="A666" s="10"/>
      <c r="B666" s="13"/>
      <c r="C666" s="13"/>
    </row>
    <row r="667" spans="1:3" ht="13" x14ac:dyDescent="0.15">
      <c r="A667" s="10"/>
      <c r="B667" s="13"/>
      <c r="C667" s="13"/>
    </row>
    <row r="668" spans="1:3" ht="13" x14ac:dyDescent="0.15">
      <c r="A668" s="10"/>
      <c r="B668" s="13"/>
      <c r="C668" s="13"/>
    </row>
    <row r="669" spans="1:3" ht="13" x14ac:dyDescent="0.15">
      <c r="A669" s="10"/>
      <c r="B669" s="13"/>
      <c r="C669" s="13"/>
    </row>
    <row r="670" spans="1:3" ht="13" x14ac:dyDescent="0.15">
      <c r="A670" s="10"/>
      <c r="B670" s="13"/>
      <c r="C670" s="13"/>
    </row>
    <row r="671" spans="1:3" ht="13" x14ac:dyDescent="0.15">
      <c r="A671" s="10"/>
      <c r="B671" s="13"/>
      <c r="C671" s="13"/>
    </row>
    <row r="672" spans="1:3" ht="13" x14ac:dyDescent="0.15">
      <c r="A672" s="10"/>
      <c r="B672" s="13"/>
      <c r="C672" s="13"/>
    </row>
    <row r="673" spans="1:3" ht="13" x14ac:dyDescent="0.15">
      <c r="A673" s="10"/>
      <c r="B673" s="13"/>
      <c r="C673" s="13"/>
    </row>
    <row r="674" spans="1:3" ht="13" x14ac:dyDescent="0.15">
      <c r="A674" s="10"/>
      <c r="B674" s="13"/>
      <c r="C674" s="13"/>
    </row>
    <row r="675" spans="1:3" ht="13" x14ac:dyDescent="0.15">
      <c r="A675" s="10"/>
      <c r="B675" s="13"/>
      <c r="C675" s="13"/>
    </row>
    <row r="676" spans="1:3" ht="13" x14ac:dyDescent="0.15">
      <c r="A676" s="10"/>
      <c r="B676" s="13"/>
      <c r="C676" s="13"/>
    </row>
    <row r="677" spans="1:3" ht="13" x14ac:dyDescent="0.15">
      <c r="A677" s="10"/>
      <c r="B677" s="13"/>
      <c r="C677" s="13"/>
    </row>
    <row r="678" spans="1:3" ht="13" x14ac:dyDescent="0.15">
      <c r="A678" s="10"/>
      <c r="B678" s="13"/>
      <c r="C678" s="13"/>
    </row>
    <row r="679" spans="1:3" ht="13" x14ac:dyDescent="0.15">
      <c r="A679" s="10"/>
      <c r="B679" s="13"/>
      <c r="C679" s="13"/>
    </row>
    <row r="680" spans="1:3" ht="13" x14ac:dyDescent="0.15">
      <c r="A680" s="10"/>
      <c r="B680" s="13"/>
      <c r="C680" s="13"/>
    </row>
    <row r="681" spans="1:3" ht="13" x14ac:dyDescent="0.15">
      <c r="A681" s="10"/>
      <c r="B681" s="13"/>
      <c r="C681" s="13"/>
    </row>
    <row r="682" spans="1:3" ht="13" x14ac:dyDescent="0.15">
      <c r="A682" s="10"/>
      <c r="B682" s="13"/>
      <c r="C682" s="13"/>
    </row>
    <row r="683" spans="1:3" ht="13" x14ac:dyDescent="0.15">
      <c r="A683" s="10"/>
      <c r="B683" s="13"/>
      <c r="C683" s="13"/>
    </row>
    <row r="684" spans="1:3" ht="13" x14ac:dyDescent="0.15">
      <c r="A684" s="10"/>
      <c r="B684" s="13"/>
      <c r="C684" s="13"/>
    </row>
    <row r="685" spans="1:3" ht="13" x14ac:dyDescent="0.15">
      <c r="A685" s="10"/>
      <c r="B685" s="13"/>
      <c r="C685" s="13"/>
    </row>
    <row r="686" spans="1:3" ht="13" x14ac:dyDescent="0.15">
      <c r="A686" s="10"/>
      <c r="B686" s="13"/>
      <c r="C686" s="13"/>
    </row>
    <row r="687" spans="1:3" ht="13" x14ac:dyDescent="0.15">
      <c r="A687" s="10"/>
      <c r="B687" s="13"/>
      <c r="C687" s="13"/>
    </row>
    <row r="688" spans="1:3" ht="13" x14ac:dyDescent="0.15">
      <c r="A688" s="10"/>
      <c r="B688" s="13"/>
      <c r="C688" s="13"/>
    </row>
    <row r="689" spans="1:3" ht="13" x14ac:dyDescent="0.15">
      <c r="A689" s="10"/>
      <c r="B689" s="13"/>
      <c r="C689" s="13"/>
    </row>
    <row r="690" spans="1:3" ht="13" x14ac:dyDescent="0.15">
      <c r="A690" s="10"/>
      <c r="B690" s="13"/>
      <c r="C690" s="13"/>
    </row>
    <row r="691" spans="1:3" ht="13" x14ac:dyDescent="0.15">
      <c r="A691" s="10"/>
      <c r="B691" s="13"/>
      <c r="C691" s="13"/>
    </row>
    <row r="692" spans="1:3" ht="13" x14ac:dyDescent="0.15">
      <c r="A692" s="10"/>
      <c r="B692" s="13"/>
      <c r="C692" s="13"/>
    </row>
    <row r="693" spans="1:3" ht="13" x14ac:dyDescent="0.15">
      <c r="A693" s="10"/>
      <c r="B693" s="13"/>
      <c r="C693" s="13"/>
    </row>
    <row r="694" spans="1:3" ht="13" x14ac:dyDescent="0.15">
      <c r="A694" s="10"/>
      <c r="B694" s="13"/>
      <c r="C694" s="13"/>
    </row>
    <row r="695" spans="1:3" ht="13" x14ac:dyDescent="0.15">
      <c r="A695" s="10"/>
      <c r="B695" s="13"/>
      <c r="C695" s="13"/>
    </row>
    <row r="696" spans="1:3" ht="13" x14ac:dyDescent="0.15">
      <c r="A696" s="10"/>
      <c r="B696" s="13"/>
      <c r="C696" s="13"/>
    </row>
    <row r="697" spans="1:3" ht="13" x14ac:dyDescent="0.15">
      <c r="A697" s="10"/>
      <c r="B697" s="13"/>
      <c r="C697" s="13"/>
    </row>
    <row r="698" spans="1:3" ht="13" x14ac:dyDescent="0.15">
      <c r="A698" s="10"/>
      <c r="B698" s="13"/>
      <c r="C698" s="13"/>
    </row>
    <row r="699" spans="1:3" ht="13" x14ac:dyDescent="0.15">
      <c r="A699" s="10"/>
      <c r="B699" s="13"/>
      <c r="C699" s="13"/>
    </row>
    <row r="700" spans="1:3" ht="13" x14ac:dyDescent="0.15">
      <c r="A700" s="10"/>
      <c r="B700" s="13"/>
      <c r="C700" s="13"/>
    </row>
    <row r="701" spans="1:3" ht="13" x14ac:dyDescent="0.15">
      <c r="A701" s="10"/>
      <c r="B701" s="13"/>
      <c r="C701" s="13"/>
    </row>
    <row r="702" spans="1:3" ht="13" x14ac:dyDescent="0.15">
      <c r="A702" s="10"/>
      <c r="B702" s="13"/>
      <c r="C702" s="13"/>
    </row>
    <row r="703" spans="1:3" ht="13" x14ac:dyDescent="0.15">
      <c r="A703" s="10"/>
      <c r="B703" s="13"/>
      <c r="C703" s="13"/>
    </row>
    <row r="704" spans="1:3" ht="13" x14ac:dyDescent="0.15">
      <c r="A704" s="10"/>
      <c r="B704" s="13"/>
      <c r="C704" s="13"/>
    </row>
    <row r="705" spans="1:3" ht="13" x14ac:dyDescent="0.15">
      <c r="A705" s="10"/>
      <c r="B705" s="13"/>
      <c r="C705" s="13"/>
    </row>
    <row r="706" spans="1:3" ht="13" x14ac:dyDescent="0.15">
      <c r="A706" s="10"/>
      <c r="B706" s="13"/>
      <c r="C706" s="13"/>
    </row>
    <row r="707" spans="1:3" ht="13" x14ac:dyDescent="0.15">
      <c r="A707" s="10"/>
      <c r="B707" s="13"/>
      <c r="C707" s="13"/>
    </row>
    <row r="708" spans="1:3" ht="13" x14ac:dyDescent="0.15">
      <c r="A708" s="10"/>
      <c r="B708" s="13"/>
      <c r="C708" s="13"/>
    </row>
    <row r="709" spans="1:3" ht="13" x14ac:dyDescent="0.15">
      <c r="A709" s="10"/>
      <c r="B709" s="13"/>
      <c r="C709" s="13"/>
    </row>
    <row r="710" spans="1:3" ht="13" x14ac:dyDescent="0.15">
      <c r="A710" s="10"/>
      <c r="B710" s="13"/>
      <c r="C710" s="13"/>
    </row>
    <row r="711" spans="1:3" ht="13" x14ac:dyDescent="0.15">
      <c r="A711" s="10"/>
      <c r="B711" s="13"/>
      <c r="C711" s="13"/>
    </row>
    <row r="712" spans="1:3" ht="13" x14ac:dyDescent="0.15">
      <c r="A712" s="10"/>
      <c r="B712" s="13"/>
      <c r="C712" s="13"/>
    </row>
    <row r="713" spans="1:3" ht="13" x14ac:dyDescent="0.15">
      <c r="A713" s="10"/>
      <c r="B713" s="13"/>
      <c r="C713" s="13"/>
    </row>
    <row r="714" spans="1:3" ht="13" x14ac:dyDescent="0.15">
      <c r="A714" s="10"/>
      <c r="B714" s="13"/>
      <c r="C714" s="13"/>
    </row>
    <row r="715" spans="1:3" ht="13" x14ac:dyDescent="0.15">
      <c r="A715" s="10"/>
      <c r="B715" s="13"/>
      <c r="C715" s="13"/>
    </row>
    <row r="716" spans="1:3" ht="13" x14ac:dyDescent="0.15">
      <c r="A716" s="10"/>
      <c r="B716" s="13"/>
      <c r="C716" s="13"/>
    </row>
    <row r="717" spans="1:3" ht="13" x14ac:dyDescent="0.15">
      <c r="A717" s="10"/>
      <c r="B717" s="13"/>
      <c r="C717" s="13"/>
    </row>
    <row r="718" spans="1:3" ht="13" x14ac:dyDescent="0.15">
      <c r="A718" s="10"/>
      <c r="B718" s="13"/>
      <c r="C718" s="13"/>
    </row>
    <row r="719" spans="1:3" ht="13" x14ac:dyDescent="0.15">
      <c r="A719" s="10"/>
      <c r="B719" s="13"/>
      <c r="C719" s="13"/>
    </row>
    <row r="720" spans="1:3" ht="13" x14ac:dyDescent="0.15">
      <c r="A720" s="10"/>
      <c r="B720" s="13"/>
      <c r="C720" s="13"/>
    </row>
    <row r="721" spans="1:3" ht="13" x14ac:dyDescent="0.15">
      <c r="A721" s="10"/>
      <c r="B721" s="13"/>
      <c r="C721" s="13"/>
    </row>
    <row r="722" spans="1:3" ht="13" x14ac:dyDescent="0.15">
      <c r="A722" s="10"/>
      <c r="B722" s="13"/>
      <c r="C722" s="13"/>
    </row>
    <row r="723" spans="1:3" ht="13" x14ac:dyDescent="0.15">
      <c r="A723" s="10"/>
      <c r="B723" s="13"/>
      <c r="C723" s="13"/>
    </row>
    <row r="724" spans="1:3" ht="13" x14ac:dyDescent="0.15">
      <c r="A724" s="10"/>
      <c r="B724" s="13"/>
      <c r="C724" s="13"/>
    </row>
    <row r="725" spans="1:3" ht="13" x14ac:dyDescent="0.15">
      <c r="A725" s="10"/>
      <c r="B725" s="13"/>
      <c r="C725" s="13"/>
    </row>
    <row r="726" spans="1:3" ht="13" x14ac:dyDescent="0.15">
      <c r="A726" s="10"/>
      <c r="B726" s="13"/>
      <c r="C726" s="13"/>
    </row>
    <row r="727" spans="1:3" ht="13" x14ac:dyDescent="0.15">
      <c r="A727" s="10"/>
      <c r="B727" s="13"/>
      <c r="C727" s="13"/>
    </row>
    <row r="728" spans="1:3" ht="13" x14ac:dyDescent="0.15">
      <c r="A728" s="10"/>
      <c r="B728" s="13"/>
      <c r="C728" s="13"/>
    </row>
    <row r="729" spans="1:3" ht="13" x14ac:dyDescent="0.15">
      <c r="A729" s="10"/>
      <c r="B729" s="13"/>
      <c r="C729" s="13"/>
    </row>
    <row r="730" spans="1:3" ht="13" x14ac:dyDescent="0.15">
      <c r="A730" s="10"/>
      <c r="B730" s="13"/>
      <c r="C730" s="13"/>
    </row>
    <row r="731" spans="1:3" ht="13" x14ac:dyDescent="0.15">
      <c r="A731" s="10"/>
      <c r="B731" s="13"/>
      <c r="C731" s="13"/>
    </row>
    <row r="732" spans="1:3" ht="13" x14ac:dyDescent="0.15">
      <c r="A732" s="10"/>
      <c r="B732" s="13"/>
      <c r="C732" s="13"/>
    </row>
    <row r="733" spans="1:3" ht="13" x14ac:dyDescent="0.15">
      <c r="A733" s="10"/>
      <c r="B733" s="13"/>
      <c r="C733" s="13"/>
    </row>
    <row r="734" spans="1:3" ht="13" x14ac:dyDescent="0.15">
      <c r="A734" s="10"/>
      <c r="B734" s="13"/>
      <c r="C734" s="13"/>
    </row>
    <row r="735" spans="1:3" ht="13" x14ac:dyDescent="0.15">
      <c r="A735" s="10"/>
      <c r="B735" s="13"/>
      <c r="C735" s="13"/>
    </row>
    <row r="736" spans="1:3" ht="13" x14ac:dyDescent="0.15">
      <c r="A736" s="10"/>
      <c r="B736" s="13"/>
      <c r="C736" s="13"/>
    </row>
    <row r="737" spans="1:3" ht="13" x14ac:dyDescent="0.15">
      <c r="A737" s="10"/>
      <c r="B737" s="13"/>
      <c r="C737" s="13"/>
    </row>
    <row r="738" spans="1:3" ht="13" x14ac:dyDescent="0.15">
      <c r="A738" s="10"/>
      <c r="B738" s="13"/>
      <c r="C738" s="13"/>
    </row>
    <row r="739" spans="1:3" ht="13" x14ac:dyDescent="0.15">
      <c r="A739" s="10"/>
      <c r="B739" s="13"/>
      <c r="C739" s="13"/>
    </row>
    <row r="740" spans="1:3" ht="13" x14ac:dyDescent="0.15">
      <c r="A740" s="10"/>
      <c r="B740" s="13"/>
      <c r="C740" s="13"/>
    </row>
    <row r="741" spans="1:3" ht="13" x14ac:dyDescent="0.15">
      <c r="A741" s="10"/>
      <c r="B741" s="13"/>
      <c r="C741" s="13"/>
    </row>
    <row r="742" spans="1:3" ht="13" x14ac:dyDescent="0.15">
      <c r="A742" s="10"/>
      <c r="B742" s="13"/>
      <c r="C742" s="13"/>
    </row>
    <row r="743" spans="1:3" ht="13" x14ac:dyDescent="0.15">
      <c r="A743" s="10"/>
      <c r="B743" s="13"/>
      <c r="C743" s="13"/>
    </row>
    <row r="744" spans="1:3" ht="13" x14ac:dyDescent="0.15">
      <c r="A744" s="10"/>
      <c r="B744" s="13"/>
      <c r="C744" s="13"/>
    </row>
    <row r="745" spans="1:3" ht="13" x14ac:dyDescent="0.15">
      <c r="A745" s="10"/>
      <c r="B745" s="13"/>
      <c r="C745" s="13"/>
    </row>
    <row r="746" spans="1:3" ht="13" x14ac:dyDescent="0.15">
      <c r="A746" s="10"/>
      <c r="B746" s="13"/>
      <c r="C746" s="13"/>
    </row>
    <row r="747" spans="1:3" ht="13" x14ac:dyDescent="0.15">
      <c r="A747" s="10"/>
      <c r="B747" s="13"/>
      <c r="C747" s="13"/>
    </row>
    <row r="748" spans="1:3" ht="13" x14ac:dyDescent="0.15">
      <c r="A748" s="10"/>
      <c r="B748" s="13"/>
      <c r="C748" s="13"/>
    </row>
    <row r="749" spans="1:3" ht="13" x14ac:dyDescent="0.15">
      <c r="A749" s="10"/>
      <c r="B749" s="13"/>
      <c r="C749" s="13"/>
    </row>
    <row r="750" spans="1:3" ht="13" x14ac:dyDescent="0.15">
      <c r="A750" s="10"/>
      <c r="B750" s="13"/>
      <c r="C750" s="13"/>
    </row>
    <row r="751" spans="1:3" ht="13" x14ac:dyDescent="0.15">
      <c r="A751" s="10"/>
      <c r="B751" s="13"/>
      <c r="C751" s="13"/>
    </row>
    <row r="752" spans="1:3" ht="13" x14ac:dyDescent="0.15">
      <c r="A752" s="10"/>
      <c r="B752" s="13"/>
      <c r="C752" s="13"/>
    </row>
    <row r="753" spans="1:3" ht="13" x14ac:dyDescent="0.15">
      <c r="A753" s="10"/>
      <c r="B753" s="13"/>
      <c r="C753" s="13"/>
    </row>
    <row r="754" spans="1:3" ht="13" x14ac:dyDescent="0.15">
      <c r="A754" s="10"/>
      <c r="B754" s="13"/>
      <c r="C754" s="13"/>
    </row>
    <row r="755" spans="1:3" ht="13" x14ac:dyDescent="0.15">
      <c r="A755" s="10"/>
      <c r="B755" s="13"/>
      <c r="C755" s="13"/>
    </row>
    <row r="756" spans="1:3" ht="13" x14ac:dyDescent="0.15">
      <c r="A756" s="10"/>
      <c r="B756" s="13"/>
      <c r="C756" s="13"/>
    </row>
    <row r="757" spans="1:3" ht="13" x14ac:dyDescent="0.15">
      <c r="A757" s="10"/>
      <c r="B757" s="13"/>
      <c r="C757" s="13"/>
    </row>
    <row r="758" spans="1:3" ht="13" x14ac:dyDescent="0.15">
      <c r="A758" s="10"/>
      <c r="B758" s="13"/>
      <c r="C758" s="13"/>
    </row>
    <row r="759" spans="1:3" ht="13" x14ac:dyDescent="0.15">
      <c r="A759" s="10"/>
      <c r="B759" s="13"/>
      <c r="C759" s="13"/>
    </row>
    <row r="760" spans="1:3" ht="13" x14ac:dyDescent="0.15">
      <c r="A760" s="10"/>
      <c r="B760" s="13"/>
      <c r="C760" s="13"/>
    </row>
    <row r="761" spans="1:3" ht="13" x14ac:dyDescent="0.15">
      <c r="A761" s="10"/>
      <c r="B761" s="13"/>
      <c r="C761" s="13"/>
    </row>
    <row r="762" spans="1:3" ht="13" x14ac:dyDescent="0.15">
      <c r="A762" s="10"/>
      <c r="B762" s="13"/>
      <c r="C762" s="13"/>
    </row>
    <row r="763" spans="1:3" ht="13" x14ac:dyDescent="0.15">
      <c r="A763" s="10"/>
      <c r="B763" s="13"/>
      <c r="C763" s="13"/>
    </row>
    <row r="764" spans="1:3" ht="13" x14ac:dyDescent="0.15">
      <c r="A764" s="10"/>
      <c r="B764" s="13"/>
      <c r="C764" s="13"/>
    </row>
    <row r="765" spans="1:3" ht="13" x14ac:dyDescent="0.15">
      <c r="A765" s="10"/>
      <c r="B765" s="13"/>
      <c r="C765" s="13"/>
    </row>
    <row r="766" spans="1:3" ht="13" x14ac:dyDescent="0.15">
      <c r="A766" s="10"/>
      <c r="B766" s="13"/>
      <c r="C766" s="13"/>
    </row>
    <row r="767" spans="1:3" ht="13" x14ac:dyDescent="0.15">
      <c r="A767" s="10"/>
      <c r="B767" s="13"/>
      <c r="C767" s="13"/>
    </row>
    <row r="768" spans="1:3" ht="13" x14ac:dyDescent="0.15">
      <c r="A768" s="10"/>
      <c r="B768" s="13"/>
      <c r="C768" s="13"/>
    </row>
    <row r="769" spans="1:3" ht="13" x14ac:dyDescent="0.15">
      <c r="A769" s="10"/>
      <c r="B769" s="13"/>
      <c r="C769" s="13"/>
    </row>
    <row r="770" spans="1:3" ht="13" x14ac:dyDescent="0.15">
      <c r="A770" s="10"/>
      <c r="B770" s="13"/>
      <c r="C770" s="13"/>
    </row>
    <row r="771" spans="1:3" ht="13" x14ac:dyDescent="0.15">
      <c r="A771" s="10"/>
      <c r="B771" s="13"/>
      <c r="C771" s="13"/>
    </row>
    <row r="772" spans="1:3" ht="13" x14ac:dyDescent="0.15">
      <c r="A772" s="10"/>
      <c r="B772" s="13"/>
      <c r="C772" s="13"/>
    </row>
    <row r="773" spans="1:3" ht="13" x14ac:dyDescent="0.15">
      <c r="A773" s="10"/>
      <c r="B773" s="13"/>
      <c r="C773" s="13"/>
    </row>
    <row r="774" spans="1:3" ht="13" x14ac:dyDescent="0.15">
      <c r="A774" s="10"/>
      <c r="B774" s="13"/>
      <c r="C774" s="13"/>
    </row>
    <row r="775" spans="1:3" ht="13" x14ac:dyDescent="0.15">
      <c r="A775" s="10"/>
      <c r="B775" s="13"/>
      <c r="C775" s="13"/>
    </row>
    <row r="776" spans="1:3" ht="13" x14ac:dyDescent="0.15">
      <c r="A776" s="10"/>
      <c r="B776" s="13"/>
      <c r="C776" s="13"/>
    </row>
    <row r="777" spans="1:3" ht="13" x14ac:dyDescent="0.15">
      <c r="A777" s="10"/>
      <c r="B777" s="13"/>
      <c r="C777" s="13"/>
    </row>
    <row r="778" spans="1:3" ht="13" x14ac:dyDescent="0.15">
      <c r="A778" s="10"/>
      <c r="B778" s="13"/>
      <c r="C778" s="13"/>
    </row>
    <row r="779" spans="1:3" ht="13" x14ac:dyDescent="0.15">
      <c r="A779" s="10"/>
      <c r="B779" s="13"/>
      <c r="C779" s="13"/>
    </row>
    <row r="780" spans="1:3" ht="13" x14ac:dyDescent="0.15">
      <c r="A780" s="10"/>
      <c r="B780" s="13"/>
      <c r="C780" s="13"/>
    </row>
    <row r="781" spans="1:3" ht="13" x14ac:dyDescent="0.15">
      <c r="A781" s="10"/>
      <c r="B781" s="13"/>
      <c r="C781" s="13"/>
    </row>
    <row r="782" spans="1:3" ht="13" x14ac:dyDescent="0.15">
      <c r="A782" s="10"/>
      <c r="B782" s="13"/>
      <c r="C782" s="13"/>
    </row>
    <row r="783" spans="1:3" ht="13" x14ac:dyDescent="0.15">
      <c r="A783" s="10"/>
      <c r="B783" s="13"/>
      <c r="C783" s="13"/>
    </row>
    <row r="784" spans="1:3" ht="13" x14ac:dyDescent="0.15">
      <c r="A784" s="10"/>
      <c r="B784" s="13"/>
      <c r="C784" s="13"/>
    </row>
    <row r="785" spans="1:3" ht="13" x14ac:dyDescent="0.15">
      <c r="A785" s="10"/>
      <c r="B785" s="13"/>
      <c r="C785" s="13"/>
    </row>
    <row r="786" spans="1:3" ht="13" x14ac:dyDescent="0.15">
      <c r="A786" s="10"/>
      <c r="B786" s="13"/>
      <c r="C786" s="13"/>
    </row>
    <row r="787" spans="1:3" ht="13" x14ac:dyDescent="0.15">
      <c r="A787" s="10"/>
      <c r="B787" s="13"/>
      <c r="C787" s="13"/>
    </row>
    <row r="788" spans="1:3" ht="13" x14ac:dyDescent="0.15">
      <c r="A788" s="10"/>
      <c r="B788" s="13"/>
      <c r="C788" s="13"/>
    </row>
    <row r="789" spans="1:3" ht="13" x14ac:dyDescent="0.15">
      <c r="A789" s="10"/>
      <c r="B789" s="13"/>
      <c r="C789" s="13"/>
    </row>
    <row r="790" spans="1:3" ht="13" x14ac:dyDescent="0.15">
      <c r="A790" s="10"/>
      <c r="B790" s="13"/>
      <c r="C790" s="13"/>
    </row>
    <row r="791" spans="1:3" ht="13" x14ac:dyDescent="0.15">
      <c r="A791" s="10"/>
      <c r="B791" s="13"/>
      <c r="C791" s="13"/>
    </row>
    <row r="792" spans="1:3" ht="13" x14ac:dyDescent="0.15">
      <c r="A792" s="10"/>
      <c r="B792" s="13"/>
      <c r="C792" s="13"/>
    </row>
    <row r="793" spans="1:3" ht="13" x14ac:dyDescent="0.15">
      <c r="A793" s="10"/>
      <c r="B793" s="13"/>
      <c r="C793" s="13"/>
    </row>
    <row r="794" spans="1:3" ht="13" x14ac:dyDescent="0.15">
      <c r="A794" s="10"/>
      <c r="B794" s="13"/>
      <c r="C794" s="13"/>
    </row>
    <row r="795" spans="1:3" ht="13" x14ac:dyDescent="0.15">
      <c r="A795" s="10"/>
      <c r="B795" s="13"/>
      <c r="C795" s="13"/>
    </row>
    <row r="796" spans="1:3" ht="13" x14ac:dyDescent="0.15">
      <c r="A796" s="10"/>
      <c r="B796" s="13"/>
      <c r="C796" s="13"/>
    </row>
    <row r="797" spans="1:3" ht="13" x14ac:dyDescent="0.15">
      <c r="A797" s="10"/>
      <c r="B797" s="13"/>
      <c r="C797" s="13"/>
    </row>
    <row r="798" spans="1:3" ht="13" x14ac:dyDescent="0.15">
      <c r="A798" s="10"/>
      <c r="B798" s="13"/>
      <c r="C798" s="13"/>
    </row>
    <row r="799" spans="1:3" ht="13" x14ac:dyDescent="0.15">
      <c r="A799" s="10"/>
      <c r="B799" s="13"/>
      <c r="C799" s="13"/>
    </row>
    <row r="800" spans="1:3" ht="13" x14ac:dyDescent="0.15">
      <c r="A800" s="10"/>
      <c r="B800" s="13"/>
      <c r="C800" s="13"/>
    </row>
    <row r="801" spans="1:3" ht="13" x14ac:dyDescent="0.15">
      <c r="A801" s="10"/>
      <c r="B801" s="13"/>
      <c r="C801" s="13"/>
    </row>
    <row r="802" spans="1:3" ht="13" x14ac:dyDescent="0.15">
      <c r="A802" s="10"/>
      <c r="B802" s="13"/>
      <c r="C802" s="13"/>
    </row>
    <row r="803" spans="1:3" ht="13" x14ac:dyDescent="0.15">
      <c r="A803" s="10"/>
      <c r="B803" s="13"/>
      <c r="C803" s="13"/>
    </row>
    <row r="804" spans="1:3" ht="13" x14ac:dyDescent="0.15">
      <c r="A804" s="10"/>
      <c r="B804" s="13"/>
      <c r="C804" s="13"/>
    </row>
    <row r="805" spans="1:3" ht="13" x14ac:dyDescent="0.15">
      <c r="A805" s="10"/>
      <c r="B805" s="13"/>
      <c r="C805" s="13"/>
    </row>
    <row r="806" spans="1:3" ht="13" x14ac:dyDescent="0.15">
      <c r="A806" s="10"/>
      <c r="B806" s="13"/>
      <c r="C806" s="13"/>
    </row>
    <row r="807" spans="1:3" ht="13" x14ac:dyDescent="0.15">
      <c r="A807" s="10"/>
      <c r="B807" s="13"/>
      <c r="C807" s="13"/>
    </row>
    <row r="808" spans="1:3" ht="13" x14ac:dyDescent="0.15">
      <c r="A808" s="10"/>
      <c r="B808" s="13"/>
      <c r="C808" s="13"/>
    </row>
    <row r="809" spans="1:3" ht="13" x14ac:dyDescent="0.15">
      <c r="A809" s="10"/>
      <c r="B809" s="13"/>
      <c r="C809" s="13"/>
    </row>
    <row r="810" spans="1:3" ht="13" x14ac:dyDescent="0.15">
      <c r="A810" s="10"/>
      <c r="B810" s="13"/>
      <c r="C810" s="13"/>
    </row>
    <row r="811" spans="1:3" ht="13" x14ac:dyDescent="0.15">
      <c r="A811" s="10"/>
      <c r="B811" s="13"/>
      <c r="C811" s="13"/>
    </row>
    <row r="812" spans="1:3" ht="13" x14ac:dyDescent="0.15">
      <c r="A812" s="10"/>
      <c r="B812" s="13"/>
      <c r="C812" s="13"/>
    </row>
    <row r="813" spans="1:3" ht="13" x14ac:dyDescent="0.15">
      <c r="A813" s="10"/>
      <c r="B813" s="13"/>
      <c r="C813" s="13"/>
    </row>
    <row r="814" spans="1:3" ht="13" x14ac:dyDescent="0.15">
      <c r="A814" s="10"/>
      <c r="B814" s="13"/>
      <c r="C814" s="13"/>
    </row>
    <row r="815" spans="1:3" ht="13" x14ac:dyDescent="0.15">
      <c r="A815" s="10"/>
      <c r="B815" s="13"/>
      <c r="C815" s="13"/>
    </row>
    <row r="816" spans="1:3" ht="13" x14ac:dyDescent="0.15">
      <c r="A816" s="10"/>
      <c r="B816" s="13"/>
      <c r="C816" s="13"/>
    </row>
    <row r="817" spans="1:3" ht="13" x14ac:dyDescent="0.15">
      <c r="A817" s="10"/>
      <c r="B817" s="13"/>
      <c r="C817" s="13"/>
    </row>
    <row r="818" spans="1:3" ht="13" x14ac:dyDescent="0.15">
      <c r="A818" s="10"/>
      <c r="B818" s="13"/>
      <c r="C818" s="13"/>
    </row>
    <row r="819" spans="1:3" ht="13" x14ac:dyDescent="0.15">
      <c r="A819" s="10"/>
      <c r="B819" s="13"/>
      <c r="C819" s="13"/>
    </row>
    <row r="820" spans="1:3" ht="13" x14ac:dyDescent="0.15">
      <c r="A820" s="10"/>
      <c r="B820" s="13"/>
      <c r="C820" s="13"/>
    </row>
    <row r="821" spans="1:3" ht="13" x14ac:dyDescent="0.15">
      <c r="A821" s="10"/>
      <c r="B821" s="13"/>
      <c r="C821" s="13"/>
    </row>
    <row r="822" spans="1:3" ht="13" x14ac:dyDescent="0.15">
      <c r="A822" s="10"/>
      <c r="B822" s="13"/>
      <c r="C822" s="13"/>
    </row>
    <row r="823" spans="1:3" ht="13" x14ac:dyDescent="0.15">
      <c r="A823" s="10"/>
      <c r="B823" s="13"/>
      <c r="C823" s="13"/>
    </row>
    <row r="824" spans="1:3" ht="13" x14ac:dyDescent="0.15">
      <c r="A824" s="10"/>
      <c r="B824" s="13"/>
      <c r="C824" s="13"/>
    </row>
    <row r="825" spans="1:3" ht="13" x14ac:dyDescent="0.15">
      <c r="A825" s="10"/>
      <c r="B825" s="13"/>
      <c r="C825" s="13"/>
    </row>
    <row r="826" spans="1:3" ht="13" x14ac:dyDescent="0.15">
      <c r="A826" s="10"/>
      <c r="B826" s="13"/>
      <c r="C826" s="13"/>
    </row>
    <row r="827" spans="1:3" ht="13" x14ac:dyDescent="0.15">
      <c r="A827" s="10"/>
      <c r="B827" s="13"/>
      <c r="C827" s="13"/>
    </row>
    <row r="828" spans="1:3" ht="13" x14ac:dyDescent="0.15">
      <c r="A828" s="10"/>
      <c r="B828" s="13"/>
      <c r="C828" s="13"/>
    </row>
    <row r="829" spans="1:3" ht="13" x14ac:dyDescent="0.15">
      <c r="A829" s="10"/>
      <c r="B829" s="13"/>
      <c r="C829" s="13"/>
    </row>
    <row r="830" spans="1:3" ht="13" x14ac:dyDescent="0.15">
      <c r="A830" s="10"/>
      <c r="B830" s="13"/>
      <c r="C830" s="13"/>
    </row>
    <row r="831" spans="1:3" ht="13" x14ac:dyDescent="0.15">
      <c r="A831" s="10"/>
      <c r="B831" s="13"/>
      <c r="C831" s="13"/>
    </row>
    <row r="832" spans="1:3" ht="13" x14ac:dyDescent="0.15">
      <c r="A832" s="10"/>
      <c r="B832" s="13"/>
      <c r="C832" s="13"/>
    </row>
    <row r="833" spans="1:3" ht="13" x14ac:dyDescent="0.15">
      <c r="A833" s="10"/>
      <c r="B833" s="13"/>
      <c r="C833" s="13"/>
    </row>
    <row r="834" spans="1:3" ht="13" x14ac:dyDescent="0.15">
      <c r="A834" s="10"/>
      <c r="B834" s="13"/>
      <c r="C834" s="13"/>
    </row>
    <row r="835" spans="1:3" ht="13" x14ac:dyDescent="0.15">
      <c r="A835" s="10"/>
      <c r="B835" s="13"/>
      <c r="C835" s="13"/>
    </row>
    <row r="836" spans="1:3" ht="13" x14ac:dyDescent="0.15">
      <c r="A836" s="10"/>
      <c r="B836" s="13"/>
      <c r="C836" s="13"/>
    </row>
    <row r="837" spans="1:3" ht="13" x14ac:dyDescent="0.15">
      <c r="A837" s="10"/>
      <c r="B837" s="13"/>
      <c r="C837" s="13"/>
    </row>
    <row r="838" spans="1:3" ht="13" x14ac:dyDescent="0.15">
      <c r="A838" s="10"/>
      <c r="B838" s="13"/>
      <c r="C838" s="13"/>
    </row>
    <row r="839" spans="1:3" ht="13" x14ac:dyDescent="0.15">
      <c r="A839" s="10"/>
      <c r="B839" s="13"/>
      <c r="C839" s="13"/>
    </row>
    <row r="840" spans="1:3" ht="13" x14ac:dyDescent="0.15">
      <c r="A840" s="10"/>
      <c r="B840" s="13"/>
      <c r="C840" s="13"/>
    </row>
    <row r="841" spans="1:3" ht="13" x14ac:dyDescent="0.15">
      <c r="A841" s="10"/>
      <c r="B841" s="13"/>
      <c r="C841" s="13"/>
    </row>
    <row r="842" spans="1:3" ht="13" x14ac:dyDescent="0.15">
      <c r="A842" s="10"/>
      <c r="B842" s="13"/>
      <c r="C842" s="13"/>
    </row>
    <row r="843" spans="1:3" ht="13" x14ac:dyDescent="0.15">
      <c r="A843" s="10"/>
      <c r="B843" s="13"/>
      <c r="C843" s="13"/>
    </row>
    <row r="844" spans="1:3" ht="13" x14ac:dyDescent="0.15">
      <c r="A844" s="10"/>
      <c r="B844" s="13"/>
      <c r="C844" s="13"/>
    </row>
    <row r="845" spans="1:3" ht="13" x14ac:dyDescent="0.15">
      <c r="A845" s="10"/>
      <c r="B845" s="13"/>
      <c r="C845" s="13"/>
    </row>
    <row r="846" spans="1:3" ht="13" x14ac:dyDescent="0.15">
      <c r="A846" s="10"/>
      <c r="B846" s="13"/>
      <c r="C846" s="13"/>
    </row>
    <row r="847" spans="1:3" ht="13" x14ac:dyDescent="0.15">
      <c r="A847" s="10"/>
      <c r="B847" s="13"/>
      <c r="C847" s="13"/>
    </row>
    <row r="848" spans="1:3" ht="13" x14ac:dyDescent="0.15">
      <c r="A848" s="10"/>
      <c r="B848" s="13"/>
      <c r="C848" s="13"/>
    </row>
    <row r="849" spans="1:3" ht="13" x14ac:dyDescent="0.15">
      <c r="A849" s="10"/>
      <c r="B849" s="13"/>
      <c r="C849" s="13"/>
    </row>
    <row r="850" spans="1:3" ht="13" x14ac:dyDescent="0.15">
      <c r="A850" s="10"/>
      <c r="B850" s="13"/>
      <c r="C850" s="13"/>
    </row>
    <row r="851" spans="1:3" ht="13" x14ac:dyDescent="0.15">
      <c r="A851" s="10"/>
      <c r="B851" s="13"/>
      <c r="C851" s="13"/>
    </row>
    <row r="852" spans="1:3" ht="13" x14ac:dyDescent="0.15">
      <c r="A852" s="10"/>
      <c r="B852" s="13"/>
      <c r="C852" s="13"/>
    </row>
    <row r="853" spans="1:3" ht="13" x14ac:dyDescent="0.15">
      <c r="A853" s="10"/>
      <c r="B853" s="13"/>
      <c r="C853" s="13"/>
    </row>
    <row r="854" spans="1:3" ht="13" x14ac:dyDescent="0.15">
      <c r="A854" s="10"/>
      <c r="B854" s="13"/>
      <c r="C854" s="13"/>
    </row>
    <row r="855" spans="1:3" ht="13" x14ac:dyDescent="0.15">
      <c r="A855" s="10"/>
      <c r="B855" s="13"/>
      <c r="C855" s="13"/>
    </row>
    <row r="856" spans="1:3" ht="13" x14ac:dyDescent="0.15">
      <c r="A856" s="10"/>
      <c r="B856" s="13"/>
      <c r="C856" s="13"/>
    </row>
    <row r="857" spans="1:3" ht="13" x14ac:dyDescent="0.15">
      <c r="A857" s="10"/>
      <c r="B857" s="13"/>
      <c r="C857" s="13"/>
    </row>
    <row r="858" spans="1:3" ht="13" x14ac:dyDescent="0.15">
      <c r="A858" s="10"/>
      <c r="B858" s="13"/>
      <c r="C858" s="13"/>
    </row>
    <row r="859" spans="1:3" ht="13" x14ac:dyDescent="0.15">
      <c r="A859" s="10"/>
      <c r="B859" s="13"/>
      <c r="C859" s="13"/>
    </row>
    <row r="860" spans="1:3" ht="13" x14ac:dyDescent="0.15">
      <c r="A860" s="10"/>
      <c r="B860" s="13"/>
      <c r="C860" s="13"/>
    </row>
    <row r="861" spans="1:3" ht="13" x14ac:dyDescent="0.15">
      <c r="A861" s="10"/>
      <c r="B861" s="13"/>
      <c r="C861" s="13"/>
    </row>
    <row r="862" spans="1:3" ht="13" x14ac:dyDescent="0.15">
      <c r="A862" s="10"/>
      <c r="B862" s="13"/>
      <c r="C862" s="13"/>
    </row>
    <row r="863" spans="1:3" ht="13" x14ac:dyDescent="0.15">
      <c r="A863" s="10"/>
      <c r="B863" s="13"/>
      <c r="C863" s="13"/>
    </row>
    <row r="864" spans="1:3" ht="13" x14ac:dyDescent="0.15">
      <c r="A864" s="10"/>
      <c r="B864" s="13"/>
      <c r="C864" s="13"/>
    </row>
    <row r="865" spans="1:3" ht="13" x14ac:dyDescent="0.15">
      <c r="A865" s="10"/>
      <c r="B865" s="13"/>
      <c r="C865" s="13"/>
    </row>
    <row r="866" spans="1:3" ht="13" x14ac:dyDescent="0.15">
      <c r="A866" s="10"/>
      <c r="B866" s="13"/>
      <c r="C866" s="13"/>
    </row>
    <row r="867" spans="1:3" ht="13" x14ac:dyDescent="0.15">
      <c r="A867" s="10"/>
      <c r="B867" s="13"/>
      <c r="C867" s="13"/>
    </row>
    <row r="868" spans="1:3" ht="13" x14ac:dyDescent="0.15">
      <c r="A868" s="10"/>
      <c r="B868" s="13"/>
      <c r="C868" s="13"/>
    </row>
    <row r="869" spans="1:3" ht="13" x14ac:dyDescent="0.15">
      <c r="A869" s="10"/>
      <c r="B869" s="13"/>
      <c r="C869" s="13"/>
    </row>
    <row r="870" spans="1:3" ht="13" x14ac:dyDescent="0.15">
      <c r="A870" s="10"/>
      <c r="B870" s="13"/>
      <c r="C870" s="13"/>
    </row>
    <row r="871" spans="1:3" ht="13" x14ac:dyDescent="0.15">
      <c r="A871" s="10"/>
      <c r="B871" s="13"/>
      <c r="C871" s="13"/>
    </row>
    <row r="872" spans="1:3" ht="13" x14ac:dyDescent="0.15">
      <c r="A872" s="10"/>
      <c r="B872" s="13"/>
      <c r="C872" s="13"/>
    </row>
    <row r="873" spans="1:3" ht="13" x14ac:dyDescent="0.15">
      <c r="A873" s="10"/>
      <c r="B873" s="13"/>
      <c r="C873" s="13"/>
    </row>
    <row r="874" spans="1:3" ht="13" x14ac:dyDescent="0.15">
      <c r="A874" s="10"/>
      <c r="B874" s="13"/>
      <c r="C874" s="13"/>
    </row>
    <row r="875" spans="1:3" ht="13" x14ac:dyDescent="0.15">
      <c r="A875" s="10"/>
      <c r="B875" s="13"/>
      <c r="C875" s="13"/>
    </row>
    <row r="876" spans="1:3" ht="13" x14ac:dyDescent="0.15">
      <c r="A876" s="10"/>
      <c r="B876" s="13"/>
      <c r="C876" s="13"/>
    </row>
    <row r="877" spans="1:3" ht="13" x14ac:dyDescent="0.15">
      <c r="A877" s="10"/>
      <c r="B877" s="13"/>
      <c r="C877" s="13"/>
    </row>
    <row r="878" spans="1:3" ht="13" x14ac:dyDescent="0.15">
      <c r="A878" s="10"/>
      <c r="B878" s="13"/>
      <c r="C878" s="13"/>
    </row>
    <row r="879" spans="1:3" ht="13" x14ac:dyDescent="0.15">
      <c r="A879" s="10"/>
      <c r="B879" s="13"/>
      <c r="C879" s="13"/>
    </row>
    <row r="880" spans="1:3" ht="13" x14ac:dyDescent="0.15">
      <c r="A880" s="10"/>
      <c r="B880" s="13"/>
      <c r="C880" s="13"/>
    </row>
    <row r="881" spans="1:3" ht="13" x14ac:dyDescent="0.15">
      <c r="A881" s="10"/>
      <c r="B881" s="13"/>
      <c r="C881" s="13"/>
    </row>
    <row r="882" spans="1:3" ht="13" x14ac:dyDescent="0.15">
      <c r="A882" s="10"/>
      <c r="B882" s="13"/>
      <c r="C882" s="13"/>
    </row>
    <row r="883" spans="1:3" ht="13" x14ac:dyDescent="0.15">
      <c r="A883" s="10"/>
      <c r="B883" s="13"/>
      <c r="C883" s="13"/>
    </row>
    <row r="884" spans="1:3" ht="13" x14ac:dyDescent="0.15">
      <c r="A884" s="10"/>
      <c r="B884" s="13"/>
      <c r="C884" s="13"/>
    </row>
    <row r="885" spans="1:3" ht="13" x14ac:dyDescent="0.15">
      <c r="A885" s="10"/>
      <c r="B885" s="13"/>
      <c r="C885" s="13"/>
    </row>
    <row r="886" spans="1:3" ht="13" x14ac:dyDescent="0.15">
      <c r="A886" s="10"/>
      <c r="B886" s="13"/>
      <c r="C886" s="13"/>
    </row>
    <row r="887" spans="1:3" ht="13" x14ac:dyDescent="0.15">
      <c r="A887" s="10"/>
      <c r="B887" s="13"/>
      <c r="C887" s="13"/>
    </row>
    <row r="888" spans="1:3" ht="13" x14ac:dyDescent="0.15">
      <c r="A888" s="10"/>
      <c r="B888" s="13"/>
      <c r="C888" s="13"/>
    </row>
    <row r="889" spans="1:3" ht="13" x14ac:dyDescent="0.15">
      <c r="A889" s="10"/>
      <c r="B889" s="13"/>
      <c r="C889" s="13"/>
    </row>
    <row r="890" spans="1:3" ht="13" x14ac:dyDescent="0.15">
      <c r="A890" s="10"/>
      <c r="B890" s="13"/>
      <c r="C890" s="13"/>
    </row>
    <row r="891" spans="1:3" ht="13" x14ac:dyDescent="0.15">
      <c r="A891" s="10"/>
      <c r="B891" s="13"/>
      <c r="C891" s="13"/>
    </row>
    <row r="892" spans="1:3" ht="13" x14ac:dyDescent="0.15">
      <c r="A892" s="10"/>
      <c r="B892" s="13"/>
      <c r="C892" s="13"/>
    </row>
    <row r="893" spans="1:3" ht="13" x14ac:dyDescent="0.15">
      <c r="A893" s="10"/>
      <c r="B893" s="13"/>
      <c r="C893" s="13"/>
    </row>
    <row r="894" spans="1:3" ht="13" x14ac:dyDescent="0.15">
      <c r="A894" s="10"/>
      <c r="B894" s="13"/>
      <c r="C894" s="13"/>
    </row>
    <row r="895" spans="1:3" ht="13" x14ac:dyDescent="0.15">
      <c r="A895" s="10"/>
      <c r="B895" s="13"/>
      <c r="C895" s="13"/>
    </row>
    <row r="896" spans="1:3" ht="13" x14ac:dyDescent="0.15">
      <c r="A896" s="10"/>
      <c r="B896" s="13"/>
      <c r="C896" s="13"/>
    </row>
    <row r="897" spans="1:3" ht="13" x14ac:dyDescent="0.15">
      <c r="A897" s="10"/>
      <c r="B897" s="13"/>
      <c r="C897" s="13"/>
    </row>
    <row r="898" spans="1:3" ht="13" x14ac:dyDescent="0.15">
      <c r="A898" s="10"/>
      <c r="B898" s="13"/>
      <c r="C898" s="13"/>
    </row>
    <row r="899" spans="1:3" ht="13" x14ac:dyDescent="0.15">
      <c r="A899" s="10"/>
      <c r="B899" s="13"/>
      <c r="C899" s="13"/>
    </row>
    <row r="900" spans="1:3" ht="13" x14ac:dyDescent="0.15">
      <c r="A900" s="10"/>
      <c r="B900" s="13"/>
      <c r="C900" s="13"/>
    </row>
    <row r="901" spans="1:3" ht="13" x14ac:dyDescent="0.15">
      <c r="A901" s="10"/>
      <c r="B901" s="13"/>
      <c r="C901" s="13"/>
    </row>
    <row r="902" spans="1:3" ht="13" x14ac:dyDescent="0.15">
      <c r="A902" s="10"/>
      <c r="B902" s="13"/>
      <c r="C902" s="13"/>
    </row>
    <row r="903" spans="1:3" ht="13" x14ac:dyDescent="0.15">
      <c r="A903" s="10"/>
      <c r="B903" s="13"/>
      <c r="C903" s="13"/>
    </row>
    <row r="904" spans="1:3" ht="13" x14ac:dyDescent="0.15">
      <c r="A904" s="10"/>
      <c r="B904" s="13"/>
      <c r="C904" s="13"/>
    </row>
    <row r="905" spans="1:3" ht="13" x14ac:dyDescent="0.15">
      <c r="A905" s="10"/>
      <c r="B905" s="13"/>
      <c r="C905" s="13"/>
    </row>
    <row r="906" spans="1:3" ht="13" x14ac:dyDescent="0.15">
      <c r="A906" s="10"/>
      <c r="B906" s="13"/>
      <c r="C906" s="13"/>
    </row>
    <row r="907" spans="1:3" ht="13" x14ac:dyDescent="0.15">
      <c r="A907" s="10"/>
      <c r="B907" s="13"/>
      <c r="C907" s="13"/>
    </row>
    <row r="908" spans="1:3" ht="13" x14ac:dyDescent="0.15">
      <c r="A908" s="10"/>
      <c r="B908" s="13"/>
      <c r="C908" s="13"/>
    </row>
    <row r="909" spans="1:3" ht="13" x14ac:dyDescent="0.15">
      <c r="A909" s="10"/>
      <c r="B909" s="13"/>
      <c r="C909" s="13"/>
    </row>
    <row r="910" spans="1:3" ht="13" x14ac:dyDescent="0.15">
      <c r="A910" s="10"/>
      <c r="B910" s="13"/>
      <c r="C910" s="13"/>
    </row>
    <row r="911" spans="1:3" ht="13" x14ac:dyDescent="0.15">
      <c r="A911" s="10"/>
      <c r="B911" s="13"/>
      <c r="C911" s="13"/>
    </row>
    <row r="912" spans="1:3" ht="13" x14ac:dyDescent="0.15">
      <c r="A912" s="10"/>
      <c r="B912" s="13"/>
      <c r="C912" s="13"/>
    </row>
    <row r="913" spans="1:3" ht="13" x14ac:dyDescent="0.15">
      <c r="A913" s="10"/>
      <c r="B913" s="13"/>
      <c r="C913" s="13"/>
    </row>
    <row r="914" spans="1:3" ht="13" x14ac:dyDescent="0.15">
      <c r="A914" s="10"/>
      <c r="B914" s="13"/>
      <c r="C914" s="13"/>
    </row>
    <row r="915" spans="1:3" ht="13" x14ac:dyDescent="0.15">
      <c r="A915" s="10"/>
      <c r="B915" s="13"/>
      <c r="C915" s="13"/>
    </row>
    <row r="916" spans="1:3" ht="13" x14ac:dyDescent="0.15">
      <c r="A916" s="10"/>
      <c r="B916" s="13"/>
      <c r="C916" s="13"/>
    </row>
    <row r="917" spans="1:3" ht="13" x14ac:dyDescent="0.15">
      <c r="A917" s="10"/>
      <c r="B917" s="13"/>
      <c r="C917" s="13"/>
    </row>
    <row r="918" spans="1:3" ht="13" x14ac:dyDescent="0.15">
      <c r="A918" s="10"/>
      <c r="B918" s="13"/>
      <c r="C918" s="13"/>
    </row>
    <row r="919" spans="1:3" ht="13" x14ac:dyDescent="0.15">
      <c r="A919" s="10"/>
      <c r="B919" s="13"/>
      <c r="C919" s="13"/>
    </row>
    <row r="920" spans="1:3" ht="13" x14ac:dyDescent="0.15">
      <c r="A920" s="10"/>
      <c r="B920" s="13"/>
      <c r="C920" s="13"/>
    </row>
    <row r="921" spans="1:3" ht="13" x14ac:dyDescent="0.15">
      <c r="A921" s="10"/>
      <c r="B921" s="13"/>
      <c r="C921" s="13"/>
    </row>
    <row r="922" spans="1:3" ht="13" x14ac:dyDescent="0.15">
      <c r="A922" s="10"/>
      <c r="B922" s="13"/>
      <c r="C922" s="13"/>
    </row>
    <row r="923" spans="1:3" ht="13" x14ac:dyDescent="0.15">
      <c r="A923" s="10"/>
      <c r="B923" s="13"/>
      <c r="C923" s="13"/>
    </row>
    <row r="924" spans="1:3" ht="13" x14ac:dyDescent="0.15">
      <c r="A924" s="10"/>
      <c r="B924" s="13"/>
      <c r="C924" s="13"/>
    </row>
    <row r="925" spans="1:3" ht="13" x14ac:dyDescent="0.15">
      <c r="A925" s="10"/>
      <c r="B925" s="13"/>
      <c r="C925" s="13"/>
    </row>
    <row r="926" spans="1:3" ht="13" x14ac:dyDescent="0.15">
      <c r="A926" s="10"/>
      <c r="B926" s="13"/>
      <c r="C926" s="13"/>
    </row>
    <row r="927" spans="1:3" ht="13" x14ac:dyDescent="0.15">
      <c r="A927" s="10"/>
      <c r="B927" s="13"/>
      <c r="C927" s="13"/>
    </row>
    <row r="928" spans="1:3" ht="13" x14ac:dyDescent="0.15">
      <c r="A928" s="10"/>
      <c r="B928" s="13"/>
      <c r="C928" s="13"/>
    </row>
    <row r="929" spans="1:3" ht="13" x14ac:dyDescent="0.15">
      <c r="A929" s="10"/>
      <c r="B929" s="13"/>
      <c r="C929" s="13"/>
    </row>
    <row r="930" spans="1:3" ht="13" x14ac:dyDescent="0.15">
      <c r="A930" s="10"/>
      <c r="B930" s="13"/>
      <c r="C930" s="13"/>
    </row>
    <row r="931" spans="1:3" ht="13" x14ac:dyDescent="0.15">
      <c r="A931" s="10"/>
      <c r="B931" s="13"/>
      <c r="C931" s="13"/>
    </row>
    <row r="932" spans="1:3" ht="13" x14ac:dyDescent="0.15">
      <c r="A932" s="10"/>
      <c r="B932" s="13"/>
      <c r="C932" s="13"/>
    </row>
    <row r="933" spans="1:3" ht="13" x14ac:dyDescent="0.15">
      <c r="A933" s="10"/>
      <c r="B933" s="13"/>
      <c r="C933" s="13"/>
    </row>
    <row r="934" spans="1:3" ht="13" x14ac:dyDescent="0.15">
      <c r="A934" s="10"/>
      <c r="B934" s="13"/>
      <c r="C934" s="13"/>
    </row>
    <row r="935" spans="1:3" ht="13" x14ac:dyDescent="0.15">
      <c r="A935" s="10"/>
      <c r="B935" s="13"/>
      <c r="C935" s="13"/>
    </row>
    <row r="936" spans="1:3" ht="13" x14ac:dyDescent="0.15">
      <c r="A936" s="10"/>
      <c r="B936" s="13"/>
      <c r="C936" s="13"/>
    </row>
    <row r="937" spans="1:3" ht="13" x14ac:dyDescent="0.15">
      <c r="A937" s="10"/>
      <c r="B937" s="13"/>
      <c r="C937" s="13"/>
    </row>
    <row r="938" spans="1:3" ht="13" x14ac:dyDescent="0.15">
      <c r="A938" s="10"/>
      <c r="B938" s="13"/>
      <c r="C938" s="13"/>
    </row>
    <row r="939" spans="1:3" ht="13" x14ac:dyDescent="0.15">
      <c r="A939" s="10"/>
      <c r="B939" s="13"/>
      <c r="C939" s="13"/>
    </row>
    <row r="940" spans="1:3" ht="13" x14ac:dyDescent="0.15">
      <c r="A940" s="10"/>
      <c r="B940" s="13"/>
      <c r="C940" s="13"/>
    </row>
    <row r="941" spans="1:3" ht="13" x14ac:dyDescent="0.15">
      <c r="A941" s="10"/>
      <c r="B941" s="13"/>
      <c r="C941" s="13"/>
    </row>
    <row r="942" spans="1:3" ht="13" x14ac:dyDescent="0.15">
      <c r="A942" s="10"/>
      <c r="B942" s="13"/>
      <c r="C942" s="13"/>
    </row>
    <row r="943" spans="1:3" ht="13" x14ac:dyDescent="0.15">
      <c r="A943" s="10"/>
      <c r="B943" s="13"/>
      <c r="C943" s="13"/>
    </row>
    <row r="944" spans="1:3" ht="13" x14ac:dyDescent="0.15">
      <c r="A944" s="10"/>
      <c r="B944" s="13"/>
      <c r="C944" s="13"/>
    </row>
    <row r="945" spans="1:3" ht="13" x14ac:dyDescent="0.15">
      <c r="A945" s="10"/>
      <c r="B945" s="13"/>
      <c r="C945" s="13"/>
    </row>
    <row r="946" spans="1:3" ht="13" x14ac:dyDescent="0.15">
      <c r="A946" s="10"/>
      <c r="B946" s="13"/>
      <c r="C946" s="13"/>
    </row>
    <row r="947" spans="1:3" ht="13" x14ac:dyDescent="0.15">
      <c r="A947" s="10"/>
      <c r="B947" s="13"/>
      <c r="C947" s="13"/>
    </row>
    <row r="948" spans="1:3" ht="13" x14ac:dyDescent="0.15">
      <c r="A948" s="10"/>
      <c r="B948" s="13"/>
      <c r="C948" s="13"/>
    </row>
    <row r="949" spans="1:3" ht="13" x14ac:dyDescent="0.15">
      <c r="A949" s="10"/>
      <c r="B949" s="13"/>
      <c r="C949" s="13"/>
    </row>
    <row r="950" spans="1:3" ht="13" x14ac:dyDescent="0.15">
      <c r="A950" s="10"/>
      <c r="B950" s="13"/>
      <c r="C950" s="13"/>
    </row>
    <row r="951" spans="1:3" ht="13" x14ac:dyDescent="0.15">
      <c r="A951" s="10"/>
      <c r="B951" s="13"/>
      <c r="C951" s="13"/>
    </row>
    <row r="952" spans="1:3" ht="13" x14ac:dyDescent="0.15">
      <c r="A952" s="10"/>
      <c r="B952" s="13"/>
      <c r="C952" s="13"/>
    </row>
    <row r="953" spans="1:3" ht="13" x14ac:dyDescent="0.15">
      <c r="A953" s="10"/>
      <c r="B953" s="13"/>
      <c r="C953" s="13"/>
    </row>
    <row r="954" spans="1:3" ht="13" x14ac:dyDescent="0.15">
      <c r="A954" s="10"/>
      <c r="B954" s="13"/>
      <c r="C954" s="13"/>
    </row>
    <row r="955" spans="1:3" ht="13" x14ac:dyDescent="0.15">
      <c r="A955" s="10"/>
      <c r="B955" s="13"/>
      <c r="C955" s="13"/>
    </row>
    <row r="956" spans="1:3" ht="13" x14ac:dyDescent="0.15">
      <c r="A956" s="10"/>
      <c r="B956" s="13"/>
      <c r="C956" s="13"/>
    </row>
    <row r="957" spans="1:3" ht="13" x14ac:dyDescent="0.15">
      <c r="A957" s="10"/>
      <c r="B957" s="13"/>
      <c r="C957" s="13"/>
    </row>
    <row r="958" spans="1:3" ht="13" x14ac:dyDescent="0.15">
      <c r="A958" s="10"/>
      <c r="B958" s="13"/>
      <c r="C958" s="13"/>
    </row>
    <row r="959" spans="1:3" ht="13" x14ac:dyDescent="0.15">
      <c r="A959" s="10"/>
      <c r="B959" s="13"/>
      <c r="C959" s="13"/>
    </row>
    <row r="960" spans="1:3" ht="13" x14ac:dyDescent="0.15">
      <c r="A960" s="10"/>
      <c r="B960" s="13"/>
      <c r="C960" s="13"/>
    </row>
    <row r="961" spans="1:3" ht="13" x14ac:dyDescent="0.15">
      <c r="A961" s="10"/>
      <c r="B961" s="13"/>
      <c r="C961" s="13"/>
    </row>
    <row r="962" spans="1:3" ht="13" x14ac:dyDescent="0.15">
      <c r="A962" s="10"/>
      <c r="B962" s="13"/>
      <c r="C962" s="13"/>
    </row>
    <row r="963" spans="1:3" ht="13" x14ac:dyDescent="0.15">
      <c r="A963" s="10"/>
      <c r="B963" s="13"/>
      <c r="C963" s="13"/>
    </row>
    <row r="964" spans="1:3" ht="13" x14ac:dyDescent="0.15">
      <c r="A964" s="10"/>
      <c r="B964" s="13"/>
      <c r="C964" s="13"/>
    </row>
    <row r="965" spans="1:3" ht="13" x14ac:dyDescent="0.15">
      <c r="A965" s="10"/>
      <c r="B965" s="13"/>
      <c r="C965" s="13"/>
    </row>
    <row r="966" spans="1:3" ht="13" x14ac:dyDescent="0.15">
      <c r="A966" s="10"/>
      <c r="B966" s="13"/>
      <c r="C966" s="13"/>
    </row>
    <row r="967" spans="1:3" ht="13" x14ac:dyDescent="0.15">
      <c r="A967" s="10"/>
      <c r="B967" s="13"/>
      <c r="C967" s="13"/>
    </row>
    <row r="968" spans="1:3" ht="13" x14ac:dyDescent="0.15">
      <c r="A968" s="10"/>
      <c r="B968" s="13"/>
      <c r="C968" s="13"/>
    </row>
    <row r="969" spans="1:3" ht="13" x14ac:dyDescent="0.15">
      <c r="A969" s="10"/>
      <c r="B969" s="13"/>
      <c r="C969" s="13"/>
    </row>
    <row r="970" spans="1:3" ht="13" x14ac:dyDescent="0.15">
      <c r="A970" s="10"/>
      <c r="B970" s="13"/>
      <c r="C970" s="13"/>
    </row>
    <row r="971" spans="1:3" ht="13" x14ac:dyDescent="0.15">
      <c r="A971" s="10"/>
      <c r="B971" s="13"/>
      <c r="C971" s="13"/>
    </row>
    <row r="972" spans="1:3" ht="13" x14ac:dyDescent="0.15">
      <c r="A972" s="10"/>
      <c r="B972" s="13"/>
      <c r="C972" s="13"/>
    </row>
    <row r="973" spans="1:3" ht="13" x14ac:dyDescent="0.15">
      <c r="A973" s="10"/>
      <c r="B973" s="13"/>
      <c r="C973" s="13"/>
    </row>
    <row r="974" spans="1:3" ht="13" x14ac:dyDescent="0.15">
      <c r="A974" s="10"/>
      <c r="B974" s="13"/>
      <c r="C974" s="13"/>
    </row>
    <row r="975" spans="1:3" ht="13" x14ac:dyDescent="0.15">
      <c r="A975" s="10"/>
      <c r="B975" s="13"/>
      <c r="C975" s="13"/>
    </row>
    <row r="976" spans="1:3" ht="13" x14ac:dyDescent="0.15">
      <c r="A976" s="10"/>
      <c r="B976" s="13"/>
      <c r="C976" s="13"/>
    </row>
    <row r="977" spans="1:3" ht="13" x14ac:dyDescent="0.15">
      <c r="A977" s="10"/>
      <c r="B977" s="13"/>
      <c r="C977" s="13"/>
    </row>
    <row r="978" spans="1:3" ht="13" x14ac:dyDescent="0.15">
      <c r="A978" s="10"/>
      <c r="B978" s="13"/>
      <c r="C978" s="13"/>
    </row>
    <row r="979" spans="1:3" ht="13" x14ac:dyDescent="0.15">
      <c r="A979" s="10"/>
      <c r="B979" s="13"/>
      <c r="C979" s="13"/>
    </row>
    <row r="980" spans="1:3" ht="13" x14ac:dyDescent="0.15">
      <c r="A980" s="10"/>
      <c r="B980" s="13"/>
      <c r="C980" s="13"/>
    </row>
    <row r="981" spans="1:3" ht="13" x14ac:dyDescent="0.15">
      <c r="A981" s="10"/>
      <c r="B981" s="13"/>
      <c r="C981" s="13"/>
    </row>
    <row r="982" spans="1:3" ht="13" x14ac:dyDescent="0.15">
      <c r="A982" s="10"/>
      <c r="B982" s="13"/>
      <c r="C982" s="13"/>
    </row>
    <row r="983" spans="1:3" ht="13" x14ac:dyDescent="0.15">
      <c r="A983" s="10"/>
      <c r="B983" s="13"/>
      <c r="C983" s="13"/>
    </row>
    <row r="984" spans="1:3" ht="13" x14ac:dyDescent="0.15">
      <c r="A984" s="10"/>
      <c r="B984" s="13"/>
      <c r="C984" s="13"/>
    </row>
    <row r="985" spans="1:3" ht="13" x14ac:dyDescent="0.15">
      <c r="A985" s="10"/>
      <c r="B985" s="13"/>
      <c r="C985" s="13"/>
    </row>
    <row r="986" spans="1:3" ht="13" x14ac:dyDescent="0.15">
      <c r="A986" s="10"/>
      <c r="B986" s="13"/>
      <c r="C986" s="13"/>
    </row>
    <row r="987" spans="1:3" ht="13" x14ac:dyDescent="0.15">
      <c r="A987" s="10"/>
      <c r="B987" s="13"/>
      <c r="C987" s="13"/>
    </row>
    <row r="988" spans="1:3" ht="13" x14ac:dyDescent="0.15">
      <c r="A988" s="10"/>
      <c r="B988" s="13"/>
      <c r="C988" s="13"/>
    </row>
    <row r="989" spans="1:3" ht="13" x14ac:dyDescent="0.15">
      <c r="A989" s="10"/>
      <c r="B989" s="13"/>
      <c r="C989" s="13"/>
    </row>
    <row r="990" spans="1:3" ht="13" x14ac:dyDescent="0.15">
      <c r="A990" s="10"/>
      <c r="B990" s="13"/>
      <c r="C990" s="13"/>
    </row>
    <row r="991" spans="1:3" ht="13" x14ac:dyDescent="0.15">
      <c r="A991" s="10"/>
      <c r="B991" s="13"/>
      <c r="C991" s="13"/>
    </row>
    <row r="992" spans="1:3" ht="13" x14ac:dyDescent="0.15">
      <c r="A992" s="10"/>
      <c r="B992" s="13"/>
      <c r="C992" s="13"/>
    </row>
    <row r="993" spans="1:3" ht="13" x14ac:dyDescent="0.15">
      <c r="A993" s="10"/>
      <c r="B993" s="13"/>
      <c r="C993" s="13"/>
    </row>
    <row r="994" spans="1:3" ht="13" x14ac:dyDescent="0.15">
      <c r="A994" s="10"/>
      <c r="B994" s="13"/>
      <c r="C994" s="13"/>
    </row>
    <row r="995" spans="1:3" ht="13" x14ac:dyDescent="0.15">
      <c r="A995" s="10"/>
      <c r="B995" s="13"/>
      <c r="C995" s="13"/>
    </row>
    <row r="996" spans="1:3" ht="13" x14ac:dyDescent="0.15">
      <c r="A996" s="10"/>
      <c r="B996" s="13"/>
      <c r="C996" s="13"/>
    </row>
    <row r="997" spans="1:3" ht="13" x14ac:dyDescent="0.15">
      <c r="A997" s="10"/>
      <c r="B997" s="13"/>
      <c r="C997" s="13"/>
    </row>
  </sheetData>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outlinePr summaryBelow="0" summaryRight="0"/>
  </sheetPr>
  <dimension ref="A1:D997"/>
  <sheetViews>
    <sheetView workbookViewId="0"/>
  </sheetViews>
  <sheetFormatPr baseColWidth="10" defaultColWidth="12.6640625" defaultRowHeight="15.75" customHeight="1" x14ac:dyDescent="0.15"/>
  <cols>
    <col min="1" max="1" width="71.5" customWidth="1"/>
    <col min="2" max="4" width="37.6640625" customWidth="1"/>
  </cols>
  <sheetData>
    <row r="1" spans="1:4" ht="15.75" customHeight="1" x14ac:dyDescent="0.15">
      <c r="A1" s="1"/>
      <c r="B1" s="12" t="str">
        <f ca="1">IFERROR(__xludf.DUMMYFUNCTION("IMPORTRANGE(""https://docs.google.com/spreadsheets/d/13SmE7eku7nG0PwUe_FIOCUfCnXVjPMNZ0Q_x8FW6s5I"",""A83!B1:B22"")"),"Josiah Bolton")</f>
        <v>Josiah Bolton</v>
      </c>
      <c r="C1" s="12" t="str">
        <f ca="1">IFERROR(__xludf.DUMMYFUNCTION("IMPORTRANGE(""https://docs.google.com/spreadsheets/u/0/d/1e6QLf1_HeiTNz7JOFlwsfbt48UsSPCJuGTSppexqIJc"", ""82!B1:B22"")"),"Tyler Thibodeaux")</f>
        <v>Tyler Thibodeaux</v>
      </c>
      <c r="D1" s="2" t="s">
        <v>1</v>
      </c>
    </row>
    <row r="2" spans="1:4" ht="15.75" customHeight="1" x14ac:dyDescent="0.15">
      <c r="A2" s="3" t="s">
        <v>2</v>
      </c>
      <c r="B2" s="15" t="str">
        <f ca="1">IFERROR(__xludf.DUMMYFUNCTION("""COMPUTED_VALUE"""),"49690-49887 FOR")</f>
        <v>49690-49887 FOR</v>
      </c>
      <c r="C2" s="15" t="str">
        <f ca="1">IFERROR(__xludf.DUMMYFUNCTION("""COMPUTED_VALUE"""),"49690 to 49887 (Forward)")</f>
        <v>49690 to 49887 (Forward)</v>
      </c>
      <c r="D2" s="4"/>
    </row>
    <row r="3" spans="1:4" ht="15.75" customHeight="1" x14ac:dyDescent="0.15">
      <c r="A3" s="5" t="s">
        <v>3</v>
      </c>
      <c r="B3" s="17" t="str">
        <f ca="1">IFERROR(__xludf.DUMMYFUNCTION("""COMPUTED_VALUE"""),"82 in DNA Master
83 on Phamerator map")</f>
        <v>82 in DNA Master
83 on Phamerator map</v>
      </c>
      <c r="C3" s="17" t="str">
        <f ca="1">IFERROR(__xludf.DUMMYFUNCTION("""COMPUTED_VALUE"""),"DNAm:82, PHAM ;83")</f>
        <v>DNAm:82, PHAM ;83</v>
      </c>
      <c r="D3" s="6"/>
    </row>
    <row r="4" spans="1:4" ht="15.75" customHeight="1" x14ac:dyDescent="0.15">
      <c r="A4" s="5" t="s">
        <v>4</v>
      </c>
      <c r="B4" s="17" t="str">
        <f ca="1">IFERROR(__xludf.DUMMYFUNCTION("""COMPUTED_VALUE"""),"199543 3/18/2025")</f>
        <v>199543 3/18/2025</v>
      </c>
      <c r="C4" s="17" t="str">
        <f ca="1">IFERROR(__xludf.DUMMYFUNCTION("""COMPUTED_VALUE"""),"pham 199543, 3-21-25")</f>
        <v>pham 199543, 3-21-25</v>
      </c>
      <c r="D4" s="6"/>
    </row>
    <row r="5" spans="1:4" ht="15.75" customHeight="1" x14ac:dyDescent="0.15">
      <c r="A5" s="5" t="s">
        <v>5</v>
      </c>
      <c r="B5" s="17" t="str">
        <f ca="1">IFERROR(__xludf.DUMMYFUNCTION("""COMPUTED_VALUE"""),"Kovu 81")</f>
        <v>Kovu 81</v>
      </c>
      <c r="C5" s="17" t="str">
        <f ca="1">IFERROR(__xludf.DUMMYFUNCTION("""COMPUTED_VALUE"""),"Kovu_81")</f>
        <v>Kovu_81</v>
      </c>
      <c r="D5" s="6"/>
    </row>
    <row r="6" spans="1:4" ht="15.75" customHeight="1" x14ac:dyDescent="0.15">
      <c r="A6" s="5" t="s">
        <v>6</v>
      </c>
      <c r="B6" s="17" t="str">
        <f ca="1">IFERROR(__xludf.DUMMYFUNCTION("""COMPUTED_VALUE"""),"Both called at 49690.")</f>
        <v>Both called at 49690.</v>
      </c>
      <c r="C6" s="17" t="str">
        <f ca="1">IFERROR(__xludf.DUMMYFUNCTION("""COMPUTED_VALUE"""),"Original Glimmer call @bp 49690. BOTH call for this")</f>
        <v>Original Glimmer call @bp 49690. BOTH call for this</v>
      </c>
      <c r="D6" s="6"/>
    </row>
    <row r="7" spans="1:4" ht="15.75" customHeight="1" x14ac:dyDescent="0.15">
      <c r="A7" s="5" t="s">
        <v>7</v>
      </c>
      <c r="B7" s="17" t="str">
        <f ca="1">IFERROR(__xludf.DUMMYFUNCTION("""COMPUTED_VALUE"""),"This has decent coding potential but misses some coding potential before the called start. Could potentially be because of a prvious gene.")</f>
        <v>This has decent coding potential but misses some coding potential before the called start. Could potentially be because of a prvious gene.</v>
      </c>
      <c r="C7" s="17" t="str">
        <f ca="1">IFERROR(__xludf.DUMMYFUNCTION("""COMPUTED_VALUE"""),"It has Ok coding potential. It is not all included within the start.")</f>
        <v>It has Ok coding potential. It is not all included within the start.</v>
      </c>
      <c r="D7" s="6"/>
    </row>
    <row r="8" spans="1:4" ht="15.75" customHeight="1" x14ac:dyDescent="0.15">
      <c r="A8" s="5" t="s">
        <v>8</v>
      </c>
      <c r="B8" s="17" t="str">
        <f ca="1">IFERROR(__xludf.DUMMYFUNCTION("""COMPUTED_VALUE"""),"Another start at about 49636 so not the longest possible ORF.")</f>
        <v>Another start at about 49636 so not the longest possible ORF.</v>
      </c>
      <c r="C8" s="17" t="str">
        <f ca="1">IFERROR(__xludf.DUMMYFUNCTION("""COMPUTED_VALUE"""),"It is not the longest ")</f>
        <v xml:space="preserve">It is not the longest </v>
      </c>
      <c r="D8" s="6"/>
    </row>
    <row r="9" spans="1:4" ht="15.75" customHeight="1" x14ac:dyDescent="0.15">
      <c r="A9" s="5" t="s">
        <v>9</v>
      </c>
      <c r="B9" s="17" t="str">
        <f ca="1">IFERROR(__xludf.DUMMYFUNCTION("""COMPUTED_VALUE"""),"201 bp gap with gene 82 on Pham map.")</f>
        <v>201 bp gap with gene 82 on Pham map.</v>
      </c>
      <c r="C9" s="17" t="str">
        <f ca="1">IFERROR(__xludf.DUMMYFUNCTION("""COMPUTED_VALUE"""),"524 gap")</f>
        <v>524 gap</v>
      </c>
      <c r="D9" s="6"/>
    </row>
    <row r="10" spans="1:4" ht="15.75" customHeight="1" x14ac:dyDescent="0.15">
      <c r="A10" s="5" t="s">
        <v>10</v>
      </c>
      <c r="B10" s="17" t="str">
        <f ca="1">IFERROR(__xludf.DUMMYFUNCTION("""COMPUTED_VALUE"""),"Z score is 2.957 with a final score of -2.443. This is the best score.")</f>
        <v>Z score is 2.957 with a final score of -2.443. This is the best score.</v>
      </c>
      <c r="C10" s="17" t="str">
        <f ca="1">IFERROR(__xludf.DUMMYFUNCTION("""COMPUTED_VALUE"""),"Z score:2.9, It is the best")</f>
        <v>Z score:2.9, It is the best</v>
      </c>
      <c r="D10" s="6"/>
    </row>
    <row r="11" spans="1:4" ht="15.75" customHeight="1" x14ac:dyDescent="0.15">
      <c r="A11" s="5" t="s">
        <v>11</v>
      </c>
      <c r="B11" s="17" t="str">
        <f ca="1">IFERROR(__xludf.DUMMYFUNCTION("""COMPUTED_VALUE"""),"Kovu 81 with % identity of 83% e value is 7e-24 q 1 - 65: s1 - 65.")</f>
        <v>Kovu 81 with % identity of 83% e value is 7e-24 q 1 - 65: s1 - 65.</v>
      </c>
      <c r="C11" s="17" t="str">
        <f ca="1">IFERROR(__xludf.DUMMYFUNCTION("""COMPUTED_VALUE"""),"Kovu_81, %I: 83%, e= 7e-24, q1:s1")</f>
        <v>Kovu_81, %I: 83%, e= 7e-24, q1:s1</v>
      </c>
      <c r="D11" s="6"/>
    </row>
    <row r="12" spans="1:4" ht="15.75" customHeight="1" x14ac:dyDescent="0.15">
      <c r="A12" s="5" t="s">
        <v>12</v>
      </c>
      <c r="B12" s="17" t="str">
        <f ca="1">IFERROR(__xludf.DUMMYFUNCTION("""COMPUTED_VALUE"""),"Both Kovu and Apokipo call at start 2. This is called 100% of time when present.")</f>
        <v>Both Kovu and Apokipo call at start 2. This is called 100% of time when present.</v>
      </c>
      <c r="C12" s="17" t="str">
        <f ca="1">IFERROR(__xludf.DUMMYFUNCTION("""COMPUTED_VALUE"""),"It is conserved in all members and is called 100% of the time. ")</f>
        <v xml:space="preserve">It is conserved in all members and is called 100% of the time. </v>
      </c>
      <c r="D12" s="6"/>
    </row>
    <row r="13" spans="1:4" ht="15.75" customHeight="1" x14ac:dyDescent="0.15">
      <c r="A13" s="5" t="s">
        <v>13</v>
      </c>
      <c r="B13" s="17" t="str">
        <f ca="1">IFERROR(__xludf.DUMMYFUNCTION("""COMPUTED_VALUE"""),"No start change because even though not all coding potential is captured, this is the best start score because the start before the called has a z score at around 0.859.")</f>
        <v>No start change because even though not all coding potential is captured, this is the best start score because the start before the called has a z score at around 0.859.</v>
      </c>
      <c r="C13" s="17" t="str">
        <f ca="1">IFERROR(__xludf.DUMMYFUNCTION("""COMPUTED_VALUE"""),"No")</f>
        <v>No</v>
      </c>
      <c r="D13" s="6"/>
    </row>
    <row r="14" spans="1:4" ht="15.75" customHeight="1" x14ac:dyDescent="0.15">
      <c r="A14" s="5" t="s">
        <v>14</v>
      </c>
      <c r="B14" s="17" t="str">
        <f ca="1">IFERROR(__xludf.DUMMYFUNCTION("""COMPUTED_VALUE"""),"Kovu 81 e value is 9e-24")</f>
        <v>Kovu 81 e value is 9e-24</v>
      </c>
      <c r="C14" s="17" t="str">
        <f ca="1">IFERROR(__xludf.DUMMYFUNCTION("""COMPUTED_VALUE"""),"Kovu_81, e= 9e-27")</f>
        <v>Kovu_81, e= 9e-27</v>
      </c>
      <c r="D14" s="6"/>
    </row>
    <row r="15" spans="1:4" ht="15.75" customHeight="1" x14ac:dyDescent="0.15">
      <c r="A15" s="5" t="s">
        <v>15</v>
      </c>
      <c r="B15" s="17" t="str">
        <f ca="1">IFERROR(__xludf.DUMMYFUNCTION("""COMPUTED_VALUE"""),"Kovu 81 is hypothetical protein.")</f>
        <v>Kovu 81 is hypothetical protein.</v>
      </c>
      <c r="C15" s="17" t="str">
        <f ca="1">IFERROR(__xludf.DUMMYFUNCTION("""COMPUTED_VALUE"""),"Kovu_81, function unknown")</f>
        <v>Kovu_81, function unknown</v>
      </c>
      <c r="D15" s="6"/>
    </row>
    <row r="16" spans="1:4" ht="15.75" customHeight="1" x14ac:dyDescent="0.15">
      <c r="A16" s="5" t="s">
        <v>16</v>
      </c>
      <c r="B16" s="17" t="str">
        <f ca="1">IFERROR(__xludf.DUMMYFUNCTION("""COMPUTED_VALUE"""),"Synteny would be expected because these are the only two matching genes.")</f>
        <v>Synteny would be expected because these are the only two matching genes.</v>
      </c>
      <c r="C16" s="17" t="str">
        <f ca="1">IFERROR(__xludf.DUMMYFUNCTION("""COMPUTED_VALUE"""),"It is in the same relative enviornment as Kovu")</f>
        <v>It is in the same relative enviornment as Kovu</v>
      </c>
      <c r="D16" s="6"/>
    </row>
    <row r="17" spans="1:4" ht="15.75" customHeight="1" x14ac:dyDescent="0.15">
      <c r="A17" s="5" t="s">
        <v>17</v>
      </c>
      <c r="B17" s="17" t="str">
        <f ca="1">IFERROR(__xludf.DUMMYFUNCTION("""COMPUTED_VALUE"""),"Antitoxin MazE9; Ribbon-helix-helix, RHH motif, DNA binding domain, transcription factor, toxin-antitoxin system, Mycobacterium tuberculosis MazEF9 system, mazE-mt1, ANTITOXIN; NMR {Mycobacterium tuberculosis H37Rv}, Probability: 44.4%, % alignment of que"&amp;"ry is 24.24% and % alignment of target is 37.21%. The functional domain is not in target part of alignment. Not very helpful.")</f>
        <v>Antitoxin MazE9; Ribbon-helix-helix, RHH motif, DNA binding domain, transcription factor, toxin-antitoxin system, Mycobacterium tuberculosis MazEF9 system, mazE-mt1, ANTITOXIN; NMR {Mycobacterium tuberculosis H37Rv}, Probability: 44.4%, % alignment of query is 24.24% and % alignment of target is 37.21%. The functional domain is not in target part of alignment. Not very helpful.</v>
      </c>
      <c r="C17" s="17" t="str">
        <f ca="1">IFERROR(__xludf.DUMMYFUNCTION("""COMPUTED_VALUE"""),"DUF4176 ; Domain of unknown function, %Prob: 54%, %Q= 66%,%t=3%, Functional domain is unknown. Further exploration needed. ")</f>
        <v xml:space="preserve">DUF4176 ; Domain of unknown function, %Prob: 54%, %Q= 66%,%t=3%, Functional domain is unknown. Further exploration needed. </v>
      </c>
      <c r="D17" s="6"/>
    </row>
    <row r="18" spans="1:4" ht="15.75" customHeight="1" x14ac:dyDescent="0.15">
      <c r="A18" s="5" t="s">
        <v>18</v>
      </c>
      <c r="B18" s="17" t="str">
        <f ca="1">IFERROR(__xludf.DUMMYFUNCTION("""COMPUTED_VALUE"""),"None.")</f>
        <v>None.</v>
      </c>
      <c r="C18" s="17" t="str">
        <f ca="1">IFERROR(__xludf.DUMMYFUNCTION("""COMPUTED_VALUE"""),"None")</f>
        <v>None</v>
      </c>
      <c r="D18" s="6"/>
    </row>
    <row r="19" spans="1:4" ht="15.75" customHeight="1" x14ac:dyDescent="0.15">
      <c r="A19" s="5" t="s">
        <v>19</v>
      </c>
      <c r="B19" s="17" t="str">
        <f ca="1">IFERROR(__xludf.DUMMYFUNCTION("""COMPUTED_VALUE"""),"None.")</f>
        <v>None.</v>
      </c>
      <c r="C19" s="17" t="str">
        <f ca="1">IFERROR(__xludf.DUMMYFUNCTION("""COMPUTED_VALUE"""),"None")</f>
        <v>None</v>
      </c>
      <c r="D19" s="6"/>
    </row>
    <row r="20" spans="1:4" ht="15.75" customHeight="1" x14ac:dyDescent="0.15">
      <c r="A20" s="5" t="s">
        <v>20</v>
      </c>
      <c r="B20" s="17" t="str">
        <f ca="1">IFERROR(__xludf.DUMMYFUNCTION("""COMPUTED_VALUE"""),"Hypothetical Protein because only aligned with Kovu. There was not other members to help identify an actual geene function for this pham. The evidence from PhagesDB, DNA Master, and Phamerator help come to this conclusion. ")</f>
        <v xml:space="preserve">Hypothetical Protein because only aligned with Kovu. There was not other members to help identify an actual geene function for this pham. The evidence from PhagesDB, DNA Master, and Phamerator help come to this conclusion. </v>
      </c>
      <c r="C20" s="17" t="str">
        <f ca="1">IFERROR(__xludf.DUMMYFUNCTION("""COMPUTED_VALUE"""),"Hypothetical Protein.This is due to the NCBI blast, Phagesdb Blast, and the synteny between Apokipo and Kovu. ")</f>
        <v xml:space="preserve">Hypothetical Protein.This is due to the NCBI blast, Phagesdb Blast, and the synteny between Apokipo and Kovu. </v>
      </c>
      <c r="D20" s="6"/>
    </row>
    <row r="21" spans="1:4" x14ac:dyDescent="0.2">
      <c r="A21" s="7"/>
      <c r="B21" s="19"/>
      <c r="C21" s="19"/>
      <c r="D21" s="8"/>
    </row>
    <row r="22" spans="1:4" ht="15.75" customHeight="1" x14ac:dyDescent="0.15">
      <c r="A22" s="9" t="s">
        <v>21</v>
      </c>
      <c r="B22" s="19"/>
      <c r="C22" s="19"/>
      <c r="D22" s="8"/>
    </row>
    <row r="23" spans="1:4" ht="15.75" customHeight="1" x14ac:dyDescent="0.15">
      <c r="A23" s="10"/>
      <c r="B23" s="13"/>
      <c r="C23" s="13"/>
    </row>
    <row r="24" spans="1:4" ht="15.75" customHeight="1" x14ac:dyDescent="0.15">
      <c r="A24" s="10"/>
      <c r="B24" s="13"/>
      <c r="C24" s="13"/>
    </row>
    <row r="25" spans="1:4" ht="15.75" customHeight="1" x14ac:dyDescent="0.15">
      <c r="A25" s="10"/>
      <c r="B25" s="13"/>
      <c r="C25" s="13"/>
    </row>
    <row r="26" spans="1:4" ht="15.75" customHeight="1" x14ac:dyDescent="0.15">
      <c r="A26" s="10"/>
      <c r="B26" s="13"/>
      <c r="C26" s="13"/>
    </row>
    <row r="27" spans="1:4" ht="15.75" customHeight="1" x14ac:dyDescent="0.15">
      <c r="A27" s="10"/>
      <c r="B27" s="13"/>
      <c r="C27" s="13"/>
    </row>
    <row r="28" spans="1:4" ht="15.75" customHeight="1" x14ac:dyDescent="0.15">
      <c r="A28" s="10"/>
      <c r="B28" s="13"/>
      <c r="C28" s="13"/>
    </row>
    <row r="29" spans="1:4" ht="15.75" customHeight="1" x14ac:dyDescent="0.15">
      <c r="A29" s="10"/>
      <c r="B29" s="13"/>
      <c r="C29" s="13"/>
    </row>
    <row r="30" spans="1:4" ht="15.75" customHeight="1" x14ac:dyDescent="0.15">
      <c r="A30" s="10"/>
      <c r="B30" s="13"/>
      <c r="C30" s="13"/>
    </row>
    <row r="31" spans="1:4" ht="15.75" customHeight="1" x14ac:dyDescent="0.15">
      <c r="A31" s="10"/>
      <c r="B31" s="13"/>
      <c r="C31" s="13"/>
    </row>
    <row r="32" spans="1:4" ht="15.75" customHeight="1" x14ac:dyDescent="0.15">
      <c r="A32" s="10"/>
      <c r="B32" s="13"/>
      <c r="C32" s="13"/>
    </row>
    <row r="33" spans="1:3" ht="15.75" customHeight="1" x14ac:dyDescent="0.15">
      <c r="A33" s="10"/>
      <c r="B33" s="13"/>
      <c r="C33" s="13"/>
    </row>
    <row r="34" spans="1:3" ht="15.75" customHeight="1" x14ac:dyDescent="0.15">
      <c r="A34" s="10"/>
      <c r="B34" s="13"/>
      <c r="C34" s="13"/>
    </row>
    <row r="35" spans="1:3" ht="15.75" customHeight="1" x14ac:dyDescent="0.15">
      <c r="A35" s="10"/>
      <c r="B35" s="13"/>
      <c r="C35" s="13"/>
    </row>
    <row r="36" spans="1:3" ht="15.75" customHeight="1" x14ac:dyDescent="0.15">
      <c r="A36" s="10"/>
      <c r="B36" s="13"/>
      <c r="C36" s="13"/>
    </row>
    <row r="37" spans="1:3" ht="15.75" customHeight="1" x14ac:dyDescent="0.15">
      <c r="A37" s="10"/>
      <c r="B37" s="13"/>
      <c r="C37" s="13"/>
    </row>
    <row r="38" spans="1:3" ht="15.75" customHeight="1" x14ac:dyDescent="0.15">
      <c r="A38" s="10"/>
      <c r="B38" s="13"/>
      <c r="C38" s="13"/>
    </row>
    <row r="39" spans="1:3" ht="13" x14ac:dyDescent="0.15">
      <c r="A39" s="10"/>
      <c r="B39" s="13"/>
      <c r="C39" s="13"/>
    </row>
    <row r="40" spans="1:3" ht="13" x14ac:dyDescent="0.15">
      <c r="A40" s="10"/>
      <c r="B40" s="13"/>
      <c r="C40" s="13"/>
    </row>
    <row r="41" spans="1:3" ht="13" x14ac:dyDescent="0.15">
      <c r="A41" s="10"/>
      <c r="B41" s="13"/>
      <c r="C41" s="13"/>
    </row>
    <row r="42" spans="1:3" ht="13" x14ac:dyDescent="0.15">
      <c r="A42" s="10"/>
      <c r="B42" s="13"/>
      <c r="C42" s="13"/>
    </row>
    <row r="43" spans="1:3" ht="13" x14ac:dyDescent="0.15">
      <c r="A43" s="10"/>
      <c r="B43" s="13"/>
      <c r="C43" s="13"/>
    </row>
    <row r="44" spans="1:3" ht="13" x14ac:dyDescent="0.15">
      <c r="A44" s="10"/>
      <c r="B44" s="13"/>
      <c r="C44" s="13"/>
    </row>
    <row r="45" spans="1:3" ht="13" x14ac:dyDescent="0.15">
      <c r="A45" s="10"/>
      <c r="B45" s="13"/>
      <c r="C45" s="13"/>
    </row>
    <row r="46" spans="1:3" ht="13" x14ac:dyDescent="0.15">
      <c r="A46" s="10"/>
      <c r="B46" s="13"/>
      <c r="C46" s="13"/>
    </row>
    <row r="47" spans="1:3" ht="13" x14ac:dyDescent="0.15">
      <c r="A47" s="10"/>
      <c r="B47" s="13"/>
      <c r="C47" s="13"/>
    </row>
    <row r="48" spans="1:3" ht="13" x14ac:dyDescent="0.15">
      <c r="A48" s="10"/>
      <c r="B48" s="13"/>
      <c r="C48" s="13"/>
    </row>
    <row r="49" spans="1:3" ht="13" x14ac:dyDescent="0.15">
      <c r="A49" s="10"/>
      <c r="B49" s="13"/>
      <c r="C49" s="13"/>
    </row>
    <row r="50" spans="1:3" ht="13" x14ac:dyDescent="0.15">
      <c r="A50" s="10"/>
      <c r="B50" s="13"/>
      <c r="C50" s="13"/>
    </row>
    <row r="51" spans="1:3" ht="13" x14ac:dyDescent="0.15">
      <c r="A51" s="10"/>
      <c r="B51" s="13"/>
      <c r="C51" s="13"/>
    </row>
    <row r="52" spans="1:3" ht="13" x14ac:dyDescent="0.15">
      <c r="A52" s="10"/>
      <c r="B52" s="13"/>
      <c r="C52" s="13"/>
    </row>
    <row r="53" spans="1:3" ht="13" x14ac:dyDescent="0.15">
      <c r="A53" s="10"/>
      <c r="B53" s="13"/>
      <c r="C53" s="13"/>
    </row>
    <row r="54" spans="1:3" ht="13" x14ac:dyDescent="0.15">
      <c r="A54" s="10"/>
      <c r="B54" s="13"/>
      <c r="C54" s="13"/>
    </row>
    <row r="55" spans="1:3" ht="13" x14ac:dyDescent="0.15">
      <c r="A55" s="10"/>
      <c r="B55" s="13"/>
      <c r="C55" s="13"/>
    </row>
    <row r="56" spans="1:3" ht="13" x14ac:dyDescent="0.15">
      <c r="A56" s="10"/>
      <c r="B56" s="13"/>
      <c r="C56" s="13"/>
    </row>
    <row r="57" spans="1:3" ht="13" x14ac:dyDescent="0.15">
      <c r="A57" s="10"/>
      <c r="B57" s="13"/>
      <c r="C57" s="13"/>
    </row>
    <row r="58" spans="1:3" ht="13" x14ac:dyDescent="0.15">
      <c r="A58" s="10"/>
      <c r="B58" s="13"/>
      <c r="C58" s="13"/>
    </row>
    <row r="59" spans="1:3" ht="13" x14ac:dyDescent="0.15">
      <c r="A59" s="10"/>
      <c r="B59" s="13"/>
      <c r="C59" s="13"/>
    </row>
    <row r="60" spans="1:3" ht="13" x14ac:dyDescent="0.15">
      <c r="A60" s="10"/>
      <c r="B60" s="13"/>
      <c r="C60" s="13"/>
    </row>
    <row r="61" spans="1:3" ht="13" x14ac:dyDescent="0.15">
      <c r="A61" s="10"/>
      <c r="B61" s="13"/>
      <c r="C61" s="13"/>
    </row>
    <row r="62" spans="1:3" ht="13" x14ac:dyDescent="0.15">
      <c r="A62" s="10"/>
      <c r="B62" s="13"/>
      <c r="C62" s="13"/>
    </row>
    <row r="63" spans="1:3" ht="13" x14ac:dyDescent="0.15">
      <c r="A63" s="10"/>
      <c r="B63" s="13"/>
      <c r="C63" s="13"/>
    </row>
    <row r="64" spans="1:3" ht="13" x14ac:dyDescent="0.15">
      <c r="A64" s="10"/>
      <c r="B64" s="13"/>
      <c r="C64" s="13"/>
    </row>
    <row r="65" spans="1:3" ht="13" x14ac:dyDescent="0.15">
      <c r="A65" s="10"/>
      <c r="B65" s="13"/>
      <c r="C65" s="13"/>
    </row>
    <row r="66" spans="1:3" ht="13" x14ac:dyDescent="0.15">
      <c r="A66" s="10"/>
      <c r="B66" s="13"/>
      <c r="C66" s="13"/>
    </row>
    <row r="67" spans="1:3" ht="13" x14ac:dyDescent="0.15">
      <c r="A67" s="10"/>
      <c r="B67" s="13"/>
      <c r="C67" s="13"/>
    </row>
    <row r="68" spans="1:3" ht="13" x14ac:dyDescent="0.15">
      <c r="A68" s="10"/>
      <c r="B68" s="13"/>
      <c r="C68" s="13"/>
    </row>
    <row r="69" spans="1:3" ht="13" x14ac:dyDescent="0.15">
      <c r="A69" s="10"/>
      <c r="B69" s="13"/>
      <c r="C69" s="13"/>
    </row>
    <row r="70" spans="1:3" ht="13" x14ac:dyDescent="0.15">
      <c r="A70" s="10"/>
      <c r="B70" s="13"/>
      <c r="C70" s="13"/>
    </row>
    <row r="71" spans="1:3" ht="13" x14ac:dyDescent="0.15">
      <c r="A71" s="10"/>
      <c r="B71" s="13"/>
      <c r="C71" s="13"/>
    </row>
    <row r="72" spans="1:3" ht="13" x14ac:dyDescent="0.15">
      <c r="A72" s="10"/>
      <c r="B72" s="13"/>
      <c r="C72" s="13"/>
    </row>
    <row r="73" spans="1:3" ht="13" x14ac:dyDescent="0.15">
      <c r="A73" s="10"/>
      <c r="B73" s="13"/>
      <c r="C73" s="13"/>
    </row>
    <row r="74" spans="1:3" ht="13" x14ac:dyDescent="0.15">
      <c r="A74" s="10"/>
      <c r="B74" s="13"/>
      <c r="C74" s="13"/>
    </row>
    <row r="75" spans="1:3" ht="13" x14ac:dyDescent="0.15">
      <c r="A75" s="10"/>
      <c r="B75" s="13"/>
      <c r="C75" s="13"/>
    </row>
    <row r="76" spans="1:3" ht="13" x14ac:dyDescent="0.15">
      <c r="A76" s="10"/>
      <c r="B76" s="13"/>
      <c r="C76" s="13"/>
    </row>
    <row r="77" spans="1:3" ht="13" x14ac:dyDescent="0.15">
      <c r="A77" s="10"/>
      <c r="B77" s="13"/>
      <c r="C77" s="13"/>
    </row>
    <row r="78" spans="1:3" ht="13" x14ac:dyDescent="0.15">
      <c r="A78" s="10"/>
      <c r="B78" s="13"/>
      <c r="C78" s="13"/>
    </row>
    <row r="79" spans="1:3" ht="13" x14ac:dyDescent="0.15">
      <c r="A79" s="10"/>
      <c r="B79" s="13"/>
      <c r="C79" s="13"/>
    </row>
    <row r="80" spans="1:3" ht="13" x14ac:dyDescent="0.15">
      <c r="A80" s="10"/>
      <c r="B80" s="13"/>
      <c r="C80" s="13"/>
    </row>
    <row r="81" spans="1:3" ht="13" x14ac:dyDescent="0.15">
      <c r="A81" s="10"/>
      <c r="B81" s="13"/>
      <c r="C81" s="13"/>
    </row>
    <row r="82" spans="1:3" ht="13" x14ac:dyDescent="0.15">
      <c r="A82" s="10"/>
      <c r="B82" s="13"/>
      <c r="C82" s="13"/>
    </row>
    <row r="83" spans="1:3" ht="13" x14ac:dyDescent="0.15">
      <c r="A83" s="10"/>
      <c r="B83" s="13"/>
      <c r="C83" s="13"/>
    </row>
    <row r="84" spans="1:3" ht="13" x14ac:dyDescent="0.15">
      <c r="A84" s="10"/>
      <c r="B84" s="13"/>
      <c r="C84" s="13"/>
    </row>
    <row r="85" spans="1:3" ht="13" x14ac:dyDescent="0.15">
      <c r="A85" s="10"/>
      <c r="B85" s="13"/>
      <c r="C85" s="13"/>
    </row>
    <row r="86" spans="1:3" ht="13" x14ac:dyDescent="0.15">
      <c r="A86" s="10"/>
      <c r="B86" s="13"/>
      <c r="C86" s="13"/>
    </row>
    <row r="87" spans="1:3" ht="13" x14ac:dyDescent="0.15">
      <c r="A87" s="10"/>
      <c r="B87" s="13"/>
      <c r="C87" s="13"/>
    </row>
    <row r="88" spans="1:3" ht="13" x14ac:dyDescent="0.15">
      <c r="A88" s="10"/>
      <c r="B88" s="13"/>
      <c r="C88" s="13"/>
    </row>
    <row r="89" spans="1:3" ht="13" x14ac:dyDescent="0.15">
      <c r="A89" s="10"/>
      <c r="B89" s="13"/>
      <c r="C89" s="13"/>
    </row>
    <row r="90" spans="1:3" ht="13" x14ac:dyDescent="0.15">
      <c r="A90" s="10"/>
      <c r="B90" s="13"/>
      <c r="C90" s="13"/>
    </row>
    <row r="91" spans="1:3" ht="13" x14ac:dyDescent="0.15">
      <c r="A91" s="10"/>
      <c r="B91" s="13"/>
      <c r="C91" s="13"/>
    </row>
    <row r="92" spans="1:3" ht="13" x14ac:dyDescent="0.15">
      <c r="A92" s="10"/>
      <c r="B92" s="13"/>
      <c r="C92" s="13"/>
    </row>
    <row r="93" spans="1:3" ht="13" x14ac:dyDescent="0.15">
      <c r="A93" s="10"/>
      <c r="B93" s="13"/>
      <c r="C93" s="13"/>
    </row>
    <row r="94" spans="1:3" ht="13" x14ac:dyDescent="0.15">
      <c r="A94" s="10"/>
      <c r="B94" s="13"/>
      <c r="C94" s="13"/>
    </row>
    <row r="95" spans="1:3" ht="13" x14ac:dyDescent="0.15">
      <c r="A95" s="10"/>
      <c r="B95" s="13"/>
      <c r="C95" s="13"/>
    </row>
    <row r="96" spans="1:3" ht="13" x14ac:dyDescent="0.15">
      <c r="A96" s="10"/>
      <c r="B96" s="13"/>
      <c r="C96" s="13"/>
    </row>
    <row r="97" spans="1:3" ht="13" x14ac:dyDescent="0.15">
      <c r="A97" s="10"/>
      <c r="B97" s="13"/>
      <c r="C97" s="13"/>
    </row>
    <row r="98" spans="1:3" ht="13" x14ac:dyDescent="0.15">
      <c r="A98" s="10"/>
      <c r="B98" s="13"/>
      <c r="C98" s="13"/>
    </row>
    <row r="99" spans="1:3" ht="13" x14ac:dyDescent="0.15">
      <c r="A99" s="10"/>
      <c r="B99" s="13"/>
      <c r="C99" s="13"/>
    </row>
    <row r="100" spans="1:3" ht="13" x14ac:dyDescent="0.15">
      <c r="A100" s="10"/>
      <c r="B100" s="13"/>
      <c r="C100" s="13"/>
    </row>
    <row r="101" spans="1:3" ht="13" x14ac:dyDescent="0.15">
      <c r="A101" s="10"/>
      <c r="B101" s="13"/>
      <c r="C101" s="13"/>
    </row>
    <row r="102" spans="1:3" ht="13" x14ac:dyDescent="0.15">
      <c r="A102" s="10"/>
      <c r="B102" s="13"/>
      <c r="C102" s="13"/>
    </row>
    <row r="103" spans="1:3" ht="13" x14ac:dyDescent="0.15">
      <c r="A103" s="10"/>
      <c r="B103" s="13"/>
      <c r="C103" s="13"/>
    </row>
    <row r="104" spans="1:3" ht="13" x14ac:dyDescent="0.15">
      <c r="A104" s="10"/>
      <c r="B104" s="13"/>
      <c r="C104" s="13"/>
    </row>
    <row r="105" spans="1:3" ht="13" x14ac:dyDescent="0.15">
      <c r="A105" s="10"/>
      <c r="B105" s="13"/>
      <c r="C105" s="13"/>
    </row>
    <row r="106" spans="1:3" ht="13" x14ac:dyDescent="0.15">
      <c r="A106" s="10"/>
      <c r="B106" s="13"/>
      <c r="C106" s="13"/>
    </row>
    <row r="107" spans="1:3" ht="13" x14ac:dyDescent="0.15">
      <c r="A107" s="10"/>
      <c r="B107" s="13"/>
      <c r="C107" s="13"/>
    </row>
    <row r="108" spans="1:3" ht="13" x14ac:dyDescent="0.15">
      <c r="A108" s="10"/>
      <c r="B108" s="13"/>
      <c r="C108" s="13"/>
    </row>
    <row r="109" spans="1:3" ht="13" x14ac:dyDescent="0.15">
      <c r="A109" s="10"/>
      <c r="B109" s="13"/>
      <c r="C109" s="13"/>
    </row>
    <row r="110" spans="1:3" ht="13" x14ac:dyDescent="0.15">
      <c r="A110" s="10"/>
      <c r="B110" s="13"/>
      <c r="C110" s="13"/>
    </row>
    <row r="111" spans="1:3" ht="13" x14ac:dyDescent="0.15">
      <c r="A111" s="10"/>
      <c r="B111" s="13"/>
      <c r="C111" s="13"/>
    </row>
    <row r="112" spans="1:3" ht="13" x14ac:dyDescent="0.15">
      <c r="A112" s="10"/>
      <c r="B112" s="13"/>
      <c r="C112" s="13"/>
    </row>
    <row r="113" spans="1:3" ht="13" x14ac:dyDescent="0.15">
      <c r="A113" s="10"/>
      <c r="B113" s="13"/>
      <c r="C113" s="13"/>
    </row>
    <row r="114" spans="1:3" ht="13" x14ac:dyDescent="0.15">
      <c r="A114" s="10"/>
      <c r="B114" s="13"/>
      <c r="C114" s="13"/>
    </row>
    <row r="115" spans="1:3" ht="13" x14ac:dyDescent="0.15">
      <c r="A115" s="10"/>
      <c r="B115" s="13"/>
      <c r="C115" s="13"/>
    </row>
    <row r="116" spans="1:3" ht="13" x14ac:dyDescent="0.15">
      <c r="A116" s="10"/>
      <c r="B116" s="13"/>
      <c r="C116" s="13"/>
    </row>
    <row r="117" spans="1:3" ht="13" x14ac:dyDescent="0.15">
      <c r="A117" s="10"/>
      <c r="B117" s="13"/>
      <c r="C117" s="13"/>
    </row>
    <row r="118" spans="1:3" ht="13" x14ac:dyDescent="0.15">
      <c r="A118" s="10"/>
      <c r="B118" s="13"/>
      <c r="C118" s="13"/>
    </row>
    <row r="119" spans="1:3" ht="13" x14ac:dyDescent="0.15">
      <c r="A119" s="10"/>
      <c r="B119" s="13"/>
      <c r="C119" s="13"/>
    </row>
    <row r="120" spans="1:3" ht="13" x14ac:dyDescent="0.15">
      <c r="A120" s="10"/>
      <c r="B120" s="13"/>
      <c r="C120" s="13"/>
    </row>
    <row r="121" spans="1:3" ht="13" x14ac:dyDescent="0.15">
      <c r="A121" s="10"/>
      <c r="B121" s="13"/>
      <c r="C121" s="13"/>
    </row>
    <row r="122" spans="1:3" ht="13" x14ac:dyDescent="0.15">
      <c r="A122" s="10"/>
      <c r="B122" s="13"/>
      <c r="C122" s="13"/>
    </row>
    <row r="123" spans="1:3" ht="13" x14ac:dyDescent="0.15">
      <c r="A123" s="10"/>
      <c r="B123" s="13"/>
      <c r="C123" s="13"/>
    </row>
    <row r="124" spans="1:3" ht="13" x14ac:dyDescent="0.15">
      <c r="A124" s="10"/>
      <c r="B124" s="13"/>
      <c r="C124" s="13"/>
    </row>
    <row r="125" spans="1:3" ht="13" x14ac:dyDescent="0.15">
      <c r="A125" s="10"/>
      <c r="B125" s="13"/>
      <c r="C125" s="13"/>
    </row>
    <row r="126" spans="1:3" ht="13" x14ac:dyDescent="0.15">
      <c r="A126" s="10"/>
      <c r="B126" s="13"/>
      <c r="C126" s="13"/>
    </row>
    <row r="127" spans="1:3" ht="13" x14ac:dyDescent="0.15">
      <c r="A127" s="10"/>
      <c r="B127" s="13"/>
      <c r="C127" s="13"/>
    </row>
    <row r="128" spans="1:3" ht="13" x14ac:dyDescent="0.15">
      <c r="A128" s="10"/>
      <c r="B128" s="13"/>
      <c r="C128" s="13"/>
    </row>
    <row r="129" spans="1:3" ht="13" x14ac:dyDescent="0.15">
      <c r="A129" s="10"/>
      <c r="B129" s="13"/>
      <c r="C129" s="13"/>
    </row>
    <row r="130" spans="1:3" ht="13" x14ac:dyDescent="0.15">
      <c r="A130" s="10"/>
      <c r="B130" s="13"/>
      <c r="C130" s="13"/>
    </row>
    <row r="131" spans="1:3" ht="13" x14ac:dyDescent="0.15">
      <c r="A131" s="10"/>
      <c r="B131" s="13"/>
      <c r="C131" s="13"/>
    </row>
    <row r="132" spans="1:3" ht="13" x14ac:dyDescent="0.15">
      <c r="A132" s="10"/>
      <c r="B132" s="13"/>
      <c r="C132" s="13"/>
    </row>
    <row r="133" spans="1:3" ht="13" x14ac:dyDescent="0.15">
      <c r="A133" s="10"/>
      <c r="B133" s="13"/>
      <c r="C133" s="13"/>
    </row>
    <row r="134" spans="1:3" ht="13" x14ac:dyDescent="0.15">
      <c r="A134" s="10"/>
      <c r="B134" s="13"/>
      <c r="C134" s="13"/>
    </row>
    <row r="135" spans="1:3" ht="13" x14ac:dyDescent="0.15">
      <c r="A135" s="10"/>
      <c r="B135" s="13"/>
      <c r="C135" s="13"/>
    </row>
    <row r="136" spans="1:3" ht="13" x14ac:dyDescent="0.15">
      <c r="A136" s="10"/>
      <c r="B136" s="13"/>
      <c r="C136" s="13"/>
    </row>
    <row r="137" spans="1:3" ht="13" x14ac:dyDescent="0.15">
      <c r="A137" s="10"/>
      <c r="B137" s="13"/>
      <c r="C137" s="13"/>
    </row>
    <row r="138" spans="1:3" ht="13" x14ac:dyDescent="0.15">
      <c r="A138" s="10"/>
      <c r="B138" s="13"/>
      <c r="C138" s="13"/>
    </row>
    <row r="139" spans="1:3" ht="13" x14ac:dyDescent="0.15">
      <c r="A139" s="10"/>
      <c r="B139" s="13"/>
      <c r="C139" s="13"/>
    </row>
    <row r="140" spans="1:3" ht="13" x14ac:dyDescent="0.15">
      <c r="A140" s="10"/>
      <c r="B140" s="13"/>
      <c r="C140" s="13"/>
    </row>
    <row r="141" spans="1:3" ht="13" x14ac:dyDescent="0.15">
      <c r="A141" s="10"/>
      <c r="B141" s="13"/>
      <c r="C141" s="13"/>
    </row>
    <row r="142" spans="1:3" ht="13" x14ac:dyDescent="0.15">
      <c r="A142" s="10"/>
      <c r="B142" s="13"/>
      <c r="C142" s="13"/>
    </row>
    <row r="143" spans="1:3" ht="13" x14ac:dyDescent="0.15">
      <c r="A143" s="10"/>
      <c r="B143" s="13"/>
      <c r="C143" s="13"/>
    </row>
    <row r="144" spans="1:3" ht="13" x14ac:dyDescent="0.15">
      <c r="A144" s="10"/>
      <c r="B144" s="13"/>
      <c r="C144" s="13"/>
    </row>
    <row r="145" spans="1:3" ht="13" x14ac:dyDescent="0.15">
      <c r="A145" s="10"/>
      <c r="B145" s="13"/>
      <c r="C145" s="13"/>
    </row>
    <row r="146" spans="1:3" ht="13" x14ac:dyDescent="0.15">
      <c r="A146" s="10"/>
      <c r="B146" s="13"/>
      <c r="C146" s="13"/>
    </row>
    <row r="147" spans="1:3" ht="13" x14ac:dyDescent="0.15">
      <c r="A147" s="10"/>
      <c r="B147" s="13"/>
      <c r="C147" s="13"/>
    </row>
    <row r="148" spans="1:3" ht="13" x14ac:dyDescent="0.15">
      <c r="A148" s="10"/>
      <c r="B148" s="13"/>
      <c r="C148" s="13"/>
    </row>
    <row r="149" spans="1:3" ht="13" x14ac:dyDescent="0.15">
      <c r="A149" s="10"/>
      <c r="B149" s="13"/>
      <c r="C149" s="13"/>
    </row>
    <row r="150" spans="1:3" ht="13" x14ac:dyDescent="0.15">
      <c r="A150" s="10"/>
      <c r="B150" s="13"/>
      <c r="C150" s="13"/>
    </row>
    <row r="151" spans="1:3" ht="13" x14ac:dyDescent="0.15">
      <c r="A151" s="10"/>
      <c r="B151" s="13"/>
      <c r="C151" s="13"/>
    </row>
    <row r="152" spans="1:3" ht="13" x14ac:dyDescent="0.15">
      <c r="A152" s="10"/>
      <c r="B152" s="13"/>
      <c r="C152" s="13"/>
    </row>
    <row r="153" spans="1:3" ht="13" x14ac:dyDescent="0.15">
      <c r="A153" s="10"/>
      <c r="B153" s="13"/>
      <c r="C153" s="13"/>
    </row>
    <row r="154" spans="1:3" ht="13" x14ac:dyDescent="0.15">
      <c r="A154" s="10"/>
      <c r="B154" s="13"/>
      <c r="C154" s="13"/>
    </row>
    <row r="155" spans="1:3" ht="13" x14ac:dyDescent="0.15">
      <c r="A155" s="10"/>
      <c r="B155" s="13"/>
      <c r="C155" s="13"/>
    </row>
    <row r="156" spans="1:3" ht="13" x14ac:dyDescent="0.15">
      <c r="A156" s="10"/>
      <c r="B156" s="13"/>
      <c r="C156" s="13"/>
    </row>
    <row r="157" spans="1:3" ht="13" x14ac:dyDescent="0.15">
      <c r="A157" s="10"/>
      <c r="B157" s="13"/>
      <c r="C157" s="13"/>
    </row>
    <row r="158" spans="1:3" ht="13" x14ac:dyDescent="0.15">
      <c r="A158" s="10"/>
      <c r="B158" s="13"/>
      <c r="C158" s="13"/>
    </row>
    <row r="159" spans="1:3" ht="13" x14ac:dyDescent="0.15">
      <c r="A159" s="10"/>
      <c r="B159" s="13"/>
      <c r="C159" s="13"/>
    </row>
    <row r="160" spans="1:3" ht="13" x14ac:dyDescent="0.15">
      <c r="A160" s="10"/>
      <c r="B160" s="13"/>
      <c r="C160" s="13"/>
    </row>
    <row r="161" spans="1:3" ht="13" x14ac:dyDescent="0.15">
      <c r="A161" s="10"/>
      <c r="B161" s="13"/>
      <c r="C161" s="13"/>
    </row>
    <row r="162" spans="1:3" ht="13" x14ac:dyDescent="0.15">
      <c r="A162" s="10"/>
      <c r="B162" s="13"/>
      <c r="C162" s="13"/>
    </row>
    <row r="163" spans="1:3" ht="13" x14ac:dyDescent="0.15">
      <c r="A163" s="10"/>
      <c r="B163" s="13"/>
      <c r="C163" s="13"/>
    </row>
    <row r="164" spans="1:3" ht="13" x14ac:dyDescent="0.15">
      <c r="A164" s="10"/>
      <c r="B164" s="13"/>
      <c r="C164" s="13"/>
    </row>
    <row r="165" spans="1:3" ht="13" x14ac:dyDescent="0.15">
      <c r="A165" s="10"/>
      <c r="B165" s="13"/>
      <c r="C165" s="13"/>
    </row>
    <row r="166" spans="1:3" ht="13" x14ac:dyDescent="0.15">
      <c r="A166" s="10"/>
      <c r="B166" s="13"/>
      <c r="C166" s="13"/>
    </row>
    <row r="167" spans="1:3" ht="13" x14ac:dyDescent="0.15">
      <c r="A167" s="10"/>
      <c r="B167" s="13"/>
      <c r="C167" s="13"/>
    </row>
    <row r="168" spans="1:3" ht="13" x14ac:dyDescent="0.15">
      <c r="A168" s="10"/>
      <c r="B168" s="13"/>
      <c r="C168" s="13"/>
    </row>
    <row r="169" spans="1:3" ht="13" x14ac:dyDescent="0.15">
      <c r="A169" s="10"/>
      <c r="B169" s="13"/>
      <c r="C169" s="13"/>
    </row>
    <row r="170" spans="1:3" ht="13" x14ac:dyDescent="0.15">
      <c r="A170" s="10"/>
      <c r="B170" s="13"/>
      <c r="C170" s="13"/>
    </row>
    <row r="171" spans="1:3" ht="13" x14ac:dyDescent="0.15">
      <c r="A171" s="10"/>
      <c r="B171" s="13"/>
      <c r="C171" s="13"/>
    </row>
    <row r="172" spans="1:3" ht="13" x14ac:dyDescent="0.15">
      <c r="A172" s="10"/>
      <c r="B172" s="13"/>
      <c r="C172" s="13"/>
    </row>
    <row r="173" spans="1:3" ht="13" x14ac:dyDescent="0.15">
      <c r="A173" s="10"/>
      <c r="B173" s="13"/>
      <c r="C173" s="13"/>
    </row>
    <row r="174" spans="1:3" ht="13" x14ac:dyDescent="0.15">
      <c r="A174" s="10"/>
      <c r="B174" s="13"/>
      <c r="C174" s="13"/>
    </row>
    <row r="175" spans="1:3" ht="13" x14ac:dyDescent="0.15">
      <c r="A175" s="10"/>
      <c r="B175" s="13"/>
      <c r="C175" s="13"/>
    </row>
    <row r="176" spans="1:3" ht="13" x14ac:dyDescent="0.15">
      <c r="A176" s="10"/>
      <c r="B176" s="13"/>
      <c r="C176" s="13"/>
    </row>
    <row r="177" spans="1:3" ht="13" x14ac:dyDescent="0.15">
      <c r="A177" s="10"/>
      <c r="B177" s="13"/>
      <c r="C177" s="13"/>
    </row>
    <row r="178" spans="1:3" ht="13" x14ac:dyDescent="0.15">
      <c r="A178" s="10"/>
      <c r="B178" s="13"/>
      <c r="C178" s="13"/>
    </row>
    <row r="179" spans="1:3" ht="13" x14ac:dyDescent="0.15">
      <c r="A179" s="10"/>
      <c r="B179" s="13"/>
      <c r="C179" s="13"/>
    </row>
    <row r="180" spans="1:3" ht="13" x14ac:dyDescent="0.15">
      <c r="A180" s="10"/>
      <c r="B180" s="13"/>
      <c r="C180" s="13"/>
    </row>
    <row r="181" spans="1:3" ht="13" x14ac:dyDescent="0.15">
      <c r="A181" s="10"/>
      <c r="B181" s="13"/>
      <c r="C181" s="13"/>
    </row>
    <row r="182" spans="1:3" ht="13" x14ac:dyDescent="0.15">
      <c r="A182" s="10"/>
      <c r="B182" s="13"/>
      <c r="C182" s="13"/>
    </row>
    <row r="183" spans="1:3" ht="13" x14ac:dyDescent="0.15">
      <c r="A183" s="10"/>
      <c r="B183" s="13"/>
      <c r="C183" s="13"/>
    </row>
    <row r="184" spans="1:3" ht="13" x14ac:dyDescent="0.15">
      <c r="A184" s="10"/>
      <c r="B184" s="13"/>
      <c r="C184" s="13"/>
    </row>
    <row r="185" spans="1:3" ht="13" x14ac:dyDescent="0.15">
      <c r="A185" s="10"/>
      <c r="B185" s="13"/>
      <c r="C185" s="13"/>
    </row>
    <row r="186" spans="1:3" ht="13" x14ac:dyDescent="0.15">
      <c r="A186" s="10"/>
      <c r="B186" s="13"/>
      <c r="C186" s="13"/>
    </row>
    <row r="187" spans="1:3" ht="13" x14ac:dyDescent="0.15">
      <c r="A187" s="10"/>
      <c r="B187" s="13"/>
      <c r="C187" s="13"/>
    </row>
    <row r="188" spans="1:3" ht="13" x14ac:dyDescent="0.15">
      <c r="A188" s="10"/>
      <c r="B188" s="13"/>
      <c r="C188" s="13"/>
    </row>
    <row r="189" spans="1:3" ht="13" x14ac:dyDescent="0.15">
      <c r="A189" s="10"/>
      <c r="B189" s="13"/>
      <c r="C189" s="13"/>
    </row>
    <row r="190" spans="1:3" ht="13" x14ac:dyDescent="0.15">
      <c r="A190" s="10"/>
      <c r="B190" s="13"/>
      <c r="C190" s="13"/>
    </row>
    <row r="191" spans="1:3" ht="13" x14ac:dyDescent="0.15">
      <c r="A191" s="10"/>
      <c r="B191" s="13"/>
      <c r="C191" s="13"/>
    </row>
    <row r="192" spans="1:3" ht="13" x14ac:dyDescent="0.15">
      <c r="A192" s="10"/>
      <c r="B192" s="13"/>
      <c r="C192" s="13"/>
    </row>
    <row r="193" spans="1:3" ht="13" x14ac:dyDescent="0.15">
      <c r="A193" s="10"/>
      <c r="B193" s="13"/>
      <c r="C193" s="13"/>
    </row>
    <row r="194" spans="1:3" ht="13" x14ac:dyDescent="0.15">
      <c r="A194" s="10"/>
      <c r="B194" s="13"/>
      <c r="C194" s="13"/>
    </row>
    <row r="195" spans="1:3" ht="13" x14ac:dyDescent="0.15">
      <c r="A195" s="10"/>
      <c r="B195" s="13"/>
      <c r="C195" s="13"/>
    </row>
    <row r="196" spans="1:3" ht="13" x14ac:dyDescent="0.15">
      <c r="A196" s="10"/>
      <c r="B196" s="13"/>
      <c r="C196" s="13"/>
    </row>
    <row r="197" spans="1:3" ht="13" x14ac:dyDescent="0.15">
      <c r="A197" s="10"/>
      <c r="B197" s="13"/>
      <c r="C197" s="13"/>
    </row>
    <row r="198" spans="1:3" ht="13" x14ac:dyDescent="0.15">
      <c r="A198" s="10"/>
      <c r="B198" s="13"/>
      <c r="C198" s="13"/>
    </row>
    <row r="199" spans="1:3" ht="13" x14ac:dyDescent="0.15">
      <c r="A199" s="10"/>
      <c r="B199" s="13"/>
      <c r="C199" s="13"/>
    </row>
    <row r="200" spans="1:3" ht="13" x14ac:dyDescent="0.15">
      <c r="A200" s="10"/>
      <c r="B200" s="13"/>
      <c r="C200" s="13"/>
    </row>
    <row r="201" spans="1:3" ht="13" x14ac:dyDescent="0.15">
      <c r="A201" s="10"/>
      <c r="B201" s="13"/>
      <c r="C201" s="13"/>
    </row>
    <row r="202" spans="1:3" ht="13" x14ac:dyDescent="0.15">
      <c r="A202" s="10"/>
      <c r="B202" s="13"/>
      <c r="C202" s="13"/>
    </row>
    <row r="203" spans="1:3" ht="13" x14ac:dyDescent="0.15">
      <c r="A203" s="10"/>
      <c r="B203" s="13"/>
      <c r="C203" s="13"/>
    </row>
    <row r="204" spans="1:3" ht="13" x14ac:dyDescent="0.15">
      <c r="A204" s="10"/>
      <c r="B204" s="13"/>
      <c r="C204" s="13"/>
    </row>
    <row r="205" spans="1:3" ht="13" x14ac:dyDescent="0.15">
      <c r="A205" s="10"/>
      <c r="B205" s="13"/>
      <c r="C205" s="13"/>
    </row>
    <row r="206" spans="1:3" ht="13" x14ac:dyDescent="0.15">
      <c r="A206" s="10"/>
      <c r="B206" s="13"/>
      <c r="C206" s="13"/>
    </row>
    <row r="207" spans="1:3" ht="13" x14ac:dyDescent="0.15">
      <c r="A207" s="10"/>
      <c r="B207" s="13"/>
      <c r="C207" s="13"/>
    </row>
    <row r="208" spans="1:3" ht="13" x14ac:dyDescent="0.15">
      <c r="A208" s="10"/>
      <c r="B208" s="13"/>
      <c r="C208" s="13"/>
    </row>
    <row r="209" spans="1:3" ht="13" x14ac:dyDescent="0.15">
      <c r="A209" s="10"/>
      <c r="B209" s="13"/>
      <c r="C209" s="13"/>
    </row>
    <row r="210" spans="1:3" ht="13" x14ac:dyDescent="0.15">
      <c r="A210" s="10"/>
      <c r="B210" s="13"/>
      <c r="C210" s="13"/>
    </row>
    <row r="211" spans="1:3" ht="13" x14ac:dyDescent="0.15">
      <c r="A211" s="10"/>
      <c r="B211" s="13"/>
      <c r="C211" s="13"/>
    </row>
    <row r="212" spans="1:3" ht="13" x14ac:dyDescent="0.15">
      <c r="A212" s="10"/>
      <c r="B212" s="13"/>
      <c r="C212" s="13"/>
    </row>
    <row r="213" spans="1:3" ht="13" x14ac:dyDescent="0.15">
      <c r="A213" s="10"/>
      <c r="B213" s="13"/>
      <c r="C213" s="13"/>
    </row>
    <row r="214" spans="1:3" ht="13" x14ac:dyDescent="0.15">
      <c r="A214" s="10"/>
      <c r="B214" s="13"/>
      <c r="C214" s="13"/>
    </row>
    <row r="215" spans="1:3" ht="13" x14ac:dyDescent="0.15">
      <c r="A215" s="10"/>
      <c r="B215" s="13"/>
      <c r="C215" s="13"/>
    </row>
    <row r="216" spans="1:3" ht="13" x14ac:dyDescent="0.15">
      <c r="A216" s="10"/>
      <c r="B216" s="13"/>
      <c r="C216" s="13"/>
    </row>
    <row r="217" spans="1:3" ht="13" x14ac:dyDescent="0.15">
      <c r="A217" s="10"/>
      <c r="B217" s="13"/>
      <c r="C217" s="13"/>
    </row>
    <row r="218" spans="1:3" ht="13" x14ac:dyDescent="0.15">
      <c r="A218" s="10"/>
      <c r="B218" s="13"/>
      <c r="C218" s="13"/>
    </row>
    <row r="219" spans="1:3" ht="13" x14ac:dyDescent="0.15">
      <c r="A219" s="10"/>
      <c r="B219" s="13"/>
      <c r="C219" s="13"/>
    </row>
    <row r="220" spans="1:3" ht="13" x14ac:dyDescent="0.15">
      <c r="A220" s="10"/>
      <c r="B220" s="13"/>
      <c r="C220" s="13"/>
    </row>
    <row r="221" spans="1:3" ht="13" x14ac:dyDescent="0.15">
      <c r="A221" s="10"/>
      <c r="B221" s="13"/>
      <c r="C221" s="13"/>
    </row>
    <row r="222" spans="1:3" ht="13" x14ac:dyDescent="0.15">
      <c r="A222" s="10"/>
      <c r="B222" s="13"/>
      <c r="C222" s="13"/>
    </row>
    <row r="223" spans="1:3" ht="13" x14ac:dyDescent="0.15">
      <c r="A223" s="10"/>
      <c r="B223" s="13"/>
      <c r="C223" s="13"/>
    </row>
    <row r="224" spans="1:3" ht="13" x14ac:dyDescent="0.15">
      <c r="A224" s="10"/>
      <c r="B224" s="13"/>
      <c r="C224" s="13"/>
    </row>
    <row r="225" spans="1:3" ht="13" x14ac:dyDescent="0.15">
      <c r="A225" s="10"/>
      <c r="B225" s="13"/>
      <c r="C225" s="13"/>
    </row>
    <row r="226" spans="1:3" ht="13" x14ac:dyDescent="0.15">
      <c r="A226" s="10"/>
      <c r="B226" s="13"/>
      <c r="C226" s="13"/>
    </row>
    <row r="227" spans="1:3" ht="13" x14ac:dyDescent="0.15">
      <c r="A227" s="10"/>
      <c r="B227" s="13"/>
      <c r="C227" s="13"/>
    </row>
    <row r="228" spans="1:3" ht="13" x14ac:dyDescent="0.15">
      <c r="A228" s="10"/>
      <c r="B228" s="13"/>
      <c r="C228" s="13"/>
    </row>
    <row r="229" spans="1:3" ht="13" x14ac:dyDescent="0.15">
      <c r="A229" s="10"/>
      <c r="B229" s="13"/>
      <c r="C229" s="13"/>
    </row>
    <row r="230" spans="1:3" ht="13" x14ac:dyDescent="0.15">
      <c r="A230" s="10"/>
      <c r="B230" s="13"/>
      <c r="C230" s="13"/>
    </row>
    <row r="231" spans="1:3" ht="13" x14ac:dyDescent="0.15">
      <c r="A231" s="10"/>
      <c r="B231" s="13"/>
      <c r="C231" s="13"/>
    </row>
    <row r="232" spans="1:3" ht="13" x14ac:dyDescent="0.15">
      <c r="A232" s="10"/>
      <c r="B232" s="13"/>
      <c r="C232" s="13"/>
    </row>
    <row r="233" spans="1:3" ht="13" x14ac:dyDescent="0.15">
      <c r="A233" s="10"/>
      <c r="B233" s="13"/>
      <c r="C233" s="13"/>
    </row>
    <row r="234" spans="1:3" ht="13" x14ac:dyDescent="0.15">
      <c r="A234" s="10"/>
      <c r="B234" s="13"/>
      <c r="C234" s="13"/>
    </row>
    <row r="235" spans="1:3" ht="13" x14ac:dyDescent="0.15">
      <c r="A235" s="10"/>
      <c r="B235" s="13"/>
      <c r="C235" s="13"/>
    </row>
    <row r="236" spans="1:3" ht="13" x14ac:dyDescent="0.15">
      <c r="A236" s="10"/>
      <c r="B236" s="13"/>
      <c r="C236" s="13"/>
    </row>
    <row r="237" spans="1:3" ht="13" x14ac:dyDescent="0.15">
      <c r="A237" s="10"/>
      <c r="B237" s="13"/>
      <c r="C237" s="13"/>
    </row>
    <row r="238" spans="1:3" ht="13" x14ac:dyDescent="0.15">
      <c r="A238" s="10"/>
      <c r="B238" s="13"/>
      <c r="C238" s="13"/>
    </row>
    <row r="239" spans="1:3" ht="13" x14ac:dyDescent="0.15">
      <c r="A239" s="10"/>
      <c r="B239" s="13"/>
      <c r="C239" s="13"/>
    </row>
    <row r="240" spans="1:3" ht="13" x14ac:dyDescent="0.15">
      <c r="A240" s="10"/>
      <c r="B240" s="13"/>
      <c r="C240" s="13"/>
    </row>
    <row r="241" spans="1:3" ht="13" x14ac:dyDescent="0.15">
      <c r="A241" s="10"/>
      <c r="B241" s="13"/>
      <c r="C241" s="13"/>
    </row>
    <row r="242" spans="1:3" ht="13" x14ac:dyDescent="0.15">
      <c r="A242" s="10"/>
      <c r="B242" s="13"/>
      <c r="C242" s="13"/>
    </row>
    <row r="243" spans="1:3" ht="13" x14ac:dyDescent="0.15">
      <c r="A243" s="10"/>
      <c r="B243" s="13"/>
      <c r="C243" s="13"/>
    </row>
    <row r="244" spans="1:3" ht="13" x14ac:dyDescent="0.15">
      <c r="A244" s="10"/>
      <c r="B244" s="13"/>
      <c r="C244" s="13"/>
    </row>
    <row r="245" spans="1:3" ht="13" x14ac:dyDescent="0.15">
      <c r="A245" s="10"/>
      <c r="B245" s="13"/>
      <c r="C245" s="13"/>
    </row>
    <row r="246" spans="1:3" ht="13" x14ac:dyDescent="0.15">
      <c r="A246" s="10"/>
      <c r="B246" s="13"/>
      <c r="C246" s="13"/>
    </row>
    <row r="247" spans="1:3" ht="13" x14ac:dyDescent="0.15">
      <c r="A247" s="10"/>
      <c r="B247" s="13"/>
      <c r="C247" s="13"/>
    </row>
    <row r="248" spans="1:3" ht="13" x14ac:dyDescent="0.15">
      <c r="A248" s="10"/>
      <c r="B248" s="13"/>
      <c r="C248" s="13"/>
    </row>
    <row r="249" spans="1:3" ht="13" x14ac:dyDescent="0.15">
      <c r="A249" s="10"/>
      <c r="B249" s="13"/>
      <c r="C249" s="13"/>
    </row>
    <row r="250" spans="1:3" ht="13" x14ac:dyDescent="0.15">
      <c r="A250" s="10"/>
      <c r="B250" s="13"/>
      <c r="C250" s="13"/>
    </row>
    <row r="251" spans="1:3" ht="13" x14ac:dyDescent="0.15">
      <c r="A251" s="10"/>
      <c r="B251" s="13"/>
      <c r="C251" s="13"/>
    </row>
    <row r="252" spans="1:3" ht="13" x14ac:dyDescent="0.15">
      <c r="A252" s="10"/>
      <c r="B252" s="13"/>
      <c r="C252" s="13"/>
    </row>
    <row r="253" spans="1:3" ht="13" x14ac:dyDescent="0.15">
      <c r="A253" s="10"/>
      <c r="B253" s="13"/>
      <c r="C253" s="13"/>
    </row>
    <row r="254" spans="1:3" ht="13" x14ac:dyDescent="0.15">
      <c r="A254" s="10"/>
      <c r="B254" s="13"/>
      <c r="C254" s="13"/>
    </row>
    <row r="255" spans="1:3" ht="13" x14ac:dyDescent="0.15">
      <c r="A255" s="10"/>
      <c r="B255" s="13"/>
      <c r="C255" s="13"/>
    </row>
    <row r="256" spans="1:3" ht="13" x14ac:dyDescent="0.15">
      <c r="A256" s="10"/>
      <c r="B256" s="13"/>
      <c r="C256" s="13"/>
    </row>
    <row r="257" spans="1:3" ht="13" x14ac:dyDescent="0.15">
      <c r="A257" s="10"/>
      <c r="B257" s="13"/>
      <c r="C257" s="13"/>
    </row>
    <row r="258" spans="1:3" ht="13" x14ac:dyDescent="0.15">
      <c r="A258" s="10"/>
      <c r="B258" s="13"/>
      <c r="C258" s="13"/>
    </row>
    <row r="259" spans="1:3" ht="13" x14ac:dyDescent="0.15">
      <c r="A259" s="10"/>
      <c r="B259" s="13"/>
      <c r="C259" s="13"/>
    </row>
    <row r="260" spans="1:3" ht="13" x14ac:dyDescent="0.15">
      <c r="A260" s="10"/>
      <c r="B260" s="13"/>
      <c r="C260" s="13"/>
    </row>
    <row r="261" spans="1:3" ht="13" x14ac:dyDescent="0.15">
      <c r="A261" s="10"/>
      <c r="B261" s="13"/>
      <c r="C261" s="13"/>
    </row>
    <row r="262" spans="1:3" ht="13" x14ac:dyDescent="0.15">
      <c r="A262" s="10"/>
      <c r="B262" s="13"/>
      <c r="C262" s="13"/>
    </row>
    <row r="263" spans="1:3" ht="13" x14ac:dyDescent="0.15">
      <c r="A263" s="10"/>
      <c r="B263" s="13"/>
      <c r="C263" s="13"/>
    </row>
    <row r="264" spans="1:3" ht="13" x14ac:dyDescent="0.15">
      <c r="A264" s="10"/>
      <c r="B264" s="13"/>
      <c r="C264" s="13"/>
    </row>
    <row r="265" spans="1:3" ht="13" x14ac:dyDescent="0.15">
      <c r="A265" s="10"/>
      <c r="B265" s="13"/>
      <c r="C265" s="13"/>
    </row>
    <row r="266" spans="1:3" ht="13" x14ac:dyDescent="0.15">
      <c r="A266" s="10"/>
      <c r="B266" s="13"/>
      <c r="C266" s="13"/>
    </row>
    <row r="267" spans="1:3" ht="13" x14ac:dyDescent="0.15">
      <c r="A267" s="10"/>
      <c r="B267" s="13"/>
      <c r="C267" s="13"/>
    </row>
    <row r="268" spans="1:3" ht="13" x14ac:dyDescent="0.15">
      <c r="A268" s="10"/>
      <c r="B268" s="13"/>
      <c r="C268" s="13"/>
    </row>
    <row r="269" spans="1:3" ht="13" x14ac:dyDescent="0.15">
      <c r="A269" s="10"/>
      <c r="B269" s="13"/>
      <c r="C269" s="13"/>
    </row>
    <row r="270" spans="1:3" ht="13" x14ac:dyDescent="0.15">
      <c r="A270" s="10"/>
      <c r="B270" s="13"/>
      <c r="C270" s="13"/>
    </row>
    <row r="271" spans="1:3" ht="13" x14ac:dyDescent="0.15">
      <c r="A271" s="10"/>
      <c r="B271" s="13"/>
      <c r="C271" s="13"/>
    </row>
    <row r="272" spans="1:3" ht="13" x14ac:dyDescent="0.15">
      <c r="A272" s="10"/>
      <c r="B272" s="13"/>
      <c r="C272" s="13"/>
    </row>
    <row r="273" spans="1:3" ht="13" x14ac:dyDescent="0.15">
      <c r="A273" s="10"/>
      <c r="B273" s="13"/>
      <c r="C273" s="13"/>
    </row>
    <row r="274" spans="1:3" ht="13" x14ac:dyDescent="0.15">
      <c r="A274" s="10"/>
      <c r="B274" s="13"/>
      <c r="C274" s="13"/>
    </row>
    <row r="275" spans="1:3" ht="13" x14ac:dyDescent="0.15">
      <c r="A275" s="10"/>
      <c r="B275" s="13"/>
      <c r="C275" s="13"/>
    </row>
    <row r="276" spans="1:3" ht="13" x14ac:dyDescent="0.15">
      <c r="A276" s="10"/>
      <c r="B276" s="13"/>
      <c r="C276" s="13"/>
    </row>
    <row r="277" spans="1:3" ht="13" x14ac:dyDescent="0.15">
      <c r="A277" s="10"/>
      <c r="B277" s="13"/>
      <c r="C277" s="13"/>
    </row>
    <row r="278" spans="1:3" ht="13" x14ac:dyDescent="0.15">
      <c r="A278" s="10"/>
      <c r="B278" s="13"/>
      <c r="C278" s="13"/>
    </row>
    <row r="279" spans="1:3" ht="13" x14ac:dyDescent="0.15">
      <c r="A279" s="10"/>
      <c r="B279" s="13"/>
      <c r="C279" s="13"/>
    </row>
    <row r="280" spans="1:3" ht="13" x14ac:dyDescent="0.15">
      <c r="A280" s="10"/>
      <c r="B280" s="13"/>
      <c r="C280" s="13"/>
    </row>
    <row r="281" spans="1:3" ht="13" x14ac:dyDescent="0.15">
      <c r="A281" s="10"/>
      <c r="B281" s="13"/>
      <c r="C281" s="13"/>
    </row>
    <row r="282" spans="1:3" ht="13" x14ac:dyDescent="0.15">
      <c r="A282" s="10"/>
      <c r="B282" s="13"/>
      <c r="C282" s="13"/>
    </row>
    <row r="283" spans="1:3" ht="13" x14ac:dyDescent="0.15">
      <c r="A283" s="10"/>
      <c r="B283" s="13"/>
      <c r="C283" s="13"/>
    </row>
    <row r="284" spans="1:3" ht="13" x14ac:dyDescent="0.15">
      <c r="A284" s="10"/>
      <c r="B284" s="13"/>
      <c r="C284" s="13"/>
    </row>
    <row r="285" spans="1:3" ht="13" x14ac:dyDescent="0.15">
      <c r="A285" s="10"/>
      <c r="B285" s="13"/>
      <c r="C285" s="13"/>
    </row>
    <row r="286" spans="1:3" ht="13" x14ac:dyDescent="0.15">
      <c r="A286" s="10"/>
      <c r="B286" s="13"/>
      <c r="C286" s="13"/>
    </row>
    <row r="287" spans="1:3" ht="13" x14ac:dyDescent="0.15">
      <c r="A287" s="10"/>
      <c r="B287" s="13"/>
      <c r="C287" s="13"/>
    </row>
    <row r="288" spans="1:3" ht="13" x14ac:dyDescent="0.15">
      <c r="A288" s="10"/>
      <c r="B288" s="13"/>
      <c r="C288" s="13"/>
    </row>
    <row r="289" spans="1:3" ht="13" x14ac:dyDescent="0.15">
      <c r="A289" s="10"/>
      <c r="B289" s="13"/>
      <c r="C289" s="13"/>
    </row>
    <row r="290" spans="1:3" ht="13" x14ac:dyDescent="0.15">
      <c r="A290" s="10"/>
      <c r="B290" s="13"/>
      <c r="C290" s="13"/>
    </row>
    <row r="291" spans="1:3" ht="13" x14ac:dyDescent="0.15">
      <c r="A291" s="10"/>
      <c r="B291" s="13"/>
      <c r="C291" s="13"/>
    </row>
    <row r="292" spans="1:3" ht="13" x14ac:dyDescent="0.15">
      <c r="A292" s="10"/>
      <c r="B292" s="13"/>
      <c r="C292" s="13"/>
    </row>
    <row r="293" spans="1:3" ht="13" x14ac:dyDescent="0.15">
      <c r="A293" s="10"/>
      <c r="B293" s="13"/>
      <c r="C293" s="13"/>
    </row>
    <row r="294" spans="1:3" ht="13" x14ac:dyDescent="0.15">
      <c r="A294" s="10"/>
      <c r="B294" s="13"/>
      <c r="C294" s="13"/>
    </row>
    <row r="295" spans="1:3" ht="13" x14ac:dyDescent="0.15">
      <c r="A295" s="10"/>
      <c r="B295" s="13"/>
      <c r="C295" s="13"/>
    </row>
    <row r="296" spans="1:3" ht="13" x14ac:dyDescent="0.15">
      <c r="A296" s="10"/>
      <c r="B296" s="13"/>
      <c r="C296" s="13"/>
    </row>
    <row r="297" spans="1:3" ht="13" x14ac:dyDescent="0.15">
      <c r="A297" s="10"/>
      <c r="B297" s="13"/>
      <c r="C297" s="13"/>
    </row>
    <row r="298" spans="1:3" ht="13" x14ac:dyDescent="0.15">
      <c r="A298" s="10"/>
      <c r="B298" s="13"/>
      <c r="C298" s="13"/>
    </row>
    <row r="299" spans="1:3" ht="13" x14ac:dyDescent="0.15">
      <c r="A299" s="10"/>
      <c r="B299" s="13"/>
      <c r="C299" s="13"/>
    </row>
    <row r="300" spans="1:3" ht="13" x14ac:dyDescent="0.15">
      <c r="A300" s="10"/>
      <c r="B300" s="13"/>
      <c r="C300" s="13"/>
    </row>
    <row r="301" spans="1:3" ht="13" x14ac:dyDescent="0.15">
      <c r="A301" s="10"/>
      <c r="B301" s="13"/>
      <c r="C301" s="13"/>
    </row>
    <row r="302" spans="1:3" ht="13" x14ac:dyDescent="0.15">
      <c r="A302" s="10"/>
      <c r="B302" s="13"/>
      <c r="C302" s="13"/>
    </row>
    <row r="303" spans="1:3" ht="13" x14ac:dyDescent="0.15">
      <c r="A303" s="10"/>
      <c r="B303" s="13"/>
      <c r="C303" s="13"/>
    </row>
    <row r="304" spans="1:3" ht="13" x14ac:dyDescent="0.15">
      <c r="A304" s="10"/>
      <c r="B304" s="13"/>
      <c r="C304" s="13"/>
    </row>
    <row r="305" spans="1:3" ht="13" x14ac:dyDescent="0.15">
      <c r="A305" s="10"/>
      <c r="B305" s="13"/>
      <c r="C305" s="13"/>
    </row>
    <row r="306" spans="1:3" ht="13" x14ac:dyDescent="0.15">
      <c r="A306" s="10"/>
      <c r="B306" s="13"/>
      <c r="C306" s="13"/>
    </row>
    <row r="307" spans="1:3" ht="13" x14ac:dyDescent="0.15">
      <c r="A307" s="10"/>
      <c r="B307" s="13"/>
      <c r="C307" s="13"/>
    </row>
    <row r="308" spans="1:3" ht="13" x14ac:dyDescent="0.15">
      <c r="A308" s="10"/>
      <c r="B308" s="13"/>
      <c r="C308" s="13"/>
    </row>
    <row r="309" spans="1:3" ht="13" x14ac:dyDescent="0.15">
      <c r="A309" s="10"/>
      <c r="B309" s="13"/>
      <c r="C309" s="13"/>
    </row>
    <row r="310" spans="1:3" ht="13" x14ac:dyDescent="0.15">
      <c r="A310" s="10"/>
      <c r="B310" s="13"/>
      <c r="C310" s="13"/>
    </row>
    <row r="311" spans="1:3" ht="13" x14ac:dyDescent="0.15">
      <c r="A311" s="10"/>
      <c r="B311" s="13"/>
      <c r="C311" s="13"/>
    </row>
    <row r="312" spans="1:3" ht="13" x14ac:dyDescent="0.15">
      <c r="A312" s="10"/>
      <c r="B312" s="13"/>
      <c r="C312" s="13"/>
    </row>
    <row r="313" spans="1:3" ht="13" x14ac:dyDescent="0.15">
      <c r="A313" s="10"/>
      <c r="B313" s="13"/>
      <c r="C313" s="13"/>
    </row>
    <row r="314" spans="1:3" ht="13" x14ac:dyDescent="0.15">
      <c r="A314" s="10"/>
      <c r="B314" s="13"/>
      <c r="C314" s="13"/>
    </row>
    <row r="315" spans="1:3" ht="13" x14ac:dyDescent="0.15">
      <c r="A315" s="10"/>
      <c r="B315" s="13"/>
      <c r="C315" s="13"/>
    </row>
    <row r="316" spans="1:3" ht="13" x14ac:dyDescent="0.15">
      <c r="A316" s="10"/>
      <c r="B316" s="13"/>
      <c r="C316" s="13"/>
    </row>
    <row r="317" spans="1:3" ht="13" x14ac:dyDescent="0.15">
      <c r="A317" s="10"/>
      <c r="B317" s="13"/>
      <c r="C317" s="13"/>
    </row>
    <row r="318" spans="1:3" ht="13" x14ac:dyDescent="0.15">
      <c r="A318" s="10"/>
      <c r="B318" s="13"/>
      <c r="C318" s="13"/>
    </row>
    <row r="319" spans="1:3" ht="13" x14ac:dyDescent="0.15">
      <c r="A319" s="10"/>
      <c r="B319" s="13"/>
      <c r="C319" s="13"/>
    </row>
    <row r="320" spans="1:3" ht="13" x14ac:dyDescent="0.15">
      <c r="A320" s="10"/>
      <c r="B320" s="13"/>
      <c r="C320" s="13"/>
    </row>
    <row r="321" spans="1:3" ht="13" x14ac:dyDescent="0.15">
      <c r="A321" s="10"/>
      <c r="B321" s="13"/>
      <c r="C321" s="13"/>
    </row>
    <row r="322" spans="1:3" ht="13" x14ac:dyDescent="0.15">
      <c r="A322" s="10"/>
      <c r="B322" s="13"/>
      <c r="C322" s="13"/>
    </row>
    <row r="323" spans="1:3" ht="13" x14ac:dyDescent="0.15">
      <c r="A323" s="10"/>
      <c r="B323" s="13"/>
      <c r="C323" s="13"/>
    </row>
    <row r="324" spans="1:3" ht="13" x14ac:dyDescent="0.15">
      <c r="A324" s="10"/>
      <c r="B324" s="13"/>
      <c r="C324" s="13"/>
    </row>
    <row r="325" spans="1:3" ht="13" x14ac:dyDescent="0.15">
      <c r="A325" s="10"/>
      <c r="B325" s="13"/>
      <c r="C325" s="13"/>
    </row>
    <row r="326" spans="1:3" ht="13" x14ac:dyDescent="0.15">
      <c r="A326" s="10"/>
      <c r="B326" s="13"/>
      <c r="C326" s="13"/>
    </row>
    <row r="327" spans="1:3" ht="13" x14ac:dyDescent="0.15">
      <c r="A327" s="10"/>
      <c r="B327" s="13"/>
      <c r="C327" s="13"/>
    </row>
    <row r="328" spans="1:3" ht="13" x14ac:dyDescent="0.15">
      <c r="A328" s="10"/>
      <c r="B328" s="13"/>
      <c r="C328" s="13"/>
    </row>
    <row r="329" spans="1:3" ht="13" x14ac:dyDescent="0.15">
      <c r="A329" s="10"/>
      <c r="B329" s="13"/>
      <c r="C329" s="13"/>
    </row>
    <row r="330" spans="1:3" ht="13" x14ac:dyDescent="0.15">
      <c r="A330" s="10"/>
      <c r="B330" s="13"/>
      <c r="C330" s="13"/>
    </row>
    <row r="331" spans="1:3" ht="13" x14ac:dyDescent="0.15">
      <c r="A331" s="10"/>
      <c r="B331" s="13"/>
      <c r="C331" s="13"/>
    </row>
    <row r="332" spans="1:3" ht="13" x14ac:dyDescent="0.15">
      <c r="A332" s="10"/>
      <c r="B332" s="13"/>
      <c r="C332" s="13"/>
    </row>
    <row r="333" spans="1:3" ht="13" x14ac:dyDescent="0.15">
      <c r="A333" s="10"/>
      <c r="B333" s="13"/>
      <c r="C333" s="13"/>
    </row>
    <row r="334" spans="1:3" ht="13" x14ac:dyDescent="0.15">
      <c r="A334" s="10"/>
      <c r="B334" s="13"/>
      <c r="C334" s="13"/>
    </row>
    <row r="335" spans="1:3" ht="13" x14ac:dyDescent="0.15">
      <c r="A335" s="10"/>
      <c r="B335" s="13"/>
      <c r="C335" s="13"/>
    </row>
    <row r="336" spans="1:3" ht="13" x14ac:dyDescent="0.15">
      <c r="A336" s="10"/>
      <c r="B336" s="13"/>
      <c r="C336" s="13"/>
    </row>
    <row r="337" spans="1:3" ht="13" x14ac:dyDescent="0.15">
      <c r="A337" s="10"/>
      <c r="B337" s="13"/>
      <c r="C337" s="13"/>
    </row>
    <row r="338" spans="1:3" ht="13" x14ac:dyDescent="0.15">
      <c r="A338" s="10"/>
      <c r="B338" s="13"/>
      <c r="C338" s="13"/>
    </row>
    <row r="339" spans="1:3" ht="13" x14ac:dyDescent="0.15">
      <c r="A339" s="10"/>
      <c r="B339" s="13"/>
      <c r="C339" s="13"/>
    </row>
    <row r="340" spans="1:3" ht="13" x14ac:dyDescent="0.15">
      <c r="A340" s="10"/>
      <c r="B340" s="13"/>
      <c r="C340" s="13"/>
    </row>
    <row r="341" spans="1:3" ht="13" x14ac:dyDescent="0.15">
      <c r="A341" s="10"/>
      <c r="B341" s="13"/>
      <c r="C341" s="13"/>
    </row>
    <row r="342" spans="1:3" ht="13" x14ac:dyDescent="0.15">
      <c r="A342" s="10"/>
      <c r="B342" s="13"/>
      <c r="C342" s="13"/>
    </row>
    <row r="343" spans="1:3" ht="13" x14ac:dyDescent="0.15">
      <c r="A343" s="10"/>
      <c r="B343" s="13"/>
      <c r="C343" s="13"/>
    </row>
    <row r="344" spans="1:3" ht="13" x14ac:dyDescent="0.15">
      <c r="A344" s="10"/>
      <c r="B344" s="13"/>
      <c r="C344" s="13"/>
    </row>
    <row r="345" spans="1:3" ht="13" x14ac:dyDescent="0.15">
      <c r="A345" s="10"/>
      <c r="B345" s="13"/>
      <c r="C345" s="13"/>
    </row>
    <row r="346" spans="1:3" ht="13" x14ac:dyDescent="0.15">
      <c r="A346" s="10"/>
      <c r="B346" s="13"/>
      <c r="C346" s="13"/>
    </row>
    <row r="347" spans="1:3" ht="13" x14ac:dyDescent="0.15">
      <c r="A347" s="10"/>
      <c r="B347" s="13"/>
      <c r="C347" s="13"/>
    </row>
    <row r="348" spans="1:3" ht="13" x14ac:dyDescent="0.15">
      <c r="A348" s="10"/>
      <c r="B348" s="13"/>
      <c r="C348" s="13"/>
    </row>
    <row r="349" spans="1:3" ht="13" x14ac:dyDescent="0.15">
      <c r="A349" s="10"/>
      <c r="B349" s="13"/>
      <c r="C349" s="13"/>
    </row>
    <row r="350" spans="1:3" ht="13" x14ac:dyDescent="0.15">
      <c r="A350" s="10"/>
      <c r="B350" s="13"/>
      <c r="C350" s="13"/>
    </row>
    <row r="351" spans="1:3" ht="13" x14ac:dyDescent="0.15">
      <c r="A351" s="10"/>
      <c r="B351" s="13"/>
      <c r="C351" s="13"/>
    </row>
    <row r="352" spans="1:3" ht="13" x14ac:dyDescent="0.15">
      <c r="A352" s="10"/>
      <c r="B352" s="13"/>
      <c r="C352" s="13"/>
    </row>
    <row r="353" spans="1:3" ht="13" x14ac:dyDescent="0.15">
      <c r="A353" s="10"/>
      <c r="B353" s="13"/>
      <c r="C353" s="13"/>
    </row>
    <row r="354" spans="1:3" ht="13" x14ac:dyDescent="0.15">
      <c r="A354" s="10"/>
      <c r="B354" s="13"/>
      <c r="C354" s="13"/>
    </row>
    <row r="355" spans="1:3" ht="13" x14ac:dyDescent="0.15">
      <c r="A355" s="10"/>
      <c r="B355" s="13"/>
      <c r="C355" s="13"/>
    </row>
    <row r="356" spans="1:3" ht="13" x14ac:dyDescent="0.15">
      <c r="A356" s="10"/>
      <c r="B356" s="13"/>
      <c r="C356" s="13"/>
    </row>
    <row r="357" spans="1:3" ht="13" x14ac:dyDescent="0.15">
      <c r="A357" s="10"/>
      <c r="B357" s="13"/>
      <c r="C357" s="13"/>
    </row>
    <row r="358" spans="1:3" ht="13" x14ac:dyDescent="0.15">
      <c r="A358" s="10"/>
      <c r="B358" s="13"/>
      <c r="C358" s="13"/>
    </row>
    <row r="359" spans="1:3" ht="13" x14ac:dyDescent="0.15">
      <c r="A359" s="10"/>
      <c r="B359" s="13"/>
      <c r="C359" s="13"/>
    </row>
    <row r="360" spans="1:3" ht="13" x14ac:dyDescent="0.15">
      <c r="A360" s="10"/>
      <c r="B360" s="13"/>
      <c r="C360" s="13"/>
    </row>
    <row r="361" spans="1:3" ht="13" x14ac:dyDescent="0.15">
      <c r="A361" s="10"/>
      <c r="B361" s="13"/>
      <c r="C361" s="13"/>
    </row>
    <row r="362" spans="1:3" ht="13" x14ac:dyDescent="0.15">
      <c r="A362" s="10"/>
      <c r="B362" s="13"/>
      <c r="C362" s="13"/>
    </row>
    <row r="363" spans="1:3" ht="13" x14ac:dyDescent="0.15">
      <c r="A363" s="10"/>
      <c r="B363" s="13"/>
      <c r="C363" s="13"/>
    </row>
    <row r="364" spans="1:3" ht="13" x14ac:dyDescent="0.15">
      <c r="A364" s="10"/>
      <c r="B364" s="13"/>
      <c r="C364" s="13"/>
    </row>
    <row r="365" spans="1:3" ht="13" x14ac:dyDescent="0.15">
      <c r="A365" s="10"/>
      <c r="B365" s="13"/>
      <c r="C365" s="13"/>
    </row>
    <row r="366" spans="1:3" ht="13" x14ac:dyDescent="0.15">
      <c r="A366" s="10"/>
      <c r="B366" s="13"/>
      <c r="C366" s="13"/>
    </row>
    <row r="367" spans="1:3" ht="13" x14ac:dyDescent="0.15">
      <c r="A367" s="10"/>
      <c r="B367" s="13"/>
      <c r="C367" s="13"/>
    </row>
    <row r="368" spans="1:3" ht="13" x14ac:dyDescent="0.15">
      <c r="A368" s="10"/>
      <c r="B368" s="13"/>
      <c r="C368" s="13"/>
    </row>
    <row r="369" spans="1:3" ht="13" x14ac:dyDescent="0.15">
      <c r="A369" s="10"/>
      <c r="B369" s="13"/>
      <c r="C369" s="13"/>
    </row>
    <row r="370" spans="1:3" ht="13" x14ac:dyDescent="0.15">
      <c r="A370" s="10"/>
      <c r="B370" s="13"/>
      <c r="C370" s="13"/>
    </row>
    <row r="371" spans="1:3" ht="13" x14ac:dyDescent="0.15">
      <c r="A371" s="10"/>
      <c r="B371" s="13"/>
      <c r="C371" s="13"/>
    </row>
    <row r="372" spans="1:3" ht="13" x14ac:dyDescent="0.15">
      <c r="A372" s="10"/>
      <c r="B372" s="13"/>
      <c r="C372" s="13"/>
    </row>
    <row r="373" spans="1:3" ht="13" x14ac:dyDescent="0.15">
      <c r="A373" s="10"/>
      <c r="B373" s="13"/>
      <c r="C373" s="13"/>
    </row>
    <row r="374" spans="1:3" ht="13" x14ac:dyDescent="0.15">
      <c r="A374" s="10"/>
      <c r="B374" s="13"/>
      <c r="C374" s="13"/>
    </row>
    <row r="375" spans="1:3" ht="13" x14ac:dyDescent="0.15">
      <c r="A375" s="10"/>
      <c r="B375" s="13"/>
      <c r="C375" s="13"/>
    </row>
    <row r="376" spans="1:3" ht="13" x14ac:dyDescent="0.15">
      <c r="A376" s="10"/>
      <c r="B376" s="13"/>
      <c r="C376" s="13"/>
    </row>
    <row r="377" spans="1:3" ht="13" x14ac:dyDescent="0.15">
      <c r="A377" s="10"/>
      <c r="B377" s="13"/>
      <c r="C377" s="13"/>
    </row>
    <row r="378" spans="1:3" ht="13" x14ac:dyDescent="0.15">
      <c r="A378" s="10"/>
      <c r="B378" s="13"/>
      <c r="C378" s="13"/>
    </row>
    <row r="379" spans="1:3" ht="13" x14ac:dyDescent="0.15">
      <c r="A379" s="10"/>
      <c r="B379" s="13"/>
      <c r="C379" s="13"/>
    </row>
    <row r="380" spans="1:3" ht="13" x14ac:dyDescent="0.15">
      <c r="A380" s="10"/>
      <c r="B380" s="13"/>
      <c r="C380" s="13"/>
    </row>
    <row r="381" spans="1:3" ht="13" x14ac:dyDescent="0.15">
      <c r="A381" s="10"/>
      <c r="B381" s="13"/>
      <c r="C381" s="13"/>
    </row>
    <row r="382" spans="1:3" ht="13" x14ac:dyDescent="0.15">
      <c r="A382" s="10"/>
      <c r="B382" s="13"/>
      <c r="C382" s="13"/>
    </row>
    <row r="383" spans="1:3" ht="13" x14ac:dyDescent="0.15">
      <c r="A383" s="10"/>
      <c r="B383" s="13"/>
      <c r="C383" s="13"/>
    </row>
    <row r="384" spans="1:3" ht="13" x14ac:dyDescent="0.15">
      <c r="A384" s="10"/>
      <c r="B384" s="13"/>
      <c r="C384" s="13"/>
    </row>
    <row r="385" spans="1:3" ht="13" x14ac:dyDescent="0.15">
      <c r="A385" s="10"/>
      <c r="B385" s="13"/>
      <c r="C385" s="13"/>
    </row>
    <row r="386" spans="1:3" ht="13" x14ac:dyDescent="0.15">
      <c r="A386" s="10"/>
      <c r="B386" s="13"/>
      <c r="C386" s="13"/>
    </row>
    <row r="387" spans="1:3" ht="13" x14ac:dyDescent="0.15">
      <c r="A387" s="10"/>
      <c r="B387" s="13"/>
      <c r="C387" s="13"/>
    </row>
    <row r="388" spans="1:3" ht="13" x14ac:dyDescent="0.15">
      <c r="A388" s="10"/>
      <c r="B388" s="13"/>
      <c r="C388" s="13"/>
    </row>
    <row r="389" spans="1:3" ht="13" x14ac:dyDescent="0.15">
      <c r="A389" s="10"/>
      <c r="B389" s="13"/>
      <c r="C389" s="13"/>
    </row>
    <row r="390" spans="1:3" ht="13" x14ac:dyDescent="0.15">
      <c r="A390" s="10"/>
      <c r="B390" s="13"/>
      <c r="C390" s="13"/>
    </row>
    <row r="391" spans="1:3" ht="13" x14ac:dyDescent="0.15">
      <c r="A391" s="10"/>
      <c r="B391" s="13"/>
      <c r="C391" s="13"/>
    </row>
    <row r="392" spans="1:3" ht="13" x14ac:dyDescent="0.15">
      <c r="A392" s="10"/>
      <c r="B392" s="13"/>
      <c r="C392" s="13"/>
    </row>
    <row r="393" spans="1:3" ht="13" x14ac:dyDescent="0.15">
      <c r="A393" s="10"/>
      <c r="B393" s="13"/>
      <c r="C393" s="13"/>
    </row>
    <row r="394" spans="1:3" ht="13" x14ac:dyDescent="0.15">
      <c r="A394" s="10"/>
      <c r="B394" s="13"/>
      <c r="C394" s="13"/>
    </row>
    <row r="395" spans="1:3" ht="13" x14ac:dyDescent="0.15">
      <c r="A395" s="10"/>
      <c r="B395" s="13"/>
      <c r="C395" s="13"/>
    </row>
    <row r="396" spans="1:3" ht="13" x14ac:dyDescent="0.15">
      <c r="A396" s="10"/>
      <c r="B396" s="13"/>
      <c r="C396" s="13"/>
    </row>
    <row r="397" spans="1:3" ht="13" x14ac:dyDescent="0.15">
      <c r="A397" s="10"/>
      <c r="B397" s="13"/>
      <c r="C397" s="13"/>
    </row>
    <row r="398" spans="1:3" ht="13" x14ac:dyDescent="0.15">
      <c r="A398" s="10"/>
      <c r="B398" s="13"/>
      <c r="C398" s="13"/>
    </row>
    <row r="399" spans="1:3" ht="13" x14ac:dyDescent="0.15">
      <c r="A399" s="10"/>
      <c r="B399" s="13"/>
      <c r="C399" s="13"/>
    </row>
    <row r="400" spans="1:3" ht="13" x14ac:dyDescent="0.15">
      <c r="A400" s="10"/>
      <c r="B400" s="13"/>
      <c r="C400" s="13"/>
    </row>
    <row r="401" spans="1:3" ht="13" x14ac:dyDescent="0.15">
      <c r="A401" s="10"/>
      <c r="B401" s="13"/>
      <c r="C401" s="13"/>
    </row>
    <row r="402" spans="1:3" ht="13" x14ac:dyDescent="0.15">
      <c r="A402" s="10"/>
      <c r="B402" s="13"/>
      <c r="C402" s="13"/>
    </row>
    <row r="403" spans="1:3" ht="13" x14ac:dyDescent="0.15">
      <c r="A403" s="10"/>
      <c r="B403" s="13"/>
      <c r="C403" s="13"/>
    </row>
    <row r="404" spans="1:3" ht="13" x14ac:dyDescent="0.15">
      <c r="A404" s="10"/>
      <c r="B404" s="13"/>
      <c r="C404" s="13"/>
    </row>
    <row r="405" spans="1:3" ht="13" x14ac:dyDescent="0.15">
      <c r="A405" s="10"/>
      <c r="B405" s="13"/>
      <c r="C405" s="13"/>
    </row>
    <row r="406" spans="1:3" ht="13" x14ac:dyDescent="0.15">
      <c r="A406" s="10"/>
      <c r="B406" s="13"/>
      <c r="C406" s="13"/>
    </row>
    <row r="407" spans="1:3" ht="13" x14ac:dyDescent="0.15">
      <c r="A407" s="10"/>
      <c r="B407" s="13"/>
      <c r="C407" s="13"/>
    </row>
    <row r="408" spans="1:3" ht="13" x14ac:dyDescent="0.15">
      <c r="A408" s="10"/>
      <c r="B408" s="13"/>
      <c r="C408" s="13"/>
    </row>
    <row r="409" spans="1:3" ht="13" x14ac:dyDescent="0.15">
      <c r="A409" s="10"/>
      <c r="B409" s="13"/>
      <c r="C409" s="13"/>
    </row>
    <row r="410" spans="1:3" ht="13" x14ac:dyDescent="0.15">
      <c r="A410" s="10"/>
      <c r="B410" s="13"/>
      <c r="C410" s="13"/>
    </row>
    <row r="411" spans="1:3" ht="13" x14ac:dyDescent="0.15">
      <c r="A411" s="10"/>
      <c r="B411" s="13"/>
      <c r="C411" s="13"/>
    </row>
    <row r="412" spans="1:3" ht="13" x14ac:dyDescent="0.15">
      <c r="A412" s="10"/>
      <c r="B412" s="13"/>
      <c r="C412" s="13"/>
    </row>
    <row r="413" spans="1:3" ht="13" x14ac:dyDescent="0.15">
      <c r="A413" s="10"/>
      <c r="B413" s="13"/>
      <c r="C413" s="13"/>
    </row>
    <row r="414" spans="1:3" ht="13" x14ac:dyDescent="0.15">
      <c r="A414" s="10"/>
      <c r="B414" s="13"/>
      <c r="C414" s="13"/>
    </row>
    <row r="415" spans="1:3" ht="13" x14ac:dyDescent="0.15">
      <c r="A415" s="10"/>
      <c r="B415" s="13"/>
      <c r="C415" s="13"/>
    </row>
    <row r="416" spans="1:3" ht="13" x14ac:dyDescent="0.15">
      <c r="A416" s="10"/>
      <c r="B416" s="13"/>
      <c r="C416" s="13"/>
    </row>
    <row r="417" spans="1:3" ht="13" x14ac:dyDescent="0.15">
      <c r="A417" s="10"/>
      <c r="B417" s="13"/>
      <c r="C417" s="13"/>
    </row>
    <row r="418" spans="1:3" ht="13" x14ac:dyDescent="0.15">
      <c r="A418" s="10"/>
      <c r="B418" s="13"/>
      <c r="C418" s="13"/>
    </row>
    <row r="419" spans="1:3" ht="13" x14ac:dyDescent="0.15">
      <c r="A419" s="10"/>
      <c r="B419" s="13"/>
      <c r="C419" s="13"/>
    </row>
    <row r="420" spans="1:3" ht="13" x14ac:dyDescent="0.15">
      <c r="A420" s="10"/>
      <c r="B420" s="13"/>
      <c r="C420" s="13"/>
    </row>
    <row r="421" spans="1:3" ht="13" x14ac:dyDescent="0.15">
      <c r="A421" s="10"/>
      <c r="B421" s="13"/>
      <c r="C421" s="13"/>
    </row>
    <row r="422" spans="1:3" ht="13" x14ac:dyDescent="0.15">
      <c r="A422" s="10"/>
      <c r="B422" s="13"/>
      <c r="C422" s="13"/>
    </row>
    <row r="423" spans="1:3" ht="13" x14ac:dyDescent="0.15">
      <c r="A423" s="10"/>
      <c r="B423" s="13"/>
      <c r="C423" s="13"/>
    </row>
    <row r="424" spans="1:3" ht="13" x14ac:dyDescent="0.15">
      <c r="A424" s="10"/>
      <c r="B424" s="13"/>
      <c r="C424" s="13"/>
    </row>
    <row r="425" spans="1:3" ht="13" x14ac:dyDescent="0.15">
      <c r="A425" s="10"/>
      <c r="B425" s="13"/>
      <c r="C425" s="13"/>
    </row>
    <row r="426" spans="1:3" ht="13" x14ac:dyDescent="0.15">
      <c r="A426" s="10"/>
      <c r="B426" s="13"/>
      <c r="C426" s="13"/>
    </row>
    <row r="427" spans="1:3" ht="13" x14ac:dyDescent="0.15">
      <c r="A427" s="10"/>
      <c r="B427" s="13"/>
      <c r="C427" s="13"/>
    </row>
    <row r="428" spans="1:3" ht="13" x14ac:dyDescent="0.15">
      <c r="A428" s="10"/>
      <c r="B428" s="13"/>
      <c r="C428" s="13"/>
    </row>
    <row r="429" spans="1:3" ht="13" x14ac:dyDescent="0.15">
      <c r="A429" s="10"/>
      <c r="B429" s="13"/>
      <c r="C429" s="13"/>
    </row>
    <row r="430" spans="1:3" ht="13" x14ac:dyDescent="0.15">
      <c r="A430" s="10"/>
      <c r="B430" s="13"/>
      <c r="C430" s="13"/>
    </row>
    <row r="431" spans="1:3" ht="13" x14ac:dyDescent="0.15">
      <c r="A431" s="10"/>
      <c r="B431" s="13"/>
      <c r="C431" s="13"/>
    </row>
    <row r="432" spans="1:3" ht="13" x14ac:dyDescent="0.15">
      <c r="A432" s="10"/>
      <c r="B432" s="13"/>
      <c r="C432" s="13"/>
    </row>
    <row r="433" spans="1:3" ht="13" x14ac:dyDescent="0.15">
      <c r="A433" s="10"/>
      <c r="B433" s="13"/>
      <c r="C433" s="13"/>
    </row>
    <row r="434" spans="1:3" ht="13" x14ac:dyDescent="0.15">
      <c r="A434" s="10"/>
      <c r="B434" s="13"/>
      <c r="C434" s="13"/>
    </row>
    <row r="435" spans="1:3" ht="13" x14ac:dyDescent="0.15">
      <c r="A435" s="10"/>
      <c r="B435" s="13"/>
      <c r="C435" s="13"/>
    </row>
    <row r="436" spans="1:3" ht="13" x14ac:dyDescent="0.15">
      <c r="A436" s="10"/>
      <c r="B436" s="13"/>
      <c r="C436" s="13"/>
    </row>
    <row r="437" spans="1:3" ht="13" x14ac:dyDescent="0.15">
      <c r="A437" s="10"/>
      <c r="B437" s="13"/>
      <c r="C437" s="13"/>
    </row>
    <row r="438" spans="1:3" ht="13" x14ac:dyDescent="0.15">
      <c r="A438" s="10"/>
      <c r="B438" s="13"/>
      <c r="C438" s="13"/>
    </row>
    <row r="439" spans="1:3" ht="13" x14ac:dyDescent="0.15">
      <c r="A439" s="10"/>
      <c r="B439" s="13"/>
      <c r="C439" s="13"/>
    </row>
    <row r="440" spans="1:3" ht="13" x14ac:dyDescent="0.15">
      <c r="A440" s="10"/>
      <c r="B440" s="13"/>
      <c r="C440" s="13"/>
    </row>
    <row r="441" spans="1:3" ht="13" x14ac:dyDescent="0.15">
      <c r="A441" s="10"/>
      <c r="B441" s="13"/>
      <c r="C441" s="13"/>
    </row>
    <row r="442" spans="1:3" ht="13" x14ac:dyDescent="0.15">
      <c r="A442" s="10"/>
      <c r="B442" s="13"/>
      <c r="C442" s="13"/>
    </row>
    <row r="443" spans="1:3" ht="13" x14ac:dyDescent="0.15">
      <c r="A443" s="10"/>
      <c r="B443" s="13"/>
      <c r="C443" s="13"/>
    </row>
    <row r="444" spans="1:3" ht="13" x14ac:dyDescent="0.15">
      <c r="A444" s="10"/>
      <c r="B444" s="13"/>
      <c r="C444" s="13"/>
    </row>
    <row r="445" spans="1:3" ht="13" x14ac:dyDescent="0.15">
      <c r="A445" s="10"/>
      <c r="B445" s="13"/>
      <c r="C445" s="13"/>
    </row>
    <row r="446" spans="1:3" ht="13" x14ac:dyDescent="0.15">
      <c r="A446" s="10"/>
      <c r="B446" s="13"/>
      <c r="C446" s="13"/>
    </row>
    <row r="447" spans="1:3" ht="13" x14ac:dyDescent="0.15">
      <c r="A447" s="10"/>
      <c r="B447" s="13"/>
      <c r="C447" s="13"/>
    </row>
    <row r="448" spans="1:3" ht="13" x14ac:dyDescent="0.15">
      <c r="A448" s="10"/>
      <c r="B448" s="13"/>
      <c r="C448" s="13"/>
    </row>
    <row r="449" spans="1:3" ht="13" x14ac:dyDescent="0.15">
      <c r="A449" s="10"/>
      <c r="B449" s="13"/>
      <c r="C449" s="13"/>
    </row>
    <row r="450" spans="1:3" ht="13" x14ac:dyDescent="0.15">
      <c r="A450" s="10"/>
      <c r="B450" s="13"/>
      <c r="C450" s="13"/>
    </row>
    <row r="451" spans="1:3" ht="13" x14ac:dyDescent="0.15">
      <c r="A451" s="10"/>
      <c r="B451" s="13"/>
      <c r="C451" s="13"/>
    </row>
    <row r="452" spans="1:3" ht="13" x14ac:dyDescent="0.15">
      <c r="A452" s="10"/>
      <c r="B452" s="13"/>
      <c r="C452" s="13"/>
    </row>
    <row r="453" spans="1:3" ht="13" x14ac:dyDescent="0.15">
      <c r="A453" s="10"/>
      <c r="B453" s="13"/>
      <c r="C453" s="13"/>
    </row>
    <row r="454" spans="1:3" ht="13" x14ac:dyDescent="0.15">
      <c r="A454" s="10"/>
      <c r="B454" s="13"/>
      <c r="C454" s="13"/>
    </row>
    <row r="455" spans="1:3" ht="13" x14ac:dyDescent="0.15">
      <c r="A455" s="10"/>
      <c r="B455" s="13"/>
      <c r="C455" s="13"/>
    </row>
    <row r="456" spans="1:3" ht="13" x14ac:dyDescent="0.15">
      <c r="A456" s="10"/>
      <c r="B456" s="13"/>
      <c r="C456" s="13"/>
    </row>
    <row r="457" spans="1:3" ht="13" x14ac:dyDescent="0.15">
      <c r="A457" s="10"/>
      <c r="B457" s="13"/>
      <c r="C457" s="13"/>
    </row>
    <row r="458" spans="1:3" ht="13" x14ac:dyDescent="0.15">
      <c r="A458" s="10"/>
      <c r="B458" s="13"/>
      <c r="C458" s="13"/>
    </row>
    <row r="459" spans="1:3" ht="13" x14ac:dyDescent="0.15">
      <c r="A459" s="10"/>
      <c r="B459" s="13"/>
      <c r="C459" s="13"/>
    </row>
    <row r="460" spans="1:3" ht="13" x14ac:dyDescent="0.15">
      <c r="A460" s="10"/>
      <c r="B460" s="13"/>
      <c r="C460" s="13"/>
    </row>
    <row r="461" spans="1:3" ht="13" x14ac:dyDescent="0.15">
      <c r="A461" s="10"/>
      <c r="B461" s="13"/>
      <c r="C461" s="13"/>
    </row>
    <row r="462" spans="1:3" ht="13" x14ac:dyDescent="0.15">
      <c r="A462" s="10"/>
      <c r="B462" s="13"/>
      <c r="C462" s="13"/>
    </row>
    <row r="463" spans="1:3" ht="13" x14ac:dyDescent="0.15">
      <c r="A463" s="10"/>
      <c r="B463" s="13"/>
      <c r="C463" s="13"/>
    </row>
    <row r="464" spans="1:3" ht="13" x14ac:dyDescent="0.15">
      <c r="A464" s="10"/>
      <c r="B464" s="13"/>
      <c r="C464" s="13"/>
    </row>
    <row r="465" spans="1:3" ht="13" x14ac:dyDescent="0.15">
      <c r="A465" s="10"/>
      <c r="B465" s="13"/>
      <c r="C465" s="13"/>
    </row>
    <row r="466" spans="1:3" ht="13" x14ac:dyDescent="0.15">
      <c r="A466" s="10"/>
      <c r="B466" s="13"/>
      <c r="C466" s="13"/>
    </row>
    <row r="467" spans="1:3" ht="13" x14ac:dyDescent="0.15">
      <c r="A467" s="10"/>
      <c r="B467" s="13"/>
      <c r="C467" s="13"/>
    </row>
    <row r="468" spans="1:3" ht="13" x14ac:dyDescent="0.15">
      <c r="A468" s="10"/>
      <c r="B468" s="13"/>
      <c r="C468" s="13"/>
    </row>
    <row r="469" spans="1:3" ht="13" x14ac:dyDescent="0.15">
      <c r="A469" s="10"/>
      <c r="B469" s="13"/>
      <c r="C469" s="13"/>
    </row>
    <row r="470" spans="1:3" ht="13" x14ac:dyDescent="0.15">
      <c r="A470" s="10"/>
      <c r="B470" s="13"/>
      <c r="C470" s="13"/>
    </row>
    <row r="471" spans="1:3" ht="13" x14ac:dyDescent="0.15">
      <c r="A471" s="10"/>
      <c r="B471" s="13"/>
      <c r="C471" s="13"/>
    </row>
    <row r="472" spans="1:3" ht="13" x14ac:dyDescent="0.15">
      <c r="A472" s="10"/>
      <c r="B472" s="13"/>
      <c r="C472" s="13"/>
    </row>
    <row r="473" spans="1:3" ht="13" x14ac:dyDescent="0.15">
      <c r="A473" s="10"/>
      <c r="B473" s="13"/>
      <c r="C473" s="13"/>
    </row>
    <row r="474" spans="1:3" ht="13" x14ac:dyDescent="0.15">
      <c r="A474" s="10"/>
      <c r="B474" s="13"/>
      <c r="C474" s="13"/>
    </row>
    <row r="475" spans="1:3" ht="13" x14ac:dyDescent="0.15">
      <c r="A475" s="10"/>
      <c r="B475" s="13"/>
      <c r="C475" s="13"/>
    </row>
    <row r="476" spans="1:3" ht="13" x14ac:dyDescent="0.15">
      <c r="A476" s="10"/>
      <c r="B476" s="13"/>
      <c r="C476" s="13"/>
    </row>
    <row r="477" spans="1:3" ht="13" x14ac:dyDescent="0.15">
      <c r="A477" s="10"/>
      <c r="B477" s="13"/>
      <c r="C477" s="13"/>
    </row>
    <row r="478" spans="1:3" ht="13" x14ac:dyDescent="0.15">
      <c r="A478" s="10"/>
      <c r="B478" s="13"/>
      <c r="C478" s="13"/>
    </row>
    <row r="479" spans="1:3" ht="13" x14ac:dyDescent="0.15">
      <c r="A479" s="10"/>
      <c r="B479" s="13"/>
      <c r="C479" s="13"/>
    </row>
    <row r="480" spans="1:3" ht="13" x14ac:dyDescent="0.15">
      <c r="A480" s="10"/>
      <c r="B480" s="13"/>
      <c r="C480" s="13"/>
    </row>
    <row r="481" spans="1:3" ht="13" x14ac:dyDescent="0.15">
      <c r="A481" s="10"/>
      <c r="B481" s="13"/>
      <c r="C481" s="13"/>
    </row>
    <row r="482" spans="1:3" ht="13" x14ac:dyDescent="0.15">
      <c r="A482" s="10"/>
      <c r="B482" s="13"/>
      <c r="C482" s="13"/>
    </row>
    <row r="483" spans="1:3" ht="13" x14ac:dyDescent="0.15">
      <c r="A483" s="10"/>
      <c r="B483" s="13"/>
      <c r="C483" s="13"/>
    </row>
    <row r="484" spans="1:3" ht="13" x14ac:dyDescent="0.15">
      <c r="A484" s="10"/>
      <c r="B484" s="13"/>
      <c r="C484" s="13"/>
    </row>
    <row r="485" spans="1:3" ht="13" x14ac:dyDescent="0.15">
      <c r="A485" s="10"/>
      <c r="B485" s="13"/>
      <c r="C485" s="13"/>
    </row>
    <row r="486" spans="1:3" ht="13" x14ac:dyDescent="0.15">
      <c r="A486" s="10"/>
      <c r="B486" s="13"/>
      <c r="C486" s="13"/>
    </row>
    <row r="487" spans="1:3" ht="13" x14ac:dyDescent="0.15">
      <c r="A487" s="10"/>
      <c r="B487" s="13"/>
      <c r="C487" s="13"/>
    </row>
    <row r="488" spans="1:3" ht="13" x14ac:dyDescent="0.15">
      <c r="A488" s="10"/>
      <c r="B488" s="13"/>
      <c r="C488" s="13"/>
    </row>
    <row r="489" spans="1:3" ht="13" x14ac:dyDescent="0.15">
      <c r="A489" s="10"/>
      <c r="B489" s="13"/>
      <c r="C489" s="13"/>
    </row>
    <row r="490" spans="1:3" ht="13" x14ac:dyDescent="0.15">
      <c r="A490" s="10"/>
      <c r="B490" s="13"/>
      <c r="C490" s="13"/>
    </row>
    <row r="491" spans="1:3" ht="13" x14ac:dyDescent="0.15">
      <c r="A491" s="10"/>
      <c r="B491" s="13"/>
      <c r="C491" s="13"/>
    </row>
    <row r="492" spans="1:3" ht="13" x14ac:dyDescent="0.15">
      <c r="A492" s="10"/>
      <c r="B492" s="13"/>
      <c r="C492" s="13"/>
    </row>
    <row r="493" spans="1:3" ht="13" x14ac:dyDescent="0.15">
      <c r="A493" s="10"/>
      <c r="B493" s="13"/>
      <c r="C493" s="13"/>
    </row>
    <row r="494" spans="1:3" ht="13" x14ac:dyDescent="0.15">
      <c r="A494" s="10"/>
      <c r="B494" s="13"/>
      <c r="C494" s="13"/>
    </row>
    <row r="495" spans="1:3" ht="13" x14ac:dyDescent="0.15">
      <c r="A495" s="10"/>
      <c r="B495" s="13"/>
      <c r="C495" s="13"/>
    </row>
    <row r="496" spans="1:3" ht="13" x14ac:dyDescent="0.15">
      <c r="A496" s="10"/>
      <c r="B496" s="13"/>
      <c r="C496" s="13"/>
    </row>
    <row r="497" spans="1:3" ht="13" x14ac:dyDescent="0.15">
      <c r="A497" s="10"/>
      <c r="B497" s="13"/>
      <c r="C497" s="13"/>
    </row>
    <row r="498" spans="1:3" ht="13" x14ac:dyDescent="0.15">
      <c r="A498" s="10"/>
      <c r="B498" s="13"/>
      <c r="C498" s="13"/>
    </row>
    <row r="499" spans="1:3" ht="13" x14ac:dyDescent="0.15">
      <c r="A499" s="10"/>
      <c r="B499" s="13"/>
      <c r="C499" s="13"/>
    </row>
    <row r="500" spans="1:3" ht="13" x14ac:dyDescent="0.15">
      <c r="A500" s="10"/>
      <c r="B500" s="13"/>
      <c r="C500" s="13"/>
    </row>
    <row r="501" spans="1:3" ht="13" x14ac:dyDescent="0.15">
      <c r="A501" s="10"/>
      <c r="B501" s="13"/>
      <c r="C501" s="13"/>
    </row>
    <row r="502" spans="1:3" ht="13" x14ac:dyDescent="0.15">
      <c r="A502" s="10"/>
      <c r="B502" s="13"/>
      <c r="C502" s="13"/>
    </row>
    <row r="503" spans="1:3" ht="13" x14ac:dyDescent="0.15">
      <c r="A503" s="10"/>
      <c r="B503" s="13"/>
      <c r="C503" s="13"/>
    </row>
    <row r="504" spans="1:3" ht="13" x14ac:dyDescent="0.15">
      <c r="A504" s="10"/>
      <c r="B504" s="13"/>
      <c r="C504" s="13"/>
    </row>
    <row r="505" spans="1:3" ht="13" x14ac:dyDescent="0.15">
      <c r="A505" s="10"/>
      <c r="B505" s="13"/>
      <c r="C505" s="13"/>
    </row>
    <row r="506" spans="1:3" ht="13" x14ac:dyDescent="0.15">
      <c r="A506" s="10"/>
      <c r="B506" s="13"/>
      <c r="C506" s="13"/>
    </row>
    <row r="507" spans="1:3" ht="13" x14ac:dyDescent="0.15">
      <c r="A507" s="10"/>
      <c r="B507" s="13"/>
      <c r="C507" s="13"/>
    </row>
    <row r="508" spans="1:3" ht="13" x14ac:dyDescent="0.15">
      <c r="A508" s="10"/>
      <c r="B508" s="13"/>
      <c r="C508" s="13"/>
    </row>
    <row r="509" spans="1:3" ht="13" x14ac:dyDescent="0.15">
      <c r="A509" s="10"/>
      <c r="B509" s="13"/>
      <c r="C509" s="13"/>
    </row>
    <row r="510" spans="1:3" ht="13" x14ac:dyDescent="0.15">
      <c r="A510" s="10"/>
      <c r="B510" s="13"/>
      <c r="C510" s="13"/>
    </row>
    <row r="511" spans="1:3" ht="13" x14ac:dyDescent="0.15">
      <c r="A511" s="10"/>
      <c r="B511" s="13"/>
      <c r="C511" s="13"/>
    </row>
    <row r="512" spans="1:3" ht="13" x14ac:dyDescent="0.15">
      <c r="A512" s="10"/>
      <c r="B512" s="13"/>
      <c r="C512" s="13"/>
    </row>
    <row r="513" spans="1:3" ht="13" x14ac:dyDescent="0.15">
      <c r="A513" s="10"/>
      <c r="B513" s="13"/>
      <c r="C513" s="13"/>
    </row>
    <row r="514" spans="1:3" ht="13" x14ac:dyDescent="0.15">
      <c r="A514" s="10"/>
      <c r="B514" s="13"/>
      <c r="C514" s="13"/>
    </row>
    <row r="515" spans="1:3" ht="13" x14ac:dyDescent="0.15">
      <c r="A515" s="10"/>
      <c r="B515" s="13"/>
      <c r="C515" s="13"/>
    </row>
    <row r="516" spans="1:3" ht="13" x14ac:dyDescent="0.15">
      <c r="A516" s="10"/>
      <c r="B516" s="13"/>
      <c r="C516" s="13"/>
    </row>
    <row r="517" spans="1:3" ht="13" x14ac:dyDescent="0.15">
      <c r="A517" s="10"/>
      <c r="B517" s="13"/>
      <c r="C517" s="13"/>
    </row>
    <row r="518" spans="1:3" ht="13" x14ac:dyDescent="0.15">
      <c r="A518" s="10"/>
      <c r="B518" s="13"/>
      <c r="C518" s="13"/>
    </row>
    <row r="519" spans="1:3" ht="13" x14ac:dyDescent="0.15">
      <c r="A519" s="10"/>
      <c r="B519" s="13"/>
      <c r="C519" s="13"/>
    </row>
    <row r="520" spans="1:3" ht="13" x14ac:dyDescent="0.15">
      <c r="A520" s="10"/>
      <c r="B520" s="13"/>
      <c r="C520" s="13"/>
    </row>
    <row r="521" spans="1:3" ht="13" x14ac:dyDescent="0.15">
      <c r="A521" s="10"/>
      <c r="B521" s="13"/>
      <c r="C521" s="13"/>
    </row>
    <row r="522" spans="1:3" ht="13" x14ac:dyDescent="0.15">
      <c r="A522" s="10"/>
      <c r="B522" s="13"/>
      <c r="C522" s="13"/>
    </row>
    <row r="523" spans="1:3" ht="13" x14ac:dyDescent="0.15">
      <c r="A523" s="10"/>
      <c r="B523" s="13"/>
      <c r="C523" s="13"/>
    </row>
    <row r="524" spans="1:3" ht="13" x14ac:dyDescent="0.15">
      <c r="A524" s="10"/>
      <c r="B524" s="13"/>
      <c r="C524" s="13"/>
    </row>
    <row r="525" spans="1:3" ht="13" x14ac:dyDescent="0.15">
      <c r="A525" s="10"/>
      <c r="B525" s="13"/>
      <c r="C525" s="13"/>
    </row>
    <row r="526" spans="1:3" ht="13" x14ac:dyDescent="0.15">
      <c r="A526" s="10"/>
      <c r="B526" s="13"/>
      <c r="C526" s="13"/>
    </row>
    <row r="527" spans="1:3" ht="13" x14ac:dyDescent="0.15">
      <c r="A527" s="10"/>
      <c r="B527" s="13"/>
      <c r="C527" s="13"/>
    </row>
    <row r="528" spans="1:3" ht="13" x14ac:dyDescent="0.15">
      <c r="A528" s="10"/>
      <c r="B528" s="13"/>
      <c r="C528" s="13"/>
    </row>
    <row r="529" spans="1:3" ht="13" x14ac:dyDescent="0.15">
      <c r="A529" s="10"/>
      <c r="B529" s="13"/>
      <c r="C529" s="13"/>
    </row>
    <row r="530" spans="1:3" ht="13" x14ac:dyDescent="0.15">
      <c r="A530" s="10"/>
      <c r="B530" s="13"/>
      <c r="C530" s="13"/>
    </row>
    <row r="531" spans="1:3" ht="13" x14ac:dyDescent="0.15">
      <c r="A531" s="10"/>
      <c r="B531" s="13"/>
      <c r="C531" s="13"/>
    </row>
    <row r="532" spans="1:3" ht="13" x14ac:dyDescent="0.15">
      <c r="A532" s="10"/>
      <c r="B532" s="13"/>
      <c r="C532" s="13"/>
    </row>
    <row r="533" spans="1:3" ht="13" x14ac:dyDescent="0.15">
      <c r="A533" s="10"/>
      <c r="B533" s="13"/>
      <c r="C533" s="13"/>
    </row>
    <row r="534" spans="1:3" ht="13" x14ac:dyDescent="0.15">
      <c r="A534" s="10"/>
      <c r="B534" s="13"/>
      <c r="C534" s="13"/>
    </row>
    <row r="535" spans="1:3" ht="13" x14ac:dyDescent="0.15">
      <c r="A535" s="10"/>
      <c r="B535" s="13"/>
      <c r="C535" s="13"/>
    </row>
    <row r="536" spans="1:3" ht="13" x14ac:dyDescent="0.15">
      <c r="A536" s="10"/>
      <c r="B536" s="13"/>
      <c r="C536" s="13"/>
    </row>
    <row r="537" spans="1:3" ht="13" x14ac:dyDescent="0.15">
      <c r="A537" s="10"/>
      <c r="B537" s="13"/>
      <c r="C537" s="13"/>
    </row>
    <row r="538" spans="1:3" ht="13" x14ac:dyDescent="0.15">
      <c r="A538" s="10"/>
      <c r="B538" s="13"/>
      <c r="C538" s="13"/>
    </row>
    <row r="539" spans="1:3" ht="13" x14ac:dyDescent="0.15">
      <c r="A539" s="10"/>
      <c r="B539" s="13"/>
      <c r="C539" s="13"/>
    </row>
    <row r="540" spans="1:3" ht="13" x14ac:dyDescent="0.15">
      <c r="A540" s="10"/>
      <c r="B540" s="13"/>
      <c r="C540" s="13"/>
    </row>
    <row r="541" spans="1:3" ht="13" x14ac:dyDescent="0.15">
      <c r="A541" s="10"/>
      <c r="B541" s="13"/>
      <c r="C541" s="13"/>
    </row>
    <row r="542" spans="1:3" ht="13" x14ac:dyDescent="0.15">
      <c r="A542" s="10"/>
      <c r="B542" s="13"/>
      <c r="C542" s="13"/>
    </row>
    <row r="543" spans="1:3" ht="13" x14ac:dyDescent="0.15">
      <c r="A543" s="10"/>
      <c r="B543" s="13"/>
      <c r="C543" s="13"/>
    </row>
    <row r="544" spans="1:3" ht="13" x14ac:dyDescent="0.15">
      <c r="A544" s="10"/>
      <c r="B544" s="13"/>
      <c r="C544" s="13"/>
    </row>
    <row r="545" spans="1:3" ht="13" x14ac:dyDescent="0.15">
      <c r="A545" s="10"/>
      <c r="B545" s="13"/>
      <c r="C545" s="13"/>
    </row>
    <row r="546" spans="1:3" ht="13" x14ac:dyDescent="0.15">
      <c r="A546" s="10"/>
      <c r="B546" s="13"/>
      <c r="C546" s="13"/>
    </row>
    <row r="547" spans="1:3" ht="13" x14ac:dyDescent="0.15">
      <c r="A547" s="10"/>
      <c r="B547" s="13"/>
      <c r="C547" s="13"/>
    </row>
    <row r="548" spans="1:3" ht="13" x14ac:dyDescent="0.15">
      <c r="A548" s="10"/>
      <c r="B548" s="13"/>
      <c r="C548" s="13"/>
    </row>
    <row r="549" spans="1:3" ht="13" x14ac:dyDescent="0.15">
      <c r="A549" s="10"/>
      <c r="B549" s="13"/>
      <c r="C549" s="13"/>
    </row>
    <row r="550" spans="1:3" ht="13" x14ac:dyDescent="0.15">
      <c r="A550" s="10"/>
      <c r="B550" s="13"/>
      <c r="C550" s="13"/>
    </row>
    <row r="551" spans="1:3" ht="13" x14ac:dyDescent="0.15">
      <c r="A551" s="10"/>
      <c r="B551" s="13"/>
      <c r="C551" s="13"/>
    </row>
    <row r="552" spans="1:3" ht="13" x14ac:dyDescent="0.15">
      <c r="A552" s="10"/>
      <c r="B552" s="13"/>
      <c r="C552" s="13"/>
    </row>
    <row r="553" spans="1:3" ht="13" x14ac:dyDescent="0.15">
      <c r="A553" s="10"/>
      <c r="B553" s="13"/>
      <c r="C553" s="13"/>
    </row>
    <row r="554" spans="1:3" ht="13" x14ac:dyDescent="0.15">
      <c r="A554" s="10"/>
      <c r="B554" s="13"/>
      <c r="C554" s="13"/>
    </row>
    <row r="555" spans="1:3" ht="13" x14ac:dyDescent="0.15">
      <c r="A555" s="10"/>
      <c r="B555" s="13"/>
      <c r="C555" s="13"/>
    </row>
    <row r="556" spans="1:3" ht="13" x14ac:dyDescent="0.15">
      <c r="A556" s="10"/>
      <c r="B556" s="13"/>
      <c r="C556" s="13"/>
    </row>
    <row r="557" spans="1:3" ht="13" x14ac:dyDescent="0.15">
      <c r="A557" s="10"/>
      <c r="B557" s="13"/>
      <c r="C557" s="13"/>
    </row>
    <row r="558" spans="1:3" ht="13" x14ac:dyDescent="0.15">
      <c r="A558" s="10"/>
      <c r="B558" s="13"/>
      <c r="C558" s="13"/>
    </row>
    <row r="559" spans="1:3" ht="13" x14ac:dyDescent="0.15">
      <c r="A559" s="10"/>
      <c r="B559" s="13"/>
      <c r="C559" s="13"/>
    </row>
    <row r="560" spans="1:3" ht="13" x14ac:dyDescent="0.15">
      <c r="A560" s="10"/>
      <c r="B560" s="13"/>
      <c r="C560" s="13"/>
    </row>
    <row r="561" spans="1:3" ht="13" x14ac:dyDescent="0.15">
      <c r="A561" s="10"/>
      <c r="B561" s="13"/>
      <c r="C561" s="13"/>
    </row>
    <row r="562" spans="1:3" ht="13" x14ac:dyDescent="0.15">
      <c r="A562" s="10"/>
      <c r="B562" s="13"/>
      <c r="C562" s="13"/>
    </row>
    <row r="563" spans="1:3" ht="13" x14ac:dyDescent="0.15">
      <c r="A563" s="10"/>
      <c r="B563" s="13"/>
      <c r="C563" s="13"/>
    </row>
    <row r="564" spans="1:3" ht="13" x14ac:dyDescent="0.15">
      <c r="A564" s="10"/>
      <c r="B564" s="13"/>
      <c r="C564" s="13"/>
    </row>
    <row r="565" spans="1:3" ht="13" x14ac:dyDescent="0.15">
      <c r="A565" s="10"/>
      <c r="B565" s="13"/>
      <c r="C565" s="13"/>
    </row>
    <row r="566" spans="1:3" ht="13" x14ac:dyDescent="0.15">
      <c r="A566" s="10"/>
      <c r="B566" s="13"/>
      <c r="C566" s="13"/>
    </row>
    <row r="567" spans="1:3" ht="13" x14ac:dyDescent="0.15">
      <c r="A567" s="10"/>
      <c r="B567" s="13"/>
      <c r="C567" s="13"/>
    </row>
    <row r="568" spans="1:3" ht="13" x14ac:dyDescent="0.15">
      <c r="A568" s="10"/>
      <c r="B568" s="13"/>
      <c r="C568" s="13"/>
    </row>
    <row r="569" spans="1:3" ht="13" x14ac:dyDescent="0.15">
      <c r="A569" s="10"/>
      <c r="B569" s="13"/>
      <c r="C569" s="13"/>
    </row>
    <row r="570" spans="1:3" ht="13" x14ac:dyDescent="0.15">
      <c r="A570" s="10"/>
      <c r="B570" s="13"/>
      <c r="C570" s="13"/>
    </row>
    <row r="571" spans="1:3" ht="13" x14ac:dyDescent="0.15">
      <c r="A571" s="10"/>
      <c r="B571" s="13"/>
      <c r="C571" s="13"/>
    </row>
    <row r="572" spans="1:3" ht="13" x14ac:dyDescent="0.15">
      <c r="A572" s="10"/>
      <c r="B572" s="13"/>
      <c r="C572" s="13"/>
    </row>
    <row r="573" spans="1:3" ht="13" x14ac:dyDescent="0.15">
      <c r="A573" s="10"/>
      <c r="B573" s="13"/>
      <c r="C573" s="13"/>
    </row>
    <row r="574" spans="1:3" ht="13" x14ac:dyDescent="0.15">
      <c r="A574" s="10"/>
      <c r="B574" s="13"/>
      <c r="C574" s="13"/>
    </row>
    <row r="575" spans="1:3" ht="13" x14ac:dyDescent="0.15">
      <c r="A575" s="10"/>
      <c r="B575" s="13"/>
      <c r="C575" s="13"/>
    </row>
    <row r="576" spans="1:3" ht="13" x14ac:dyDescent="0.15">
      <c r="A576" s="10"/>
      <c r="B576" s="13"/>
      <c r="C576" s="13"/>
    </row>
    <row r="577" spans="1:3" ht="13" x14ac:dyDescent="0.15">
      <c r="A577" s="10"/>
      <c r="B577" s="13"/>
      <c r="C577" s="13"/>
    </row>
    <row r="578" spans="1:3" ht="13" x14ac:dyDescent="0.15">
      <c r="A578" s="10"/>
      <c r="B578" s="13"/>
      <c r="C578" s="13"/>
    </row>
    <row r="579" spans="1:3" ht="13" x14ac:dyDescent="0.15">
      <c r="A579" s="10"/>
      <c r="B579" s="13"/>
      <c r="C579" s="13"/>
    </row>
    <row r="580" spans="1:3" ht="13" x14ac:dyDescent="0.15">
      <c r="A580" s="10"/>
      <c r="B580" s="13"/>
      <c r="C580" s="13"/>
    </row>
    <row r="581" spans="1:3" ht="13" x14ac:dyDescent="0.15">
      <c r="A581" s="10"/>
      <c r="B581" s="13"/>
      <c r="C581" s="13"/>
    </row>
    <row r="582" spans="1:3" ht="13" x14ac:dyDescent="0.15">
      <c r="A582" s="10"/>
      <c r="B582" s="13"/>
      <c r="C582" s="13"/>
    </row>
    <row r="583" spans="1:3" ht="13" x14ac:dyDescent="0.15">
      <c r="A583" s="10"/>
      <c r="B583" s="13"/>
      <c r="C583" s="13"/>
    </row>
    <row r="584" spans="1:3" ht="13" x14ac:dyDescent="0.15">
      <c r="A584" s="10"/>
      <c r="B584" s="13"/>
      <c r="C584" s="13"/>
    </row>
    <row r="585" spans="1:3" ht="13" x14ac:dyDescent="0.15">
      <c r="A585" s="10"/>
      <c r="B585" s="13"/>
      <c r="C585" s="13"/>
    </row>
    <row r="586" spans="1:3" ht="13" x14ac:dyDescent="0.15">
      <c r="A586" s="10"/>
      <c r="B586" s="13"/>
      <c r="C586" s="13"/>
    </row>
    <row r="587" spans="1:3" ht="13" x14ac:dyDescent="0.15">
      <c r="A587" s="10"/>
      <c r="B587" s="13"/>
      <c r="C587" s="13"/>
    </row>
    <row r="588" spans="1:3" ht="13" x14ac:dyDescent="0.15">
      <c r="A588" s="10"/>
      <c r="B588" s="13"/>
      <c r="C588" s="13"/>
    </row>
    <row r="589" spans="1:3" ht="13" x14ac:dyDescent="0.15">
      <c r="A589" s="10"/>
      <c r="B589" s="13"/>
      <c r="C589" s="13"/>
    </row>
    <row r="590" spans="1:3" ht="13" x14ac:dyDescent="0.15">
      <c r="A590" s="10"/>
      <c r="B590" s="13"/>
      <c r="C590" s="13"/>
    </row>
    <row r="591" spans="1:3" ht="13" x14ac:dyDescent="0.15">
      <c r="A591" s="10"/>
      <c r="B591" s="13"/>
      <c r="C591" s="13"/>
    </row>
    <row r="592" spans="1:3" ht="13" x14ac:dyDescent="0.15">
      <c r="A592" s="10"/>
      <c r="B592" s="13"/>
      <c r="C592" s="13"/>
    </row>
    <row r="593" spans="1:3" ht="13" x14ac:dyDescent="0.15">
      <c r="A593" s="10"/>
      <c r="B593" s="13"/>
      <c r="C593" s="13"/>
    </row>
    <row r="594" spans="1:3" ht="13" x14ac:dyDescent="0.15">
      <c r="A594" s="10"/>
      <c r="B594" s="13"/>
      <c r="C594" s="13"/>
    </row>
    <row r="595" spans="1:3" ht="13" x14ac:dyDescent="0.15">
      <c r="A595" s="10"/>
      <c r="B595" s="13"/>
      <c r="C595" s="13"/>
    </row>
    <row r="596" spans="1:3" ht="13" x14ac:dyDescent="0.15">
      <c r="A596" s="10"/>
      <c r="B596" s="13"/>
      <c r="C596" s="13"/>
    </row>
    <row r="597" spans="1:3" ht="13" x14ac:dyDescent="0.15">
      <c r="A597" s="10"/>
      <c r="B597" s="13"/>
      <c r="C597" s="13"/>
    </row>
    <row r="598" spans="1:3" ht="13" x14ac:dyDescent="0.15">
      <c r="A598" s="10"/>
      <c r="B598" s="13"/>
      <c r="C598" s="13"/>
    </row>
    <row r="599" spans="1:3" ht="13" x14ac:dyDescent="0.15">
      <c r="A599" s="10"/>
      <c r="B599" s="13"/>
      <c r="C599" s="13"/>
    </row>
    <row r="600" spans="1:3" ht="13" x14ac:dyDescent="0.15">
      <c r="A600" s="10"/>
      <c r="B600" s="13"/>
      <c r="C600" s="13"/>
    </row>
    <row r="601" spans="1:3" ht="13" x14ac:dyDescent="0.15">
      <c r="A601" s="10"/>
      <c r="B601" s="13"/>
      <c r="C601" s="13"/>
    </row>
    <row r="602" spans="1:3" ht="13" x14ac:dyDescent="0.15">
      <c r="A602" s="10"/>
      <c r="B602" s="13"/>
      <c r="C602" s="13"/>
    </row>
    <row r="603" spans="1:3" ht="13" x14ac:dyDescent="0.15">
      <c r="A603" s="10"/>
      <c r="B603" s="13"/>
      <c r="C603" s="13"/>
    </row>
    <row r="604" spans="1:3" ht="13" x14ac:dyDescent="0.15">
      <c r="A604" s="10"/>
      <c r="B604" s="13"/>
      <c r="C604" s="13"/>
    </row>
    <row r="605" spans="1:3" ht="13" x14ac:dyDescent="0.15">
      <c r="A605" s="10"/>
      <c r="B605" s="13"/>
      <c r="C605" s="13"/>
    </row>
    <row r="606" spans="1:3" ht="13" x14ac:dyDescent="0.15">
      <c r="A606" s="10"/>
      <c r="B606" s="13"/>
      <c r="C606" s="13"/>
    </row>
    <row r="607" spans="1:3" ht="13" x14ac:dyDescent="0.15">
      <c r="A607" s="10"/>
      <c r="B607" s="13"/>
      <c r="C607" s="13"/>
    </row>
    <row r="608" spans="1:3" ht="13" x14ac:dyDescent="0.15">
      <c r="A608" s="10"/>
      <c r="B608" s="13"/>
      <c r="C608" s="13"/>
    </row>
    <row r="609" spans="1:3" ht="13" x14ac:dyDescent="0.15">
      <c r="A609" s="10"/>
      <c r="B609" s="13"/>
      <c r="C609" s="13"/>
    </row>
    <row r="610" spans="1:3" ht="13" x14ac:dyDescent="0.15">
      <c r="A610" s="10"/>
      <c r="B610" s="13"/>
      <c r="C610" s="13"/>
    </row>
    <row r="611" spans="1:3" ht="13" x14ac:dyDescent="0.15">
      <c r="A611" s="10"/>
      <c r="B611" s="13"/>
      <c r="C611" s="13"/>
    </row>
    <row r="612" spans="1:3" ht="13" x14ac:dyDescent="0.15">
      <c r="A612" s="10"/>
      <c r="B612" s="13"/>
      <c r="C612" s="13"/>
    </row>
    <row r="613" spans="1:3" ht="13" x14ac:dyDescent="0.15">
      <c r="A613" s="10"/>
      <c r="B613" s="13"/>
      <c r="C613" s="13"/>
    </row>
    <row r="614" spans="1:3" ht="13" x14ac:dyDescent="0.15">
      <c r="A614" s="10"/>
      <c r="B614" s="13"/>
      <c r="C614" s="13"/>
    </row>
    <row r="615" spans="1:3" ht="13" x14ac:dyDescent="0.15">
      <c r="A615" s="10"/>
      <c r="B615" s="13"/>
      <c r="C615" s="13"/>
    </row>
    <row r="616" spans="1:3" ht="13" x14ac:dyDescent="0.15">
      <c r="A616" s="10"/>
      <c r="B616" s="13"/>
      <c r="C616" s="13"/>
    </row>
    <row r="617" spans="1:3" ht="13" x14ac:dyDescent="0.15">
      <c r="A617" s="10"/>
      <c r="B617" s="13"/>
      <c r="C617" s="13"/>
    </row>
    <row r="618" spans="1:3" ht="13" x14ac:dyDescent="0.15">
      <c r="A618" s="10"/>
      <c r="B618" s="13"/>
      <c r="C618" s="13"/>
    </row>
    <row r="619" spans="1:3" ht="13" x14ac:dyDescent="0.15">
      <c r="A619" s="10"/>
      <c r="B619" s="13"/>
      <c r="C619" s="13"/>
    </row>
    <row r="620" spans="1:3" ht="13" x14ac:dyDescent="0.15">
      <c r="A620" s="10"/>
      <c r="B620" s="13"/>
      <c r="C620" s="13"/>
    </row>
    <row r="621" spans="1:3" ht="13" x14ac:dyDescent="0.15">
      <c r="A621" s="10"/>
      <c r="B621" s="13"/>
      <c r="C621" s="13"/>
    </row>
    <row r="622" spans="1:3" ht="13" x14ac:dyDescent="0.15">
      <c r="A622" s="10"/>
      <c r="B622" s="13"/>
      <c r="C622" s="13"/>
    </row>
    <row r="623" spans="1:3" ht="13" x14ac:dyDescent="0.15">
      <c r="A623" s="10"/>
      <c r="B623" s="13"/>
      <c r="C623" s="13"/>
    </row>
    <row r="624" spans="1:3" ht="13" x14ac:dyDescent="0.15">
      <c r="A624" s="10"/>
      <c r="B624" s="13"/>
      <c r="C624" s="13"/>
    </row>
    <row r="625" spans="1:3" ht="13" x14ac:dyDescent="0.15">
      <c r="A625" s="10"/>
      <c r="B625" s="13"/>
      <c r="C625" s="13"/>
    </row>
    <row r="626" spans="1:3" ht="13" x14ac:dyDescent="0.15">
      <c r="A626" s="10"/>
      <c r="B626" s="13"/>
      <c r="C626" s="13"/>
    </row>
    <row r="627" spans="1:3" ht="13" x14ac:dyDescent="0.15">
      <c r="A627" s="10"/>
      <c r="B627" s="13"/>
      <c r="C627" s="13"/>
    </row>
    <row r="628" spans="1:3" ht="13" x14ac:dyDescent="0.15">
      <c r="A628" s="10"/>
      <c r="B628" s="13"/>
      <c r="C628" s="13"/>
    </row>
    <row r="629" spans="1:3" ht="13" x14ac:dyDescent="0.15">
      <c r="A629" s="10"/>
      <c r="B629" s="13"/>
      <c r="C629" s="13"/>
    </row>
    <row r="630" spans="1:3" ht="13" x14ac:dyDescent="0.15">
      <c r="A630" s="10"/>
      <c r="B630" s="13"/>
      <c r="C630" s="13"/>
    </row>
    <row r="631" spans="1:3" ht="13" x14ac:dyDescent="0.15">
      <c r="A631" s="10"/>
      <c r="B631" s="13"/>
      <c r="C631" s="13"/>
    </row>
    <row r="632" spans="1:3" ht="13" x14ac:dyDescent="0.15">
      <c r="A632" s="10"/>
      <c r="B632" s="13"/>
      <c r="C632" s="13"/>
    </row>
    <row r="633" spans="1:3" ht="13" x14ac:dyDescent="0.15">
      <c r="A633" s="10"/>
      <c r="B633" s="13"/>
      <c r="C633" s="13"/>
    </row>
    <row r="634" spans="1:3" ht="13" x14ac:dyDescent="0.15">
      <c r="A634" s="10"/>
      <c r="B634" s="13"/>
      <c r="C634" s="13"/>
    </row>
    <row r="635" spans="1:3" ht="13" x14ac:dyDescent="0.15">
      <c r="A635" s="10"/>
      <c r="B635" s="13"/>
      <c r="C635" s="13"/>
    </row>
    <row r="636" spans="1:3" ht="13" x14ac:dyDescent="0.15">
      <c r="A636" s="10"/>
      <c r="B636" s="13"/>
      <c r="C636" s="13"/>
    </row>
    <row r="637" spans="1:3" ht="13" x14ac:dyDescent="0.15">
      <c r="A637" s="10"/>
      <c r="B637" s="13"/>
      <c r="C637" s="13"/>
    </row>
    <row r="638" spans="1:3" ht="13" x14ac:dyDescent="0.15">
      <c r="A638" s="10"/>
      <c r="B638" s="13"/>
      <c r="C638" s="13"/>
    </row>
    <row r="639" spans="1:3" ht="13" x14ac:dyDescent="0.15">
      <c r="A639" s="10"/>
      <c r="B639" s="13"/>
      <c r="C639" s="13"/>
    </row>
    <row r="640" spans="1:3" ht="13" x14ac:dyDescent="0.15">
      <c r="A640" s="10"/>
      <c r="B640" s="13"/>
      <c r="C640" s="13"/>
    </row>
    <row r="641" spans="1:3" ht="13" x14ac:dyDescent="0.15">
      <c r="A641" s="10"/>
      <c r="B641" s="13"/>
      <c r="C641" s="13"/>
    </row>
    <row r="642" spans="1:3" ht="13" x14ac:dyDescent="0.15">
      <c r="A642" s="10"/>
      <c r="B642" s="13"/>
      <c r="C642" s="13"/>
    </row>
    <row r="643" spans="1:3" ht="13" x14ac:dyDescent="0.15">
      <c r="A643" s="10"/>
      <c r="B643" s="13"/>
      <c r="C643" s="13"/>
    </row>
    <row r="644" spans="1:3" ht="13" x14ac:dyDescent="0.15">
      <c r="A644" s="10"/>
      <c r="B644" s="13"/>
      <c r="C644" s="13"/>
    </row>
    <row r="645" spans="1:3" ht="13" x14ac:dyDescent="0.15">
      <c r="A645" s="10"/>
      <c r="B645" s="13"/>
      <c r="C645" s="13"/>
    </row>
    <row r="646" spans="1:3" ht="13" x14ac:dyDescent="0.15">
      <c r="A646" s="10"/>
      <c r="B646" s="13"/>
      <c r="C646" s="13"/>
    </row>
    <row r="647" spans="1:3" ht="13" x14ac:dyDescent="0.15">
      <c r="A647" s="10"/>
      <c r="B647" s="13"/>
      <c r="C647" s="13"/>
    </row>
    <row r="648" spans="1:3" ht="13" x14ac:dyDescent="0.15">
      <c r="A648" s="10"/>
      <c r="B648" s="13"/>
      <c r="C648" s="13"/>
    </row>
    <row r="649" spans="1:3" ht="13" x14ac:dyDescent="0.15">
      <c r="A649" s="10"/>
      <c r="B649" s="13"/>
      <c r="C649" s="13"/>
    </row>
    <row r="650" spans="1:3" ht="13" x14ac:dyDescent="0.15">
      <c r="A650" s="10"/>
      <c r="B650" s="13"/>
      <c r="C650" s="13"/>
    </row>
    <row r="651" spans="1:3" ht="13" x14ac:dyDescent="0.15">
      <c r="A651" s="10"/>
      <c r="B651" s="13"/>
      <c r="C651" s="13"/>
    </row>
    <row r="652" spans="1:3" ht="13" x14ac:dyDescent="0.15">
      <c r="A652" s="10"/>
      <c r="B652" s="13"/>
      <c r="C652" s="13"/>
    </row>
    <row r="653" spans="1:3" ht="13" x14ac:dyDescent="0.15">
      <c r="A653" s="10"/>
      <c r="B653" s="13"/>
      <c r="C653" s="13"/>
    </row>
    <row r="654" spans="1:3" ht="13" x14ac:dyDescent="0.15">
      <c r="A654" s="10"/>
      <c r="B654" s="13"/>
      <c r="C654" s="13"/>
    </row>
    <row r="655" spans="1:3" ht="13" x14ac:dyDescent="0.15">
      <c r="A655" s="10"/>
      <c r="B655" s="13"/>
      <c r="C655" s="13"/>
    </row>
    <row r="656" spans="1:3" ht="13" x14ac:dyDescent="0.15">
      <c r="A656" s="10"/>
      <c r="B656" s="13"/>
      <c r="C656" s="13"/>
    </row>
    <row r="657" spans="1:3" ht="13" x14ac:dyDescent="0.15">
      <c r="A657" s="10"/>
      <c r="B657" s="13"/>
      <c r="C657" s="13"/>
    </row>
    <row r="658" spans="1:3" ht="13" x14ac:dyDescent="0.15">
      <c r="A658" s="10"/>
      <c r="B658" s="13"/>
      <c r="C658" s="13"/>
    </row>
    <row r="659" spans="1:3" ht="13" x14ac:dyDescent="0.15">
      <c r="A659" s="10"/>
      <c r="B659" s="13"/>
      <c r="C659" s="13"/>
    </row>
    <row r="660" spans="1:3" ht="13" x14ac:dyDescent="0.15">
      <c r="A660" s="10"/>
      <c r="B660" s="13"/>
      <c r="C660" s="13"/>
    </row>
    <row r="661" spans="1:3" ht="13" x14ac:dyDescent="0.15">
      <c r="A661" s="10"/>
      <c r="B661" s="13"/>
      <c r="C661" s="13"/>
    </row>
    <row r="662" spans="1:3" ht="13" x14ac:dyDescent="0.15">
      <c r="A662" s="10"/>
      <c r="B662" s="13"/>
      <c r="C662" s="13"/>
    </row>
    <row r="663" spans="1:3" ht="13" x14ac:dyDescent="0.15">
      <c r="A663" s="10"/>
      <c r="B663" s="13"/>
      <c r="C663" s="13"/>
    </row>
    <row r="664" spans="1:3" ht="13" x14ac:dyDescent="0.15">
      <c r="A664" s="10"/>
      <c r="B664" s="13"/>
      <c r="C664" s="13"/>
    </row>
    <row r="665" spans="1:3" ht="13" x14ac:dyDescent="0.15">
      <c r="A665" s="10"/>
      <c r="B665" s="13"/>
      <c r="C665" s="13"/>
    </row>
    <row r="666" spans="1:3" ht="13" x14ac:dyDescent="0.15">
      <c r="A666" s="10"/>
      <c r="B666" s="13"/>
      <c r="C666" s="13"/>
    </row>
    <row r="667" spans="1:3" ht="13" x14ac:dyDescent="0.15">
      <c r="A667" s="10"/>
      <c r="B667" s="13"/>
      <c r="C667" s="13"/>
    </row>
    <row r="668" spans="1:3" ht="13" x14ac:dyDescent="0.15">
      <c r="A668" s="10"/>
      <c r="B668" s="13"/>
      <c r="C668" s="13"/>
    </row>
    <row r="669" spans="1:3" ht="13" x14ac:dyDescent="0.15">
      <c r="A669" s="10"/>
      <c r="B669" s="13"/>
      <c r="C669" s="13"/>
    </row>
    <row r="670" spans="1:3" ht="13" x14ac:dyDescent="0.15">
      <c r="A670" s="10"/>
      <c r="B670" s="13"/>
      <c r="C670" s="13"/>
    </row>
    <row r="671" spans="1:3" ht="13" x14ac:dyDescent="0.15">
      <c r="A671" s="10"/>
      <c r="B671" s="13"/>
      <c r="C671" s="13"/>
    </row>
    <row r="672" spans="1:3" ht="13" x14ac:dyDescent="0.15">
      <c r="A672" s="10"/>
      <c r="B672" s="13"/>
      <c r="C672" s="13"/>
    </row>
    <row r="673" spans="1:3" ht="13" x14ac:dyDescent="0.15">
      <c r="A673" s="10"/>
      <c r="B673" s="13"/>
      <c r="C673" s="13"/>
    </row>
    <row r="674" spans="1:3" ht="13" x14ac:dyDescent="0.15">
      <c r="A674" s="10"/>
      <c r="B674" s="13"/>
      <c r="C674" s="13"/>
    </row>
    <row r="675" spans="1:3" ht="13" x14ac:dyDescent="0.15">
      <c r="A675" s="10"/>
      <c r="B675" s="13"/>
      <c r="C675" s="13"/>
    </row>
    <row r="676" spans="1:3" ht="13" x14ac:dyDescent="0.15">
      <c r="A676" s="10"/>
      <c r="B676" s="13"/>
      <c r="C676" s="13"/>
    </row>
    <row r="677" spans="1:3" ht="13" x14ac:dyDescent="0.15">
      <c r="A677" s="10"/>
      <c r="B677" s="13"/>
      <c r="C677" s="13"/>
    </row>
    <row r="678" spans="1:3" ht="13" x14ac:dyDescent="0.15">
      <c r="A678" s="10"/>
      <c r="B678" s="13"/>
      <c r="C678" s="13"/>
    </row>
    <row r="679" spans="1:3" ht="13" x14ac:dyDescent="0.15">
      <c r="A679" s="10"/>
      <c r="B679" s="13"/>
      <c r="C679" s="13"/>
    </row>
    <row r="680" spans="1:3" ht="13" x14ac:dyDescent="0.15">
      <c r="A680" s="10"/>
      <c r="B680" s="13"/>
      <c r="C680" s="13"/>
    </row>
    <row r="681" spans="1:3" ht="13" x14ac:dyDescent="0.15">
      <c r="A681" s="10"/>
      <c r="B681" s="13"/>
      <c r="C681" s="13"/>
    </row>
    <row r="682" spans="1:3" ht="13" x14ac:dyDescent="0.15">
      <c r="A682" s="10"/>
      <c r="B682" s="13"/>
      <c r="C682" s="13"/>
    </row>
    <row r="683" spans="1:3" ht="13" x14ac:dyDescent="0.15">
      <c r="A683" s="10"/>
      <c r="B683" s="13"/>
      <c r="C683" s="13"/>
    </row>
    <row r="684" spans="1:3" ht="13" x14ac:dyDescent="0.15">
      <c r="A684" s="10"/>
      <c r="B684" s="13"/>
      <c r="C684" s="13"/>
    </row>
    <row r="685" spans="1:3" ht="13" x14ac:dyDescent="0.15">
      <c r="A685" s="10"/>
      <c r="B685" s="13"/>
      <c r="C685" s="13"/>
    </row>
    <row r="686" spans="1:3" ht="13" x14ac:dyDescent="0.15">
      <c r="A686" s="10"/>
      <c r="B686" s="13"/>
      <c r="C686" s="13"/>
    </row>
    <row r="687" spans="1:3" ht="13" x14ac:dyDescent="0.15">
      <c r="A687" s="10"/>
      <c r="B687" s="13"/>
      <c r="C687" s="13"/>
    </row>
    <row r="688" spans="1:3" ht="13" x14ac:dyDescent="0.15">
      <c r="A688" s="10"/>
      <c r="B688" s="13"/>
      <c r="C688" s="13"/>
    </row>
    <row r="689" spans="1:3" ht="13" x14ac:dyDescent="0.15">
      <c r="A689" s="10"/>
      <c r="B689" s="13"/>
      <c r="C689" s="13"/>
    </row>
    <row r="690" spans="1:3" ht="13" x14ac:dyDescent="0.15">
      <c r="A690" s="10"/>
      <c r="B690" s="13"/>
      <c r="C690" s="13"/>
    </row>
    <row r="691" spans="1:3" ht="13" x14ac:dyDescent="0.15">
      <c r="A691" s="10"/>
      <c r="B691" s="13"/>
      <c r="C691" s="13"/>
    </row>
    <row r="692" spans="1:3" ht="13" x14ac:dyDescent="0.15">
      <c r="A692" s="10"/>
      <c r="B692" s="13"/>
      <c r="C692" s="13"/>
    </row>
    <row r="693" spans="1:3" ht="13" x14ac:dyDescent="0.15">
      <c r="A693" s="10"/>
      <c r="B693" s="13"/>
      <c r="C693" s="13"/>
    </row>
    <row r="694" spans="1:3" ht="13" x14ac:dyDescent="0.15">
      <c r="A694" s="10"/>
      <c r="B694" s="13"/>
      <c r="C694" s="13"/>
    </row>
    <row r="695" spans="1:3" ht="13" x14ac:dyDescent="0.15">
      <c r="A695" s="10"/>
      <c r="B695" s="13"/>
      <c r="C695" s="13"/>
    </row>
    <row r="696" spans="1:3" ht="13" x14ac:dyDescent="0.15">
      <c r="A696" s="10"/>
      <c r="B696" s="13"/>
      <c r="C696" s="13"/>
    </row>
    <row r="697" spans="1:3" ht="13" x14ac:dyDescent="0.15">
      <c r="A697" s="10"/>
      <c r="B697" s="13"/>
      <c r="C697" s="13"/>
    </row>
    <row r="698" spans="1:3" ht="13" x14ac:dyDescent="0.15">
      <c r="A698" s="10"/>
      <c r="B698" s="13"/>
      <c r="C698" s="13"/>
    </row>
    <row r="699" spans="1:3" ht="13" x14ac:dyDescent="0.15">
      <c r="A699" s="10"/>
      <c r="B699" s="13"/>
      <c r="C699" s="13"/>
    </row>
    <row r="700" spans="1:3" ht="13" x14ac:dyDescent="0.15">
      <c r="A700" s="10"/>
      <c r="B700" s="13"/>
      <c r="C700" s="13"/>
    </row>
    <row r="701" spans="1:3" ht="13" x14ac:dyDescent="0.15">
      <c r="A701" s="10"/>
      <c r="B701" s="13"/>
      <c r="C701" s="13"/>
    </row>
    <row r="702" spans="1:3" ht="13" x14ac:dyDescent="0.15">
      <c r="A702" s="10"/>
      <c r="B702" s="13"/>
      <c r="C702" s="13"/>
    </row>
    <row r="703" spans="1:3" ht="13" x14ac:dyDescent="0.15">
      <c r="A703" s="10"/>
      <c r="B703" s="13"/>
      <c r="C703" s="13"/>
    </row>
    <row r="704" spans="1:3" ht="13" x14ac:dyDescent="0.15">
      <c r="A704" s="10"/>
      <c r="B704" s="13"/>
      <c r="C704" s="13"/>
    </row>
    <row r="705" spans="1:3" ht="13" x14ac:dyDescent="0.15">
      <c r="A705" s="10"/>
      <c r="B705" s="13"/>
      <c r="C705" s="13"/>
    </row>
    <row r="706" spans="1:3" ht="13" x14ac:dyDescent="0.15">
      <c r="A706" s="10"/>
      <c r="B706" s="13"/>
      <c r="C706" s="13"/>
    </row>
    <row r="707" spans="1:3" ht="13" x14ac:dyDescent="0.15">
      <c r="A707" s="10"/>
      <c r="B707" s="13"/>
      <c r="C707" s="13"/>
    </row>
    <row r="708" spans="1:3" ht="13" x14ac:dyDescent="0.15">
      <c r="A708" s="10"/>
      <c r="B708" s="13"/>
      <c r="C708" s="13"/>
    </row>
    <row r="709" spans="1:3" ht="13" x14ac:dyDescent="0.15">
      <c r="A709" s="10"/>
      <c r="B709" s="13"/>
      <c r="C709" s="13"/>
    </row>
    <row r="710" spans="1:3" ht="13" x14ac:dyDescent="0.15">
      <c r="A710" s="10"/>
      <c r="B710" s="13"/>
      <c r="C710" s="13"/>
    </row>
    <row r="711" spans="1:3" ht="13" x14ac:dyDescent="0.15">
      <c r="A711" s="10"/>
      <c r="B711" s="13"/>
      <c r="C711" s="13"/>
    </row>
    <row r="712" spans="1:3" ht="13" x14ac:dyDescent="0.15">
      <c r="A712" s="10"/>
      <c r="B712" s="13"/>
      <c r="C712" s="13"/>
    </row>
    <row r="713" spans="1:3" ht="13" x14ac:dyDescent="0.15">
      <c r="A713" s="10"/>
      <c r="B713" s="13"/>
      <c r="C713" s="13"/>
    </row>
    <row r="714" spans="1:3" ht="13" x14ac:dyDescent="0.15">
      <c r="A714" s="10"/>
      <c r="B714" s="13"/>
      <c r="C714" s="13"/>
    </row>
    <row r="715" spans="1:3" ht="13" x14ac:dyDescent="0.15">
      <c r="A715" s="10"/>
      <c r="B715" s="13"/>
      <c r="C715" s="13"/>
    </row>
    <row r="716" spans="1:3" ht="13" x14ac:dyDescent="0.15">
      <c r="A716" s="10"/>
      <c r="B716" s="13"/>
      <c r="C716" s="13"/>
    </row>
    <row r="717" spans="1:3" ht="13" x14ac:dyDescent="0.15">
      <c r="A717" s="10"/>
      <c r="B717" s="13"/>
      <c r="C717" s="13"/>
    </row>
    <row r="718" spans="1:3" ht="13" x14ac:dyDescent="0.15">
      <c r="A718" s="10"/>
      <c r="B718" s="13"/>
      <c r="C718" s="13"/>
    </row>
    <row r="719" spans="1:3" ht="13" x14ac:dyDescent="0.15">
      <c r="A719" s="10"/>
      <c r="B719" s="13"/>
      <c r="C719" s="13"/>
    </row>
    <row r="720" spans="1:3" ht="13" x14ac:dyDescent="0.15">
      <c r="A720" s="10"/>
      <c r="B720" s="13"/>
      <c r="C720" s="13"/>
    </row>
    <row r="721" spans="1:3" ht="13" x14ac:dyDescent="0.15">
      <c r="A721" s="10"/>
      <c r="B721" s="13"/>
      <c r="C721" s="13"/>
    </row>
    <row r="722" spans="1:3" ht="13" x14ac:dyDescent="0.15">
      <c r="A722" s="10"/>
      <c r="B722" s="13"/>
      <c r="C722" s="13"/>
    </row>
    <row r="723" spans="1:3" ht="13" x14ac:dyDescent="0.15">
      <c r="A723" s="10"/>
      <c r="B723" s="13"/>
      <c r="C723" s="13"/>
    </row>
    <row r="724" spans="1:3" ht="13" x14ac:dyDescent="0.15">
      <c r="A724" s="10"/>
      <c r="B724" s="13"/>
      <c r="C724" s="13"/>
    </row>
    <row r="725" spans="1:3" ht="13" x14ac:dyDescent="0.15">
      <c r="A725" s="10"/>
      <c r="B725" s="13"/>
      <c r="C725" s="13"/>
    </row>
    <row r="726" spans="1:3" ht="13" x14ac:dyDescent="0.15">
      <c r="A726" s="10"/>
      <c r="B726" s="13"/>
      <c r="C726" s="13"/>
    </row>
    <row r="727" spans="1:3" ht="13" x14ac:dyDescent="0.15">
      <c r="A727" s="10"/>
      <c r="B727" s="13"/>
      <c r="C727" s="13"/>
    </row>
    <row r="728" spans="1:3" ht="13" x14ac:dyDescent="0.15">
      <c r="A728" s="10"/>
      <c r="B728" s="13"/>
      <c r="C728" s="13"/>
    </row>
    <row r="729" spans="1:3" ht="13" x14ac:dyDescent="0.15">
      <c r="A729" s="10"/>
      <c r="B729" s="13"/>
      <c r="C729" s="13"/>
    </row>
    <row r="730" spans="1:3" ht="13" x14ac:dyDescent="0.15">
      <c r="A730" s="10"/>
      <c r="B730" s="13"/>
      <c r="C730" s="13"/>
    </row>
    <row r="731" spans="1:3" ht="13" x14ac:dyDescent="0.15">
      <c r="A731" s="10"/>
      <c r="B731" s="13"/>
      <c r="C731" s="13"/>
    </row>
    <row r="732" spans="1:3" ht="13" x14ac:dyDescent="0.15">
      <c r="A732" s="10"/>
      <c r="B732" s="13"/>
      <c r="C732" s="13"/>
    </row>
    <row r="733" spans="1:3" ht="13" x14ac:dyDescent="0.15">
      <c r="A733" s="10"/>
      <c r="B733" s="13"/>
      <c r="C733" s="13"/>
    </row>
    <row r="734" spans="1:3" ht="13" x14ac:dyDescent="0.15">
      <c r="A734" s="10"/>
      <c r="B734" s="13"/>
      <c r="C734" s="13"/>
    </row>
    <row r="735" spans="1:3" ht="13" x14ac:dyDescent="0.15">
      <c r="A735" s="10"/>
      <c r="B735" s="13"/>
      <c r="C735" s="13"/>
    </row>
    <row r="736" spans="1:3" ht="13" x14ac:dyDescent="0.15">
      <c r="A736" s="10"/>
      <c r="B736" s="13"/>
      <c r="C736" s="13"/>
    </row>
    <row r="737" spans="1:3" ht="13" x14ac:dyDescent="0.15">
      <c r="A737" s="10"/>
      <c r="B737" s="13"/>
      <c r="C737" s="13"/>
    </row>
    <row r="738" spans="1:3" ht="13" x14ac:dyDescent="0.15">
      <c r="A738" s="10"/>
      <c r="B738" s="13"/>
      <c r="C738" s="13"/>
    </row>
    <row r="739" spans="1:3" ht="13" x14ac:dyDescent="0.15">
      <c r="A739" s="10"/>
      <c r="B739" s="13"/>
      <c r="C739" s="13"/>
    </row>
    <row r="740" spans="1:3" ht="13" x14ac:dyDescent="0.15">
      <c r="A740" s="10"/>
      <c r="B740" s="13"/>
      <c r="C740" s="13"/>
    </row>
    <row r="741" spans="1:3" ht="13" x14ac:dyDescent="0.15">
      <c r="A741" s="10"/>
      <c r="B741" s="13"/>
      <c r="C741" s="13"/>
    </row>
    <row r="742" spans="1:3" ht="13" x14ac:dyDescent="0.15">
      <c r="A742" s="10"/>
      <c r="B742" s="13"/>
      <c r="C742" s="13"/>
    </row>
    <row r="743" spans="1:3" ht="13" x14ac:dyDescent="0.15">
      <c r="A743" s="10"/>
      <c r="B743" s="13"/>
      <c r="C743" s="13"/>
    </row>
    <row r="744" spans="1:3" ht="13" x14ac:dyDescent="0.15">
      <c r="A744" s="10"/>
      <c r="B744" s="13"/>
      <c r="C744" s="13"/>
    </row>
    <row r="745" spans="1:3" ht="13" x14ac:dyDescent="0.15">
      <c r="A745" s="10"/>
      <c r="B745" s="13"/>
      <c r="C745" s="13"/>
    </row>
    <row r="746" spans="1:3" ht="13" x14ac:dyDescent="0.15">
      <c r="A746" s="10"/>
      <c r="B746" s="13"/>
      <c r="C746" s="13"/>
    </row>
    <row r="747" spans="1:3" ht="13" x14ac:dyDescent="0.15">
      <c r="A747" s="10"/>
      <c r="B747" s="13"/>
      <c r="C747" s="13"/>
    </row>
    <row r="748" spans="1:3" ht="13" x14ac:dyDescent="0.15">
      <c r="A748" s="10"/>
      <c r="B748" s="13"/>
      <c r="C748" s="13"/>
    </row>
    <row r="749" spans="1:3" ht="13" x14ac:dyDescent="0.15">
      <c r="A749" s="10"/>
      <c r="B749" s="13"/>
      <c r="C749" s="13"/>
    </row>
    <row r="750" spans="1:3" ht="13" x14ac:dyDescent="0.15">
      <c r="A750" s="10"/>
      <c r="B750" s="13"/>
      <c r="C750" s="13"/>
    </row>
    <row r="751" spans="1:3" ht="13" x14ac:dyDescent="0.15">
      <c r="A751" s="10"/>
      <c r="B751" s="13"/>
      <c r="C751" s="13"/>
    </row>
    <row r="752" spans="1:3" ht="13" x14ac:dyDescent="0.15">
      <c r="A752" s="10"/>
      <c r="B752" s="13"/>
      <c r="C752" s="13"/>
    </row>
    <row r="753" spans="1:3" ht="13" x14ac:dyDescent="0.15">
      <c r="A753" s="10"/>
      <c r="B753" s="13"/>
      <c r="C753" s="13"/>
    </row>
    <row r="754" spans="1:3" ht="13" x14ac:dyDescent="0.15">
      <c r="A754" s="10"/>
      <c r="B754" s="13"/>
      <c r="C754" s="13"/>
    </row>
    <row r="755" spans="1:3" ht="13" x14ac:dyDescent="0.15">
      <c r="A755" s="10"/>
      <c r="B755" s="13"/>
      <c r="C755" s="13"/>
    </row>
    <row r="756" spans="1:3" ht="13" x14ac:dyDescent="0.15">
      <c r="A756" s="10"/>
      <c r="B756" s="13"/>
      <c r="C756" s="13"/>
    </row>
    <row r="757" spans="1:3" ht="13" x14ac:dyDescent="0.15">
      <c r="A757" s="10"/>
      <c r="B757" s="13"/>
      <c r="C757" s="13"/>
    </row>
    <row r="758" spans="1:3" ht="13" x14ac:dyDescent="0.15">
      <c r="A758" s="10"/>
      <c r="B758" s="13"/>
      <c r="C758" s="13"/>
    </row>
    <row r="759" spans="1:3" ht="13" x14ac:dyDescent="0.15">
      <c r="A759" s="10"/>
      <c r="B759" s="13"/>
      <c r="C759" s="13"/>
    </row>
    <row r="760" spans="1:3" ht="13" x14ac:dyDescent="0.15">
      <c r="A760" s="10"/>
      <c r="B760" s="13"/>
      <c r="C760" s="13"/>
    </row>
    <row r="761" spans="1:3" ht="13" x14ac:dyDescent="0.15">
      <c r="A761" s="10"/>
      <c r="B761" s="13"/>
      <c r="C761" s="13"/>
    </row>
    <row r="762" spans="1:3" ht="13" x14ac:dyDescent="0.15">
      <c r="A762" s="10"/>
      <c r="B762" s="13"/>
      <c r="C762" s="13"/>
    </row>
    <row r="763" spans="1:3" ht="13" x14ac:dyDescent="0.15">
      <c r="A763" s="10"/>
      <c r="B763" s="13"/>
      <c r="C763" s="13"/>
    </row>
    <row r="764" spans="1:3" ht="13" x14ac:dyDescent="0.15">
      <c r="A764" s="10"/>
      <c r="B764" s="13"/>
      <c r="C764" s="13"/>
    </row>
    <row r="765" spans="1:3" ht="13" x14ac:dyDescent="0.15">
      <c r="A765" s="10"/>
      <c r="B765" s="13"/>
      <c r="C765" s="13"/>
    </row>
    <row r="766" spans="1:3" ht="13" x14ac:dyDescent="0.15">
      <c r="A766" s="10"/>
      <c r="B766" s="13"/>
      <c r="C766" s="13"/>
    </row>
    <row r="767" spans="1:3" ht="13" x14ac:dyDescent="0.15">
      <c r="A767" s="10"/>
      <c r="B767" s="13"/>
      <c r="C767" s="13"/>
    </row>
    <row r="768" spans="1:3" ht="13" x14ac:dyDescent="0.15">
      <c r="A768" s="10"/>
      <c r="B768" s="13"/>
      <c r="C768" s="13"/>
    </row>
    <row r="769" spans="1:3" ht="13" x14ac:dyDescent="0.15">
      <c r="A769" s="10"/>
      <c r="B769" s="13"/>
      <c r="C769" s="13"/>
    </row>
    <row r="770" spans="1:3" ht="13" x14ac:dyDescent="0.15">
      <c r="A770" s="10"/>
      <c r="B770" s="13"/>
      <c r="C770" s="13"/>
    </row>
    <row r="771" spans="1:3" ht="13" x14ac:dyDescent="0.15">
      <c r="A771" s="10"/>
      <c r="B771" s="13"/>
      <c r="C771" s="13"/>
    </row>
    <row r="772" spans="1:3" ht="13" x14ac:dyDescent="0.15">
      <c r="A772" s="10"/>
      <c r="B772" s="13"/>
      <c r="C772" s="13"/>
    </row>
    <row r="773" spans="1:3" ht="13" x14ac:dyDescent="0.15">
      <c r="A773" s="10"/>
      <c r="B773" s="13"/>
      <c r="C773" s="13"/>
    </row>
    <row r="774" spans="1:3" ht="13" x14ac:dyDescent="0.15">
      <c r="A774" s="10"/>
      <c r="B774" s="13"/>
      <c r="C774" s="13"/>
    </row>
    <row r="775" spans="1:3" ht="13" x14ac:dyDescent="0.15">
      <c r="A775" s="10"/>
      <c r="B775" s="13"/>
      <c r="C775" s="13"/>
    </row>
    <row r="776" spans="1:3" ht="13" x14ac:dyDescent="0.15">
      <c r="A776" s="10"/>
      <c r="B776" s="13"/>
      <c r="C776" s="13"/>
    </row>
    <row r="777" spans="1:3" ht="13" x14ac:dyDescent="0.15">
      <c r="A777" s="10"/>
      <c r="B777" s="13"/>
      <c r="C777" s="13"/>
    </row>
    <row r="778" spans="1:3" ht="13" x14ac:dyDescent="0.15">
      <c r="A778" s="10"/>
      <c r="B778" s="13"/>
      <c r="C778" s="13"/>
    </row>
    <row r="779" spans="1:3" ht="13" x14ac:dyDescent="0.15">
      <c r="A779" s="10"/>
      <c r="B779" s="13"/>
      <c r="C779" s="13"/>
    </row>
    <row r="780" spans="1:3" ht="13" x14ac:dyDescent="0.15">
      <c r="A780" s="10"/>
      <c r="B780" s="13"/>
      <c r="C780" s="13"/>
    </row>
    <row r="781" spans="1:3" ht="13" x14ac:dyDescent="0.15">
      <c r="A781" s="10"/>
      <c r="B781" s="13"/>
      <c r="C781" s="13"/>
    </row>
    <row r="782" spans="1:3" ht="13" x14ac:dyDescent="0.15">
      <c r="A782" s="10"/>
      <c r="B782" s="13"/>
      <c r="C782" s="13"/>
    </row>
    <row r="783" spans="1:3" ht="13" x14ac:dyDescent="0.15">
      <c r="A783" s="10"/>
      <c r="B783" s="13"/>
      <c r="C783" s="13"/>
    </row>
    <row r="784" spans="1:3" ht="13" x14ac:dyDescent="0.15">
      <c r="A784" s="10"/>
      <c r="B784" s="13"/>
      <c r="C784" s="13"/>
    </row>
    <row r="785" spans="1:3" ht="13" x14ac:dyDescent="0.15">
      <c r="A785" s="10"/>
      <c r="B785" s="13"/>
      <c r="C785" s="13"/>
    </row>
    <row r="786" spans="1:3" ht="13" x14ac:dyDescent="0.15">
      <c r="A786" s="10"/>
      <c r="B786" s="13"/>
      <c r="C786" s="13"/>
    </row>
    <row r="787" spans="1:3" ht="13" x14ac:dyDescent="0.15">
      <c r="A787" s="10"/>
      <c r="B787" s="13"/>
      <c r="C787" s="13"/>
    </row>
    <row r="788" spans="1:3" ht="13" x14ac:dyDescent="0.15">
      <c r="A788" s="10"/>
      <c r="B788" s="13"/>
      <c r="C788" s="13"/>
    </row>
    <row r="789" spans="1:3" ht="13" x14ac:dyDescent="0.15">
      <c r="A789" s="10"/>
      <c r="B789" s="13"/>
      <c r="C789" s="13"/>
    </row>
    <row r="790" spans="1:3" ht="13" x14ac:dyDescent="0.15">
      <c r="A790" s="10"/>
      <c r="B790" s="13"/>
      <c r="C790" s="13"/>
    </row>
    <row r="791" spans="1:3" ht="13" x14ac:dyDescent="0.15">
      <c r="A791" s="10"/>
      <c r="B791" s="13"/>
      <c r="C791" s="13"/>
    </row>
    <row r="792" spans="1:3" ht="13" x14ac:dyDescent="0.15">
      <c r="A792" s="10"/>
      <c r="B792" s="13"/>
      <c r="C792" s="13"/>
    </row>
    <row r="793" spans="1:3" ht="13" x14ac:dyDescent="0.15">
      <c r="A793" s="10"/>
      <c r="B793" s="13"/>
      <c r="C793" s="13"/>
    </row>
    <row r="794" spans="1:3" ht="13" x14ac:dyDescent="0.15">
      <c r="A794" s="10"/>
      <c r="B794" s="13"/>
      <c r="C794" s="13"/>
    </row>
    <row r="795" spans="1:3" ht="13" x14ac:dyDescent="0.15">
      <c r="A795" s="10"/>
      <c r="B795" s="13"/>
      <c r="C795" s="13"/>
    </row>
    <row r="796" spans="1:3" ht="13" x14ac:dyDescent="0.15">
      <c r="A796" s="10"/>
      <c r="B796" s="13"/>
      <c r="C796" s="13"/>
    </row>
    <row r="797" spans="1:3" ht="13" x14ac:dyDescent="0.15">
      <c r="A797" s="10"/>
      <c r="B797" s="13"/>
      <c r="C797" s="13"/>
    </row>
    <row r="798" spans="1:3" ht="13" x14ac:dyDescent="0.15">
      <c r="A798" s="10"/>
      <c r="B798" s="13"/>
      <c r="C798" s="13"/>
    </row>
    <row r="799" spans="1:3" ht="13" x14ac:dyDescent="0.15">
      <c r="A799" s="10"/>
      <c r="B799" s="13"/>
      <c r="C799" s="13"/>
    </row>
    <row r="800" spans="1:3" ht="13" x14ac:dyDescent="0.15">
      <c r="A800" s="10"/>
      <c r="B800" s="13"/>
      <c r="C800" s="13"/>
    </row>
    <row r="801" spans="1:3" ht="13" x14ac:dyDescent="0.15">
      <c r="A801" s="10"/>
      <c r="B801" s="13"/>
      <c r="C801" s="13"/>
    </row>
    <row r="802" spans="1:3" ht="13" x14ac:dyDescent="0.15">
      <c r="A802" s="10"/>
      <c r="B802" s="13"/>
      <c r="C802" s="13"/>
    </row>
    <row r="803" spans="1:3" ht="13" x14ac:dyDescent="0.15">
      <c r="A803" s="10"/>
      <c r="B803" s="13"/>
      <c r="C803" s="13"/>
    </row>
    <row r="804" spans="1:3" ht="13" x14ac:dyDescent="0.15">
      <c r="A804" s="10"/>
      <c r="B804" s="13"/>
      <c r="C804" s="13"/>
    </row>
    <row r="805" spans="1:3" ht="13" x14ac:dyDescent="0.15">
      <c r="A805" s="10"/>
      <c r="B805" s="13"/>
      <c r="C805" s="13"/>
    </row>
    <row r="806" spans="1:3" ht="13" x14ac:dyDescent="0.15">
      <c r="A806" s="10"/>
      <c r="B806" s="13"/>
      <c r="C806" s="13"/>
    </row>
    <row r="807" spans="1:3" ht="13" x14ac:dyDescent="0.15">
      <c r="A807" s="10"/>
      <c r="B807" s="13"/>
      <c r="C807" s="13"/>
    </row>
    <row r="808" spans="1:3" ht="13" x14ac:dyDescent="0.15">
      <c r="A808" s="10"/>
      <c r="B808" s="13"/>
      <c r="C808" s="13"/>
    </row>
    <row r="809" spans="1:3" ht="13" x14ac:dyDescent="0.15">
      <c r="A809" s="10"/>
      <c r="B809" s="13"/>
      <c r="C809" s="13"/>
    </row>
    <row r="810" spans="1:3" ht="13" x14ac:dyDescent="0.15">
      <c r="A810" s="10"/>
      <c r="B810" s="13"/>
      <c r="C810" s="13"/>
    </row>
    <row r="811" spans="1:3" ht="13" x14ac:dyDescent="0.15">
      <c r="A811" s="10"/>
      <c r="B811" s="13"/>
      <c r="C811" s="13"/>
    </row>
    <row r="812" spans="1:3" ht="13" x14ac:dyDescent="0.15">
      <c r="A812" s="10"/>
      <c r="B812" s="13"/>
      <c r="C812" s="13"/>
    </row>
    <row r="813" spans="1:3" ht="13" x14ac:dyDescent="0.15">
      <c r="A813" s="10"/>
      <c r="B813" s="13"/>
      <c r="C813" s="13"/>
    </row>
    <row r="814" spans="1:3" ht="13" x14ac:dyDescent="0.15">
      <c r="A814" s="10"/>
      <c r="B814" s="13"/>
      <c r="C814" s="13"/>
    </row>
    <row r="815" spans="1:3" ht="13" x14ac:dyDescent="0.15">
      <c r="A815" s="10"/>
      <c r="B815" s="13"/>
      <c r="C815" s="13"/>
    </row>
    <row r="816" spans="1:3" ht="13" x14ac:dyDescent="0.15">
      <c r="A816" s="10"/>
      <c r="B816" s="13"/>
      <c r="C816" s="13"/>
    </row>
    <row r="817" spans="1:3" ht="13" x14ac:dyDescent="0.15">
      <c r="A817" s="10"/>
      <c r="B817" s="13"/>
      <c r="C817" s="13"/>
    </row>
    <row r="818" spans="1:3" ht="13" x14ac:dyDescent="0.15">
      <c r="A818" s="10"/>
      <c r="B818" s="13"/>
      <c r="C818" s="13"/>
    </row>
    <row r="819" spans="1:3" ht="13" x14ac:dyDescent="0.15">
      <c r="A819" s="10"/>
      <c r="B819" s="13"/>
      <c r="C819" s="13"/>
    </row>
    <row r="820" spans="1:3" ht="13" x14ac:dyDescent="0.15">
      <c r="A820" s="10"/>
      <c r="B820" s="13"/>
      <c r="C820" s="13"/>
    </row>
    <row r="821" spans="1:3" ht="13" x14ac:dyDescent="0.15">
      <c r="A821" s="10"/>
      <c r="B821" s="13"/>
      <c r="C821" s="13"/>
    </row>
    <row r="822" spans="1:3" ht="13" x14ac:dyDescent="0.15">
      <c r="A822" s="10"/>
      <c r="B822" s="13"/>
      <c r="C822" s="13"/>
    </row>
    <row r="823" spans="1:3" ht="13" x14ac:dyDescent="0.15">
      <c r="A823" s="10"/>
      <c r="B823" s="13"/>
      <c r="C823" s="13"/>
    </row>
    <row r="824" spans="1:3" ht="13" x14ac:dyDescent="0.15">
      <c r="A824" s="10"/>
      <c r="B824" s="13"/>
      <c r="C824" s="13"/>
    </row>
    <row r="825" spans="1:3" ht="13" x14ac:dyDescent="0.15">
      <c r="A825" s="10"/>
      <c r="B825" s="13"/>
      <c r="C825" s="13"/>
    </row>
    <row r="826" spans="1:3" ht="13" x14ac:dyDescent="0.15">
      <c r="A826" s="10"/>
      <c r="B826" s="13"/>
      <c r="C826" s="13"/>
    </row>
    <row r="827" spans="1:3" ht="13" x14ac:dyDescent="0.15">
      <c r="A827" s="10"/>
      <c r="B827" s="13"/>
      <c r="C827" s="13"/>
    </row>
    <row r="828" spans="1:3" ht="13" x14ac:dyDescent="0.15">
      <c r="A828" s="10"/>
      <c r="B828" s="13"/>
      <c r="C828" s="13"/>
    </row>
    <row r="829" spans="1:3" ht="13" x14ac:dyDescent="0.15">
      <c r="A829" s="10"/>
      <c r="B829" s="13"/>
      <c r="C829" s="13"/>
    </row>
    <row r="830" spans="1:3" ht="13" x14ac:dyDescent="0.15">
      <c r="A830" s="10"/>
      <c r="B830" s="13"/>
      <c r="C830" s="13"/>
    </row>
    <row r="831" spans="1:3" ht="13" x14ac:dyDescent="0.15">
      <c r="A831" s="10"/>
      <c r="B831" s="13"/>
      <c r="C831" s="13"/>
    </row>
    <row r="832" spans="1:3" ht="13" x14ac:dyDescent="0.15">
      <c r="A832" s="10"/>
      <c r="B832" s="13"/>
      <c r="C832" s="13"/>
    </row>
    <row r="833" spans="1:3" ht="13" x14ac:dyDescent="0.15">
      <c r="A833" s="10"/>
      <c r="B833" s="13"/>
      <c r="C833" s="13"/>
    </row>
    <row r="834" spans="1:3" ht="13" x14ac:dyDescent="0.15">
      <c r="A834" s="10"/>
      <c r="B834" s="13"/>
      <c r="C834" s="13"/>
    </row>
    <row r="835" spans="1:3" ht="13" x14ac:dyDescent="0.15">
      <c r="A835" s="10"/>
      <c r="B835" s="13"/>
      <c r="C835" s="13"/>
    </row>
    <row r="836" spans="1:3" ht="13" x14ac:dyDescent="0.15">
      <c r="A836" s="10"/>
      <c r="B836" s="13"/>
      <c r="C836" s="13"/>
    </row>
    <row r="837" spans="1:3" ht="13" x14ac:dyDescent="0.15">
      <c r="A837" s="10"/>
      <c r="B837" s="13"/>
      <c r="C837" s="13"/>
    </row>
    <row r="838" spans="1:3" ht="13" x14ac:dyDescent="0.15">
      <c r="A838" s="10"/>
      <c r="B838" s="13"/>
      <c r="C838" s="13"/>
    </row>
    <row r="839" spans="1:3" ht="13" x14ac:dyDescent="0.15">
      <c r="A839" s="10"/>
      <c r="B839" s="13"/>
      <c r="C839" s="13"/>
    </row>
    <row r="840" spans="1:3" ht="13" x14ac:dyDescent="0.15">
      <c r="A840" s="10"/>
      <c r="B840" s="13"/>
      <c r="C840" s="13"/>
    </row>
    <row r="841" spans="1:3" ht="13" x14ac:dyDescent="0.15">
      <c r="A841" s="10"/>
      <c r="B841" s="13"/>
      <c r="C841" s="13"/>
    </row>
    <row r="842" spans="1:3" ht="13" x14ac:dyDescent="0.15">
      <c r="A842" s="10"/>
      <c r="B842" s="13"/>
      <c r="C842" s="13"/>
    </row>
    <row r="843" spans="1:3" ht="13" x14ac:dyDescent="0.15">
      <c r="A843" s="10"/>
      <c r="B843" s="13"/>
      <c r="C843" s="13"/>
    </row>
    <row r="844" spans="1:3" ht="13" x14ac:dyDescent="0.15">
      <c r="A844" s="10"/>
      <c r="B844" s="13"/>
      <c r="C844" s="13"/>
    </row>
    <row r="845" spans="1:3" ht="13" x14ac:dyDescent="0.15">
      <c r="A845" s="10"/>
      <c r="B845" s="13"/>
      <c r="C845" s="13"/>
    </row>
    <row r="846" spans="1:3" ht="13" x14ac:dyDescent="0.15">
      <c r="A846" s="10"/>
      <c r="B846" s="13"/>
      <c r="C846" s="13"/>
    </row>
    <row r="847" spans="1:3" ht="13" x14ac:dyDescent="0.15">
      <c r="A847" s="10"/>
      <c r="B847" s="13"/>
      <c r="C847" s="13"/>
    </row>
    <row r="848" spans="1:3" ht="13" x14ac:dyDescent="0.15">
      <c r="A848" s="10"/>
      <c r="B848" s="13"/>
      <c r="C848" s="13"/>
    </row>
    <row r="849" spans="1:3" ht="13" x14ac:dyDescent="0.15">
      <c r="A849" s="10"/>
      <c r="B849" s="13"/>
      <c r="C849" s="13"/>
    </row>
    <row r="850" spans="1:3" ht="13" x14ac:dyDescent="0.15">
      <c r="A850" s="10"/>
      <c r="B850" s="13"/>
      <c r="C850" s="13"/>
    </row>
    <row r="851" spans="1:3" ht="13" x14ac:dyDescent="0.15">
      <c r="A851" s="10"/>
      <c r="B851" s="13"/>
      <c r="C851" s="13"/>
    </row>
    <row r="852" spans="1:3" ht="13" x14ac:dyDescent="0.15">
      <c r="A852" s="10"/>
      <c r="B852" s="13"/>
      <c r="C852" s="13"/>
    </row>
    <row r="853" spans="1:3" ht="13" x14ac:dyDescent="0.15">
      <c r="A853" s="10"/>
      <c r="B853" s="13"/>
      <c r="C853" s="13"/>
    </row>
    <row r="854" spans="1:3" ht="13" x14ac:dyDescent="0.15">
      <c r="A854" s="10"/>
      <c r="B854" s="13"/>
      <c r="C854" s="13"/>
    </row>
    <row r="855" spans="1:3" ht="13" x14ac:dyDescent="0.15">
      <c r="A855" s="10"/>
      <c r="B855" s="13"/>
      <c r="C855" s="13"/>
    </row>
    <row r="856" spans="1:3" ht="13" x14ac:dyDescent="0.15">
      <c r="A856" s="10"/>
      <c r="B856" s="13"/>
      <c r="C856" s="13"/>
    </row>
    <row r="857" spans="1:3" ht="13" x14ac:dyDescent="0.15">
      <c r="A857" s="10"/>
      <c r="B857" s="13"/>
      <c r="C857" s="13"/>
    </row>
    <row r="858" spans="1:3" ht="13" x14ac:dyDescent="0.15">
      <c r="A858" s="10"/>
      <c r="B858" s="13"/>
      <c r="C858" s="13"/>
    </row>
    <row r="859" spans="1:3" ht="13" x14ac:dyDescent="0.15">
      <c r="A859" s="10"/>
      <c r="B859" s="13"/>
      <c r="C859" s="13"/>
    </row>
    <row r="860" spans="1:3" ht="13" x14ac:dyDescent="0.15">
      <c r="A860" s="10"/>
      <c r="B860" s="13"/>
      <c r="C860" s="13"/>
    </row>
    <row r="861" spans="1:3" ht="13" x14ac:dyDescent="0.15">
      <c r="A861" s="10"/>
      <c r="B861" s="13"/>
      <c r="C861" s="13"/>
    </row>
    <row r="862" spans="1:3" ht="13" x14ac:dyDescent="0.15">
      <c r="A862" s="10"/>
      <c r="B862" s="13"/>
      <c r="C862" s="13"/>
    </row>
    <row r="863" spans="1:3" ht="13" x14ac:dyDescent="0.15">
      <c r="A863" s="10"/>
      <c r="B863" s="13"/>
      <c r="C863" s="13"/>
    </row>
    <row r="864" spans="1:3" ht="13" x14ac:dyDescent="0.15">
      <c r="A864" s="10"/>
      <c r="B864" s="13"/>
      <c r="C864" s="13"/>
    </row>
    <row r="865" spans="1:3" ht="13" x14ac:dyDescent="0.15">
      <c r="A865" s="10"/>
      <c r="B865" s="13"/>
      <c r="C865" s="13"/>
    </row>
    <row r="866" spans="1:3" ht="13" x14ac:dyDescent="0.15">
      <c r="A866" s="10"/>
      <c r="B866" s="13"/>
      <c r="C866" s="13"/>
    </row>
    <row r="867" spans="1:3" ht="13" x14ac:dyDescent="0.15">
      <c r="A867" s="10"/>
      <c r="B867" s="13"/>
      <c r="C867" s="13"/>
    </row>
    <row r="868" spans="1:3" ht="13" x14ac:dyDescent="0.15">
      <c r="A868" s="10"/>
      <c r="B868" s="13"/>
      <c r="C868" s="13"/>
    </row>
    <row r="869" spans="1:3" ht="13" x14ac:dyDescent="0.15">
      <c r="A869" s="10"/>
      <c r="B869" s="13"/>
      <c r="C869" s="13"/>
    </row>
    <row r="870" spans="1:3" ht="13" x14ac:dyDescent="0.15">
      <c r="A870" s="10"/>
      <c r="B870" s="13"/>
      <c r="C870" s="13"/>
    </row>
    <row r="871" spans="1:3" ht="13" x14ac:dyDescent="0.15">
      <c r="A871" s="10"/>
      <c r="B871" s="13"/>
      <c r="C871" s="13"/>
    </row>
    <row r="872" spans="1:3" ht="13" x14ac:dyDescent="0.15">
      <c r="A872" s="10"/>
      <c r="B872" s="13"/>
      <c r="C872" s="13"/>
    </row>
    <row r="873" spans="1:3" ht="13" x14ac:dyDescent="0.15">
      <c r="A873" s="10"/>
      <c r="B873" s="13"/>
      <c r="C873" s="13"/>
    </row>
    <row r="874" spans="1:3" ht="13" x14ac:dyDescent="0.15">
      <c r="A874" s="10"/>
      <c r="B874" s="13"/>
      <c r="C874" s="13"/>
    </row>
    <row r="875" spans="1:3" ht="13" x14ac:dyDescent="0.15">
      <c r="A875" s="10"/>
      <c r="B875" s="13"/>
      <c r="C875" s="13"/>
    </row>
    <row r="876" spans="1:3" ht="13" x14ac:dyDescent="0.15">
      <c r="A876" s="10"/>
      <c r="B876" s="13"/>
      <c r="C876" s="13"/>
    </row>
    <row r="877" spans="1:3" ht="13" x14ac:dyDescent="0.15">
      <c r="A877" s="10"/>
      <c r="B877" s="13"/>
      <c r="C877" s="13"/>
    </row>
    <row r="878" spans="1:3" ht="13" x14ac:dyDescent="0.15">
      <c r="A878" s="10"/>
      <c r="B878" s="13"/>
      <c r="C878" s="13"/>
    </row>
    <row r="879" spans="1:3" ht="13" x14ac:dyDescent="0.15">
      <c r="A879" s="10"/>
      <c r="B879" s="13"/>
      <c r="C879" s="13"/>
    </row>
    <row r="880" spans="1:3" ht="13" x14ac:dyDescent="0.15">
      <c r="A880" s="10"/>
      <c r="B880" s="13"/>
      <c r="C880" s="13"/>
    </row>
    <row r="881" spans="1:3" ht="13" x14ac:dyDescent="0.15">
      <c r="A881" s="10"/>
      <c r="B881" s="13"/>
      <c r="C881" s="13"/>
    </row>
    <row r="882" spans="1:3" ht="13" x14ac:dyDescent="0.15">
      <c r="A882" s="10"/>
      <c r="B882" s="13"/>
      <c r="C882" s="13"/>
    </row>
    <row r="883" spans="1:3" ht="13" x14ac:dyDescent="0.15">
      <c r="A883" s="10"/>
      <c r="B883" s="13"/>
      <c r="C883" s="13"/>
    </row>
    <row r="884" spans="1:3" ht="13" x14ac:dyDescent="0.15">
      <c r="A884" s="10"/>
      <c r="B884" s="13"/>
      <c r="C884" s="13"/>
    </row>
    <row r="885" spans="1:3" ht="13" x14ac:dyDescent="0.15">
      <c r="A885" s="10"/>
      <c r="B885" s="13"/>
      <c r="C885" s="13"/>
    </row>
    <row r="886" spans="1:3" ht="13" x14ac:dyDescent="0.15">
      <c r="A886" s="10"/>
      <c r="B886" s="13"/>
      <c r="C886" s="13"/>
    </row>
    <row r="887" spans="1:3" ht="13" x14ac:dyDescent="0.15">
      <c r="A887" s="10"/>
      <c r="B887" s="13"/>
      <c r="C887" s="13"/>
    </row>
    <row r="888" spans="1:3" ht="13" x14ac:dyDescent="0.15">
      <c r="A888" s="10"/>
      <c r="B888" s="13"/>
      <c r="C888" s="13"/>
    </row>
    <row r="889" spans="1:3" ht="13" x14ac:dyDescent="0.15">
      <c r="A889" s="10"/>
      <c r="B889" s="13"/>
      <c r="C889" s="13"/>
    </row>
    <row r="890" spans="1:3" ht="13" x14ac:dyDescent="0.15">
      <c r="A890" s="10"/>
      <c r="B890" s="13"/>
      <c r="C890" s="13"/>
    </row>
    <row r="891" spans="1:3" ht="13" x14ac:dyDescent="0.15">
      <c r="A891" s="10"/>
      <c r="B891" s="13"/>
      <c r="C891" s="13"/>
    </row>
    <row r="892" spans="1:3" ht="13" x14ac:dyDescent="0.15">
      <c r="A892" s="10"/>
      <c r="B892" s="13"/>
      <c r="C892" s="13"/>
    </row>
    <row r="893" spans="1:3" ht="13" x14ac:dyDescent="0.15">
      <c r="A893" s="10"/>
      <c r="B893" s="13"/>
      <c r="C893" s="13"/>
    </row>
    <row r="894" spans="1:3" ht="13" x14ac:dyDescent="0.15">
      <c r="A894" s="10"/>
      <c r="B894" s="13"/>
      <c r="C894" s="13"/>
    </row>
    <row r="895" spans="1:3" ht="13" x14ac:dyDescent="0.15">
      <c r="A895" s="10"/>
      <c r="B895" s="13"/>
      <c r="C895" s="13"/>
    </row>
    <row r="896" spans="1:3" ht="13" x14ac:dyDescent="0.15">
      <c r="A896" s="10"/>
      <c r="B896" s="13"/>
      <c r="C896" s="13"/>
    </row>
    <row r="897" spans="1:3" ht="13" x14ac:dyDescent="0.15">
      <c r="A897" s="10"/>
      <c r="B897" s="13"/>
      <c r="C897" s="13"/>
    </row>
    <row r="898" spans="1:3" ht="13" x14ac:dyDescent="0.15">
      <c r="A898" s="10"/>
      <c r="B898" s="13"/>
      <c r="C898" s="13"/>
    </row>
    <row r="899" spans="1:3" ht="13" x14ac:dyDescent="0.15">
      <c r="A899" s="10"/>
      <c r="B899" s="13"/>
      <c r="C899" s="13"/>
    </row>
    <row r="900" spans="1:3" ht="13" x14ac:dyDescent="0.15">
      <c r="A900" s="10"/>
      <c r="B900" s="13"/>
      <c r="C900" s="13"/>
    </row>
    <row r="901" spans="1:3" ht="13" x14ac:dyDescent="0.15">
      <c r="A901" s="10"/>
      <c r="B901" s="13"/>
      <c r="C901" s="13"/>
    </row>
    <row r="902" spans="1:3" ht="13" x14ac:dyDescent="0.15">
      <c r="A902" s="10"/>
      <c r="B902" s="13"/>
      <c r="C902" s="13"/>
    </row>
    <row r="903" spans="1:3" ht="13" x14ac:dyDescent="0.15">
      <c r="A903" s="10"/>
      <c r="B903" s="13"/>
      <c r="C903" s="13"/>
    </row>
    <row r="904" spans="1:3" ht="13" x14ac:dyDescent="0.15">
      <c r="A904" s="10"/>
      <c r="B904" s="13"/>
      <c r="C904" s="13"/>
    </row>
    <row r="905" spans="1:3" ht="13" x14ac:dyDescent="0.15">
      <c r="A905" s="10"/>
      <c r="B905" s="13"/>
      <c r="C905" s="13"/>
    </row>
    <row r="906" spans="1:3" ht="13" x14ac:dyDescent="0.15">
      <c r="A906" s="10"/>
      <c r="B906" s="13"/>
      <c r="C906" s="13"/>
    </row>
    <row r="907" spans="1:3" ht="13" x14ac:dyDescent="0.15">
      <c r="A907" s="10"/>
      <c r="B907" s="13"/>
      <c r="C907" s="13"/>
    </row>
    <row r="908" spans="1:3" ht="13" x14ac:dyDescent="0.15">
      <c r="A908" s="10"/>
      <c r="B908" s="13"/>
      <c r="C908" s="13"/>
    </row>
    <row r="909" spans="1:3" ht="13" x14ac:dyDescent="0.15">
      <c r="A909" s="10"/>
      <c r="B909" s="13"/>
      <c r="C909" s="13"/>
    </row>
    <row r="910" spans="1:3" ht="13" x14ac:dyDescent="0.15">
      <c r="A910" s="10"/>
      <c r="B910" s="13"/>
      <c r="C910" s="13"/>
    </row>
    <row r="911" spans="1:3" ht="13" x14ac:dyDescent="0.15">
      <c r="A911" s="10"/>
      <c r="B911" s="13"/>
      <c r="C911" s="13"/>
    </row>
    <row r="912" spans="1:3" ht="13" x14ac:dyDescent="0.15">
      <c r="A912" s="10"/>
      <c r="B912" s="13"/>
      <c r="C912" s="13"/>
    </row>
    <row r="913" spans="1:3" ht="13" x14ac:dyDescent="0.15">
      <c r="A913" s="10"/>
      <c r="B913" s="13"/>
      <c r="C913" s="13"/>
    </row>
    <row r="914" spans="1:3" ht="13" x14ac:dyDescent="0.15">
      <c r="A914" s="10"/>
      <c r="B914" s="13"/>
      <c r="C914" s="13"/>
    </row>
    <row r="915" spans="1:3" ht="13" x14ac:dyDescent="0.15">
      <c r="A915" s="10"/>
      <c r="B915" s="13"/>
      <c r="C915" s="13"/>
    </row>
    <row r="916" spans="1:3" ht="13" x14ac:dyDescent="0.15">
      <c r="A916" s="10"/>
      <c r="B916" s="13"/>
      <c r="C916" s="13"/>
    </row>
    <row r="917" spans="1:3" ht="13" x14ac:dyDescent="0.15">
      <c r="A917" s="10"/>
      <c r="B917" s="13"/>
      <c r="C917" s="13"/>
    </row>
    <row r="918" spans="1:3" ht="13" x14ac:dyDescent="0.15">
      <c r="A918" s="10"/>
      <c r="B918" s="13"/>
      <c r="C918" s="13"/>
    </row>
    <row r="919" spans="1:3" ht="13" x14ac:dyDescent="0.15">
      <c r="A919" s="10"/>
      <c r="B919" s="13"/>
      <c r="C919" s="13"/>
    </row>
    <row r="920" spans="1:3" ht="13" x14ac:dyDescent="0.15">
      <c r="A920" s="10"/>
      <c r="B920" s="13"/>
      <c r="C920" s="13"/>
    </row>
    <row r="921" spans="1:3" ht="13" x14ac:dyDescent="0.15">
      <c r="A921" s="10"/>
      <c r="B921" s="13"/>
      <c r="C921" s="13"/>
    </row>
    <row r="922" spans="1:3" ht="13" x14ac:dyDescent="0.15">
      <c r="A922" s="10"/>
      <c r="B922" s="13"/>
      <c r="C922" s="13"/>
    </row>
    <row r="923" spans="1:3" ht="13" x14ac:dyDescent="0.15">
      <c r="A923" s="10"/>
      <c r="B923" s="13"/>
      <c r="C923" s="13"/>
    </row>
    <row r="924" spans="1:3" ht="13" x14ac:dyDescent="0.15">
      <c r="A924" s="10"/>
      <c r="B924" s="13"/>
      <c r="C924" s="13"/>
    </row>
    <row r="925" spans="1:3" ht="13" x14ac:dyDescent="0.15">
      <c r="A925" s="10"/>
      <c r="B925" s="13"/>
      <c r="C925" s="13"/>
    </row>
    <row r="926" spans="1:3" ht="13" x14ac:dyDescent="0.15">
      <c r="A926" s="10"/>
      <c r="B926" s="13"/>
      <c r="C926" s="13"/>
    </row>
    <row r="927" spans="1:3" ht="13" x14ac:dyDescent="0.15">
      <c r="A927" s="10"/>
      <c r="B927" s="13"/>
      <c r="C927" s="13"/>
    </row>
    <row r="928" spans="1:3" ht="13" x14ac:dyDescent="0.15">
      <c r="A928" s="10"/>
      <c r="B928" s="13"/>
      <c r="C928" s="13"/>
    </row>
    <row r="929" spans="1:3" ht="13" x14ac:dyDescent="0.15">
      <c r="A929" s="10"/>
      <c r="B929" s="13"/>
      <c r="C929" s="13"/>
    </row>
    <row r="930" spans="1:3" ht="13" x14ac:dyDescent="0.15">
      <c r="A930" s="10"/>
      <c r="B930" s="13"/>
      <c r="C930" s="13"/>
    </row>
    <row r="931" spans="1:3" ht="13" x14ac:dyDescent="0.15">
      <c r="A931" s="10"/>
      <c r="B931" s="13"/>
      <c r="C931" s="13"/>
    </row>
    <row r="932" spans="1:3" ht="13" x14ac:dyDescent="0.15">
      <c r="A932" s="10"/>
      <c r="B932" s="13"/>
      <c r="C932" s="13"/>
    </row>
    <row r="933" spans="1:3" ht="13" x14ac:dyDescent="0.15">
      <c r="A933" s="10"/>
      <c r="B933" s="13"/>
      <c r="C933" s="13"/>
    </row>
    <row r="934" spans="1:3" ht="13" x14ac:dyDescent="0.15">
      <c r="A934" s="10"/>
      <c r="B934" s="13"/>
      <c r="C934" s="13"/>
    </row>
    <row r="935" spans="1:3" ht="13" x14ac:dyDescent="0.15">
      <c r="A935" s="10"/>
      <c r="B935" s="13"/>
      <c r="C935" s="13"/>
    </row>
    <row r="936" spans="1:3" ht="13" x14ac:dyDescent="0.15">
      <c r="A936" s="10"/>
      <c r="B936" s="13"/>
      <c r="C936" s="13"/>
    </row>
    <row r="937" spans="1:3" ht="13" x14ac:dyDescent="0.15">
      <c r="A937" s="10"/>
      <c r="B937" s="13"/>
      <c r="C937" s="13"/>
    </row>
    <row r="938" spans="1:3" ht="13" x14ac:dyDescent="0.15">
      <c r="A938" s="10"/>
      <c r="B938" s="13"/>
      <c r="C938" s="13"/>
    </row>
    <row r="939" spans="1:3" ht="13" x14ac:dyDescent="0.15">
      <c r="A939" s="10"/>
      <c r="B939" s="13"/>
      <c r="C939" s="13"/>
    </row>
    <row r="940" spans="1:3" ht="13" x14ac:dyDescent="0.15">
      <c r="A940" s="10"/>
      <c r="B940" s="13"/>
      <c r="C940" s="13"/>
    </row>
    <row r="941" spans="1:3" ht="13" x14ac:dyDescent="0.15">
      <c r="A941" s="10"/>
      <c r="B941" s="13"/>
      <c r="C941" s="13"/>
    </row>
    <row r="942" spans="1:3" ht="13" x14ac:dyDescent="0.15">
      <c r="A942" s="10"/>
      <c r="B942" s="13"/>
      <c r="C942" s="13"/>
    </row>
    <row r="943" spans="1:3" ht="13" x14ac:dyDescent="0.15">
      <c r="A943" s="10"/>
      <c r="B943" s="13"/>
      <c r="C943" s="13"/>
    </row>
    <row r="944" spans="1:3" ht="13" x14ac:dyDescent="0.15">
      <c r="A944" s="10"/>
      <c r="B944" s="13"/>
      <c r="C944" s="13"/>
    </row>
    <row r="945" spans="1:3" ht="13" x14ac:dyDescent="0.15">
      <c r="A945" s="10"/>
      <c r="B945" s="13"/>
      <c r="C945" s="13"/>
    </row>
    <row r="946" spans="1:3" ht="13" x14ac:dyDescent="0.15">
      <c r="A946" s="10"/>
      <c r="B946" s="13"/>
      <c r="C946" s="13"/>
    </row>
    <row r="947" spans="1:3" ht="13" x14ac:dyDescent="0.15">
      <c r="A947" s="10"/>
      <c r="B947" s="13"/>
      <c r="C947" s="13"/>
    </row>
    <row r="948" spans="1:3" ht="13" x14ac:dyDescent="0.15">
      <c r="A948" s="10"/>
      <c r="B948" s="13"/>
      <c r="C948" s="13"/>
    </row>
    <row r="949" spans="1:3" ht="13" x14ac:dyDescent="0.15">
      <c r="A949" s="10"/>
      <c r="B949" s="13"/>
      <c r="C949" s="13"/>
    </row>
    <row r="950" spans="1:3" ht="13" x14ac:dyDescent="0.15">
      <c r="A950" s="10"/>
      <c r="B950" s="13"/>
      <c r="C950" s="13"/>
    </row>
    <row r="951" spans="1:3" ht="13" x14ac:dyDescent="0.15">
      <c r="A951" s="10"/>
      <c r="B951" s="13"/>
      <c r="C951" s="13"/>
    </row>
    <row r="952" spans="1:3" ht="13" x14ac:dyDescent="0.15">
      <c r="A952" s="10"/>
      <c r="B952" s="13"/>
      <c r="C952" s="13"/>
    </row>
    <row r="953" spans="1:3" ht="13" x14ac:dyDescent="0.15">
      <c r="A953" s="10"/>
      <c r="B953" s="13"/>
      <c r="C953" s="13"/>
    </row>
    <row r="954" spans="1:3" ht="13" x14ac:dyDescent="0.15">
      <c r="A954" s="10"/>
      <c r="B954" s="13"/>
      <c r="C954" s="13"/>
    </row>
    <row r="955" spans="1:3" ht="13" x14ac:dyDescent="0.15">
      <c r="A955" s="10"/>
      <c r="B955" s="13"/>
      <c r="C955" s="13"/>
    </row>
    <row r="956" spans="1:3" ht="13" x14ac:dyDescent="0.15">
      <c r="A956" s="10"/>
      <c r="B956" s="13"/>
      <c r="C956" s="13"/>
    </row>
    <row r="957" spans="1:3" ht="13" x14ac:dyDescent="0.15">
      <c r="A957" s="10"/>
      <c r="B957" s="13"/>
      <c r="C957" s="13"/>
    </row>
    <row r="958" spans="1:3" ht="13" x14ac:dyDescent="0.15">
      <c r="A958" s="10"/>
      <c r="B958" s="13"/>
      <c r="C958" s="13"/>
    </row>
    <row r="959" spans="1:3" ht="13" x14ac:dyDescent="0.15">
      <c r="A959" s="10"/>
      <c r="B959" s="13"/>
      <c r="C959" s="13"/>
    </row>
    <row r="960" spans="1:3" ht="13" x14ac:dyDescent="0.15">
      <c r="A960" s="10"/>
      <c r="B960" s="13"/>
      <c r="C960" s="13"/>
    </row>
    <row r="961" spans="1:3" ht="13" x14ac:dyDescent="0.15">
      <c r="A961" s="10"/>
      <c r="B961" s="13"/>
      <c r="C961" s="13"/>
    </row>
    <row r="962" spans="1:3" ht="13" x14ac:dyDescent="0.15">
      <c r="A962" s="10"/>
      <c r="B962" s="13"/>
      <c r="C962" s="13"/>
    </row>
    <row r="963" spans="1:3" ht="13" x14ac:dyDescent="0.15">
      <c r="A963" s="10"/>
      <c r="B963" s="13"/>
      <c r="C963" s="13"/>
    </row>
    <row r="964" spans="1:3" ht="13" x14ac:dyDescent="0.15">
      <c r="A964" s="10"/>
      <c r="B964" s="13"/>
      <c r="C964" s="13"/>
    </row>
    <row r="965" spans="1:3" ht="13" x14ac:dyDescent="0.15">
      <c r="A965" s="10"/>
      <c r="B965" s="13"/>
      <c r="C965" s="13"/>
    </row>
    <row r="966" spans="1:3" ht="13" x14ac:dyDescent="0.15">
      <c r="A966" s="10"/>
      <c r="B966" s="13"/>
      <c r="C966" s="13"/>
    </row>
    <row r="967" spans="1:3" ht="13" x14ac:dyDescent="0.15">
      <c r="A967" s="10"/>
      <c r="B967" s="13"/>
      <c r="C967" s="13"/>
    </row>
    <row r="968" spans="1:3" ht="13" x14ac:dyDescent="0.15">
      <c r="A968" s="10"/>
      <c r="B968" s="13"/>
      <c r="C968" s="13"/>
    </row>
    <row r="969" spans="1:3" ht="13" x14ac:dyDescent="0.15">
      <c r="A969" s="10"/>
      <c r="B969" s="13"/>
      <c r="C969" s="13"/>
    </row>
    <row r="970" spans="1:3" ht="13" x14ac:dyDescent="0.15">
      <c r="A970" s="10"/>
      <c r="B970" s="13"/>
      <c r="C970" s="13"/>
    </row>
    <row r="971" spans="1:3" ht="13" x14ac:dyDescent="0.15">
      <c r="A971" s="10"/>
      <c r="B971" s="13"/>
      <c r="C971" s="13"/>
    </row>
    <row r="972" spans="1:3" ht="13" x14ac:dyDescent="0.15">
      <c r="A972" s="10"/>
      <c r="B972" s="13"/>
      <c r="C972" s="13"/>
    </row>
    <row r="973" spans="1:3" ht="13" x14ac:dyDescent="0.15">
      <c r="A973" s="10"/>
      <c r="B973" s="13"/>
      <c r="C973" s="13"/>
    </row>
    <row r="974" spans="1:3" ht="13" x14ac:dyDescent="0.15">
      <c r="A974" s="10"/>
      <c r="B974" s="13"/>
      <c r="C974" s="13"/>
    </row>
    <row r="975" spans="1:3" ht="13" x14ac:dyDescent="0.15">
      <c r="A975" s="10"/>
      <c r="B975" s="13"/>
      <c r="C975" s="13"/>
    </row>
    <row r="976" spans="1:3" ht="13" x14ac:dyDescent="0.15">
      <c r="A976" s="10"/>
      <c r="B976" s="13"/>
      <c r="C976" s="13"/>
    </row>
    <row r="977" spans="1:3" ht="13" x14ac:dyDescent="0.15">
      <c r="A977" s="10"/>
      <c r="B977" s="13"/>
      <c r="C977" s="13"/>
    </row>
    <row r="978" spans="1:3" ht="13" x14ac:dyDescent="0.15">
      <c r="A978" s="10"/>
      <c r="B978" s="13"/>
      <c r="C978" s="13"/>
    </row>
    <row r="979" spans="1:3" ht="13" x14ac:dyDescent="0.15">
      <c r="A979" s="10"/>
      <c r="B979" s="13"/>
      <c r="C979" s="13"/>
    </row>
    <row r="980" spans="1:3" ht="13" x14ac:dyDescent="0.15">
      <c r="A980" s="10"/>
      <c r="B980" s="13"/>
      <c r="C980" s="13"/>
    </row>
    <row r="981" spans="1:3" ht="13" x14ac:dyDescent="0.15">
      <c r="A981" s="10"/>
      <c r="B981" s="13"/>
      <c r="C981" s="13"/>
    </row>
    <row r="982" spans="1:3" ht="13" x14ac:dyDescent="0.15">
      <c r="A982" s="10"/>
      <c r="B982" s="13"/>
      <c r="C982" s="13"/>
    </row>
    <row r="983" spans="1:3" ht="13" x14ac:dyDescent="0.15">
      <c r="A983" s="10"/>
      <c r="B983" s="13"/>
      <c r="C983" s="13"/>
    </row>
    <row r="984" spans="1:3" ht="13" x14ac:dyDescent="0.15">
      <c r="A984" s="10"/>
      <c r="B984" s="13"/>
      <c r="C984" s="13"/>
    </row>
    <row r="985" spans="1:3" ht="13" x14ac:dyDescent="0.15">
      <c r="A985" s="10"/>
      <c r="B985" s="13"/>
      <c r="C985" s="13"/>
    </row>
    <row r="986" spans="1:3" ht="13" x14ac:dyDescent="0.15">
      <c r="A986" s="10"/>
      <c r="B986" s="13"/>
      <c r="C986" s="13"/>
    </row>
    <row r="987" spans="1:3" ht="13" x14ac:dyDescent="0.15">
      <c r="A987" s="10"/>
      <c r="B987" s="13"/>
      <c r="C987" s="13"/>
    </row>
    <row r="988" spans="1:3" ht="13" x14ac:dyDescent="0.15">
      <c r="A988" s="10"/>
      <c r="B988" s="13"/>
      <c r="C988" s="13"/>
    </row>
    <row r="989" spans="1:3" ht="13" x14ac:dyDescent="0.15">
      <c r="A989" s="10"/>
      <c r="B989" s="13"/>
      <c r="C989" s="13"/>
    </row>
    <row r="990" spans="1:3" ht="13" x14ac:dyDescent="0.15">
      <c r="A990" s="10"/>
      <c r="B990" s="13"/>
      <c r="C990" s="13"/>
    </row>
    <row r="991" spans="1:3" ht="13" x14ac:dyDescent="0.15">
      <c r="A991" s="10"/>
      <c r="B991" s="13"/>
      <c r="C991" s="13"/>
    </row>
    <row r="992" spans="1:3" ht="13" x14ac:dyDescent="0.15">
      <c r="A992" s="10"/>
      <c r="B992" s="13"/>
      <c r="C992" s="13"/>
    </row>
    <row r="993" spans="1:3" ht="13" x14ac:dyDescent="0.15">
      <c r="A993" s="10"/>
      <c r="B993" s="13"/>
      <c r="C993" s="13"/>
    </row>
    <row r="994" spans="1:3" ht="13" x14ac:dyDescent="0.15">
      <c r="A994" s="10"/>
      <c r="B994" s="13"/>
      <c r="C994" s="13"/>
    </row>
    <row r="995" spans="1:3" ht="13" x14ac:dyDescent="0.15">
      <c r="A995" s="10"/>
      <c r="B995" s="13"/>
      <c r="C995" s="13"/>
    </row>
    <row r="996" spans="1:3" ht="13" x14ac:dyDescent="0.15">
      <c r="A996" s="10"/>
      <c r="B996" s="13"/>
      <c r="C996" s="13"/>
    </row>
    <row r="997" spans="1:3" ht="13" x14ac:dyDescent="0.15">
      <c r="A997" s="10"/>
      <c r="B997" s="13"/>
      <c r="C997" s="13"/>
    </row>
  </sheetData>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outlinePr summaryBelow="0" summaryRight="0"/>
  </sheetPr>
  <dimension ref="A1:D997"/>
  <sheetViews>
    <sheetView workbookViewId="0"/>
  </sheetViews>
  <sheetFormatPr baseColWidth="10" defaultColWidth="12.6640625" defaultRowHeight="15.75" customHeight="1" x14ac:dyDescent="0.15"/>
  <cols>
    <col min="1" max="1" width="71.5" customWidth="1"/>
    <col min="2" max="4" width="37.6640625" customWidth="1"/>
  </cols>
  <sheetData>
    <row r="1" spans="1:4" ht="15.75" customHeight="1" x14ac:dyDescent="0.15">
      <c r="A1" s="1"/>
      <c r="B1" s="12" t="str">
        <f ca="1">IFERROR(__xludf.DUMMYFUNCTION("IMPORTRANGE(""https://docs.google.com/spreadsheets/d/1Eq2M_a4_TeZImjU1FJcBSaIp6Xib8-RIHm3cQ24mbRI"", ""A84!B1:B22"")
"),"Zachary Edwards")</f>
        <v>Zachary Edwards</v>
      </c>
      <c r="C1" s="10" t="str">
        <f ca="1">IFERROR(__xludf.DUMMYFUNCTION("IMPORTRANGE(""https://docs.google.com/spreadsheets/u/0/d/1Rfwd61p8X8kU1VBE4PFTeYG7-2eZzi6BYhKfon6XtRs"", ""A84!B1:B22"")"),"Korie Hall")</f>
        <v>Korie Hall</v>
      </c>
      <c r="D1" s="10" t="str">
        <f ca="1">IFERROR(__xludf.DUMMYFUNCTION("IMPORTRANGE(""https://docs.google.com/spreadsheets/u/0/d/1e6QLf1_HeiTNz7JOFlwsfbt48UsSPCJuGTSppexqIJc"", ""83!B1:B22"")"),"Tyler Thibodeaux")</f>
        <v>Tyler Thibodeaux</v>
      </c>
    </row>
    <row r="2" spans="1:4" ht="15.75" customHeight="1" x14ac:dyDescent="0.15">
      <c r="A2" s="3" t="s">
        <v>2</v>
      </c>
      <c r="B2" s="15" t="str">
        <f ca="1">IFERROR(__xludf.DUMMYFUNCTION("""COMPUTED_VALUE"""),"PHAM Start:50026 Stop:50907
DNAM Start:50026 Stop:50907
FOR")</f>
        <v>PHAM Start:50026 Stop:50907
DNAM Start:50026 Stop:50907
FOR</v>
      </c>
      <c r="C2" s="15" t="str">
        <f ca="1">IFERROR(__xludf.DUMMYFUNCTION("""COMPUTED_VALUE"""),"Start: 50026 / Stop: 50907")</f>
        <v>Start: 50026 / Stop: 50907</v>
      </c>
      <c r="D2" s="4" t="str">
        <f ca="1">IFERROR(__xludf.DUMMYFUNCTION("""COMPUTED_VALUE"""),"50026 to 50907 (Forward)")</f>
        <v>50026 to 50907 (Forward)</v>
      </c>
    </row>
    <row r="3" spans="1:4" ht="15.75" customHeight="1" x14ac:dyDescent="0.15">
      <c r="A3" s="5" t="s">
        <v>3</v>
      </c>
      <c r="B3" s="17" t="str">
        <f ca="1">IFERROR(__xludf.DUMMYFUNCTION("""COMPUTED_VALUE"""),"PHAM:84
DNAM:83")</f>
        <v>PHAM:84
DNAM:83</v>
      </c>
      <c r="C3" s="17" t="str">
        <f ca="1">IFERROR(__xludf.DUMMYFUNCTION("""COMPUTED_VALUE"""),"DNA Master: 83 / Phamerator: Gene 84")</f>
        <v>DNA Master: 83 / Phamerator: Gene 84</v>
      </c>
      <c r="D3" s="6" t="str">
        <f ca="1">IFERROR(__xludf.DUMMYFUNCTION("""COMPUTED_VALUE"""),"DNAm: 83, PHAM :84")</f>
        <v>DNAm: 83, PHAM :84</v>
      </c>
    </row>
    <row r="4" spans="1:4" ht="15.75" customHeight="1" x14ac:dyDescent="0.15">
      <c r="A4" s="5" t="s">
        <v>4</v>
      </c>
      <c r="B4" s="17" t="str">
        <f ca="1">IFERROR(__xludf.DUMMYFUNCTION("""COMPUTED_VALUE"""),"5552 3/17/25")</f>
        <v>5552 3/17/25</v>
      </c>
      <c r="C4" s="17">
        <f ca="1">IFERROR(__xludf.DUMMYFUNCTION("""COMPUTED_VALUE"""),5552)</f>
        <v>5552</v>
      </c>
      <c r="D4" s="6" t="str">
        <f ca="1">IFERROR(__xludf.DUMMYFUNCTION("""COMPUTED_VALUE""")," pham 5552, 3-21-25")</f>
        <v xml:space="preserve"> pham 5552, 3-21-25</v>
      </c>
    </row>
    <row r="5" spans="1:4" ht="15.75" customHeight="1" x14ac:dyDescent="0.15">
      <c r="A5" s="5" t="s">
        <v>5</v>
      </c>
      <c r="B5" s="17" t="str">
        <f ca="1">IFERROR(__xludf.DUMMYFUNCTION("""COMPUTED_VALUE"""),"Kovu_82")</f>
        <v>Kovu_82</v>
      </c>
      <c r="C5" s="17"/>
      <c r="D5" s="6" t="str">
        <f ca="1">IFERROR(__xludf.DUMMYFUNCTION("""COMPUTED_VALUE"""),"kovu_82")</f>
        <v>kovu_82</v>
      </c>
    </row>
    <row r="6" spans="1:4" ht="15.75" customHeight="1" x14ac:dyDescent="0.15">
      <c r="A6" s="5" t="s">
        <v>6</v>
      </c>
      <c r="B6" s="17" t="str">
        <f ca="1">IFERROR(__xludf.DUMMYFUNCTION("""COMPUTED_VALUE"""),"Both Call it a gene")</f>
        <v>Both Call it a gene</v>
      </c>
      <c r="C6" s="17" t="str">
        <f ca="1">IFERROR(__xludf.DUMMYFUNCTION("""COMPUTED_VALUE"""),"Glimmer and GeneMark call this gene")</f>
        <v>Glimmer and GeneMark call this gene</v>
      </c>
      <c r="D6" s="6" t="str">
        <f ca="1">IFERROR(__xludf.DUMMYFUNCTION("""COMPUTED_VALUE"""),"Original Glimmer call @bp 50026. BOTH CALL for this")</f>
        <v>Original Glimmer call @bp 50026. BOTH CALL for this</v>
      </c>
    </row>
    <row r="7" spans="1:4" ht="15.75" customHeight="1" x14ac:dyDescent="0.15">
      <c r="A7" s="5" t="s">
        <v>7</v>
      </c>
      <c r="B7" s="17" t="str">
        <f ca="1">IFERROR(__xludf.DUMMYFUNCTION("""COMPUTED_VALUE"""),"Great coding potential with all included")</f>
        <v>Great coding potential with all included</v>
      </c>
      <c r="C7" s="17" t="str">
        <f ca="1">IFERROR(__xludf.DUMMYFUNCTION("""COMPUTED_VALUE"""),"Has high coding potential and all is included")</f>
        <v>Has high coding potential and all is included</v>
      </c>
      <c r="D7" s="6" t="str">
        <f ca="1">IFERROR(__xludf.DUMMYFUNCTION("""COMPUTED_VALUE"""),"Good coding potential, most of all is included within the start ")</f>
        <v xml:space="preserve">Good coding potential, most of all is included within the start </v>
      </c>
    </row>
    <row r="8" spans="1:4" ht="15.75" customHeight="1" x14ac:dyDescent="0.15">
      <c r="A8" s="5" t="s">
        <v>8</v>
      </c>
      <c r="B8" s="17" t="str">
        <f ca="1">IFERROR(__xludf.DUMMYFUNCTION("""COMPUTED_VALUE"""),"Yes")</f>
        <v>Yes</v>
      </c>
      <c r="C8" s="17" t="str">
        <f ca="1">IFERROR(__xludf.DUMMYFUNCTION("""COMPUTED_VALUE"""),"Yes")</f>
        <v>Yes</v>
      </c>
      <c r="D8" s="6" t="str">
        <f ca="1">IFERROR(__xludf.DUMMYFUNCTION("""COMPUTED_VALUE"""),"It is the longest possible")</f>
        <v>It is the longest possible</v>
      </c>
    </row>
    <row r="9" spans="1:4" ht="15.75" customHeight="1" x14ac:dyDescent="0.15">
      <c r="A9" s="5" t="s">
        <v>9</v>
      </c>
      <c r="B9" s="17" t="str">
        <f ca="1">IFERROR(__xludf.DUMMYFUNCTION("""COMPUTED_VALUE"""),"336 Gap")</f>
        <v>336 Gap</v>
      </c>
      <c r="C9" s="17" t="str">
        <f ca="1">IFERROR(__xludf.DUMMYFUNCTION("""COMPUTED_VALUE"""),"139 bp gap between gene 83 and gene 84")</f>
        <v>139 bp gap between gene 83 and gene 84</v>
      </c>
      <c r="D9" s="6" t="str">
        <f ca="1">IFERROR(__xludf.DUMMYFUNCTION("""COMPUTED_VALUE"""),"139 Gap")</f>
        <v>139 Gap</v>
      </c>
    </row>
    <row r="10" spans="1:4" ht="15.75" customHeight="1" x14ac:dyDescent="0.15">
      <c r="A10" s="5" t="s">
        <v>10</v>
      </c>
      <c r="B10" s="17" t="str">
        <f ca="1">IFERROR(__xludf.DUMMYFUNCTION("""COMPUTED_VALUE"""),"Current: 1.945 (50026)
Others: 2.270(50425), 2.087(50503), 2.338(50635)")</f>
        <v>Current: 1.945 (50026)
Others: 2.270(50425), 2.087(50503), 2.338(50635)</v>
      </c>
      <c r="C10" s="17" t="str">
        <f ca="1">IFERROR(__xludf.DUMMYFUNCTION("""COMPUTED_VALUE"""),"Z-score: 1.945 / Final score: -5.146")</f>
        <v>Z-score: 1.945 / Final score: -5.146</v>
      </c>
      <c r="D10" s="6" t="str">
        <f ca="1">IFERROR(__xludf.DUMMYFUNCTION("""COMPUTED_VALUE"""),"Z score: 1.945, It is not the best, but it is the best relative to gaps and coding")</f>
        <v>Z score: 1.945, It is not the best, but it is the best relative to gaps and coding</v>
      </c>
    </row>
    <row r="11" spans="1:4" ht="15.75" customHeight="1" x14ac:dyDescent="0.15">
      <c r="A11" s="5" t="s">
        <v>11</v>
      </c>
      <c r="B11" s="17" t="str">
        <f ca="1">IFERROR(__xludf.DUMMYFUNCTION("""COMPUTED_VALUE"""),"Kovu_82
E: 0
%ID: 89.13
19:16")</f>
        <v>Kovu_82
E: 0
%ID: 89.13
19:16</v>
      </c>
      <c r="C11" s="17" t="str">
        <f ca="1">IFERROR(__xludf.DUMMYFUNCTION("""COMPUTED_VALUE"""),"Kovu_82 - % identity: 89% / e-value: 0.0e0 / q4:s1")</f>
        <v>Kovu_82 - % identity: 89% / e-value: 0.0e0 / q4:s1</v>
      </c>
      <c r="D11" s="6" t="str">
        <f ca="1">IFERROR(__xludf.DUMMYFUNCTION("""COMPUTED_VALUE"""),"endolysin [Arthrobacter phage Kovu], %I= 88%, e=0.0, q4:s1")</f>
        <v>endolysin [Arthrobacter phage Kovu], %I= 88%, e=0.0, q4:s1</v>
      </c>
    </row>
    <row r="12" spans="1:4" ht="15.75" customHeight="1" x14ac:dyDescent="0.15">
      <c r="A12" s="5" t="s">
        <v>12</v>
      </c>
      <c r="B12" s="17" t="str">
        <f ca="1">IFERROR(__xludf.DUMMYFUNCTION("""COMPUTED_VALUE"""),"1 of 12 call current start")</f>
        <v>1 of 12 call current start</v>
      </c>
      <c r="C12" s="17" t="str">
        <f ca="1">IFERROR(__xludf.DUMMYFUNCTION("""COMPUTED_VALUE"""),"Found in 1 of 12 members of the pham / Called 100% of the time ")</f>
        <v xml:space="preserve">Found in 1 of 12 members of the pham / Called 100% of the time </v>
      </c>
      <c r="D12" s="6" t="str">
        <f ca="1">IFERROR(__xludf.DUMMYFUNCTION("""COMPUTED_VALUE"""),"The start is conserved in most members and is called 72% of the time")</f>
        <v>The start is conserved in most members and is called 72% of the time</v>
      </c>
    </row>
    <row r="13" spans="1:4" ht="15.75" customHeight="1" x14ac:dyDescent="0.15">
      <c r="A13" s="5" t="s">
        <v>13</v>
      </c>
      <c r="B13" s="17" t="str">
        <f ca="1">IFERROR(__xludf.DUMMYFUNCTION("""COMPUTED_VALUE"""),"Altough the starterorator is calling start 3 more frequentyl the differecne between start 2 and 3 on ApoKipo are about 9 Nt therfore the distance is far enough and the rest of the evidence points towards keeping the current start")</f>
        <v>Altough the starterorator is calling start 3 more frequentyl the differecne between start 2 and 3 on ApoKipo are about 9 Nt therfore the distance is far enough and the rest of the evidence points towards keeping the current start</v>
      </c>
      <c r="C13" s="17" t="str">
        <f ca="1">IFERROR(__xludf.DUMMYFUNCTION("""COMPUTED_VALUE"""),"Start should remain as is. Moving it to the right would create a bigger gap and there are no more possible start codons to analyze ")</f>
        <v xml:space="preserve">Start should remain as is. Moving it to the right would create a bigger gap and there are no more possible start codons to analyze </v>
      </c>
      <c r="D13" s="6" t="str">
        <f ca="1">IFERROR(__xludf.DUMMYFUNCTION("""COMPUTED_VALUE"""),"No")</f>
        <v>No</v>
      </c>
    </row>
    <row r="14" spans="1:4" ht="15.75" customHeight="1" x14ac:dyDescent="0.15">
      <c r="A14" s="5" t="s">
        <v>14</v>
      </c>
      <c r="B14" s="17" t="str">
        <f ca="1">IFERROR(__xludf.DUMMYFUNCTION("""COMPUTED_VALUE"""),"Kovu_82 E: e-149 or LiSara_79 2e-99")</f>
        <v>Kovu_82 E: e-149 or LiSara_79 2e-99</v>
      </c>
      <c r="C14" s="17" t="str">
        <f ca="1">IFERROR(__xludf.DUMMYFUNCTION("""COMPUTED_VALUE"""),"Kovu_82 - e-value: e-149")</f>
        <v>Kovu_82 - e-value: e-149</v>
      </c>
      <c r="D14" s="6" t="str">
        <f ca="1">IFERROR(__xludf.DUMMYFUNCTION("""COMPUTED_VALUE"""),"Kovu_82, endolysin, e=e-149")</f>
        <v>Kovu_82, endolysin, e=e-149</v>
      </c>
    </row>
    <row r="15" spans="1:4" ht="15.75" customHeight="1" x14ac:dyDescent="0.15">
      <c r="A15" s="5" t="s">
        <v>15</v>
      </c>
      <c r="B15" s="17" t="str">
        <f ca="1">IFERROR(__xludf.DUMMYFUNCTION("""COMPUTED_VALUE"""),"Endolysin or Lysin A")</f>
        <v>Endolysin or Lysin A</v>
      </c>
      <c r="C15" s="17" t="str">
        <f ca="1">IFERROR(__xludf.DUMMYFUNCTION("""COMPUTED_VALUE"""),"Kovu_82 - Endolysin ")</f>
        <v xml:space="preserve">Kovu_82 - Endolysin </v>
      </c>
      <c r="D15" s="6" t="str">
        <f ca="1">IFERROR(__xludf.DUMMYFUNCTION("""COMPUTED_VALUE"""),"Kovu_82, endolysin")</f>
        <v>Kovu_82, endolysin</v>
      </c>
    </row>
    <row r="16" spans="1:4" ht="15.75" customHeight="1" x14ac:dyDescent="0.15">
      <c r="A16" s="5" t="s">
        <v>16</v>
      </c>
      <c r="B16" s="17" t="str">
        <f ca="1">IFERROR(__xludf.DUMMYFUNCTION("""COMPUTED_VALUE"""),"In the same genetic environement as Kovu and Lisara")</f>
        <v>In the same genetic environement as Kovu and Lisara</v>
      </c>
      <c r="C16" s="17" t="str">
        <f ca="1">IFERROR(__xludf.DUMMYFUNCTION("""COMPUTED_VALUE"""),"Function of gene is to be expected / adjacent to Kovu_82")</f>
        <v>Function of gene is to be expected / adjacent to Kovu_82</v>
      </c>
      <c r="D16" s="6" t="str">
        <f ca="1">IFERROR(__xludf.DUMMYFUNCTION("""COMPUTED_VALUE"""),"It is in the same genetic enviorment as kovu")</f>
        <v>It is in the same genetic enviorment as kovu</v>
      </c>
    </row>
    <row r="17" spans="1:4" ht="15.75" customHeight="1" x14ac:dyDescent="0.15">
      <c r="A17" s="5" t="s">
        <v>17</v>
      </c>
      <c r="B17" s="17" t="str">
        <f ca="1">IFERROR(__xludf.DUMMYFUNCTION("""COMPUTED_VALUE"""),"5TV7_B Putative peptidoglycan-binding/hydrolysing protein; Structural Genomics, Center for Structural Genomics of Infectious Diseases, CSGID, Peptidoglycan-Binding Protein, Glutamine Hydroxamate, HYDROLASE; HET: CME, MSE, HGA; 2.05A {Peptoclostridium diff"&amp;"icile (strain 630)}
Probability: 96.67%
Align Q: 44.71%
Align T: 73.60%")</f>
        <v>5TV7_B Putative peptidoglycan-binding/hydrolysing protein; Structural Genomics, Center for Structural Genomics of Infectious Diseases, CSGID, Peptidoglycan-Binding Protein, Glutamine Hydroxamate, HYDROLASE; HET: CME, MSE, HGA; 2.05A {Peptoclostridium difficile (strain 630)}
Probability: 96.67%
Align Q: 44.71%
Align T: 73.60%</v>
      </c>
      <c r="C17" s="17" t="str">
        <f ca="1">IFERROR(__xludf.DUMMYFUNCTION("""COMPUTED_VALUE"""),"Good probability on some hits, but the e-values just aren't reliable enough to seriously consider.")</f>
        <v>Good probability on some hits, but the e-values just aren't reliable enough to seriously consider.</v>
      </c>
      <c r="D17" s="6" t="str">
        <f ca="1">IFERROR(__xludf.DUMMYFUNCTION("""COMPUTED_VALUE"""),"Putative peptidoglycan-binding/hydrolysing protein, %Prob= 96%, %Q=51%, %T=18%, Functional domain is within the target alignment. ")</f>
        <v xml:space="preserve">Putative peptidoglycan-binding/hydrolysing protein, %Prob= 96%, %Q=51%, %T=18%, Functional domain is within the target alignment. </v>
      </c>
    </row>
    <row r="18" spans="1:4" ht="15.75" customHeight="1" x14ac:dyDescent="0.15">
      <c r="A18" s="5" t="s">
        <v>18</v>
      </c>
      <c r="B18" s="17" t="str">
        <f ca="1">IFERROR(__xludf.DUMMYFUNCTION("""COMPUTED_VALUE"""),"COG3409
PG_binding_1")</f>
        <v>COG3409
PG_binding_1</v>
      </c>
      <c r="C18" s="17" t="str">
        <f ca="1">IFERROR(__xludf.DUMMYFUNCTION("""COMPUTED_VALUE"""),"Putative peptidoglcyan-binding domain-containing protein (COG3409)")</f>
        <v>Putative peptidoglcyan-binding domain-containing protein (COG3409)</v>
      </c>
      <c r="D18" s="6" t="str">
        <f ca="1">IFERROR(__xludf.DUMMYFUNCTION("""COMPUTED_VALUE"""),"Putative peptidoglycan-binding domain-containing protein")</f>
        <v>Putative peptidoglycan-binding domain-containing protein</v>
      </c>
    </row>
    <row r="19" spans="1:4" ht="15.75" customHeight="1" x14ac:dyDescent="0.15">
      <c r="A19" s="5" t="s">
        <v>19</v>
      </c>
      <c r="B19" s="17" t="str">
        <f ca="1">IFERROR(__xludf.DUMMYFUNCTION("""COMPUTED_VALUE"""),"##gff-version 3
# Unnamed Length: 293
# Unnamed Number of predicted TMRs: 1
Unnamed	inside	1	130				
Unnamed	TMhelix	131	140				
Unnamed	outside	141	293		")</f>
        <v xml:space="preserve">##gff-version 3
# Unnamed Length: 293
# Unnamed Number of predicted TMRs: 1
Unnamed	inside	1	130				
Unnamed	TMhelix	131	140				
Unnamed	outside	141	293		</v>
      </c>
      <c r="C19" s="17" t="str">
        <f ca="1">IFERROR(__xludf.DUMMYFUNCTION("""COMPUTED_VALUE"""),"Transmembrane identified")</f>
        <v>Transmembrane identified</v>
      </c>
      <c r="D19" s="6" t="str">
        <f ca="1">IFERROR(__xludf.DUMMYFUNCTION("""COMPUTED_VALUE"""),"deeptmhmm
Query Start (Amino Acid Position): 131
Query End (Amino Acid Position): 140
Type: transmembrane")</f>
        <v>deeptmhmm
Query Start (Amino Acid Position): 131
Query End (Amino Acid Position): 140
Type: transmembrane</v>
      </c>
    </row>
    <row r="20" spans="1:4" ht="15.75" customHeight="1" x14ac:dyDescent="0.15">
      <c r="A20" s="5" t="s">
        <v>20</v>
      </c>
      <c r="B20" s="17" t="str">
        <f ca="1">IFERROR(__xludf.DUMMYFUNCTION("""COMPUTED_VALUE"""),"A Lack of pure evidence has me say Endolysin due to the synteny of Kovu. They also have the same conserved domain and LiSara has an aditionnal one")</f>
        <v>A Lack of pure evidence has me say Endolysin due to the synteny of Kovu. They also have the same conserved domain and LiSara has an aditionnal one</v>
      </c>
      <c r="C20" s="17" t="str">
        <f ca="1">IFERROR(__xludf.DUMMYFUNCTION("""COMPUTED_VALUE"""),"Endolysin ( Rationale: Lines up with Kovu_82 and has the same functional domain. No lysin B can be identified and it is not apart of a mycrobactiophage ) ")</f>
        <v xml:space="preserve">Endolysin ( Rationale: Lines up with Kovu_82 and has the same functional domain. No lysin B can be identified and it is not apart of a mycrobactiophage ) </v>
      </c>
      <c r="D20" s="6" t="str">
        <f ca="1">IFERROR(__xludf.DUMMYFUNCTION("""COMPUTED_VALUE"""),"serine hydrolase. This is due to the HHpred, NCBI Blast, Conserved domain, and %Q and %T. ")</f>
        <v xml:space="preserve">serine hydrolase. This is due to the HHpred, NCBI Blast, Conserved domain, and %Q and %T. </v>
      </c>
    </row>
    <row r="21" spans="1:4" x14ac:dyDescent="0.2">
      <c r="A21" s="7"/>
      <c r="B21" s="19"/>
      <c r="C21" s="19"/>
      <c r="D21" s="8"/>
    </row>
    <row r="22" spans="1:4" ht="15.75" customHeight="1" x14ac:dyDescent="0.15">
      <c r="A22" s="9" t="s">
        <v>21</v>
      </c>
      <c r="B22" s="19"/>
      <c r="C22" s="19"/>
      <c r="D22" s="8"/>
    </row>
    <row r="23" spans="1:4" ht="15.75" customHeight="1" x14ac:dyDescent="0.15">
      <c r="A23" s="10"/>
      <c r="B23" s="13"/>
      <c r="C23" s="13"/>
    </row>
    <row r="24" spans="1:4" ht="15.75" customHeight="1" x14ac:dyDescent="0.15">
      <c r="A24" s="10"/>
      <c r="B24" s="13"/>
      <c r="C24" s="13"/>
    </row>
    <row r="25" spans="1:4" ht="15.75" customHeight="1" x14ac:dyDescent="0.15">
      <c r="A25" s="10"/>
      <c r="B25" s="13"/>
      <c r="C25" s="13"/>
    </row>
    <row r="26" spans="1:4" ht="15.75" customHeight="1" x14ac:dyDescent="0.15">
      <c r="A26" s="10"/>
      <c r="B26" s="13"/>
      <c r="C26" s="13"/>
    </row>
    <row r="27" spans="1:4" ht="15.75" customHeight="1" x14ac:dyDescent="0.15">
      <c r="A27" s="10"/>
      <c r="B27" s="13"/>
      <c r="C27" s="13"/>
    </row>
    <row r="28" spans="1:4" ht="15.75" customHeight="1" x14ac:dyDescent="0.15">
      <c r="A28" s="10"/>
      <c r="B28" s="13"/>
      <c r="C28" s="13"/>
    </row>
    <row r="29" spans="1:4" ht="15.75" customHeight="1" x14ac:dyDescent="0.15">
      <c r="A29" s="10"/>
      <c r="B29" s="13"/>
      <c r="C29" s="13"/>
    </row>
    <row r="30" spans="1:4" ht="15.75" customHeight="1" x14ac:dyDescent="0.15">
      <c r="A30" s="10"/>
      <c r="B30" s="13"/>
      <c r="C30" s="13"/>
    </row>
    <row r="31" spans="1:4" ht="15.75" customHeight="1" x14ac:dyDescent="0.15">
      <c r="A31" s="10"/>
      <c r="B31" s="13"/>
      <c r="C31" s="13"/>
    </row>
    <row r="32" spans="1:4" ht="15.75" customHeight="1" x14ac:dyDescent="0.15">
      <c r="A32" s="10"/>
      <c r="B32" s="13"/>
      <c r="C32" s="13"/>
    </row>
    <row r="33" spans="1:3" ht="15.75" customHeight="1" x14ac:dyDescent="0.15">
      <c r="A33" s="10"/>
      <c r="B33" s="13"/>
      <c r="C33" s="13"/>
    </row>
    <row r="34" spans="1:3" ht="15.75" customHeight="1" x14ac:dyDescent="0.15">
      <c r="A34" s="10"/>
      <c r="B34" s="13"/>
      <c r="C34" s="13"/>
    </row>
    <row r="35" spans="1:3" ht="15.75" customHeight="1" x14ac:dyDescent="0.15">
      <c r="A35" s="10"/>
      <c r="B35" s="13"/>
      <c r="C35" s="13"/>
    </row>
    <row r="36" spans="1:3" ht="15.75" customHeight="1" x14ac:dyDescent="0.15">
      <c r="A36" s="10"/>
      <c r="B36" s="13"/>
      <c r="C36" s="13"/>
    </row>
    <row r="37" spans="1:3" ht="15.75" customHeight="1" x14ac:dyDescent="0.15">
      <c r="A37" s="10"/>
      <c r="B37" s="13"/>
      <c r="C37" s="13"/>
    </row>
    <row r="38" spans="1:3" ht="15.75" customHeight="1" x14ac:dyDescent="0.15">
      <c r="A38" s="10"/>
      <c r="B38" s="13"/>
      <c r="C38" s="13"/>
    </row>
    <row r="39" spans="1:3" ht="13" x14ac:dyDescent="0.15">
      <c r="A39" s="10"/>
      <c r="B39" s="13"/>
      <c r="C39" s="13"/>
    </row>
    <row r="40" spans="1:3" ht="13" x14ac:dyDescent="0.15">
      <c r="A40" s="10"/>
      <c r="B40" s="13"/>
      <c r="C40" s="13"/>
    </row>
    <row r="41" spans="1:3" ht="13" x14ac:dyDescent="0.15">
      <c r="A41" s="10"/>
      <c r="B41" s="13"/>
      <c r="C41" s="13"/>
    </row>
    <row r="42" spans="1:3" ht="13" x14ac:dyDescent="0.15">
      <c r="A42" s="10"/>
      <c r="B42" s="13"/>
      <c r="C42" s="13"/>
    </row>
    <row r="43" spans="1:3" ht="13" x14ac:dyDescent="0.15">
      <c r="A43" s="10"/>
      <c r="B43" s="13"/>
      <c r="C43" s="13"/>
    </row>
    <row r="44" spans="1:3" ht="13" x14ac:dyDescent="0.15">
      <c r="A44" s="10"/>
      <c r="B44" s="13"/>
      <c r="C44" s="13"/>
    </row>
    <row r="45" spans="1:3" ht="13" x14ac:dyDescent="0.15">
      <c r="A45" s="10"/>
      <c r="B45" s="13"/>
      <c r="C45" s="13"/>
    </row>
    <row r="46" spans="1:3" ht="13" x14ac:dyDescent="0.15">
      <c r="A46" s="10"/>
      <c r="B46" s="13"/>
      <c r="C46" s="13"/>
    </row>
    <row r="47" spans="1:3" ht="13" x14ac:dyDescent="0.15">
      <c r="A47" s="10"/>
      <c r="B47" s="13"/>
      <c r="C47" s="13"/>
    </row>
    <row r="48" spans="1:3" ht="13" x14ac:dyDescent="0.15">
      <c r="A48" s="10"/>
      <c r="B48" s="13"/>
      <c r="C48" s="13"/>
    </row>
    <row r="49" spans="1:3" ht="13" x14ac:dyDescent="0.15">
      <c r="A49" s="10"/>
      <c r="B49" s="13"/>
      <c r="C49" s="13"/>
    </row>
    <row r="50" spans="1:3" ht="13" x14ac:dyDescent="0.15">
      <c r="A50" s="10"/>
      <c r="B50" s="13"/>
      <c r="C50" s="13"/>
    </row>
    <row r="51" spans="1:3" ht="13" x14ac:dyDescent="0.15">
      <c r="A51" s="10"/>
      <c r="B51" s="13"/>
      <c r="C51" s="13"/>
    </row>
    <row r="52" spans="1:3" ht="13" x14ac:dyDescent="0.15">
      <c r="A52" s="10"/>
      <c r="B52" s="13"/>
      <c r="C52" s="13"/>
    </row>
    <row r="53" spans="1:3" ht="13" x14ac:dyDescent="0.15">
      <c r="A53" s="10"/>
      <c r="B53" s="13"/>
      <c r="C53" s="13"/>
    </row>
    <row r="54" spans="1:3" ht="13" x14ac:dyDescent="0.15">
      <c r="A54" s="10"/>
      <c r="B54" s="13"/>
      <c r="C54" s="13"/>
    </row>
    <row r="55" spans="1:3" ht="13" x14ac:dyDescent="0.15">
      <c r="A55" s="10"/>
      <c r="B55" s="13"/>
      <c r="C55" s="13"/>
    </row>
    <row r="56" spans="1:3" ht="13" x14ac:dyDescent="0.15">
      <c r="A56" s="10"/>
      <c r="B56" s="13"/>
      <c r="C56" s="13"/>
    </row>
    <row r="57" spans="1:3" ht="13" x14ac:dyDescent="0.15">
      <c r="A57" s="10"/>
      <c r="B57" s="13"/>
      <c r="C57" s="13"/>
    </row>
    <row r="58" spans="1:3" ht="13" x14ac:dyDescent="0.15">
      <c r="A58" s="10"/>
      <c r="B58" s="13"/>
      <c r="C58" s="13"/>
    </row>
    <row r="59" spans="1:3" ht="13" x14ac:dyDescent="0.15">
      <c r="A59" s="10"/>
      <c r="B59" s="13"/>
      <c r="C59" s="13"/>
    </row>
    <row r="60" spans="1:3" ht="13" x14ac:dyDescent="0.15">
      <c r="A60" s="10"/>
      <c r="B60" s="13"/>
      <c r="C60" s="13"/>
    </row>
    <row r="61" spans="1:3" ht="13" x14ac:dyDescent="0.15">
      <c r="A61" s="10"/>
      <c r="B61" s="13"/>
      <c r="C61" s="13"/>
    </row>
    <row r="62" spans="1:3" ht="13" x14ac:dyDescent="0.15">
      <c r="A62" s="10"/>
      <c r="B62" s="13"/>
      <c r="C62" s="13"/>
    </row>
    <row r="63" spans="1:3" ht="13" x14ac:dyDescent="0.15">
      <c r="A63" s="10"/>
      <c r="B63" s="13"/>
      <c r="C63" s="13"/>
    </row>
    <row r="64" spans="1:3" ht="13" x14ac:dyDescent="0.15">
      <c r="A64" s="10"/>
      <c r="B64" s="13"/>
      <c r="C64" s="13"/>
    </row>
    <row r="65" spans="1:3" ht="13" x14ac:dyDescent="0.15">
      <c r="A65" s="10"/>
      <c r="B65" s="13"/>
      <c r="C65" s="13"/>
    </row>
    <row r="66" spans="1:3" ht="13" x14ac:dyDescent="0.15">
      <c r="A66" s="10"/>
      <c r="B66" s="13"/>
      <c r="C66" s="13"/>
    </row>
    <row r="67" spans="1:3" ht="13" x14ac:dyDescent="0.15">
      <c r="A67" s="10"/>
      <c r="B67" s="13"/>
      <c r="C67" s="13"/>
    </row>
    <row r="68" spans="1:3" ht="13" x14ac:dyDescent="0.15">
      <c r="A68" s="10"/>
      <c r="B68" s="13"/>
      <c r="C68" s="13"/>
    </row>
    <row r="69" spans="1:3" ht="13" x14ac:dyDescent="0.15">
      <c r="A69" s="10"/>
      <c r="B69" s="13"/>
      <c r="C69" s="13"/>
    </row>
    <row r="70" spans="1:3" ht="13" x14ac:dyDescent="0.15">
      <c r="A70" s="10"/>
      <c r="B70" s="13"/>
      <c r="C70" s="13"/>
    </row>
    <row r="71" spans="1:3" ht="13" x14ac:dyDescent="0.15">
      <c r="A71" s="10"/>
      <c r="B71" s="13"/>
      <c r="C71" s="13"/>
    </row>
    <row r="72" spans="1:3" ht="13" x14ac:dyDescent="0.15">
      <c r="A72" s="10"/>
      <c r="B72" s="13"/>
      <c r="C72" s="13"/>
    </row>
    <row r="73" spans="1:3" ht="13" x14ac:dyDescent="0.15">
      <c r="A73" s="10"/>
      <c r="B73" s="13"/>
      <c r="C73" s="13"/>
    </row>
    <row r="74" spans="1:3" ht="13" x14ac:dyDescent="0.15">
      <c r="A74" s="10"/>
      <c r="B74" s="13"/>
      <c r="C74" s="13"/>
    </row>
    <row r="75" spans="1:3" ht="13" x14ac:dyDescent="0.15">
      <c r="A75" s="10"/>
      <c r="B75" s="13"/>
      <c r="C75" s="13"/>
    </row>
    <row r="76" spans="1:3" ht="13" x14ac:dyDescent="0.15">
      <c r="A76" s="10"/>
      <c r="B76" s="13"/>
      <c r="C76" s="13"/>
    </row>
    <row r="77" spans="1:3" ht="13" x14ac:dyDescent="0.15">
      <c r="A77" s="10"/>
      <c r="B77" s="13"/>
      <c r="C77" s="13"/>
    </row>
    <row r="78" spans="1:3" ht="13" x14ac:dyDescent="0.15">
      <c r="A78" s="10"/>
      <c r="B78" s="13"/>
      <c r="C78" s="13"/>
    </row>
    <row r="79" spans="1:3" ht="13" x14ac:dyDescent="0.15">
      <c r="A79" s="10"/>
      <c r="B79" s="13"/>
      <c r="C79" s="13"/>
    </row>
    <row r="80" spans="1:3" ht="13" x14ac:dyDescent="0.15">
      <c r="A80" s="10"/>
      <c r="B80" s="13"/>
      <c r="C80" s="13"/>
    </row>
    <row r="81" spans="1:3" ht="13" x14ac:dyDescent="0.15">
      <c r="A81" s="10"/>
      <c r="B81" s="13"/>
      <c r="C81" s="13"/>
    </row>
    <row r="82" spans="1:3" ht="13" x14ac:dyDescent="0.15">
      <c r="A82" s="10"/>
      <c r="B82" s="13"/>
      <c r="C82" s="13"/>
    </row>
    <row r="83" spans="1:3" ht="13" x14ac:dyDescent="0.15">
      <c r="A83" s="10"/>
      <c r="B83" s="13"/>
      <c r="C83" s="13"/>
    </row>
    <row r="84" spans="1:3" ht="13" x14ac:dyDescent="0.15">
      <c r="A84" s="10"/>
      <c r="B84" s="13"/>
      <c r="C84" s="13"/>
    </row>
    <row r="85" spans="1:3" ht="13" x14ac:dyDescent="0.15">
      <c r="A85" s="10"/>
      <c r="B85" s="13"/>
      <c r="C85" s="13"/>
    </row>
    <row r="86" spans="1:3" ht="13" x14ac:dyDescent="0.15">
      <c r="A86" s="10"/>
      <c r="B86" s="13"/>
      <c r="C86" s="13"/>
    </row>
    <row r="87" spans="1:3" ht="13" x14ac:dyDescent="0.15">
      <c r="A87" s="10"/>
      <c r="B87" s="13"/>
      <c r="C87" s="13"/>
    </row>
    <row r="88" spans="1:3" ht="13" x14ac:dyDescent="0.15">
      <c r="A88" s="10"/>
      <c r="B88" s="13"/>
      <c r="C88" s="13"/>
    </row>
    <row r="89" spans="1:3" ht="13" x14ac:dyDescent="0.15">
      <c r="A89" s="10"/>
      <c r="B89" s="13"/>
      <c r="C89" s="13"/>
    </row>
    <row r="90" spans="1:3" ht="13" x14ac:dyDescent="0.15">
      <c r="A90" s="10"/>
      <c r="B90" s="13"/>
      <c r="C90" s="13"/>
    </row>
    <row r="91" spans="1:3" ht="13" x14ac:dyDescent="0.15">
      <c r="A91" s="10"/>
      <c r="B91" s="13"/>
      <c r="C91" s="13"/>
    </row>
    <row r="92" spans="1:3" ht="13" x14ac:dyDescent="0.15">
      <c r="A92" s="10"/>
      <c r="B92" s="13"/>
      <c r="C92" s="13"/>
    </row>
    <row r="93" spans="1:3" ht="13" x14ac:dyDescent="0.15">
      <c r="A93" s="10"/>
      <c r="B93" s="13"/>
      <c r="C93" s="13"/>
    </row>
    <row r="94" spans="1:3" ht="13" x14ac:dyDescent="0.15">
      <c r="A94" s="10"/>
      <c r="B94" s="13"/>
      <c r="C94" s="13"/>
    </row>
    <row r="95" spans="1:3" ht="13" x14ac:dyDescent="0.15">
      <c r="A95" s="10"/>
      <c r="B95" s="13"/>
      <c r="C95" s="13"/>
    </row>
    <row r="96" spans="1:3" ht="13" x14ac:dyDescent="0.15">
      <c r="A96" s="10"/>
      <c r="B96" s="13"/>
      <c r="C96" s="13"/>
    </row>
    <row r="97" spans="1:3" ht="13" x14ac:dyDescent="0.15">
      <c r="A97" s="10"/>
      <c r="B97" s="13"/>
      <c r="C97" s="13"/>
    </row>
    <row r="98" spans="1:3" ht="13" x14ac:dyDescent="0.15">
      <c r="A98" s="10"/>
      <c r="B98" s="13"/>
      <c r="C98" s="13"/>
    </row>
    <row r="99" spans="1:3" ht="13" x14ac:dyDescent="0.15">
      <c r="A99" s="10"/>
      <c r="B99" s="13"/>
      <c r="C99" s="13"/>
    </row>
    <row r="100" spans="1:3" ht="13" x14ac:dyDescent="0.15">
      <c r="A100" s="10"/>
      <c r="B100" s="13"/>
      <c r="C100" s="13"/>
    </row>
    <row r="101" spans="1:3" ht="13" x14ac:dyDescent="0.15">
      <c r="A101" s="10"/>
      <c r="B101" s="13"/>
      <c r="C101" s="13"/>
    </row>
    <row r="102" spans="1:3" ht="13" x14ac:dyDescent="0.15">
      <c r="A102" s="10"/>
      <c r="B102" s="13"/>
      <c r="C102" s="13"/>
    </row>
    <row r="103" spans="1:3" ht="13" x14ac:dyDescent="0.15">
      <c r="A103" s="10"/>
      <c r="B103" s="13"/>
      <c r="C103" s="13"/>
    </row>
    <row r="104" spans="1:3" ht="13" x14ac:dyDescent="0.15">
      <c r="A104" s="10"/>
      <c r="B104" s="13"/>
      <c r="C104" s="13"/>
    </row>
    <row r="105" spans="1:3" ht="13" x14ac:dyDescent="0.15">
      <c r="A105" s="10"/>
      <c r="B105" s="13"/>
      <c r="C105" s="13"/>
    </row>
    <row r="106" spans="1:3" ht="13" x14ac:dyDescent="0.15">
      <c r="A106" s="10"/>
      <c r="B106" s="13"/>
      <c r="C106" s="13"/>
    </row>
    <row r="107" spans="1:3" ht="13" x14ac:dyDescent="0.15">
      <c r="A107" s="10"/>
      <c r="B107" s="13"/>
      <c r="C107" s="13"/>
    </row>
    <row r="108" spans="1:3" ht="13" x14ac:dyDescent="0.15">
      <c r="A108" s="10"/>
      <c r="B108" s="13"/>
      <c r="C108" s="13"/>
    </row>
    <row r="109" spans="1:3" ht="13" x14ac:dyDescent="0.15">
      <c r="A109" s="10"/>
      <c r="B109" s="13"/>
      <c r="C109" s="13"/>
    </row>
    <row r="110" spans="1:3" ht="13" x14ac:dyDescent="0.15">
      <c r="A110" s="10"/>
      <c r="B110" s="13"/>
      <c r="C110" s="13"/>
    </row>
    <row r="111" spans="1:3" ht="13" x14ac:dyDescent="0.15">
      <c r="A111" s="10"/>
      <c r="B111" s="13"/>
      <c r="C111" s="13"/>
    </row>
    <row r="112" spans="1:3" ht="13" x14ac:dyDescent="0.15">
      <c r="A112" s="10"/>
      <c r="B112" s="13"/>
      <c r="C112" s="13"/>
    </row>
    <row r="113" spans="1:3" ht="13" x14ac:dyDescent="0.15">
      <c r="A113" s="10"/>
      <c r="B113" s="13"/>
      <c r="C113" s="13"/>
    </row>
    <row r="114" spans="1:3" ht="13" x14ac:dyDescent="0.15">
      <c r="A114" s="10"/>
      <c r="B114" s="13"/>
      <c r="C114" s="13"/>
    </row>
    <row r="115" spans="1:3" ht="13" x14ac:dyDescent="0.15">
      <c r="A115" s="10"/>
      <c r="B115" s="13"/>
      <c r="C115" s="13"/>
    </row>
    <row r="116" spans="1:3" ht="13" x14ac:dyDescent="0.15">
      <c r="A116" s="10"/>
      <c r="B116" s="13"/>
      <c r="C116" s="13"/>
    </row>
    <row r="117" spans="1:3" ht="13" x14ac:dyDescent="0.15">
      <c r="A117" s="10"/>
      <c r="B117" s="13"/>
      <c r="C117" s="13"/>
    </row>
    <row r="118" spans="1:3" ht="13" x14ac:dyDescent="0.15">
      <c r="A118" s="10"/>
      <c r="B118" s="13"/>
      <c r="C118" s="13"/>
    </row>
    <row r="119" spans="1:3" ht="13" x14ac:dyDescent="0.15">
      <c r="A119" s="10"/>
      <c r="B119" s="13"/>
      <c r="C119" s="13"/>
    </row>
    <row r="120" spans="1:3" ht="13" x14ac:dyDescent="0.15">
      <c r="A120" s="10"/>
      <c r="B120" s="13"/>
      <c r="C120" s="13"/>
    </row>
    <row r="121" spans="1:3" ht="13" x14ac:dyDescent="0.15">
      <c r="A121" s="10"/>
      <c r="B121" s="13"/>
      <c r="C121" s="13"/>
    </row>
    <row r="122" spans="1:3" ht="13" x14ac:dyDescent="0.15">
      <c r="A122" s="10"/>
      <c r="B122" s="13"/>
      <c r="C122" s="13"/>
    </row>
    <row r="123" spans="1:3" ht="13" x14ac:dyDescent="0.15">
      <c r="A123" s="10"/>
      <c r="B123" s="13"/>
      <c r="C123" s="13"/>
    </row>
    <row r="124" spans="1:3" ht="13" x14ac:dyDescent="0.15">
      <c r="A124" s="10"/>
      <c r="B124" s="13"/>
      <c r="C124" s="13"/>
    </row>
    <row r="125" spans="1:3" ht="13" x14ac:dyDescent="0.15">
      <c r="A125" s="10"/>
      <c r="B125" s="13"/>
      <c r="C125" s="13"/>
    </row>
    <row r="126" spans="1:3" ht="13" x14ac:dyDescent="0.15">
      <c r="A126" s="10"/>
      <c r="B126" s="13"/>
      <c r="C126" s="13"/>
    </row>
    <row r="127" spans="1:3" ht="13" x14ac:dyDescent="0.15">
      <c r="A127" s="10"/>
      <c r="B127" s="13"/>
      <c r="C127" s="13"/>
    </row>
    <row r="128" spans="1:3" ht="13" x14ac:dyDescent="0.15">
      <c r="A128" s="10"/>
      <c r="B128" s="13"/>
      <c r="C128" s="13"/>
    </row>
    <row r="129" spans="1:3" ht="13" x14ac:dyDescent="0.15">
      <c r="A129" s="10"/>
      <c r="B129" s="13"/>
      <c r="C129" s="13"/>
    </row>
    <row r="130" spans="1:3" ht="13" x14ac:dyDescent="0.15">
      <c r="A130" s="10"/>
      <c r="B130" s="13"/>
      <c r="C130" s="13"/>
    </row>
    <row r="131" spans="1:3" ht="13" x14ac:dyDescent="0.15">
      <c r="A131" s="10"/>
      <c r="B131" s="13"/>
      <c r="C131" s="13"/>
    </row>
    <row r="132" spans="1:3" ht="13" x14ac:dyDescent="0.15">
      <c r="A132" s="10"/>
      <c r="B132" s="13"/>
      <c r="C132" s="13"/>
    </row>
    <row r="133" spans="1:3" ht="13" x14ac:dyDescent="0.15">
      <c r="A133" s="10"/>
      <c r="B133" s="13"/>
      <c r="C133" s="13"/>
    </row>
    <row r="134" spans="1:3" ht="13" x14ac:dyDescent="0.15">
      <c r="A134" s="10"/>
      <c r="B134" s="13"/>
      <c r="C134" s="13"/>
    </row>
    <row r="135" spans="1:3" ht="13" x14ac:dyDescent="0.15">
      <c r="A135" s="10"/>
      <c r="B135" s="13"/>
      <c r="C135" s="13"/>
    </row>
    <row r="136" spans="1:3" ht="13" x14ac:dyDescent="0.15">
      <c r="A136" s="10"/>
      <c r="B136" s="13"/>
      <c r="C136" s="13"/>
    </row>
    <row r="137" spans="1:3" ht="13" x14ac:dyDescent="0.15">
      <c r="A137" s="10"/>
      <c r="B137" s="13"/>
      <c r="C137" s="13"/>
    </row>
    <row r="138" spans="1:3" ht="13" x14ac:dyDescent="0.15">
      <c r="A138" s="10"/>
      <c r="B138" s="13"/>
      <c r="C138" s="13"/>
    </row>
    <row r="139" spans="1:3" ht="13" x14ac:dyDescent="0.15">
      <c r="A139" s="10"/>
      <c r="B139" s="13"/>
      <c r="C139" s="13"/>
    </row>
    <row r="140" spans="1:3" ht="13" x14ac:dyDescent="0.15">
      <c r="A140" s="10"/>
      <c r="B140" s="13"/>
      <c r="C140" s="13"/>
    </row>
    <row r="141" spans="1:3" ht="13" x14ac:dyDescent="0.15">
      <c r="A141" s="10"/>
      <c r="B141" s="13"/>
      <c r="C141" s="13"/>
    </row>
    <row r="142" spans="1:3" ht="13" x14ac:dyDescent="0.15">
      <c r="A142" s="10"/>
      <c r="B142" s="13"/>
      <c r="C142" s="13"/>
    </row>
    <row r="143" spans="1:3" ht="13" x14ac:dyDescent="0.15">
      <c r="A143" s="10"/>
      <c r="B143" s="13"/>
      <c r="C143" s="13"/>
    </row>
    <row r="144" spans="1:3" ht="13" x14ac:dyDescent="0.15">
      <c r="A144" s="10"/>
      <c r="B144" s="13"/>
      <c r="C144" s="13"/>
    </row>
    <row r="145" spans="1:3" ht="13" x14ac:dyDescent="0.15">
      <c r="A145" s="10"/>
      <c r="B145" s="13"/>
      <c r="C145" s="13"/>
    </row>
    <row r="146" spans="1:3" ht="13" x14ac:dyDescent="0.15">
      <c r="A146" s="10"/>
      <c r="B146" s="13"/>
      <c r="C146" s="13"/>
    </row>
    <row r="147" spans="1:3" ht="13" x14ac:dyDescent="0.15">
      <c r="A147" s="10"/>
      <c r="B147" s="13"/>
      <c r="C147" s="13"/>
    </row>
    <row r="148" spans="1:3" ht="13" x14ac:dyDescent="0.15">
      <c r="A148" s="10"/>
      <c r="B148" s="13"/>
      <c r="C148" s="13"/>
    </row>
    <row r="149" spans="1:3" ht="13" x14ac:dyDescent="0.15">
      <c r="A149" s="10"/>
      <c r="B149" s="13"/>
      <c r="C149" s="13"/>
    </row>
    <row r="150" spans="1:3" ht="13" x14ac:dyDescent="0.15">
      <c r="A150" s="10"/>
      <c r="B150" s="13"/>
      <c r="C150" s="13"/>
    </row>
    <row r="151" spans="1:3" ht="13" x14ac:dyDescent="0.15">
      <c r="A151" s="10"/>
      <c r="B151" s="13"/>
      <c r="C151" s="13"/>
    </row>
    <row r="152" spans="1:3" ht="13" x14ac:dyDescent="0.15">
      <c r="A152" s="10"/>
      <c r="B152" s="13"/>
      <c r="C152" s="13"/>
    </row>
    <row r="153" spans="1:3" ht="13" x14ac:dyDescent="0.15">
      <c r="A153" s="10"/>
      <c r="B153" s="13"/>
      <c r="C153" s="13"/>
    </row>
    <row r="154" spans="1:3" ht="13" x14ac:dyDescent="0.15">
      <c r="A154" s="10"/>
      <c r="B154" s="13"/>
      <c r="C154" s="13"/>
    </row>
    <row r="155" spans="1:3" ht="13" x14ac:dyDescent="0.15">
      <c r="A155" s="10"/>
      <c r="B155" s="13"/>
      <c r="C155" s="13"/>
    </row>
    <row r="156" spans="1:3" ht="13" x14ac:dyDescent="0.15">
      <c r="A156" s="10"/>
      <c r="B156" s="13"/>
      <c r="C156" s="13"/>
    </row>
    <row r="157" spans="1:3" ht="13" x14ac:dyDescent="0.15">
      <c r="A157" s="10"/>
      <c r="B157" s="13"/>
      <c r="C157" s="13"/>
    </row>
    <row r="158" spans="1:3" ht="13" x14ac:dyDescent="0.15">
      <c r="A158" s="10"/>
      <c r="B158" s="13"/>
      <c r="C158" s="13"/>
    </row>
    <row r="159" spans="1:3" ht="13" x14ac:dyDescent="0.15">
      <c r="A159" s="10"/>
      <c r="B159" s="13"/>
      <c r="C159" s="13"/>
    </row>
    <row r="160" spans="1:3" ht="13" x14ac:dyDescent="0.15">
      <c r="A160" s="10"/>
      <c r="B160" s="13"/>
      <c r="C160" s="13"/>
    </row>
    <row r="161" spans="1:3" ht="13" x14ac:dyDescent="0.15">
      <c r="A161" s="10"/>
      <c r="B161" s="13"/>
      <c r="C161" s="13"/>
    </row>
    <row r="162" spans="1:3" ht="13" x14ac:dyDescent="0.15">
      <c r="A162" s="10"/>
      <c r="B162" s="13"/>
      <c r="C162" s="13"/>
    </row>
    <row r="163" spans="1:3" ht="13" x14ac:dyDescent="0.15">
      <c r="A163" s="10"/>
      <c r="B163" s="13"/>
      <c r="C163" s="13"/>
    </row>
    <row r="164" spans="1:3" ht="13" x14ac:dyDescent="0.15">
      <c r="A164" s="10"/>
      <c r="B164" s="13"/>
      <c r="C164" s="13"/>
    </row>
    <row r="165" spans="1:3" ht="13" x14ac:dyDescent="0.15">
      <c r="A165" s="10"/>
      <c r="B165" s="13"/>
      <c r="C165" s="13"/>
    </row>
    <row r="166" spans="1:3" ht="13" x14ac:dyDescent="0.15">
      <c r="A166" s="10"/>
      <c r="B166" s="13"/>
      <c r="C166" s="13"/>
    </row>
    <row r="167" spans="1:3" ht="13" x14ac:dyDescent="0.15">
      <c r="A167" s="10"/>
      <c r="B167" s="13"/>
      <c r="C167" s="13"/>
    </row>
    <row r="168" spans="1:3" ht="13" x14ac:dyDescent="0.15">
      <c r="A168" s="10"/>
      <c r="B168" s="13"/>
      <c r="C168" s="13"/>
    </row>
    <row r="169" spans="1:3" ht="13" x14ac:dyDescent="0.15">
      <c r="A169" s="10"/>
      <c r="B169" s="13"/>
      <c r="C169" s="13"/>
    </row>
    <row r="170" spans="1:3" ht="13" x14ac:dyDescent="0.15">
      <c r="A170" s="10"/>
      <c r="B170" s="13"/>
      <c r="C170" s="13"/>
    </row>
    <row r="171" spans="1:3" ht="13" x14ac:dyDescent="0.15">
      <c r="A171" s="10"/>
      <c r="B171" s="13"/>
      <c r="C171" s="13"/>
    </row>
    <row r="172" spans="1:3" ht="13" x14ac:dyDescent="0.15">
      <c r="A172" s="10"/>
      <c r="B172" s="13"/>
      <c r="C172" s="13"/>
    </row>
    <row r="173" spans="1:3" ht="13" x14ac:dyDescent="0.15">
      <c r="A173" s="10"/>
      <c r="B173" s="13"/>
      <c r="C173" s="13"/>
    </row>
    <row r="174" spans="1:3" ht="13" x14ac:dyDescent="0.15">
      <c r="A174" s="10"/>
      <c r="B174" s="13"/>
      <c r="C174" s="13"/>
    </row>
    <row r="175" spans="1:3" ht="13" x14ac:dyDescent="0.15">
      <c r="A175" s="10"/>
      <c r="B175" s="13"/>
      <c r="C175" s="13"/>
    </row>
    <row r="176" spans="1:3" ht="13" x14ac:dyDescent="0.15">
      <c r="A176" s="10"/>
      <c r="B176" s="13"/>
      <c r="C176" s="13"/>
    </row>
    <row r="177" spans="1:3" ht="13" x14ac:dyDescent="0.15">
      <c r="A177" s="10"/>
      <c r="B177" s="13"/>
      <c r="C177" s="13"/>
    </row>
    <row r="178" spans="1:3" ht="13" x14ac:dyDescent="0.15">
      <c r="A178" s="10"/>
      <c r="B178" s="13"/>
      <c r="C178" s="13"/>
    </row>
    <row r="179" spans="1:3" ht="13" x14ac:dyDescent="0.15">
      <c r="A179" s="10"/>
      <c r="B179" s="13"/>
      <c r="C179" s="13"/>
    </row>
    <row r="180" spans="1:3" ht="13" x14ac:dyDescent="0.15">
      <c r="A180" s="10"/>
      <c r="B180" s="13"/>
      <c r="C180" s="13"/>
    </row>
    <row r="181" spans="1:3" ht="13" x14ac:dyDescent="0.15">
      <c r="A181" s="10"/>
      <c r="B181" s="13"/>
      <c r="C181" s="13"/>
    </row>
    <row r="182" spans="1:3" ht="13" x14ac:dyDescent="0.15">
      <c r="A182" s="10"/>
      <c r="B182" s="13"/>
      <c r="C182" s="13"/>
    </row>
    <row r="183" spans="1:3" ht="13" x14ac:dyDescent="0.15">
      <c r="A183" s="10"/>
      <c r="B183" s="13"/>
      <c r="C183" s="13"/>
    </row>
    <row r="184" spans="1:3" ht="13" x14ac:dyDescent="0.15">
      <c r="A184" s="10"/>
      <c r="B184" s="13"/>
      <c r="C184" s="13"/>
    </row>
    <row r="185" spans="1:3" ht="13" x14ac:dyDescent="0.15">
      <c r="A185" s="10"/>
      <c r="B185" s="13"/>
      <c r="C185" s="13"/>
    </row>
    <row r="186" spans="1:3" ht="13" x14ac:dyDescent="0.15">
      <c r="A186" s="10"/>
      <c r="B186" s="13"/>
      <c r="C186" s="13"/>
    </row>
    <row r="187" spans="1:3" ht="13" x14ac:dyDescent="0.15">
      <c r="A187" s="10"/>
      <c r="B187" s="13"/>
      <c r="C187" s="13"/>
    </row>
    <row r="188" spans="1:3" ht="13" x14ac:dyDescent="0.15">
      <c r="A188" s="10"/>
      <c r="B188" s="13"/>
      <c r="C188" s="13"/>
    </row>
    <row r="189" spans="1:3" ht="13" x14ac:dyDescent="0.15">
      <c r="A189" s="10"/>
      <c r="B189" s="13"/>
      <c r="C189" s="13"/>
    </row>
    <row r="190" spans="1:3" ht="13" x14ac:dyDescent="0.15">
      <c r="A190" s="10"/>
      <c r="B190" s="13"/>
      <c r="C190" s="13"/>
    </row>
    <row r="191" spans="1:3" ht="13" x14ac:dyDescent="0.15">
      <c r="A191" s="10"/>
      <c r="B191" s="13"/>
      <c r="C191" s="13"/>
    </row>
    <row r="192" spans="1:3" ht="13" x14ac:dyDescent="0.15">
      <c r="A192" s="10"/>
      <c r="B192" s="13"/>
      <c r="C192" s="13"/>
    </row>
    <row r="193" spans="1:3" ht="13" x14ac:dyDescent="0.15">
      <c r="A193" s="10"/>
      <c r="B193" s="13"/>
      <c r="C193" s="13"/>
    </row>
    <row r="194" spans="1:3" ht="13" x14ac:dyDescent="0.15">
      <c r="A194" s="10"/>
      <c r="B194" s="13"/>
      <c r="C194" s="13"/>
    </row>
    <row r="195" spans="1:3" ht="13" x14ac:dyDescent="0.15">
      <c r="A195" s="10"/>
      <c r="B195" s="13"/>
      <c r="C195" s="13"/>
    </row>
    <row r="196" spans="1:3" ht="13" x14ac:dyDescent="0.15">
      <c r="A196" s="10"/>
      <c r="B196" s="13"/>
      <c r="C196" s="13"/>
    </row>
    <row r="197" spans="1:3" ht="13" x14ac:dyDescent="0.15">
      <c r="A197" s="10"/>
      <c r="B197" s="13"/>
      <c r="C197" s="13"/>
    </row>
    <row r="198" spans="1:3" ht="13" x14ac:dyDescent="0.15">
      <c r="A198" s="10"/>
      <c r="B198" s="13"/>
      <c r="C198" s="13"/>
    </row>
    <row r="199" spans="1:3" ht="13" x14ac:dyDescent="0.15">
      <c r="A199" s="10"/>
      <c r="B199" s="13"/>
      <c r="C199" s="13"/>
    </row>
    <row r="200" spans="1:3" ht="13" x14ac:dyDescent="0.15">
      <c r="A200" s="10"/>
      <c r="B200" s="13"/>
      <c r="C200" s="13"/>
    </row>
    <row r="201" spans="1:3" ht="13" x14ac:dyDescent="0.15">
      <c r="A201" s="10"/>
      <c r="B201" s="13"/>
      <c r="C201" s="13"/>
    </row>
    <row r="202" spans="1:3" ht="13" x14ac:dyDescent="0.15">
      <c r="A202" s="10"/>
      <c r="B202" s="13"/>
      <c r="C202" s="13"/>
    </row>
    <row r="203" spans="1:3" ht="13" x14ac:dyDescent="0.15">
      <c r="A203" s="10"/>
      <c r="B203" s="13"/>
      <c r="C203" s="13"/>
    </row>
    <row r="204" spans="1:3" ht="13" x14ac:dyDescent="0.15">
      <c r="A204" s="10"/>
      <c r="B204" s="13"/>
      <c r="C204" s="13"/>
    </row>
    <row r="205" spans="1:3" ht="13" x14ac:dyDescent="0.15">
      <c r="A205" s="10"/>
      <c r="B205" s="13"/>
      <c r="C205" s="13"/>
    </row>
    <row r="206" spans="1:3" ht="13" x14ac:dyDescent="0.15">
      <c r="A206" s="10"/>
      <c r="B206" s="13"/>
      <c r="C206" s="13"/>
    </row>
    <row r="207" spans="1:3" ht="13" x14ac:dyDescent="0.15">
      <c r="A207" s="10"/>
      <c r="B207" s="13"/>
      <c r="C207" s="13"/>
    </row>
    <row r="208" spans="1:3" ht="13" x14ac:dyDescent="0.15">
      <c r="A208" s="10"/>
      <c r="B208" s="13"/>
      <c r="C208" s="13"/>
    </row>
    <row r="209" spans="1:3" ht="13" x14ac:dyDescent="0.15">
      <c r="A209" s="10"/>
      <c r="B209" s="13"/>
      <c r="C209" s="13"/>
    </row>
    <row r="210" spans="1:3" ht="13" x14ac:dyDescent="0.15">
      <c r="A210" s="10"/>
      <c r="B210" s="13"/>
      <c r="C210" s="13"/>
    </row>
    <row r="211" spans="1:3" ht="13" x14ac:dyDescent="0.15">
      <c r="A211" s="10"/>
      <c r="B211" s="13"/>
      <c r="C211" s="13"/>
    </row>
    <row r="212" spans="1:3" ht="13" x14ac:dyDescent="0.15">
      <c r="A212" s="10"/>
      <c r="B212" s="13"/>
      <c r="C212" s="13"/>
    </row>
    <row r="213" spans="1:3" ht="13" x14ac:dyDescent="0.15">
      <c r="A213" s="10"/>
      <c r="B213" s="13"/>
      <c r="C213" s="13"/>
    </row>
    <row r="214" spans="1:3" ht="13" x14ac:dyDescent="0.15">
      <c r="A214" s="10"/>
      <c r="B214" s="13"/>
      <c r="C214" s="13"/>
    </row>
    <row r="215" spans="1:3" ht="13" x14ac:dyDescent="0.15">
      <c r="A215" s="10"/>
      <c r="B215" s="13"/>
      <c r="C215" s="13"/>
    </row>
    <row r="216" spans="1:3" ht="13" x14ac:dyDescent="0.15">
      <c r="A216" s="10"/>
      <c r="B216" s="13"/>
      <c r="C216" s="13"/>
    </row>
    <row r="217" spans="1:3" ht="13" x14ac:dyDescent="0.15">
      <c r="A217" s="10"/>
      <c r="B217" s="13"/>
      <c r="C217" s="13"/>
    </row>
    <row r="218" spans="1:3" ht="13" x14ac:dyDescent="0.15">
      <c r="A218" s="10"/>
      <c r="B218" s="13"/>
      <c r="C218" s="13"/>
    </row>
    <row r="219" spans="1:3" ht="13" x14ac:dyDescent="0.15">
      <c r="A219" s="10"/>
      <c r="B219" s="13"/>
      <c r="C219" s="13"/>
    </row>
    <row r="220" spans="1:3" ht="13" x14ac:dyDescent="0.15">
      <c r="A220" s="10"/>
      <c r="B220" s="13"/>
      <c r="C220" s="13"/>
    </row>
    <row r="221" spans="1:3" ht="13" x14ac:dyDescent="0.15">
      <c r="A221" s="10"/>
      <c r="B221" s="13"/>
      <c r="C221" s="13"/>
    </row>
    <row r="222" spans="1:3" ht="13" x14ac:dyDescent="0.15">
      <c r="A222" s="10"/>
      <c r="B222" s="13"/>
      <c r="C222" s="13"/>
    </row>
    <row r="223" spans="1:3" ht="13" x14ac:dyDescent="0.15">
      <c r="A223" s="10"/>
      <c r="B223" s="13"/>
      <c r="C223" s="13"/>
    </row>
    <row r="224" spans="1:3" ht="13" x14ac:dyDescent="0.15">
      <c r="A224" s="10"/>
      <c r="B224" s="13"/>
      <c r="C224" s="13"/>
    </row>
    <row r="225" spans="1:3" ht="13" x14ac:dyDescent="0.15">
      <c r="A225" s="10"/>
      <c r="B225" s="13"/>
      <c r="C225" s="13"/>
    </row>
    <row r="226" spans="1:3" ht="13" x14ac:dyDescent="0.15">
      <c r="A226" s="10"/>
      <c r="B226" s="13"/>
      <c r="C226" s="13"/>
    </row>
    <row r="227" spans="1:3" ht="13" x14ac:dyDescent="0.15">
      <c r="A227" s="10"/>
      <c r="B227" s="13"/>
      <c r="C227" s="13"/>
    </row>
    <row r="228" spans="1:3" ht="13" x14ac:dyDescent="0.15">
      <c r="A228" s="10"/>
      <c r="B228" s="13"/>
      <c r="C228" s="13"/>
    </row>
    <row r="229" spans="1:3" ht="13" x14ac:dyDescent="0.15">
      <c r="A229" s="10"/>
      <c r="B229" s="13"/>
      <c r="C229" s="13"/>
    </row>
    <row r="230" spans="1:3" ht="13" x14ac:dyDescent="0.15">
      <c r="A230" s="10"/>
      <c r="B230" s="13"/>
      <c r="C230" s="13"/>
    </row>
    <row r="231" spans="1:3" ht="13" x14ac:dyDescent="0.15">
      <c r="A231" s="10"/>
      <c r="B231" s="13"/>
      <c r="C231" s="13"/>
    </row>
    <row r="232" spans="1:3" ht="13" x14ac:dyDescent="0.15">
      <c r="A232" s="10"/>
      <c r="B232" s="13"/>
      <c r="C232" s="13"/>
    </row>
    <row r="233" spans="1:3" ht="13" x14ac:dyDescent="0.15">
      <c r="A233" s="10"/>
      <c r="B233" s="13"/>
      <c r="C233" s="13"/>
    </row>
    <row r="234" spans="1:3" ht="13" x14ac:dyDescent="0.15">
      <c r="A234" s="10"/>
      <c r="B234" s="13"/>
      <c r="C234" s="13"/>
    </row>
    <row r="235" spans="1:3" ht="13" x14ac:dyDescent="0.15">
      <c r="A235" s="10"/>
      <c r="B235" s="13"/>
      <c r="C235" s="13"/>
    </row>
    <row r="236" spans="1:3" ht="13" x14ac:dyDescent="0.15">
      <c r="A236" s="10"/>
      <c r="B236" s="13"/>
      <c r="C236" s="13"/>
    </row>
    <row r="237" spans="1:3" ht="13" x14ac:dyDescent="0.15">
      <c r="A237" s="10"/>
      <c r="B237" s="13"/>
      <c r="C237" s="13"/>
    </row>
    <row r="238" spans="1:3" ht="13" x14ac:dyDescent="0.15">
      <c r="A238" s="10"/>
      <c r="B238" s="13"/>
      <c r="C238" s="13"/>
    </row>
    <row r="239" spans="1:3" ht="13" x14ac:dyDescent="0.15">
      <c r="A239" s="10"/>
      <c r="B239" s="13"/>
      <c r="C239" s="13"/>
    </row>
    <row r="240" spans="1:3" ht="13" x14ac:dyDescent="0.15">
      <c r="A240" s="10"/>
      <c r="B240" s="13"/>
      <c r="C240" s="13"/>
    </row>
    <row r="241" spans="1:3" ht="13" x14ac:dyDescent="0.15">
      <c r="A241" s="10"/>
      <c r="B241" s="13"/>
      <c r="C241" s="13"/>
    </row>
    <row r="242" spans="1:3" ht="13" x14ac:dyDescent="0.15">
      <c r="A242" s="10"/>
      <c r="B242" s="13"/>
      <c r="C242" s="13"/>
    </row>
    <row r="243" spans="1:3" ht="13" x14ac:dyDescent="0.15">
      <c r="A243" s="10"/>
      <c r="B243" s="13"/>
      <c r="C243" s="13"/>
    </row>
    <row r="244" spans="1:3" ht="13" x14ac:dyDescent="0.15">
      <c r="A244" s="10"/>
      <c r="B244" s="13"/>
      <c r="C244" s="13"/>
    </row>
    <row r="245" spans="1:3" ht="13" x14ac:dyDescent="0.15">
      <c r="A245" s="10"/>
      <c r="B245" s="13"/>
      <c r="C245" s="13"/>
    </row>
    <row r="246" spans="1:3" ht="13" x14ac:dyDescent="0.15">
      <c r="A246" s="10"/>
      <c r="B246" s="13"/>
      <c r="C246" s="13"/>
    </row>
    <row r="247" spans="1:3" ht="13" x14ac:dyDescent="0.15">
      <c r="A247" s="10"/>
      <c r="B247" s="13"/>
      <c r="C247" s="13"/>
    </row>
    <row r="248" spans="1:3" ht="13" x14ac:dyDescent="0.15">
      <c r="A248" s="10"/>
      <c r="B248" s="13"/>
      <c r="C248" s="13"/>
    </row>
    <row r="249" spans="1:3" ht="13" x14ac:dyDescent="0.15">
      <c r="A249" s="10"/>
      <c r="B249" s="13"/>
      <c r="C249" s="13"/>
    </row>
    <row r="250" spans="1:3" ht="13" x14ac:dyDescent="0.15">
      <c r="A250" s="10"/>
      <c r="B250" s="13"/>
      <c r="C250" s="13"/>
    </row>
    <row r="251" spans="1:3" ht="13" x14ac:dyDescent="0.15">
      <c r="A251" s="10"/>
      <c r="B251" s="13"/>
      <c r="C251" s="13"/>
    </row>
    <row r="252" spans="1:3" ht="13" x14ac:dyDescent="0.15">
      <c r="A252" s="10"/>
      <c r="B252" s="13"/>
      <c r="C252" s="13"/>
    </row>
    <row r="253" spans="1:3" ht="13" x14ac:dyDescent="0.15">
      <c r="A253" s="10"/>
      <c r="B253" s="13"/>
      <c r="C253" s="13"/>
    </row>
    <row r="254" spans="1:3" ht="13" x14ac:dyDescent="0.15">
      <c r="A254" s="10"/>
      <c r="B254" s="13"/>
      <c r="C254" s="13"/>
    </row>
    <row r="255" spans="1:3" ht="13" x14ac:dyDescent="0.15">
      <c r="A255" s="10"/>
      <c r="B255" s="13"/>
      <c r="C255" s="13"/>
    </row>
    <row r="256" spans="1:3" ht="13" x14ac:dyDescent="0.15">
      <c r="A256" s="10"/>
      <c r="B256" s="13"/>
      <c r="C256" s="13"/>
    </row>
    <row r="257" spans="1:3" ht="13" x14ac:dyDescent="0.15">
      <c r="A257" s="10"/>
      <c r="B257" s="13"/>
      <c r="C257" s="13"/>
    </row>
    <row r="258" spans="1:3" ht="13" x14ac:dyDescent="0.15">
      <c r="A258" s="10"/>
      <c r="B258" s="13"/>
      <c r="C258" s="13"/>
    </row>
    <row r="259" spans="1:3" ht="13" x14ac:dyDescent="0.15">
      <c r="A259" s="10"/>
      <c r="B259" s="13"/>
      <c r="C259" s="13"/>
    </row>
    <row r="260" spans="1:3" ht="13" x14ac:dyDescent="0.15">
      <c r="A260" s="10"/>
      <c r="B260" s="13"/>
      <c r="C260" s="13"/>
    </row>
    <row r="261" spans="1:3" ht="13" x14ac:dyDescent="0.15">
      <c r="A261" s="10"/>
      <c r="B261" s="13"/>
      <c r="C261" s="13"/>
    </row>
    <row r="262" spans="1:3" ht="13" x14ac:dyDescent="0.15">
      <c r="A262" s="10"/>
      <c r="B262" s="13"/>
      <c r="C262" s="13"/>
    </row>
    <row r="263" spans="1:3" ht="13" x14ac:dyDescent="0.15">
      <c r="A263" s="10"/>
      <c r="B263" s="13"/>
      <c r="C263" s="13"/>
    </row>
    <row r="264" spans="1:3" ht="13" x14ac:dyDescent="0.15">
      <c r="A264" s="10"/>
      <c r="B264" s="13"/>
      <c r="C264" s="13"/>
    </row>
    <row r="265" spans="1:3" ht="13" x14ac:dyDescent="0.15">
      <c r="A265" s="10"/>
      <c r="B265" s="13"/>
      <c r="C265" s="13"/>
    </row>
    <row r="266" spans="1:3" ht="13" x14ac:dyDescent="0.15">
      <c r="A266" s="10"/>
      <c r="B266" s="13"/>
      <c r="C266" s="13"/>
    </row>
    <row r="267" spans="1:3" ht="13" x14ac:dyDescent="0.15">
      <c r="A267" s="10"/>
      <c r="B267" s="13"/>
      <c r="C267" s="13"/>
    </row>
    <row r="268" spans="1:3" ht="13" x14ac:dyDescent="0.15">
      <c r="A268" s="10"/>
      <c r="B268" s="13"/>
      <c r="C268" s="13"/>
    </row>
    <row r="269" spans="1:3" ht="13" x14ac:dyDescent="0.15">
      <c r="A269" s="10"/>
      <c r="B269" s="13"/>
      <c r="C269" s="13"/>
    </row>
    <row r="270" spans="1:3" ht="13" x14ac:dyDescent="0.15">
      <c r="A270" s="10"/>
      <c r="B270" s="13"/>
      <c r="C270" s="13"/>
    </row>
    <row r="271" spans="1:3" ht="13" x14ac:dyDescent="0.15">
      <c r="A271" s="10"/>
      <c r="B271" s="13"/>
      <c r="C271" s="13"/>
    </row>
    <row r="272" spans="1:3" ht="13" x14ac:dyDescent="0.15">
      <c r="A272" s="10"/>
      <c r="B272" s="13"/>
      <c r="C272" s="13"/>
    </row>
    <row r="273" spans="1:3" ht="13" x14ac:dyDescent="0.15">
      <c r="A273" s="10"/>
      <c r="B273" s="13"/>
      <c r="C273" s="13"/>
    </row>
    <row r="274" spans="1:3" ht="13" x14ac:dyDescent="0.15">
      <c r="A274" s="10"/>
      <c r="B274" s="13"/>
      <c r="C274" s="13"/>
    </row>
    <row r="275" spans="1:3" ht="13" x14ac:dyDescent="0.15">
      <c r="A275" s="10"/>
      <c r="B275" s="13"/>
      <c r="C275" s="13"/>
    </row>
    <row r="276" spans="1:3" ht="13" x14ac:dyDescent="0.15">
      <c r="A276" s="10"/>
      <c r="B276" s="13"/>
      <c r="C276" s="13"/>
    </row>
    <row r="277" spans="1:3" ht="13" x14ac:dyDescent="0.15">
      <c r="A277" s="10"/>
      <c r="B277" s="13"/>
      <c r="C277" s="13"/>
    </row>
    <row r="278" spans="1:3" ht="13" x14ac:dyDescent="0.15">
      <c r="A278" s="10"/>
      <c r="B278" s="13"/>
      <c r="C278" s="13"/>
    </row>
    <row r="279" spans="1:3" ht="13" x14ac:dyDescent="0.15">
      <c r="A279" s="10"/>
      <c r="B279" s="13"/>
      <c r="C279" s="13"/>
    </row>
    <row r="280" spans="1:3" ht="13" x14ac:dyDescent="0.15">
      <c r="A280" s="10"/>
      <c r="B280" s="13"/>
      <c r="C280" s="13"/>
    </row>
    <row r="281" spans="1:3" ht="13" x14ac:dyDescent="0.15">
      <c r="A281" s="10"/>
      <c r="B281" s="13"/>
      <c r="C281" s="13"/>
    </row>
    <row r="282" spans="1:3" ht="13" x14ac:dyDescent="0.15">
      <c r="A282" s="10"/>
      <c r="B282" s="13"/>
      <c r="C282" s="13"/>
    </row>
    <row r="283" spans="1:3" ht="13" x14ac:dyDescent="0.15">
      <c r="A283" s="10"/>
      <c r="B283" s="13"/>
      <c r="C283" s="13"/>
    </row>
    <row r="284" spans="1:3" ht="13" x14ac:dyDescent="0.15">
      <c r="A284" s="10"/>
      <c r="B284" s="13"/>
      <c r="C284" s="13"/>
    </row>
    <row r="285" spans="1:3" ht="13" x14ac:dyDescent="0.15">
      <c r="A285" s="10"/>
      <c r="B285" s="13"/>
      <c r="C285" s="13"/>
    </row>
    <row r="286" spans="1:3" ht="13" x14ac:dyDescent="0.15">
      <c r="A286" s="10"/>
      <c r="B286" s="13"/>
      <c r="C286" s="13"/>
    </row>
    <row r="287" spans="1:3" ht="13" x14ac:dyDescent="0.15">
      <c r="A287" s="10"/>
      <c r="B287" s="13"/>
      <c r="C287" s="13"/>
    </row>
    <row r="288" spans="1:3" ht="13" x14ac:dyDescent="0.15">
      <c r="A288" s="10"/>
      <c r="B288" s="13"/>
      <c r="C288" s="13"/>
    </row>
    <row r="289" spans="1:3" ht="13" x14ac:dyDescent="0.15">
      <c r="A289" s="10"/>
      <c r="B289" s="13"/>
      <c r="C289" s="13"/>
    </row>
    <row r="290" spans="1:3" ht="13" x14ac:dyDescent="0.15">
      <c r="A290" s="10"/>
      <c r="B290" s="13"/>
      <c r="C290" s="13"/>
    </row>
    <row r="291" spans="1:3" ht="13" x14ac:dyDescent="0.15">
      <c r="A291" s="10"/>
      <c r="B291" s="13"/>
      <c r="C291" s="13"/>
    </row>
    <row r="292" spans="1:3" ht="13" x14ac:dyDescent="0.15">
      <c r="A292" s="10"/>
      <c r="B292" s="13"/>
      <c r="C292" s="13"/>
    </row>
    <row r="293" spans="1:3" ht="13" x14ac:dyDescent="0.15">
      <c r="A293" s="10"/>
      <c r="B293" s="13"/>
      <c r="C293" s="13"/>
    </row>
    <row r="294" spans="1:3" ht="13" x14ac:dyDescent="0.15">
      <c r="A294" s="10"/>
      <c r="B294" s="13"/>
      <c r="C294" s="13"/>
    </row>
    <row r="295" spans="1:3" ht="13" x14ac:dyDescent="0.15">
      <c r="A295" s="10"/>
      <c r="B295" s="13"/>
      <c r="C295" s="13"/>
    </row>
    <row r="296" spans="1:3" ht="13" x14ac:dyDescent="0.15">
      <c r="A296" s="10"/>
      <c r="B296" s="13"/>
      <c r="C296" s="13"/>
    </row>
    <row r="297" spans="1:3" ht="13" x14ac:dyDescent="0.15">
      <c r="A297" s="10"/>
      <c r="B297" s="13"/>
      <c r="C297" s="13"/>
    </row>
    <row r="298" spans="1:3" ht="13" x14ac:dyDescent="0.15">
      <c r="A298" s="10"/>
      <c r="B298" s="13"/>
      <c r="C298" s="13"/>
    </row>
    <row r="299" spans="1:3" ht="13" x14ac:dyDescent="0.15">
      <c r="A299" s="10"/>
      <c r="B299" s="13"/>
      <c r="C299" s="13"/>
    </row>
    <row r="300" spans="1:3" ht="13" x14ac:dyDescent="0.15">
      <c r="A300" s="10"/>
      <c r="B300" s="13"/>
      <c r="C300" s="13"/>
    </row>
    <row r="301" spans="1:3" ht="13" x14ac:dyDescent="0.15">
      <c r="A301" s="10"/>
      <c r="B301" s="13"/>
      <c r="C301" s="13"/>
    </row>
    <row r="302" spans="1:3" ht="13" x14ac:dyDescent="0.15">
      <c r="A302" s="10"/>
      <c r="B302" s="13"/>
      <c r="C302" s="13"/>
    </row>
    <row r="303" spans="1:3" ht="13" x14ac:dyDescent="0.15">
      <c r="A303" s="10"/>
      <c r="B303" s="13"/>
      <c r="C303" s="13"/>
    </row>
    <row r="304" spans="1:3" ht="13" x14ac:dyDescent="0.15">
      <c r="A304" s="10"/>
      <c r="B304" s="13"/>
      <c r="C304" s="13"/>
    </row>
    <row r="305" spans="1:3" ht="13" x14ac:dyDescent="0.15">
      <c r="A305" s="10"/>
      <c r="B305" s="13"/>
      <c r="C305" s="13"/>
    </row>
    <row r="306" spans="1:3" ht="13" x14ac:dyDescent="0.15">
      <c r="A306" s="10"/>
      <c r="B306" s="13"/>
      <c r="C306" s="13"/>
    </row>
    <row r="307" spans="1:3" ht="13" x14ac:dyDescent="0.15">
      <c r="A307" s="10"/>
      <c r="B307" s="13"/>
      <c r="C307" s="13"/>
    </row>
    <row r="308" spans="1:3" ht="13" x14ac:dyDescent="0.15">
      <c r="A308" s="10"/>
      <c r="B308" s="13"/>
      <c r="C308" s="13"/>
    </row>
    <row r="309" spans="1:3" ht="13" x14ac:dyDescent="0.15">
      <c r="A309" s="10"/>
      <c r="B309" s="13"/>
      <c r="C309" s="13"/>
    </row>
    <row r="310" spans="1:3" ht="13" x14ac:dyDescent="0.15">
      <c r="A310" s="10"/>
      <c r="B310" s="13"/>
      <c r="C310" s="13"/>
    </row>
    <row r="311" spans="1:3" ht="13" x14ac:dyDescent="0.15">
      <c r="A311" s="10"/>
      <c r="B311" s="13"/>
      <c r="C311" s="13"/>
    </row>
    <row r="312" spans="1:3" ht="13" x14ac:dyDescent="0.15">
      <c r="A312" s="10"/>
      <c r="B312" s="13"/>
      <c r="C312" s="13"/>
    </row>
    <row r="313" spans="1:3" ht="13" x14ac:dyDescent="0.15">
      <c r="A313" s="10"/>
      <c r="B313" s="13"/>
      <c r="C313" s="13"/>
    </row>
    <row r="314" spans="1:3" ht="13" x14ac:dyDescent="0.15">
      <c r="A314" s="10"/>
      <c r="B314" s="13"/>
      <c r="C314" s="13"/>
    </row>
    <row r="315" spans="1:3" ht="13" x14ac:dyDescent="0.15">
      <c r="A315" s="10"/>
      <c r="B315" s="13"/>
      <c r="C315" s="13"/>
    </row>
    <row r="316" spans="1:3" ht="13" x14ac:dyDescent="0.15">
      <c r="A316" s="10"/>
      <c r="B316" s="13"/>
      <c r="C316" s="13"/>
    </row>
    <row r="317" spans="1:3" ht="13" x14ac:dyDescent="0.15">
      <c r="A317" s="10"/>
      <c r="B317" s="13"/>
      <c r="C317" s="13"/>
    </row>
    <row r="318" spans="1:3" ht="13" x14ac:dyDescent="0.15">
      <c r="A318" s="10"/>
      <c r="B318" s="13"/>
      <c r="C318" s="13"/>
    </row>
    <row r="319" spans="1:3" ht="13" x14ac:dyDescent="0.15">
      <c r="A319" s="10"/>
      <c r="B319" s="13"/>
      <c r="C319" s="13"/>
    </row>
    <row r="320" spans="1:3" ht="13" x14ac:dyDescent="0.15">
      <c r="A320" s="10"/>
      <c r="B320" s="13"/>
      <c r="C320" s="13"/>
    </row>
    <row r="321" spans="1:3" ht="13" x14ac:dyDescent="0.15">
      <c r="A321" s="10"/>
      <c r="B321" s="13"/>
      <c r="C321" s="13"/>
    </row>
    <row r="322" spans="1:3" ht="13" x14ac:dyDescent="0.15">
      <c r="A322" s="10"/>
      <c r="B322" s="13"/>
      <c r="C322" s="13"/>
    </row>
    <row r="323" spans="1:3" ht="13" x14ac:dyDescent="0.15">
      <c r="A323" s="10"/>
      <c r="B323" s="13"/>
      <c r="C323" s="13"/>
    </row>
    <row r="324" spans="1:3" ht="13" x14ac:dyDescent="0.15">
      <c r="A324" s="10"/>
      <c r="B324" s="13"/>
      <c r="C324" s="13"/>
    </row>
    <row r="325" spans="1:3" ht="13" x14ac:dyDescent="0.15">
      <c r="A325" s="10"/>
      <c r="B325" s="13"/>
      <c r="C325" s="13"/>
    </row>
    <row r="326" spans="1:3" ht="13" x14ac:dyDescent="0.15">
      <c r="A326" s="10"/>
      <c r="B326" s="13"/>
      <c r="C326" s="13"/>
    </row>
    <row r="327" spans="1:3" ht="13" x14ac:dyDescent="0.15">
      <c r="A327" s="10"/>
      <c r="B327" s="13"/>
      <c r="C327" s="13"/>
    </row>
    <row r="328" spans="1:3" ht="13" x14ac:dyDescent="0.15">
      <c r="A328" s="10"/>
      <c r="B328" s="13"/>
      <c r="C328" s="13"/>
    </row>
    <row r="329" spans="1:3" ht="13" x14ac:dyDescent="0.15">
      <c r="A329" s="10"/>
      <c r="B329" s="13"/>
      <c r="C329" s="13"/>
    </row>
    <row r="330" spans="1:3" ht="13" x14ac:dyDescent="0.15">
      <c r="A330" s="10"/>
      <c r="B330" s="13"/>
      <c r="C330" s="13"/>
    </row>
    <row r="331" spans="1:3" ht="13" x14ac:dyDescent="0.15">
      <c r="A331" s="10"/>
      <c r="B331" s="13"/>
      <c r="C331" s="13"/>
    </row>
    <row r="332" spans="1:3" ht="13" x14ac:dyDescent="0.15">
      <c r="A332" s="10"/>
      <c r="B332" s="13"/>
      <c r="C332" s="13"/>
    </row>
    <row r="333" spans="1:3" ht="13" x14ac:dyDescent="0.15">
      <c r="A333" s="10"/>
      <c r="B333" s="13"/>
      <c r="C333" s="13"/>
    </row>
    <row r="334" spans="1:3" ht="13" x14ac:dyDescent="0.15">
      <c r="A334" s="10"/>
      <c r="B334" s="13"/>
      <c r="C334" s="13"/>
    </row>
    <row r="335" spans="1:3" ht="13" x14ac:dyDescent="0.15">
      <c r="A335" s="10"/>
      <c r="B335" s="13"/>
      <c r="C335" s="13"/>
    </row>
    <row r="336" spans="1:3" ht="13" x14ac:dyDescent="0.15">
      <c r="A336" s="10"/>
      <c r="B336" s="13"/>
      <c r="C336" s="13"/>
    </row>
    <row r="337" spans="1:3" ht="13" x14ac:dyDescent="0.15">
      <c r="A337" s="10"/>
      <c r="B337" s="13"/>
      <c r="C337" s="13"/>
    </row>
    <row r="338" spans="1:3" ht="13" x14ac:dyDescent="0.15">
      <c r="A338" s="10"/>
      <c r="B338" s="13"/>
      <c r="C338" s="13"/>
    </row>
    <row r="339" spans="1:3" ht="13" x14ac:dyDescent="0.15">
      <c r="A339" s="10"/>
      <c r="B339" s="13"/>
      <c r="C339" s="13"/>
    </row>
    <row r="340" spans="1:3" ht="13" x14ac:dyDescent="0.15">
      <c r="A340" s="10"/>
      <c r="B340" s="13"/>
      <c r="C340" s="13"/>
    </row>
    <row r="341" spans="1:3" ht="13" x14ac:dyDescent="0.15">
      <c r="A341" s="10"/>
      <c r="B341" s="13"/>
      <c r="C341" s="13"/>
    </row>
    <row r="342" spans="1:3" ht="13" x14ac:dyDescent="0.15">
      <c r="A342" s="10"/>
      <c r="B342" s="13"/>
      <c r="C342" s="13"/>
    </row>
    <row r="343" spans="1:3" ht="13" x14ac:dyDescent="0.15">
      <c r="A343" s="10"/>
      <c r="B343" s="13"/>
      <c r="C343" s="13"/>
    </row>
    <row r="344" spans="1:3" ht="13" x14ac:dyDescent="0.15">
      <c r="A344" s="10"/>
      <c r="B344" s="13"/>
      <c r="C344" s="13"/>
    </row>
    <row r="345" spans="1:3" ht="13" x14ac:dyDescent="0.15">
      <c r="A345" s="10"/>
      <c r="B345" s="13"/>
      <c r="C345" s="13"/>
    </row>
    <row r="346" spans="1:3" ht="13" x14ac:dyDescent="0.15">
      <c r="A346" s="10"/>
      <c r="B346" s="13"/>
      <c r="C346" s="13"/>
    </row>
    <row r="347" spans="1:3" ht="13" x14ac:dyDescent="0.15">
      <c r="A347" s="10"/>
      <c r="B347" s="13"/>
      <c r="C347" s="13"/>
    </row>
    <row r="348" spans="1:3" ht="13" x14ac:dyDescent="0.15">
      <c r="A348" s="10"/>
      <c r="B348" s="13"/>
      <c r="C348" s="13"/>
    </row>
    <row r="349" spans="1:3" ht="13" x14ac:dyDescent="0.15">
      <c r="A349" s="10"/>
      <c r="B349" s="13"/>
      <c r="C349" s="13"/>
    </row>
    <row r="350" spans="1:3" ht="13" x14ac:dyDescent="0.15">
      <c r="A350" s="10"/>
      <c r="B350" s="13"/>
      <c r="C350" s="13"/>
    </row>
    <row r="351" spans="1:3" ht="13" x14ac:dyDescent="0.15">
      <c r="A351" s="10"/>
      <c r="B351" s="13"/>
      <c r="C351" s="13"/>
    </row>
    <row r="352" spans="1:3" ht="13" x14ac:dyDescent="0.15">
      <c r="A352" s="10"/>
      <c r="B352" s="13"/>
      <c r="C352" s="13"/>
    </row>
    <row r="353" spans="1:3" ht="13" x14ac:dyDescent="0.15">
      <c r="A353" s="10"/>
      <c r="B353" s="13"/>
      <c r="C353" s="13"/>
    </row>
    <row r="354" spans="1:3" ht="13" x14ac:dyDescent="0.15">
      <c r="A354" s="10"/>
      <c r="B354" s="13"/>
      <c r="C354" s="13"/>
    </row>
    <row r="355" spans="1:3" ht="13" x14ac:dyDescent="0.15">
      <c r="A355" s="10"/>
      <c r="B355" s="13"/>
      <c r="C355" s="13"/>
    </row>
    <row r="356" spans="1:3" ht="13" x14ac:dyDescent="0.15">
      <c r="A356" s="10"/>
      <c r="B356" s="13"/>
      <c r="C356" s="13"/>
    </row>
    <row r="357" spans="1:3" ht="13" x14ac:dyDescent="0.15">
      <c r="A357" s="10"/>
      <c r="B357" s="13"/>
      <c r="C357" s="13"/>
    </row>
    <row r="358" spans="1:3" ht="13" x14ac:dyDescent="0.15">
      <c r="A358" s="10"/>
      <c r="B358" s="13"/>
      <c r="C358" s="13"/>
    </row>
    <row r="359" spans="1:3" ht="13" x14ac:dyDescent="0.15">
      <c r="A359" s="10"/>
      <c r="B359" s="13"/>
      <c r="C359" s="13"/>
    </row>
    <row r="360" spans="1:3" ht="13" x14ac:dyDescent="0.15">
      <c r="A360" s="10"/>
      <c r="B360" s="13"/>
      <c r="C360" s="13"/>
    </row>
    <row r="361" spans="1:3" ht="13" x14ac:dyDescent="0.15">
      <c r="A361" s="10"/>
      <c r="B361" s="13"/>
      <c r="C361" s="13"/>
    </row>
    <row r="362" spans="1:3" ht="13" x14ac:dyDescent="0.15">
      <c r="A362" s="10"/>
      <c r="B362" s="13"/>
      <c r="C362" s="13"/>
    </row>
    <row r="363" spans="1:3" ht="13" x14ac:dyDescent="0.15">
      <c r="A363" s="10"/>
      <c r="B363" s="13"/>
      <c r="C363" s="13"/>
    </row>
    <row r="364" spans="1:3" ht="13" x14ac:dyDescent="0.15">
      <c r="A364" s="10"/>
      <c r="B364" s="13"/>
      <c r="C364" s="13"/>
    </row>
    <row r="365" spans="1:3" ht="13" x14ac:dyDescent="0.15">
      <c r="A365" s="10"/>
      <c r="B365" s="13"/>
      <c r="C365" s="13"/>
    </row>
    <row r="366" spans="1:3" ht="13" x14ac:dyDescent="0.15">
      <c r="A366" s="10"/>
      <c r="B366" s="13"/>
      <c r="C366" s="13"/>
    </row>
    <row r="367" spans="1:3" ht="13" x14ac:dyDescent="0.15">
      <c r="A367" s="10"/>
      <c r="B367" s="13"/>
      <c r="C367" s="13"/>
    </row>
    <row r="368" spans="1:3" ht="13" x14ac:dyDescent="0.15">
      <c r="A368" s="10"/>
      <c r="B368" s="13"/>
      <c r="C368" s="13"/>
    </row>
    <row r="369" spans="1:3" ht="13" x14ac:dyDescent="0.15">
      <c r="A369" s="10"/>
      <c r="B369" s="13"/>
      <c r="C369" s="13"/>
    </row>
    <row r="370" spans="1:3" ht="13" x14ac:dyDescent="0.15">
      <c r="A370" s="10"/>
      <c r="B370" s="13"/>
      <c r="C370" s="13"/>
    </row>
    <row r="371" spans="1:3" ht="13" x14ac:dyDescent="0.15">
      <c r="A371" s="10"/>
      <c r="B371" s="13"/>
      <c r="C371" s="13"/>
    </row>
    <row r="372" spans="1:3" ht="13" x14ac:dyDescent="0.15">
      <c r="A372" s="10"/>
      <c r="B372" s="13"/>
      <c r="C372" s="13"/>
    </row>
    <row r="373" spans="1:3" ht="13" x14ac:dyDescent="0.15">
      <c r="A373" s="10"/>
      <c r="B373" s="13"/>
      <c r="C373" s="13"/>
    </row>
    <row r="374" spans="1:3" ht="13" x14ac:dyDescent="0.15">
      <c r="A374" s="10"/>
      <c r="B374" s="13"/>
      <c r="C374" s="13"/>
    </row>
    <row r="375" spans="1:3" ht="13" x14ac:dyDescent="0.15">
      <c r="A375" s="10"/>
      <c r="B375" s="13"/>
      <c r="C375" s="13"/>
    </row>
    <row r="376" spans="1:3" ht="13" x14ac:dyDescent="0.15">
      <c r="A376" s="10"/>
      <c r="B376" s="13"/>
      <c r="C376" s="13"/>
    </row>
    <row r="377" spans="1:3" ht="13" x14ac:dyDescent="0.15">
      <c r="A377" s="10"/>
      <c r="B377" s="13"/>
      <c r="C377" s="13"/>
    </row>
    <row r="378" spans="1:3" ht="13" x14ac:dyDescent="0.15">
      <c r="A378" s="10"/>
      <c r="B378" s="13"/>
      <c r="C378" s="13"/>
    </row>
    <row r="379" spans="1:3" ht="13" x14ac:dyDescent="0.15">
      <c r="A379" s="10"/>
      <c r="B379" s="13"/>
      <c r="C379" s="13"/>
    </row>
    <row r="380" spans="1:3" ht="13" x14ac:dyDescent="0.15">
      <c r="A380" s="10"/>
      <c r="B380" s="13"/>
      <c r="C380" s="13"/>
    </row>
    <row r="381" spans="1:3" ht="13" x14ac:dyDescent="0.15">
      <c r="A381" s="10"/>
      <c r="B381" s="13"/>
      <c r="C381" s="13"/>
    </row>
    <row r="382" spans="1:3" ht="13" x14ac:dyDescent="0.15">
      <c r="A382" s="10"/>
      <c r="B382" s="13"/>
      <c r="C382" s="13"/>
    </row>
    <row r="383" spans="1:3" ht="13" x14ac:dyDescent="0.15">
      <c r="A383" s="10"/>
      <c r="B383" s="13"/>
      <c r="C383" s="13"/>
    </row>
    <row r="384" spans="1:3" ht="13" x14ac:dyDescent="0.15">
      <c r="A384" s="10"/>
      <c r="B384" s="13"/>
      <c r="C384" s="13"/>
    </row>
    <row r="385" spans="1:3" ht="13" x14ac:dyDescent="0.15">
      <c r="A385" s="10"/>
      <c r="B385" s="13"/>
      <c r="C385" s="13"/>
    </row>
    <row r="386" spans="1:3" ht="13" x14ac:dyDescent="0.15">
      <c r="A386" s="10"/>
      <c r="B386" s="13"/>
      <c r="C386" s="13"/>
    </row>
    <row r="387" spans="1:3" ht="13" x14ac:dyDescent="0.15">
      <c r="A387" s="10"/>
      <c r="B387" s="13"/>
      <c r="C387" s="13"/>
    </row>
    <row r="388" spans="1:3" ht="13" x14ac:dyDescent="0.15">
      <c r="A388" s="10"/>
      <c r="B388" s="13"/>
      <c r="C388" s="13"/>
    </row>
    <row r="389" spans="1:3" ht="13" x14ac:dyDescent="0.15">
      <c r="A389" s="10"/>
      <c r="B389" s="13"/>
      <c r="C389" s="13"/>
    </row>
    <row r="390" spans="1:3" ht="13" x14ac:dyDescent="0.15">
      <c r="A390" s="10"/>
      <c r="B390" s="13"/>
      <c r="C390" s="13"/>
    </row>
    <row r="391" spans="1:3" ht="13" x14ac:dyDescent="0.15">
      <c r="A391" s="10"/>
      <c r="B391" s="13"/>
      <c r="C391" s="13"/>
    </row>
    <row r="392" spans="1:3" ht="13" x14ac:dyDescent="0.15">
      <c r="A392" s="10"/>
      <c r="B392" s="13"/>
      <c r="C392" s="13"/>
    </row>
    <row r="393" spans="1:3" ht="13" x14ac:dyDescent="0.15">
      <c r="A393" s="10"/>
      <c r="B393" s="13"/>
      <c r="C393" s="13"/>
    </row>
    <row r="394" spans="1:3" ht="13" x14ac:dyDescent="0.15">
      <c r="A394" s="10"/>
      <c r="B394" s="13"/>
      <c r="C394" s="13"/>
    </row>
    <row r="395" spans="1:3" ht="13" x14ac:dyDescent="0.15">
      <c r="A395" s="10"/>
      <c r="B395" s="13"/>
      <c r="C395" s="13"/>
    </row>
    <row r="396" spans="1:3" ht="13" x14ac:dyDescent="0.15">
      <c r="A396" s="10"/>
      <c r="B396" s="13"/>
      <c r="C396" s="13"/>
    </row>
    <row r="397" spans="1:3" ht="13" x14ac:dyDescent="0.15">
      <c r="A397" s="10"/>
      <c r="B397" s="13"/>
      <c r="C397" s="13"/>
    </row>
    <row r="398" spans="1:3" ht="13" x14ac:dyDescent="0.15">
      <c r="A398" s="10"/>
      <c r="B398" s="13"/>
      <c r="C398" s="13"/>
    </row>
    <row r="399" spans="1:3" ht="13" x14ac:dyDescent="0.15">
      <c r="A399" s="10"/>
      <c r="B399" s="13"/>
      <c r="C399" s="13"/>
    </row>
    <row r="400" spans="1:3" ht="13" x14ac:dyDescent="0.15">
      <c r="A400" s="10"/>
      <c r="B400" s="13"/>
      <c r="C400" s="13"/>
    </row>
    <row r="401" spans="1:3" ht="13" x14ac:dyDescent="0.15">
      <c r="A401" s="10"/>
      <c r="B401" s="13"/>
      <c r="C401" s="13"/>
    </row>
    <row r="402" spans="1:3" ht="13" x14ac:dyDescent="0.15">
      <c r="A402" s="10"/>
      <c r="B402" s="13"/>
      <c r="C402" s="13"/>
    </row>
    <row r="403" spans="1:3" ht="13" x14ac:dyDescent="0.15">
      <c r="A403" s="10"/>
      <c r="B403" s="13"/>
      <c r="C403" s="13"/>
    </row>
    <row r="404" spans="1:3" ht="13" x14ac:dyDescent="0.15">
      <c r="A404" s="10"/>
      <c r="B404" s="13"/>
      <c r="C404" s="13"/>
    </row>
    <row r="405" spans="1:3" ht="13" x14ac:dyDescent="0.15">
      <c r="A405" s="10"/>
      <c r="B405" s="13"/>
      <c r="C405" s="13"/>
    </row>
    <row r="406" spans="1:3" ht="13" x14ac:dyDescent="0.15">
      <c r="A406" s="10"/>
      <c r="B406" s="13"/>
      <c r="C406" s="13"/>
    </row>
    <row r="407" spans="1:3" ht="13" x14ac:dyDescent="0.15">
      <c r="A407" s="10"/>
      <c r="B407" s="13"/>
      <c r="C407" s="13"/>
    </row>
    <row r="408" spans="1:3" ht="13" x14ac:dyDescent="0.15">
      <c r="A408" s="10"/>
      <c r="B408" s="13"/>
      <c r="C408" s="13"/>
    </row>
    <row r="409" spans="1:3" ht="13" x14ac:dyDescent="0.15">
      <c r="A409" s="10"/>
      <c r="B409" s="13"/>
      <c r="C409" s="13"/>
    </row>
    <row r="410" spans="1:3" ht="13" x14ac:dyDescent="0.15">
      <c r="A410" s="10"/>
      <c r="B410" s="13"/>
      <c r="C410" s="13"/>
    </row>
    <row r="411" spans="1:3" ht="13" x14ac:dyDescent="0.15">
      <c r="A411" s="10"/>
      <c r="B411" s="13"/>
      <c r="C411" s="13"/>
    </row>
    <row r="412" spans="1:3" ht="13" x14ac:dyDescent="0.15">
      <c r="A412" s="10"/>
      <c r="B412" s="13"/>
      <c r="C412" s="13"/>
    </row>
    <row r="413" spans="1:3" ht="13" x14ac:dyDescent="0.15">
      <c r="A413" s="10"/>
      <c r="B413" s="13"/>
      <c r="C413" s="13"/>
    </row>
    <row r="414" spans="1:3" ht="13" x14ac:dyDescent="0.15">
      <c r="A414" s="10"/>
      <c r="B414" s="13"/>
      <c r="C414" s="13"/>
    </row>
    <row r="415" spans="1:3" ht="13" x14ac:dyDescent="0.15">
      <c r="A415" s="10"/>
      <c r="B415" s="13"/>
      <c r="C415" s="13"/>
    </row>
    <row r="416" spans="1:3" ht="13" x14ac:dyDescent="0.15">
      <c r="A416" s="10"/>
      <c r="B416" s="13"/>
      <c r="C416" s="13"/>
    </row>
    <row r="417" spans="1:3" ht="13" x14ac:dyDescent="0.15">
      <c r="A417" s="10"/>
      <c r="B417" s="13"/>
      <c r="C417" s="13"/>
    </row>
    <row r="418" spans="1:3" ht="13" x14ac:dyDescent="0.15">
      <c r="A418" s="10"/>
      <c r="B418" s="13"/>
      <c r="C418" s="13"/>
    </row>
    <row r="419" spans="1:3" ht="13" x14ac:dyDescent="0.15">
      <c r="A419" s="10"/>
      <c r="B419" s="13"/>
      <c r="C419" s="13"/>
    </row>
    <row r="420" spans="1:3" ht="13" x14ac:dyDescent="0.15">
      <c r="A420" s="10"/>
      <c r="B420" s="13"/>
      <c r="C420" s="13"/>
    </row>
    <row r="421" spans="1:3" ht="13" x14ac:dyDescent="0.15">
      <c r="A421" s="10"/>
      <c r="B421" s="13"/>
      <c r="C421" s="13"/>
    </row>
    <row r="422" spans="1:3" ht="13" x14ac:dyDescent="0.15">
      <c r="A422" s="10"/>
      <c r="B422" s="13"/>
      <c r="C422" s="13"/>
    </row>
    <row r="423" spans="1:3" ht="13" x14ac:dyDescent="0.15">
      <c r="A423" s="10"/>
      <c r="B423" s="13"/>
      <c r="C423" s="13"/>
    </row>
    <row r="424" spans="1:3" ht="13" x14ac:dyDescent="0.15">
      <c r="A424" s="10"/>
      <c r="B424" s="13"/>
      <c r="C424" s="13"/>
    </row>
    <row r="425" spans="1:3" ht="13" x14ac:dyDescent="0.15">
      <c r="A425" s="10"/>
      <c r="B425" s="13"/>
      <c r="C425" s="13"/>
    </row>
    <row r="426" spans="1:3" ht="13" x14ac:dyDescent="0.15">
      <c r="A426" s="10"/>
      <c r="B426" s="13"/>
      <c r="C426" s="13"/>
    </row>
    <row r="427" spans="1:3" ht="13" x14ac:dyDescent="0.15">
      <c r="A427" s="10"/>
      <c r="B427" s="13"/>
      <c r="C427" s="13"/>
    </row>
    <row r="428" spans="1:3" ht="13" x14ac:dyDescent="0.15">
      <c r="A428" s="10"/>
      <c r="B428" s="13"/>
      <c r="C428" s="13"/>
    </row>
    <row r="429" spans="1:3" ht="13" x14ac:dyDescent="0.15">
      <c r="A429" s="10"/>
      <c r="B429" s="13"/>
      <c r="C429" s="13"/>
    </row>
    <row r="430" spans="1:3" ht="13" x14ac:dyDescent="0.15">
      <c r="A430" s="10"/>
      <c r="B430" s="13"/>
      <c r="C430" s="13"/>
    </row>
    <row r="431" spans="1:3" ht="13" x14ac:dyDescent="0.15">
      <c r="A431" s="10"/>
      <c r="B431" s="13"/>
      <c r="C431" s="13"/>
    </row>
    <row r="432" spans="1:3" ht="13" x14ac:dyDescent="0.15">
      <c r="A432" s="10"/>
      <c r="B432" s="13"/>
      <c r="C432" s="13"/>
    </row>
    <row r="433" spans="1:3" ht="13" x14ac:dyDescent="0.15">
      <c r="A433" s="10"/>
      <c r="B433" s="13"/>
      <c r="C433" s="13"/>
    </row>
    <row r="434" spans="1:3" ht="13" x14ac:dyDescent="0.15">
      <c r="A434" s="10"/>
      <c r="B434" s="13"/>
      <c r="C434" s="13"/>
    </row>
    <row r="435" spans="1:3" ht="13" x14ac:dyDescent="0.15">
      <c r="A435" s="10"/>
      <c r="B435" s="13"/>
      <c r="C435" s="13"/>
    </row>
    <row r="436" spans="1:3" ht="13" x14ac:dyDescent="0.15">
      <c r="A436" s="10"/>
      <c r="B436" s="13"/>
      <c r="C436" s="13"/>
    </row>
    <row r="437" spans="1:3" ht="13" x14ac:dyDescent="0.15">
      <c r="A437" s="10"/>
      <c r="B437" s="13"/>
      <c r="C437" s="13"/>
    </row>
    <row r="438" spans="1:3" ht="13" x14ac:dyDescent="0.15">
      <c r="A438" s="10"/>
      <c r="B438" s="13"/>
      <c r="C438" s="13"/>
    </row>
    <row r="439" spans="1:3" ht="13" x14ac:dyDescent="0.15">
      <c r="A439" s="10"/>
      <c r="B439" s="13"/>
      <c r="C439" s="13"/>
    </row>
    <row r="440" spans="1:3" ht="13" x14ac:dyDescent="0.15">
      <c r="A440" s="10"/>
      <c r="B440" s="13"/>
      <c r="C440" s="13"/>
    </row>
    <row r="441" spans="1:3" ht="13" x14ac:dyDescent="0.15">
      <c r="A441" s="10"/>
      <c r="B441" s="13"/>
      <c r="C441" s="13"/>
    </row>
    <row r="442" spans="1:3" ht="13" x14ac:dyDescent="0.15">
      <c r="A442" s="10"/>
      <c r="B442" s="13"/>
      <c r="C442" s="13"/>
    </row>
    <row r="443" spans="1:3" ht="13" x14ac:dyDescent="0.15">
      <c r="A443" s="10"/>
      <c r="B443" s="13"/>
      <c r="C443" s="13"/>
    </row>
    <row r="444" spans="1:3" ht="13" x14ac:dyDescent="0.15">
      <c r="A444" s="10"/>
      <c r="B444" s="13"/>
      <c r="C444" s="13"/>
    </row>
    <row r="445" spans="1:3" ht="13" x14ac:dyDescent="0.15">
      <c r="A445" s="10"/>
      <c r="B445" s="13"/>
      <c r="C445" s="13"/>
    </row>
    <row r="446" spans="1:3" ht="13" x14ac:dyDescent="0.15">
      <c r="A446" s="10"/>
      <c r="B446" s="13"/>
      <c r="C446" s="13"/>
    </row>
    <row r="447" spans="1:3" ht="13" x14ac:dyDescent="0.15">
      <c r="A447" s="10"/>
      <c r="B447" s="13"/>
      <c r="C447" s="13"/>
    </row>
    <row r="448" spans="1:3" ht="13" x14ac:dyDescent="0.15">
      <c r="A448" s="10"/>
      <c r="B448" s="13"/>
      <c r="C448" s="13"/>
    </row>
    <row r="449" spans="1:3" ht="13" x14ac:dyDescent="0.15">
      <c r="A449" s="10"/>
      <c r="B449" s="13"/>
      <c r="C449" s="13"/>
    </row>
    <row r="450" spans="1:3" ht="13" x14ac:dyDescent="0.15">
      <c r="A450" s="10"/>
      <c r="B450" s="13"/>
      <c r="C450" s="13"/>
    </row>
    <row r="451" spans="1:3" ht="13" x14ac:dyDescent="0.15">
      <c r="A451" s="10"/>
      <c r="B451" s="13"/>
      <c r="C451" s="13"/>
    </row>
    <row r="452" spans="1:3" ht="13" x14ac:dyDescent="0.15">
      <c r="A452" s="10"/>
      <c r="B452" s="13"/>
      <c r="C452" s="13"/>
    </row>
    <row r="453" spans="1:3" ht="13" x14ac:dyDescent="0.15">
      <c r="A453" s="10"/>
      <c r="B453" s="13"/>
      <c r="C453" s="13"/>
    </row>
    <row r="454" spans="1:3" ht="13" x14ac:dyDescent="0.15">
      <c r="A454" s="10"/>
      <c r="B454" s="13"/>
      <c r="C454" s="13"/>
    </row>
    <row r="455" spans="1:3" ht="13" x14ac:dyDescent="0.15">
      <c r="A455" s="10"/>
      <c r="B455" s="13"/>
      <c r="C455" s="13"/>
    </row>
    <row r="456" spans="1:3" ht="13" x14ac:dyDescent="0.15">
      <c r="A456" s="10"/>
      <c r="B456" s="13"/>
      <c r="C456" s="13"/>
    </row>
    <row r="457" spans="1:3" ht="13" x14ac:dyDescent="0.15">
      <c r="A457" s="10"/>
      <c r="B457" s="13"/>
      <c r="C457" s="13"/>
    </row>
    <row r="458" spans="1:3" ht="13" x14ac:dyDescent="0.15">
      <c r="A458" s="10"/>
      <c r="B458" s="13"/>
      <c r="C458" s="13"/>
    </row>
    <row r="459" spans="1:3" ht="13" x14ac:dyDescent="0.15">
      <c r="A459" s="10"/>
      <c r="B459" s="13"/>
      <c r="C459" s="13"/>
    </row>
    <row r="460" spans="1:3" ht="13" x14ac:dyDescent="0.15">
      <c r="A460" s="10"/>
      <c r="B460" s="13"/>
      <c r="C460" s="13"/>
    </row>
    <row r="461" spans="1:3" ht="13" x14ac:dyDescent="0.15">
      <c r="A461" s="10"/>
      <c r="B461" s="13"/>
      <c r="C461" s="13"/>
    </row>
    <row r="462" spans="1:3" ht="13" x14ac:dyDescent="0.15">
      <c r="A462" s="10"/>
      <c r="B462" s="13"/>
      <c r="C462" s="13"/>
    </row>
    <row r="463" spans="1:3" ht="13" x14ac:dyDescent="0.15">
      <c r="A463" s="10"/>
      <c r="B463" s="13"/>
      <c r="C463" s="13"/>
    </row>
    <row r="464" spans="1:3" ht="13" x14ac:dyDescent="0.15">
      <c r="A464" s="10"/>
      <c r="B464" s="13"/>
      <c r="C464" s="13"/>
    </row>
    <row r="465" spans="1:3" ht="13" x14ac:dyDescent="0.15">
      <c r="A465" s="10"/>
      <c r="B465" s="13"/>
      <c r="C465" s="13"/>
    </row>
    <row r="466" spans="1:3" ht="13" x14ac:dyDescent="0.15">
      <c r="A466" s="10"/>
      <c r="B466" s="13"/>
      <c r="C466" s="13"/>
    </row>
    <row r="467" spans="1:3" ht="13" x14ac:dyDescent="0.15">
      <c r="A467" s="10"/>
      <c r="B467" s="13"/>
      <c r="C467" s="13"/>
    </row>
    <row r="468" spans="1:3" ht="13" x14ac:dyDescent="0.15">
      <c r="A468" s="10"/>
      <c r="B468" s="13"/>
      <c r="C468" s="13"/>
    </row>
    <row r="469" spans="1:3" ht="13" x14ac:dyDescent="0.15">
      <c r="A469" s="10"/>
      <c r="B469" s="13"/>
      <c r="C469" s="13"/>
    </row>
    <row r="470" spans="1:3" ht="13" x14ac:dyDescent="0.15">
      <c r="A470" s="10"/>
      <c r="B470" s="13"/>
      <c r="C470" s="13"/>
    </row>
    <row r="471" spans="1:3" ht="13" x14ac:dyDescent="0.15">
      <c r="A471" s="10"/>
      <c r="B471" s="13"/>
      <c r="C471" s="13"/>
    </row>
    <row r="472" spans="1:3" ht="13" x14ac:dyDescent="0.15">
      <c r="A472" s="10"/>
      <c r="B472" s="13"/>
      <c r="C472" s="13"/>
    </row>
    <row r="473" spans="1:3" ht="13" x14ac:dyDescent="0.15">
      <c r="A473" s="10"/>
      <c r="B473" s="13"/>
      <c r="C473" s="13"/>
    </row>
    <row r="474" spans="1:3" ht="13" x14ac:dyDescent="0.15">
      <c r="A474" s="10"/>
      <c r="B474" s="13"/>
      <c r="C474" s="13"/>
    </row>
    <row r="475" spans="1:3" ht="13" x14ac:dyDescent="0.15">
      <c r="A475" s="10"/>
      <c r="B475" s="13"/>
      <c r="C475" s="13"/>
    </row>
    <row r="476" spans="1:3" ht="13" x14ac:dyDescent="0.15">
      <c r="A476" s="10"/>
      <c r="B476" s="13"/>
      <c r="C476" s="13"/>
    </row>
    <row r="477" spans="1:3" ht="13" x14ac:dyDescent="0.15">
      <c r="A477" s="10"/>
      <c r="B477" s="13"/>
      <c r="C477" s="13"/>
    </row>
    <row r="478" spans="1:3" ht="13" x14ac:dyDescent="0.15">
      <c r="A478" s="10"/>
      <c r="B478" s="13"/>
      <c r="C478" s="13"/>
    </row>
    <row r="479" spans="1:3" ht="13" x14ac:dyDescent="0.15">
      <c r="A479" s="10"/>
      <c r="B479" s="13"/>
      <c r="C479" s="13"/>
    </row>
    <row r="480" spans="1:3" ht="13" x14ac:dyDescent="0.15">
      <c r="A480" s="10"/>
      <c r="B480" s="13"/>
      <c r="C480" s="13"/>
    </row>
    <row r="481" spans="1:3" ht="13" x14ac:dyDescent="0.15">
      <c r="A481" s="10"/>
      <c r="B481" s="13"/>
      <c r="C481" s="13"/>
    </row>
    <row r="482" spans="1:3" ht="13" x14ac:dyDescent="0.15">
      <c r="A482" s="10"/>
      <c r="B482" s="13"/>
      <c r="C482" s="13"/>
    </row>
    <row r="483" spans="1:3" ht="13" x14ac:dyDescent="0.15">
      <c r="A483" s="10"/>
      <c r="B483" s="13"/>
      <c r="C483" s="13"/>
    </row>
    <row r="484" spans="1:3" ht="13" x14ac:dyDescent="0.15">
      <c r="A484" s="10"/>
      <c r="B484" s="13"/>
      <c r="C484" s="13"/>
    </row>
    <row r="485" spans="1:3" ht="13" x14ac:dyDescent="0.15">
      <c r="A485" s="10"/>
      <c r="B485" s="13"/>
      <c r="C485" s="13"/>
    </row>
    <row r="486" spans="1:3" ht="13" x14ac:dyDescent="0.15">
      <c r="A486" s="10"/>
      <c r="B486" s="13"/>
      <c r="C486" s="13"/>
    </row>
    <row r="487" spans="1:3" ht="13" x14ac:dyDescent="0.15">
      <c r="A487" s="10"/>
      <c r="B487" s="13"/>
      <c r="C487" s="13"/>
    </row>
    <row r="488" spans="1:3" ht="13" x14ac:dyDescent="0.15">
      <c r="A488" s="10"/>
      <c r="B488" s="13"/>
      <c r="C488" s="13"/>
    </row>
    <row r="489" spans="1:3" ht="13" x14ac:dyDescent="0.15">
      <c r="A489" s="10"/>
      <c r="B489" s="13"/>
      <c r="C489" s="13"/>
    </row>
    <row r="490" spans="1:3" ht="13" x14ac:dyDescent="0.15">
      <c r="A490" s="10"/>
      <c r="B490" s="13"/>
      <c r="C490" s="13"/>
    </row>
    <row r="491" spans="1:3" ht="13" x14ac:dyDescent="0.15">
      <c r="A491" s="10"/>
      <c r="B491" s="13"/>
      <c r="C491" s="13"/>
    </row>
    <row r="492" spans="1:3" ht="13" x14ac:dyDescent="0.15">
      <c r="A492" s="10"/>
      <c r="B492" s="13"/>
      <c r="C492" s="13"/>
    </row>
    <row r="493" spans="1:3" ht="13" x14ac:dyDescent="0.15">
      <c r="A493" s="10"/>
      <c r="B493" s="13"/>
      <c r="C493" s="13"/>
    </row>
    <row r="494" spans="1:3" ht="13" x14ac:dyDescent="0.15">
      <c r="A494" s="10"/>
      <c r="B494" s="13"/>
      <c r="C494" s="13"/>
    </row>
    <row r="495" spans="1:3" ht="13" x14ac:dyDescent="0.15">
      <c r="A495" s="10"/>
      <c r="B495" s="13"/>
      <c r="C495" s="13"/>
    </row>
    <row r="496" spans="1:3" ht="13" x14ac:dyDescent="0.15">
      <c r="A496" s="10"/>
      <c r="B496" s="13"/>
      <c r="C496" s="13"/>
    </row>
    <row r="497" spans="1:3" ht="13" x14ac:dyDescent="0.15">
      <c r="A497" s="10"/>
      <c r="B497" s="13"/>
      <c r="C497" s="13"/>
    </row>
    <row r="498" spans="1:3" ht="13" x14ac:dyDescent="0.15">
      <c r="A498" s="10"/>
      <c r="B498" s="13"/>
      <c r="C498" s="13"/>
    </row>
    <row r="499" spans="1:3" ht="13" x14ac:dyDescent="0.15">
      <c r="A499" s="10"/>
      <c r="B499" s="13"/>
      <c r="C499" s="13"/>
    </row>
    <row r="500" spans="1:3" ht="13" x14ac:dyDescent="0.15">
      <c r="A500" s="10"/>
      <c r="B500" s="13"/>
      <c r="C500" s="13"/>
    </row>
    <row r="501" spans="1:3" ht="13" x14ac:dyDescent="0.15">
      <c r="A501" s="10"/>
      <c r="B501" s="13"/>
      <c r="C501" s="13"/>
    </row>
    <row r="502" spans="1:3" ht="13" x14ac:dyDescent="0.15">
      <c r="A502" s="10"/>
      <c r="B502" s="13"/>
      <c r="C502" s="13"/>
    </row>
    <row r="503" spans="1:3" ht="13" x14ac:dyDescent="0.15">
      <c r="A503" s="10"/>
      <c r="B503" s="13"/>
      <c r="C503" s="13"/>
    </row>
    <row r="504" spans="1:3" ht="13" x14ac:dyDescent="0.15">
      <c r="A504" s="10"/>
      <c r="B504" s="13"/>
      <c r="C504" s="13"/>
    </row>
    <row r="505" spans="1:3" ht="13" x14ac:dyDescent="0.15">
      <c r="A505" s="10"/>
      <c r="B505" s="13"/>
      <c r="C505" s="13"/>
    </row>
    <row r="506" spans="1:3" ht="13" x14ac:dyDescent="0.15">
      <c r="A506" s="10"/>
      <c r="B506" s="13"/>
      <c r="C506" s="13"/>
    </row>
    <row r="507" spans="1:3" ht="13" x14ac:dyDescent="0.15">
      <c r="A507" s="10"/>
      <c r="B507" s="13"/>
      <c r="C507" s="13"/>
    </row>
    <row r="508" spans="1:3" ht="13" x14ac:dyDescent="0.15">
      <c r="A508" s="10"/>
      <c r="B508" s="13"/>
      <c r="C508" s="13"/>
    </row>
    <row r="509" spans="1:3" ht="13" x14ac:dyDescent="0.15">
      <c r="A509" s="10"/>
      <c r="B509" s="13"/>
      <c r="C509" s="13"/>
    </row>
    <row r="510" spans="1:3" ht="13" x14ac:dyDescent="0.15">
      <c r="A510" s="10"/>
      <c r="B510" s="13"/>
      <c r="C510" s="13"/>
    </row>
    <row r="511" spans="1:3" ht="13" x14ac:dyDescent="0.15">
      <c r="A511" s="10"/>
      <c r="B511" s="13"/>
      <c r="C511" s="13"/>
    </row>
    <row r="512" spans="1:3" ht="13" x14ac:dyDescent="0.15">
      <c r="A512" s="10"/>
      <c r="B512" s="13"/>
      <c r="C512" s="13"/>
    </row>
    <row r="513" spans="1:3" ht="13" x14ac:dyDescent="0.15">
      <c r="A513" s="10"/>
      <c r="B513" s="13"/>
      <c r="C513" s="13"/>
    </row>
    <row r="514" spans="1:3" ht="13" x14ac:dyDescent="0.15">
      <c r="A514" s="10"/>
      <c r="B514" s="13"/>
      <c r="C514" s="13"/>
    </row>
    <row r="515" spans="1:3" ht="13" x14ac:dyDescent="0.15">
      <c r="A515" s="10"/>
      <c r="B515" s="13"/>
      <c r="C515" s="13"/>
    </row>
    <row r="516" spans="1:3" ht="13" x14ac:dyDescent="0.15">
      <c r="A516" s="10"/>
      <c r="B516" s="13"/>
      <c r="C516" s="13"/>
    </row>
    <row r="517" spans="1:3" ht="13" x14ac:dyDescent="0.15">
      <c r="A517" s="10"/>
      <c r="B517" s="13"/>
      <c r="C517" s="13"/>
    </row>
    <row r="518" spans="1:3" ht="13" x14ac:dyDescent="0.15">
      <c r="A518" s="10"/>
      <c r="B518" s="13"/>
      <c r="C518" s="13"/>
    </row>
    <row r="519" spans="1:3" ht="13" x14ac:dyDescent="0.15">
      <c r="A519" s="10"/>
      <c r="B519" s="13"/>
      <c r="C519" s="13"/>
    </row>
    <row r="520" spans="1:3" ht="13" x14ac:dyDescent="0.15">
      <c r="A520" s="10"/>
      <c r="B520" s="13"/>
      <c r="C520" s="13"/>
    </row>
    <row r="521" spans="1:3" ht="13" x14ac:dyDescent="0.15">
      <c r="A521" s="10"/>
      <c r="B521" s="13"/>
      <c r="C521" s="13"/>
    </row>
    <row r="522" spans="1:3" ht="13" x14ac:dyDescent="0.15">
      <c r="A522" s="10"/>
      <c r="B522" s="13"/>
      <c r="C522" s="13"/>
    </row>
    <row r="523" spans="1:3" ht="13" x14ac:dyDescent="0.15">
      <c r="A523" s="10"/>
      <c r="B523" s="13"/>
      <c r="C523" s="13"/>
    </row>
    <row r="524" spans="1:3" ht="13" x14ac:dyDescent="0.15">
      <c r="A524" s="10"/>
      <c r="B524" s="13"/>
      <c r="C524" s="13"/>
    </row>
    <row r="525" spans="1:3" ht="13" x14ac:dyDescent="0.15">
      <c r="A525" s="10"/>
      <c r="B525" s="13"/>
      <c r="C525" s="13"/>
    </row>
    <row r="526" spans="1:3" ht="13" x14ac:dyDescent="0.15">
      <c r="A526" s="10"/>
      <c r="B526" s="13"/>
      <c r="C526" s="13"/>
    </row>
    <row r="527" spans="1:3" ht="13" x14ac:dyDescent="0.15">
      <c r="A527" s="10"/>
      <c r="B527" s="13"/>
      <c r="C527" s="13"/>
    </row>
    <row r="528" spans="1:3" ht="13" x14ac:dyDescent="0.15">
      <c r="A528" s="10"/>
      <c r="B528" s="13"/>
      <c r="C528" s="13"/>
    </row>
    <row r="529" spans="1:3" ht="13" x14ac:dyDescent="0.15">
      <c r="A529" s="10"/>
      <c r="B529" s="13"/>
      <c r="C529" s="13"/>
    </row>
    <row r="530" spans="1:3" ht="13" x14ac:dyDescent="0.15">
      <c r="A530" s="10"/>
      <c r="B530" s="13"/>
      <c r="C530" s="13"/>
    </row>
    <row r="531" spans="1:3" ht="13" x14ac:dyDescent="0.15">
      <c r="A531" s="10"/>
      <c r="B531" s="13"/>
      <c r="C531" s="13"/>
    </row>
    <row r="532" spans="1:3" ht="13" x14ac:dyDescent="0.15">
      <c r="A532" s="10"/>
      <c r="B532" s="13"/>
      <c r="C532" s="13"/>
    </row>
    <row r="533" spans="1:3" ht="13" x14ac:dyDescent="0.15">
      <c r="A533" s="10"/>
      <c r="B533" s="13"/>
      <c r="C533" s="13"/>
    </row>
    <row r="534" spans="1:3" ht="13" x14ac:dyDescent="0.15">
      <c r="A534" s="10"/>
      <c r="B534" s="13"/>
      <c r="C534" s="13"/>
    </row>
    <row r="535" spans="1:3" ht="13" x14ac:dyDescent="0.15">
      <c r="A535" s="10"/>
      <c r="B535" s="13"/>
      <c r="C535" s="13"/>
    </row>
    <row r="536" spans="1:3" ht="13" x14ac:dyDescent="0.15">
      <c r="A536" s="10"/>
      <c r="B536" s="13"/>
      <c r="C536" s="13"/>
    </row>
    <row r="537" spans="1:3" ht="13" x14ac:dyDescent="0.15">
      <c r="A537" s="10"/>
      <c r="B537" s="13"/>
      <c r="C537" s="13"/>
    </row>
    <row r="538" spans="1:3" ht="13" x14ac:dyDescent="0.15">
      <c r="A538" s="10"/>
      <c r="B538" s="13"/>
      <c r="C538" s="13"/>
    </row>
    <row r="539" spans="1:3" ht="13" x14ac:dyDescent="0.15">
      <c r="A539" s="10"/>
      <c r="B539" s="13"/>
      <c r="C539" s="13"/>
    </row>
    <row r="540" spans="1:3" ht="13" x14ac:dyDescent="0.15">
      <c r="A540" s="10"/>
      <c r="B540" s="13"/>
      <c r="C540" s="13"/>
    </row>
    <row r="541" spans="1:3" ht="13" x14ac:dyDescent="0.15">
      <c r="A541" s="10"/>
      <c r="B541" s="13"/>
      <c r="C541" s="13"/>
    </row>
    <row r="542" spans="1:3" ht="13" x14ac:dyDescent="0.15">
      <c r="A542" s="10"/>
      <c r="B542" s="13"/>
      <c r="C542" s="13"/>
    </row>
    <row r="543" spans="1:3" ht="13" x14ac:dyDescent="0.15">
      <c r="A543" s="10"/>
      <c r="B543" s="13"/>
      <c r="C543" s="13"/>
    </row>
    <row r="544" spans="1:3" ht="13" x14ac:dyDescent="0.15">
      <c r="A544" s="10"/>
      <c r="B544" s="13"/>
      <c r="C544" s="13"/>
    </row>
    <row r="545" spans="1:3" ht="13" x14ac:dyDescent="0.15">
      <c r="A545" s="10"/>
      <c r="B545" s="13"/>
      <c r="C545" s="13"/>
    </row>
    <row r="546" spans="1:3" ht="13" x14ac:dyDescent="0.15">
      <c r="A546" s="10"/>
      <c r="B546" s="13"/>
      <c r="C546" s="13"/>
    </row>
    <row r="547" spans="1:3" ht="13" x14ac:dyDescent="0.15">
      <c r="A547" s="10"/>
      <c r="B547" s="13"/>
      <c r="C547" s="13"/>
    </row>
    <row r="548" spans="1:3" ht="13" x14ac:dyDescent="0.15">
      <c r="A548" s="10"/>
      <c r="B548" s="13"/>
      <c r="C548" s="13"/>
    </row>
    <row r="549" spans="1:3" ht="13" x14ac:dyDescent="0.15">
      <c r="A549" s="10"/>
      <c r="B549" s="13"/>
      <c r="C549" s="13"/>
    </row>
    <row r="550" spans="1:3" ht="13" x14ac:dyDescent="0.15">
      <c r="A550" s="10"/>
      <c r="B550" s="13"/>
      <c r="C550" s="13"/>
    </row>
    <row r="551" spans="1:3" ht="13" x14ac:dyDescent="0.15">
      <c r="A551" s="10"/>
      <c r="B551" s="13"/>
      <c r="C551" s="13"/>
    </row>
    <row r="552" spans="1:3" ht="13" x14ac:dyDescent="0.15">
      <c r="A552" s="10"/>
      <c r="B552" s="13"/>
      <c r="C552" s="13"/>
    </row>
    <row r="553" spans="1:3" ht="13" x14ac:dyDescent="0.15">
      <c r="A553" s="10"/>
      <c r="B553" s="13"/>
      <c r="C553" s="13"/>
    </row>
    <row r="554" spans="1:3" ht="13" x14ac:dyDescent="0.15">
      <c r="A554" s="10"/>
      <c r="B554" s="13"/>
      <c r="C554" s="13"/>
    </row>
    <row r="555" spans="1:3" ht="13" x14ac:dyDescent="0.15">
      <c r="A555" s="10"/>
      <c r="B555" s="13"/>
      <c r="C555" s="13"/>
    </row>
    <row r="556" spans="1:3" ht="13" x14ac:dyDescent="0.15">
      <c r="A556" s="10"/>
      <c r="B556" s="13"/>
      <c r="C556" s="13"/>
    </row>
    <row r="557" spans="1:3" ht="13" x14ac:dyDescent="0.15">
      <c r="A557" s="10"/>
      <c r="B557" s="13"/>
      <c r="C557" s="13"/>
    </row>
    <row r="558" spans="1:3" ht="13" x14ac:dyDescent="0.15">
      <c r="A558" s="10"/>
      <c r="B558" s="13"/>
      <c r="C558" s="13"/>
    </row>
    <row r="559" spans="1:3" ht="13" x14ac:dyDescent="0.15">
      <c r="A559" s="10"/>
      <c r="B559" s="13"/>
      <c r="C559" s="13"/>
    </row>
    <row r="560" spans="1:3" ht="13" x14ac:dyDescent="0.15">
      <c r="A560" s="10"/>
      <c r="B560" s="13"/>
      <c r="C560" s="13"/>
    </row>
    <row r="561" spans="1:3" ht="13" x14ac:dyDescent="0.15">
      <c r="A561" s="10"/>
      <c r="B561" s="13"/>
      <c r="C561" s="13"/>
    </row>
    <row r="562" spans="1:3" ht="13" x14ac:dyDescent="0.15">
      <c r="A562" s="10"/>
      <c r="B562" s="13"/>
      <c r="C562" s="13"/>
    </row>
    <row r="563" spans="1:3" ht="13" x14ac:dyDescent="0.15">
      <c r="A563" s="10"/>
      <c r="B563" s="13"/>
      <c r="C563" s="13"/>
    </row>
    <row r="564" spans="1:3" ht="13" x14ac:dyDescent="0.15">
      <c r="A564" s="10"/>
      <c r="B564" s="13"/>
      <c r="C564" s="13"/>
    </row>
    <row r="565" spans="1:3" ht="13" x14ac:dyDescent="0.15">
      <c r="A565" s="10"/>
      <c r="B565" s="13"/>
      <c r="C565" s="13"/>
    </row>
    <row r="566" spans="1:3" ht="13" x14ac:dyDescent="0.15">
      <c r="A566" s="10"/>
      <c r="B566" s="13"/>
      <c r="C566" s="13"/>
    </row>
    <row r="567" spans="1:3" ht="13" x14ac:dyDescent="0.15">
      <c r="A567" s="10"/>
      <c r="B567" s="13"/>
      <c r="C567" s="13"/>
    </row>
    <row r="568" spans="1:3" ht="13" x14ac:dyDescent="0.15">
      <c r="A568" s="10"/>
      <c r="B568" s="13"/>
      <c r="C568" s="13"/>
    </row>
    <row r="569" spans="1:3" ht="13" x14ac:dyDescent="0.15">
      <c r="A569" s="10"/>
      <c r="B569" s="13"/>
      <c r="C569" s="13"/>
    </row>
    <row r="570" spans="1:3" ht="13" x14ac:dyDescent="0.15">
      <c r="A570" s="10"/>
      <c r="B570" s="13"/>
      <c r="C570" s="13"/>
    </row>
    <row r="571" spans="1:3" ht="13" x14ac:dyDescent="0.15">
      <c r="A571" s="10"/>
      <c r="B571" s="13"/>
      <c r="C571" s="13"/>
    </row>
    <row r="572" spans="1:3" ht="13" x14ac:dyDescent="0.15">
      <c r="A572" s="10"/>
      <c r="B572" s="13"/>
      <c r="C572" s="13"/>
    </row>
    <row r="573" spans="1:3" ht="13" x14ac:dyDescent="0.15">
      <c r="A573" s="10"/>
      <c r="B573" s="13"/>
      <c r="C573" s="13"/>
    </row>
    <row r="574" spans="1:3" ht="13" x14ac:dyDescent="0.15">
      <c r="A574" s="10"/>
      <c r="B574" s="13"/>
      <c r="C574" s="13"/>
    </row>
    <row r="575" spans="1:3" ht="13" x14ac:dyDescent="0.15">
      <c r="A575" s="10"/>
      <c r="B575" s="13"/>
      <c r="C575" s="13"/>
    </row>
    <row r="576" spans="1:3" ht="13" x14ac:dyDescent="0.15">
      <c r="A576" s="10"/>
      <c r="B576" s="13"/>
      <c r="C576" s="13"/>
    </row>
    <row r="577" spans="1:3" ht="13" x14ac:dyDescent="0.15">
      <c r="A577" s="10"/>
      <c r="B577" s="13"/>
      <c r="C577" s="13"/>
    </row>
    <row r="578" spans="1:3" ht="13" x14ac:dyDescent="0.15">
      <c r="A578" s="10"/>
      <c r="B578" s="13"/>
      <c r="C578" s="13"/>
    </row>
    <row r="579" spans="1:3" ht="13" x14ac:dyDescent="0.15">
      <c r="A579" s="10"/>
      <c r="B579" s="13"/>
      <c r="C579" s="13"/>
    </row>
    <row r="580" spans="1:3" ht="13" x14ac:dyDescent="0.15">
      <c r="A580" s="10"/>
      <c r="B580" s="13"/>
      <c r="C580" s="13"/>
    </row>
    <row r="581" spans="1:3" ht="13" x14ac:dyDescent="0.15">
      <c r="A581" s="10"/>
      <c r="B581" s="13"/>
      <c r="C581" s="13"/>
    </row>
    <row r="582" spans="1:3" ht="13" x14ac:dyDescent="0.15">
      <c r="A582" s="10"/>
      <c r="B582" s="13"/>
      <c r="C582" s="13"/>
    </row>
    <row r="583" spans="1:3" ht="13" x14ac:dyDescent="0.15">
      <c r="A583" s="10"/>
      <c r="B583" s="13"/>
      <c r="C583" s="13"/>
    </row>
    <row r="584" spans="1:3" ht="13" x14ac:dyDescent="0.15">
      <c r="A584" s="10"/>
      <c r="B584" s="13"/>
      <c r="C584" s="13"/>
    </row>
    <row r="585" spans="1:3" ht="13" x14ac:dyDescent="0.15">
      <c r="A585" s="10"/>
      <c r="B585" s="13"/>
      <c r="C585" s="13"/>
    </row>
    <row r="586" spans="1:3" ht="13" x14ac:dyDescent="0.15">
      <c r="A586" s="10"/>
      <c r="B586" s="13"/>
      <c r="C586" s="13"/>
    </row>
    <row r="587" spans="1:3" ht="13" x14ac:dyDescent="0.15">
      <c r="A587" s="10"/>
      <c r="B587" s="13"/>
      <c r="C587" s="13"/>
    </row>
    <row r="588" spans="1:3" ht="13" x14ac:dyDescent="0.15">
      <c r="A588" s="10"/>
      <c r="B588" s="13"/>
      <c r="C588" s="13"/>
    </row>
    <row r="589" spans="1:3" ht="13" x14ac:dyDescent="0.15">
      <c r="A589" s="10"/>
      <c r="B589" s="13"/>
      <c r="C589" s="13"/>
    </row>
    <row r="590" spans="1:3" ht="13" x14ac:dyDescent="0.15">
      <c r="A590" s="10"/>
      <c r="B590" s="13"/>
      <c r="C590" s="13"/>
    </row>
    <row r="591" spans="1:3" ht="13" x14ac:dyDescent="0.15">
      <c r="A591" s="10"/>
      <c r="B591" s="13"/>
      <c r="C591" s="13"/>
    </row>
    <row r="592" spans="1:3" ht="13" x14ac:dyDescent="0.15">
      <c r="A592" s="10"/>
      <c r="B592" s="13"/>
      <c r="C592" s="13"/>
    </row>
    <row r="593" spans="1:3" ht="13" x14ac:dyDescent="0.15">
      <c r="A593" s="10"/>
      <c r="B593" s="13"/>
      <c r="C593" s="13"/>
    </row>
    <row r="594" spans="1:3" ht="13" x14ac:dyDescent="0.15">
      <c r="A594" s="10"/>
      <c r="B594" s="13"/>
      <c r="C594" s="13"/>
    </row>
    <row r="595" spans="1:3" ht="13" x14ac:dyDescent="0.15">
      <c r="A595" s="10"/>
      <c r="B595" s="13"/>
      <c r="C595" s="13"/>
    </row>
    <row r="596" spans="1:3" ht="13" x14ac:dyDescent="0.15">
      <c r="A596" s="10"/>
      <c r="B596" s="13"/>
      <c r="C596" s="13"/>
    </row>
    <row r="597" spans="1:3" ht="13" x14ac:dyDescent="0.15">
      <c r="A597" s="10"/>
      <c r="B597" s="13"/>
      <c r="C597" s="13"/>
    </row>
    <row r="598" spans="1:3" ht="13" x14ac:dyDescent="0.15">
      <c r="A598" s="10"/>
      <c r="B598" s="13"/>
      <c r="C598" s="13"/>
    </row>
    <row r="599" spans="1:3" ht="13" x14ac:dyDescent="0.15">
      <c r="A599" s="10"/>
      <c r="B599" s="13"/>
      <c r="C599" s="13"/>
    </row>
    <row r="600" spans="1:3" ht="13" x14ac:dyDescent="0.15">
      <c r="A600" s="10"/>
      <c r="B600" s="13"/>
      <c r="C600" s="13"/>
    </row>
    <row r="601" spans="1:3" ht="13" x14ac:dyDescent="0.15">
      <c r="A601" s="10"/>
      <c r="B601" s="13"/>
      <c r="C601" s="13"/>
    </row>
    <row r="602" spans="1:3" ht="13" x14ac:dyDescent="0.15">
      <c r="A602" s="10"/>
      <c r="B602" s="13"/>
      <c r="C602" s="13"/>
    </row>
    <row r="603" spans="1:3" ht="13" x14ac:dyDescent="0.15">
      <c r="A603" s="10"/>
      <c r="B603" s="13"/>
      <c r="C603" s="13"/>
    </row>
    <row r="604" spans="1:3" ht="13" x14ac:dyDescent="0.15">
      <c r="A604" s="10"/>
      <c r="B604" s="13"/>
      <c r="C604" s="13"/>
    </row>
    <row r="605" spans="1:3" ht="13" x14ac:dyDescent="0.15">
      <c r="A605" s="10"/>
      <c r="B605" s="13"/>
      <c r="C605" s="13"/>
    </row>
    <row r="606" spans="1:3" ht="13" x14ac:dyDescent="0.15">
      <c r="A606" s="10"/>
      <c r="B606" s="13"/>
      <c r="C606" s="13"/>
    </row>
    <row r="607" spans="1:3" ht="13" x14ac:dyDescent="0.15">
      <c r="A607" s="10"/>
      <c r="B607" s="13"/>
      <c r="C607" s="13"/>
    </row>
    <row r="608" spans="1:3" ht="13" x14ac:dyDescent="0.15">
      <c r="A608" s="10"/>
      <c r="B608" s="13"/>
      <c r="C608" s="13"/>
    </row>
    <row r="609" spans="1:3" ht="13" x14ac:dyDescent="0.15">
      <c r="A609" s="10"/>
      <c r="B609" s="13"/>
      <c r="C609" s="13"/>
    </row>
    <row r="610" spans="1:3" ht="13" x14ac:dyDescent="0.15">
      <c r="A610" s="10"/>
      <c r="B610" s="13"/>
      <c r="C610" s="13"/>
    </row>
    <row r="611" spans="1:3" ht="13" x14ac:dyDescent="0.15">
      <c r="A611" s="10"/>
      <c r="B611" s="13"/>
      <c r="C611" s="13"/>
    </row>
    <row r="612" spans="1:3" ht="13" x14ac:dyDescent="0.15">
      <c r="A612" s="10"/>
      <c r="B612" s="13"/>
      <c r="C612" s="13"/>
    </row>
    <row r="613" spans="1:3" ht="13" x14ac:dyDescent="0.15">
      <c r="A613" s="10"/>
      <c r="B613" s="13"/>
      <c r="C613" s="13"/>
    </row>
    <row r="614" spans="1:3" ht="13" x14ac:dyDescent="0.15">
      <c r="A614" s="10"/>
      <c r="B614" s="13"/>
      <c r="C614" s="13"/>
    </row>
    <row r="615" spans="1:3" ht="13" x14ac:dyDescent="0.15">
      <c r="A615" s="10"/>
      <c r="B615" s="13"/>
      <c r="C615" s="13"/>
    </row>
    <row r="616" spans="1:3" ht="13" x14ac:dyDescent="0.15">
      <c r="A616" s="10"/>
      <c r="B616" s="13"/>
      <c r="C616" s="13"/>
    </row>
    <row r="617" spans="1:3" ht="13" x14ac:dyDescent="0.15">
      <c r="A617" s="10"/>
      <c r="B617" s="13"/>
      <c r="C617" s="13"/>
    </row>
    <row r="618" spans="1:3" ht="13" x14ac:dyDescent="0.15">
      <c r="A618" s="10"/>
      <c r="B618" s="13"/>
      <c r="C618" s="13"/>
    </row>
    <row r="619" spans="1:3" ht="13" x14ac:dyDescent="0.15">
      <c r="A619" s="10"/>
      <c r="B619" s="13"/>
      <c r="C619" s="13"/>
    </row>
    <row r="620" spans="1:3" ht="13" x14ac:dyDescent="0.15">
      <c r="A620" s="10"/>
      <c r="B620" s="13"/>
      <c r="C620" s="13"/>
    </row>
    <row r="621" spans="1:3" ht="13" x14ac:dyDescent="0.15">
      <c r="A621" s="10"/>
      <c r="B621" s="13"/>
      <c r="C621" s="13"/>
    </row>
    <row r="622" spans="1:3" ht="13" x14ac:dyDescent="0.15">
      <c r="A622" s="10"/>
      <c r="B622" s="13"/>
      <c r="C622" s="13"/>
    </row>
    <row r="623" spans="1:3" ht="13" x14ac:dyDescent="0.15">
      <c r="A623" s="10"/>
      <c r="B623" s="13"/>
      <c r="C623" s="13"/>
    </row>
    <row r="624" spans="1:3" ht="13" x14ac:dyDescent="0.15">
      <c r="A624" s="10"/>
      <c r="B624" s="13"/>
      <c r="C624" s="13"/>
    </row>
    <row r="625" spans="1:3" ht="13" x14ac:dyDescent="0.15">
      <c r="A625" s="10"/>
      <c r="B625" s="13"/>
      <c r="C625" s="13"/>
    </row>
    <row r="626" spans="1:3" ht="13" x14ac:dyDescent="0.15">
      <c r="A626" s="10"/>
      <c r="B626" s="13"/>
      <c r="C626" s="13"/>
    </row>
    <row r="627" spans="1:3" ht="13" x14ac:dyDescent="0.15">
      <c r="A627" s="10"/>
      <c r="B627" s="13"/>
      <c r="C627" s="13"/>
    </row>
    <row r="628" spans="1:3" ht="13" x14ac:dyDescent="0.15">
      <c r="A628" s="10"/>
      <c r="B628" s="13"/>
      <c r="C628" s="13"/>
    </row>
    <row r="629" spans="1:3" ht="13" x14ac:dyDescent="0.15">
      <c r="A629" s="10"/>
      <c r="B629" s="13"/>
      <c r="C629" s="13"/>
    </row>
    <row r="630" spans="1:3" ht="13" x14ac:dyDescent="0.15">
      <c r="A630" s="10"/>
      <c r="B630" s="13"/>
      <c r="C630" s="13"/>
    </row>
    <row r="631" spans="1:3" ht="13" x14ac:dyDescent="0.15">
      <c r="A631" s="10"/>
      <c r="B631" s="13"/>
      <c r="C631" s="13"/>
    </row>
    <row r="632" spans="1:3" ht="13" x14ac:dyDescent="0.15">
      <c r="A632" s="10"/>
      <c r="B632" s="13"/>
      <c r="C632" s="13"/>
    </row>
    <row r="633" spans="1:3" ht="13" x14ac:dyDescent="0.15">
      <c r="A633" s="10"/>
      <c r="B633" s="13"/>
      <c r="C633" s="13"/>
    </row>
    <row r="634" spans="1:3" ht="13" x14ac:dyDescent="0.15">
      <c r="A634" s="10"/>
      <c r="B634" s="13"/>
      <c r="C634" s="13"/>
    </row>
    <row r="635" spans="1:3" ht="13" x14ac:dyDescent="0.15">
      <c r="A635" s="10"/>
      <c r="B635" s="13"/>
      <c r="C635" s="13"/>
    </row>
    <row r="636" spans="1:3" ht="13" x14ac:dyDescent="0.15">
      <c r="A636" s="10"/>
      <c r="B636" s="13"/>
      <c r="C636" s="13"/>
    </row>
    <row r="637" spans="1:3" ht="13" x14ac:dyDescent="0.15">
      <c r="A637" s="10"/>
      <c r="B637" s="13"/>
      <c r="C637" s="13"/>
    </row>
    <row r="638" spans="1:3" ht="13" x14ac:dyDescent="0.15">
      <c r="A638" s="10"/>
      <c r="B638" s="13"/>
      <c r="C638" s="13"/>
    </row>
    <row r="639" spans="1:3" ht="13" x14ac:dyDescent="0.15">
      <c r="A639" s="10"/>
      <c r="B639" s="13"/>
      <c r="C639" s="13"/>
    </row>
    <row r="640" spans="1:3" ht="13" x14ac:dyDescent="0.15">
      <c r="A640" s="10"/>
      <c r="B640" s="13"/>
      <c r="C640" s="13"/>
    </row>
    <row r="641" spans="1:3" ht="13" x14ac:dyDescent="0.15">
      <c r="A641" s="10"/>
      <c r="B641" s="13"/>
      <c r="C641" s="13"/>
    </row>
    <row r="642" spans="1:3" ht="13" x14ac:dyDescent="0.15">
      <c r="A642" s="10"/>
      <c r="B642" s="13"/>
      <c r="C642" s="13"/>
    </row>
    <row r="643" spans="1:3" ht="13" x14ac:dyDescent="0.15">
      <c r="A643" s="10"/>
      <c r="B643" s="13"/>
      <c r="C643" s="13"/>
    </row>
    <row r="644" spans="1:3" ht="13" x14ac:dyDescent="0.15">
      <c r="A644" s="10"/>
      <c r="B644" s="13"/>
      <c r="C644" s="13"/>
    </row>
    <row r="645" spans="1:3" ht="13" x14ac:dyDescent="0.15">
      <c r="A645" s="10"/>
      <c r="B645" s="13"/>
      <c r="C645" s="13"/>
    </row>
    <row r="646" spans="1:3" ht="13" x14ac:dyDescent="0.15">
      <c r="A646" s="10"/>
      <c r="B646" s="13"/>
      <c r="C646" s="13"/>
    </row>
    <row r="647" spans="1:3" ht="13" x14ac:dyDescent="0.15">
      <c r="A647" s="10"/>
      <c r="B647" s="13"/>
      <c r="C647" s="13"/>
    </row>
    <row r="648" spans="1:3" ht="13" x14ac:dyDescent="0.15">
      <c r="A648" s="10"/>
      <c r="B648" s="13"/>
      <c r="C648" s="13"/>
    </row>
    <row r="649" spans="1:3" ht="13" x14ac:dyDescent="0.15">
      <c r="A649" s="10"/>
      <c r="B649" s="13"/>
      <c r="C649" s="13"/>
    </row>
    <row r="650" spans="1:3" ht="13" x14ac:dyDescent="0.15">
      <c r="A650" s="10"/>
      <c r="B650" s="13"/>
      <c r="C650" s="13"/>
    </row>
    <row r="651" spans="1:3" ht="13" x14ac:dyDescent="0.15">
      <c r="A651" s="10"/>
      <c r="B651" s="13"/>
      <c r="C651" s="13"/>
    </row>
    <row r="652" spans="1:3" ht="13" x14ac:dyDescent="0.15">
      <c r="A652" s="10"/>
      <c r="B652" s="13"/>
      <c r="C652" s="13"/>
    </row>
    <row r="653" spans="1:3" ht="13" x14ac:dyDescent="0.15">
      <c r="A653" s="10"/>
      <c r="B653" s="13"/>
      <c r="C653" s="13"/>
    </row>
    <row r="654" spans="1:3" ht="13" x14ac:dyDescent="0.15">
      <c r="A654" s="10"/>
      <c r="B654" s="13"/>
      <c r="C654" s="13"/>
    </row>
    <row r="655" spans="1:3" ht="13" x14ac:dyDescent="0.15">
      <c r="A655" s="10"/>
      <c r="B655" s="13"/>
      <c r="C655" s="13"/>
    </row>
    <row r="656" spans="1:3" ht="13" x14ac:dyDescent="0.15">
      <c r="A656" s="10"/>
      <c r="B656" s="13"/>
      <c r="C656" s="13"/>
    </row>
    <row r="657" spans="1:3" ht="13" x14ac:dyDescent="0.15">
      <c r="A657" s="10"/>
      <c r="B657" s="13"/>
      <c r="C657" s="13"/>
    </row>
    <row r="658" spans="1:3" ht="13" x14ac:dyDescent="0.15">
      <c r="A658" s="10"/>
      <c r="B658" s="13"/>
      <c r="C658" s="13"/>
    </row>
    <row r="659" spans="1:3" ht="13" x14ac:dyDescent="0.15">
      <c r="A659" s="10"/>
      <c r="B659" s="13"/>
      <c r="C659" s="13"/>
    </row>
    <row r="660" spans="1:3" ht="13" x14ac:dyDescent="0.15">
      <c r="A660" s="10"/>
      <c r="B660" s="13"/>
      <c r="C660" s="13"/>
    </row>
    <row r="661" spans="1:3" ht="13" x14ac:dyDescent="0.15">
      <c r="A661" s="10"/>
      <c r="B661" s="13"/>
      <c r="C661" s="13"/>
    </row>
    <row r="662" spans="1:3" ht="13" x14ac:dyDescent="0.15">
      <c r="A662" s="10"/>
      <c r="B662" s="13"/>
      <c r="C662" s="13"/>
    </row>
    <row r="663" spans="1:3" ht="13" x14ac:dyDescent="0.15">
      <c r="A663" s="10"/>
      <c r="B663" s="13"/>
      <c r="C663" s="13"/>
    </row>
    <row r="664" spans="1:3" ht="13" x14ac:dyDescent="0.15">
      <c r="A664" s="10"/>
      <c r="B664" s="13"/>
      <c r="C664" s="13"/>
    </row>
    <row r="665" spans="1:3" ht="13" x14ac:dyDescent="0.15">
      <c r="A665" s="10"/>
      <c r="B665" s="13"/>
      <c r="C665" s="13"/>
    </row>
    <row r="666" spans="1:3" ht="13" x14ac:dyDescent="0.15">
      <c r="A666" s="10"/>
      <c r="B666" s="13"/>
      <c r="C666" s="13"/>
    </row>
    <row r="667" spans="1:3" ht="13" x14ac:dyDescent="0.15">
      <c r="A667" s="10"/>
      <c r="B667" s="13"/>
      <c r="C667" s="13"/>
    </row>
    <row r="668" spans="1:3" ht="13" x14ac:dyDescent="0.15">
      <c r="A668" s="10"/>
      <c r="B668" s="13"/>
      <c r="C668" s="13"/>
    </row>
    <row r="669" spans="1:3" ht="13" x14ac:dyDescent="0.15">
      <c r="A669" s="10"/>
      <c r="B669" s="13"/>
      <c r="C669" s="13"/>
    </row>
    <row r="670" spans="1:3" ht="13" x14ac:dyDescent="0.15">
      <c r="A670" s="10"/>
      <c r="B670" s="13"/>
      <c r="C670" s="13"/>
    </row>
    <row r="671" spans="1:3" ht="13" x14ac:dyDescent="0.15">
      <c r="A671" s="10"/>
      <c r="B671" s="13"/>
      <c r="C671" s="13"/>
    </row>
    <row r="672" spans="1:3" ht="13" x14ac:dyDescent="0.15">
      <c r="A672" s="10"/>
      <c r="B672" s="13"/>
      <c r="C672" s="13"/>
    </row>
    <row r="673" spans="1:3" ht="13" x14ac:dyDescent="0.15">
      <c r="A673" s="10"/>
      <c r="B673" s="13"/>
      <c r="C673" s="13"/>
    </row>
    <row r="674" spans="1:3" ht="13" x14ac:dyDescent="0.15">
      <c r="A674" s="10"/>
      <c r="B674" s="13"/>
      <c r="C674" s="13"/>
    </row>
    <row r="675" spans="1:3" ht="13" x14ac:dyDescent="0.15">
      <c r="A675" s="10"/>
      <c r="B675" s="13"/>
      <c r="C675" s="13"/>
    </row>
    <row r="676" spans="1:3" ht="13" x14ac:dyDescent="0.15">
      <c r="A676" s="10"/>
      <c r="B676" s="13"/>
      <c r="C676" s="13"/>
    </row>
    <row r="677" spans="1:3" ht="13" x14ac:dyDescent="0.15">
      <c r="A677" s="10"/>
      <c r="B677" s="13"/>
      <c r="C677" s="13"/>
    </row>
    <row r="678" spans="1:3" ht="13" x14ac:dyDescent="0.15">
      <c r="A678" s="10"/>
      <c r="B678" s="13"/>
      <c r="C678" s="13"/>
    </row>
    <row r="679" spans="1:3" ht="13" x14ac:dyDescent="0.15">
      <c r="A679" s="10"/>
      <c r="B679" s="13"/>
      <c r="C679" s="13"/>
    </row>
    <row r="680" spans="1:3" ht="13" x14ac:dyDescent="0.15">
      <c r="A680" s="10"/>
      <c r="B680" s="13"/>
      <c r="C680" s="13"/>
    </row>
    <row r="681" spans="1:3" ht="13" x14ac:dyDescent="0.15">
      <c r="A681" s="10"/>
      <c r="B681" s="13"/>
      <c r="C681" s="13"/>
    </row>
    <row r="682" spans="1:3" ht="13" x14ac:dyDescent="0.15">
      <c r="A682" s="10"/>
      <c r="B682" s="13"/>
      <c r="C682" s="13"/>
    </row>
    <row r="683" spans="1:3" ht="13" x14ac:dyDescent="0.15">
      <c r="A683" s="10"/>
      <c r="B683" s="13"/>
      <c r="C683" s="13"/>
    </row>
    <row r="684" spans="1:3" ht="13" x14ac:dyDescent="0.15">
      <c r="A684" s="10"/>
      <c r="B684" s="13"/>
      <c r="C684" s="13"/>
    </row>
    <row r="685" spans="1:3" ht="13" x14ac:dyDescent="0.15">
      <c r="A685" s="10"/>
      <c r="B685" s="13"/>
      <c r="C685" s="13"/>
    </row>
    <row r="686" spans="1:3" ht="13" x14ac:dyDescent="0.15">
      <c r="A686" s="10"/>
      <c r="B686" s="13"/>
      <c r="C686" s="13"/>
    </row>
    <row r="687" spans="1:3" ht="13" x14ac:dyDescent="0.15">
      <c r="A687" s="10"/>
      <c r="B687" s="13"/>
      <c r="C687" s="13"/>
    </row>
    <row r="688" spans="1:3" ht="13" x14ac:dyDescent="0.15">
      <c r="A688" s="10"/>
      <c r="B688" s="13"/>
      <c r="C688" s="13"/>
    </row>
    <row r="689" spans="1:3" ht="13" x14ac:dyDescent="0.15">
      <c r="A689" s="10"/>
      <c r="B689" s="13"/>
      <c r="C689" s="13"/>
    </row>
    <row r="690" spans="1:3" ht="13" x14ac:dyDescent="0.15">
      <c r="A690" s="10"/>
      <c r="B690" s="13"/>
      <c r="C690" s="13"/>
    </row>
    <row r="691" spans="1:3" ht="13" x14ac:dyDescent="0.15">
      <c r="A691" s="10"/>
      <c r="B691" s="13"/>
      <c r="C691" s="13"/>
    </row>
    <row r="692" spans="1:3" ht="13" x14ac:dyDescent="0.15">
      <c r="A692" s="10"/>
      <c r="B692" s="13"/>
      <c r="C692" s="13"/>
    </row>
    <row r="693" spans="1:3" ht="13" x14ac:dyDescent="0.15">
      <c r="A693" s="10"/>
      <c r="B693" s="13"/>
      <c r="C693" s="13"/>
    </row>
    <row r="694" spans="1:3" ht="13" x14ac:dyDescent="0.15">
      <c r="A694" s="10"/>
      <c r="B694" s="13"/>
      <c r="C694" s="13"/>
    </row>
    <row r="695" spans="1:3" ht="13" x14ac:dyDescent="0.15">
      <c r="A695" s="10"/>
      <c r="B695" s="13"/>
      <c r="C695" s="13"/>
    </row>
    <row r="696" spans="1:3" ht="13" x14ac:dyDescent="0.15">
      <c r="A696" s="10"/>
      <c r="B696" s="13"/>
      <c r="C696" s="13"/>
    </row>
    <row r="697" spans="1:3" ht="13" x14ac:dyDescent="0.15">
      <c r="A697" s="10"/>
      <c r="B697" s="13"/>
      <c r="C697" s="13"/>
    </row>
    <row r="698" spans="1:3" ht="13" x14ac:dyDescent="0.15">
      <c r="A698" s="10"/>
      <c r="B698" s="13"/>
      <c r="C698" s="13"/>
    </row>
    <row r="699" spans="1:3" ht="13" x14ac:dyDescent="0.15">
      <c r="A699" s="10"/>
      <c r="B699" s="13"/>
      <c r="C699" s="13"/>
    </row>
    <row r="700" spans="1:3" ht="13" x14ac:dyDescent="0.15">
      <c r="A700" s="10"/>
      <c r="B700" s="13"/>
      <c r="C700" s="13"/>
    </row>
    <row r="701" spans="1:3" ht="13" x14ac:dyDescent="0.15">
      <c r="A701" s="10"/>
      <c r="B701" s="13"/>
      <c r="C701" s="13"/>
    </row>
    <row r="702" spans="1:3" ht="13" x14ac:dyDescent="0.15">
      <c r="A702" s="10"/>
      <c r="B702" s="13"/>
      <c r="C702" s="13"/>
    </row>
    <row r="703" spans="1:3" ht="13" x14ac:dyDescent="0.15">
      <c r="A703" s="10"/>
      <c r="B703" s="13"/>
      <c r="C703" s="13"/>
    </row>
    <row r="704" spans="1:3" ht="13" x14ac:dyDescent="0.15">
      <c r="A704" s="10"/>
      <c r="B704" s="13"/>
      <c r="C704" s="13"/>
    </row>
    <row r="705" spans="1:3" ht="13" x14ac:dyDescent="0.15">
      <c r="A705" s="10"/>
      <c r="B705" s="13"/>
      <c r="C705" s="13"/>
    </row>
    <row r="706" spans="1:3" ht="13" x14ac:dyDescent="0.15">
      <c r="A706" s="10"/>
      <c r="B706" s="13"/>
      <c r="C706" s="13"/>
    </row>
    <row r="707" spans="1:3" ht="13" x14ac:dyDescent="0.15">
      <c r="A707" s="10"/>
      <c r="B707" s="13"/>
      <c r="C707" s="13"/>
    </row>
    <row r="708" spans="1:3" ht="13" x14ac:dyDescent="0.15">
      <c r="A708" s="10"/>
      <c r="B708" s="13"/>
      <c r="C708" s="13"/>
    </row>
    <row r="709" spans="1:3" ht="13" x14ac:dyDescent="0.15">
      <c r="A709" s="10"/>
      <c r="B709" s="13"/>
      <c r="C709" s="13"/>
    </row>
    <row r="710" spans="1:3" ht="13" x14ac:dyDescent="0.15">
      <c r="A710" s="10"/>
      <c r="B710" s="13"/>
      <c r="C710" s="13"/>
    </row>
    <row r="711" spans="1:3" ht="13" x14ac:dyDescent="0.15">
      <c r="A711" s="10"/>
      <c r="B711" s="13"/>
      <c r="C711" s="13"/>
    </row>
    <row r="712" spans="1:3" ht="13" x14ac:dyDescent="0.15">
      <c r="A712" s="10"/>
      <c r="B712" s="13"/>
      <c r="C712" s="13"/>
    </row>
    <row r="713" spans="1:3" ht="13" x14ac:dyDescent="0.15">
      <c r="A713" s="10"/>
      <c r="B713" s="13"/>
      <c r="C713" s="13"/>
    </row>
    <row r="714" spans="1:3" ht="13" x14ac:dyDescent="0.15">
      <c r="A714" s="10"/>
      <c r="B714" s="13"/>
      <c r="C714" s="13"/>
    </row>
    <row r="715" spans="1:3" ht="13" x14ac:dyDescent="0.15">
      <c r="A715" s="10"/>
      <c r="B715" s="13"/>
      <c r="C715" s="13"/>
    </row>
    <row r="716" spans="1:3" ht="13" x14ac:dyDescent="0.15">
      <c r="A716" s="10"/>
      <c r="B716" s="13"/>
      <c r="C716" s="13"/>
    </row>
    <row r="717" spans="1:3" ht="13" x14ac:dyDescent="0.15">
      <c r="A717" s="10"/>
      <c r="B717" s="13"/>
      <c r="C717" s="13"/>
    </row>
    <row r="718" spans="1:3" ht="13" x14ac:dyDescent="0.15">
      <c r="A718" s="10"/>
      <c r="B718" s="13"/>
      <c r="C718" s="13"/>
    </row>
    <row r="719" spans="1:3" ht="13" x14ac:dyDescent="0.15">
      <c r="A719" s="10"/>
      <c r="B719" s="13"/>
      <c r="C719" s="13"/>
    </row>
    <row r="720" spans="1:3" ht="13" x14ac:dyDescent="0.15">
      <c r="A720" s="10"/>
      <c r="B720" s="13"/>
      <c r="C720" s="13"/>
    </row>
    <row r="721" spans="1:3" ht="13" x14ac:dyDescent="0.15">
      <c r="A721" s="10"/>
      <c r="B721" s="13"/>
      <c r="C721" s="13"/>
    </row>
    <row r="722" spans="1:3" ht="13" x14ac:dyDescent="0.15">
      <c r="A722" s="10"/>
      <c r="B722" s="13"/>
      <c r="C722" s="13"/>
    </row>
    <row r="723" spans="1:3" ht="13" x14ac:dyDescent="0.15">
      <c r="A723" s="10"/>
      <c r="B723" s="13"/>
      <c r="C723" s="13"/>
    </row>
    <row r="724" spans="1:3" ht="13" x14ac:dyDescent="0.15">
      <c r="A724" s="10"/>
      <c r="B724" s="13"/>
      <c r="C724" s="13"/>
    </row>
    <row r="725" spans="1:3" ht="13" x14ac:dyDescent="0.15">
      <c r="A725" s="10"/>
      <c r="B725" s="13"/>
      <c r="C725" s="13"/>
    </row>
    <row r="726" spans="1:3" ht="13" x14ac:dyDescent="0.15">
      <c r="A726" s="10"/>
      <c r="B726" s="13"/>
      <c r="C726" s="13"/>
    </row>
    <row r="727" spans="1:3" ht="13" x14ac:dyDescent="0.15">
      <c r="A727" s="10"/>
      <c r="B727" s="13"/>
      <c r="C727" s="13"/>
    </row>
    <row r="728" spans="1:3" ht="13" x14ac:dyDescent="0.15">
      <c r="A728" s="10"/>
      <c r="B728" s="13"/>
      <c r="C728" s="13"/>
    </row>
    <row r="729" spans="1:3" ht="13" x14ac:dyDescent="0.15">
      <c r="A729" s="10"/>
      <c r="B729" s="13"/>
      <c r="C729" s="13"/>
    </row>
    <row r="730" spans="1:3" ht="13" x14ac:dyDescent="0.15">
      <c r="A730" s="10"/>
      <c r="B730" s="13"/>
      <c r="C730" s="13"/>
    </row>
    <row r="731" spans="1:3" ht="13" x14ac:dyDescent="0.15">
      <c r="A731" s="10"/>
      <c r="B731" s="13"/>
      <c r="C731" s="13"/>
    </row>
    <row r="732" spans="1:3" ht="13" x14ac:dyDescent="0.15">
      <c r="A732" s="10"/>
      <c r="B732" s="13"/>
      <c r="C732" s="13"/>
    </row>
    <row r="733" spans="1:3" ht="13" x14ac:dyDescent="0.15">
      <c r="A733" s="10"/>
      <c r="B733" s="13"/>
      <c r="C733" s="13"/>
    </row>
    <row r="734" spans="1:3" ht="13" x14ac:dyDescent="0.15">
      <c r="A734" s="10"/>
      <c r="B734" s="13"/>
      <c r="C734" s="13"/>
    </row>
    <row r="735" spans="1:3" ht="13" x14ac:dyDescent="0.15">
      <c r="A735" s="10"/>
      <c r="B735" s="13"/>
      <c r="C735" s="13"/>
    </row>
    <row r="736" spans="1:3" ht="13" x14ac:dyDescent="0.15">
      <c r="A736" s="10"/>
      <c r="B736" s="13"/>
      <c r="C736" s="13"/>
    </row>
    <row r="737" spans="1:3" ht="13" x14ac:dyDescent="0.15">
      <c r="A737" s="10"/>
      <c r="B737" s="13"/>
      <c r="C737" s="13"/>
    </row>
    <row r="738" spans="1:3" ht="13" x14ac:dyDescent="0.15">
      <c r="A738" s="10"/>
      <c r="B738" s="13"/>
      <c r="C738" s="13"/>
    </row>
    <row r="739" spans="1:3" ht="13" x14ac:dyDescent="0.15">
      <c r="A739" s="10"/>
      <c r="B739" s="13"/>
      <c r="C739" s="13"/>
    </row>
    <row r="740" spans="1:3" ht="13" x14ac:dyDescent="0.15">
      <c r="A740" s="10"/>
      <c r="B740" s="13"/>
      <c r="C740" s="13"/>
    </row>
    <row r="741" spans="1:3" ht="13" x14ac:dyDescent="0.15">
      <c r="A741" s="10"/>
      <c r="B741" s="13"/>
      <c r="C741" s="13"/>
    </row>
    <row r="742" spans="1:3" ht="13" x14ac:dyDescent="0.15">
      <c r="A742" s="10"/>
      <c r="B742" s="13"/>
      <c r="C742" s="13"/>
    </row>
    <row r="743" spans="1:3" ht="13" x14ac:dyDescent="0.15">
      <c r="A743" s="10"/>
      <c r="B743" s="13"/>
      <c r="C743" s="13"/>
    </row>
    <row r="744" spans="1:3" ht="13" x14ac:dyDescent="0.15">
      <c r="A744" s="10"/>
      <c r="B744" s="13"/>
      <c r="C744" s="13"/>
    </row>
    <row r="745" spans="1:3" ht="13" x14ac:dyDescent="0.15">
      <c r="A745" s="10"/>
      <c r="B745" s="13"/>
      <c r="C745" s="13"/>
    </row>
    <row r="746" spans="1:3" ht="13" x14ac:dyDescent="0.15">
      <c r="A746" s="10"/>
      <c r="B746" s="13"/>
      <c r="C746" s="13"/>
    </row>
    <row r="747" spans="1:3" ht="13" x14ac:dyDescent="0.15">
      <c r="A747" s="10"/>
      <c r="B747" s="13"/>
      <c r="C747" s="13"/>
    </row>
    <row r="748" spans="1:3" ht="13" x14ac:dyDescent="0.15">
      <c r="A748" s="10"/>
      <c r="B748" s="13"/>
      <c r="C748" s="13"/>
    </row>
    <row r="749" spans="1:3" ht="13" x14ac:dyDescent="0.15">
      <c r="A749" s="10"/>
      <c r="B749" s="13"/>
      <c r="C749" s="13"/>
    </row>
    <row r="750" spans="1:3" ht="13" x14ac:dyDescent="0.15">
      <c r="A750" s="10"/>
      <c r="B750" s="13"/>
      <c r="C750" s="13"/>
    </row>
    <row r="751" spans="1:3" ht="13" x14ac:dyDescent="0.15">
      <c r="A751" s="10"/>
      <c r="B751" s="13"/>
      <c r="C751" s="13"/>
    </row>
    <row r="752" spans="1:3" ht="13" x14ac:dyDescent="0.15">
      <c r="A752" s="10"/>
      <c r="B752" s="13"/>
      <c r="C752" s="13"/>
    </row>
    <row r="753" spans="1:3" ht="13" x14ac:dyDescent="0.15">
      <c r="A753" s="10"/>
      <c r="B753" s="13"/>
      <c r="C753" s="13"/>
    </row>
    <row r="754" spans="1:3" ht="13" x14ac:dyDescent="0.15">
      <c r="A754" s="10"/>
      <c r="B754" s="13"/>
      <c r="C754" s="13"/>
    </row>
    <row r="755" spans="1:3" ht="13" x14ac:dyDescent="0.15">
      <c r="A755" s="10"/>
      <c r="B755" s="13"/>
      <c r="C755" s="13"/>
    </row>
    <row r="756" spans="1:3" ht="13" x14ac:dyDescent="0.15">
      <c r="A756" s="10"/>
      <c r="B756" s="13"/>
      <c r="C756" s="13"/>
    </row>
    <row r="757" spans="1:3" ht="13" x14ac:dyDescent="0.15">
      <c r="A757" s="10"/>
      <c r="B757" s="13"/>
      <c r="C757" s="13"/>
    </row>
    <row r="758" spans="1:3" ht="13" x14ac:dyDescent="0.15">
      <c r="A758" s="10"/>
      <c r="B758" s="13"/>
      <c r="C758" s="13"/>
    </row>
    <row r="759" spans="1:3" ht="13" x14ac:dyDescent="0.15">
      <c r="A759" s="10"/>
      <c r="B759" s="13"/>
      <c r="C759" s="13"/>
    </row>
    <row r="760" spans="1:3" ht="13" x14ac:dyDescent="0.15">
      <c r="A760" s="10"/>
      <c r="B760" s="13"/>
      <c r="C760" s="13"/>
    </row>
    <row r="761" spans="1:3" ht="13" x14ac:dyDescent="0.15">
      <c r="A761" s="10"/>
      <c r="B761" s="13"/>
      <c r="C761" s="13"/>
    </row>
    <row r="762" spans="1:3" ht="13" x14ac:dyDescent="0.15">
      <c r="A762" s="10"/>
      <c r="B762" s="13"/>
      <c r="C762" s="13"/>
    </row>
    <row r="763" spans="1:3" ht="13" x14ac:dyDescent="0.15">
      <c r="A763" s="10"/>
      <c r="B763" s="13"/>
      <c r="C763" s="13"/>
    </row>
    <row r="764" spans="1:3" ht="13" x14ac:dyDescent="0.15">
      <c r="A764" s="10"/>
      <c r="B764" s="13"/>
      <c r="C764" s="13"/>
    </row>
    <row r="765" spans="1:3" ht="13" x14ac:dyDescent="0.15">
      <c r="A765" s="10"/>
      <c r="B765" s="13"/>
      <c r="C765" s="13"/>
    </row>
    <row r="766" spans="1:3" ht="13" x14ac:dyDescent="0.15">
      <c r="A766" s="10"/>
      <c r="B766" s="13"/>
      <c r="C766" s="13"/>
    </row>
    <row r="767" spans="1:3" ht="13" x14ac:dyDescent="0.15">
      <c r="A767" s="10"/>
      <c r="B767" s="13"/>
      <c r="C767" s="13"/>
    </row>
    <row r="768" spans="1:3" ht="13" x14ac:dyDescent="0.15">
      <c r="A768" s="10"/>
      <c r="B768" s="13"/>
      <c r="C768" s="13"/>
    </row>
    <row r="769" spans="1:3" ht="13" x14ac:dyDescent="0.15">
      <c r="A769" s="10"/>
      <c r="B769" s="13"/>
      <c r="C769" s="13"/>
    </row>
    <row r="770" spans="1:3" ht="13" x14ac:dyDescent="0.15">
      <c r="A770" s="10"/>
      <c r="B770" s="13"/>
      <c r="C770" s="13"/>
    </row>
    <row r="771" spans="1:3" ht="13" x14ac:dyDescent="0.15">
      <c r="A771" s="10"/>
      <c r="B771" s="13"/>
      <c r="C771" s="13"/>
    </row>
    <row r="772" spans="1:3" ht="13" x14ac:dyDescent="0.15">
      <c r="A772" s="10"/>
      <c r="B772" s="13"/>
      <c r="C772" s="13"/>
    </row>
    <row r="773" spans="1:3" ht="13" x14ac:dyDescent="0.15">
      <c r="A773" s="10"/>
      <c r="B773" s="13"/>
      <c r="C773" s="13"/>
    </row>
    <row r="774" spans="1:3" ht="13" x14ac:dyDescent="0.15">
      <c r="A774" s="10"/>
      <c r="B774" s="13"/>
      <c r="C774" s="13"/>
    </row>
    <row r="775" spans="1:3" ht="13" x14ac:dyDescent="0.15">
      <c r="A775" s="10"/>
      <c r="B775" s="13"/>
      <c r="C775" s="13"/>
    </row>
    <row r="776" spans="1:3" ht="13" x14ac:dyDescent="0.15">
      <c r="A776" s="10"/>
      <c r="B776" s="13"/>
      <c r="C776" s="13"/>
    </row>
    <row r="777" spans="1:3" ht="13" x14ac:dyDescent="0.15">
      <c r="A777" s="10"/>
      <c r="B777" s="13"/>
      <c r="C777" s="13"/>
    </row>
    <row r="778" spans="1:3" ht="13" x14ac:dyDescent="0.15">
      <c r="A778" s="10"/>
      <c r="B778" s="13"/>
      <c r="C778" s="13"/>
    </row>
    <row r="779" spans="1:3" ht="13" x14ac:dyDescent="0.15">
      <c r="A779" s="10"/>
      <c r="B779" s="13"/>
      <c r="C779" s="13"/>
    </row>
    <row r="780" spans="1:3" ht="13" x14ac:dyDescent="0.15">
      <c r="A780" s="10"/>
      <c r="B780" s="13"/>
      <c r="C780" s="13"/>
    </row>
    <row r="781" spans="1:3" ht="13" x14ac:dyDescent="0.15">
      <c r="A781" s="10"/>
      <c r="B781" s="13"/>
      <c r="C781" s="13"/>
    </row>
    <row r="782" spans="1:3" ht="13" x14ac:dyDescent="0.15">
      <c r="A782" s="10"/>
      <c r="B782" s="13"/>
      <c r="C782" s="13"/>
    </row>
    <row r="783" spans="1:3" ht="13" x14ac:dyDescent="0.15">
      <c r="A783" s="10"/>
      <c r="B783" s="13"/>
      <c r="C783" s="13"/>
    </row>
    <row r="784" spans="1:3" ht="13" x14ac:dyDescent="0.15">
      <c r="A784" s="10"/>
      <c r="B784" s="13"/>
      <c r="C784" s="13"/>
    </row>
    <row r="785" spans="1:3" ht="13" x14ac:dyDescent="0.15">
      <c r="A785" s="10"/>
      <c r="B785" s="13"/>
      <c r="C785" s="13"/>
    </row>
    <row r="786" spans="1:3" ht="13" x14ac:dyDescent="0.15">
      <c r="A786" s="10"/>
      <c r="B786" s="13"/>
      <c r="C786" s="13"/>
    </row>
    <row r="787" spans="1:3" ht="13" x14ac:dyDescent="0.15">
      <c r="A787" s="10"/>
      <c r="B787" s="13"/>
      <c r="C787" s="13"/>
    </row>
    <row r="788" spans="1:3" ht="13" x14ac:dyDescent="0.15">
      <c r="A788" s="10"/>
      <c r="B788" s="13"/>
      <c r="C788" s="13"/>
    </row>
    <row r="789" spans="1:3" ht="13" x14ac:dyDescent="0.15">
      <c r="A789" s="10"/>
      <c r="B789" s="13"/>
      <c r="C789" s="13"/>
    </row>
    <row r="790" spans="1:3" ht="13" x14ac:dyDescent="0.15">
      <c r="A790" s="10"/>
      <c r="B790" s="13"/>
      <c r="C790" s="13"/>
    </row>
    <row r="791" spans="1:3" ht="13" x14ac:dyDescent="0.15">
      <c r="A791" s="10"/>
      <c r="B791" s="13"/>
      <c r="C791" s="13"/>
    </row>
    <row r="792" spans="1:3" ht="13" x14ac:dyDescent="0.15">
      <c r="A792" s="10"/>
      <c r="B792" s="13"/>
      <c r="C792" s="13"/>
    </row>
    <row r="793" spans="1:3" ht="13" x14ac:dyDescent="0.15">
      <c r="A793" s="10"/>
      <c r="B793" s="13"/>
      <c r="C793" s="13"/>
    </row>
    <row r="794" spans="1:3" ht="13" x14ac:dyDescent="0.15">
      <c r="A794" s="10"/>
      <c r="B794" s="13"/>
      <c r="C794" s="13"/>
    </row>
    <row r="795" spans="1:3" ht="13" x14ac:dyDescent="0.15">
      <c r="A795" s="10"/>
      <c r="B795" s="13"/>
      <c r="C795" s="13"/>
    </row>
    <row r="796" spans="1:3" ht="13" x14ac:dyDescent="0.15">
      <c r="A796" s="10"/>
      <c r="B796" s="13"/>
      <c r="C796" s="13"/>
    </row>
    <row r="797" spans="1:3" ht="13" x14ac:dyDescent="0.15">
      <c r="A797" s="10"/>
      <c r="B797" s="13"/>
      <c r="C797" s="13"/>
    </row>
    <row r="798" spans="1:3" ht="13" x14ac:dyDescent="0.15">
      <c r="A798" s="10"/>
      <c r="B798" s="13"/>
      <c r="C798" s="13"/>
    </row>
    <row r="799" spans="1:3" ht="13" x14ac:dyDescent="0.15">
      <c r="A799" s="10"/>
      <c r="B799" s="13"/>
      <c r="C799" s="13"/>
    </row>
    <row r="800" spans="1:3" ht="13" x14ac:dyDescent="0.15">
      <c r="A800" s="10"/>
      <c r="B800" s="13"/>
      <c r="C800" s="13"/>
    </row>
    <row r="801" spans="1:3" ht="13" x14ac:dyDescent="0.15">
      <c r="A801" s="10"/>
      <c r="B801" s="13"/>
      <c r="C801" s="13"/>
    </row>
    <row r="802" spans="1:3" ht="13" x14ac:dyDescent="0.15">
      <c r="A802" s="10"/>
      <c r="B802" s="13"/>
      <c r="C802" s="13"/>
    </row>
    <row r="803" spans="1:3" ht="13" x14ac:dyDescent="0.15">
      <c r="A803" s="10"/>
      <c r="B803" s="13"/>
      <c r="C803" s="13"/>
    </row>
    <row r="804" spans="1:3" ht="13" x14ac:dyDescent="0.15">
      <c r="A804" s="10"/>
      <c r="B804" s="13"/>
      <c r="C804" s="13"/>
    </row>
    <row r="805" spans="1:3" ht="13" x14ac:dyDescent="0.15">
      <c r="A805" s="10"/>
      <c r="B805" s="13"/>
      <c r="C805" s="13"/>
    </row>
    <row r="806" spans="1:3" ht="13" x14ac:dyDescent="0.15">
      <c r="A806" s="10"/>
      <c r="B806" s="13"/>
      <c r="C806" s="13"/>
    </row>
    <row r="807" spans="1:3" ht="13" x14ac:dyDescent="0.15">
      <c r="A807" s="10"/>
      <c r="B807" s="13"/>
      <c r="C807" s="13"/>
    </row>
    <row r="808" spans="1:3" ht="13" x14ac:dyDescent="0.15">
      <c r="A808" s="10"/>
      <c r="B808" s="13"/>
      <c r="C808" s="13"/>
    </row>
    <row r="809" spans="1:3" ht="13" x14ac:dyDescent="0.15">
      <c r="A809" s="10"/>
      <c r="B809" s="13"/>
      <c r="C809" s="13"/>
    </row>
    <row r="810" spans="1:3" ht="13" x14ac:dyDescent="0.15">
      <c r="A810" s="10"/>
      <c r="B810" s="13"/>
      <c r="C810" s="13"/>
    </row>
    <row r="811" spans="1:3" ht="13" x14ac:dyDescent="0.15">
      <c r="A811" s="10"/>
      <c r="B811" s="13"/>
      <c r="C811" s="13"/>
    </row>
    <row r="812" spans="1:3" ht="13" x14ac:dyDescent="0.15">
      <c r="A812" s="10"/>
      <c r="B812" s="13"/>
      <c r="C812" s="13"/>
    </row>
    <row r="813" spans="1:3" ht="13" x14ac:dyDescent="0.15">
      <c r="A813" s="10"/>
      <c r="B813" s="13"/>
      <c r="C813" s="13"/>
    </row>
    <row r="814" spans="1:3" ht="13" x14ac:dyDescent="0.15">
      <c r="A814" s="10"/>
      <c r="B814" s="13"/>
      <c r="C814" s="13"/>
    </row>
    <row r="815" spans="1:3" ht="13" x14ac:dyDescent="0.15">
      <c r="A815" s="10"/>
      <c r="B815" s="13"/>
      <c r="C815" s="13"/>
    </row>
    <row r="816" spans="1:3" ht="13" x14ac:dyDescent="0.15">
      <c r="A816" s="10"/>
      <c r="B816" s="13"/>
      <c r="C816" s="13"/>
    </row>
    <row r="817" spans="1:3" ht="13" x14ac:dyDescent="0.15">
      <c r="A817" s="10"/>
      <c r="B817" s="13"/>
      <c r="C817" s="13"/>
    </row>
    <row r="818" spans="1:3" ht="13" x14ac:dyDescent="0.15">
      <c r="A818" s="10"/>
      <c r="B818" s="13"/>
      <c r="C818" s="13"/>
    </row>
    <row r="819" spans="1:3" ht="13" x14ac:dyDescent="0.15">
      <c r="A819" s="10"/>
      <c r="B819" s="13"/>
      <c r="C819" s="13"/>
    </row>
    <row r="820" spans="1:3" ht="13" x14ac:dyDescent="0.15">
      <c r="A820" s="10"/>
      <c r="B820" s="13"/>
      <c r="C820" s="13"/>
    </row>
    <row r="821" spans="1:3" ht="13" x14ac:dyDescent="0.15">
      <c r="A821" s="10"/>
      <c r="B821" s="13"/>
      <c r="C821" s="13"/>
    </row>
    <row r="822" spans="1:3" ht="13" x14ac:dyDescent="0.15">
      <c r="A822" s="10"/>
      <c r="B822" s="13"/>
      <c r="C822" s="13"/>
    </row>
    <row r="823" spans="1:3" ht="13" x14ac:dyDescent="0.15">
      <c r="A823" s="10"/>
      <c r="B823" s="13"/>
      <c r="C823" s="13"/>
    </row>
    <row r="824" spans="1:3" ht="13" x14ac:dyDescent="0.15">
      <c r="A824" s="10"/>
      <c r="B824" s="13"/>
      <c r="C824" s="13"/>
    </row>
    <row r="825" spans="1:3" ht="13" x14ac:dyDescent="0.15">
      <c r="A825" s="10"/>
      <c r="B825" s="13"/>
      <c r="C825" s="13"/>
    </row>
    <row r="826" spans="1:3" ht="13" x14ac:dyDescent="0.15">
      <c r="A826" s="10"/>
      <c r="B826" s="13"/>
      <c r="C826" s="13"/>
    </row>
    <row r="827" spans="1:3" ht="13" x14ac:dyDescent="0.15">
      <c r="A827" s="10"/>
      <c r="B827" s="13"/>
      <c r="C827" s="13"/>
    </row>
    <row r="828" spans="1:3" ht="13" x14ac:dyDescent="0.15">
      <c r="A828" s="10"/>
      <c r="B828" s="13"/>
      <c r="C828" s="13"/>
    </row>
    <row r="829" spans="1:3" ht="13" x14ac:dyDescent="0.15">
      <c r="A829" s="10"/>
      <c r="B829" s="13"/>
      <c r="C829" s="13"/>
    </row>
    <row r="830" spans="1:3" ht="13" x14ac:dyDescent="0.15">
      <c r="A830" s="10"/>
      <c r="B830" s="13"/>
      <c r="C830" s="13"/>
    </row>
    <row r="831" spans="1:3" ht="13" x14ac:dyDescent="0.15">
      <c r="A831" s="10"/>
      <c r="B831" s="13"/>
      <c r="C831" s="13"/>
    </row>
    <row r="832" spans="1:3" ht="13" x14ac:dyDescent="0.15">
      <c r="A832" s="10"/>
      <c r="B832" s="13"/>
      <c r="C832" s="13"/>
    </row>
    <row r="833" spans="1:3" ht="13" x14ac:dyDescent="0.15">
      <c r="A833" s="10"/>
      <c r="B833" s="13"/>
      <c r="C833" s="13"/>
    </row>
    <row r="834" spans="1:3" ht="13" x14ac:dyDescent="0.15">
      <c r="A834" s="10"/>
      <c r="B834" s="13"/>
      <c r="C834" s="13"/>
    </row>
    <row r="835" spans="1:3" ht="13" x14ac:dyDescent="0.15">
      <c r="A835" s="10"/>
      <c r="B835" s="13"/>
      <c r="C835" s="13"/>
    </row>
    <row r="836" spans="1:3" ht="13" x14ac:dyDescent="0.15">
      <c r="A836" s="10"/>
      <c r="B836" s="13"/>
      <c r="C836" s="13"/>
    </row>
    <row r="837" spans="1:3" ht="13" x14ac:dyDescent="0.15">
      <c r="A837" s="10"/>
      <c r="B837" s="13"/>
      <c r="C837" s="13"/>
    </row>
    <row r="838" spans="1:3" ht="13" x14ac:dyDescent="0.15">
      <c r="A838" s="10"/>
      <c r="B838" s="13"/>
      <c r="C838" s="13"/>
    </row>
    <row r="839" spans="1:3" ht="13" x14ac:dyDescent="0.15">
      <c r="A839" s="10"/>
      <c r="B839" s="13"/>
      <c r="C839" s="13"/>
    </row>
    <row r="840" spans="1:3" ht="13" x14ac:dyDescent="0.15">
      <c r="A840" s="10"/>
      <c r="B840" s="13"/>
      <c r="C840" s="13"/>
    </row>
    <row r="841" spans="1:3" ht="13" x14ac:dyDescent="0.15">
      <c r="A841" s="10"/>
      <c r="B841" s="13"/>
      <c r="C841" s="13"/>
    </row>
    <row r="842" spans="1:3" ht="13" x14ac:dyDescent="0.15">
      <c r="A842" s="10"/>
      <c r="B842" s="13"/>
      <c r="C842" s="13"/>
    </row>
    <row r="843" spans="1:3" ht="13" x14ac:dyDescent="0.15">
      <c r="A843" s="10"/>
      <c r="B843" s="13"/>
      <c r="C843" s="13"/>
    </row>
    <row r="844" spans="1:3" ht="13" x14ac:dyDescent="0.15">
      <c r="A844" s="10"/>
      <c r="B844" s="13"/>
      <c r="C844" s="13"/>
    </row>
    <row r="845" spans="1:3" ht="13" x14ac:dyDescent="0.15">
      <c r="A845" s="10"/>
      <c r="B845" s="13"/>
      <c r="C845" s="13"/>
    </row>
    <row r="846" spans="1:3" ht="13" x14ac:dyDescent="0.15">
      <c r="A846" s="10"/>
      <c r="B846" s="13"/>
      <c r="C846" s="13"/>
    </row>
    <row r="847" spans="1:3" ht="13" x14ac:dyDescent="0.15">
      <c r="A847" s="10"/>
      <c r="B847" s="13"/>
      <c r="C847" s="13"/>
    </row>
    <row r="848" spans="1:3" ht="13" x14ac:dyDescent="0.15">
      <c r="A848" s="10"/>
      <c r="B848" s="13"/>
      <c r="C848" s="13"/>
    </row>
    <row r="849" spans="1:3" ht="13" x14ac:dyDescent="0.15">
      <c r="A849" s="10"/>
      <c r="B849" s="13"/>
      <c r="C849" s="13"/>
    </row>
    <row r="850" spans="1:3" ht="13" x14ac:dyDescent="0.15">
      <c r="A850" s="10"/>
      <c r="B850" s="13"/>
      <c r="C850" s="13"/>
    </row>
    <row r="851" spans="1:3" ht="13" x14ac:dyDescent="0.15">
      <c r="A851" s="10"/>
      <c r="B851" s="13"/>
      <c r="C851" s="13"/>
    </row>
    <row r="852" spans="1:3" ht="13" x14ac:dyDescent="0.15">
      <c r="A852" s="10"/>
      <c r="B852" s="13"/>
      <c r="C852" s="13"/>
    </row>
    <row r="853" spans="1:3" ht="13" x14ac:dyDescent="0.15">
      <c r="A853" s="10"/>
      <c r="B853" s="13"/>
      <c r="C853" s="13"/>
    </row>
    <row r="854" spans="1:3" ht="13" x14ac:dyDescent="0.15">
      <c r="A854" s="10"/>
      <c r="B854" s="13"/>
      <c r="C854" s="13"/>
    </row>
    <row r="855" spans="1:3" ht="13" x14ac:dyDescent="0.15">
      <c r="A855" s="10"/>
      <c r="B855" s="13"/>
      <c r="C855" s="13"/>
    </row>
    <row r="856" spans="1:3" ht="13" x14ac:dyDescent="0.15">
      <c r="A856" s="10"/>
      <c r="B856" s="13"/>
      <c r="C856" s="13"/>
    </row>
    <row r="857" spans="1:3" ht="13" x14ac:dyDescent="0.15">
      <c r="A857" s="10"/>
      <c r="B857" s="13"/>
      <c r="C857" s="13"/>
    </row>
    <row r="858" spans="1:3" ht="13" x14ac:dyDescent="0.15">
      <c r="A858" s="10"/>
      <c r="B858" s="13"/>
      <c r="C858" s="13"/>
    </row>
    <row r="859" spans="1:3" ht="13" x14ac:dyDescent="0.15">
      <c r="A859" s="10"/>
      <c r="B859" s="13"/>
      <c r="C859" s="13"/>
    </row>
    <row r="860" spans="1:3" ht="13" x14ac:dyDescent="0.15">
      <c r="A860" s="10"/>
      <c r="B860" s="13"/>
      <c r="C860" s="13"/>
    </row>
    <row r="861" spans="1:3" ht="13" x14ac:dyDescent="0.15">
      <c r="A861" s="10"/>
      <c r="B861" s="13"/>
      <c r="C861" s="13"/>
    </row>
    <row r="862" spans="1:3" ht="13" x14ac:dyDescent="0.15">
      <c r="A862" s="10"/>
      <c r="B862" s="13"/>
      <c r="C862" s="13"/>
    </row>
    <row r="863" spans="1:3" ht="13" x14ac:dyDescent="0.15">
      <c r="A863" s="10"/>
      <c r="B863" s="13"/>
      <c r="C863" s="13"/>
    </row>
    <row r="864" spans="1:3" ht="13" x14ac:dyDescent="0.15">
      <c r="A864" s="10"/>
      <c r="B864" s="13"/>
      <c r="C864" s="13"/>
    </row>
    <row r="865" spans="1:3" ht="13" x14ac:dyDescent="0.15">
      <c r="A865" s="10"/>
      <c r="B865" s="13"/>
      <c r="C865" s="13"/>
    </row>
    <row r="866" spans="1:3" ht="13" x14ac:dyDescent="0.15">
      <c r="A866" s="10"/>
      <c r="B866" s="13"/>
      <c r="C866" s="13"/>
    </row>
    <row r="867" spans="1:3" ht="13" x14ac:dyDescent="0.15">
      <c r="A867" s="10"/>
      <c r="B867" s="13"/>
      <c r="C867" s="13"/>
    </row>
    <row r="868" spans="1:3" ht="13" x14ac:dyDescent="0.15">
      <c r="A868" s="10"/>
      <c r="B868" s="13"/>
      <c r="C868" s="13"/>
    </row>
    <row r="869" spans="1:3" ht="13" x14ac:dyDescent="0.15">
      <c r="A869" s="10"/>
      <c r="B869" s="13"/>
      <c r="C869" s="13"/>
    </row>
    <row r="870" spans="1:3" ht="13" x14ac:dyDescent="0.15">
      <c r="A870" s="10"/>
      <c r="B870" s="13"/>
      <c r="C870" s="13"/>
    </row>
    <row r="871" spans="1:3" ht="13" x14ac:dyDescent="0.15">
      <c r="A871" s="10"/>
      <c r="B871" s="13"/>
      <c r="C871" s="13"/>
    </row>
    <row r="872" spans="1:3" ht="13" x14ac:dyDescent="0.15">
      <c r="A872" s="10"/>
      <c r="B872" s="13"/>
      <c r="C872" s="13"/>
    </row>
    <row r="873" spans="1:3" ht="13" x14ac:dyDescent="0.15">
      <c r="A873" s="10"/>
      <c r="B873" s="13"/>
      <c r="C873" s="13"/>
    </row>
    <row r="874" spans="1:3" ht="13" x14ac:dyDescent="0.15">
      <c r="A874" s="10"/>
      <c r="B874" s="13"/>
      <c r="C874" s="13"/>
    </row>
    <row r="875" spans="1:3" ht="13" x14ac:dyDescent="0.15">
      <c r="A875" s="10"/>
      <c r="B875" s="13"/>
      <c r="C875" s="13"/>
    </row>
    <row r="876" spans="1:3" ht="13" x14ac:dyDescent="0.15">
      <c r="A876" s="10"/>
      <c r="B876" s="13"/>
      <c r="C876" s="13"/>
    </row>
    <row r="877" spans="1:3" ht="13" x14ac:dyDescent="0.15">
      <c r="A877" s="10"/>
      <c r="B877" s="13"/>
      <c r="C877" s="13"/>
    </row>
    <row r="878" spans="1:3" ht="13" x14ac:dyDescent="0.15">
      <c r="A878" s="10"/>
      <c r="B878" s="13"/>
      <c r="C878" s="13"/>
    </row>
    <row r="879" spans="1:3" ht="13" x14ac:dyDescent="0.15">
      <c r="A879" s="10"/>
      <c r="B879" s="13"/>
      <c r="C879" s="13"/>
    </row>
    <row r="880" spans="1:3" ht="13" x14ac:dyDescent="0.15">
      <c r="A880" s="10"/>
      <c r="B880" s="13"/>
      <c r="C880" s="13"/>
    </row>
    <row r="881" spans="1:3" ht="13" x14ac:dyDescent="0.15">
      <c r="A881" s="10"/>
      <c r="B881" s="13"/>
      <c r="C881" s="13"/>
    </row>
    <row r="882" spans="1:3" ht="13" x14ac:dyDescent="0.15">
      <c r="A882" s="10"/>
      <c r="B882" s="13"/>
      <c r="C882" s="13"/>
    </row>
    <row r="883" spans="1:3" ht="13" x14ac:dyDescent="0.15">
      <c r="A883" s="10"/>
      <c r="B883" s="13"/>
      <c r="C883" s="13"/>
    </row>
    <row r="884" spans="1:3" ht="13" x14ac:dyDescent="0.15">
      <c r="A884" s="10"/>
      <c r="B884" s="13"/>
      <c r="C884" s="13"/>
    </row>
    <row r="885" spans="1:3" ht="13" x14ac:dyDescent="0.15">
      <c r="A885" s="10"/>
      <c r="B885" s="13"/>
      <c r="C885" s="13"/>
    </row>
    <row r="886" spans="1:3" ht="13" x14ac:dyDescent="0.15">
      <c r="A886" s="10"/>
      <c r="B886" s="13"/>
      <c r="C886" s="13"/>
    </row>
    <row r="887" spans="1:3" ht="13" x14ac:dyDescent="0.15">
      <c r="A887" s="10"/>
      <c r="B887" s="13"/>
      <c r="C887" s="13"/>
    </row>
    <row r="888" spans="1:3" ht="13" x14ac:dyDescent="0.15">
      <c r="A888" s="10"/>
      <c r="B888" s="13"/>
      <c r="C888" s="13"/>
    </row>
    <row r="889" spans="1:3" ht="13" x14ac:dyDescent="0.15">
      <c r="A889" s="10"/>
      <c r="B889" s="13"/>
      <c r="C889" s="13"/>
    </row>
    <row r="890" spans="1:3" ht="13" x14ac:dyDescent="0.15">
      <c r="A890" s="10"/>
      <c r="B890" s="13"/>
      <c r="C890" s="13"/>
    </row>
    <row r="891" spans="1:3" ht="13" x14ac:dyDescent="0.15">
      <c r="A891" s="10"/>
      <c r="B891" s="13"/>
      <c r="C891" s="13"/>
    </row>
    <row r="892" spans="1:3" ht="13" x14ac:dyDescent="0.15">
      <c r="A892" s="10"/>
      <c r="B892" s="13"/>
      <c r="C892" s="13"/>
    </row>
    <row r="893" spans="1:3" ht="13" x14ac:dyDescent="0.15">
      <c r="A893" s="10"/>
      <c r="B893" s="13"/>
      <c r="C893" s="13"/>
    </row>
    <row r="894" spans="1:3" ht="13" x14ac:dyDescent="0.15">
      <c r="A894" s="10"/>
      <c r="B894" s="13"/>
      <c r="C894" s="13"/>
    </row>
    <row r="895" spans="1:3" ht="13" x14ac:dyDescent="0.15">
      <c r="A895" s="10"/>
      <c r="B895" s="13"/>
      <c r="C895" s="13"/>
    </row>
    <row r="896" spans="1:3" ht="13" x14ac:dyDescent="0.15">
      <c r="A896" s="10"/>
      <c r="B896" s="13"/>
      <c r="C896" s="13"/>
    </row>
    <row r="897" spans="1:3" ht="13" x14ac:dyDescent="0.15">
      <c r="A897" s="10"/>
      <c r="B897" s="13"/>
      <c r="C897" s="13"/>
    </row>
    <row r="898" spans="1:3" ht="13" x14ac:dyDescent="0.15">
      <c r="A898" s="10"/>
      <c r="B898" s="13"/>
      <c r="C898" s="13"/>
    </row>
    <row r="899" spans="1:3" ht="13" x14ac:dyDescent="0.15">
      <c r="A899" s="10"/>
      <c r="B899" s="13"/>
      <c r="C899" s="13"/>
    </row>
    <row r="900" spans="1:3" ht="13" x14ac:dyDescent="0.15">
      <c r="A900" s="10"/>
      <c r="B900" s="13"/>
      <c r="C900" s="13"/>
    </row>
    <row r="901" spans="1:3" ht="13" x14ac:dyDescent="0.15">
      <c r="A901" s="10"/>
      <c r="B901" s="13"/>
      <c r="C901" s="13"/>
    </row>
    <row r="902" spans="1:3" ht="13" x14ac:dyDescent="0.15">
      <c r="A902" s="10"/>
      <c r="B902" s="13"/>
      <c r="C902" s="13"/>
    </row>
    <row r="903" spans="1:3" ht="13" x14ac:dyDescent="0.15">
      <c r="A903" s="10"/>
      <c r="B903" s="13"/>
      <c r="C903" s="13"/>
    </row>
    <row r="904" spans="1:3" ht="13" x14ac:dyDescent="0.15">
      <c r="A904" s="10"/>
      <c r="B904" s="13"/>
      <c r="C904" s="13"/>
    </row>
    <row r="905" spans="1:3" ht="13" x14ac:dyDescent="0.15">
      <c r="A905" s="10"/>
      <c r="B905" s="13"/>
      <c r="C905" s="13"/>
    </row>
    <row r="906" spans="1:3" ht="13" x14ac:dyDescent="0.15">
      <c r="A906" s="10"/>
      <c r="B906" s="13"/>
      <c r="C906" s="13"/>
    </row>
    <row r="907" spans="1:3" ht="13" x14ac:dyDescent="0.15">
      <c r="A907" s="10"/>
      <c r="B907" s="13"/>
      <c r="C907" s="13"/>
    </row>
    <row r="908" spans="1:3" ht="13" x14ac:dyDescent="0.15">
      <c r="A908" s="10"/>
      <c r="B908" s="13"/>
      <c r="C908" s="13"/>
    </row>
    <row r="909" spans="1:3" ht="13" x14ac:dyDescent="0.15">
      <c r="A909" s="10"/>
      <c r="B909" s="13"/>
      <c r="C909" s="13"/>
    </row>
    <row r="910" spans="1:3" ht="13" x14ac:dyDescent="0.15">
      <c r="A910" s="10"/>
      <c r="B910" s="13"/>
      <c r="C910" s="13"/>
    </row>
    <row r="911" spans="1:3" ht="13" x14ac:dyDescent="0.15">
      <c r="A911" s="10"/>
      <c r="B911" s="13"/>
      <c r="C911" s="13"/>
    </row>
    <row r="912" spans="1:3" ht="13" x14ac:dyDescent="0.15">
      <c r="A912" s="10"/>
      <c r="B912" s="13"/>
      <c r="C912" s="13"/>
    </row>
    <row r="913" spans="1:3" ht="13" x14ac:dyDescent="0.15">
      <c r="A913" s="10"/>
      <c r="B913" s="13"/>
      <c r="C913" s="13"/>
    </row>
    <row r="914" spans="1:3" ht="13" x14ac:dyDescent="0.15">
      <c r="A914" s="10"/>
      <c r="B914" s="13"/>
      <c r="C914" s="13"/>
    </row>
    <row r="915" spans="1:3" ht="13" x14ac:dyDescent="0.15">
      <c r="A915" s="10"/>
      <c r="B915" s="13"/>
      <c r="C915" s="13"/>
    </row>
    <row r="916" spans="1:3" ht="13" x14ac:dyDescent="0.15">
      <c r="A916" s="10"/>
      <c r="B916" s="13"/>
      <c r="C916" s="13"/>
    </row>
    <row r="917" spans="1:3" ht="13" x14ac:dyDescent="0.15">
      <c r="A917" s="10"/>
      <c r="B917" s="13"/>
      <c r="C917" s="13"/>
    </row>
    <row r="918" spans="1:3" ht="13" x14ac:dyDescent="0.15">
      <c r="A918" s="10"/>
      <c r="B918" s="13"/>
      <c r="C918" s="13"/>
    </row>
    <row r="919" spans="1:3" ht="13" x14ac:dyDescent="0.15">
      <c r="A919" s="10"/>
      <c r="B919" s="13"/>
      <c r="C919" s="13"/>
    </row>
    <row r="920" spans="1:3" ht="13" x14ac:dyDescent="0.15">
      <c r="A920" s="10"/>
      <c r="B920" s="13"/>
      <c r="C920" s="13"/>
    </row>
    <row r="921" spans="1:3" ht="13" x14ac:dyDescent="0.15">
      <c r="A921" s="10"/>
      <c r="B921" s="13"/>
      <c r="C921" s="13"/>
    </row>
    <row r="922" spans="1:3" ht="13" x14ac:dyDescent="0.15">
      <c r="A922" s="10"/>
      <c r="B922" s="13"/>
      <c r="C922" s="13"/>
    </row>
    <row r="923" spans="1:3" ht="13" x14ac:dyDescent="0.15">
      <c r="A923" s="10"/>
      <c r="B923" s="13"/>
      <c r="C923" s="13"/>
    </row>
    <row r="924" spans="1:3" ht="13" x14ac:dyDescent="0.15">
      <c r="A924" s="10"/>
      <c r="B924" s="13"/>
      <c r="C924" s="13"/>
    </row>
    <row r="925" spans="1:3" ht="13" x14ac:dyDescent="0.15">
      <c r="A925" s="10"/>
      <c r="B925" s="13"/>
      <c r="C925" s="13"/>
    </row>
    <row r="926" spans="1:3" ht="13" x14ac:dyDescent="0.15">
      <c r="A926" s="10"/>
      <c r="B926" s="13"/>
      <c r="C926" s="13"/>
    </row>
    <row r="927" spans="1:3" ht="13" x14ac:dyDescent="0.15">
      <c r="A927" s="10"/>
      <c r="B927" s="13"/>
      <c r="C927" s="13"/>
    </row>
    <row r="928" spans="1:3" ht="13" x14ac:dyDescent="0.15">
      <c r="A928" s="10"/>
      <c r="B928" s="13"/>
      <c r="C928" s="13"/>
    </row>
    <row r="929" spans="1:3" ht="13" x14ac:dyDescent="0.15">
      <c r="A929" s="10"/>
      <c r="B929" s="13"/>
      <c r="C929" s="13"/>
    </row>
    <row r="930" spans="1:3" ht="13" x14ac:dyDescent="0.15">
      <c r="A930" s="10"/>
      <c r="B930" s="13"/>
      <c r="C930" s="13"/>
    </row>
    <row r="931" spans="1:3" ht="13" x14ac:dyDescent="0.15">
      <c r="A931" s="10"/>
      <c r="B931" s="13"/>
      <c r="C931" s="13"/>
    </row>
    <row r="932" spans="1:3" ht="13" x14ac:dyDescent="0.15">
      <c r="A932" s="10"/>
      <c r="B932" s="13"/>
      <c r="C932" s="13"/>
    </row>
    <row r="933" spans="1:3" ht="13" x14ac:dyDescent="0.15">
      <c r="A933" s="10"/>
      <c r="B933" s="13"/>
      <c r="C933" s="13"/>
    </row>
    <row r="934" spans="1:3" ht="13" x14ac:dyDescent="0.15">
      <c r="A934" s="10"/>
      <c r="B934" s="13"/>
      <c r="C934" s="13"/>
    </row>
    <row r="935" spans="1:3" ht="13" x14ac:dyDescent="0.15">
      <c r="A935" s="10"/>
      <c r="B935" s="13"/>
      <c r="C935" s="13"/>
    </row>
    <row r="936" spans="1:3" ht="13" x14ac:dyDescent="0.15">
      <c r="A936" s="10"/>
      <c r="B936" s="13"/>
      <c r="C936" s="13"/>
    </row>
    <row r="937" spans="1:3" ht="13" x14ac:dyDescent="0.15">
      <c r="A937" s="10"/>
      <c r="B937" s="13"/>
      <c r="C937" s="13"/>
    </row>
    <row r="938" spans="1:3" ht="13" x14ac:dyDescent="0.15">
      <c r="A938" s="10"/>
      <c r="B938" s="13"/>
      <c r="C938" s="13"/>
    </row>
    <row r="939" spans="1:3" ht="13" x14ac:dyDescent="0.15">
      <c r="A939" s="10"/>
      <c r="B939" s="13"/>
      <c r="C939" s="13"/>
    </row>
    <row r="940" spans="1:3" ht="13" x14ac:dyDescent="0.15">
      <c r="A940" s="10"/>
      <c r="B940" s="13"/>
      <c r="C940" s="13"/>
    </row>
    <row r="941" spans="1:3" ht="13" x14ac:dyDescent="0.15">
      <c r="A941" s="10"/>
      <c r="B941" s="13"/>
      <c r="C941" s="13"/>
    </row>
    <row r="942" spans="1:3" ht="13" x14ac:dyDescent="0.15">
      <c r="A942" s="10"/>
      <c r="B942" s="13"/>
      <c r="C942" s="13"/>
    </row>
    <row r="943" spans="1:3" ht="13" x14ac:dyDescent="0.15">
      <c r="A943" s="10"/>
      <c r="B943" s="13"/>
      <c r="C943" s="13"/>
    </row>
    <row r="944" spans="1:3" ht="13" x14ac:dyDescent="0.15">
      <c r="A944" s="10"/>
      <c r="B944" s="13"/>
      <c r="C944" s="13"/>
    </row>
    <row r="945" spans="1:3" ht="13" x14ac:dyDescent="0.15">
      <c r="A945" s="10"/>
      <c r="B945" s="13"/>
      <c r="C945" s="13"/>
    </row>
    <row r="946" spans="1:3" ht="13" x14ac:dyDescent="0.15">
      <c r="A946" s="10"/>
      <c r="B946" s="13"/>
      <c r="C946" s="13"/>
    </row>
    <row r="947" spans="1:3" ht="13" x14ac:dyDescent="0.15">
      <c r="A947" s="10"/>
      <c r="B947" s="13"/>
      <c r="C947" s="13"/>
    </row>
    <row r="948" spans="1:3" ht="13" x14ac:dyDescent="0.15">
      <c r="A948" s="10"/>
      <c r="B948" s="13"/>
      <c r="C948" s="13"/>
    </row>
    <row r="949" spans="1:3" ht="13" x14ac:dyDescent="0.15">
      <c r="A949" s="10"/>
      <c r="B949" s="13"/>
      <c r="C949" s="13"/>
    </row>
    <row r="950" spans="1:3" ht="13" x14ac:dyDescent="0.15">
      <c r="A950" s="10"/>
      <c r="B950" s="13"/>
      <c r="C950" s="13"/>
    </row>
    <row r="951" spans="1:3" ht="13" x14ac:dyDescent="0.15">
      <c r="A951" s="10"/>
      <c r="B951" s="13"/>
      <c r="C951" s="13"/>
    </row>
    <row r="952" spans="1:3" ht="13" x14ac:dyDescent="0.15">
      <c r="A952" s="10"/>
      <c r="B952" s="13"/>
      <c r="C952" s="13"/>
    </row>
    <row r="953" spans="1:3" ht="13" x14ac:dyDescent="0.15">
      <c r="A953" s="10"/>
      <c r="B953" s="13"/>
      <c r="C953" s="13"/>
    </row>
    <row r="954" spans="1:3" ht="13" x14ac:dyDescent="0.15">
      <c r="A954" s="10"/>
      <c r="B954" s="13"/>
      <c r="C954" s="13"/>
    </row>
    <row r="955" spans="1:3" ht="13" x14ac:dyDescent="0.15">
      <c r="A955" s="10"/>
      <c r="B955" s="13"/>
      <c r="C955" s="13"/>
    </row>
    <row r="956" spans="1:3" ht="13" x14ac:dyDescent="0.15">
      <c r="A956" s="10"/>
      <c r="B956" s="13"/>
      <c r="C956" s="13"/>
    </row>
    <row r="957" spans="1:3" ht="13" x14ac:dyDescent="0.15">
      <c r="A957" s="10"/>
      <c r="B957" s="13"/>
      <c r="C957" s="13"/>
    </row>
    <row r="958" spans="1:3" ht="13" x14ac:dyDescent="0.15">
      <c r="A958" s="10"/>
      <c r="B958" s="13"/>
      <c r="C958" s="13"/>
    </row>
    <row r="959" spans="1:3" ht="13" x14ac:dyDescent="0.15">
      <c r="A959" s="10"/>
      <c r="B959" s="13"/>
      <c r="C959" s="13"/>
    </row>
    <row r="960" spans="1:3" ht="13" x14ac:dyDescent="0.15">
      <c r="A960" s="10"/>
      <c r="B960" s="13"/>
      <c r="C960" s="13"/>
    </row>
    <row r="961" spans="1:3" ht="13" x14ac:dyDescent="0.15">
      <c r="A961" s="10"/>
      <c r="B961" s="13"/>
      <c r="C961" s="13"/>
    </row>
    <row r="962" spans="1:3" ht="13" x14ac:dyDescent="0.15">
      <c r="A962" s="10"/>
      <c r="B962" s="13"/>
      <c r="C962" s="13"/>
    </row>
    <row r="963" spans="1:3" ht="13" x14ac:dyDescent="0.15">
      <c r="A963" s="10"/>
      <c r="B963" s="13"/>
      <c r="C963" s="13"/>
    </row>
    <row r="964" spans="1:3" ht="13" x14ac:dyDescent="0.15">
      <c r="A964" s="10"/>
      <c r="B964" s="13"/>
      <c r="C964" s="13"/>
    </row>
    <row r="965" spans="1:3" ht="13" x14ac:dyDescent="0.15">
      <c r="A965" s="10"/>
      <c r="B965" s="13"/>
      <c r="C965" s="13"/>
    </row>
    <row r="966" spans="1:3" ht="13" x14ac:dyDescent="0.15">
      <c r="A966" s="10"/>
      <c r="B966" s="13"/>
      <c r="C966" s="13"/>
    </row>
    <row r="967" spans="1:3" ht="13" x14ac:dyDescent="0.15">
      <c r="A967" s="10"/>
      <c r="B967" s="13"/>
      <c r="C967" s="13"/>
    </row>
    <row r="968" spans="1:3" ht="13" x14ac:dyDescent="0.15">
      <c r="A968" s="10"/>
      <c r="B968" s="13"/>
      <c r="C968" s="13"/>
    </row>
    <row r="969" spans="1:3" ht="13" x14ac:dyDescent="0.15">
      <c r="A969" s="10"/>
      <c r="B969" s="13"/>
      <c r="C969" s="13"/>
    </row>
    <row r="970" spans="1:3" ht="13" x14ac:dyDescent="0.15">
      <c r="A970" s="10"/>
      <c r="B970" s="13"/>
      <c r="C970" s="13"/>
    </row>
    <row r="971" spans="1:3" ht="13" x14ac:dyDescent="0.15">
      <c r="A971" s="10"/>
      <c r="B971" s="13"/>
      <c r="C971" s="13"/>
    </row>
    <row r="972" spans="1:3" ht="13" x14ac:dyDescent="0.15">
      <c r="A972" s="10"/>
      <c r="B972" s="13"/>
      <c r="C972" s="13"/>
    </row>
    <row r="973" spans="1:3" ht="13" x14ac:dyDescent="0.15">
      <c r="A973" s="10"/>
      <c r="B973" s="13"/>
      <c r="C973" s="13"/>
    </row>
    <row r="974" spans="1:3" ht="13" x14ac:dyDescent="0.15">
      <c r="A974" s="10"/>
      <c r="B974" s="13"/>
      <c r="C974" s="13"/>
    </row>
    <row r="975" spans="1:3" ht="13" x14ac:dyDescent="0.15">
      <c r="A975" s="10"/>
      <c r="B975" s="13"/>
      <c r="C975" s="13"/>
    </row>
    <row r="976" spans="1:3" ht="13" x14ac:dyDescent="0.15">
      <c r="A976" s="10"/>
      <c r="B976" s="13"/>
      <c r="C976" s="13"/>
    </row>
    <row r="977" spans="1:3" ht="13" x14ac:dyDescent="0.15">
      <c r="A977" s="10"/>
      <c r="B977" s="13"/>
      <c r="C977" s="13"/>
    </row>
    <row r="978" spans="1:3" ht="13" x14ac:dyDescent="0.15">
      <c r="A978" s="10"/>
      <c r="B978" s="13"/>
      <c r="C978" s="13"/>
    </row>
    <row r="979" spans="1:3" ht="13" x14ac:dyDescent="0.15">
      <c r="A979" s="10"/>
      <c r="B979" s="13"/>
      <c r="C979" s="13"/>
    </row>
    <row r="980" spans="1:3" ht="13" x14ac:dyDescent="0.15">
      <c r="A980" s="10"/>
      <c r="B980" s="13"/>
      <c r="C980" s="13"/>
    </row>
    <row r="981" spans="1:3" ht="13" x14ac:dyDescent="0.15">
      <c r="A981" s="10"/>
      <c r="B981" s="13"/>
      <c r="C981" s="13"/>
    </row>
    <row r="982" spans="1:3" ht="13" x14ac:dyDescent="0.15">
      <c r="A982" s="10"/>
      <c r="B982" s="13"/>
      <c r="C982" s="13"/>
    </row>
    <row r="983" spans="1:3" ht="13" x14ac:dyDescent="0.15">
      <c r="A983" s="10"/>
      <c r="B983" s="13"/>
      <c r="C983" s="13"/>
    </row>
    <row r="984" spans="1:3" ht="13" x14ac:dyDescent="0.15">
      <c r="A984" s="10"/>
      <c r="B984" s="13"/>
      <c r="C984" s="13"/>
    </row>
    <row r="985" spans="1:3" ht="13" x14ac:dyDescent="0.15">
      <c r="A985" s="10"/>
      <c r="B985" s="13"/>
      <c r="C985" s="13"/>
    </row>
    <row r="986" spans="1:3" ht="13" x14ac:dyDescent="0.15">
      <c r="A986" s="10"/>
      <c r="B986" s="13"/>
      <c r="C986" s="13"/>
    </row>
    <row r="987" spans="1:3" ht="13" x14ac:dyDescent="0.15">
      <c r="A987" s="10"/>
      <c r="B987" s="13"/>
      <c r="C987" s="13"/>
    </row>
    <row r="988" spans="1:3" ht="13" x14ac:dyDescent="0.15">
      <c r="A988" s="10"/>
      <c r="B988" s="13"/>
      <c r="C988" s="13"/>
    </row>
    <row r="989" spans="1:3" ht="13" x14ac:dyDescent="0.15">
      <c r="A989" s="10"/>
      <c r="B989" s="13"/>
      <c r="C989" s="13"/>
    </row>
    <row r="990" spans="1:3" ht="13" x14ac:dyDescent="0.15">
      <c r="A990" s="10"/>
      <c r="B990" s="13"/>
      <c r="C990" s="13"/>
    </row>
    <row r="991" spans="1:3" ht="13" x14ac:dyDescent="0.15">
      <c r="A991" s="10"/>
      <c r="B991" s="13"/>
      <c r="C991" s="13"/>
    </row>
    <row r="992" spans="1:3" ht="13" x14ac:dyDescent="0.15">
      <c r="A992" s="10"/>
      <c r="B992" s="13"/>
      <c r="C992" s="13"/>
    </row>
    <row r="993" spans="1:3" ht="13" x14ac:dyDescent="0.15">
      <c r="A993" s="10"/>
      <c r="B993" s="13"/>
      <c r="C993" s="13"/>
    </row>
    <row r="994" spans="1:3" ht="13" x14ac:dyDescent="0.15">
      <c r="A994" s="10"/>
      <c r="B994" s="13"/>
      <c r="C994" s="13"/>
    </row>
    <row r="995" spans="1:3" ht="13" x14ac:dyDescent="0.15">
      <c r="A995" s="10"/>
      <c r="B995" s="13"/>
      <c r="C995" s="13"/>
    </row>
    <row r="996" spans="1:3" ht="13" x14ac:dyDescent="0.15">
      <c r="A996" s="10"/>
      <c r="B996" s="13"/>
      <c r="C996" s="13"/>
    </row>
    <row r="997" spans="1:3" ht="13" x14ac:dyDescent="0.15">
      <c r="A997" s="10"/>
      <c r="B997" s="13"/>
      <c r="C997" s="13"/>
    </row>
  </sheetData>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outlinePr summaryBelow="0" summaryRight="0"/>
  </sheetPr>
  <dimension ref="A1:D997"/>
  <sheetViews>
    <sheetView workbookViewId="0"/>
  </sheetViews>
  <sheetFormatPr baseColWidth="10" defaultColWidth="12.6640625" defaultRowHeight="15.75" customHeight="1" x14ac:dyDescent="0.15"/>
  <cols>
    <col min="1" max="1" width="71.5" customWidth="1"/>
    <col min="2" max="4" width="37.6640625" customWidth="1"/>
  </cols>
  <sheetData>
    <row r="1" spans="1:4" x14ac:dyDescent="0.2">
      <c r="A1" s="1"/>
      <c r="B1" s="22" t="str">
        <f ca="1">IFERROR(__xludf.DUMMYFUNCTION("IMPORTRANGE(""https://docs.google.com/spreadsheets/u/0/d/1_NcUY7_L0-VKMwwoDwesshr7eGsHFBVPNg4YI6jkjhk"", ""A85!B1:B22"")"),"Noelle Labadens")</f>
        <v>Noelle Labadens</v>
      </c>
      <c r="C1" s="10" t="str">
        <f ca="1">IFERROR(__xludf.DUMMYFUNCTION("IMPORTRANGE(""https://docs.google.com/spreadsheets/u/0/d/1tjgC5crHxYL6PIwdjQvl-Lz18xb2WRifl2-5aQ8KGT8"", ""A85!B1:B22"")"),"Jake Stafford")</f>
        <v>Jake Stafford</v>
      </c>
      <c r="D1" s="2" t="s">
        <v>1</v>
      </c>
    </row>
    <row r="2" spans="1:4" ht="15.75" customHeight="1" x14ac:dyDescent="0.15">
      <c r="A2" s="3" t="s">
        <v>2</v>
      </c>
      <c r="B2" s="15" t="str">
        <f ca="1">IFERROR(__xludf.DUMMYFUNCTION("""COMPUTED_VALUE"""),"50976-51569 FOR")</f>
        <v>50976-51569 FOR</v>
      </c>
      <c r="C2" s="15" t="str">
        <f ca="1">IFERROR(__xludf.DUMMYFUNCTION("""COMPUTED_VALUE"""),"Start:50976 Stop:51569 FOR")</f>
        <v>Start:50976 Stop:51569 FOR</v>
      </c>
      <c r="D2" s="4"/>
    </row>
    <row r="3" spans="1:4" ht="15.75" customHeight="1" x14ac:dyDescent="0.15">
      <c r="A3" s="5" t="s">
        <v>3</v>
      </c>
      <c r="B3" s="17" t="str">
        <f ca="1">IFERROR(__xludf.DUMMYFUNCTION("""COMPUTED_VALUE"""),"DNA Master: 84, Phamerator: 85")</f>
        <v>DNA Master: 84, Phamerator: 85</v>
      </c>
      <c r="C3" s="17" t="str">
        <f ca="1">IFERROR(__xludf.DUMMYFUNCTION("""COMPUTED_VALUE"""),"85 in PHAM, 84 in DNAM")</f>
        <v>85 in PHAM, 84 in DNAM</v>
      </c>
      <c r="D3" s="6"/>
    </row>
    <row r="4" spans="1:4" ht="15.75" customHeight="1" x14ac:dyDescent="0.15">
      <c r="A4" s="5" t="s">
        <v>4</v>
      </c>
      <c r="B4" s="17" t="str">
        <f ca="1">IFERROR(__xludf.DUMMYFUNCTION("""COMPUTED_VALUE"""),"pham 5808 3/17/25")</f>
        <v>pham 5808 3/17/25</v>
      </c>
      <c r="C4" s="17" t="str">
        <f ca="1">IFERROR(__xludf.DUMMYFUNCTION("""COMPUTED_VALUE"""),"5808 3/12/25")</f>
        <v>5808 3/12/25</v>
      </c>
      <c r="D4" s="6"/>
    </row>
    <row r="5" spans="1:4" ht="15.75" customHeight="1" x14ac:dyDescent="0.15">
      <c r="A5" s="5" t="s">
        <v>5</v>
      </c>
      <c r="B5" s="17" t="str">
        <f ca="1">IFERROR(__xludf.DUMMYFUNCTION("""COMPUTED_VALUE"""),"Kovu_83, Laroye_83")</f>
        <v>Kovu_83, Laroye_83</v>
      </c>
      <c r="C5" s="17" t="str">
        <f ca="1">IFERROR(__xludf.DUMMYFUNCTION("""COMPUTED_VALUE"""),"Edmundo_82, Kovu_83")</f>
        <v>Edmundo_82, Kovu_83</v>
      </c>
      <c r="D5" s="6"/>
    </row>
    <row r="6" spans="1:4" ht="15.75" customHeight="1" x14ac:dyDescent="0.15">
      <c r="A6" s="5" t="s">
        <v>6</v>
      </c>
      <c r="B6" s="17" t="str">
        <f ca="1">IFERROR(__xludf.DUMMYFUNCTION("""COMPUTED_VALUE"""),"both")</f>
        <v>both</v>
      </c>
      <c r="C6" s="17" t="str">
        <f ca="1">IFERROR(__xludf.DUMMYFUNCTION("""COMPUTED_VALUE"""),"both called")</f>
        <v>both called</v>
      </c>
      <c r="D6" s="6"/>
    </row>
    <row r="7" spans="1:4" ht="15.75" customHeight="1" x14ac:dyDescent="0.15">
      <c r="A7" s="5" t="s">
        <v>7</v>
      </c>
      <c r="B7" s="17" t="str">
        <f ca="1">IFERROR(__xludf.DUMMYFUNCTION("""COMPUTED_VALUE"""),"good coding potential, captures all potential.")</f>
        <v>good coding potential, captures all potential.</v>
      </c>
      <c r="C7" s="17" t="str">
        <f ca="1">IFERROR(__xludf.DUMMYFUNCTION("""COMPUTED_VALUE"""),"good potential, all is included")</f>
        <v>good potential, all is included</v>
      </c>
      <c r="D7" s="6"/>
    </row>
    <row r="8" spans="1:4" ht="15.75" customHeight="1" x14ac:dyDescent="0.15">
      <c r="A8" s="5" t="s">
        <v>8</v>
      </c>
      <c r="B8" s="17" t="str">
        <f ca="1">IFERROR(__xludf.DUMMYFUNCTION("""COMPUTED_VALUE"""),"yes")</f>
        <v>yes</v>
      </c>
      <c r="C8" s="17" t="str">
        <f ca="1">IFERROR(__xludf.DUMMYFUNCTION("""COMPUTED_VALUE"""),"yes")</f>
        <v>yes</v>
      </c>
      <c r="D8" s="6"/>
    </row>
    <row r="9" spans="1:4" ht="15.75" customHeight="1" x14ac:dyDescent="0.15">
      <c r="A9" s="5" t="s">
        <v>9</v>
      </c>
      <c r="B9" s="17" t="str">
        <f ca="1">IFERROR(__xludf.DUMMYFUNCTION("""COMPUTED_VALUE"""),"69 nt gap")</f>
        <v>69 nt gap</v>
      </c>
      <c r="C9" s="17" t="str">
        <f ca="1">IFERROR(__xludf.DUMMYFUNCTION("""COMPUTED_VALUE"""),"gap of 69 nucleotides,")</f>
        <v>gap of 69 nucleotides,</v>
      </c>
      <c r="D9" s="6"/>
    </row>
    <row r="10" spans="1:4" ht="15.75" customHeight="1" x14ac:dyDescent="0.15">
      <c r="A10" s="5" t="s">
        <v>10</v>
      </c>
      <c r="B10" s="17" t="str">
        <f ca="1">IFERROR(__xludf.DUMMYFUNCTION("""COMPUTED_VALUE"""),"Z score: 3.010, all others have lower z scores and create a larger gap")</f>
        <v>Z score: 3.010, all others have lower z scores and create a larger gap</v>
      </c>
      <c r="C10" s="17" t="str">
        <f ca="1">IFERROR(__xludf.DUMMYFUNCTION("""COMPUTED_VALUE"""),"z-score: 3.184, F-score: -2.481 Best score")</f>
        <v>z-score: 3.184, F-score: -2.481 Best score</v>
      </c>
      <c r="D10" s="6"/>
    </row>
    <row r="11" spans="1:4" ht="15.75" customHeight="1" x14ac:dyDescent="0.15">
      <c r="A11" s="5" t="s">
        <v>11</v>
      </c>
      <c r="B11" s="17" t="str">
        <f ca="1">IFERROR(__xludf.DUMMYFUNCTION("""COMPUTED_VALUE"""),"Kouv_83, 88%, 2e-96, q:1, s:1")</f>
        <v>Kouv_83, 88%, 2e-96, q:1, s:1</v>
      </c>
      <c r="C11" s="17" t="str">
        <f ca="1">IFERROR(__xludf.DUMMYFUNCTION("""COMPUTED_VALUE"""),"Kovu_83, 88.78% identity, eval: 2e-123, Laroye_83, 66% idenity, eval: 3e-86")</f>
        <v>Kovu_83, 88.78% identity, eval: 2e-123, Laroye_83, 66% idenity, eval: 3e-86</v>
      </c>
      <c r="D11" s="6"/>
    </row>
    <row r="12" spans="1:4" ht="15.75" customHeight="1" x14ac:dyDescent="0.15">
      <c r="A12" s="5" t="s">
        <v>12</v>
      </c>
      <c r="B12" s="17" t="str">
        <f ca="1">IFERROR(__xludf.DUMMYFUNCTION("""COMPUTED_VALUE"""),"found in 9/11 of genes, called 100% when present")</f>
        <v>found in 9/11 of genes, called 100% when present</v>
      </c>
      <c r="C12" s="17" t="str">
        <f ca="1">IFERROR(__xludf.DUMMYFUNCTION("""COMPUTED_VALUE"""),"Start 2 was conserved 9/11 phams and called 100% of the time when present")</f>
        <v>Start 2 was conserved 9/11 phams and called 100% of the time when present</v>
      </c>
      <c r="D12" s="6"/>
    </row>
    <row r="13" spans="1:4" ht="15.75" customHeight="1" x14ac:dyDescent="0.15">
      <c r="A13" s="5" t="s">
        <v>13</v>
      </c>
      <c r="B13" s="17" t="str">
        <f ca="1">IFERROR(__xludf.DUMMYFUNCTION("""COMPUTED_VALUE"""),"no. has good coding potential, would create a larger gap if moved, and is the most annoted start")</f>
        <v>no. has good coding potential, would create a larger gap if moved, and is the most annoted start</v>
      </c>
      <c r="C13" s="17" t="str">
        <f ca="1">IFERROR(__xludf.DUMMYFUNCTION("""COMPUTED_VALUE"""),"No, best potential, called 100% of the time when present")</f>
        <v>No, best potential, called 100% of the time when present</v>
      </c>
      <c r="D13" s="6"/>
    </row>
    <row r="14" spans="1:4" ht="15.75" customHeight="1" x14ac:dyDescent="0.15">
      <c r="A14" s="5" t="s">
        <v>14</v>
      </c>
      <c r="B14" s="17" t="str">
        <f ca="1">IFERROR(__xludf.DUMMYFUNCTION("""COMPUTED_VALUE"""),"Kovu_83 2e-96")</f>
        <v>Kovu_83 2e-96</v>
      </c>
      <c r="C14" s="17" t="str">
        <f ca="1">IFERROR(__xludf.DUMMYFUNCTION("""COMPUTED_VALUE"""),"Kovu_83, 2e-96 LiSara_80 7e-69")</f>
        <v>Kovu_83, 2e-96 LiSara_80 7e-69</v>
      </c>
      <c r="D14" s="6"/>
    </row>
    <row r="15" spans="1:4" ht="15.75" customHeight="1" x14ac:dyDescent="0.15">
      <c r="A15" s="5" t="s">
        <v>15</v>
      </c>
      <c r="B15" s="17" t="str">
        <f ca="1">IFERROR(__xludf.DUMMYFUNCTION("""COMPUTED_VALUE"""),"host nuclease inhibitor")</f>
        <v>host nuclease inhibitor</v>
      </c>
      <c r="C15" s="17" t="str">
        <f ca="1">IFERROR(__xludf.DUMMYFUNCTION("""COMPUTED_VALUE"""),"both were host nucleaes inhibitor, all other provided phams had this function.")</f>
        <v>both were host nucleaes inhibitor, all other provided phams had this function.</v>
      </c>
      <c r="D15" s="6"/>
    </row>
    <row r="16" spans="1:4" ht="15.75" customHeight="1" x14ac:dyDescent="0.15">
      <c r="A16" s="5" t="s">
        <v>16</v>
      </c>
      <c r="B16" s="17" t="str">
        <f ca="1">IFERROR(__xludf.DUMMYFUNCTION("""COMPUTED_VALUE"""),"yes, all adjacent genes to be expected.")</f>
        <v>yes, all adjacent genes to be expected.</v>
      </c>
      <c r="C16" s="17" t="str">
        <f ca="1">IFERROR(__xludf.DUMMYFUNCTION("""COMPUTED_VALUE"""),"Yes, Kovu is similar from 81 to 86.")</f>
        <v>Yes, Kovu is similar from 81 to 86.</v>
      </c>
      <c r="D16" s="6"/>
    </row>
    <row r="17" spans="1:4" ht="15.75" customHeight="1" x14ac:dyDescent="0.15">
      <c r="A17" s="5" t="s">
        <v>17</v>
      </c>
      <c r="B17" s="17" t="str">
        <f ca="1">IFERROR(__xludf.DUMMYFUNCTION("""COMPUTED_VALUE"""),"Host-nuclease inhibitor protein Gam, putative; STRUCTURAL GENOMICS, UNKNOWN FUNCTION, PSI-2, Protein Structure Initiative, New York SGX Research Center for Structural Genomics; HET: MSE; 2.75A {Desulfovibrio vulgaris} SCOP: h.4.18.1; 99.92%, q:76.65% t:88"&amp;".30%. good alignment. no.")</f>
        <v>Host-nuclease inhibitor protein Gam, putative; STRUCTURAL GENOMICS, UNKNOWN FUNCTION, PSI-2, Protein Structure Initiative, New York SGX Research Center for Structural Genomics; HET: MSE; 2.75A {Desulfovibrio vulgaris} SCOP: h.4.18.1; 99.92%, q:76.65% t:88.30%. good alignment. no.</v>
      </c>
      <c r="C17" s="17" t="str">
        <f ca="1">IFERROR(__xludf.DUMMYFUNCTION("""COMPUTED_VALUE"""),"Host-nuclease inhibitor protein Gam, putative; STRUCTURAL GENOMICS, UNKNOWN FUNCTION, PSI-2, Protein Structure Initiativ, 99.92% probability, allQ: 76.65%, allT 88.3%, functional domain is in the target part of the alignment")</f>
        <v>Host-nuclease inhibitor protein Gam, putative; STRUCTURAL GENOMICS, UNKNOWN FUNCTION, PSI-2, Protein Structure Initiativ, 99.92% probability, allQ: 76.65%, allT 88.3%, functional domain is in the target part of the alignment</v>
      </c>
      <c r="D17" s="6"/>
    </row>
    <row r="18" spans="1:4" ht="15.75" customHeight="1" x14ac:dyDescent="0.15">
      <c r="A18" s="5" t="s">
        <v>18</v>
      </c>
      <c r="B18" s="17" t="str">
        <f ca="1">IFERROR(__xludf.DUMMYFUNCTION("""COMPUTED_VALUE"""),"Phage_Mu_Gam")</f>
        <v>Phage_Mu_Gam</v>
      </c>
      <c r="C18" s="17" t="str">
        <f ca="1">IFERROR(__xludf.DUMMYFUNCTION("""COMPUTED_VALUE"""),"Yes, Phage_Mu_Gam")</f>
        <v>Yes, Phage_Mu_Gam</v>
      </c>
      <c r="D18" s="6"/>
    </row>
    <row r="19" spans="1:4" ht="15.75" customHeight="1" x14ac:dyDescent="0.15">
      <c r="A19" s="5" t="s">
        <v>19</v>
      </c>
      <c r="B19" s="17" t="str">
        <f ca="1">IFERROR(__xludf.DUMMYFUNCTION("""COMPUTED_VALUE"""),"none")</f>
        <v>none</v>
      </c>
      <c r="C19" s="17" t="str">
        <f ca="1">IFERROR(__xludf.DUMMYFUNCTION("""COMPUTED_VALUE"""),"No")</f>
        <v>No</v>
      </c>
      <c r="D19" s="6"/>
    </row>
    <row r="20" spans="1:4" ht="15.75" customHeight="1" x14ac:dyDescent="0.15">
      <c r="A20" s="5" t="s">
        <v>20</v>
      </c>
      <c r="B20" s="17" t="str">
        <f ca="1">IFERROR(__xludf.DUMMYFUNCTION("""COMPUTED_VALUE"""),"host nuclease inhibitor. this function is conversed in all members of pham. hits in hhpred align with what was called in pham. ")</f>
        <v xml:space="preserve">host nuclease inhibitor. this function is conversed in all members of pham. hits in hhpred align with what was called in pham. </v>
      </c>
      <c r="C20" s="17" t="str">
        <f ca="1">IFERROR(__xludf.DUMMYFUNCTION("""COMPUTED_VALUE"""),"Host nuclease inhinitor protein, overwhelming evidence from homologous genes and HHpred")</f>
        <v>Host nuclease inhinitor protein, overwhelming evidence from homologous genes and HHpred</v>
      </c>
      <c r="D20" s="6"/>
    </row>
    <row r="21" spans="1:4" x14ac:dyDescent="0.2">
      <c r="A21" s="7"/>
      <c r="B21" s="19"/>
      <c r="C21" s="19"/>
      <c r="D21" s="8"/>
    </row>
    <row r="22" spans="1:4" ht="15.75" customHeight="1" x14ac:dyDescent="0.15">
      <c r="A22" s="9" t="s">
        <v>21</v>
      </c>
      <c r="B22" s="19"/>
      <c r="C22" s="19"/>
      <c r="D22" s="8"/>
    </row>
    <row r="23" spans="1:4" ht="15.75" customHeight="1" x14ac:dyDescent="0.15">
      <c r="A23" s="10"/>
      <c r="B23" s="13"/>
      <c r="C23" s="13"/>
    </row>
    <row r="24" spans="1:4" ht="15.75" customHeight="1" x14ac:dyDescent="0.15">
      <c r="A24" s="10"/>
      <c r="B24" s="13"/>
      <c r="C24" s="13"/>
    </row>
    <row r="25" spans="1:4" ht="15.75" customHeight="1" x14ac:dyDescent="0.15">
      <c r="A25" s="10"/>
      <c r="B25" s="13"/>
      <c r="C25" s="13"/>
    </row>
    <row r="26" spans="1:4" ht="15.75" customHeight="1" x14ac:dyDescent="0.15">
      <c r="A26" s="10"/>
      <c r="B26" s="13"/>
      <c r="C26" s="13"/>
    </row>
    <row r="27" spans="1:4" ht="15.75" customHeight="1" x14ac:dyDescent="0.15">
      <c r="A27" s="10"/>
      <c r="B27" s="13"/>
      <c r="C27" s="13"/>
    </row>
    <row r="28" spans="1:4" ht="15.75" customHeight="1" x14ac:dyDescent="0.15">
      <c r="A28" s="10"/>
      <c r="B28" s="13"/>
      <c r="C28" s="13"/>
    </row>
    <row r="29" spans="1:4" ht="15.75" customHeight="1" x14ac:dyDescent="0.15">
      <c r="A29" s="10"/>
      <c r="B29" s="13"/>
      <c r="C29" s="13"/>
    </row>
    <row r="30" spans="1:4" ht="15.75" customHeight="1" x14ac:dyDescent="0.15">
      <c r="A30" s="10"/>
      <c r="B30" s="13"/>
      <c r="C30" s="13"/>
    </row>
    <row r="31" spans="1:4" ht="15.75" customHeight="1" x14ac:dyDescent="0.15">
      <c r="A31" s="10"/>
      <c r="B31" s="13"/>
      <c r="C31" s="13"/>
    </row>
    <row r="32" spans="1:4" ht="15.75" customHeight="1" x14ac:dyDescent="0.15">
      <c r="A32" s="10"/>
      <c r="B32" s="13"/>
      <c r="C32" s="13"/>
    </row>
    <row r="33" spans="1:3" ht="15.75" customHeight="1" x14ac:dyDescent="0.15">
      <c r="A33" s="10"/>
      <c r="B33" s="13"/>
      <c r="C33" s="13"/>
    </row>
    <row r="34" spans="1:3" ht="15.75" customHeight="1" x14ac:dyDescent="0.15">
      <c r="A34" s="10"/>
      <c r="B34" s="13"/>
      <c r="C34" s="13"/>
    </row>
    <row r="35" spans="1:3" ht="15.75" customHeight="1" x14ac:dyDescent="0.15">
      <c r="A35" s="10"/>
      <c r="B35" s="13"/>
      <c r="C35" s="13"/>
    </row>
    <row r="36" spans="1:3" ht="15.75" customHeight="1" x14ac:dyDescent="0.15">
      <c r="A36" s="10"/>
      <c r="B36" s="13"/>
      <c r="C36" s="13"/>
    </row>
    <row r="37" spans="1:3" ht="15.75" customHeight="1" x14ac:dyDescent="0.15">
      <c r="A37" s="10"/>
      <c r="B37" s="13"/>
      <c r="C37" s="13"/>
    </row>
    <row r="38" spans="1:3" ht="15.75" customHeight="1" x14ac:dyDescent="0.15">
      <c r="A38" s="10"/>
      <c r="B38" s="13"/>
      <c r="C38" s="13"/>
    </row>
    <row r="39" spans="1:3" ht="13" x14ac:dyDescent="0.15">
      <c r="A39" s="10"/>
      <c r="B39" s="13"/>
      <c r="C39" s="13"/>
    </row>
    <row r="40" spans="1:3" ht="13" x14ac:dyDescent="0.15">
      <c r="A40" s="10"/>
      <c r="B40" s="13"/>
      <c r="C40" s="13"/>
    </row>
    <row r="41" spans="1:3" ht="13" x14ac:dyDescent="0.15">
      <c r="A41" s="10"/>
      <c r="B41" s="13"/>
      <c r="C41" s="13"/>
    </row>
    <row r="42" spans="1:3" ht="13" x14ac:dyDescent="0.15">
      <c r="A42" s="10"/>
      <c r="B42" s="13"/>
      <c r="C42" s="13"/>
    </row>
    <row r="43" spans="1:3" ht="13" x14ac:dyDescent="0.15">
      <c r="A43" s="10"/>
      <c r="B43" s="13"/>
      <c r="C43" s="13"/>
    </row>
    <row r="44" spans="1:3" ht="13" x14ac:dyDescent="0.15">
      <c r="A44" s="10"/>
      <c r="B44" s="13"/>
      <c r="C44" s="13"/>
    </row>
    <row r="45" spans="1:3" ht="13" x14ac:dyDescent="0.15">
      <c r="A45" s="10"/>
      <c r="B45" s="13"/>
      <c r="C45" s="13"/>
    </row>
    <row r="46" spans="1:3" ht="13" x14ac:dyDescent="0.15">
      <c r="A46" s="10"/>
      <c r="B46" s="13"/>
      <c r="C46" s="13"/>
    </row>
    <row r="47" spans="1:3" ht="13" x14ac:dyDescent="0.15">
      <c r="A47" s="10"/>
      <c r="B47" s="13"/>
      <c r="C47" s="13"/>
    </row>
    <row r="48" spans="1:3" ht="13" x14ac:dyDescent="0.15">
      <c r="A48" s="10"/>
      <c r="B48" s="13"/>
      <c r="C48" s="13"/>
    </row>
    <row r="49" spans="1:3" ht="13" x14ac:dyDescent="0.15">
      <c r="A49" s="10"/>
      <c r="B49" s="13"/>
      <c r="C49" s="13"/>
    </row>
    <row r="50" spans="1:3" ht="13" x14ac:dyDescent="0.15">
      <c r="A50" s="10"/>
      <c r="B50" s="13"/>
      <c r="C50" s="13"/>
    </row>
    <row r="51" spans="1:3" ht="13" x14ac:dyDescent="0.15">
      <c r="A51" s="10"/>
      <c r="B51" s="13"/>
      <c r="C51" s="13"/>
    </row>
    <row r="52" spans="1:3" ht="13" x14ac:dyDescent="0.15">
      <c r="A52" s="10"/>
      <c r="B52" s="13"/>
      <c r="C52" s="13"/>
    </row>
    <row r="53" spans="1:3" ht="13" x14ac:dyDescent="0.15">
      <c r="A53" s="10"/>
      <c r="B53" s="13"/>
      <c r="C53" s="13"/>
    </row>
    <row r="54" spans="1:3" ht="13" x14ac:dyDescent="0.15">
      <c r="A54" s="10"/>
      <c r="B54" s="13"/>
      <c r="C54" s="13"/>
    </row>
    <row r="55" spans="1:3" ht="13" x14ac:dyDescent="0.15">
      <c r="A55" s="10"/>
      <c r="B55" s="13"/>
      <c r="C55" s="13"/>
    </row>
    <row r="56" spans="1:3" ht="13" x14ac:dyDescent="0.15">
      <c r="A56" s="10"/>
      <c r="B56" s="13"/>
      <c r="C56" s="13"/>
    </row>
    <row r="57" spans="1:3" ht="13" x14ac:dyDescent="0.15">
      <c r="A57" s="10"/>
      <c r="B57" s="13"/>
      <c r="C57" s="13"/>
    </row>
    <row r="58" spans="1:3" ht="13" x14ac:dyDescent="0.15">
      <c r="A58" s="10"/>
      <c r="B58" s="13"/>
      <c r="C58" s="13"/>
    </row>
    <row r="59" spans="1:3" ht="13" x14ac:dyDescent="0.15">
      <c r="A59" s="10"/>
      <c r="B59" s="13"/>
      <c r="C59" s="13"/>
    </row>
    <row r="60" spans="1:3" ht="13" x14ac:dyDescent="0.15">
      <c r="A60" s="10"/>
      <c r="B60" s="13"/>
      <c r="C60" s="13"/>
    </row>
    <row r="61" spans="1:3" ht="13" x14ac:dyDescent="0.15">
      <c r="A61" s="10"/>
      <c r="B61" s="13"/>
      <c r="C61" s="13"/>
    </row>
    <row r="62" spans="1:3" ht="13" x14ac:dyDescent="0.15">
      <c r="A62" s="10"/>
      <c r="B62" s="13"/>
      <c r="C62" s="13"/>
    </row>
    <row r="63" spans="1:3" ht="13" x14ac:dyDescent="0.15">
      <c r="A63" s="10"/>
      <c r="B63" s="13"/>
      <c r="C63" s="13"/>
    </row>
    <row r="64" spans="1:3" ht="13" x14ac:dyDescent="0.15">
      <c r="A64" s="10"/>
      <c r="B64" s="13"/>
      <c r="C64" s="13"/>
    </row>
    <row r="65" spans="1:3" ht="13" x14ac:dyDescent="0.15">
      <c r="A65" s="10"/>
      <c r="B65" s="13"/>
      <c r="C65" s="13"/>
    </row>
    <row r="66" spans="1:3" ht="13" x14ac:dyDescent="0.15">
      <c r="A66" s="10"/>
      <c r="B66" s="13"/>
      <c r="C66" s="13"/>
    </row>
    <row r="67" spans="1:3" ht="13" x14ac:dyDescent="0.15">
      <c r="A67" s="10"/>
      <c r="B67" s="13"/>
      <c r="C67" s="13"/>
    </row>
    <row r="68" spans="1:3" ht="13" x14ac:dyDescent="0.15">
      <c r="A68" s="10"/>
      <c r="B68" s="13"/>
      <c r="C68" s="13"/>
    </row>
    <row r="69" spans="1:3" ht="13" x14ac:dyDescent="0.15">
      <c r="A69" s="10"/>
      <c r="B69" s="13"/>
      <c r="C69" s="13"/>
    </row>
    <row r="70" spans="1:3" ht="13" x14ac:dyDescent="0.15">
      <c r="A70" s="10"/>
      <c r="B70" s="13"/>
      <c r="C70" s="13"/>
    </row>
    <row r="71" spans="1:3" ht="13" x14ac:dyDescent="0.15">
      <c r="A71" s="10"/>
      <c r="B71" s="13"/>
      <c r="C71" s="13"/>
    </row>
    <row r="72" spans="1:3" ht="13" x14ac:dyDescent="0.15">
      <c r="A72" s="10"/>
      <c r="B72" s="13"/>
      <c r="C72" s="13"/>
    </row>
    <row r="73" spans="1:3" ht="13" x14ac:dyDescent="0.15">
      <c r="A73" s="10"/>
      <c r="B73" s="13"/>
      <c r="C73" s="13"/>
    </row>
    <row r="74" spans="1:3" ht="13" x14ac:dyDescent="0.15">
      <c r="A74" s="10"/>
      <c r="B74" s="13"/>
      <c r="C74" s="13"/>
    </row>
    <row r="75" spans="1:3" ht="13" x14ac:dyDescent="0.15">
      <c r="A75" s="10"/>
      <c r="B75" s="13"/>
      <c r="C75" s="13"/>
    </row>
    <row r="76" spans="1:3" ht="13" x14ac:dyDescent="0.15">
      <c r="A76" s="10"/>
      <c r="B76" s="13"/>
      <c r="C76" s="13"/>
    </row>
    <row r="77" spans="1:3" ht="13" x14ac:dyDescent="0.15">
      <c r="A77" s="10"/>
      <c r="B77" s="13"/>
      <c r="C77" s="13"/>
    </row>
    <row r="78" spans="1:3" ht="13" x14ac:dyDescent="0.15">
      <c r="A78" s="10"/>
      <c r="B78" s="13"/>
      <c r="C78" s="13"/>
    </row>
    <row r="79" spans="1:3" ht="13" x14ac:dyDescent="0.15">
      <c r="A79" s="10"/>
      <c r="B79" s="13"/>
      <c r="C79" s="13"/>
    </row>
    <row r="80" spans="1:3" ht="13" x14ac:dyDescent="0.15">
      <c r="A80" s="10"/>
      <c r="B80" s="13"/>
      <c r="C80" s="13"/>
    </row>
    <row r="81" spans="1:3" ht="13" x14ac:dyDescent="0.15">
      <c r="A81" s="10"/>
      <c r="B81" s="13"/>
      <c r="C81" s="13"/>
    </row>
    <row r="82" spans="1:3" ht="13" x14ac:dyDescent="0.15">
      <c r="A82" s="10"/>
      <c r="B82" s="13"/>
      <c r="C82" s="13"/>
    </row>
    <row r="83" spans="1:3" ht="13" x14ac:dyDescent="0.15">
      <c r="A83" s="10"/>
      <c r="B83" s="13"/>
      <c r="C83" s="13"/>
    </row>
    <row r="84" spans="1:3" ht="13" x14ac:dyDescent="0.15">
      <c r="A84" s="10"/>
      <c r="B84" s="13"/>
      <c r="C84" s="13"/>
    </row>
    <row r="85" spans="1:3" ht="13" x14ac:dyDescent="0.15">
      <c r="A85" s="10"/>
      <c r="B85" s="13"/>
      <c r="C85" s="13"/>
    </row>
    <row r="86" spans="1:3" ht="13" x14ac:dyDescent="0.15">
      <c r="A86" s="10"/>
      <c r="B86" s="13"/>
      <c r="C86" s="13"/>
    </row>
    <row r="87" spans="1:3" ht="13" x14ac:dyDescent="0.15">
      <c r="A87" s="10"/>
      <c r="B87" s="13"/>
      <c r="C87" s="13"/>
    </row>
    <row r="88" spans="1:3" ht="13" x14ac:dyDescent="0.15">
      <c r="A88" s="10"/>
      <c r="B88" s="13"/>
      <c r="C88" s="13"/>
    </row>
    <row r="89" spans="1:3" ht="13" x14ac:dyDescent="0.15">
      <c r="A89" s="10"/>
      <c r="B89" s="13"/>
      <c r="C89" s="13"/>
    </row>
    <row r="90" spans="1:3" ht="13" x14ac:dyDescent="0.15">
      <c r="A90" s="10"/>
      <c r="B90" s="13"/>
      <c r="C90" s="13"/>
    </row>
    <row r="91" spans="1:3" ht="13" x14ac:dyDescent="0.15">
      <c r="A91" s="10"/>
      <c r="B91" s="13"/>
      <c r="C91" s="13"/>
    </row>
    <row r="92" spans="1:3" ht="13" x14ac:dyDescent="0.15">
      <c r="A92" s="10"/>
      <c r="B92" s="13"/>
      <c r="C92" s="13"/>
    </row>
    <row r="93" spans="1:3" ht="13" x14ac:dyDescent="0.15">
      <c r="A93" s="10"/>
      <c r="B93" s="13"/>
      <c r="C93" s="13"/>
    </row>
    <row r="94" spans="1:3" ht="13" x14ac:dyDescent="0.15">
      <c r="A94" s="10"/>
      <c r="B94" s="13"/>
      <c r="C94" s="13"/>
    </row>
    <row r="95" spans="1:3" ht="13" x14ac:dyDescent="0.15">
      <c r="A95" s="10"/>
      <c r="B95" s="13"/>
      <c r="C95" s="13"/>
    </row>
    <row r="96" spans="1:3" ht="13" x14ac:dyDescent="0.15">
      <c r="A96" s="10"/>
      <c r="B96" s="13"/>
      <c r="C96" s="13"/>
    </row>
    <row r="97" spans="1:3" ht="13" x14ac:dyDescent="0.15">
      <c r="A97" s="10"/>
      <c r="B97" s="13"/>
      <c r="C97" s="13"/>
    </row>
    <row r="98" spans="1:3" ht="13" x14ac:dyDescent="0.15">
      <c r="A98" s="10"/>
      <c r="B98" s="13"/>
      <c r="C98" s="13"/>
    </row>
    <row r="99" spans="1:3" ht="13" x14ac:dyDescent="0.15">
      <c r="A99" s="10"/>
      <c r="B99" s="13"/>
      <c r="C99" s="13"/>
    </row>
    <row r="100" spans="1:3" ht="13" x14ac:dyDescent="0.15">
      <c r="A100" s="10"/>
      <c r="B100" s="13"/>
      <c r="C100" s="13"/>
    </row>
    <row r="101" spans="1:3" ht="13" x14ac:dyDescent="0.15">
      <c r="A101" s="10"/>
      <c r="B101" s="13"/>
      <c r="C101" s="13"/>
    </row>
    <row r="102" spans="1:3" ht="13" x14ac:dyDescent="0.15">
      <c r="A102" s="10"/>
      <c r="B102" s="13"/>
      <c r="C102" s="13"/>
    </row>
    <row r="103" spans="1:3" ht="13" x14ac:dyDescent="0.15">
      <c r="A103" s="10"/>
      <c r="B103" s="13"/>
      <c r="C103" s="13"/>
    </row>
    <row r="104" spans="1:3" ht="13" x14ac:dyDescent="0.15">
      <c r="A104" s="10"/>
      <c r="B104" s="13"/>
      <c r="C104" s="13"/>
    </row>
    <row r="105" spans="1:3" ht="13" x14ac:dyDescent="0.15">
      <c r="A105" s="10"/>
      <c r="B105" s="13"/>
      <c r="C105" s="13"/>
    </row>
    <row r="106" spans="1:3" ht="13" x14ac:dyDescent="0.15">
      <c r="A106" s="10"/>
      <c r="B106" s="13"/>
      <c r="C106" s="13"/>
    </row>
    <row r="107" spans="1:3" ht="13" x14ac:dyDescent="0.15">
      <c r="A107" s="10"/>
      <c r="B107" s="13"/>
      <c r="C107" s="13"/>
    </row>
    <row r="108" spans="1:3" ht="13" x14ac:dyDescent="0.15">
      <c r="A108" s="10"/>
      <c r="B108" s="13"/>
      <c r="C108" s="13"/>
    </row>
    <row r="109" spans="1:3" ht="13" x14ac:dyDescent="0.15">
      <c r="A109" s="10"/>
      <c r="B109" s="13"/>
      <c r="C109" s="13"/>
    </row>
    <row r="110" spans="1:3" ht="13" x14ac:dyDescent="0.15">
      <c r="A110" s="10"/>
      <c r="B110" s="13"/>
      <c r="C110" s="13"/>
    </row>
    <row r="111" spans="1:3" ht="13" x14ac:dyDescent="0.15">
      <c r="A111" s="10"/>
      <c r="B111" s="13"/>
      <c r="C111" s="13"/>
    </row>
    <row r="112" spans="1:3" ht="13" x14ac:dyDescent="0.15">
      <c r="A112" s="10"/>
      <c r="B112" s="13"/>
      <c r="C112" s="13"/>
    </row>
    <row r="113" spans="1:3" ht="13" x14ac:dyDescent="0.15">
      <c r="A113" s="10"/>
      <c r="B113" s="13"/>
      <c r="C113" s="13"/>
    </row>
    <row r="114" spans="1:3" ht="13" x14ac:dyDescent="0.15">
      <c r="A114" s="10"/>
      <c r="B114" s="13"/>
      <c r="C114" s="13"/>
    </row>
    <row r="115" spans="1:3" ht="13" x14ac:dyDescent="0.15">
      <c r="A115" s="10"/>
      <c r="B115" s="13"/>
      <c r="C115" s="13"/>
    </row>
    <row r="116" spans="1:3" ht="13" x14ac:dyDescent="0.15">
      <c r="A116" s="10"/>
      <c r="B116" s="13"/>
      <c r="C116" s="13"/>
    </row>
    <row r="117" spans="1:3" ht="13" x14ac:dyDescent="0.15">
      <c r="A117" s="10"/>
      <c r="B117" s="13"/>
      <c r="C117" s="13"/>
    </row>
    <row r="118" spans="1:3" ht="13" x14ac:dyDescent="0.15">
      <c r="A118" s="10"/>
      <c r="B118" s="13"/>
      <c r="C118" s="13"/>
    </row>
    <row r="119" spans="1:3" ht="13" x14ac:dyDescent="0.15">
      <c r="A119" s="10"/>
      <c r="B119" s="13"/>
      <c r="C119" s="13"/>
    </row>
    <row r="120" spans="1:3" ht="13" x14ac:dyDescent="0.15">
      <c r="A120" s="10"/>
      <c r="B120" s="13"/>
      <c r="C120" s="13"/>
    </row>
    <row r="121" spans="1:3" ht="13" x14ac:dyDescent="0.15">
      <c r="A121" s="10"/>
      <c r="B121" s="13"/>
      <c r="C121" s="13"/>
    </row>
    <row r="122" spans="1:3" ht="13" x14ac:dyDescent="0.15">
      <c r="A122" s="10"/>
      <c r="B122" s="13"/>
      <c r="C122" s="13"/>
    </row>
    <row r="123" spans="1:3" ht="13" x14ac:dyDescent="0.15">
      <c r="A123" s="10"/>
      <c r="B123" s="13"/>
      <c r="C123" s="13"/>
    </row>
    <row r="124" spans="1:3" ht="13" x14ac:dyDescent="0.15">
      <c r="A124" s="10"/>
      <c r="B124" s="13"/>
      <c r="C124" s="13"/>
    </row>
    <row r="125" spans="1:3" ht="13" x14ac:dyDescent="0.15">
      <c r="A125" s="10"/>
      <c r="B125" s="13"/>
      <c r="C125" s="13"/>
    </row>
    <row r="126" spans="1:3" ht="13" x14ac:dyDescent="0.15">
      <c r="A126" s="10"/>
      <c r="B126" s="13"/>
      <c r="C126" s="13"/>
    </row>
    <row r="127" spans="1:3" ht="13" x14ac:dyDescent="0.15">
      <c r="A127" s="10"/>
      <c r="B127" s="13"/>
      <c r="C127" s="13"/>
    </row>
    <row r="128" spans="1:3" ht="13" x14ac:dyDescent="0.15">
      <c r="A128" s="10"/>
      <c r="B128" s="13"/>
      <c r="C128" s="13"/>
    </row>
    <row r="129" spans="1:3" ht="13" x14ac:dyDescent="0.15">
      <c r="A129" s="10"/>
      <c r="B129" s="13"/>
      <c r="C129" s="13"/>
    </row>
    <row r="130" spans="1:3" ht="13" x14ac:dyDescent="0.15">
      <c r="A130" s="10"/>
      <c r="B130" s="13"/>
      <c r="C130" s="13"/>
    </row>
    <row r="131" spans="1:3" ht="13" x14ac:dyDescent="0.15">
      <c r="A131" s="10"/>
      <c r="B131" s="13"/>
      <c r="C131" s="13"/>
    </row>
    <row r="132" spans="1:3" ht="13" x14ac:dyDescent="0.15">
      <c r="A132" s="10"/>
      <c r="B132" s="13"/>
      <c r="C132" s="13"/>
    </row>
    <row r="133" spans="1:3" ht="13" x14ac:dyDescent="0.15">
      <c r="A133" s="10"/>
      <c r="B133" s="13"/>
      <c r="C133" s="13"/>
    </row>
    <row r="134" spans="1:3" ht="13" x14ac:dyDescent="0.15">
      <c r="A134" s="10"/>
      <c r="B134" s="13"/>
      <c r="C134" s="13"/>
    </row>
    <row r="135" spans="1:3" ht="13" x14ac:dyDescent="0.15">
      <c r="A135" s="10"/>
      <c r="B135" s="13"/>
      <c r="C135" s="13"/>
    </row>
    <row r="136" spans="1:3" ht="13" x14ac:dyDescent="0.15">
      <c r="A136" s="10"/>
      <c r="B136" s="13"/>
      <c r="C136" s="13"/>
    </row>
    <row r="137" spans="1:3" ht="13" x14ac:dyDescent="0.15">
      <c r="A137" s="10"/>
      <c r="B137" s="13"/>
      <c r="C137" s="13"/>
    </row>
    <row r="138" spans="1:3" ht="13" x14ac:dyDescent="0.15">
      <c r="A138" s="10"/>
      <c r="B138" s="13"/>
      <c r="C138" s="13"/>
    </row>
    <row r="139" spans="1:3" ht="13" x14ac:dyDescent="0.15">
      <c r="A139" s="10"/>
      <c r="B139" s="13"/>
      <c r="C139" s="13"/>
    </row>
    <row r="140" spans="1:3" ht="13" x14ac:dyDescent="0.15">
      <c r="A140" s="10"/>
      <c r="B140" s="13"/>
      <c r="C140" s="13"/>
    </row>
    <row r="141" spans="1:3" ht="13" x14ac:dyDescent="0.15">
      <c r="A141" s="10"/>
      <c r="B141" s="13"/>
      <c r="C141" s="13"/>
    </row>
    <row r="142" spans="1:3" ht="13" x14ac:dyDescent="0.15">
      <c r="A142" s="10"/>
      <c r="B142" s="13"/>
      <c r="C142" s="13"/>
    </row>
    <row r="143" spans="1:3" ht="13" x14ac:dyDescent="0.15">
      <c r="A143" s="10"/>
      <c r="B143" s="13"/>
      <c r="C143" s="13"/>
    </row>
    <row r="144" spans="1:3" ht="13" x14ac:dyDescent="0.15">
      <c r="A144" s="10"/>
      <c r="B144" s="13"/>
      <c r="C144" s="13"/>
    </row>
    <row r="145" spans="1:3" ht="13" x14ac:dyDescent="0.15">
      <c r="A145" s="10"/>
      <c r="B145" s="13"/>
      <c r="C145" s="13"/>
    </row>
    <row r="146" spans="1:3" ht="13" x14ac:dyDescent="0.15">
      <c r="A146" s="10"/>
      <c r="B146" s="13"/>
      <c r="C146" s="13"/>
    </row>
    <row r="147" spans="1:3" ht="13" x14ac:dyDescent="0.15">
      <c r="A147" s="10"/>
      <c r="B147" s="13"/>
      <c r="C147" s="13"/>
    </row>
    <row r="148" spans="1:3" ht="13" x14ac:dyDescent="0.15">
      <c r="A148" s="10"/>
      <c r="B148" s="13"/>
      <c r="C148" s="13"/>
    </row>
    <row r="149" spans="1:3" ht="13" x14ac:dyDescent="0.15">
      <c r="A149" s="10"/>
      <c r="B149" s="13"/>
      <c r="C149" s="13"/>
    </row>
    <row r="150" spans="1:3" ht="13" x14ac:dyDescent="0.15">
      <c r="A150" s="10"/>
      <c r="B150" s="13"/>
      <c r="C150" s="13"/>
    </row>
    <row r="151" spans="1:3" ht="13" x14ac:dyDescent="0.15">
      <c r="A151" s="10"/>
      <c r="B151" s="13"/>
      <c r="C151" s="13"/>
    </row>
    <row r="152" spans="1:3" ht="13" x14ac:dyDescent="0.15">
      <c r="A152" s="10"/>
      <c r="B152" s="13"/>
      <c r="C152" s="13"/>
    </row>
    <row r="153" spans="1:3" ht="13" x14ac:dyDescent="0.15">
      <c r="A153" s="10"/>
      <c r="B153" s="13"/>
      <c r="C153" s="13"/>
    </row>
    <row r="154" spans="1:3" ht="13" x14ac:dyDescent="0.15">
      <c r="A154" s="10"/>
      <c r="B154" s="13"/>
      <c r="C154" s="13"/>
    </row>
    <row r="155" spans="1:3" ht="13" x14ac:dyDescent="0.15">
      <c r="A155" s="10"/>
      <c r="B155" s="13"/>
      <c r="C155" s="13"/>
    </row>
    <row r="156" spans="1:3" ht="13" x14ac:dyDescent="0.15">
      <c r="A156" s="10"/>
      <c r="B156" s="13"/>
      <c r="C156" s="13"/>
    </row>
    <row r="157" spans="1:3" ht="13" x14ac:dyDescent="0.15">
      <c r="A157" s="10"/>
      <c r="B157" s="13"/>
      <c r="C157" s="13"/>
    </row>
    <row r="158" spans="1:3" ht="13" x14ac:dyDescent="0.15">
      <c r="A158" s="10"/>
      <c r="B158" s="13"/>
      <c r="C158" s="13"/>
    </row>
    <row r="159" spans="1:3" ht="13" x14ac:dyDescent="0.15">
      <c r="A159" s="10"/>
      <c r="B159" s="13"/>
      <c r="C159" s="13"/>
    </row>
    <row r="160" spans="1:3" ht="13" x14ac:dyDescent="0.15">
      <c r="A160" s="10"/>
      <c r="B160" s="13"/>
      <c r="C160" s="13"/>
    </row>
    <row r="161" spans="1:3" ht="13" x14ac:dyDescent="0.15">
      <c r="A161" s="10"/>
      <c r="B161" s="13"/>
      <c r="C161" s="13"/>
    </row>
    <row r="162" spans="1:3" ht="13" x14ac:dyDescent="0.15">
      <c r="A162" s="10"/>
      <c r="B162" s="13"/>
      <c r="C162" s="13"/>
    </row>
    <row r="163" spans="1:3" ht="13" x14ac:dyDescent="0.15">
      <c r="A163" s="10"/>
      <c r="B163" s="13"/>
      <c r="C163" s="13"/>
    </row>
    <row r="164" spans="1:3" ht="13" x14ac:dyDescent="0.15">
      <c r="A164" s="10"/>
      <c r="B164" s="13"/>
      <c r="C164" s="13"/>
    </row>
    <row r="165" spans="1:3" ht="13" x14ac:dyDescent="0.15">
      <c r="A165" s="10"/>
      <c r="B165" s="13"/>
      <c r="C165" s="13"/>
    </row>
    <row r="166" spans="1:3" ht="13" x14ac:dyDescent="0.15">
      <c r="A166" s="10"/>
      <c r="B166" s="13"/>
      <c r="C166" s="13"/>
    </row>
    <row r="167" spans="1:3" ht="13" x14ac:dyDescent="0.15">
      <c r="A167" s="10"/>
      <c r="B167" s="13"/>
      <c r="C167" s="13"/>
    </row>
    <row r="168" spans="1:3" ht="13" x14ac:dyDescent="0.15">
      <c r="A168" s="10"/>
      <c r="B168" s="13"/>
      <c r="C168" s="13"/>
    </row>
    <row r="169" spans="1:3" ht="13" x14ac:dyDescent="0.15">
      <c r="A169" s="10"/>
      <c r="B169" s="13"/>
      <c r="C169" s="13"/>
    </row>
    <row r="170" spans="1:3" ht="13" x14ac:dyDescent="0.15">
      <c r="A170" s="10"/>
      <c r="B170" s="13"/>
      <c r="C170" s="13"/>
    </row>
    <row r="171" spans="1:3" ht="13" x14ac:dyDescent="0.15">
      <c r="A171" s="10"/>
      <c r="B171" s="13"/>
      <c r="C171" s="13"/>
    </row>
    <row r="172" spans="1:3" ht="13" x14ac:dyDescent="0.15">
      <c r="A172" s="10"/>
      <c r="B172" s="13"/>
      <c r="C172" s="13"/>
    </row>
    <row r="173" spans="1:3" ht="13" x14ac:dyDescent="0.15">
      <c r="A173" s="10"/>
      <c r="B173" s="13"/>
      <c r="C173" s="13"/>
    </row>
    <row r="174" spans="1:3" ht="13" x14ac:dyDescent="0.15">
      <c r="A174" s="10"/>
      <c r="B174" s="13"/>
      <c r="C174" s="13"/>
    </row>
    <row r="175" spans="1:3" ht="13" x14ac:dyDescent="0.15">
      <c r="A175" s="10"/>
      <c r="B175" s="13"/>
      <c r="C175" s="13"/>
    </row>
    <row r="176" spans="1:3" ht="13" x14ac:dyDescent="0.15">
      <c r="A176" s="10"/>
      <c r="B176" s="13"/>
      <c r="C176" s="13"/>
    </row>
    <row r="177" spans="1:3" ht="13" x14ac:dyDescent="0.15">
      <c r="A177" s="10"/>
      <c r="B177" s="13"/>
      <c r="C177" s="13"/>
    </row>
    <row r="178" spans="1:3" ht="13" x14ac:dyDescent="0.15">
      <c r="A178" s="10"/>
      <c r="B178" s="13"/>
      <c r="C178" s="13"/>
    </row>
    <row r="179" spans="1:3" ht="13" x14ac:dyDescent="0.15">
      <c r="A179" s="10"/>
      <c r="B179" s="13"/>
      <c r="C179" s="13"/>
    </row>
    <row r="180" spans="1:3" ht="13" x14ac:dyDescent="0.15">
      <c r="A180" s="10"/>
      <c r="B180" s="13"/>
      <c r="C180" s="13"/>
    </row>
    <row r="181" spans="1:3" ht="13" x14ac:dyDescent="0.15">
      <c r="A181" s="10"/>
      <c r="B181" s="13"/>
      <c r="C181" s="13"/>
    </row>
    <row r="182" spans="1:3" ht="13" x14ac:dyDescent="0.15">
      <c r="A182" s="10"/>
      <c r="B182" s="13"/>
      <c r="C182" s="13"/>
    </row>
    <row r="183" spans="1:3" ht="13" x14ac:dyDescent="0.15">
      <c r="A183" s="10"/>
      <c r="B183" s="13"/>
      <c r="C183" s="13"/>
    </row>
    <row r="184" spans="1:3" ht="13" x14ac:dyDescent="0.15">
      <c r="A184" s="10"/>
      <c r="B184" s="13"/>
      <c r="C184" s="13"/>
    </row>
    <row r="185" spans="1:3" ht="13" x14ac:dyDescent="0.15">
      <c r="A185" s="10"/>
      <c r="B185" s="13"/>
      <c r="C185" s="13"/>
    </row>
    <row r="186" spans="1:3" ht="13" x14ac:dyDescent="0.15">
      <c r="A186" s="10"/>
      <c r="B186" s="13"/>
      <c r="C186" s="13"/>
    </row>
    <row r="187" spans="1:3" ht="13" x14ac:dyDescent="0.15">
      <c r="A187" s="10"/>
      <c r="B187" s="13"/>
      <c r="C187" s="13"/>
    </row>
    <row r="188" spans="1:3" ht="13" x14ac:dyDescent="0.15">
      <c r="A188" s="10"/>
      <c r="B188" s="13"/>
      <c r="C188" s="13"/>
    </row>
    <row r="189" spans="1:3" ht="13" x14ac:dyDescent="0.15">
      <c r="A189" s="10"/>
      <c r="B189" s="13"/>
      <c r="C189" s="13"/>
    </row>
    <row r="190" spans="1:3" ht="13" x14ac:dyDescent="0.15">
      <c r="A190" s="10"/>
      <c r="B190" s="13"/>
      <c r="C190" s="13"/>
    </row>
    <row r="191" spans="1:3" ht="13" x14ac:dyDescent="0.15">
      <c r="A191" s="10"/>
      <c r="B191" s="13"/>
      <c r="C191" s="13"/>
    </row>
    <row r="192" spans="1:3" ht="13" x14ac:dyDescent="0.15">
      <c r="A192" s="10"/>
      <c r="B192" s="13"/>
      <c r="C192" s="13"/>
    </row>
    <row r="193" spans="1:3" ht="13" x14ac:dyDescent="0.15">
      <c r="A193" s="10"/>
      <c r="B193" s="13"/>
      <c r="C193" s="13"/>
    </row>
    <row r="194" spans="1:3" ht="13" x14ac:dyDescent="0.15">
      <c r="A194" s="10"/>
      <c r="B194" s="13"/>
      <c r="C194" s="13"/>
    </row>
    <row r="195" spans="1:3" ht="13" x14ac:dyDescent="0.15">
      <c r="A195" s="10"/>
      <c r="B195" s="13"/>
      <c r="C195" s="13"/>
    </row>
    <row r="196" spans="1:3" ht="13" x14ac:dyDescent="0.15">
      <c r="A196" s="10"/>
      <c r="B196" s="13"/>
      <c r="C196" s="13"/>
    </row>
    <row r="197" spans="1:3" ht="13" x14ac:dyDescent="0.15">
      <c r="A197" s="10"/>
      <c r="B197" s="13"/>
      <c r="C197" s="13"/>
    </row>
    <row r="198" spans="1:3" ht="13" x14ac:dyDescent="0.15">
      <c r="A198" s="10"/>
      <c r="B198" s="13"/>
      <c r="C198" s="13"/>
    </row>
    <row r="199" spans="1:3" ht="13" x14ac:dyDescent="0.15">
      <c r="A199" s="10"/>
      <c r="B199" s="13"/>
      <c r="C199" s="13"/>
    </row>
    <row r="200" spans="1:3" ht="13" x14ac:dyDescent="0.15">
      <c r="A200" s="10"/>
      <c r="B200" s="13"/>
      <c r="C200" s="13"/>
    </row>
    <row r="201" spans="1:3" ht="13" x14ac:dyDescent="0.15">
      <c r="A201" s="10"/>
      <c r="B201" s="13"/>
      <c r="C201" s="13"/>
    </row>
    <row r="202" spans="1:3" ht="13" x14ac:dyDescent="0.15">
      <c r="A202" s="10"/>
      <c r="B202" s="13"/>
      <c r="C202" s="13"/>
    </row>
    <row r="203" spans="1:3" ht="13" x14ac:dyDescent="0.15">
      <c r="A203" s="10"/>
      <c r="B203" s="13"/>
      <c r="C203" s="13"/>
    </row>
    <row r="204" spans="1:3" ht="13" x14ac:dyDescent="0.15">
      <c r="A204" s="10"/>
      <c r="B204" s="13"/>
      <c r="C204" s="13"/>
    </row>
    <row r="205" spans="1:3" ht="13" x14ac:dyDescent="0.15">
      <c r="A205" s="10"/>
      <c r="B205" s="13"/>
      <c r="C205" s="13"/>
    </row>
    <row r="206" spans="1:3" ht="13" x14ac:dyDescent="0.15">
      <c r="A206" s="10"/>
      <c r="B206" s="13"/>
      <c r="C206" s="13"/>
    </row>
    <row r="207" spans="1:3" ht="13" x14ac:dyDescent="0.15">
      <c r="A207" s="10"/>
      <c r="B207" s="13"/>
      <c r="C207" s="13"/>
    </row>
    <row r="208" spans="1:3" ht="13" x14ac:dyDescent="0.15">
      <c r="A208" s="10"/>
      <c r="B208" s="13"/>
      <c r="C208" s="13"/>
    </row>
    <row r="209" spans="1:3" ht="13" x14ac:dyDescent="0.15">
      <c r="A209" s="10"/>
      <c r="B209" s="13"/>
      <c r="C209" s="13"/>
    </row>
    <row r="210" spans="1:3" ht="13" x14ac:dyDescent="0.15">
      <c r="A210" s="10"/>
      <c r="B210" s="13"/>
      <c r="C210" s="13"/>
    </row>
    <row r="211" spans="1:3" ht="13" x14ac:dyDescent="0.15">
      <c r="A211" s="10"/>
      <c r="B211" s="13"/>
      <c r="C211" s="13"/>
    </row>
    <row r="212" spans="1:3" ht="13" x14ac:dyDescent="0.15">
      <c r="A212" s="10"/>
      <c r="B212" s="13"/>
      <c r="C212" s="13"/>
    </row>
    <row r="213" spans="1:3" ht="13" x14ac:dyDescent="0.15">
      <c r="A213" s="10"/>
      <c r="B213" s="13"/>
      <c r="C213" s="13"/>
    </row>
    <row r="214" spans="1:3" ht="13" x14ac:dyDescent="0.15">
      <c r="A214" s="10"/>
      <c r="B214" s="13"/>
      <c r="C214" s="13"/>
    </row>
    <row r="215" spans="1:3" ht="13" x14ac:dyDescent="0.15">
      <c r="A215" s="10"/>
      <c r="B215" s="13"/>
      <c r="C215" s="13"/>
    </row>
    <row r="216" spans="1:3" ht="13" x14ac:dyDescent="0.15">
      <c r="A216" s="10"/>
      <c r="B216" s="13"/>
      <c r="C216" s="13"/>
    </row>
    <row r="217" spans="1:3" ht="13" x14ac:dyDescent="0.15">
      <c r="A217" s="10"/>
      <c r="B217" s="13"/>
      <c r="C217" s="13"/>
    </row>
    <row r="218" spans="1:3" ht="13" x14ac:dyDescent="0.15">
      <c r="A218" s="10"/>
      <c r="B218" s="13"/>
      <c r="C218" s="13"/>
    </row>
    <row r="219" spans="1:3" ht="13" x14ac:dyDescent="0.15">
      <c r="A219" s="10"/>
      <c r="B219" s="13"/>
      <c r="C219" s="13"/>
    </row>
    <row r="220" spans="1:3" ht="13" x14ac:dyDescent="0.15">
      <c r="A220" s="10"/>
      <c r="B220" s="13"/>
      <c r="C220" s="13"/>
    </row>
    <row r="221" spans="1:3" ht="13" x14ac:dyDescent="0.15">
      <c r="A221" s="10"/>
      <c r="B221" s="13"/>
      <c r="C221" s="13"/>
    </row>
    <row r="222" spans="1:3" ht="13" x14ac:dyDescent="0.15">
      <c r="A222" s="10"/>
      <c r="B222" s="13"/>
      <c r="C222" s="13"/>
    </row>
    <row r="223" spans="1:3" ht="13" x14ac:dyDescent="0.15">
      <c r="A223" s="10"/>
      <c r="B223" s="13"/>
      <c r="C223" s="13"/>
    </row>
    <row r="224" spans="1:3" ht="13" x14ac:dyDescent="0.15">
      <c r="A224" s="10"/>
      <c r="B224" s="13"/>
      <c r="C224" s="13"/>
    </row>
    <row r="225" spans="1:3" ht="13" x14ac:dyDescent="0.15">
      <c r="A225" s="10"/>
      <c r="B225" s="13"/>
      <c r="C225" s="13"/>
    </row>
    <row r="226" spans="1:3" ht="13" x14ac:dyDescent="0.15">
      <c r="A226" s="10"/>
      <c r="B226" s="13"/>
      <c r="C226" s="13"/>
    </row>
    <row r="227" spans="1:3" ht="13" x14ac:dyDescent="0.15">
      <c r="A227" s="10"/>
      <c r="B227" s="13"/>
      <c r="C227" s="13"/>
    </row>
    <row r="228" spans="1:3" ht="13" x14ac:dyDescent="0.15">
      <c r="A228" s="10"/>
      <c r="B228" s="13"/>
      <c r="C228" s="13"/>
    </row>
    <row r="229" spans="1:3" ht="13" x14ac:dyDescent="0.15">
      <c r="A229" s="10"/>
      <c r="B229" s="13"/>
      <c r="C229" s="13"/>
    </row>
    <row r="230" spans="1:3" ht="13" x14ac:dyDescent="0.15">
      <c r="A230" s="10"/>
      <c r="B230" s="13"/>
      <c r="C230" s="13"/>
    </row>
    <row r="231" spans="1:3" ht="13" x14ac:dyDescent="0.15">
      <c r="A231" s="10"/>
      <c r="B231" s="13"/>
      <c r="C231" s="13"/>
    </row>
    <row r="232" spans="1:3" ht="13" x14ac:dyDescent="0.15">
      <c r="A232" s="10"/>
      <c r="B232" s="13"/>
      <c r="C232" s="13"/>
    </row>
    <row r="233" spans="1:3" ht="13" x14ac:dyDescent="0.15">
      <c r="A233" s="10"/>
      <c r="B233" s="13"/>
      <c r="C233" s="13"/>
    </row>
    <row r="234" spans="1:3" ht="13" x14ac:dyDescent="0.15">
      <c r="A234" s="10"/>
      <c r="B234" s="13"/>
      <c r="C234" s="13"/>
    </row>
    <row r="235" spans="1:3" ht="13" x14ac:dyDescent="0.15">
      <c r="A235" s="10"/>
      <c r="B235" s="13"/>
      <c r="C235" s="13"/>
    </row>
    <row r="236" spans="1:3" ht="13" x14ac:dyDescent="0.15">
      <c r="A236" s="10"/>
      <c r="B236" s="13"/>
      <c r="C236" s="13"/>
    </row>
    <row r="237" spans="1:3" ht="13" x14ac:dyDescent="0.15">
      <c r="A237" s="10"/>
      <c r="B237" s="13"/>
      <c r="C237" s="13"/>
    </row>
    <row r="238" spans="1:3" ht="13" x14ac:dyDescent="0.15">
      <c r="A238" s="10"/>
      <c r="B238" s="13"/>
      <c r="C238" s="13"/>
    </row>
    <row r="239" spans="1:3" ht="13" x14ac:dyDescent="0.15">
      <c r="A239" s="10"/>
      <c r="B239" s="13"/>
      <c r="C239" s="13"/>
    </row>
    <row r="240" spans="1:3" ht="13" x14ac:dyDescent="0.15">
      <c r="A240" s="10"/>
      <c r="B240" s="13"/>
      <c r="C240" s="13"/>
    </row>
    <row r="241" spans="1:3" ht="13" x14ac:dyDescent="0.15">
      <c r="A241" s="10"/>
      <c r="B241" s="13"/>
      <c r="C241" s="13"/>
    </row>
    <row r="242" spans="1:3" ht="13" x14ac:dyDescent="0.15">
      <c r="A242" s="10"/>
      <c r="B242" s="13"/>
      <c r="C242" s="13"/>
    </row>
    <row r="243" spans="1:3" ht="13" x14ac:dyDescent="0.15">
      <c r="A243" s="10"/>
      <c r="B243" s="13"/>
      <c r="C243" s="13"/>
    </row>
    <row r="244" spans="1:3" ht="13" x14ac:dyDescent="0.15">
      <c r="A244" s="10"/>
      <c r="B244" s="13"/>
      <c r="C244" s="13"/>
    </row>
    <row r="245" spans="1:3" ht="13" x14ac:dyDescent="0.15">
      <c r="A245" s="10"/>
      <c r="B245" s="13"/>
      <c r="C245" s="13"/>
    </row>
    <row r="246" spans="1:3" ht="13" x14ac:dyDescent="0.15">
      <c r="A246" s="10"/>
      <c r="B246" s="13"/>
      <c r="C246" s="13"/>
    </row>
    <row r="247" spans="1:3" ht="13" x14ac:dyDescent="0.15">
      <c r="A247" s="10"/>
      <c r="B247" s="13"/>
      <c r="C247" s="13"/>
    </row>
    <row r="248" spans="1:3" ht="13" x14ac:dyDescent="0.15">
      <c r="A248" s="10"/>
      <c r="B248" s="13"/>
      <c r="C248" s="13"/>
    </row>
    <row r="249" spans="1:3" ht="13" x14ac:dyDescent="0.15">
      <c r="A249" s="10"/>
      <c r="B249" s="13"/>
      <c r="C249" s="13"/>
    </row>
    <row r="250" spans="1:3" ht="13" x14ac:dyDescent="0.15">
      <c r="A250" s="10"/>
      <c r="B250" s="13"/>
      <c r="C250" s="13"/>
    </row>
    <row r="251" spans="1:3" ht="13" x14ac:dyDescent="0.15">
      <c r="A251" s="10"/>
      <c r="B251" s="13"/>
      <c r="C251" s="13"/>
    </row>
    <row r="252" spans="1:3" ht="13" x14ac:dyDescent="0.15">
      <c r="A252" s="10"/>
      <c r="B252" s="13"/>
      <c r="C252" s="13"/>
    </row>
    <row r="253" spans="1:3" ht="13" x14ac:dyDescent="0.15">
      <c r="A253" s="10"/>
      <c r="B253" s="13"/>
      <c r="C253" s="13"/>
    </row>
    <row r="254" spans="1:3" ht="13" x14ac:dyDescent="0.15">
      <c r="A254" s="10"/>
      <c r="B254" s="13"/>
      <c r="C254" s="13"/>
    </row>
    <row r="255" spans="1:3" ht="13" x14ac:dyDescent="0.15">
      <c r="A255" s="10"/>
      <c r="B255" s="13"/>
      <c r="C255" s="13"/>
    </row>
    <row r="256" spans="1:3" ht="13" x14ac:dyDescent="0.15">
      <c r="A256" s="10"/>
      <c r="B256" s="13"/>
      <c r="C256" s="13"/>
    </row>
    <row r="257" spans="1:3" ht="13" x14ac:dyDescent="0.15">
      <c r="A257" s="10"/>
      <c r="B257" s="13"/>
      <c r="C257" s="13"/>
    </row>
    <row r="258" spans="1:3" ht="13" x14ac:dyDescent="0.15">
      <c r="A258" s="10"/>
      <c r="B258" s="13"/>
      <c r="C258" s="13"/>
    </row>
    <row r="259" spans="1:3" ht="13" x14ac:dyDescent="0.15">
      <c r="A259" s="10"/>
      <c r="B259" s="13"/>
      <c r="C259" s="13"/>
    </row>
    <row r="260" spans="1:3" ht="13" x14ac:dyDescent="0.15">
      <c r="A260" s="10"/>
      <c r="B260" s="13"/>
      <c r="C260" s="13"/>
    </row>
    <row r="261" spans="1:3" ht="13" x14ac:dyDescent="0.15">
      <c r="A261" s="10"/>
      <c r="B261" s="13"/>
      <c r="C261" s="13"/>
    </row>
    <row r="262" spans="1:3" ht="13" x14ac:dyDescent="0.15">
      <c r="A262" s="10"/>
      <c r="B262" s="13"/>
      <c r="C262" s="13"/>
    </row>
    <row r="263" spans="1:3" ht="13" x14ac:dyDescent="0.15">
      <c r="A263" s="10"/>
      <c r="B263" s="13"/>
      <c r="C263" s="13"/>
    </row>
    <row r="264" spans="1:3" ht="13" x14ac:dyDescent="0.15">
      <c r="A264" s="10"/>
      <c r="B264" s="13"/>
      <c r="C264" s="13"/>
    </row>
    <row r="265" spans="1:3" ht="13" x14ac:dyDescent="0.15">
      <c r="A265" s="10"/>
      <c r="B265" s="13"/>
      <c r="C265" s="13"/>
    </row>
    <row r="266" spans="1:3" ht="13" x14ac:dyDescent="0.15">
      <c r="A266" s="10"/>
      <c r="B266" s="13"/>
      <c r="C266" s="13"/>
    </row>
    <row r="267" spans="1:3" ht="13" x14ac:dyDescent="0.15">
      <c r="A267" s="10"/>
      <c r="B267" s="13"/>
      <c r="C267" s="13"/>
    </row>
    <row r="268" spans="1:3" ht="13" x14ac:dyDescent="0.15">
      <c r="A268" s="10"/>
      <c r="B268" s="13"/>
      <c r="C268" s="13"/>
    </row>
    <row r="269" spans="1:3" ht="13" x14ac:dyDescent="0.15">
      <c r="A269" s="10"/>
      <c r="B269" s="13"/>
      <c r="C269" s="13"/>
    </row>
    <row r="270" spans="1:3" ht="13" x14ac:dyDescent="0.15">
      <c r="A270" s="10"/>
      <c r="B270" s="13"/>
      <c r="C270" s="13"/>
    </row>
    <row r="271" spans="1:3" ht="13" x14ac:dyDescent="0.15">
      <c r="A271" s="10"/>
      <c r="B271" s="13"/>
      <c r="C271" s="13"/>
    </row>
    <row r="272" spans="1:3" ht="13" x14ac:dyDescent="0.15">
      <c r="A272" s="10"/>
      <c r="B272" s="13"/>
      <c r="C272" s="13"/>
    </row>
    <row r="273" spans="1:3" ht="13" x14ac:dyDescent="0.15">
      <c r="A273" s="10"/>
      <c r="B273" s="13"/>
      <c r="C273" s="13"/>
    </row>
    <row r="274" spans="1:3" ht="13" x14ac:dyDescent="0.15">
      <c r="A274" s="10"/>
      <c r="B274" s="13"/>
      <c r="C274" s="13"/>
    </row>
    <row r="275" spans="1:3" ht="13" x14ac:dyDescent="0.15">
      <c r="A275" s="10"/>
      <c r="B275" s="13"/>
      <c r="C275" s="13"/>
    </row>
    <row r="276" spans="1:3" ht="13" x14ac:dyDescent="0.15">
      <c r="A276" s="10"/>
      <c r="B276" s="13"/>
      <c r="C276" s="13"/>
    </row>
    <row r="277" spans="1:3" ht="13" x14ac:dyDescent="0.15">
      <c r="A277" s="10"/>
      <c r="B277" s="13"/>
      <c r="C277" s="13"/>
    </row>
    <row r="278" spans="1:3" ht="13" x14ac:dyDescent="0.15">
      <c r="A278" s="10"/>
      <c r="B278" s="13"/>
      <c r="C278" s="13"/>
    </row>
    <row r="279" spans="1:3" ht="13" x14ac:dyDescent="0.15">
      <c r="A279" s="10"/>
      <c r="B279" s="13"/>
      <c r="C279" s="13"/>
    </row>
    <row r="280" spans="1:3" ht="13" x14ac:dyDescent="0.15">
      <c r="A280" s="10"/>
      <c r="B280" s="13"/>
      <c r="C280" s="13"/>
    </row>
    <row r="281" spans="1:3" ht="13" x14ac:dyDescent="0.15">
      <c r="A281" s="10"/>
      <c r="B281" s="13"/>
      <c r="C281" s="13"/>
    </row>
    <row r="282" spans="1:3" ht="13" x14ac:dyDescent="0.15">
      <c r="A282" s="10"/>
      <c r="B282" s="13"/>
      <c r="C282" s="13"/>
    </row>
    <row r="283" spans="1:3" ht="13" x14ac:dyDescent="0.15">
      <c r="A283" s="10"/>
      <c r="B283" s="13"/>
      <c r="C283" s="13"/>
    </row>
    <row r="284" spans="1:3" ht="13" x14ac:dyDescent="0.15">
      <c r="A284" s="10"/>
      <c r="B284" s="13"/>
      <c r="C284" s="13"/>
    </row>
    <row r="285" spans="1:3" ht="13" x14ac:dyDescent="0.15">
      <c r="A285" s="10"/>
      <c r="B285" s="13"/>
      <c r="C285" s="13"/>
    </row>
    <row r="286" spans="1:3" ht="13" x14ac:dyDescent="0.15">
      <c r="A286" s="10"/>
      <c r="B286" s="13"/>
      <c r="C286" s="13"/>
    </row>
    <row r="287" spans="1:3" ht="13" x14ac:dyDescent="0.15">
      <c r="A287" s="10"/>
      <c r="B287" s="13"/>
      <c r="C287" s="13"/>
    </row>
    <row r="288" spans="1:3" ht="13" x14ac:dyDescent="0.15">
      <c r="A288" s="10"/>
      <c r="B288" s="13"/>
      <c r="C288" s="13"/>
    </row>
    <row r="289" spans="1:3" ht="13" x14ac:dyDescent="0.15">
      <c r="A289" s="10"/>
      <c r="B289" s="13"/>
      <c r="C289" s="13"/>
    </row>
    <row r="290" spans="1:3" ht="13" x14ac:dyDescent="0.15">
      <c r="A290" s="10"/>
      <c r="B290" s="13"/>
      <c r="C290" s="13"/>
    </row>
    <row r="291" spans="1:3" ht="13" x14ac:dyDescent="0.15">
      <c r="A291" s="10"/>
      <c r="B291" s="13"/>
      <c r="C291" s="13"/>
    </row>
    <row r="292" spans="1:3" ht="13" x14ac:dyDescent="0.15">
      <c r="A292" s="10"/>
      <c r="B292" s="13"/>
      <c r="C292" s="13"/>
    </row>
    <row r="293" spans="1:3" ht="13" x14ac:dyDescent="0.15">
      <c r="A293" s="10"/>
      <c r="B293" s="13"/>
      <c r="C293" s="13"/>
    </row>
    <row r="294" spans="1:3" ht="13" x14ac:dyDescent="0.15">
      <c r="A294" s="10"/>
      <c r="B294" s="13"/>
      <c r="C294" s="13"/>
    </row>
    <row r="295" spans="1:3" ht="13" x14ac:dyDescent="0.15">
      <c r="A295" s="10"/>
      <c r="B295" s="13"/>
      <c r="C295" s="13"/>
    </row>
    <row r="296" spans="1:3" ht="13" x14ac:dyDescent="0.15">
      <c r="A296" s="10"/>
      <c r="B296" s="13"/>
      <c r="C296" s="13"/>
    </row>
    <row r="297" spans="1:3" ht="13" x14ac:dyDescent="0.15">
      <c r="A297" s="10"/>
      <c r="B297" s="13"/>
      <c r="C297" s="13"/>
    </row>
    <row r="298" spans="1:3" ht="13" x14ac:dyDescent="0.15">
      <c r="A298" s="10"/>
      <c r="B298" s="13"/>
      <c r="C298" s="13"/>
    </row>
    <row r="299" spans="1:3" ht="13" x14ac:dyDescent="0.15">
      <c r="A299" s="10"/>
      <c r="B299" s="13"/>
      <c r="C299" s="13"/>
    </row>
    <row r="300" spans="1:3" ht="13" x14ac:dyDescent="0.15">
      <c r="A300" s="10"/>
      <c r="B300" s="13"/>
      <c r="C300" s="13"/>
    </row>
    <row r="301" spans="1:3" ht="13" x14ac:dyDescent="0.15">
      <c r="A301" s="10"/>
      <c r="B301" s="13"/>
      <c r="C301" s="13"/>
    </row>
    <row r="302" spans="1:3" ht="13" x14ac:dyDescent="0.15">
      <c r="A302" s="10"/>
      <c r="B302" s="13"/>
      <c r="C302" s="13"/>
    </row>
    <row r="303" spans="1:3" ht="13" x14ac:dyDescent="0.15">
      <c r="A303" s="10"/>
      <c r="B303" s="13"/>
      <c r="C303" s="13"/>
    </row>
    <row r="304" spans="1:3" ht="13" x14ac:dyDescent="0.15">
      <c r="A304" s="10"/>
      <c r="B304" s="13"/>
      <c r="C304" s="13"/>
    </row>
    <row r="305" spans="1:3" ht="13" x14ac:dyDescent="0.15">
      <c r="A305" s="10"/>
      <c r="B305" s="13"/>
      <c r="C305" s="13"/>
    </row>
    <row r="306" spans="1:3" ht="13" x14ac:dyDescent="0.15">
      <c r="A306" s="10"/>
      <c r="B306" s="13"/>
      <c r="C306" s="13"/>
    </row>
    <row r="307" spans="1:3" ht="13" x14ac:dyDescent="0.15">
      <c r="A307" s="10"/>
      <c r="B307" s="13"/>
      <c r="C307" s="13"/>
    </row>
    <row r="308" spans="1:3" ht="13" x14ac:dyDescent="0.15">
      <c r="A308" s="10"/>
      <c r="B308" s="13"/>
      <c r="C308" s="13"/>
    </row>
    <row r="309" spans="1:3" ht="13" x14ac:dyDescent="0.15">
      <c r="A309" s="10"/>
      <c r="B309" s="13"/>
      <c r="C309" s="13"/>
    </row>
    <row r="310" spans="1:3" ht="13" x14ac:dyDescent="0.15">
      <c r="A310" s="10"/>
      <c r="B310" s="13"/>
      <c r="C310" s="13"/>
    </row>
    <row r="311" spans="1:3" ht="13" x14ac:dyDescent="0.15">
      <c r="A311" s="10"/>
      <c r="B311" s="13"/>
      <c r="C311" s="13"/>
    </row>
    <row r="312" spans="1:3" ht="13" x14ac:dyDescent="0.15">
      <c r="A312" s="10"/>
      <c r="B312" s="13"/>
      <c r="C312" s="13"/>
    </row>
    <row r="313" spans="1:3" ht="13" x14ac:dyDescent="0.15">
      <c r="A313" s="10"/>
      <c r="B313" s="13"/>
      <c r="C313" s="13"/>
    </row>
    <row r="314" spans="1:3" ht="13" x14ac:dyDescent="0.15">
      <c r="A314" s="10"/>
      <c r="B314" s="13"/>
      <c r="C314" s="13"/>
    </row>
    <row r="315" spans="1:3" ht="13" x14ac:dyDescent="0.15">
      <c r="A315" s="10"/>
      <c r="B315" s="13"/>
      <c r="C315" s="13"/>
    </row>
    <row r="316" spans="1:3" ht="13" x14ac:dyDescent="0.15">
      <c r="A316" s="10"/>
      <c r="B316" s="13"/>
      <c r="C316" s="13"/>
    </row>
    <row r="317" spans="1:3" ht="13" x14ac:dyDescent="0.15">
      <c r="A317" s="10"/>
      <c r="B317" s="13"/>
      <c r="C317" s="13"/>
    </row>
    <row r="318" spans="1:3" ht="13" x14ac:dyDescent="0.15">
      <c r="A318" s="10"/>
      <c r="B318" s="13"/>
      <c r="C318" s="13"/>
    </row>
    <row r="319" spans="1:3" ht="13" x14ac:dyDescent="0.15">
      <c r="A319" s="10"/>
      <c r="B319" s="13"/>
      <c r="C319" s="13"/>
    </row>
    <row r="320" spans="1:3" ht="13" x14ac:dyDescent="0.15">
      <c r="A320" s="10"/>
      <c r="B320" s="13"/>
      <c r="C320" s="13"/>
    </row>
    <row r="321" spans="1:3" ht="13" x14ac:dyDescent="0.15">
      <c r="A321" s="10"/>
      <c r="B321" s="13"/>
      <c r="C321" s="13"/>
    </row>
    <row r="322" spans="1:3" ht="13" x14ac:dyDescent="0.15">
      <c r="A322" s="10"/>
      <c r="B322" s="13"/>
      <c r="C322" s="13"/>
    </row>
    <row r="323" spans="1:3" ht="13" x14ac:dyDescent="0.15">
      <c r="A323" s="10"/>
      <c r="B323" s="13"/>
      <c r="C323" s="13"/>
    </row>
    <row r="324" spans="1:3" ht="13" x14ac:dyDescent="0.15">
      <c r="A324" s="10"/>
      <c r="B324" s="13"/>
      <c r="C324" s="13"/>
    </row>
    <row r="325" spans="1:3" ht="13" x14ac:dyDescent="0.15">
      <c r="A325" s="10"/>
      <c r="B325" s="13"/>
      <c r="C325" s="13"/>
    </row>
    <row r="326" spans="1:3" ht="13" x14ac:dyDescent="0.15">
      <c r="A326" s="10"/>
      <c r="B326" s="13"/>
      <c r="C326" s="13"/>
    </row>
    <row r="327" spans="1:3" ht="13" x14ac:dyDescent="0.15">
      <c r="A327" s="10"/>
      <c r="B327" s="13"/>
      <c r="C327" s="13"/>
    </row>
    <row r="328" spans="1:3" ht="13" x14ac:dyDescent="0.15">
      <c r="A328" s="10"/>
      <c r="B328" s="13"/>
      <c r="C328" s="13"/>
    </row>
    <row r="329" spans="1:3" ht="13" x14ac:dyDescent="0.15">
      <c r="A329" s="10"/>
      <c r="B329" s="13"/>
      <c r="C329" s="13"/>
    </row>
    <row r="330" spans="1:3" ht="13" x14ac:dyDescent="0.15">
      <c r="A330" s="10"/>
      <c r="B330" s="13"/>
      <c r="C330" s="13"/>
    </row>
    <row r="331" spans="1:3" ht="13" x14ac:dyDescent="0.15">
      <c r="A331" s="10"/>
      <c r="B331" s="13"/>
      <c r="C331" s="13"/>
    </row>
    <row r="332" spans="1:3" ht="13" x14ac:dyDescent="0.15">
      <c r="A332" s="10"/>
      <c r="B332" s="13"/>
      <c r="C332" s="13"/>
    </row>
    <row r="333" spans="1:3" ht="13" x14ac:dyDescent="0.15">
      <c r="A333" s="10"/>
      <c r="B333" s="13"/>
      <c r="C333" s="13"/>
    </row>
    <row r="334" spans="1:3" ht="13" x14ac:dyDescent="0.15">
      <c r="A334" s="10"/>
      <c r="B334" s="13"/>
      <c r="C334" s="13"/>
    </row>
    <row r="335" spans="1:3" ht="13" x14ac:dyDescent="0.15">
      <c r="A335" s="10"/>
      <c r="B335" s="13"/>
      <c r="C335" s="13"/>
    </row>
    <row r="336" spans="1:3" ht="13" x14ac:dyDescent="0.15">
      <c r="A336" s="10"/>
      <c r="B336" s="13"/>
      <c r="C336" s="13"/>
    </row>
    <row r="337" spans="1:3" ht="13" x14ac:dyDescent="0.15">
      <c r="A337" s="10"/>
      <c r="B337" s="13"/>
      <c r="C337" s="13"/>
    </row>
    <row r="338" spans="1:3" ht="13" x14ac:dyDescent="0.15">
      <c r="A338" s="10"/>
      <c r="B338" s="13"/>
      <c r="C338" s="13"/>
    </row>
    <row r="339" spans="1:3" ht="13" x14ac:dyDescent="0.15">
      <c r="A339" s="10"/>
      <c r="B339" s="13"/>
      <c r="C339" s="13"/>
    </row>
    <row r="340" spans="1:3" ht="13" x14ac:dyDescent="0.15">
      <c r="A340" s="10"/>
      <c r="B340" s="13"/>
      <c r="C340" s="13"/>
    </row>
    <row r="341" spans="1:3" ht="13" x14ac:dyDescent="0.15">
      <c r="A341" s="10"/>
      <c r="B341" s="13"/>
      <c r="C341" s="13"/>
    </row>
    <row r="342" spans="1:3" ht="13" x14ac:dyDescent="0.15">
      <c r="A342" s="10"/>
      <c r="B342" s="13"/>
      <c r="C342" s="13"/>
    </row>
    <row r="343" spans="1:3" ht="13" x14ac:dyDescent="0.15">
      <c r="A343" s="10"/>
      <c r="B343" s="13"/>
      <c r="C343" s="13"/>
    </row>
    <row r="344" spans="1:3" ht="13" x14ac:dyDescent="0.15">
      <c r="A344" s="10"/>
      <c r="B344" s="13"/>
      <c r="C344" s="13"/>
    </row>
    <row r="345" spans="1:3" ht="13" x14ac:dyDescent="0.15">
      <c r="A345" s="10"/>
      <c r="B345" s="13"/>
      <c r="C345" s="13"/>
    </row>
    <row r="346" spans="1:3" ht="13" x14ac:dyDescent="0.15">
      <c r="A346" s="10"/>
      <c r="B346" s="13"/>
      <c r="C346" s="13"/>
    </row>
    <row r="347" spans="1:3" ht="13" x14ac:dyDescent="0.15">
      <c r="A347" s="10"/>
      <c r="B347" s="13"/>
      <c r="C347" s="13"/>
    </row>
    <row r="348" spans="1:3" ht="13" x14ac:dyDescent="0.15">
      <c r="A348" s="10"/>
      <c r="B348" s="13"/>
      <c r="C348" s="13"/>
    </row>
    <row r="349" spans="1:3" ht="13" x14ac:dyDescent="0.15">
      <c r="A349" s="10"/>
      <c r="B349" s="13"/>
      <c r="C349" s="13"/>
    </row>
    <row r="350" spans="1:3" ht="13" x14ac:dyDescent="0.15">
      <c r="A350" s="10"/>
      <c r="B350" s="13"/>
      <c r="C350" s="13"/>
    </row>
    <row r="351" spans="1:3" ht="13" x14ac:dyDescent="0.15">
      <c r="A351" s="10"/>
      <c r="B351" s="13"/>
      <c r="C351" s="13"/>
    </row>
    <row r="352" spans="1:3" ht="13" x14ac:dyDescent="0.15">
      <c r="A352" s="10"/>
      <c r="B352" s="13"/>
      <c r="C352" s="13"/>
    </row>
    <row r="353" spans="1:3" ht="13" x14ac:dyDescent="0.15">
      <c r="A353" s="10"/>
      <c r="B353" s="13"/>
      <c r="C353" s="13"/>
    </row>
    <row r="354" spans="1:3" ht="13" x14ac:dyDescent="0.15">
      <c r="A354" s="10"/>
      <c r="B354" s="13"/>
      <c r="C354" s="13"/>
    </row>
    <row r="355" spans="1:3" ht="13" x14ac:dyDescent="0.15">
      <c r="A355" s="10"/>
      <c r="B355" s="13"/>
      <c r="C355" s="13"/>
    </row>
    <row r="356" spans="1:3" ht="13" x14ac:dyDescent="0.15">
      <c r="A356" s="10"/>
      <c r="B356" s="13"/>
      <c r="C356" s="13"/>
    </row>
    <row r="357" spans="1:3" ht="13" x14ac:dyDescent="0.15">
      <c r="A357" s="10"/>
      <c r="B357" s="13"/>
      <c r="C357" s="13"/>
    </row>
    <row r="358" spans="1:3" ht="13" x14ac:dyDescent="0.15">
      <c r="A358" s="10"/>
      <c r="B358" s="13"/>
      <c r="C358" s="13"/>
    </row>
    <row r="359" spans="1:3" ht="13" x14ac:dyDescent="0.15">
      <c r="A359" s="10"/>
      <c r="B359" s="13"/>
      <c r="C359" s="13"/>
    </row>
    <row r="360" spans="1:3" ht="13" x14ac:dyDescent="0.15">
      <c r="A360" s="10"/>
      <c r="B360" s="13"/>
      <c r="C360" s="13"/>
    </row>
    <row r="361" spans="1:3" ht="13" x14ac:dyDescent="0.15">
      <c r="A361" s="10"/>
      <c r="B361" s="13"/>
      <c r="C361" s="13"/>
    </row>
    <row r="362" spans="1:3" ht="13" x14ac:dyDescent="0.15">
      <c r="A362" s="10"/>
      <c r="B362" s="13"/>
      <c r="C362" s="13"/>
    </row>
    <row r="363" spans="1:3" ht="13" x14ac:dyDescent="0.15">
      <c r="A363" s="10"/>
      <c r="B363" s="13"/>
      <c r="C363" s="13"/>
    </row>
    <row r="364" spans="1:3" ht="13" x14ac:dyDescent="0.15">
      <c r="A364" s="10"/>
      <c r="B364" s="13"/>
      <c r="C364" s="13"/>
    </row>
    <row r="365" spans="1:3" ht="13" x14ac:dyDescent="0.15">
      <c r="A365" s="10"/>
      <c r="B365" s="13"/>
      <c r="C365" s="13"/>
    </row>
    <row r="366" spans="1:3" ht="13" x14ac:dyDescent="0.15">
      <c r="A366" s="10"/>
      <c r="B366" s="13"/>
      <c r="C366" s="13"/>
    </row>
    <row r="367" spans="1:3" ht="13" x14ac:dyDescent="0.15">
      <c r="A367" s="10"/>
      <c r="B367" s="13"/>
      <c r="C367" s="13"/>
    </row>
    <row r="368" spans="1:3" ht="13" x14ac:dyDescent="0.15">
      <c r="A368" s="10"/>
      <c r="B368" s="13"/>
      <c r="C368" s="13"/>
    </row>
    <row r="369" spans="1:3" ht="13" x14ac:dyDescent="0.15">
      <c r="A369" s="10"/>
      <c r="B369" s="13"/>
      <c r="C369" s="13"/>
    </row>
    <row r="370" spans="1:3" ht="13" x14ac:dyDescent="0.15">
      <c r="A370" s="10"/>
      <c r="B370" s="13"/>
      <c r="C370" s="13"/>
    </row>
    <row r="371" spans="1:3" ht="13" x14ac:dyDescent="0.15">
      <c r="A371" s="10"/>
      <c r="B371" s="13"/>
      <c r="C371" s="13"/>
    </row>
    <row r="372" spans="1:3" ht="13" x14ac:dyDescent="0.15">
      <c r="A372" s="10"/>
      <c r="B372" s="13"/>
      <c r="C372" s="13"/>
    </row>
    <row r="373" spans="1:3" ht="13" x14ac:dyDescent="0.15">
      <c r="A373" s="10"/>
      <c r="B373" s="13"/>
      <c r="C373" s="13"/>
    </row>
    <row r="374" spans="1:3" ht="13" x14ac:dyDescent="0.15">
      <c r="A374" s="10"/>
      <c r="B374" s="13"/>
      <c r="C374" s="13"/>
    </row>
    <row r="375" spans="1:3" ht="13" x14ac:dyDescent="0.15">
      <c r="A375" s="10"/>
      <c r="B375" s="13"/>
      <c r="C375" s="13"/>
    </row>
    <row r="376" spans="1:3" ht="13" x14ac:dyDescent="0.15">
      <c r="A376" s="10"/>
      <c r="B376" s="13"/>
      <c r="C376" s="13"/>
    </row>
    <row r="377" spans="1:3" ht="13" x14ac:dyDescent="0.15">
      <c r="A377" s="10"/>
      <c r="B377" s="13"/>
      <c r="C377" s="13"/>
    </row>
    <row r="378" spans="1:3" ht="13" x14ac:dyDescent="0.15">
      <c r="A378" s="10"/>
      <c r="B378" s="13"/>
      <c r="C378" s="13"/>
    </row>
    <row r="379" spans="1:3" ht="13" x14ac:dyDescent="0.15">
      <c r="A379" s="10"/>
      <c r="B379" s="13"/>
      <c r="C379" s="13"/>
    </row>
    <row r="380" spans="1:3" ht="13" x14ac:dyDescent="0.15">
      <c r="A380" s="10"/>
      <c r="B380" s="13"/>
      <c r="C380" s="13"/>
    </row>
    <row r="381" spans="1:3" ht="13" x14ac:dyDescent="0.15">
      <c r="A381" s="10"/>
      <c r="B381" s="13"/>
      <c r="C381" s="13"/>
    </row>
    <row r="382" spans="1:3" ht="13" x14ac:dyDescent="0.15">
      <c r="A382" s="10"/>
      <c r="B382" s="13"/>
      <c r="C382" s="13"/>
    </row>
    <row r="383" spans="1:3" ht="13" x14ac:dyDescent="0.15">
      <c r="A383" s="10"/>
      <c r="B383" s="13"/>
      <c r="C383" s="13"/>
    </row>
    <row r="384" spans="1:3" ht="13" x14ac:dyDescent="0.15">
      <c r="A384" s="10"/>
      <c r="B384" s="13"/>
      <c r="C384" s="13"/>
    </row>
    <row r="385" spans="1:3" ht="13" x14ac:dyDescent="0.15">
      <c r="A385" s="10"/>
      <c r="B385" s="13"/>
      <c r="C385" s="13"/>
    </row>
    <row r="386" spans="1:3" ht="13" x14ac:dyDescent="0.15">
      <c r="A386" s="10"/>
      <c r="B386" s="13"/>
      <c r="C386" s="13"/>
    </row>
    <row r="387" spans="1:3" ht="13" x14ac:dyDescent="0.15">
      <c r="A387" s="10"/>
      <c r="B387" s="13"/>
      <c r="C387" s="13"/>
    </row>
    <row r="388" spans="1:3" ht="13" x14ac:dyDescent="0.15">
      <c r="A388" s="10"/>
      <c r="B388" s="13"/>
      <c r="C388" s="13"/>
    </row>
    <row r="389" spans="1:3" ht="13" x14ac:dyDescent="0.15">
      <c r="A389" s="10"/>
      <c r="B389" s="13"/>
      <c r="C389" s="13"/>
    </row>
    <row r="390" spans="1:3" ht="13" x14ac:dyDescent="0.15">
      <c r="A390" s="10"/>
      <c r="B390" s="13"/>
      <c r="C390" s="13"/>
    </row>
    <row r="391" spans="1:3" ht="13" x14ac:dyDescent="0.15">
      <c r="A391" s="10"/>
      <c r="B391" s="13"/>
      <c r="C391" s="13"/>
    </row>
    <row r="392" spans="1:3" ht="13" x14ac:dyDescent="0.15">
      <c r="A392" s="10"/>
      <c r="B392" s="13"/>
      <c r="C392" s="13"/>
    </row>
    <row r="393" spans="1:3" ht="13" x14ac:dyDescent="0.15">
      <c r="A393" s="10"/>
      <c r="B393" s="13"/>
      <c r="C393" s="13"/>
    </row>
    <row r="394" spans="1:3" ht="13" x14ac:dyDescent="0.15">
      <c r="A394" s="10"/>
      <c r="B394" s="13"/>
      <c r="C394" s="13"/>
    </row>
    <row r="395" spans="1:3" ht="13" x14ac:dyDescent="0.15">
      <c r="A395" s="10"/>
      <c r="B395" s="13"/>
      <c r="C395" s="13"/>
    </row>
    <row r="396" spans="1:3" ht="13" x14ac:dyDescent="0.15">
      <c r="A396" s="10"/>
      <c r="B396" s="13"/>
      <c r="C396" s="13"/>
    </row>
    <row r="397" spans="1:3" ht="13" x14ac:dyDescent="0.15">
      <c r="A397" s="10"/>
      <c r="B397" s="13"/>
      <c r="C397" s="13"/>
    </row>
    <row r="398" spans="1:3" ht="13" x14ac:dyDescent="0.15">
      <c r="A398" s="10"/>
      <c r="B398" s="13"/>
      <c r="C398" s="13"/>
    </row>
    <row r="399" spans="1:3" ht="13" x14ac:dyDescent="0.15">
      <c r="A399" s="10"/>
      <c r="B399" s="13"/>
      <c r="C399" s="13"/>
    </row>
    <row r="400" spans="1:3" ht="13" x14ac:dyDescent="0.15">
      <c r="A400" s="10"/>
      <c r="B400" s="13"/>
      <c r="C400" s="13"/>
    </row>
    <row r="401" spans="1:3" ht="13" x14ac:dyDescent="0.15">
      <c r="A401" s="10"/>
      <c r="B401" s="13"/>
      <c r="C401" s="13"/>
    </row>
    <row r="402" spans="1:3" ht="13" x14ac:dyDescent="0.15">
      <c r="A402" s="10"/>
      <c r="B402" s="13"/>
      <c r="C402" s="13"/>
    </row>
    <row r="403" spans="1:3" ht="13" x14ac:dyDescent="0.15">
      <c r="A403" s="10"/>
      <c r="B403" s="13"/>
      <c r="C403" s="13"/>
    </row>
    <row r="404" spans="1:3" ht="13" x14ac:dyDescent="0.15">
      <c r="A404" s="10"/>
      <c r="B404" s="13"/>
      <c r="C404" s="13"/>
    </row>
    <row r="405" spans="1:3" ht="13" x14ac:dyDescent="0.15">
      <c r="A405" s="10"/>
      <c r="B405" s="13"/>
      <c r="C405" s="13"/>
    </row>
    <row r="406" spans="1:3" ht="13" x14ac:dyDescent="0.15">
      <c r="A406" s="10"/>
      <c r="B406" s="13"/>
      <c r="C406" s="13"/>
    </row>
    <row r="407" spans="1:3" ht="13" x14ac:dyDescent="0.15">
      <c r="A407" s="10"/>
      <c r="B407" s="13"/>
      <c r="C407" s="13"/>
    </row>
    <row r="408" spans="1:3" ht="13" x14ac:dyDescent="0.15">
      <c r="A408" s="10"/>
      <c r="B408" s="13"/>
      <c r="C408" s="13"/>
    </row>
    <row r="409" spans="1:3" ht="13" x14ac:dyDescent="0.15">
      <c r="A409" s="10"/>
      <c r="B409" s="13"/>
      <c r="C409" s="13"/>
    </row>
    <row r="410" spans="1:3" ht="13" x14ac:dyDescent="0.15">
      <c r="A410" s="10"/>
      <c r="B410" s="13"/>
      <c r="C410" s="13"/>
    </row>
    <row r="411" spans="1:3" ht="13" x14ac:dyDescent="0.15">
      <c r="A411" s="10"/>
      <c r="B411" s="13"/>
      <c r="C411" s="13"/>
    </row>
    <row r="412" spans="1:3" ht="13" x14ac:dyDescent="0.15">
      <c r="A412" s="10"/>
      <c r="B412" s="13"/>
      <c r="C412" s="13"/>
    </row>
    <row r="413" spans="1:3" ht="13" x14ac:dyDescent="0.15">
      <c r="A413" s="10"/>
      <c r="B413" s="13"/>
      <c r="C413" s="13"/>
    </row>
    <row r="414" spans="1:3" ht="13" x14ac:dyDescent="0.15">
      <c r="A414" s="10"/>
      <c r="B414" s="13"/>
      <c r="C414" s="13"/>
    </row>
    <row r="415" spans="1:3" ht="13" x14ac:dyDescent="0.15">
      <c r="A415" s="10"/>
      <c r="B415" s="13"/>
      <c r="C415" s="13"/>
    </row>
    <row r="416" spans="1:3" ht="13" x14ac:dyDescent="0.15">
      <c r="A416" s="10"/>
      <c r="B416" s="13"/>
      <c r="C416" s="13"/>
    </row>
    <row r="417" spans="1:3" ht="13" x14ac:dyDescent="0.15">
      <c r="A417" s="10"/>
      <c r="B417" s="13"/>
      <c r="C417" s="13"/>
    </row>
    <row r="418" spans="1:3" ht="13" x14ac:dyDescent="0.15">
      <c r="A418" s="10"/>
      <c r="B418" s="13"/>
      <c r="C418" s="13"/>
    </row>
    <row r="419" spans="1:3" ht="13" x14ac:dyDescent="0.15">
      <c r="A419" s="10"/>
      <c r="B419" s="13"/>
      <c r="C419" s="13"/>
    </row>
    <row r="420" spans="1:3" ht="13" x14ac:dyDescent="0.15">
      <c r="A420" s="10"/>
      <c r="B420" s="13"/>
      <c r="C420" s="13"/>
    </row>
    <row r="421" spans="1:3" ht="13" x14ac:dyDescent="0.15">
      <c r="A421" s="10"/>
      <c r="B421" s="13"/>
      <c r="C421" s="13"/>
    </row>
    <row r="422" spans="1:3" ht="13" x14ac:dyDescent="0.15">
      <c r="A422" s="10"/>
      <c r="B422" s="13"/>
      <c r="C422" s="13"/>
    </row>
    <row r="423" spans="1:3" ht="13" x14ac:dyDescent="0.15">
      <c r="A423" s="10"/>
      <c r="B423" s="13"/>
      <c r="C423" s="13"/>
    </row>
    <row r="424" spans="1:3" ht="13" x14ac:dyDescent="0.15">
      <c r="A424" s="10"/>
      <c r="B424" s="13"/>
      <c r="C424" s="13"/>
    </row>
    <row r="425" spans="1:3" ht="13" x14ac:dyDescent="0.15">
      <c r="A425" s="10"/>
      <c r="B425" s="13"/>
      <c r="C425" s="13"/>
    </row>
    <row r="426" spans="1:3" ht="13" x14ac:dyDescent="0.15">
      <c r="A426" s="10"/>
      <c r="B426" s="13"/>
      <c r="C426" s="13"/>
    </row>
    <row r="427" spans="1:3" ht="13" x14ac:dyDescent="0.15">
      <c r="A427" s="10"/>
      <c r="B427" s="13"/>
      <c r="C427" s="13"/>
    </row>
    <row r="428" spans="1:3" ht="13" x14ac:dyDescent="0.15">
      <c r="A428" s="10"/>
      <c r="B428" s="13"/>
      <c r="C428" s="13"/>
    </row>
    <row r="429" spans="1:3" ht="13" x14ac:dyDescent="0.15">
      <c r="A429" s="10"/>
      <c r="B429" s="13"/>
      <c r="C429" s="13"/>
    </row>
    <row r="430" spans="1:3" ht="13" x14ac:dyDescent="0.15">
      <c r="A430" s="10"/>
      <c r="B430" s="13"/>
      <c r="C430" s="13"/>
    </row>
    <row r="431" spans="1:3" ht="13" x14ac:dyDescent="0.15">
      <c r="A431" s="10"/>
      <c r="B431" s="13"/>
      <c r="C431" s="13"/>
    </row>
    <row r="432" spans="1:3" ht="13" x14ac:dyDescent="0.15">
      <c r="A432" s="10"/>
      <c r="B432" s="13"/>
      <c r="C432" s="13"/>
    </row>
    <row r="433" spans="1:3" ht="13" x14ac:dyDescent="0.15">
      <c r="A433" s="10"/>
      <c r="B433" s="13"/>
      <c r="C433" s="13"/>
    </row>
    <row r="434" spans="1:3" ht="13" x14ac:dyDescent="0.15">
      <c r="A434" s="10"/>
      <c r="B434" s="13"/>
      <c r="C434" s="13"/>
    </row>
    <row r="435" spans="1:3" ht="13" x14ac:dyDescent="0.15">
      <c r="A435" s="10"/>
      <c r="B435" s="13"/>
      <c r="C435" s="13"/>
    </row>
    <row r="436" spans="1:3" ht="13" x14ac:dyDescent="0.15">
      <c r="A436" s="10"/>
      <c r="B436" s="13"/>
      <c r="C436" s="13"/>
    </row>
    <row r="437" spans="1:3" ht="13" x14ac:dyDescent="0.15">
      <c r="A437" s="10"/>
      <c r="B437" s="13"/>
      <c r="C437" s="13"/>
    </row>
    <row r="438" spans="1:3" ht="13" x14ac:dyDescent="0.15">
      <c r="A438" s="10"/>
      <c r="B438" s="13"/>
      <c r="C438" s="13"/>
    </row>
    <row r="439" spans="1:3" ht="13" x14ac:dyDescent="0.15">
      <c r="A439" s="10"/>
      <c r="B439" s="13"/>
      <c r="C439" s="13"/>
    </row>
    <row r="440" spans="1:3" ht="13" x14ac:dyDescent="0.15">
      <c r="A440" s="10"/>
      <c r="B440" s="13"/>
      <c r="C440" s="13"/>
    </row>
    <row r="441" spans="1:3" ht="13" x14ac:dyDescent="0.15">
      <c r="A441" s="10"/>
      <c r="B441" s="13"/>
      <c r="C441" s="13"/>
    </row>
    <row r="442" spans="1:3" ht="13" x14ac:dyDescent="0.15">
      <c r="A442" s="10"/>
      <c r="B442" s="13"/>
      <c r="C442" s="13"/>
    </row>
    <row r="443" spans="1:3" ht="13" x14ac:dyDescent="0.15">
      <c r="A443" s="10"/>
      <c r="B443" s="13"/>
      <c r="C443" s="13"/>
    </row>
    <row r="444" spans="1:3" ht="13" x14ac:dyDescent="0.15">
      <c r="A444" s="10"/>
      <c r="B444" s="13"/>
      <c r="C444" s="13"/>
    </row>
    <row r="445" spans="1:3" ht="13" x14ac:dyDescent="0.15">
      <c r="A445" s="10"/>
      <c r="B445" s="13"/>
      <c r="C445" s="13"/>
    </row>
    <row r="446" spans="1:3" ht="13" x14ac:dyDescent="0.15">
      <c r="A446" s="10"/>
      <c r="B446" s="13"/>
      <c r="C446" s="13"/>
    </row>
    <row r="447" spans="1:3" ht="13" x14ac:dyDescent="0.15">
      <c r="A447" s="10"/>
      <c r="B447" s="13"/>
      <c r="C447" s="13"/>
    </row>
    <row r="448" spans="1:3" ht="13" x14ac:dyDescent="0.15">
      <c r="A448" s="10"/>
      <c r="B448" s="13"/>
      <c r="C448" s="13"/>
    </row>
    <row r="449" spans="1:3" ht="13" x14ac:dyDescent="0.15">
      <c r="A449" s="10"/>
      <c r="B449" s="13"/>
      <c r="C449" s="13"/>
    </row>
    <row r="450" spans="1:3" ht="13" x14ac:dyDescent="0.15">
      <c r="A450" s="10"/>
      <c r="B450" s="13"/>
      <c r="C450" s="13"/>
    </row>
    <row r="451" spans="1:3" ht="13" x14ac:dyDescent="0.15">
      <c r="A451" s="10"/>
      <c r="B451" s="13"/>
      <c r="C451" s="13"/>
    </row>
    <row r="452" spans="1:3" ht="13" x14ac:dyDescent="0.15">
      <c r="A452" s="10"/>
      <c r="B452" s="13"/>
      <c r="C452" s="13"/>
    </row>
    <row r="453" spans="1:3" ht="13" x14ac:dyDescent="0.15">
      <c r="A453" s="10"/>
      <c r="B453" s="13"/>
      <c r="C453" s="13"/>
    </row>
    <row r="454" spans="1:3" ht="13" x14ac:dyDescent="0.15">
      <c r="A454" s="10"/>
      <c r="B454" s="13"/>
      <c r="C454" s="13"/>
    </row>
    <row r="455" spans="1:3" ht="13" x14ac:dyDescent="0.15">
      <c r="A455" s="10"/>
      <c r="B455" s="13"/>
      <c r="C455" s="13"/>
    </row>
    <row r="456" spans="1:3" ht="13" x14ac:dyDescent="0.15">
      <c r="A456" s="10"/>
      <c r="B456" s="13"/>
      <c r="C456" s="13"/>
    </row>
    <row r="457" spans="1:3" ht="13" x14ac:dyDescent="0.15">
      <c r="A457" s="10"/>
      <c r="B457" s="13"/>
      <c r="C457" s="13"/>
    </row>
    <row r="458" spans="1:3" ht="13" x14ac:dyDescent="0.15">
      <c r="A458" s="10"/>
      <c r="B458" s="13"/>
      <c r="C458" s="13"/>
    </row>
    <row r="459" spans="1:3" ht="13" x14ac:dyDescent="0.15">
      <c r="A459" s="10"/>
      <c r="B459" s="13"/>
      <c r="C459" s="13"/>
    </row>
    <row r="460" spans="1:3" ht="13" x14ac:dyDescent="0.15">
      <c r="A460" s="10"/>
      <c r="B460" s="13"/>
      <c r="C460" s="13"/>
    </row>
    <row r="461" spans="1:3" ht="13" x14ac:dyDescent="0.15">
      <c r="A461" s="10"/>
      <c r="B461" s="13"/>
      <c r="C461" s="13"/>
    </row>
    <row r="462" spans="1:3" ht="13" x14ac:dyDescent="0.15">
      <c r="A462" s="10"/>
      <c r="B462" s="13"/>
      <c r="C462" s="13"/>
    </row>
    <row r="463" spans="1:3" ht="13" x14ac:dyDescent="0.15">
      <c r="A463" s="10"/>
      <c r="B463" s="13"/>
      <c r="C463" s="13"/>
    </row>
    <row r="464" spans="1:3" ht="13" x14ac:dyDescent="0.15">
      <c r="A464" s="10"/>
      <c r="B464" s="13"/>
      <c r="C464" s="13"/>
    </row>
    <row r="465" spans="1:3" ht="13" x14ac:dyDescent="0.15">
      <c r="A465" s="10"/>
      <c r="B465" s="13"/>
      <c r="C465" s="13"/>
    </row>
    <row r="466" spans="1:3" ht="13" x14ac:dyDescent="0.15">
      <c r="A466" s="10"/>
      <c r="B466" s="13"/>
      <c r="C466" s="13"/>
    </row>
    <row r="467" spans="1:3" ht="13" x14ac:dyDescent="0.15">
      <c r="A467" s="10"/>
      <c r="B467" s="13"/>
      <c r="C467" s="13"/>
    </row>
    <row r="468" spans="1:3" ht="13" x14ac:dyDescent="0.15">
      <c r="A468" s="10"/>
      <c r="B468" s="13"/>
      <c r="C468" s="13"/>
    </row>
    <row r="469" spans="1:3" ht="13" x14ac:dyDescent="0.15">
      <c r="A469" s="10"/>
      <c r="B469" s="13"/>
      <c r="C469" s="13"/>
    </row>
    <row r="470" spans="1:3" ht="13" x14ac:dyDescent="0.15">
      <c r="A470" s="10"/>
      <c r="B470" s="13"/>
      <c r="C470" s="13"/>
    </row>
    <row r="471" spans="1:3" ht="13" x14ac:dyDescent="0.15">
      <c r="A471" s="10"/>
      <c r="B471" s="13"/>
      <c r="C471" s="13"/>
    </row>
    <row r="472" spans="1:3" ht="13" x14ac:dyDescent="0.15">
      <c r="A472" s="10"/>
      <c r="B472" s="13"/>
      <c r="C472" s="13"/>
    </row>
    <row r="473" spans="1:3" ht="13" x14ac:dyDescent="0.15">
      <c r="A473" s="10"/>
      <c r="B473" s="13"/>
      <c r="C473" s="13"/>
    </row>
    <row r="474" spans="1:3" ht="13" x14ac:dyDescent="0.15">
      <c r="A474" s="10"/>
      <c r="B474" s="13"/>
      <c r="C474" s="13"/>
    </row>
    <row r="475" spans="1:3" ht="13" x14ac:dyDescent="0.15">
      <c r="A475" s="10"/>
      <c r="B475" s="13"/>
      <c r="C475" s="13"/>
    </row>
    <row r="476" spans="1:3" ht="13" x14ac:dyDescent="0.15">
      <c r="A476" s="10"/>
      <c r="B476" s="13"/>
      <c r="C476" s="13"/>
    </row>
    <row r="477" spans="1:3" ht="13" x14ac:dyDescent="0.15">
      <c r="A477" s="10"/>
      <c r="B477" s="13"/>
      <c r="C477" s="13"/>
    </row>
    <row r="478" spans="1:3" ht="13" x14ac:dyDescent="0.15">
      <c r="A478" s="10"/>
      <c r="B478" s="13"/>
      <c r="C478" s="13"/>
    </row>
    <row r="479" spans="1:3" ht="13" x14ac:dyDescent="0.15">
      <c r="A479" s="10"/>
      <c r="B479" s="13"/>
      <c r="C479" s="13"/>
    </row>
    <row r="480" spans="1:3" ht="13" x14ac:dyDescent="0.15">
      <c r="A480" s="10"/>
      <c r="B480" s="13"/>
      <c r="C480" s="13"/>
    </row>
    <row r="481" spans="1:3" ht="13" x14ac:dyDescent="0.15">
      <c r="A481" s="10"/>
      <c r="B481" s="13"/>
      <c r="C481" s="13"/>
    </row>
    <row r="482" spans="1:3" ht="13" x14ac:dyDescent="0.15">
      <c r="A482" s="10"/>
      <c r="B482" s="13"/>
      <c r="C482" s="13"/>
    </row>
    <row r="483" spans="1:3" ht="13" x14ac:dyDescent="0.15">
      <c r="A483" s="10"/>
      <c r="B483" s="13"/>
      <c r="C483" s="13"/>
    </row>
    <row r="484" spans="1:3" ht="13" x14ac:dyDescent="0.15">
      <c r="A484" s="10"/>
      <c r="B484" s="13"/>
      <c r="C484" s="13"/>
    </row>
    <row r="485" spans="1:3" ht="13" x14ac:dyDescent="0.15">
      <c r="A485" s="10"/>
      <c r="B485" s="13"/>
      <c r="C485" s="13"/>
    </row>
    <row r="486" spans="1:3" ht="13" x14ac:dyDescent="0.15">
      <c r="A486" s="10"/>
      <c r="B486" s="13"/>
      <c r="C486" s="13"/>
    </row>
    <row r="487" spans="1:3" ht="13" x14ac:dyDescent="0.15">
      <c r="A487" s="10"/>
      <c r="B487" s="13"/>
      <c r="C487" s="13"/>
    </row>
    <row r="488" spans="1:3" ht="13" x14ac:dyDescent="0.15">
      <c r="A488" s="10"/>
      <c r="B488" s="13"/>
      <c r="C488" s="13"/>
    </row>
    <row r="489" spans="1:3" ht="13" x14ac:dyDescent="0.15">
      <c r="A489" s="10"/>
      <c r="B489" s="13"/>
      <c r="C489" s="13"/>
    </row>
    <row r="490" spans="1:3" ht="13" x14ac:dyDescent="0.15">
      <c r="A490" s="10"/>
      <c r="B490" s="13"/>
      <c r="C490" s="13"/>
    </row>
    <row r="491" spans="1:3" ht="13" x14ac:dyDescent="0.15">
      <c r="A491" s="10"/>
      <c r="B491" s="13"/>
      <c r="C491" s="13"/>
    </row>
    <row r="492" spans="1:3" ht="13" x14ac:dyDescent="0.15">
      <c r="A492" s="10"/>
      <c r="B492" s="13"/>
      <c r="C492" s="13"/>
    </row>
    <row r="493" spans="1:3" ht="13" x14ac:dyDescent="0.15">
      <c r="A493" s="10"/>
      <c r="B493" s="13"/>
      <c r="C493" s="13"/>
    </row>
    <row r="494" spans="1:3" ht="13" x14ac:dyDescent="0.15">
      <c r="A494" s="10"/>
      <c r="B494" s="13"/>
      <c r="C494" s="13"/>
    </row>
    <row r="495" spans="1:3" ht="13" x14ac:dyDescent="0.15">
      <c r="A495" s="10"/>
      <c r="B495" s="13"/>
      <c r="C495" s="13"/>
    </row>
    <row r="496" spans="1:3" ht="13" x14ac:dyDescent="0.15">
      <c r="A496" s="10"/>
      <c r="B496" s="13"/>
      <c r="C496" s="13"/>
    </row>
    <row r="497" spans="1:3" ht="13" x14ac:dyDescent="0.15">
      <c r="A497" s="10"/>
      <c r="B497" s="13"/>
      <c r="C497" s="13"/>
    </row>
    <row r="498" spans="1:3" ht="13" x14ac:dyDescent="0.15">
      <c r="A498" s="10"/>
      <c r="B498" s="13"/>
      <c r="C498" s="13"/>
    </row>
    <row r="499" spans="1:3" ht="13" x14ac:dyDescent="0.15">
      <c r="A499" s="10"/>
      <c r="B499" s="13"/>
      <c r="C499" s="13"/>
    </row>
    <row r="500" spans="1:3" ht="13" x14ac:dyDescent="0.15">
      <c r="A500" s="10"/>
      <c r="B500" s="13"/>
      <c r="C500" s="13"/>
    </row>
    <row r="501" spans="1:3" ht="13" x14ac:dyDescent="0.15">
      <c r="A501" s="10"/>
      <c r="B501" s="13"/>
      <c r="C501" s="13"/>
    </row>
    <row r="502" spans="1:3" ht="13" x14ac:dyDescent="0.15">
      <c r="A502" s="10"/>
      <c r="B502" s="13"/>
      <c r="C502" s="13"/>
    </row>
    <row r="503" spans="1:3" ht="13" x14ac:dyDescent="0.15">
      <c r="A503" s="10"/>
      <c r="B503" s="13"/>
      <c r="C503" s="13"/>
    </row>
    <row r="504" spans="1:3" ht="13" x14ac:dyDescent="0.15">
      <c r="A504" s="10"/>
      <c r="B504" s="13"/>
      <c r="C504" s="13"/>
    </row>
    <row r="505" spans="1:3" ht="13" x14ac:dyDescent="0.15">
      <c r="A505" s="10"/>
      <c r="B505" s="13"/>
      <c r="C505" s="13"/>
    </row>
    <row r="506" spans="1:3" ht="13" x14ac:dyDescent="0.15">
      <c r="A506" s="10"/>
      <c r="B506" s="13"/>
      <c r="C506" s="13"/>
    </row>
    <row r="507" spans="1:3" ht="13" x14ac:dyDescent="0.15">
      <c r="A507" s="10"/>
      <c r="B507" s="13"/>
      <c r="C507" s="13"/>
    </row>
    <row r="508" spans="1:3" ht="13" x14ac:dyDescent="0.15">
      <c r="A508" s="10"/>
      <c r="B508" s="13"/>
      <c r="C508" s="13"/>
    </row>
    <row r="509" spans="1:3" ht="13" x14ac:dyDescent="0.15">
      <c r="A509" s="10"/>
      <c r="B509" s="13"/>
      <c r="C509" s="13"/>
    </row>
    <row r="510" spans="1:3" ht="13" x14ac:dyDescent="0.15">
      <c r="A510" s="10"/>
      <c r="B510" s="13"/>
      <c r="C510" s="13"/>
    </row>
    <row r="511" spans="1:3" ht="13" x14ac:dyDescent="0.15">
      <c r="A511" s="10"/>
      <c r="B511" s="13"/>
      <c r="C511" s="13"/>
    </row>
    <row r="512" spans="1:3" ht="13" x14ac:dyDescent="0.15">
      <c r="A512" s="10"/>
      <c r="B512" s="13"/>
      <c r="C512" s="13"/>
    </row>
    <row r="513" spans="1:3" ht="13" x14ac:dyDescent="0.15">
      <c r="A513" s="10"/>
      <c r="B513" s="13"/>
      <c r="C513" s="13"/>
    </row>
    <row r="514" spans="1:3" ht="13" x14ac:dyDescent="0.15">
      <c r="A514" s="10"/>
      <c r="B514" s="13"/>
      <c r="C514" s="13"/>
    </row>
    <row r="515" spans="1:3" ht="13" x14ac:dyDescent="0.15">
      <c r="A515" s="10"/>
      <c r="B515" s="13"/>
      <c r="C515" s="13"/>
    </row>
    <row r="516" spans="1:3" ht="13" x14ac:dyDescent="0.15">
      <c r="A516" s="10"/>
      <c r="B516" s="13"/>
      <c r="C516" s="13"/>
    </row>
    <row r="517" spans="1:3" ht="13" x14ac:dyDescent="0.15">
      <c r="A517" s="10"/>
      <c r="B517" s="13"/>
      <c r="C517" s="13"/>
    </row>
    <row r="518" spans="1:3" ht="13" x14ac:dyDescent="0.15">
      <c r="A518" s="10"/>
      <c r="B518" s="13"/>
      <c r="C518" s="13"/>
    </row>
    <row r="519" spans="1:3" ht="13" x14ac:dyDescent="0.15">
      <c r="A519" s="10"/>
      <c r="B519" s="13"/>
      <c r="C519" s="13"/>
    </row>
    <row r="520" spans="1:3" ht="13" x14ac:dyDescent="0.15">
      <c r="A520" s="10"/>
      <c r="B520" s="13"/>
      <c r="C520" s="13"/>
    </row>
    <row r="521" spans="1:3" ht="13" x14ac:dyDescent="0.15">
      <c r="A521" s="10"/>
      <c r="B521" s="13"/>
      <c r="C521" s="13"/>
    </row>
    <row r="522" spans="1:3" ht="13" x14ac:dyDescent="0.15">
      <c r="A522" s="10"/>
      <c r="B522" s="13"/>
      <c r="C522" s="13"/>
    </row>
    <row r="523" spans="1:3" ht="13" x14ac:dyDescent="0.15">
      <c r="A523" s="10"/>
      <c r="B523" s="13"/>
      <c r="C523" s="13"/>
    </row>
    <row r="524" spans="1:3" ht="13" x14ac:dyDescent="0.15">
      <c r="A524" s="10"/>
      <c r="B524" s="13"/>
      <c r="C524" s="13"/>
    </row>
    <row r="525" spans="1:3" ht="13" x14ac:dyDescent="0.15">
      <c r="A525" s="10"/>
      <c r="B525" s="13"/>
      <c r="C525" s="13"/>
    </row>
    <row r="526" spans="1:3" ht="13" x14ac:dyDescent="0.15">
      <c r="A526" s="10"/>
      <c r="B526" s="13"/>
      <c r="C526" s="13"/>
    </row>
    <row r="527" spans="1:3" ht="13" x14ac:dyDescent="0.15">
      <c r="A527" s="10"/>
      <c r="B527" s="13"/>
      <c r="C527" s="13"/>
    </row>
    <row r="528" spans="1:3" ht="13" x14ac:dyDescent="0.15">
      <c r="A528" s="10"/>
      <c r="B528" s="13"/>
      <c r="C528" s="13"/>
    </row>
    <row r="529" spans="1:3" ht="13" x14ac:dyDescent="0.15">
      <c r="A529" s="10"/>
      <c r="B529" s="13"/>
      <c r="C529" s="13"/>
    </row>
    <row r="530" spans="1:3" ht="13" x14ac:dyDescent="0.15">
      <c r="A530" s="10"/>
      <c r="B530" s="13"/>
      <c r="C530" s="13"/>
    </row>
    <row r="531" spans="1:3" ht="13" x14ac:dyDescent="0.15">
      <c r="A531" s="10"/>
      <c r="B531" s="13"/>
      <c r="C531" s="13"/>
    </row>
    <row r="532" spans="1:3" ht="13" x14ac:dyDescent="0.15">
      <c r="A532" s="10"/>
      <c r="B532" s="13"/>
      <c r="C532" s="13"/>
    </row>
    <row r="533" spans="1:3" ht="13" x14ac:dyDescent="0.15">
      <c r="A533" s="10"/>
      <c r="B533" s="13"/>
      <c r="C533" s="13"/>
    </row>
    <row r="534" spans="1:3" ht="13" x14ac:dyDescent="0.15">
      <c r="A534" s="10"/>
      <c r="B534" s="13"/>
      <c r="C534" s="13"/>
    </row>
    <row r="535" spans="1:3" ht="13" x14ac:dyDescent="0.15">
      <c r="A535" s="10"/>
      <c r="B535" s="13"/>
      <c r="C535" s="13"/>
    </row>
    <row r="536" spans="1:3" ht="13" x14ac:dyDescent="0.15">
      <c r="A536" s="10"/>
      <c r="B536" s="13"/>
      <c r="C536" s="13"/>
    </row>
    <row r="537" spans="1:3" ht="13" x14ac:dyDescent="0.15">
      <c r="A537" s="10"/>
      <c r="B537" s="13"/>
      <c r="C537" s="13"/>
    </row>
    <row r="538" spans="1:3" ht="13" x14ac:dyDescent="0.15">
      <c r="A538" s="10"/>
      <c r="B538" s="13"/>
      <c r="C538" s="13"/>
    </row>
    <row r="539" spans="1:3" ht="13" x14ac:dyDescent="0.15">
      <c r="A539" s="10"/>
      <c r="B539" s="13"/>
      <c r="C539" s="13"/>
    </row>
    <row r="540" spans="1:3" ht="13" x14ac:dyDescent="0.15">
      <c r="A540" s="10"/>
      <c r="B540" s="13"/>
      <c r="C540" s="13"/>
    </row>
    <row r="541" spans="1:3" ht="13" x14ac:dyDescent="0.15">
      <c r="A541" s="10"/>
      <c r="B541" s="13"/>
      <c r="C541" s="13"/>
    </row>
    <row r="542" spans="1:3" ht="13" x14ac:dyDescent="0.15">
      <c r="A542" s="10"/>
      <c r="B542" s="13"/>
      <c r="C542" s="13"/>
    </row>
    <row r="543" spans="1:3" ht="13" x14ac:dyDescent="0.15">
      <c r="A543" s="10"/>
      <c r="B543" s="13"/>
      <c r="C543" s="13"/>
    </row>
    <row r="544" spans="1:3" ht="13" x14ac:dyDescent="0.15">
      <c r="A544" s="10"/>
      <c r="B544" s="13"/>
      <c r="C544" s="13"/>
    </row>
    <row r="545" spans="1:3" ht="13" x14ac:dyDescent="0.15">
      <c r="A545" s="10"/>
      <c r="B545" s="13"/>
      <c r="C545" s="13"/>
    </row>
    <row r="546" spans="1:3" ht="13" x14ac:dyDescent="0.15">
      <c r="A546" s="10"/>
      <c r="B546" s="13"/>
      <c r="C546" s="13"/>
    </row>
    <row r="547" spans="1:3" ht="13" x14ac:dyDescent="0.15">
      <c r="A547" s="10"/>
      <c r="B547" s="13"/>
      <c r="C547" s="13"/>
    </row>
    <row r="548" spans="1:3" ht="13" x14ac:dyDescent="0.15">
      <c r="A548" s="10"/>
      <c r="B548" s="13"/>
      <c r="C548" s="13"/>
    </row>
    <row r="549" spans="1:3" ht="13" x14ac:dyDescent="0.15">
      <c r="A549" s="10"/>
      <c r="B549" s="13"/>
      <c r="C549" s="13"/>
    </row>
    <row r="550" spans="1:3" ht="13" x14ac:dyDescent="0.15">
      <c r="A550" s="10"/>
      <c r="B550" s="13"/>
      <c r="C550" s="13"/>
    </row>
    <row r="551" spans="1:3" ht="13" x14ac:dyDescent="0.15">
      <c r="A551" s="10"/>
      <c r="B551" s="13"/>
      <c r="C551" s="13"/>
    </row>
    <row r="552" spans="1:3" ht="13" x14ac:dyDescent="0.15">
      <c r="A552" s="10"/>
      <c r="B552" s="13"/>
      <c r="C552" s="13"/>
    </row>
    <row r="553" spans="1:3" ht="13" x14ac:dyDescent="0.15">
      <c r="A553" s="10"/>
      <c r="B553" s="13"/>
      <c r="C553" s="13"/>
    </row>
    <row r="554" spans="1:3" ht="13" x14ac:dyDescent="0.15">
      <c r="A554" s="10"/>
      <c r="B554" s="13"/>
      <c r="C554" s="13"/>
    </row>
    <row r="555" spans="1:3" ht="13" x14ac:dyDescent="0.15">
      <c r="A555" s="10"/>
      <c r="B555" s="13"/>
      <c r="C555" s="13"/>
    </row>
    <row r="556" spans="1:3" ht="13" x14ac:dyDescent="0.15">
      <c r="A556" s="10"/>
      <c r="B556" s="13"/>
      <c r="C556" s="13"/>
    </row>
    <row r="557" spans="1:3" ht="13" x14ac:dyDescent="0.15">
      <c r="A557" s="10"/>
      <c r="B557" s="13"/>
      <c r="C557" s="13"/>
    </row>
    <row r="558" spans="1:3" ht="13" x14ac:dyDescent="0.15">
      <c r="A558" s="10"/>
      <c r="B558" s="13"/>
      <c r="C558" s="13"/>
    </row>
    <row r="559" spans="1:3" ht="13" x14ac:dyDescent="0.15">
      <c r="A559" s="10"/>
      <c r="B559" s="13"/>
      <c r="C559" s="13"/>
    </row>
    <row r="560" spans="1:3" ht="13" x14ac:dyDescent="0.15">
      <c r="A560" s="10"/>
      <c r="B560" s="13"/>
      <c r="C560" s="13"/>
    </row>
    <row r="561" spans="1:3" ht="13" x14ac:dyDescent="0.15">
      <c r="A561" s="10"/>
      <c r="B561" s="13"/>
      <c r="C561" s="13"/>
    </row>
    <row r="562" spans="1:3" ht="13" x14ac:dyDescent="0.15">
      <c r="A562" s="10"/>
      <c r="B562" s="13"/>
      <c r="C562" s="13"/>
    </row>
    <row r="563" spans="1:3" ht="13" x14ac:dyDescent="0.15">
      <c r="A563" s="10"/>
      <c r="B563" s="13"/>
      <c r="C563" s="13"/>
    </row>
    <row r="564" spans="1:3" ht="13" x14ac:dyDescent="0.15">
      <c r="A564" s="10"/>
      <c r="B564" s="13"/>
      <c r="C564" s="13"/>
    </row>
    <row r="565" spans="1:3" ht="13" x14ac:dyDescent="0.15">
      <c r="A565" s="10"/>
      <c r="B565" s="13"/>
      <c r="C565" s="13"/>
    </row>
    <row r="566" spans="1:3" ht="13" x14ac:dyDescent="0.15">
      <c r="A566" s="10"/>
      <c r="B566" s="13"/>
      <c r="C566" s="13"/>
    </row>
    <row r="567" spans="1:3" ht="13" x14ac:dyDescent="0.15">
      <c r="A567" s="10"/>
      <c r="B567" s="13"/>
      <c r="C567" s="13"/>
    </row>
    <row r="568" spans="1:3" ht="13" x14ac:dyDescent="0.15">
      <c r="A568" s="10"/>
      <c r="B568" s="13"/>
      <c r="C568" s="13"/>
    </row>
    <row r="569" spans="1:3" ht="13" x14ac:dyDescent="0.15">
      <c r="A569" s="10"/>
      <c r="B569" s="13"/>
      <c r="C569" s="13"/>
    </row>
    <row r="570" spans="1:3" ht="13" x14ac:dyDescent="0.15">
      <c r="A570" s="10"/>
      <c r="B570" s="13"/>
      <c r="C570" s="13"/>
    </row>
    <row r="571" spans="1:3" ht="13" x14ac:dyDescent="0.15">
      <c r="A571" s="10"/>
      <c r="B571" s="13"/>
      <c r="C571" s="13"/>
    </row>
    <row r="572" spans="1:3" ht="13" x14ac:dyDescent="0.15">
      <c r="A572" s="10"/>
      <c r="B572" s="13"/>
      <c r="C572" s="13"/>
    </row>
    <row r="573" spans="1:3" ht="13" x14ac:dyDescent="0.15">
      <c r="A573" s="10"/>
      <c r="B573" s="13"/>
      <c r="C573" s="13"/>
    </row>
    <row r="574" spans="1:3" ht="13" x14ac:dyDescent="0.15">
      <c r="A574" s="10"/>
      <c r="B574" s="13"/>
      <c r="C574" s="13"/>
    </row>
    <row r="575" spans="1:3" ht="13" x14ac:dyDescent="0.15">
      <c r="A575" s="10"/>
      <c r="B575" s="13"/>
      <c r="C575" s="13"/>
    </row>
    <row r="576" spans="1:3" ht="13" x14ac:dyDescent="0.15">
      <c r="A576" s="10"/>
      <c r="B576" s="13"/>
      <c r="C576" s="13"/>
    </row>
    <row r="577" spans="1:3" ht="13" x14ac:dyDescent="0.15">
      <c r="A577" s="10"/>
      <c r="B577" s="13"/>
      <c r="C577" s="13"/>
    </row>
    <row r="578" spans="1:3" ht="13" x14ac:dyDescent="0.15">
      <c r="A578" s="10"/>
      <c r="B578" s="13"/>
      <c r="C578" s="13"/>
    </row>
    <row r="579" spans="1:3" ht="13" x14ac:dyDescent="0.15">
      <c r="A579" s="10"/>
      <c r="B579" s="13"/>
      <c r="C579" s="13"/>
    </row>
    <row r="580" spans="1:3" ht="13" x14ac:dyDescent="0.15">
      <c r="A580" s="10"/>
      <c r="B580" s="13"/>
      <c r="C580" s="13"/>
    </row>
    <row r="581" spans="1:3" ht="13" x14ac:dyDescent="0.15">
      <c r="A581" s="10"/>
      <c r="B581" s="13"/>
      <c r="C581" s="13"/>
    </row>
    <row r="582" spans="1:3" ht="13" x14ac:dyDescent="0.15">
      <c r="A582" s="10"/>
      <c r="B582" s="13"/>
      <c r="C582" s="13"/>
    </row>
    <row r="583" spans="1:3" ht="13" x14ac:dyDescent="0.15">
      <c r="A583" s="10"/>
      <c r="B583" s="13"/>
      <c r="C583" s="13"/>
    </row>
    <row r="584" spans="1:3" ht="13" x14ac:dyDescent="0.15">
      <c r="A584" s="10"/>
      <c r="B584" s="13"/>
      <c r="C584" s="13"/>
    </row>
    <row r="585" spans="1:3" ht="13" x14ac:dyDescent="0.15">
      <c r="A585" s="10"/>
      <c r="B585" s="13"/>
      <c r="C585" s="13"/>
    </row>
    <row r="586" spans="1:3" ht="13" x14ac:dyDescent="0.15">
      <c r="A586" s="10"/>
      <c r="B586" s="13"/>
      <c r="C586" s="13"/>
    </row>
    <row r="587" spans="1:3" ht="13" x14ac:dyDescent="0.15">
      <c r="A587" s="10"/>
      <c r="B587" s="13"/>
      <c r="C587" s="13"/>
    </row>
    <row r="588" spans="1:3" ht="13" x14ac:dyDescent="0.15">
      <c r="A588" s="10"/>
      <c r="B588" s="13"/>
      <c r="C588" s="13"/>
    </row>
    <row r="589" spans="1:3" ht="13" x14ac:dyDescent="0.15">
      <c r="A589" s="10"/>
      <c r="B589" s="13"/>
      <c r="C589" s="13"/>
    </row>
    <row r="590" spans="1:3" ht="13" x14ac:dyDescent="0.15">
      <c r="A590" s="10"/>
      <c r="B590" s="13"/>
      <c r="C590" s="13"/>
    </row>
    <row r="591" spans="1:3" ht="13" x14ac:dyDescent="0.15">
      <c r="A591" s="10"/>
      <c r="B591" s="13"/>
      <c r="C591" s="13"/>
    </row>
    <row r="592" spans="1:3" ht="13" x14ac:dyDescent="0.15">
      <c r="A592" s="10"/>
      <c r="B592" s="13"/>
      <c r="C592" s="13"/>
    </row>
    <row r="593" spans="1:3" ht="13" x14ac:dyDescent="0.15">
      <c r="A593" s="10"/>
      <c r="B593" s="13"/>
      <c r="C593" s="13"/>
    </row>
    <row r="594" spans="1:3" ht="13" x14ac:dyDescent="0.15">
      <c r="A594" s="10"/>
      <c r="B594" s="13"/>
      <c r="C594" s="13"/>
    </row>
    <row r="595" spans="1:3" ht="13" x14ac:dyDescent="0.15">
      <c r="A595" s="10"/>
      <c r="B595" s="13"/>
      <c r="C595" s="13"/>
    </row>
    <row r="596" spans="1:3" ht="13" x14ac:dyDescent="0.15">
      <c r="A596" s="10"/>
      <c r="B596" s="13"/>
      <c r="C596" s="13"/>
    </row>
    <row r="597" spans="1:3" ht="13" x14ac:dyDescent="0.15">
      <c r="A597" s="10"/>
      <c r="B597" s="13"/>
      <c r="C597" s="13"/>
    </row>
    <row r="598" spans="1:3" ht="13" x14ac:dyDescent="0.15">
      <c r="A598" s="10"/>
      <c r="B598" s="13"/>
      <c r="C598" s="13"/>
    </row>
    <row r="599" spans="1:3" ht="13" x14ac:dyDescent="0.15">
      <c r="A599" s="10"/>
      <c r="B599" s="13"/>
      <c r="C599" s="13"/>
    </row>
    <row r="600" spans="1:3" ht="13" x14ac:dyDescent="0.15">
      <c r="A600" s="10"/>
      <c r="B600" s="13"/>
      <c r="C600" s="13"/>
    </row>
    <row r="601" spans="1:3" ht="13" x14ac:dyDescent="0.15">
      <c r="A601" s="10"/>
      <c r="B601" s="13"/>
      <c r="C601" s="13"/>
    </row>
    <row r="602" spans="1:3" ht="13" x14ac:dyDescent="0.15">
      <c r="A602" s="10"/>
      <c r="B602" s="13"/>
      <c r="C602" s="13"/>
    </row>
    <row r="603" spans="1:3" ht="13" x14ac:dyDescent="0.15">
      <c r="A603" s="10"/>
      <c r="B603" s="13"/>
      <c r="C603" s="13"/>
    </row>
    <row r="604" spans="1:3" ht="13" x14ac:dyDescent="0.15">
      <c r="A604" s="10"/>
      <c r="B604" s="13"/>
      <c r="C604" s="13"/>
    </row>
    <row r="605" spans="1:3" ht="13" x14ac:dyDescent="0.15">
      <c r="A605" s="10"/>
      <c r="B605" s="13"/>
      <c r="C605" s="13"/>
    </row>
    <row r="606" spans="1:3" ht="13" x14ac:dyDescent="0.15">
      <c r="A606" s="10"/>
      <c r="B606" s="13"/>
      <c r="C606" s="13"/>
    </row>
    <row r="607" spans="1:3" ht="13" x14ac:dyDescent="0.15">
      <c r="A607" s="10"/>
      <c r="B607" s="13"/>
      <c r="C607" s="13"/>
    </row>
    <row r="608" spans="1:3" ht="13" x14ac:dyDescent="0.15">
      <c r="A608" s="10"/>
      <c r="B608" s="13"/>
      <c r="C608" s="13"/>
    </row>
    <row r="609" spans="1:3" ht="13" x14ac:dyDescent="0.15">
      <c r="A609" s="10"/>
      <c r="B609" s="13"/>
      <c r="C609" s="13"/>
    </row>
    <row r="610" spans="1:3" ht="13" x14ac:dyDescent="0.15">
      <c r="A610" s="10"/>
      <c r="B610" s="13"/>
      <c r="C610" s="13"/>
    </row>
    <row r="611" spans="1:3" ht="13" x14ac:dyDescent="0.15">
      <c r="A611" s="10"/>
      <c r="B611" s="13"/>
      <c r="C611" s="13"/>
    </row>
    <row r="612" spans="1:3" ht="13" x14ac:dyDescent="0.15">
      <c r="A612" s="10"/>
      <c r="B612" s="13"/>
      <c r="C612" s="13"/>
    </row>
    <row r="613" spans="1:3" ht="13" x14ac:dyDescent="0.15">
      <c r="A613" s="10"/>
      <c r="B613" s="13"/>
      <c r="C613" s="13"/>
    </row>
    <row r="614" spans="1:3" ht="13" x14ac:dyDescent="0.15">
      <c r="A614" s="10"/>
      <c r="B614" s="13"/>
      <c r="C614" s="13"/>
    </row>
    <row r="615" spans="1:3" ht="13" x14ac:dyDescent="0.15">
      <c r="A615" s="10"/>
      <c r="B615" s="13"/>
      <c r="C615" s="13"/>
    </row>
    <row r="616" spans="1:3" ht="13" x14ac:dyDescent="0.15">
      <c r="A616" s="10"/>
      <c r="B616" s="13"/>
      <c r="C616" s="13"/>
    </row>
    <row r="617" spans="1:3" ht="13" x14ac:dyDescent="0.15">
      <c r="A617" s="10"/>
      <c r="B617" s="13"/>
      <c r="C617" s="13"/>
    </row>
    <row r="618" spans="1:3" ht="13" x14ac:dyDescent="0.15">
      <c r="A618" s="10"/>
      <c r="B618" s="13"/>
      <c r="C618" s="13"/>
    </row>
    <row r="619" spans="1:3" ht="13" x14ac:dyDescent="0.15">
      <c r="A619" s="10"/>
      <c r="B619" s="13"/>
      <c r="C619" s="13"/>
    </row>
    <row r="620" spans="1:3" ht="13" x14ac:dyDescent="0.15">
      <c r="A620" s="10"/>
      <c r="B620" s="13"/>
      <c r="C620" s="13"/>
    </row>
    <row r="621" spans="1:3" ht="13" x14ac:dyDescent="0.15">
      <c r="A621" s="10"/>
      <c r="B621" s="13"/>
      <c r="C621" s="13"/>
    </row>
    <row r="622" spans="1:3" ht="13" x14ac:dyDescent="0.15">
      <c r="A622" s="10"/>
      <c r="B622" s="13"/>
      <c r="C622" s="13"/>
    </row>
    <row r="623" spans="1:3" ht="13" x14ac:dyDescent="0.15">
      <c r="A623" s="10"/>
      <c r="B623" s="13"/>
      <c r="C623" s="13"/>
    </row>
    <row r="624" spans="1:3" ht="13" x14ac:dyDescent="0.15">
      <c r="A624" s="10"/>
      <c r="B624" s="13"/>
      <c r="C624" s="13"/>
    </row>
    <row r="625" spans="1:3" ht="13" x14ac:dyDescent="0.15">
      <c r="A625" s="10"/>
      <c r="B625" s="13"/>
      <c r="C625" s="13"/>
    </row>
    <row r="626" spans="1:3" ht="13" x14ac:dyDescent="0.15">
      <c r="A626" s="10"/>
      <c r="B626" s="13"/>
      <c r="C626" s="13"/>
    </row>
    <row r="627" spans="1:3" ht="13" x14ac:dyDescent="0.15">
      <c r="A627" s="10"/>
      <c r="B627" s="13"/>
      <c r="C627" s="13"/>
    </row>
    <row r="628" spans="1:3" ht="13" x14ac:dyDescent="0.15">
      <c r="A628" s="10"/>
      <c r="B628" s="13"/>
      <c r="C628" s="13"/>
    </row>
    <row r="629" spans="1:3" ht="13" x14ac:dyDescent="0.15">
      <c r="A629" s="10"/>
      <c r="B629" s="13"/>
      <c r="C629" s="13"/>
    </row>
    <row r="630" spans="1:3" ht="13" x14ac:dyDescent="0.15">
      <c r="A630" s="10"/>
      <c r="B630" s="13"/>
      <c r="C630" s="13"/>
    </row>
    <row r="631" spans="1:3" ht="13" x14ac:dyDescent="0.15">
      <c r="A631" s="10"/>
      <c r="B631" s="13"/>
      <c r="C631" s="13"/>
    </row>
    <row r="632" spans="1:3" ht="13" x14ac:dyDescent="0.15">
      <c r="A632" s="10"/>
      <c r="B632" s="13"/>
      <c r="C632" s="13"/>
    </row>
    <row r="633" spans="1:3" ht="13" x14ac:dyDescent="0.15">
      <c r="A633" s="10"/>
      <c r="B633" s="13"/>
      <c r="C633" s="13"/>
    </row>
    <row r="634" spans="1:3" ht="13" x14ac:dyDescent="0.15">
      <c r="A634" s="10"/>
      <c r="B634" s="13"/>
      <c r="C634" s="13"/>
    </row>
    <row r="635" spans="1:3" ht="13" x14ac:dyDescent="0.15">
      <c r="A635" s="10"/>
      <c r="B635" s="13"/>
      <c r="C635" s="13"/>
    </row>
    <row r="636" spans="1:3" ht="13" x14ac:dyDescent="0.15">
      <c r="A636" s="10"/>
      <c r="B636" s="13"/>
      <c r="C636" s="13"/>
    </row>
    <row r="637" spans="1:3" ht="13" x14ac:dyDescent="0.15">
      <c r="A637" s="10"/>
      <c r="B637" s="13"/>
      <c r="C637" s="13"/>
    </row>
    <row r="638" spans="1:3" ht="13" x14ac:dyDescent="0.15">
      <c r="A638" s="10"/>
      <c r="B638" s="13"/>
      <c r="C638" s="13"/>
    </row>
    <row r="639" spans="1:3" ht="13" x14ac:dyDescent="0.15">
      <c r="A639" s="10"/>
      <c r="B639" s="13"/>
      <c r="C639" s="13"/>
    </row>
    <row r="640" spans="1:3" ht="13" x14ac:dyDescent="0.15">
      <c r="A640" s="10"/>
      <c r="B640" s="13"/>
      <c r="C640" s="13"/>
    </row>
    <row r="641" spans="1:3" ht="13" x14ac:dyDescent="0.15">
      <c r="A641" s="10"/>
      <c r="B641" s="13"/>
      <c r="C641" s="13"/>
    </row>
    <row r="642" spans="1:3" ht="13" x14ac:dyDescent="0.15">
      <c r="A642" s="10"/>
      <c r="B642" s="13"/>
      <c r="C642" s="13"/>
    </row>
    <row r="643" spans="1:3" ht="13" x14ac:dyDescent="0.15">
      <c r="A643" s="10"/>
      <c r="B643" s="13"/>
      <c r="C643" s="13"/>
    </row>
    <row r="644" spans="1:3" ht="13" x14ac:dyDescent="0.15">
      <c r="A644" s="10"/>
      <c r="B644" s="13"/>
      <c r="C644" s="13"/>
    </row>
    <row r="645" spans="1:3" ht="13" x14ac:dyDescent="0.15">
      <c r="A645" s="10"/>
      <c r="B645" s="13"/>
      <c r="C645" s="13"/>
    </row>
    <row r="646" spans="1:3" ht="13" x14ac:dyDescent="0.15">
      <c r="A646" s="10"/>
      <c r="B646" s="13"/>
      <c r="C646" s="13"/>
    </row>
    <row r="647" spans="1:3" ht="13" x14ac:dyDescent="0.15">
      <c r="A647" s="10"/>
      <c r="B647" s="13"/>
      <c r="C647" s="13"/>
    </row>
    <row r="648" spans="1:3" ht="13" x14ac:dyDescent="0.15">
      <c r="A648" s="10"/>
      <c r="B648" s="13"/>
      <c r="C648" s="13"/>
    </row>
    <row r="649" spans="1:3" ht="13" x14ac:dyDescent="0.15">
      <c r="A649" s="10"/>
      <c r="B649" s="13"/>
      <c r="C649" s="13"/>
    </row>
    <row r="650" spans="1:3" ht="13" x14ac:dyDescent="0.15">
      <c r="A650" s="10"/>
      <c r="B650" s="13"/>
      <c r="C650" s="13"/>
    </row>
    <row r="651" spans="1:3" ht="13" x14ac:dyDescent="0.15">
      <c r="A651" s="10"/>
      <c r="B651" s="13"/>
      <c r="C651" s="13"/>
    </row>
    <row r="652" spans="1:3" ht="13" x14ac:dyDescent="0.15">
      <c r="A652" s="10"/>
      <c r="B652" s="13"/>
      <c r="C652" s="13"/>
    </row>
    <row r="653" spans="1:3" ht="13" x14ac:dyDescent="0.15">
      <c r="A653" s="10"/>
      <c r="B653" s="13"/>
      <c r="C653" s="13"/>
    </row>
    <row r="654" spans="1:3" ht="13" x14ac:dyDescent="0.15">
      <c r="A654" s="10"/>
      <c r="B654" s="13"/>
      <c r="C654" s="13"/>
    </row>
    <row r="655" spans="1:3" ht="13" x14ac:dyDescent="0.15">
      <c r="A655" s="10"/>
      <c r="B655" s="13"/>
      <c r="C655" s="13"/>
    </row>
    <row r="656" spans="1:3" ht="13" x14ac:dyDescent="0.15">
      <c r="A656" s="10"/>
      <c r="B656" s="13"/>
      <c r="C656" s="13"/>
    </row>
    <row r="657" spans="1:3" ht="13" x14ac:dyDescent="0.15">
      <c r="A657" s="10"/>
      <c r="B657" s="13"/>
      <c r="C657" s="13"/>
    </row>
    <row r="658" spans="1:3" ht="13" x14ac:dyDescent="0.15">
      <c r="A658" s="10"/>
      <c r="B658" s="13"/>
      <c r="C658" s="13"/>
    </row>
    <row r="659" spans="1:3" ht="13" x14ac:dyDescent="0.15">
      <c r="A659" s="10"/>
      <c r="B659" s="13"/>
      <c r="C659" s="13"/>
    </row>
    <row r="660" spans="1:3" ht="13" x14ac:dyDescent="0.15">
      <c r="A660" s="10"/>
      <c r="B660" s="13"/>
      <c r="C660" s="13"/>
    </row>
    <row r="661" spans="1:3" ht="13" x14ac:dyDescent="0.15">
      <c r="A661" s="10"/>
      <c r="B661" s="13"/>
      <c r="C661" s="13"/>
    </row>
    <row r="662" spans="1:3" ht="13" x14ac:dyDescent="0.15">
      <c r="A662" s="10"/>
      <c r="B662" s="13"/>
      <c r="C662" s="13"/>
    </row>
    <row r="663" spans="1:3" ht="13" x14ac:dyDescent="0.15">
      <c r="A663" s="10"/>
      <c r="B663" s="13"/>
      <c r="C663" s="13"/>
    </row>
    <row r="664" spans="1:3" ht="13" x14ac:dyDescent="0.15">
      <c r="A664" s="10"/>
      <c r="B664" s="13"/>
      <c r="C664" s="13"/>
    </row>
    <row r="665" spans="1:3" ht="13" x14ac:dyDescent="0.15">
      <c r="A665" s="10"/>
      <c r="B665" s="13"/>
      <c r="C665" s="13"/>
    </row>
    <row r="666" spans="1:3" ht="13" x14ac:dyDescent="0.15">
      <c r="A666" s="10"/>
      <c r="B666" s="13"/>
      <c r="C666" s="13"/>
    </row>
    <row r="667" spans="1:3" ht="13" x14ac:dyDescent="0.15">
      <c r="A667" s="10"/>
      <c r="B667" s="13"/>
      <c r="C667" s="13"/>
    </row>
    <row r="668" spans="1:3" ht="13" x14ac:dyDescent="0.15">
      <c r="A668" s="10"/>
      <c r="B668" s="13"/>
      <c r="C668" s="13"/>
    </row>
    <row r="669" spans="1:3" ht="13" x14ac:dyDescent="0.15">
      <c r="A669" s="10"/>
      <c r="B669" s="13"/>
      <c r="C669" s="13"/>
    </row>
    <row r="670" spans="1:3" ht="13" x14ac:dyDescent="0.15">
      <c r="A670" s="10"/>
      <c r="B670" s="13"/>
      <c r="C670" s="13"/>
    </row>
    <row r="671" spans="1:3" ht="13" x14ac:dyDescent="0.15">
      <c r="A671" s="10"/>
      <c r="B671" s="13"/>
      <c r="C671" s="13"/>
    </row>
    <row r="672" spans="1:3" ht="13" x14ac:dyDescent="0.15">
      <c r="A672" s="10"/>
      <c r="B672" s="13"/>
      <c r="C672" s="13"/>
    </row>
    <row r="673" spans="1:3" ht="13" x14ac:dyDescent="0.15">
      <c r="A673" s="10"/>
      <c r="B673" s="13"/>
      <c r="C673" s="13"/>
    </row>
    <row r="674" spans="1:3" ht="13" x14ac:dyDescent="0.15">
      <c r="A674" s="10"/>
      <c r="B674" s="13"/>
      <c r="C674" s="13"/>
    </row>
    <row r="675" spans="1:3" ht="13" x14ac:dyDescent="0.15">
      <c r="A675" s="10"/>
      <c r="B675" s="13"/>
      <c r="C675" s="13"/>
    </row>
    <row r="676" spans="1:3" ht="13" x14ac:dyDescent="0.15">
      <c r="A676" s="10"/>
      <c r="B676" s="13"/>
      <c r="C676" s="13"/>
    </row>
    <row r="677" spans="1:3" ht="13" x14ac:dyDescent="0.15">
      <c r="A677" s="10"/>
      <c r="B677" s="13"/>
      <c r="C677" s="13"/>
    </row>
    <row r="678" spans="1:3" ht="13" x14ac:dyDescent="0.15">
      <c r="A678" s="10"/>
      <c r="B678" s="13"/>
      <c r="C678" s="13"/>
    </row>
    <row r="679" spans="1:3" ht="13" x14ac:dyDescent="0.15">
      <c r="A679" s="10"/>
      <c r="B679" s="13"/>
      <c r="C679" s="13"/>
    </row>
    <row r="680" spans="1:3" ht="13" x14ac:dyDescent="0.15">
      <c r="A680" s="10"/>
      <c r="B680" s="13"/>
      <c r="C680" s="13"/>
    </row>
    <row r="681" spans="1:3" ht="13" x14ac:dyDescent="0.15">
      <c r="A681" s="10"/>
      <c r="B681" s="13"/>
      <c r="C681" s="13"/>
    </row>
    <row r="682" spans="1:3" ht="13" x14ac:dyDescent="0.15">
      <c r="A682" s="10"/>
      <c r="B682" s="13"/>
      <c r="C682" s="13"/>
    </row>
    <row r="683" spans="1:3" ht="13" x14ac:dyDescent="0.15">
      <c r="A683" s="10"/>
      <c r="B683" s="13"/>
      <c r="C683" s="13"/>
    </row>
    <row r="684" spans="1:3" ht="13" x14ac:dyDescent="0.15">
      <c r="A684" s="10"/>
      <c r="B684" s="13"/>
      <c r="C684" s="13"/>
    </row>
    <row r="685" spans="1:3" ht="13" x14ac:dyDescent="0.15">
      <c r="A685" s="10"/>
      <c r="B685" s="13"/>
      <c r="C685" s="13"/>
    </row>
    <row r="686" spans="1:3" ht="13" x14ac:dyDescent="0.15">
      <c r="A686" s="10"/>
      <c r="B686" s="13"/>
      <c r="C686" s="13"/>
    </row>
    <row r="687" spans="1:3" ht="13" x14ac:dyDescent="0.15">
      <c r="A687" s="10"/>
      <c r="B687" s="13"/>
      <c r="C687" s="13"/>
    </row>
    <row r="688" spans="1:3" ht="13" x14ac:dyDescent="0.15">
      <c r="A688" s="10"/>
      <c r="B688" s="13"/>
      <c r="C688" s="13"/>
    </row>
    <row r="689" spans="1:3" ht="13" x14ac:dyDescent="0.15">
      <c r="A689" s="10"/>
      <c r="B689" s="13"/>
      <c r="C689" s="13"/>
    </row>
    <row r="690" spans="1:3" ht="13" x14ac:dyDescent="0.15">
      <c r="A690" s="10"/>
      <c r="B690" s="13"/>
      <c r="C690" s="13"/>
    </row>
    <row r="691" spans="1:3" ht="13" x14ac:dyDescent="0.15">
      <c r="A691" s="10"/>
      <c r="B691" s="13"/>
      <c r="C691" s="13"/>
    </row>
    <row r="692" spans="1:3" ht="13" x14ac:dyDescent="0.15">
      <c r="A692" s="10"/>
      <c r="B692" s="13"/>
      <c r="C692" s="13"/>
    </row>
    <row r="693" spans="1:3" ht="13" x14ac:dyDescent="0.15">
      <c r="A693" s="10"/>
      <c r="B693" s="13"/>
      <c r="C693" s="13"/>
    </row>
    <row r="694" spans="1:3" ht="13" x14ac:dyDescent="0.15">
      <c r="A694" s="10"/>
      <c r="B694" s="13"/>
      <c r="C694" s="13"/>
    </row>
    <row r="695" spans="1:3" ht="13" x14ac:dyDescent="0.15">
      <c r="A695" s="10"/>
      <c r="B695" s="13"/>
      <c r="C695" s="13"/>
    </row>
    <row r="696" spans="1:3" ht="13" x14ac:dyDescent="0.15">
      <c r="A696" s="10"/>
      <c r="B696" s="13"/>
      <c r="C696" s="13"/>
    </row>
    <row r="697" spans="1:3" ht="13" x14ac:dyDescent="0.15">
      <c r="A697" s="10"/>
      <c r="B697" s="13"/>
      <c r="C697" s="13"/>
    </row>
    <row r="698" spans="1:3" ht="13" x14ac:dyDescent="0.15">
      <c r="A698" s="10"/>
      <c r="B698" s="13"/>
      <c r="C698" s="13"/>
    </row>
    <row r="699" spans="1:3" ht="13" x14ac:dyDescent="0.15">
      <c r="A699" s="10"/>
      <c r="B699" s="13"/>
      <c r="C699" s="13"/>
    </row>
    <row r="700" spans="1:3" ht="13" x14ac:dyDescent="0.15">
      <c r="A700" s="10"/>
      <c r="B700" s="13"/>
      <c r="C700" s="13"/>
    </row>
    <row r="701" spans="1:3" ht="13" x14ac:dyDescent="0.15">
      <c r="A701" s="10"/>
      <c r="B701" s="13"/>
      <c r="C701" s="13"/>
    </row>
    <row r="702" spans="1:3" ht="13" x14ac:dyDescent="0.15">
      <c r="A702" s="10"/>
      <c r="B702" s="13"/>
      <c r="C702" s="13"/>
    </row>
    <row r="703" spans="1:3" ht="13" x14ac:dyDescent="0.15">
      <c r="A703" s="10"/>
      <c r="B703" s="13"/>
      <c r="C703" s="13"/>
    </row>
    <row r="704" spans="1:3" ht="13" x14ac:dyDescent="0.15">
      <c r="A704" s="10"/>
      <c r="B704" s="13"/>
      <c r="C704" s="13"/>
    </row>
    <row r="705" spans="1:3" ht="13" x14ac:dyDescent="0.15">
      <c r="A705" s="10"/>
      <c r="B705" s="13"/>
      <c r="C705" s="13"/>
    </row>
    <row r="706" spans="1:3" ht="13" x14ac:dyDescent="0.15">
      <c r="A706" s="10"/>
      <c r="B706" s="13"/>
      <c r="C706" s="13"/>
    </row>
    <row r="707" spans="1:3" ht="13" x14ac:dyDescent="0.15">
      <c r="A707" s="10"/>
      <c r="B707" s="13"/>
      <c r="C707" s="13"/>
    </row>
    <row r="708" spans="1:3" ht="13" x14ac:dyDescent="0.15">
      <c r="A708" s="10"/>
      <c r="B708" s="13"/>
      <c r="C708" s="13"/>
    </row>
    <row r="709" spans="1:3" ht="13" x14ac:dyDescent="0.15">
      <c r="A709" s="10"/>
      <c r="B709" s="13"/>
      <c r="C709" s="13"/>
    </row>
    <row r="710" spans="1:3" ht="13" x14ac:dyDescent="0.15">
      <c r="A710" s="10"/>
      <c r="B710" s="13"/>
      <c r="C710" s="13"/>
    </row>
    <row r="711" spans="1:3" ht="13" x14ac:dyDescent="0.15">
      <c r="A711" s="10"/>
      <c r="B711" s="13"/>
      <c r="C711" s="13"/>
    </row>
    <row r="712" spans="1:3" ht="13" x14ac:dyDescent="0.15">
      <c r="A712" s="10"/>
      <c r="B712" s="13"/>
      <c r="C712" s="13"/>
    </row>
    <row r="713" spans="1:3" ht="13" x14ac:dyDescent="0.15">
      <c r="A713" s="10"/>
      <c r="B713" s="13"/>
      <c r="C713" s="13"/>
    </row>
    <row r="714" spans="1:3" ht="13" x14ac:dyDescent="0.15">
      <c r="A714" s="10"/>
      <c r="B714" s="13"/>
      <c r="C714" s="13"/>
    </row>
    <row r="715" spans="1:3" ht="13" x14ac:dyDescent="0.15">
      <c r="A715" s="10"/>
      <c r="B715" s="13"/>
      <c r="C715" s="13"/>
    </row>
    <row r="716" spans="1:3" ht="13" x14ac:dyDescent="0.15">
      <c r="A716" s="10"/>
      <c r="B716" s="13"/>
      <c r="C716" s="13"/>
    </row>
    <row r="717" spans="1:3" ht="13" x14ac:dyDescent="0.15">
      <c r="A717" s="10"/>
      <c r="B717" s="13"/>
      <c r="C717" s="13"/>
    </row>
    <row r="718" spans="1:3" ht="13" x14ac:dyDescent="0.15">
      <c r="A718" s="10"/>
      <c r="B718" s="13"/>
      <c r="C718" s="13"/>
    </row>
    <row r="719" spans="1:3" ht="13" x14ac:dyDescent="0.15">
      <c r="A719" s="10"/>
      <c r="B719" s="13"/>
      <c r="C719" s="13"/>
    </row>
    <row r="720" spans="1:3" ht="13" x14ac:dyDescent="0.15">
      <c r="A720" s="10"/>
      <c r="B720" s="13"/>
      <c r="C720" s="13"/>
    </row>
    <row r="721" spans="1:3" ht="13" x14ac:dyDescent="0.15">
      <c r="A721" s="10"/>
      <c r="B721" s="13"/>
      <c r="C721" s="13"/>
    </row>
    <row r="722" spans="1:3" ht="13" x14ac:dyDescent="0.15">
      <c r="A722" s="10"/>
      <c r="B722" s="13"/>
      <c r="C722" s="13"/>
    </row>
    <row r="723" spans="1:3" ht="13" x14ac:dyDescent="0.15">
      <c r="A723" s="10"/>
      <c r="B723" s="13"/>
      <c r="C723" s="13"/>
    </row>
    <row r="724" spans="1:3" ht="13" x14ac:dyDescent="0.15">
      <c r="A724" s="10"/>
      <c r="B724" s="13"/>
      <c r="C724" s="13"/>
    </row>
    <row r="725" spans="1:3" ht="13" x14ac:dyDescent="0.15">
      <c r="A725" s="10"/>
      <c r="B725" s="13"/>
      <c r="C725" s="13"/>
    </row>
    <row r="726" spans="1:3" ht="13" x14ac:dyDescent="0.15">
      <c r="A726" s="10"/>
      <c r="B726" s="13"/>
      <c r="C726" s="13"/>
    </row>
    <row r="727" spans="1:3" ht="13" x14ac:dyDescent="0.15">
      <c r="A727" s="10"/>
      <c r="B727" s="13"/>
      <c r="C727" s="13"/>
    </row>
    <row r="728" spans="1:3" ht="13" x14ac:dyDescent="0.15">
      <c r="A728" s="10"/>
      <c r="B728" s="13"/>
      <c r="C728" s="13"/>
    </row>
    <row r="729" spans="1:3" ht="13" x14ac:dyDescent="0.15">
      <c r="A729" s="10"/>
      <c r="B729" s="13"/>
      <c r="C729" s="13"/>
    </row>
    <row r="730" spans="1:3" ht="13" x14ac:dyDescent="0.15">
      <c r="A730" s="10"/>
      <c r="B730" s="13"/>
      <c r="C730" s="13"/>
    </row>
    <row r="731" spans="1:3" ht="13" x14ac:dyDescent="0.15">
      <c r="A731" s="10"/>
      <c r="B731" s="13"/>
      <c r="C731" s="13"/>
    </row>
    <row r="732" spans="1:3" ht="13" x14ac:dyDescent="0.15">
      <c r="A732" s="10"/>
      <c r="B732" s="13"/>
      <c r="C732" s="13"/>
    </row>
    <row r="733" spans="1:3" ht="13" x14ac:dyDescent="0.15">
      <c r="A733" s="10"/>
      <c r="B733" s="13"/>
      <c r="C733" s="13"/>
    </row>
    <row r="734" spans="1:3" ht="13" x14ac:dyDescent="0.15">
      <c r="A734" s="10"/>
      <c r="B734" s="13"/>
      <c r="C734" s="13"/>
    </row>
    <row r="735" spans="1:3" ht="13" x14ac:dyDescent="0.15">
      <c r="A735" s="10"/>
      <c r="B735" s="13"/>
      <c r="C735" s="13"/>
    </row>
    <row r="736" spans="1:3" ht="13" x14ac:dyDescent="0.15">
      <c r="A736" s="10"/>
      <c r="B736" s="13"/>
      <c r="C736" s="13"/>
    </row>
    <row r="737" spans="1:3" ht="13" x14ac:dyDescent="0.15">
      <c r="A737" s="10"/>
      <c r="B737" s="13"/>
      <c r="C737" s="13"/>
    </row>
    <row r="738" spans="1:3" ht="13" x14ac:dyDescent="0.15">
      <c r="A738" s="10"/>
      <c r="B738" s="13"/>
      <c r="C738" s="13"/>
    </row>
    <row r="739" spans="1:3" ht="13" x14ac:dyDescent="0.15">
      <c r="A739" s="10"/>
      <c r="B739" s="13"/>
      <c r="C739" s="13"/>
    </row>
    <row r="740" spans="1:3" ht="13" x14ac:dyDescent="0.15">
      <c r="A740" s="10"/>
      <c r="B740" s="13"/>
      <c r="C740" s="13"/>
    </row>
    <row r="741" spans="1:3" ht="13" x14ac:dyDescent="0.15">
      <c r="A741" s="10"/>
      <c r="B741" s="13"/>
      <c r="C741" s="13"/>
    </row>
    <row r="742" spans="1:3" ht="13" x14ac:dyDescent="0.15">
      <c r="A742" s="10"/>
      <c r="B742" s="13"/>
      <c r="C742" s="13"/>
    </row>
    <row r="743" spans="1:3" ht="13" x14ac:dyDescent="0.15">
      <c r="A743" s="10"/>
      <c r="B743" s="13"/>
      <c r="C743" s="13"/>
    </row>
    <row r="744" spans="1:3" ht="13" x14ac:dyDescent="0.15">
      <c r="A744" s="10"/>
      <c r="B744" s="13"/>
      <c r="C744" s="13"/>
    </row>
    <row r="745" spans="1:3" ht="13" x14ac:dyDescent="0.15">
      <c r="A745" s="10"/>
      <c r="B745" s="13"/>
      <c r="C745" s="13"/>
    </row>
    <row r="746" spans="1:3" ht="13" x14ac:dyDescent="0.15">
      <c r="A746" s="10"/>
      <c r="B746" s="13"/>
      <c r="C746" s="13"/>
    </row>
    <row r="747" spans="1:3" ht="13" x14ac:dyDescent="0.15">
      <c r="A747" s="10"/>
      <c r="B747" s="13"/>
      <c r="C747" s="13"/>
    </row>
    <row r="748" spans="1:3" ht="13" x14ac:dyDescent="0.15">
      <c r="A748" s="10"/>
      <c r="B748" s="13"/>
      <c r="C748" s="13"/>
    </row>
    <row r="749" spans="1:3" ht="13" x14ac:dyDescent="0.15">
      <c r="A749" s="10"/>
      <c r="B749" s="13"/>
      <c r="C749" s="13"/>
    </row>
    <row r="750" spans="1:3" ht="13" x14ac:dyDescent="0.15">
      <c r="A750" s="10"/>
      <c r="B750" s="13"/>
      <c r="C750" s="13"/>
    </row>
    <row r="751" spans="1:3" ht="13" x14ac:dyDescent="0.15">
      <c r="A751" s="10"/>
      <c r="B751" s="13"/>
      <c r="C751" s="13"/>
    </row>
    <row r="752" spans="1:3" ht="13" x14ac:dyDescent="0.15">
      <c r="A752" s="10"/>
      <c r="B752" s="13"/>
      <c r="C752" s="13"/>
    </row>
    <row r="753" spans="1:3" ht="13" x14ac:dyDescent="0.15">
      <c r="A753" s="10"/>
      <c r="B753" s="13"/>
      <c r="C753" s="13"/>
    </row>
    <row r="754" spans="1:3" ht="13" x14ac:dyDescent="0.15">
      <c r="A754" s="10"/>
      <c r="B754" s="13"/>
      <c r="C754" s="13"/>
    </row>
    <row r="755" spans="1:3" ht="13" x14ac:dyDescent="0.15">
      <c r="A755" s="10"/>
      <c r="B755" s="13"/>
      <c r="C755" s="13"/>
    </row>
    <row r="756" spans="1:3" ht="13" x14ac:dyDescent="0.15">
      <c r="A756" s="10"/>
      <c r="B756" s="13"/>
      <c r="C756" s="13"/>
    </row>
    <row r="757" spans="1:3" ht="13" x14ac:dyDescent="0.15">
      <c r="A757" s="10"/>
      <c r="B757" s="13"/>
      <c r="C757" s="13"/>
    </row>
    <row r="758" spans="1:3" ht="13" x14ac:dyDescent="0.15">
      <c r="A758" s="10"/>
      <c r="B758" s="13"/>
      <c r="C758" s="13"/>
    </row>
    <row r="759" spans="1:3" ht="13" x14ac:dyDescent="0.15">
      <c r="A759" s="10"/>
      <c r="B759" s="13"/>
      <c r="C759" s="13"/>
    </row>
    <row r="760" spans="1:3" ht="13" x14ac:dyDescent="0.15">
      <c r="A760" s="10"/>
      <c r="B760" s="13"/>
      <c r="C760" s="13"/>
    </row>
    <row r="761" spans="1:3" ht="13" x14ac:dyDescent="0.15">
      <c r="A761" s="10"/>
      <c r="B761" s="13"/>
      <c r="C761" s="13"/>
    </row>
    <row r="762" spans="1:3" ht="13" x14ac:dyDescent="0.15">
      <c r="A762" s="10"/>
      <c r="B762" s="13"/>
      <c r="C762" s="13"/>
    </row>
    <row r="763" spans="1:3" ht="13" x14ac:dyDescent="0.15">
      <c r="A763" s="10"/>
      <c r="B763" s="13"/>
      <c r="C763" s="13"/>
    </row>
    <row r="764" spans="1:3" ht="13" x14ac:dyDescent="0.15">
      <c r="A764" s="10"/>
      <c r="B764" s="13"/>
      <c r="C764" s="13"/>
    </row>
    <row r="765" spans="1:3" ht="13" x14ac:dyDescent="0.15">
      <c r="A765" s="10"/>
      <c r="B765" s="13"/>
      <c r="C765" s="13"/>
    </row>
    <row r="766" spans="1:3" ht="13" x14ac:dyDescent="0.15">
      <c r="A766" s="10"/>
      <c r="B766" s="13"/>
      <c r="C766" s="13"/>
    </row>
    <row r="767" spans="1:3" ht="13" x14ac:dyDescent="0.15">
      <c r="A767" s="10"/>
      <c r="B767" s="13"/>
      <c r="C767" s="13"/>
    </row>
    <row r="768" spans="1:3" ht="13" x14ac:dyDescent="0.15">
      <c r="A768" s="10"/>
      <c r="B768" s="13"/>
      <c r="C768" s="13"/>
    </row>
    <row r="769" spans="1:3" ht="13" x14ac:dyDescent="0.15">
      <c r="A769" s="10"/>
      <c r="B769" s="13"/>
      <c r="C769" s="13"/>
    </row>
    <row r="770" spans="1:3" ht="13" x14ac:dyDescent="0.15">
      <c r="A770" s="10"/>
      <c r="B770" s="13"/>
      <c r="C770" s="13"/>
    </row>
    <row r="771" spans="1:3" ht="13" x14ac:dyDescent="0.15">
      <c r="A771" s="10"/>
      <c r="B771" s="13"/>
      <c r="C771" s="13"/>
    </row>
    <row r="772" spans="1:3" ht="13" x14ac:dyDescent="0.15">
      <c r="A772" s="10"/>
      <c r="B772" s="13"/>
      <c r="C772" s="13"/>
    </row>
    <row r="773" spans="1:3" ht="13" x14ac:dyDescent="0.15">
      <c r="A773" s="10"/>
      <c r="B773" s="13"/>
      <c r="C773" s="13"/>
    </row>
    <row r="774" spans="1:3" ht="13" x14ac:dyDescent="0.15">
      <c r="A774" s="10"/>
      <c r="B774" s="13"/>
      <c r="C774" s="13"/>
    </row>
    <row r="775" spans="1:3" ht="13" x14ac:dyDescent="0.15">
      <c r="A775" s="10"/>
      <c r="B775" s="13"/>
      <c r="C775" s="13"/>
    </row>
    <row r="776" spans="1:3" ht="13" x14ac:dyDescent="0.15">
      <c r="A776" s="10"/>
      <c r="B776" s="13"/>
      <c r="C776" s="13"/>
    </row>
    <row r="777" spans="1:3" ht="13" x14ac:dyDescent="0.15">
      <c r="A777" s="10"/>
      <c r="B777" s="13"/>
      <c r="C777" s="13"/>
    </row>
    <row r="778" spans="1:3" ht="13" x14ac:dyDescent="0.15">
      <c r="A778" s="10"/>
      <c r="B778" s="13"/>
      <c r="C778" s="13"/>
    </row>
    <row r="779" spans="1:3" ht="13" x14ac:dyDescent="0.15">
      <c r="A779" s="10"/>
      <c r="B779" s="13"/>
      <c r="C779" s="13"/>
    </row>
    <row r="780" spans="1:3" ht="13" x14ac:dyDescent="0.15">
      <c r="A780" s="10"/>
      <c r="B780" s="13"/>
      <c r="C780" s="13"/>
    </row>
    <row r="781" spans="1:3" ht="13" x14ac:dyDescent="0.15">
      <c r="A781" s="10"/>
      <c r="B781" s="13"/>
      <c r="C781" s="13"/>
    </row>
    <row r="782" spans="1:3" ht="13" x14ac:dyDescent="0.15">
      <c r="A782" s="10"/>
      <c r="B782" s="13"/>
      <c r="C782" s="13"/>
    </row>
    <row r="783" spans="1:3" ht="13" x14ac:dyDescent="0.15">
      <c r="A783" s="10"/>
      <c r="B783" s="13"/>
      <c r="C783" s="13"/>
    </row>
    <row r="784" spans="1:3" ht="13" x14ac:dyDescent="0.15">
      <c r="A784" s="10"/>
      <c r="B784" s="13"/>
      <c r="C784" s="13"/>
    </row>
    <row r="785" spans="1:3" ht="13" x14ac:dyDescent="0.15">
      <c r="A785" s="10"/>
      <c r="B785" s="13"/>
      <c r="C785" s="13"/>
    </row>
    <row r="786" spans="1:3" ht="13" x14ac:dyDescent="0.15">
      <c r="A786" s="10"/>
      <c r="B786" s="13"/>
      <c r="C786" s="13"/>
    </row>
    <row r="787" spans="1:3" ht="13" x14ac:dyDescent="0.15">
      <c r="A787" s="10"/>
      <c r="B787" s="13"/>
      <c r="C787" s="13"/>
    </row>
    <row r="788" spans="1:3" ht="13" x14ac:dyDescent="0.15">
      <c r="A788" s="10"/>
      <c r="B788" s="13"/>
      <c r="C788" s="13"/>
    </row>
    <row r="789" spans="1:3" ht="13" x14ac:dyDescent="0.15">
      <c r="A789" s="10"/>
      <c r="B789" s="13"/>
      <c r="C789" s="13"/>
    </row>
    <row r="790" spans="1:3" ht="13" x14ac:dyDescent="0.15">
      <c r="A790" s="10"/>
      <c r="B790" s="13"/>
      <c r="C790" s="13"/>
    </row>
    <row r="791" spans="1:3" ht="13" x14ac:dyDescent="0.15">
      <c r="A791" s="10"/>
      <c r="B791" s="13"/>
      <c r="C791" s="13"/>
    </row>
    <row r="792" spans="1:3" ht="13" x14ac:dyDescent="0.15">
      <c r="A792" s="10"/>
      <c r="B792" s="13"/>
      <c r="C792" s="13"/>
    </row>
    <row r="793" spans="1:3" ht="13" x14ac:dyDescent="0.15">
      <c r="A793" s="10"/>
      <c r="B793" s="13"/>
      <c r="C793" s="13"/>
    </row>
    <row r="794" spans="1:3" ht="13" x14ac:dyDescent="0.15">
      <c r="A794" s="10"/>
      <c r="B794" s="13"/>
      <c r="C794" s="13"/>
    </row>
    <row r="795" spans="1:3" ht="13" x14ac:dyDescent="0.15">
      <c r="A795" s="10"/>
      <c r="B795" s="13"/>
      <c r="C795" s="13"/>
    </row>
    <row r="796" spans="1:3" ht="13" x14ac:dyDescent="0.15">
      <c r="A796" s="10"/>
      <c r="B796" s="13"/>
      <c r="C796" s="13"/>
    </row>
    <row r="797" spans="1:3" ht="13" x14ac:dyDescent="0.15">
      <c r="A797" s="10"/>
      <c r="B797" s="13"/>
      <c r="C797" s="13"/>
    </row>
    <row r="798" spans="1:3" ht="13" x14ac:dyDescent="0.15">
      <c r="A798" s="10"/>
      <c r="B798" s="13"/>
      <c r="C798" s="13"/>
    </row>
    <row r="799" spans="1:3" ht="13" x14ac:dyDescent="0.15">
      <c r="A799" s="10"/>
      <c r="B799" s="13"/>
      <c r="C799" s="13"/>
    </row>
    <row r="800" spans="1:3" ht="13" x14ac:dyDescent="0.15">
      <c r="A800" s="10"/>
      <c r="B800" s="13"/>
      <c r="C800" s="13"/>
    </row>
    <row r="801" spans="1:3" ht="13" x14ac:dyDescent="0.15">
      <c r="A801" s="10"/>
      <c r="B801" s="13"/>
      <c r="C801" s="13"/>
    </row>
    <row r="802" spans="1:3" ht="13" x14ac:dyDescent="0.15">
      <c r="A802" s="10"/>
      <c r="B802" s="13"/>
      <c r="C802" s="13"/>
    </row>
    <row r="803" spans="1:3" ht="13" x14ac:dyDescent="0.15">
      <c r="A803" s="10"/>
      <c r="B803" s="13"/>
      <c r="C803" s="13"/>
    </row>
    <row r="804" spans="1:3" ht="13" x14ac:dyDescent="0.15">
      <c r="A804" s="10"/>
      <c r="B804" s="13"/>
      <c r="C804" s="13"/>
    </row>
    <row r="805" spans="1:3" ht="13" x14ac:dyDescent="0.15">
      <c r="A805" s="10"/>
      <c r="B805" s="13"/>
      <c r="C805" s="13"/>
    </row>
    <row r="806" spans="1:3" ht="13" x14ac:dyDescent="0.15">
      <c r="A806" s="10"/>
      <c r="B806" s="13"/>
      <c r="C806" s="13"/>
    </row>
    <row r="807" spans="1:3" ht="13" x14ac:dyDescent="0.15">
      <c r="A807" s="10"/>
      <c r="B807" s="13"/>
      <c r="C807" s="13"/>
    </row>
    <row r="808" spans="1:3" ht="13" x14ac:dyDescent="0.15">
      <c r="A808" s="10"/>
      <c r="B808" s="13"/>
      <c r="C808" s="13"/>
    </row>
    <row r="809" spans="1:3" ht="13" x14ac:dyDescent="0.15">
      <c r="A809" s="10"/>
      <c r="B809" s="13"/>
      <c r="C809" s="13"/>
    </row>
    <row r="810" spans="1:3" ht="13" x14ac:dyDescent="0.15">
      <c r="A810" s="10"/>
      <c r="B810" s="13"/>
      <c r="C810" s="13"/>
    </row>
    <row r="811" spans="1:3" ht="13" x14ac:dyDescent="0.15">
      <c r="A811" s="10"/>
      <c r="B811" s="13"/>
      <c r="C811" s="13"/>
    </row>
    <row r="812" spans="1:3" ht="13" x14ac:dyDescent="0.15">
      <c r="A812" s="10"/>
      <c r="B812" s="13"/>
      <c r="C812" s="13"/>
    </row>
    <row r="813" spans="1:3" ht="13" x14ac:dyDescent="0.15">
      <c r="A813" s="10"/>
      <c r="B813" s="13"/>
      <c r="C813" s="13"/>
    </row>
    <row r="814" spans="1:3" ht="13" x14ac:dyDescent="0.15">
      <c r="A814" s="10"/>
      <c r="B814" s="13"/>
      <c r="C814" s="13"/>
    </row>
    <row r="815" spans="1:3" ht="13" x14ac:dyDescent="0.15">
      <c r="A815" s="10"/>
      <c r="B815" s="13"/>
      <c r="C815" s="13"/>
    </row>
    <row r="816" spans="1:3" ht="13" x14ac:dyDescent="0.15">
      <c r="A816" s="10"/>
      <c r="B816" s="13"/>
      <c r="C816" s="13"/>
    </row>
    <row r="817" spans="1:3" ht="13" x14ac:dyDescent="0.15">
      <c r="A817" s="10"/>
      <c r="B817" s="13"/>
      <c r="C817" s="13"/>
    </row>
    <row r="818" spans="1:3" ht="13" x14ac:dyDescent="0.15">
      <c r="A818" s="10"/>
      <c r="B818" s="13"/>
      <c r="C818" s="13"/>
    </row>
    <row r="819" spans="1:3" ht="13" x14ac:dyDescent="0.15">
      <c r="A819" s="10"/>
      <c r="B819" s="13"/>
      <c r="C819" s="13"/>
    </row>
    <row r="820" spans="1:3" ht="13" x14ac:dyDescent="0.15">
      <c r="A820" s="10"/>
      <c r="B820" s="13"/>
      <c r="C820" s="13"/>
    </row>
    <row r="821" spans="1:3" ht="13" x14ac:dyDescent="0.15">
      <c r="A821" s="10"/>
      <c r="B821" s="13"/>
      <c r="C821" s="13"/>
    </row>
    <row r="822" spans="1:3" ht="13" x14ac:dyDescent="0.15">
      <c r="A822" s="10"/>
      <c r="B822" s="13"/>
      <c r="C822" s="13"/>
    </row>
    <row r="823" spans="1:3" ht="13" x14ac:dyDescent="0.15">
      <c r="A823" s="10"/>
      <c r="B823" s="13"/>
      <c r="C823" s="13"/>
    </row>
    <row r="824" spans="1:3" ht="13" x14ac:dyDescent="0.15">
      <c r="A824" s="10"/>
      <c r="B824" s="13"/>
      <c r="C824" s="13"/>
    </row>
    <row r="825" spans="1:3" ht="13" x14ac:dyDescent="0.15">
      <c r="A825" s="10"/>
      <c r="B825" s="13"/>
      <c r="C825" s="13"/>
    </row>
    <row r="826" spans="1:3" ht="13" x14ac:dyDescent="0.15">
      <c r="A826" s="10"/>
      <c r="B826" s="13"/>
      <c r="C826" s="13"/>
    </row>
    <row r="827" spans="1:3" ht="13" x14ac:dyDescent="0.15">
      <c r="A827" s="10"/>
      <c r="B827" s="13"/>
      <c r="C827" s="13"/>
    </row>
    <row r="828" spans="1:3" ht="13" x14ac:dyDescent="0.15">
      <c r="A828" s="10"/>
      <c r="B828" s="13"/>
      <c r="C828" s="13"/>
    </row>
    <row r="829" spans="1:3" ht="13" x14ac:dyDescent="0.15">
      <c r="A829" s="10"/>
      <c r="B829" s="13"/>
      <c r="C829" s="13"/>
    </row>
    <row r="830" spans="1:3" ht="13" x14ac:dyDescent="0.15">
      <c r="A830" s="10"/>
      <c r="B830" s="13"/>
      <c r="C830" s="13"/>
    </row>
    <row r="831" spans="1:3" ht="13" x14ac:dyDescent="0.15">
      <c r="A831" s="10"/>
      <c r="B831" s="13"/>
      <c r="C831" s="13"/>
    </row>
    <row r="832" spans="1:3" ht="13" x14ac:dyDescent="0.15">
      <c r="A832" s="10"/>
      <c r="B832" s="13"/>
      <c r="C832" s="13"/>
    </row>
    <row r="833" spans="1:3" ht="13" x14ac:dyDescent="0.15">
      <c r="A833" s="10"/>
      <c r="B833" s="13"/>
      <c r="C833" s="13"/>
    </row>
    <row r="834" spans="1:3" ht="13" x14ac:dyDescent="0.15">
      <c r="A834" s="10"/>
      <c r="B834" s="13"/>
      <c r="C834" s="13"/>
    </row>
    <row r="835" spans="1:3" ht="13" x14ac:dyDescent="0.15">
      <c r="A835" s="10"/>
      <c r="B835" s="13"/>
      <c r="C835" s="13"/>
    </row>
    <row r="836" spans="1:3" ht="13" x14ac:dyDescent="0.15">
      <c r="A836" s="10"/>
      <c r="B836" s="13"/>
      <c r="C836" s="13"/>
    </row>
    <row r="837" spans="1:3" ht="13" x14ac:dyDescent="0.15">
      <c r="A837" s="10"/>
      <c r="B837" s="13"/>
      <c r="C837" s="13"/>
    </row>
    <row r="838" spans="1:3" ht="13" x14ac:dyDescent="0.15">
      <c r="A838" s="10"/>
      <c r="B838" s="13"/>
      <c r="C838" s="13"/>
    </row>
    <row r="839" spans="1:3" ht="13" x14ac:dyDescent="0.15">
      <c r="A839" s="10"/>
      <c r="B839" s="13"/>
      <c r="C839" s="13"/>
    </row>
    <row r="840" spans="1:3" ht="13" x14ac:dyDescent="0.15">
      <c r="A840" s="10"/>
      <c r="B840" s="13"/>
      <c r="C840" s="13"/>
    </row>
    <row r="841" spans="1:3" ht="13" x14ac:dyDescent="0.15">
      <c r="A841" s="10"/>
      <c r="B841" s="13"/>
      <c r="C841" s="13"/>
    </row>
    <row r="842" spans="1:3" ht="13" x14ac:dyDescent="0.15">
      <c r="A842" s="10"/>
      <c r="B842" s="13"/>
      <c r="C842" s="13"/>
    </row>
    <row r="843" spans="1:3" ht="13" x14ac:dyDescent="0.15">
      <c r="A843" s="10"/>
      <c r="B843" s="13"/>
      <c r="C843" s="13"/>
    </row>
    <row r="844" spans="1:3" ht="13" x14ac:dyDescent="0.15">
      <c r="A844" s="10"/>
      <c r="B844" s="13"/>
      <c r="C844" s="13"/>
    </row>
    <row r="845" spans="1:3" ht="13" x14ac:dyDescent="0.15">
      <c r="A845" s="10"/>
      <c r="B845" s="13"/>
      <c r="C845" s="13"/>
    </row>
    <row r="846" spans="1:3" ht="13" x14ac:dyDescent="0.15">
      <c r="A846" s="10"/>
      <c r="B846" s="13"/>
      <c r="C846" s="13"/>
    </row>
    <row r="847" spans="1:3" ht="13" x14ac:dyDescent="0.15">
      <c r="A847" s="10"/>
      <c r="B847" s="13"/>
      <c r="C847" s="13"/>
    </row>
    <row r="848" spans="1:3" ht="13" x14ac:dyDescent="0.15">
      <c r="A848" s="10"/>
      <c r="B848" s="13"/>
      <c r="C848" s="13"/>
    </row>
    <row r="849" spans="1:3" ht="13" x14ac:dyDescent="0.15">
      <c r="A849" s="10"/>
      <c r="B849" s="13"/>
      <c r="C849" s="13"/>
    </row>
    <row r="850" spans="1:3" ht="13" x14ac:dyDescent="0.15">
      <c r="A850" s="10"/>
      <c r="B850" s="13"/>
      <c r="C850" s="13"/>
    </row>
    <row r="851" spans="1:3" ht="13" x14ac:dyDescent="0.15">
      <c r="A851" s="10"/>
      <c r="B851" s="13"/>
      <c r="C851" s="13"/>
    </row>
    <row r="852" spans="1:3" ht="13" x14ac:dyDescent="0.15">
      <c r="A852" s="10"/>
      <c r="B852" s="13"/>
      <c r="C852" s="13"/>
    </row>
    <row r="853" spans="1:3" ht="13" x14ac:dyDescent="0.15">
      <c r="A853" s="10"/>
      <c r="B853" s="13"/>
      <c r="C853" s="13"/>
    </row>
    <row r="854" spans="1:3" ht="13" x14ac:dyDescent="0.15">
      <c r="A854" s="10"/>
      <c r="B854" s="13"/>
      <c r="C854" s="13"/>
    </row>
    <row r="855" spans="1:3" ht="13" x14ac:dyDescent="0.15">
      <c r="A855" s="10"/>
      <c r="B855" s="13"/>
      <c r="C855" s="13"/>
    </row>
    <row r="856" spans="1:3" ht="13" x14ac:dyDescent="0.15">
      <c r="A856" s="10"/>
      <c r="B856" s="13"/>
      <c r="C856" s="13"/>
    </row>
    <row r="857" spans="1:3" ht="13" x14ac:dyDescent="0.15">
      <c r="A857" s="10"/>
      <c r="B857" s="13"/>
      <c r="C857" s="13"/>
    </row>
    <row r="858" spans="1:3" ht="13" x14ac:dyDescent="0.15">
      <c r="A858" s="10"/>
      <c r="B858" s="13"/>
      <c r="C858" s="13"/>
    </row>
    <row r="859" spans="1:3" ht="13" x14ac:dyDescent="0.15">
      <c r="A859" s="10"/>
      <c r="B859" s="13"/>
      <c r="C859" s="13"/>
    </row>
    <row r="860" spans="1:3" ht="13" x14ac:dyDescent="0.15">
      <c r="A860" s="10"/>
      <c r="B860" s="13"/>
      <c r="C860" s="13"/>
    </row>
    <row r="861" spans="1:3" ht="13" x14ac:dyDescent="0.15">
      <c r="A861" s="10"/>
      <c r="B861" s="13"/>
      <c r="C861" s="13"/>
    </row>
    <row r="862" spans="1:3" ht="13" x14ac:dyDescent="0.15">
      <c r="A862" s="10"/>
      <c r="B862" s="13"/>
      <c r="C862" s="13"/>
    </row>
    <row r="863" spans="1:3" ht="13" x14ac:dyDescent="0.15">
      <c r="A863" s="10"/>
      <c r="B863" s="13"/>
      <c r="C863" s="13"/>
    </row>
    <row r="864" spans="1:3" ht="13" x14ac:dyDescent="0.15">
      <c r="A864" s="10"/>
      <c r="B864" s="13"/>
      <c r="C864" s="13"/>
    </row>
    <row r="865" spans="1:3" ht="13" x14ac:dyDescent="0.15">
      <c r="A865" s="10"/>
      <c r="B865" s="13"/>
      <c r="C865" s="13"/>
    </row>
    <row r="866" spans="1:3" ht="13" x14ac:dyDescent="0.15">
      <c r="A866" s="10"/>
      <c r="B866" s="13"/>
      <c r="C866" s="13"/>
    </row>
    <row r="867" spans="1:3" ht="13" x14ac:dyDescent="0.15">
      <c r="A867" s="10"/>
      <c r="B867" s="13"/>
      <c r="C867" s="13"/>
    </row>
    <row r="868" spans="1:3" ht="13" x14ac:dyDescent="0.15">
      <c r="A868" s="10"/>
      <c r="B868" s="13"/>
      <c r="C868" s="13"/>
    </row>
    <row r="869" spans="1:3" ht="13" x14ac:dyDescent="0.15">
      <c r="A869" s="10"/>
      <c r="B869" s="13"/>
      <c r="C869" s="13"/>
    </row>
    <row r="870" spans="1:3" ht="13" x14ac:dyDescent="0.15">
      <c r="A870" s="10"/>
      <c r="B870" s="13"/>
      <c r="C870" s="13"/>
    </row>
    <row r="871" spans="1:3" ht="13" x14ac:dyDescent="0.15">
      <c r="A871" s="10"/>
      <c r="B871" s="13"/>
      <c r="C871" s="13"/>
    </row>
    <row r="872" spans="1:3" ht="13" x14ac:dyDescent="0.15">
      <c r="A872" s="10"/>
      <c r="B872" s="13"/>
      <c r="C872" s="13"/>
    </row>
    <row r="873" spans="1:3" ht="13" x14ac:dyDescent="0.15">
      <c r="A873" s="10"/>
      <c r="B873" s="13"/>
      <c r="C873" s="13"/>
    </row>
    <row r="874" spans="1:3" ht="13" x14ac:dyDescent="0.15">
      <c r="A874" s="10"/>
      <c r="B874" s="13"/>
      <c r="C874" s="13"/>
    </row>
    <row r="875" spans="1:3" ht="13" x14ac:dyDescent="0.15">
      <c r="A875" s="10"/>
      <c r="B875" s="13"/>
      <c r="C875" s="13"/>
    </row>
    <row r="876" spans="1:3" ht="13" x14ac:dyDescent="0.15">
      <c r="A876" s="10"/>
      <c r="B876" s="13"/>
      <c r="C876" s="13"/>
    </row>
    <row r="877" spans="1:3" ht="13" x14ac:dyDescent="0.15">
      <c r="A877" s="10"/>
      <c r="B877" s="13"/>
      <c r="C877" s="13"/>
    </row>
    <row r="878" spans="1:3" ht="13" x14ac:dyDescent="0.15">
      <c r="A878" s="10"/>
      <c r="B878" s="13"/>
      <c r="C878" s="13"/>
    </row>
    <row r="879" spans="1:3" ht="13" x14ac:dyDescent="0.15">
      <c r="A879" s="10"/>
      <c r="B879" s="13"/>
      <c r="C879" s="13"/>
    </row>
    <row r="880" spans="1:3" ht="13" x14ac:dyDescent="0.15">
      <c r="A880" s="10"/>
      <c r="B880" s="13"/>
      <c r="C880" s="13"/>
    </row>
    <row r="881" spans="1:3" ht="13" x14ac:dyDescent="0.15">
      <c r="A881" s="10"/>
      <c r="B881" s="13"/>
      <c r="C881" s="13"/>
    </row>
    <row r="882" spans="1:3" ht="13" x14ac:dyDescent="0.15">
      <c r="A882" s="10"/>
      <c r="B882" s="13"/>
      <c r="C882" s="13"/>
    </row>
    <row r="883" spans="1:3" ht="13" x14ac:dyDescent="0.15">
      <c r="A883" s="10"/>
      <c r="B883" s="13"/>
      <c r="C883" s="13"/>
    </row>
    <row r="884" spans="1:3" ht="13" x14ac:dyDescent="0.15">
      <c r="A884" s="10"/>
      <c r="B884" s="13"/>
      <c r="C884" s="13"/>
    </row>
    <row r="885" spans="1:3" ht="13" x14ac:dyDescent="0.15">
      <c r="A885" s="10"/>
      <c r="B885" s="13"/>
      <c r="C885" s="13"/>
    </row>
    <row r="886" spans="1:3" ht="13" x14ac:dyDescent="0.15">
      <c r="A886" s="10"/>
      <c r="B886" s="13"/>
      <c r="C886" s="13"/>
    </row>
    <row r="887" spans="1:3" ht="13" x14ac:dyDescent="0.15">
      <c r="A887" s="10"/>
      <c r="B887" s="13"/>
      <c r="C887" s="13"/>
    </row>
    <row r="888" spans="1:3" ht="13" x14ac:dyDescent="0.15">
      <c r="A888" s="10"/>
      <c r="B888" s="13"/>
      <c r="C888" s="13"/>
    </row>
    <row r="889" spans="1:3" ht="13" x14ac:dyDescent="0.15">
      <c r="A889" s="10"/>
      <c r="B889" s="13"/>
      <c r="C889" s="13"/>
    </row>
    <row r="890" spans="1:3" ht="13" x14ac:dyDescent="0.15">
      <c r="A890" s="10"/>
      <c r="B890" s="13"/>
      <c r="C890" s="13"/>
    </row>
    <row r="891" spans="1:3" ht="13" x14ac:dyDescent="0.15">
      <c r="A891" s="10"/>
      <c r="B891" s="13"/>
      <c r="C891" s="13"/>
    </row>
    <row r="892" spans="1:3" ht="13" x14ac:dyDescent="0.15">
      <c r="A892" s="10"/>
      <c r="B892" s="13"/>
      <c r="C892" s="13"/>
    </row>
    <row r="893" spans="1:3" ht="13" x14ac:dyDescent="0.15">
      <c r="A893" s="10"/>
      <c r="B893" s="13"/>
      <c r="C893" s="13"/>
    </row>
    <row r="894" spans="1:3" ht="13" x14ac:dyDescent="0.15">
      <c r="A894" s="10"/>
      <c r="B894" s="13"/>
      <c r="C894" s="13"/>
    </row>
    <row r="895" spans="1:3" ht="13" x14ac:dyDescent="0.15">
      <c r="A895" s="10"/>
      <c r="B895" s="13"/>
      <c r="C895" s="13"/>
    </row>
    <row r="896" spans="1:3" ht="13" x14ac:dyDescent="0.15">
      <c r="A896" s="10"/>
      <c r="B896" s="13"/>
      <c r="C896" s="13"/>
    </row>
    <row r="897" spans="1:3" ht="13" x14ac:dyDescent="0.15">
      <c r="A897" s="10"/>
      <c r="B897" s="13"/>
      <c r="C897" s="13"/>
    </row>
    <row r="898" spans="1:3" ht="13" x14ac:dyDescent="0.15">
      <c r="A898" s="10"/>
      <c r="B898" s="13"/>
      <c r="C898" s="13"/>
    </row>
    <row r="899" spans="1:3" ht="13" x14ac:dyDescent="0.15">
      <c r="A899" s="10"/>
      <c r="B899" s="13"/>
      <c r="C899" s="13"/>
    </row>
    <row r="900" spans="1:3" ht="13" x14ac:dyDescent="0.15">
      <c r="A900" s="10"/>
      <c r="B900" s="13"/>
      <c r="C900" s="13"/>
    </row>
    <row r="901" spans="1:3" ht="13" x14ac:dyDescent="0.15">
      <c r="A901" s="10"/>
      <c r="B901" s="13"/>
      <c r="C901" s="13"/>
    </row>
    <row r="902" spans="1:3" ht="13" x14ac:dyDescent="0.15">
      <c r="A902" s="10"/>
      <c r="B902" s="13"/>
      <c r="C902" s="13"/>
    </row>
    <row r="903" spans="1:3" ht="13" x14ac:dyDescent="0.15">
      <c r="A903" s="10"/>
      <c r="B903" s="13"/>
      <c r="C903" s="13"/>
    </row>
    <row r="904" spans="1:3" ht="13" x14ac:dyDescent="0.15">
      <c r="A904" s="10"/>
      <c r="B904" s="13"/>
      <c r="C904" s="13"/>
    </row>
    <row r="905" spans="1:3" ht="13" x14ac:dyDescent="0.15">
      <c r="A905" s="10"/>
      <c r="B905" s="13"/>
      <c r="C905" s="13"/>
    </row>
    <row r="906" spans="1:3" ht="13" x14ac:dyDescent="0.15">
      <c r="A906" s="10"/>
      <c r="B906" s="13"/>
      <c r="C906" s="13"/>
    </row>
    <row r="907" spans="1:3" ht="13" x14ac:dyDescent="0.15">
      <c r="A907" s="10"/>
      <c r="B907" s="13"/>
      <c r="C907" s="13"/>
    </row>
    <row r="908" spans="1:3" ht="13" x14ac:dyDescent="0.15">
      <c r="A908" s="10"/>
      <c r="B908" s="13"/>
      <c r="C908" s="13"/>
    </row>
    <row r="909" spans="1:3" ht="13" x14ac:dyDescent="0.15">
      <c r="A909" s="10"/>
      <c r="B909" s="13"/>
      <c r="C909" s="13"/>
    </row>
    <row r="910" spans="1:3" ht="13" x14ac:dyDescent="0.15">
      <c r="A910" s="10"/>
      <c r="B910" s="13"/>
      <c r="C910" s="13"/>
    </row>
    <row r="911" spans="1:3" ht="13" x14ac:dyDescent="0.15">
      <c r="A911" s="10"/>
      <c r="B911" s="13"/>
      <c r="C911" s="13"/>
    </row>
    <row r="912" spans="1:3" ht="13" x14ac:dyDescent="0.15">
      <c r="A912" s="10"/>
      <c r="B912" s="13"/>
      <c r="C912" s="13"/>
    </row>
    <row r="913" spans="1:3" ht="13" x14ac:dyDescent="0.15">
      <c r="A913" s="10"/>
      <c r="B913" s="13"/>
      <c r="C913" s="13"/>
    </row>
    <row r="914" spans="1:3" ht="13" x14ac:dyDescent="0.15">
      <c r="A914" s="10"/>
      <c r="B914" s="13"/>
      <c r="C914" s="13"/>
    </row>
    <row r="915" spans="1:3" ht="13" x14ac:dyDescent="0.15">
      <c r="A915" s="10"/>
      <c r="B915" s="13"/>
      <c r="C915" s="13"/>
    </row>
    <row r="916" spans="1:3" ht="13" x14ac:dyDescent="0.15">
      <c r="A916" s="10"/>
      <c r="B916" s="13"/>
      <c r="C916" s="13"/>
    </row>
    <row r="917" spans="1:3" ht="13" x14ac:dyDescent="0.15">
      <c r="A917" s="10"/>
      <c r="B917" s="13"/>
      <c r="C917" s="13"/>
    </row>
    <row r="918" spans="1:3" ht="13" x14ac:dyDescent="0.15">
      <c r="A918" s="10"/>
      <c r="B918" s="13"/>
      <c r="C918" s="13"/>
    </row>
    <row r="919" spans="1:3" ht="13" x14ac:dyDescent="0.15">
      <c r="A919" s="10"/>
      <c r="B919" s="13"/>
      <c r="C919" s="13"/>
    </row>
    <row r="920" spans="1:3" ht="13" x14ac:dyDescent="0.15">
      <c r="A920" s="10"/>
      <c r="B920" s="13"/>
      <c r="C920" s="13"/>
    </row>
    <row r="921" spans="1:3" ht="13" x14ac:dyDescent="0.15">
      <c r="A921" s="10"/>
      <c r="B921" s="13"/>
      <c r="C921" s="13"/>
    </row>
    <row r="922" spans="1:3" ht="13" x14ac:dyDescent="0.15">
      <c r="A922" s="10"/>
      <c r="B922" s="13"/>
      <c r="C922" s="13"/>
    </row>
    <row r="923" spans="1:3" ht="13" x14ac:dyDescent="0.15">
      <c r="A923" s="10"/>
      <c r="B923" s="13"/>
      <c r="C923" s="13"/>
    </row>
    <row r="924" spans="1:3" ht="13" x14ac:dyDescent="0.15">
      <c r="A924" s="10"/>
      <c r="B924" s="13"/>
      <c r="C924" s="13"/>
    </row>
    <row r="925" spans="1:3" ht="13" x14ac:dyDescent="0.15">
      <c r="A925" s="10"/>
      <c r="B925" s="13"/>
      <c r="C925" s="13"/>
    </row>
    <row r="926" spans="1:3" ht="13" x14ac:dyDescent="0.15">
      <c r="A926" s="10"/>
      <c r="B926" s="13"/>
      <c r="C926" s="13"/>
    </row>
    <row r="927" spans="1:3" ht="13" x14ac:dyDescent="0.15">
      <c r="A927" s="10"/>
      <c r="B927" s="13"/>
      <c r="C927" s="13"/>
    </row>
    <row r="928" spans="1:3" ht="13" x14ac:dyDescent="0.15">
      <c r="A928" s="10"/>
      <c r="B928" s="13"/>
      <c r="C928" s="13"/>
    </row>
    <row r="929" spans="1:3" ht="13" x14ac:dyDescent="0.15">
      <c r="A929" s="10"/>
      <c r="B929" s="13"/>
      <c r="C929" s="13"/>
    </row>
    <row r="930" spans="1:3" ht="13" x14ac:dyDescent="0.15">
      <c r="A930" s="10"/>
      <c r="B930" s="13"/>
      <c r="C930" s="13"/>
    </row>
    <row r="931" spans="1:3" ht="13" x14ac:dyDescent="0.15">
      <c r="A931" s="10"/>
      <c r="B931" s="13"/>
      <c r="C931" s="13"/>
    </row>
    <row r="932" spans="1:3" ht="13" x14ac:dyDescent="0.15">
      <c r="A932" s="10"/>
      <c r="B932" s="13"/>
      <c r="C932" s="13"/>
    </row>
    <row r="933" spans="1:3" ht="13" x14ac:dyDescent="0.15">
      <c r="A933" s="10"/>
      <c r="B933" s="13"/>
      <c r="C933" s="13"/>
    </row>
    <row r="934" spans="1:3" ht="13" x14ac:dyDescent="0.15">
      <c r="A934" s="10"/>
      <c r="B934" s="13"/>
      <c r="C934" s="13"/>
    </row>
    <row r="935" spans="1:3" ht="13" x14ac:dyDescent="0.15">
      <c r="A935" s="10"/>
      <c r="B935" s="13"/>
      <c r="C935" s="13"/>
    </row>
    <row r="936" spans="1:3" ht="13" x14ac:dyDescent="0.15">
      <c r="A936" s="10"/>
      <c r="B936" s="13"/>
      <c r="C936" s="13"/>
    </row>
    <row r="937" spans="1:3" ht="13" x14ac:dyDescent="0.15">
      <c r="A937" s="10"/>
      <c r="B937" s="13"/>
      <c r="C937" s="13"/>
    </row>
    <row r="938" spans="1:3" ht="13" x14ac:dyDescent="0.15">
      <c r="A938" s="10"/>
      <c r="B938" s="13"/>
      <c r="C938" s="13"/>
    </row>
    <row r="939" spans="1:3" ht="13" x14ac:dyDescent="0.15">
      <c r="A939" s="10"/>
      <c r="B939" s="13"/>
      <c r="C939" s="13"/>
    </row>
    <row r="940" spans="1:3" ht="13" x14ac:dyDescent="0.15">
      <c r="A940" s="10"/>
      <c r="B940" s="13"/>
      <c r="C940" s="13"/>
    </row>
    <row r="941" spans="1:3" ht="13" x14ac:dyDescent="0.15">
      <c r="A941" s="10"/>
      <c r="B941" s="13"/>
      <c r="C941" s="13"/>
    </row>
    <row r="942" spans="1:3" ht="13" x14ac:dyDescent="0.15">
      <c r="A942" s="10"/>
      <c r="B942" s="13"/>
      <c r="C942" s="13"/>
    </row>
    <row r="943" spans="1:3" ht="13" x14ac:dyDescent="0.15">
      <c r="A943" s="10"/>
      <c r="B943" s="13"/>
      <c r="C943" s="13"/>
    </row>
    <row r="944" spans="1:3" ht="13" x14ac:dyDescent="0.15">
      <c r="A944" s="10"/>
      <c r="B944" s="13"/>
      <c r="C944" s="13"/>
    </row>
    <row r="945" spans="1:3" ht="13" x14ac:dyDescent="0.15">
      <c r="A945" s="10"/>
      <c r="B945" s="13"/>
      <c r="C945" s="13"/>
    </row>
    <row r="946" spans="1:3" ht="13" x14ac:dyDescent="0.15">
      <c r="A946" s="10"/>
      <c r="B946" s="13"/>
      <c r="C946" s="13"/>
    </row>
    <row r="947" spans="1:3" ht="13" x14ac:dyDescent="0.15">
      <c r="A947" s="10"/>
      <c r="B947" s="13"/>
      <c r="C947" s="13"/>
    </row>
    <row r="948" spans="1:3" ht="13" x14ac:dyDescent="0.15">
      <c r="A948" s="10"/>
      <c r="B948" s="13"/>
      <c r="C948" s="13"/>
    </row>
    <row r="949" spans="1:3" ht="13" x14ac:dyDescent="0.15">
      <c r="A949" s="10"/>
      <c r="B949" s="13"/>
      <c r="C949" s="13"/>
    </row>
    <row r="950" spans="1:3" ht="13" x14ac:dyDescent="0.15">
      <c r="A950" s="10"/>
      <c r="B950" s="13"/>
      <c r="C950" s="13"/>
    </row>
    <row r="951" spans="1:3" ht="13" x14ac:dyDescent="0.15">
      <c r="A951" s="10"/>
      <c r="B951" s="13"/>
      <c r="C951" s="13"/>
    </row>
    <row r="952" spans="1:3" ht="13" x14ac:dyDescent="0.15">
      <c r="A952" s="10"/>
      <c r="B952" s="13"/>
      <c r="C952" s="13"/>
    </row>
    <row r="953" spans="1:3" ht="13" x14ac:dyDescent="0.15">
      <c r="A953" s="10"/>
      <c r="B953" s="13"/>
      <c r="C953" s="13"/>
    </row>
    <row r="954" spans="1:3" ht="13" x14ac:dyDescent="0.15">
      <c r="A954" s="10"/>
      <c r="B954" s="13"/>
      <c r="C954" s="13"/>
    </row>
    <row r="955" spans="1:3" ht="13" x14ac:dyDescent="0.15">
      <c r="A955" s="10"/>
      <c r="B955" s="13"/>
      <c r="C955" s="13"/>
    </row>
    <row r="956" spans="1:3" ht="13" x14ac:dyDescent="0.15">
      <c r="A956" s="10"/>
      <c r="B956" s="13"/>
      <c r="C956" s="13"/>
    </row>
    <row r="957" spans="1:3" ht="13" x14ac:dyDescent="0.15">
      <c r="A957" s="10"/>
      <c r="B957" s="13"/>
      <c r="C957" s="13"/>
    </row>
    <row r="958" spans="1:3" ht="13" x14ac:dyDescent="0.15">
      <c r="A958" s="10"/>
      <c r="B958" s="13"/>
      <c r="C958" s="13"/>
    </row>
    <row r="959" spans="1:3" ht="13" x14ac:dyDescent="0.15">
      <c r="A959" s="10"/>
      <c r="B959" s="13"/>
      <c r="C959" s="13"/>
    </row>
    <row r="960" spans="1:3" ht="13" x14ac:dyDescent="0.15">
      <c r="A960" s="10"/>
      <c r="B960" s="13"/>
      <c r="C960" s="13"/>
    </row>
    <row r="961" spans="1:3" ht="13" x14ac:dyDescent="0.15">
      <c r="A961" s="10"/>
      <c r="B961" s="13"/>
      <c r="C961" s="13"/>
    </row>
    <row r="962" spans="1:3" ht="13" x14ac:dyDescent="0.15">
      <c r="A962" s="10"/>
      <c r="B962" s="13"/>
      <c r="C962" s="13"/>
    </row>
    <row r="963" spans="1:3" ht="13" x14ac:dyDescent="0.15">
      <c r="A963" s="10"/>
      <c r="B963" s="13"/>
      <c r="C963" s="13"/>
    </row>
    <row r="964" spans="1:3" ht="13" x14ac:dyDescent="0.15">
      <c r="A964" s="10"/>
      <c r="B964" s="13"/>
      <c r="C964" s="13"/>
    </row>
    <row r="965" spans="1:3" ht="13" x14ac:dyDescent="0.15">
      <c r="A965" s="10"/>
      <c r="B965" s="13"/>
      <c r="C965" s="13"/>
    </row>
    <row r="966" spans="1:3" ht="13" x14ac:dyDescent="0.15">
      <c r="A966" s="10"/>
      <c r="B966" s="13"/>
      <c r="C966" s="13"/>
    </row>
    <row r="967" spans="1:3" ht="13" x14ac:dyDescent="0.15">
      <c r="A967" s="10"/>
      <c r="B967" s="13"/>
      <c r="C967" s="13"/>
    </row>
    <row r="968" spans="1:3" ht="13" x14ac:dyDescent="0.15">
      <c r="A968" s="10"/>
      <c r="B968" s="13"/>
      <c r="C968" s="13"/>
    </row>
    <row r="969" spans="1:3" ht="13" x14ac:dyDescent="0.15">
      <c r="A969" s="10"/>
      <c r="B969" s="13"/>
      <c r="C969" s="13"/>
    </row>
    <row r="970" spans="1:3" ht="13" x14ac:dyDescent="0.15">
      <c r="A970" s="10"/>
      <c r="B970" s="13"/>
      <c r="C970" s="13"/>
    </row>
    <row r="971" spans="1:3" ht="13" x14ac:dyDescent="0.15">
      <c r="A971" s="10"/>
      <c r="B971" s="13"/>
      <c r="C971" s="13"/>
    </row>
    <row r="972" spans="1:3" ht="13" x14ac:dyDescent="0.15">
      <c r="A972" s="10"/>
      <c r="B972" s="13"/>
      <c r="C972" s="13"/>
    </row>
    <row r="973" spans="1:3" ht="13" x14ac:dyDescent="0.15">
      <c r="A973" s="10"/>
      <c r="B973" s="13"/>
      <c r="C973" s="13"/>
    </row>
    <row r="974" spans="1:3" ht="13" x14ac:dyDescent="0.15">
      <c r="A974" s="10"/>
      <c r="B974" s="13"/>
      <c r="C974" s="13"/>
    </row>
    <row r="975" spans="1:3" ht="13" x14ac:dyDescent="0.15">
      <c r="A975" s="10"/>
      <c r="B975" s="13"/>
      <c r="C975" s="13"/>
    </row>
    <row r="976" spans="1:3" ht="13" x14ac:dyDescent="0.15">
      <c r="A976" s="10"/>
      <c r="B976" s="13"/>
      <c r="C976" s="13"/>
    </row>
    <row r="977" spans="1:3" ht="13" x14ac:dyDescent="0.15">
      <c r="A977" s="10"/>
      <c r="B977" s="13"/>
      <c r="C977" s="13"/>
    </row>
    <row r="978" spans="1:3" ht="13" x14ac:dyDescent="0.15">
      <c r="A978" s="10"/>
      <c r="B978" s="13"/>
      <c r="C978" s="13"/>
    </row>
    <row r="979" spans="1:3" ht="13" x14ac:dyDescent="0.15">
      <c r="A979" s="10"/>
      <c r="B979" s="13"/>
      <c r="C979" s="13"/>
    </row>
    <row r="980" spans="1:3" ht="13" x14ac:dyDescent="0.15">
      <c r="A980" s="10"/>
      <c r="B980" s="13"/>
      <c r="C980" s="13"/>
    </row>
    <row r="981" spans="1:3" ht="13" x14ac:dyDescent="0.15">
      <c r="A981" s="10"/>
      <c r="B981" s="13"/>
      <c r="C981" s="13"/>
    </row>
    <row r="982" spans="1:3" ht="13" x14ac:dyDescent="0.15">
      <c r="A982" s="10"/>
      <c r="B982" s="13"/>
      <c r="C982" s="13"/>
    </row>
    <row r="983" spans="1:3" ht="13" x14ac:dyDescent="0.15">
      <c r="A983" s="10"/>
      <c r="B983" s="13"/>
      <c r="C983" s="13"/>
    </row>
    <row r="984" spans="1:3" ht="13" x14ac:dyDescent="0.15">
      <c r="A984" s="10"/>
      <c r="B984" s="13"/>
      <c r="C984" s="13"/>
    </row>
    <row r="985" spans="1:3" ht="13" x14ac:dyDescent="0.15">
      <c r="A985" s="10"/>
      <c r="B985" s="13"/>
      <c r="C985" s="13"/>
    </row>
    <row r="986" spans="1:3" ht="13" x14ac:dyDescent="0.15">
      <c r="A986" s="10"/>
      <c r="B986" s="13"/>
      <c r="C986" s="13"/>
    </row>
    <row r="987" spans="1:3" ht="13" x14ac:dyDescent="0.15">
      <c r="A987" s="10"/>
      <c r="B987" s="13"/>
      <c r="C987" s="13"/>
    </row>
    <row r="988" spans="1:3" ht="13" x14ac:dyDescent="0.15">
      <c r="A988" s="10"/>
      <c r="B988" s="13"/>
      <c r="C988" s="13"/>
    </row>
    <row r="989" spans="1:3" ht="13" x14ac:dyDescent="0.15">
      <c r="A989" s="10"/>
      <c r="B989" s="13"/>
      <c r="C989" s="13"/>
    </row>
    <row r="990" spans="1:3" ht="13" x14ac:dyDescent="0.15">
      <c r="A990" s="10"/>
      <c r="B990" s="13"/>
      <c r="C990" s="13"/>
    </row>
    <row r="991" spans="1:3" ht="13" x14ac:dyDescent="0.15">
      <c r="A991" s="10"/>
      <c r="B991" s="13"/>
      <c r="C991" s="13"/>
    </row>
    <row r="992" spans="1:3" ht="13" x14ac:dyDescent="0.15">
      <c r="A992" s="10"/>
      <c r="B992" s="13"/>
      <c r="C992" s="13"/>
    </row>
    <row r="993" spans="1:3" ht="13" x14ac:dyDescent="0.15">
      <c r="A993" s="10"/>
      <c r="B993" s="13"/>
      <c r="C993" s="13"/>
    </row>
    <row r="994" spans="1:3" ht="13" x14ac:dyDescent="0.15">
      <c r="A994" s="10"/>
      <c r="B994" s="13"/>
      <c r="C994" s="13"/>
    </row>
    <row r="995" spans="1:3" ht="13" x14ac:dyDescent="0.15">
      <c r="A995" s="10"/>
      <c r="B995" s="13"/>
      <c r="C995" s="13"/>
    </row>
    <row r="996" spans="1:3" ht="13" x14ac:dyDescent="0.15">
      <c r="A996" s="10"/>
      <c r="B996" s="13"/>
      <c r="C996" s="13"/>
    </row>
    <row r="997" spans="1:3" ht="13" x14ac:dyDescent="0.15">
      <c r="A997" s="10"/>
      <c r="B997" s="13"/>
      <c r="C997" s="13"/>
    </row>
  </sheetData>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outlinePr summaryBelow="0" summaryRight="0"/>
  </sheetPr>
  <dimension ref="A1:D997"/>
  <sheetViews>
    <sheetView workbookViewId="0"/>
  </sheetViews>
  <sheetFormatPr baseColWidth="10" defaultColWidth="12.6640625" defaultRowHeight="15.75" customHeight="1" x14ac:dyDescent="0.15"/>
  <cols>
    <col min="1" max="1" width="71.5" customWidth="1"/>
    <col min="2" max="4" width="37.6640625" customWidth="1"/>
  </cols>
  <sheetData>
    <row r="1" spans="1:4" ht="15.75" customHeight="1" x14ac:dyDescent="0.15">
      <c r="A1" s="1"/>
      <c r="B1" s="12" t="str">
        <f ca="1">IFERROR(__xludf.DUMMYFUNCTION("IMPORTRANGE(""https://docs.google.com/spreadsheets/d/13SmE7eku7nG0PwUe_FIOCUfCnXVjPMNZ0Q_x8FW6s5I"",""A86!B1:B22"")"),"Josiah Bolton")</f>
        <v>Josiah Bolton</v>
      </c>
      <c r="C1" s="10" t="str">
        <f ca="1">IFERROR(__xludf.DUMMYFUNCTION("IMPORTRANGE(""https://docs.google.com/spreadsheets/u/0/d/1v3alDV9sI-Ng7OoZouCf4a0CI5tv_Xg2T3WprxxRGRs"", ""A86!B1:B22"")"),"Tyler")</f>
        <v>Tyler</v>
      </c>
      <c r="D1" s="2" t="s">
        <v>1</v>
      </c>
    </row>
    <row r="2" spans="1:4" ht="15.75" customHeight="1" x14ac:dyDescent="0.15">
      <c r="A2" s="3" t="s">
        <v>2</v>
      </c>
      <c r="B2" s="15" t="str">
        <f ca="1">IFERROR(__xludf.DUMMYFUNCTION("""COMPUTED_VALUE"""),"51579-52592 FOR")</f>
        <v>51579-52592 FOR</v>
      </c>
      <c r="C2" s="15" t="str">
        <f ca="1">IFERROR(__xludf.DUMMYFUNCTION("""COMPUTED_VALUE"""),"51579 - 52592 FOW")</f>
        <v>51579 - 52592 FOW</v>
      </c>
      <c r="D2" s="4"/>
    </row>
    <row r="3" spans="1:4" ht="15.75" customHeight="1" x14ac:dyDescent="0.15">
      <c r="A3" s="5" t="s">
        <v>3</v>
      </c>
      <c r="B3" s="17" t="str">
        <f ca="1">IFERROR(__xludf.DUMMYFUNCTION("""COMPUTED_VALUE"""),"85 in DNA Master
86 on Phamerator map")</f>
        <v>85 in DNA Master
86 on Phamerator map</v>
      </c>
      <c r="C3" s="17" t="str">
        <f ca="1">IFERROR(__xludf.DUMMYFUNCTION("""COMPUTED_VALUE"""),"DNA Master_85
Phamerator_86")</f>
        <v>DNA Master_85
Phamerator_86</v>
      </c>
      <c r="D3" s="6"/>
    </row>
    <row r="4" spans="1:4" ht="15.75" customHeight="1" x14ac:dyDescent="0.15">
      <c r="A4" s="5" t="s">
        <v>4</v>
      </c>
      <c r="B4" s="17" t="str">
        <f ca="1">IFERROR(__xludf.DUMMYFUNCTION("""COMPUTED_VALUE"""),"87663 3/18/2025")</f>
        <v>87663 3/18/2025</v>
      </c>
      <c r="C4" s="17" t="str">
        <f ca="1">IFERROR(__xludf.DUMMYFUNCTION("""COMPUTED_VALUE"""),"87663 3/17/25")</f>
        <v>87663 3/17/25</v>
      </c>
      <c r="D4" s="6"/>
    </row>
    <row r="5" spans="1:4" ht="15.75" customHeight="1" x14ac:dyDescent="0.15">
      <c r="A5" s="5" t="s">
        <v>5</v>
      </c>
      <c r="B5" s="17" t="str">
        <f ca="1">IFERROR(__xludf.DUMMYFUNCTION("""COMPUTED_VALUE"""),"Kovu 84 and Shrooms 83")</f>
        <v>Kovu 84 and Shrooms 83</v>
      </c>
      <c r="C5" s="17" t="str">
        <f ca="1">IFERROR(__xludf.DUMMYFUNCTION("""COMPUTED_VALUE"""),"Kovu_84 ")</f>
        <v xml:space="preserve">Kovu_84 </v>
      </c>
      <c r="D5" s="6"/>
    </row>
    <row r="6" spans="1:4" ht="15.75" customHeight="1" x14ac:dyDescent="0.15">
      <c r="A6" s="5" t="s">
        <v>6</v>
      </c>
      <c r="B6" s="17" t="str">
        <f ca="1">IFERROR(__xludf.DUMMYFUNCTION("""COMPUTED_VALUE"""),"Both call at 51579.")</f>
        <v>Both call at 51579.</v>
      </c>
      <c r="C6" s="17" t="str">
        <f ca="1">IFERROR(__xludf.DUMMYFUNCTION("""COMPUTED_VALUE"""),"both call @bp 51579 strength 15.68")</f>
        <v>both call @bp 51579 strength 15.68</v>
      </c>
      <c r="D6" s="6"/>
    </row>
    <row r="7" spans="1:4" ht="15.75" customHeight="1" x14ac:dyDescent="0.15">
      <c r="A7" s="5" t="s">
        <v>7</v>
      </c>
      <c r="B7" s="17" t="str">
        <f ca="1">IFERROR(__xludf.DUMMYFUNCTION("""COMPUTED_VALUE"""),"This gene has excellent coding potential and most is captured only a 10 bp gap between the previous gene potentially misses some coding.")</f>
        <v>This gene has excellent coding potential and most is captured only a 10 bp gap between the previous gene potentially misses some coding.</v>
      </c>
      <c r="C7" s="17" t="str">
        <f ca="1">IFERROR(__xludf.DUMMYFUNCTION("""COMPUTED_VALUE"""),"good coding potential, start includes all potential ")</f>
        <v xml:space="preserve">good coding potential, start includes all potential </v>
      </c>
      <c r="D7" s="6"/>
    </row>
    <row r="8" spans="1:4" ht="15.75" customHeight="1" x14ac:dyDescent="0.15">
      <c r="A8" s="5" t="s">
        <v>8</v>
      </c>
      <c r="B8" s="17" t="str">
        <f ca="1">IFERROR(__xludf.DUMMYFUNCTION("""COMPUTED_VALUE"""),"This is the longest ORF for this gene.")</f>
        <v>This is the longest ORF for this gene.</v>
      </c>
      <c r="C8" s="17" t="str">
        <f ca="1">IFERROR(__xludf.DUMMYFUNCTION("""COMPUTED_VALUE"""),"yes")</f>
        <v>yes</v>
      </c>
      <c r="D8" s="6"/>
    </row>
    <row r="9" spans="1:4" ht="15.75" customHeight="1" x14ac:dyDescent="0.15">
      <c r="A9" s="5" t="s">
        <v>9</v>
      </c>
      <c r="B9" s="17" t="str">
        <f ca="1">IFERROR(__xludf.DUMMYFUNCTION("""COMPUTED_VALUE"""),"10 bp gap with previous gene.")</f>
        <v>10 bp gap with previous gene.</v>
      </c>
      <c r="C9" s="17" t="str">
        <f ca="1">IFERROR(__xludf.DUMMYFUNCTION("""COMPUTED_VALUE"""),"about 10 nt gap ")</f>
        <v xml:space="preserve">about 10 nt gap </v>
      </c>
      <c r="D9" s="6"/>
    </row>
    <row r="10" spans="1:4" ht="15.75" customHeight="1" x14ac:dyDescent="0.15">
      <c r="A10" s="5" t="s">
        <v>10</v>
      </c>
      <c r="B10" s="17" t="str">
        <f ca="1">IFERROR(__xludf.DUMMYFUNCTION("""COMPUTED_VALUE"""),"The Z score is 3.100 witha final score of -2.214. This is the best score.")</f>
        <v>The Z score is 3.100 witha final score of -2.214. This is the best score.</v>
      </c>
      <c r="C10" s="17" t="str">
        <f ca="1">IFERROR(__xludf.DUMMYFUNCTION("""COMPUTED_VALUE"""),"current start has best Z score (3.100)")</f>
        <v>current start has best Z score (3.100)</v>
      </c>
      <c r="D10" s="6"/>
    </row>
    <row r="11" spans="1:4" ht="15.75" customHeight="1" x14ac:dyDescent="0.15">
      <c r="A11" s="5" t="s">
        <v>11</v>
      </c>
      <c r="B11" s="17" t="str">
        <f ca="1">IFERROR(__xludf.DUMMYFUNCTION("""COMPUTED_VALUE"""),"Kovu 84 which has % identity of 94.14%. e value is 0e0. q1 - 307: s1 -307.")</f>
        <v>Kovu 84 which has % identity of 94.14%. e value is 0e0. q1 - 307: s1 -307.</v>
      </c>
      <c r="C11" s="17" t="str">
        <f ca="1">IFERROR(__xludf.DUMMYFUNCTION("""COMPUTED_VALUE"""),"Kovu_84; 94.14% identity; 0.0E0; Q:1 T:1
Shrooms_83; 81.13% identity; 0.0E0; Q:1 Q:1")</f>
        <v>Kovu_84; 94.14% identity; 0.0E0; Q:1 T:1
Shrooms_83; 81.13% identity; 0.0E0; Q:1 Q:1</v>
      </c>
      <c r="D11" s="6"/>
    </row>
    <row r="12" spans="1:4" ht="15.75" customHeight="1" x14ac:dyDescent="0.15">
      <c r="A12" s="5" t="s">
        <v>12</v>
      </c>
      <c r="B12" s="17" t="str">
        <f ca="1">IFERROR(__xludf.DUMMYFUNCTION("""COMPUTED_VALUE"""),"Start 3 is conserved in all members of the pham and is called 100% of time when present.")</f>
        <v>Start 3 is conserved in all members of the pham and is called 100% of time when present.</v>
      </c>
      <c r="C12" s="17" t="str">
        <f ca="1">IFERROR(__xludf.DUMMYFUNCTION("""COMPUTED_VALUE"""),"no, called 8 out of 10 times ")</f>
        <v xml:space="preserve">no, called 8 out of 10 times </v>
      </c>
      <c r="D12" s="6"/>
    </row>
    <row r="13" spans="1:4" ht="15.75" customHeight="1" x14ac:dyDescent="0.15">
      <c r="A13" s="5" t="s">
        <v>13</v>
      </c>
      <c r="B13" s="17" t="str">
        <f ca="1">IFERROR(__xludf.DUMMYFUNCTION("""COMPUTED_VALUE"""),"No start change because this the best start.")</f>
        <v>No start change because this the best start.</v>
      </c>
      <c r="C13" s="17" t="str">
        <f ca="1">IFERROR(__xludf.DUMMYFUNCTION("""COMPUTED_VALUE"""),"No, current start has a very good Z-score with a minimal gap")</f>
        <v>No, current start has a very good Z-score with a minimal gap</v>
      </c>
      <c r="D13" s="6"/>
    </row>
    <row r="14" spans="1:4" ht="15.75" customHeight="1" x14ac:dyDescent="0.15">
      <c r="A14" s="5" t="s">
        <v>14</v>
      </c>
      <c r="B14" s="17" t="str">
        <f ca="1">IFERROR(__xludf.DUMMYFUNCTION("""COMPUTED_VALUE"""),"Kovu 84 and evalue is e-174.")</f>
        <v>Kovu 84 and evalue is e-174.</v>
      </c>
      <c r="C14" s="17" t="str">
        <f ca="1">IFERROR(__xludf.DUMMYFUNCTION("""COMPUTED_VALUE"""),"Kovu_84;e-174 
Shrooms_83;  e-147 ")</f>
        <v xml:space="preserve">Kovu_84;e-174 
Shrooms_83;  e-147 </v>
      </c>
      <c r="D14" s="6"/>
    </row>
    <row r="15" spans="1:4" ht="15.75" customHeight="1" x14ac:dyDescent="0.15">
      <c r="A15" s="5" t="s">
        <v>15</v>
      </c>
      <c r="B15" s="17" t="str">
        <f ca="1">IFERROR(__xludf.DUMMYFUNCTION("""COMPUTED_VALUE"""),"Kovu 84 is an ASCE ATPase.")</f>
        <v>Kovu 84 is an ASCE ATPase.</v>
      </c>
      <c r="C15" s="17" t="str">
        <f ca="1">IFERROR(__xludf.DUMMYFUNCTION("""COMPUTED_VALUE"""),"ATPas")</f>
        <v>ATPas</v>
      </c>
      <c r="D15" s="6"/>
    </row>
    <row r="16" spans="1:4" ht="15.75" customHeight="1" x14ac:dyDescent="0.15">
      <c r="A16" s="5" t="s">
        <v>16</v>
      </c>
      <c r="B16" s="17" t="str">
        <f ca="1">IFERROR(__xludf.DUMMYFUNCTION("""COMPUTED_VALUE"""),"Synteny could very well exist but as either AAA-ATPase or ASCE ATPase.")</f>
        <v>Synteny could very well exist but as either AAA-ATPase or ASCE ATPase.</v>
      </c>
      <c r="C16" s="17" t="str">
        <f ca="1">IFERROR(__xludf.DUMMYFUNCTION("""COMPUTED_VALUE"""),"Similar to Kovu ")</f>
        <v xml:space="preserve">Similar to Kovu </v>
      </c>
      <c r="D16" s="6"/>
    </row>
    <row r="17" spans="1:4" ht="15.75" customHeight="1" x14ac:dyDescent="0.15">
      <c r="A17" s="5" t="s">
        <v>17</v>
      </c>
      <c r="B17" s="17" t="str">
        <f ca="1">IFERROR(__xludf.DUMMYFUNCTION("""COMPUTED_VALUE"""),"Protein recA; Alpha and beta proteins (a/b, a+b), ATP-binding, Cytoplasm, DNA damage, DNA recombination, DNA repair, DNA-binding, Nucleotide-binding; 1.95A {Thermotoga maritima} Probability: 99.41%
% alignment of query is 54.73% and the % alignment of tar"&amp;"get is 51.97%. Functional domain is in target part of alignment. ")</f>
        <v xml:space="preserve">Protein recA; Alpha and beta proteins (a/b, a+b), ATP-binding, Cytoplasm, DNA damage, DNA recombination, DNA repair, DNA-binding, Nucleotide-binding; 1.95A {Thermotoga maritima} Probability: 99.41%
% alignment of query is 54.73% and the % alignment of target is 51.97%. Functional domain is in target part of alignment. </v>
      </c>
      <c r="C17" s="17" t="str">
        <f ca="1">IFERROR(__xludf.DUMMYFUNCTION("""COMPUTED_VALUE""")," RecA protein; Recombination, Radioresistance, DNA-repair, ATPase, DNA-binding protein, DNA BINDING PROTEIN; HET: AGS; 2.5A {Deinococcus radiodurans} SCOP: c.37.1.11, d.48.1.1
Probability:99.33%
% alignment Q:55.79%
% alignment T:51.37%
")</f>
        <v xml:space="preserve"> RecA protein; Recombination, Radioresistance, DNA-repair, ATPase, DNA-binding protein, DNA BINDING PROTEIN; HET: AGS; 2.5A {Deinococcus radiodurans} SCOP: c.37.1.11, d.48.1.1
Probability:99.33%
% alignment Q:55.79%
% alignment T:51.37%
</v>
      </c>
      <c r="D17" s="6"/>
    </row>
    <row r="18" spans="1:4" ht="15.75" customHeight="1" x14ac:dyDescent="0.15">
      <c r="A18" s="5" t="s">
        <v>18</v>
      </c>
      <c r="B18" s="17" t="str">
        <f ca="1">IFERROR(__xludf.DUMMYFUNCTION("""COMPUTED_VALUE"""),"AAA Protein Alignment Data:
Query Start (Amino Acid Position): 19
Query End (Amino Acid Position): 109
E-Value: 1.13934e-7
AAA Protein Alignment Data:
Query Start (Amino Acid Position): 15
Query End (Amino Acid Position): 207
E-Value: 3.62144e-12
Flhf Pro"&amp;"tein Alignment Data:
Query Start (Amino Acid Position): 9
Query End (Amino Acid Position): 105
E-Value: 0.000440889")</f>
        <v>AAA Protein Alignment Data:
Query Start (Amino Acid Position): 19
Query End (Amino Acid Position): 109
E-Value: 1.13934e-7
AAA Protein Alignment Data:
Query Start (Amino Acid Position): 15
Query End (Amino Acid Position): 207
E-Value: 3.62144e-12
Flhf Protein Alignment Data:
Query Start (Amino Acid Position): 9
Query End (Amino Acid Position): 105
E-Value: 0.000440889</v>
      </c>
      <c r="C18" s="17" t="str">
        <f ca="1">IFERROR(__xludf.DUMMYFUNCTION("""COMPUTED_VALUE"""),"AAA;ATPases associated with a variety of cellular activities
AAA_24;  This AAA domain is found in a wide variety of presumed phage proteins.
FlhF; Flagellar GTP-binding protein [Cell motility and secretion].")</f>
        <v>AAA;ATPases associated with a variety of cellular activities
AAA_24;  This AAA domain is found in a wide variety of presumed phage proteins.
FlhF; Flagellar GTP-binding protein [Cell motility and secretion].</v>
      </c>
      <c r="D18" s="6"/>
    </row>
    <row r="19" spans="1:4" ht="15.75" customHeight="1" x14ac:dyDescent="0.15">
      <c r="A19" s="5" t="s">
        <v>19</v>
      </c>
      <c r="B19" s="17" t="str">
        <f ca="1">IFERROR(__xludf.DUMMYFUNCTION("""COMPUTED_VALUE"""),"None.")</f>
        <v>None.</v>
      </c>
      <c r="C19" s="17" t="str">
        <f ca="1">IFERROR(__xludf.DUMMYFUNCTION("""COMPUTED_VALUE"""),"no")</f>
        <v>no</v>
      </c>
      <c r="D19" s="6"/>
    </row>
    <row r="20" spans="1:4" ht="15.75" customHeight="1" x14ac:dyDescent="0.15">
      <c r="A20" s="5" t="s">
        <v>20</v>
      </c>
      <c r="B20" s="17" t="str">
        <f ca="1">IFERROR(__xludf.DUMMYFUNCTION("""COMPUTED_VALUE"""),"ASCE ATPase based on the information given and matching with Kovu. Not great enough to be a normal ATPase or AAA-ATPase looking through HHPred, PhagesDB, and DNA Master.")</f>
        <v>ASCE ATPase based on the information given and matching with Kovu. Not great enough to be a normal ATPase or AAA-ATPase looking through HHPred, PhagesDB, and DNA Master.</v>
      </c>
      <c r="C20" s="17" t="str">
        <f ca="1">IFERROR(__xludf.DUMMYFUNCTION("""COMPUTED_VALUE"""),"ASCE ATPase; AAA ATPase identified. Support from phagesdb blast result and HHpred")</f>
        <v>ASCE ATPase; AAA ATPase identified. Support from phagesdb blast result and HHpred</v>
      </c>
      <c r="D20" s="6"/>
    </row>
    <row r="21" spans="1:4" x14ac:dyDescent="0.2">
      <c r="A21" s="7"/>
      <c r="B21" s="19"/>
      <c r="C21" s="19"/>
      <c r="D21" s="8"/>
    </row>
    <row r="22" spans="1:4" ht="15.75" customHeight="1" x14ac:dyDescent="0.15">
      <c r="A22" s="9" t="s">
        <v>21</v>
      </c>
      <c r="B22" s="19"/>
      <c r="C22" s="19"/>
      <c r="D22" s="8"/>
    </row>
    <row r="23" spans="1:4" ht="15.75" customHeight="1" x14ac:dyDescent="0.15">
      <c r="A23" s="10"/>
      <c r="B23" s="13"/>
      <c r="C23" s="13"/>
    </row>
    <row r="24" spans="1:4" ht="15.75" customHeight="1" x14ac:dyDescent="0.15">
      <c r="A24" s="10"/>
      <c r="B24" s="13"/>
      <c r="C24" s="13"/>
    </row>
    <row r="25" spans="1:4" ht="15.75" customHeight="1" x14ac:dyDescent="0.15">
      <c r="A25" s="10"/>
      <c r="B25" s="13"/>
      <c r="C25" s="13"/>
    </row>
    <row r="26" spans="1:4" ht="15.75" customHeight="1" x14ac:dyDescent="0.15">
      <c r="A26" s="10"/>
      <c r="B26" s="13"/>
      <c r="C26" s="13"/>
    </row>
    <row r="27" spans="1:4" ht="15.75" customHeight="1" x14ac:dyDescent="0.15">
      <c r="A27" s="10"/>
      <c r="B27" s="13"/>
      <c r="C27" s="13"/>
    </row>
    <row r="28" spans="1:4" ht="15.75" customHeight="1" x14ac:dyDescent="0.15">
      <c r="A28" s="10"/>
      <c r="B28" s="13"/>
      <c r="C28" s="13"/>
    </row>
    <row r="29" spans="1:4" ht="15.75" customHeight="1" x14ac:dyDescent="0.15">
      <c r="A29" s="10"/>
      <c r="B29" s="13"/>
      <c r="C29" s="13"/>
    </row>
    <row r="30" spans="1:4" ht="15.75" customHeight="1" x14ac:dyDescent="0.15">
      <c r="A30" s="10"/>
      <c r="B30" s="13"/>
      <c r="C30" s="13"/>
    </row>
    <row r="31" spans="1:4" ht="15.75" customHeight="1" x14ac:dyDescent="0.15">
      <c r="A31" s="10"/>
      <c r="B31" s="13"/>
      <c r="C31" s="13"/>
    </row>
    <row r="32" spans="1:4" ht="15.75" customHeight="1" x14ac:dyDescent="0.15">
      <c r="A32" s="10"/>
      <c r="B32" s="13"/>
      <c r="C32" s="13"/>
    </row>
    <row r="33" spans="1:3" ht="15.75" customHeight="1" x14ac:dyDescent="0.15">
      <c r="A33" s="10"/>
      <c r="B33" s="13"/>
      <c r="C33" s="13"/>
    </row>
    <row r="34" spans="1:3" ht="15.75" customHeight="1" x14ac:dyDescent="0.15">
      <c r="A34" s="10"/>
      <c r="B34" s="13"/>
      <c r="C34" s="13"/>
    </row>
    <row r="35" spans="1:3" ht="15.75" customHeight="1" x14ac:dyDescent="0.15">
      <c r="A35" s="10"/>
      <c r="B35" s="13"/>
      <c r="C35" s="13"/>
    </row>
    <row r="36" spans="1:3" ht="15.75" customHeight="1" x14ac:dyDescent="0.15">
      <c r="A36" s="10"/>
      <c r="B36" s="13"/>
      <c r="C36" s="13"/>
    </row>
    <row r="37" spans="1:3" ht="15.75" customHeight="1" x14ac:dyDescent="0.15">
      <c r="A37" s="10"/>
      <c r="B37" s="13"/>
      <c r="C37" s="13"/>
    </row>
    <row r="38" spans="1:3" ht="15.75" customHeight="1" x14ac:dyDescent="0.15">
      <c r="A38" s="10"/>
      <c r="B38" s="13"/>
      <c r="C38" s="13"/>
    </row>
    <row r="39" spans="1:3" ht="13" x14ac:dyDescent="0.15">
      <c r="A39" s="10"/>
      <c r="B39" s="13"/>
      <c r="C39" s="13"/>
    </row>
    <row r="40" spans="1:3" ht="13" x14ac:dyDescent="0.15">
      <c r="A40" s="10"/>
      <c r="B40" s="13"/>
      <c r="C40" s="13"/>
    </row>
    <row r="41" spans="1:3" ht="13" x14ac:dyDescent="0.15">
      <c r="A41" s="10"/>
      <c r="B41" s="13"/>
      <c r="C41" s="13"/>
    </row>
    <row r="42" spans="1:3" ht="13" x14ac:dyDescent="0.15">
      <c r="A42" s="10"/>
      <c r="B42" s="13"/>
      <c r="C42" s="13"/>
    </row>
    <row r="43" spans="1:3" ht="13" x14ac:dyDescent="0.15">
      <c r="A43" s="10"/>
      <c r="B43" s="13"/>
      <c r="C43" s="13"/>
    </row>
    <row r="44" spans="1:3" ht="13" x14ac:dyDescent="0.15">
      <c r="A44" s="10"/>
      <c r="B44" s="13"/>
      <c r="C44" s="13"/>
    </row>
    <row r="45" spans="1:3" ht="13" x14ac:dyDescent="0.15">
      <c r="A45" s="10"/>
      <c r="B45" s="13"/>
      <c r="C45" s="13"/>
    </row>
    <row r="46" spans="1:3" ht="13" x14ac:dyDescent="0.15">
      <c r="A46" s="10"/>
      <c r="B46" s="13"/>
      <c r="C46" s="13"/>
    </row>
    <row r="47" spans="1:3" ht="13" x14ac:dyDescent="0.15">
      <c r="A47" s="10"/>
      <c r="B47" s="13"/>
      <c r="C47" s="13"/>
    </row>
    <row r="48" spans="1:3" ht="13" x14ac:dyDescent="0.15">
      <c r="A48" s="10"/>
      <c r="B48" s="13"/>
      <c r="C48" s="13"/>
    </row>
    <row r="49" spans="1:3" ht="13" x14ac:dyDescent="0.15">
      <c r="A49" s="10"/>
      <c r="B49" s="13"/>
      <c r="C49" s="13"/>
    </row>
    <row r="50" spans="1:3" ht="13" x14ac:dyDescent="0.15">
      <c r="A50" s="10"/>
      <c r="B50" s="13"/>
      <c r="C50" s="13"/>
    </row>
    <row r="51" spans="1:3" ht="13" x14ac:dyDescent="0.15">
      <c r="A51" s="10"/>
      <c r="B51" s="13"/>
      <c r="C51" s="13"/>
    </row>
    <row r="52" spans="1:3" ht="13" x14ac:dyDescent="0.15">
      <c r="A52" s="10"/>
      <c r="B52" s="13"/>
      <c r="C52" s="13"/>
    </row>
    <row r="53" spans="1:3" ht="13" x14ac:dyDescent="0.15">
      <c r="A53" s="10"/>
      <c r="B53" s="13"/>
      <c r="C53" s="13"/>
    </row>
    <row r="54" spans="1:3" ht="13" x14ac:dyDescent="0.15">
      <c r="A54" s="10"/>
      <c r="B54" s="13"/>
      <c r="C54" s="13"/>
    </row>
    <row r="55" spans="1:3" ht="13" x14ac:dyDescent="0.15">
      <c r="A55" s="10"/>
      <c r="B55" s="13"/>
      <c r="C55" s="13"/>
    </row>
    <row r="56" spans="1:3" ht="13" x14ac:dyDescent="0.15">
      <c r="A56" s="10"/>
      <c r="B56" s="13"/>
      <c r="C56" s="13"/>
    </row>
    <row r="57" spans="1:3" ht="13" x14ac:dyDescent="0.15">
      <c r="A57" s="10"/>
      <c r="B57" s="13"/>
      <c r="C57" s="13"/>
    </row>
    <row r="58" spans="1:3" ht="13" x14ac:dyDescent="0.15">
      <c r="A58" s="10"/>
      <c r="B58" s="13"/>
      <c r="C58" s="13"/>
    </row>
    <row r="59" spans="1:3" ht="13" x14ac:dyDescent="0.15">
      <c r="A59" s="10"/>
      <c r="B59" s="13"/>
      <c r="C59" s="13"/>
    </row>
    <row r="60" spans="1:3" ht="13" x14ac:dyDescent="0.15">
      <c r="A60" s="10"/>
      <c r="B60" s="13"/>
      <c r="C60" s="13"/>
    </row>
    <row r="61" spans="1:3" ht="13" x14ac:dyDescent="0.15">
      <c r="A61" s="10"/>
      <c r="B61" s="13"/>
      <c r="C61" s="13"/>
    </row>
    <row r="62" spans="1:3" ht="13" x14ac:dyDescent="0.15">
      <c r="A62" s="10"/>
      <c r="B62" s="13"/>
      <c r="C62" s="13"/>
    </row>
    <row r="63" spans="1:3" ht="13" x14ac:dyDescent="0.15">
      <c r="A63" s="10"/>
      <c r="B63" s="13"/>
      <c r="C63" s="13"/>
    </row>
    <row r="64" spans="1:3" ht="13" x14ac:dyDescent="0.15">
      <c r="A64" s="10"/>
      <c r="B64" s="13"/>
      <c r="C64" s="13"/>
    </row>
    <row r="65" spans="1:3" ht="13" x14ac:dyDescent="0.15">
      <c r="A65" s="10"/>
      <c r="B65" s="13"/>
      <c r="C65" s="13"/>
    </row>
    <row r="66" spans="1:3" ht="13" x14ac:dyDescent="0.15">
      <c r="A66" s="10"/>
      <c r="B66" s="13"/>
      <c r="C66" s="13"/>
    </row>
    <row r="67" spans="1:3" ht="13" x14ac:dyDescent="0.15">
      <c r="A67" s="10"/>
      <c r="B67" s="13"/>
      <c r="C67" s="13"/>
    </row>
    <row r="68" spans="1:3" ht="13" x14ac:dyDescent="0.15">
      <c r="A68" s="10"/>
      <c r="B68" s="13"/>
      <c r="C68" s="13"/>
    </row>
    <row r="69" spans="1:3" ht="13" x14ac:dyDescent="0.15">
      <c r="A69" s="10"/>
      <c r="B69" s="13"/>
      <c r="C69" s="13"/>
    </row>
    <row r="70" spans="1:3" ht="13" x14ac:dyDescent="0.15">
      <c r="A70" s="10"/>
      <c r="B70" s="13"/>
      <c r="C70" s="13"/>
    </row>
    <row r="71" spans="1:3" ht="13" x14ac:dyDescent="0.15">
      <c r="A71" s="10"/>
      <c r="B71" s="13"/>
      <c r="C71" s="13"/>
    </row>
    <row r="72" spans="1:3" ht="13" x14ac:dyDescent="0.15">
      <c r="A72" s="10"/>
      <c r="B72" s="13"/>
      <c r="C72" s="13"/>
    </row>
    <row r="73" spans="1:3" ht="13" x14ac:dyDescent="0.15">
      <c r="A73" s="10"/>
      <c r="B73" s="13"/>
      <c r="C73" s="13"/>
    </row>
    <row r="74" spans="1:3" ht="13" x14ac:dyDescent="0.15">
      <c r="A74" s="10"/>
      <c r="B74" s="13"/>
      <c r="C74" s="13"/>
    </row>
    <row r="75" spans="1:3" ht="13" x14ac:dyDescent="0.15">
      <c r="A75" s="10"/>
      <c r="B75" s="13"/>
      <c r="C75" s="13"/>
    </row>
    <row r="76" spans="1:3" ht="13" x14ac:dyDescent="0.15">
      <c r="A76" s="10"/>
      <c r="B76" s="13"/>
      <c r="C76" s="13"/>
    </row>
    <row r="77" spans="1:3" ht="13" x14ac:dyDescent="0.15">
      <c r="A77" s="10"/>
      <c r="B77" s="13"/>
      <c r="C77" s="13"/>
    </row>
    <row r="78" spans="1:3" ht="13" x14ac:dyDescent="0.15">
      <c r="A78" s="10"/>
      <c r="B78" s="13"/>
      <c r="C78" s="13"/>
    </row>
    <row r="79" spans="1:3" ht="13" x14ac:dyDescent="0.15">
      <c r="A79" s="10"/>
      <c r="B79" s="13"/>
      <c r="C79" s="13"/>
    </row>
    <row r="80" spans="1:3" ht="13" x14ac:dyDescent="0.15">
      <c r="A80" s="10"/>
      <c r="B80" s="13"/>
      <c r="C80" s="13"/>
    </row>
    <row r="81" spans="1:3" ht="13" x14ac:dyDescent="0.15">
      <c r="A81" s="10"/>
      <c r="B81" s="13"/>
      <c r="C81" s="13"/>
    </row>
    <row r="82" spans="1:3" ht="13" x14ac:dyDescent="0.15">
      <c r="A82" s="10"/>
      <c r="B82" s="13"/>
      <c r="C82" s="13"/>
    </row>
    <row r="83" spans="1:3" ht="13" x14ac:dyDescent="0.15">
      <c r="A83" s="10"/>
      <c r="B83" s="13"/>
      <c r="C83" s="13"/>
    </row>
    <row r="84" spans="1:3" ht="13" x14ac:dyDescent="0.15">
      <c r="A84" s="10"/>
      <c r="B84" s="13"/>
      <c r="C84" s="13"/>
    </row>
    <row r="85" spans="1:3" ht="13" x14ac:dyDescent="0.15">
      <c r="A85" s="10"/>
      <c r="B85" s="13"/>
      <c r="C85" s="13"/>
    </row>
    <row r="86" spans="1:3" ht="13" x14ac:dyDescent="0.15">
      <c r="A86" s="10"/>
      <c r="B86" s="13"/>
      <c r="C86" s="13"/>
    </row>
    <row r="87" spans="1:3" ht="13" x14ac:dyDescent="0.15">
      <c r="A87" s="10"/>
      <c r="B87" s="13"/>
      <c r="C87" s="13"/>
    </row>
    <row r="88" spans="1:3" ht="13" x14ac:dyDescent="0.15">
      <c r="A88" s="10"/>
      <c r="B88" s="13"/>
      <c r="C88" s="13"/>
    </row>
    <row r="89" spans="1:3" ht="13" x14ac:dyDescent="0.15">
      <c r="A89" s="10"/>
      <c r="B89" s="13"/>
      <c r="C89" s="13"/>
    </row>
    <row r="90" spans="1:3" ht="13" x14ac:dyDescent="0.15">
      <c r="A90" s="10"/>
      <c r="B90" s="13"/>
      <c r="C90" s="13"/>
    </row>
    <row r="91" spans="1:3" ht="13" x14ac:dyDescent="0.15">
      <c r="A91" s="10"/>
      <c r="B91" s="13"/>
      <c r="C91" s="13"/>
    </row>
    <row r="92" spans="1:3" ht="13" x14ac:dyDescent="0.15">
      <c r="A92" s="10"/>
      <c r="B92" s="13"/>
      <c r="C92" s="13"/>
    </row>
    <row r="93" spans="1:3" ht="13" x14ac:dyDescent="0.15">
      <c r="A93" s="10"/>
      <c r="B93" s="13"/>
      <c r="C93" s="13"/>
    </row>
    <row r="94" spans="1:3" ht="13" x14ac:dyDescent="0.15">
      <c r="A94" s="10"/>
      <c r="B94" s="13"/>
      <c r="C94" s="13"/>
    </row>
    <row r="95" spans="1:3" ht="13" x14ac:dyDescent="0.15">
      <c r="A95" s="10"/>
      <c r="B95" s="13"/>
      <c r="C95" s="13"/>
    </row>
    <row r="96" spans="1:3" ht="13" x14ac:dyDescent="0.15">
      <c r="A96" s="10"/>
      <c r="B96" s="13"/>
      <c r="C96" s="13"/>
    </row>
    <row r="97" spans="1:3" ht="13" x14ac:dyDescent="0.15">
      <c r="A97" s="10"/>
      <c r="B97" s="13"/>
      <c r="C97" s="13"/>
    </row>
    <row r="98" spans="1:3" ht="13" x14ac:dyDescent="0.15">
      <c r="A98" s="10"/>
      <c r="B98" s="13"/>
      <c r="C98" s="13"/>
    </row>
    <row r="99" spans="1:3" ht="13" x14ac:dyDescent="0.15">
      <c r="A99" s="10"/>
      <c r="B99" s="13"/>
      <c r="C99" s="13"/>
    </row>
    <row r="100" spans="1:3" ht="13" x14ac:dyDescent="0.15">
      <c r="A100" s="10"/>
      <c r="B100" s="13"/>
      <c r="C100" s="13"/>
    </row>
    <row r="101" spans="1:3" ht="13" x14ac:dyDescent="0.15">
      <c r="A101" s="10"/>
      <c r="B101" s="13"/>
      <c r="C101" s="13"/>
    </row>
    <row r="102" spans="1:3" ht="13" x14ac:dyDescent="0.15">
      <c r="A102" s="10"/>
      <c r="B102" s="13"/>
      <c r="C102" s="13"/>
    </row>
    <row r="103" spans="1:3" ht="13" x14ac:dyDescent="0.15">
      <c r="A103" s="10"/>
      <c r="B103" s="13"/>
      <c r="C103" s="13"/>
    </row>
    <row r="104" spans="1:3" ht="13" x14ac:dyDescent="0.15">
      <c r="A104" s="10"/>
      <c r="B104" s="13"/>
      <c r="C104" s="13"/>
    </row>
    <row r="105" spans="1:3" ht="13" x14ac:dyDescent="0.15">
      <c r="A105" s="10"/>
      <c r="B105" s="13"/>
      <c r="C105" s="13"/>
    </row>
    <row r="106" spans="1:3" ht="13" x14ac:dyDescent="0.15">
      <c r="A106" s="10"/>
      <c r="B106" s="13"/>
      <c r="C106" s="13"/>
    </row>
    <row r="107" spans="1:3" ht="13" x14ac:dyDescent="0.15">
      <c r="A107" s="10"/>
      <c r="B107" s="13"/>
      <c r="C107" s="13"/>
    </row>
    <row r="108" spans="1:3" ht="13" x14ac:dyDescent="0.15">
      <c r="A108" s="10"/>
      <c r="B108" s="13"/>
      <c r="C108" s="13"/>
    </row>
    <row r="109" spans="1:3" ht="13" x14ac:dyDescent="0.15">
      <c r="A109" s="10"/>
      <c r="B109" s="13"/>
      <c r="C109" s="13"/>
    </row>
    <row r="110" spans="1:3" ht="13" x14ac:dyDescent="0.15">
      <c r="A110" s="10"/>
      <c r="B110" s="13"/>
      <c r="C110" s="13"/>
    </row>
    <row r="111" spans="1:3" ht="13" x14ac:dyDescent="0.15">
      <c r="A111" s="10"/>
      <c r="B111" s="13"/>
      <c r="C111" s="13"/>
    </row>
    <row r="112" spans="1:3" ht="13" x14ac:dyDescent="0.15">
      <c r="A112" s="10"/>
      <c r="B112" s="13"/>
      <c r="C112" s="13"/>
    </row>
    <row r="113" spans="1:3" ht="13" x14ac:dyDescent="0.15">
      <c r="A113" s="10"/>
      <c r="B113" s="13"/>
      <c r="C113" s="13"/>
    </row>
    <row r="114" spans="1:3" ht="13" x14ac:dyDescent="0.15">
      <c r="A114" s="10"/>
      <c r="B114" s="13"/>
      <c r="C114" s="13"/>
    </row>
    <row r="115" spans="1:3" ht="13" x14ac:dyDescent="0.15">
      <c r="A115" s="10"/>
      <c r="B115" s="13"/>
      <c r="C115" s="13"/>
    </row>
    <row r="116" spans="1:3" ht="13" x14ac:dyDescent="0.15">
      <c r="A116" s="10"/>
      <c r="B116" s="13"/>
      <c r="C116" s="13"/>
    </row>
    <row r="117" spans="1:3" ht="13" x14ac:dyDescent="0.15">
      <c r="A117" s="10"/>
      <c r="B117" s="13"/>
      <c r="C117" s="13"/>
    </row>
    <row r="118" spans="1:3" ht="13" x14ac:dyDescent="0.15">
      <c r="A118" s="10"/>
      <c r="B118" s="13"/>
      <c r="C118" s="13"/>
    </row>
    <row r="119" spans="1:3" ht="13" x14ac:dyDescent="0.15">
      <c r="A119" s="10"/>
      <c r="B119" s="13"/>
      <c r="C119" s="13"/>
    </row>
    <row r="120" spans="1:3" ht="13" x14ac:dyDescent="0.15">
      <c r="A120" s="10"/>
      <c r="B120" s="13"/>
      <c r="C120" s="13"/>
    </row>
    <row r="121" spans="1:3" ht="13" x14ac:dyDescent="0.15">
      <c r="A121" s="10"/>
      <c r="B121" s="13"/>
      <c r="C121" s="13"/>
    </row>
    <row r="122" spans="1:3" ht="13" x14ac:dyDescent="0.15">
      <c r="A122" s="10"/>
      <c r="B122" s="13"/>
      <c r="C122" s="13"/>
    </row>
    <row r="123" spans="1:3" ht="13" x14ac:dyDescent="0.15">
      <c r="A123" s="10"/>
      <c r="B123" s="13"/>
      <c r="C123" s="13"/>
    </row>
    <row r="124" spans="1:3" ht="13" x14ac:dyDescent="0.15">
      <c r="A124" s="10"/>
      <c r="B124" s="13"/>
      <c r="C124" s="13"/>
    </row>
    <row r="125" spans="1:3" ht="13" x14ac:dyDescent="0.15">
      <c r="A125" s="10"/>
      <c r="B125" s="13"/>
      <c r="C125" s="13"/>
    </row>
    <row r="126" spans="1:3" ht="13" x14ac:dyDescent="0.15">
      <c r="A126" s="10"/>
      <c r="B126" s="13"/>
      <c r="C126" s="13"/>
    </row>
    <row r="127" spans="1:3" ht="13" x14ac:dyDescent="0.15">
      <c r="A127" s="10"/>
      <c r="B127" s="13"/>
      <c r="C127" s="13"/>
    </row>
    <row r="128" spans="1:3" ht="13" x14ac:dyDescent="0.15">
      <c r="A128" s="10"/>
      <c r="B128" s="13"/>
      <c r="C128" s="13"/>
    </row>
    <row r="129" spans="1:3" ht="13" x14ac:dyDescent="0.15">
      <c r="A129" s="10"/>
      <c r="B129" s="13"/>
      <c r="C129" s="13"/>
    </row>
    <row r="130" spans="1:3" ht="13" x14ac:dyDescent="0.15">
      <c r="A130" s="10"/>
      <c r="B130" s="13"/>
      <c r="C130" s="13"/>
    </row>
    <row r="131" spans="1:3" ht="13" x14ac:dyDescent="0.15">
      <c r="A131" s="10"/>
      <c r="B131" s="13"/>
      <c r="C131" s="13"/>
    </row>
    <row r="132" spans="1:3" ht="13" x14ac:dyDescent="0.15">
      <c r="A132" s="10"/>
      <c r="B132" s="13"/>
      <c r="C132" s="13"/>
    </row>
    <row r="133" spans="1:3" ht="13" x14ac:dyDescent="0.15">
      <c r="A133" s="10"/>
      <c r="B133" s="13"/>
      <c r="C133" s="13"/>
    </row>
    <row r="134" spans="1:3" ht="13" x14ac:dyDescent="0.15">
      <c r="A134" s="10"/>
      <c r="B134" s="13"/>
      <c r="C134" s="13"/>
    </row>
    <row r="135" spans="1:3" ht="13" x14ac:dyDescent="0.15">
      <c r="A135" s="10"/>
      <c r="B135" s="13"/>
      <c r="C135" s="13"/>
    </row>
    <row r="136" spans="1:3" ht="13" x14ac:dyDescent="0.15">
      <c r="A136" s="10"/>
      <c r="B136" s="13"/>
      <c r="C136" s="13"/>
    </row>
    <row r="137" spans="1:3" ht="13" x14ac:dyDescent="0.15">
      <c r="A137" s="10"/>
      <c r="B137" s="13"/>
      <c r="C137" s="13"/>
    </row>
    <row r="138" spans="1:3" ht="13" x14ac:dyDescent="0.15">
      <c r="A138" s="10"/>
      <c r="B138" s="13"/>
      <c r="C138" s="13"/>
    </row>
    <row r="139" spans="1:3" ht="13" x14ac:dyDescent="0.15">
      <c r="A139" s="10"/>
      <c r="B139" s="13"/>
      <c r="C139" s="13"/>
    </row>
    <row r="140" spans="1:3" ht="13" x14ac:dyDescent="0.15">
      <c r="A140" s="10"/>
      <c r="B140" s="13"/>
      <c r="C140" s="13"/>
    </row>
    <row r="141" spans="1:3" ht="13" x14ac:dyDescent="0.15">
      <c r="A141" s="10"/>
      <c r="B141" s="13"/>
      <c r="C141" s="13"/>
    </row>
    <row r="142" spans="1:3" ht="13" x14ac:dyDescent="0.15">
      <c r="A142" s="10"/>
      <c r="B142" s="13"/>
      <c r="C142" s="13"/>
    </row>
    <row r="143" spans="1:3" ht="13" x14ac:dyDescent="0.15">
      <c r="A143" s="10"/>
      <c r="B143" s="13"/>
      <c r="C143" s="13"/>
    </row>
    <row r="144" spans="1:3" ht="13" x14ac:dyDescent="0.15">
      <c r="A144" s="10"/>
      <c r="B144" s="13"/>
      <c r="C144" s="13"/>
    </row>
    <row r="145" spans="1:3" ht="13" x14ac:dyDescent="0.15">
      <c r="A145" s="10"/>
      <c r="B145" s="13"/>
      <c r="C145" s="13"/>
    </row>
    <row r="146" spans="1:3" ht="13" x14ac:dyDescent="0.15">
      <c r="A146" s="10"/>
      <c r="B146" s="13"/>
      <c r="C146" s="13"/>
    </row>
    <row r="147" spans="1:3" ht="13" x14ac:dyDescent="0.15">
      <c r="A147" s="10"/>
      <c r="B147" s="13"/>
      <c r="C147" s="13"/>
    </row>
    <row r="148" spans="1:3" ht="13" x14ac:dyDescent="0.15">
      <c r="A148" s="10"/>
      <c r="B148" s="13"/>
      <c r="C148" s="13"/>
    </row>
    <row r="149" spans="1:3" ht="13" x14ac:dyDescent="0.15">
      <c r="A149" s="10"/>
      <c r="B149" s="13"/>
      <c r="C149" s="13"/>
    </row>
    <row r="150" spans="1:3" ht="13" x14ac:dyDescent="0.15">
      <c r="A150" s="10"/>
      <c r="B150" s="13"/>
      <c r="C150" s="13"/>
    </row>
    <row r="151" spans="1:3" ht="13" x14ac:dyDescent="0.15">
      <c r="A151" s="10"/>
      <c r="B151" s="13"/>
      <c r="C151" s="13"/>
    </row>
    <row r="152" spans="1:3" ht="13" x14ac:dyDescent="0.15">
      <c r="A152" s="10"/>
      <c r="B152" s="13"/>
      <c r="C152" s="13"/>
    </row>
    <row r="153" spans="1:3" ht="13" x14ac:dyDescent="0.15">
      <c r="A153" s="10"/>
      <c r="B153" s="13"/>
      <c r="C153" s="13"/>
    </row>
    <row r="154" spans="1:3" ht="13" x14ac:dyDescent="0.15">
      <c r="A154" s="10"/>
      <c r="B154" s="13"/>
      <c r="C154" s="13"/>
    </row>
    <row r="155" spans="1:3" ht="13" x14ac:dyDescent="0.15">
      <c r="A155" s="10"/>
      <c r="B155" s="13"/>
      <c r="C155" s="13"/>
    </row>
    <row r="156" spans="1:3" ht="13" x14ac:dyDescent="0.15">
      <c r="A156" s="10"/>
      <c r="B156" s="13"/>
      <c r="C156" s="13"/>
    </row>
    <row r="157" spans="1:3" ht="13" x14ac:dyDescent="0.15">
      <c r="A157" s="10"/>
      <c r="B157" s="13"/>
      <c r="C157" s="13"/>
    </row>
    <row r="158" spans="1:3" ht="13" x14ac:dyDescent="0.15">
      <c r="A158" s="10"/>
      <c r="B158" s="13"/>
      <c r="C158" s="13"/>
    </row>
    <row r="159" spans="1:3" ht="13" x14ac:dyDescent="0.15">
      <c r="A159" s="10"/>
      <c r="B159" s="13"/>
      <c r="C159" s="13"/>
    </row>
    <row r="160" spans="1:3" ht="13" x14ac:dyDescent="0.15">
      <c r="A160" s="10"/>
      <c r="B160" s="13"/>
      <c r="C160" s="13"/>
    </row>
    <row r="161" spans="1:3" ht="13" x14ac:dyDescent="0.15">
      <c r="A161" s="10"/>
      <c r="B161" s="13"/>
      <c r="C161" s="13"/>
    </row>
    <row r="162" spans="1:3" ht="13" x14ac:dyDescent="0.15">
      <c r="A162" s="10"/>
      <c r="B162" s="13"/>
      <c r="C162" s="13"/>
    </row>
    <row r="163" spans="1:3" ht="13" x14ac:dyDescent="0.15">
      <c r="A163" s="10"/>
      <c r="B163" s="13"/>
      <c r="C163" s="13"/>
    </row>
    <row r="164" spans="1:3" ht="13" x14ac:dyDescent="0.15">
      <c r="A164" s="10"/>
      <c r="B164" s="13"/>
      <c r="C164" s="13"/>
    </row>
    <row r="165" spans="1:3" ht="13" x14ac:dyDescent="0.15">
      <c r="A165" s="10"/>
      <c r="B165" s="13"/>
      <c r="C165" s="13"/>
    </row>
    <row r="166" spans="1:3" ht="13" x14ac:dyDescent="0.15">
      <c r="A166" s="10"/>
      <c r="B166" s="13"/>
      <c r="C166" s="13"/>
    </row>
    <row r="167" spans="1:3" ht="13" x14ac:dyDescent="0.15">
      <c r="A167" s="10"/>
      <c r="B167" s="13"/>
      <c r="C167" s="13"/>
    </row>
    <row r="168" spans="1:3" ht="13" x14ac:dyDescent="0.15">
      <c r="A168" s="10"/>
      <c r="B168" s="13"/>
      <c r="C168" s="13"/>
    </row>
    <row r="169" spans="1:3" ht="13" x14ac:dyDescent="0.15">
      <c r="A169" s="10"/>
      <c r="B169" s="13"/>
      <c r="C169" s="13"/>
    </row>
    <row r="170" spans="1:3" ht="13" x14ac:dyDescent="0.15">
      <c r="A170" s="10"/>
      <c r="B170" s="13"/>
      <c r="C170" s="13"/>
    </row>
    <row r="171" spans="1:3" ht="13" x14ac:dyDescent="0.15">
      <c r="A171" s="10"/>
      <c r="B171" s="13"/>
      <c r="C171" s="13"/>
    </row>
    <row r="172" spans="1:3" ht="13" x14ac:dyDescent="0.15">
      <c r="A172" s="10"/>
      <c r="B172" s="13"/>
      <c r="C172" s="13"/>
    </row>
    <row r="173" spans="1:3" ht="13" x14ac:dyDescent="0.15">
      <c r="A173" s="10"/>
      <c r="B173" s="13"/>
      <c r="C173" s="13"/>
    </row>
    <row r="174" spans="1:3" ht="13" x14ac:dyDescent="0.15">
      <c r="A174" s="10"/>
      <c r="B174" s="13"/>
      <c r="C174" s="13"/>
    </row>
    <row r="175" spans="1:3" ht="13" x14ac:dyDescent="0.15">
      <c r="A175" s="10"/>
      <c r="B175" s="13"/>
      <c r="C175" s="13"/>
    </row>
    <row r="176" spans="1:3" ht="13" x14ac:dyDescent="0.15">
      <c r="A176" s="10"/>
      <c r="B176" s="13"/>
      <c r="C176" s="13"/>
    </row>
    <row r="177" spans="1:3" ht="13" x14ac:dyDescent="0.15">
      <c r="A177" s="10"/>
      <c r="B177" s="13"/>
      <c r="C177" s="13"/>
    </row>
    <row r="178" spans="1:3" ht="13" x14ac:dyDescent="0.15">
      <c r="A178" s="10"/>
      <c r="B178" s="13"/>
      <c r="C178" s="13"/>
    </row>
    <row r="179" spans="1:3" ht="13" x14ac:dyDescent="0.15">
      <c r="A179" s="10"/>
      <c r="B179" s="13"/>
      <c r="C179" s="13"/>
    </row>
    <row r="180" spans="1:3" ht="13" x14ac:dyDescent="0.15">
      <c r="A180" s="10"/>
      <c r="B180" s="13"/>
      <c r="C180" s="13"/>
    </row>
    <row r="181" spans="1:3" ht="13" x14ac:dyDescent="0.15">
      <c r="A181" s="10"/>
      <c r="B181" s="13"/>
      <c r="C181" s="13"/>
    </row>
    <row r="182" spans="1:3" ht="13" x14ac:dyDescent="0.15">
      <c r="A182" s="10"/>
      <c r="B182" s="13"/>
      <c r="C182" s="13"/>
    </row>
    <row r="183" spans="1:3" ht="13" x14ac:dyDescent="0.15">
      <c r="A183" s="10"/>
      <c r="B183" s="13"/>
      <c r="C183" s="13"/>
    </row>
    <row r="184" spans="1:3" ht="13" x14ac:dyDescent="0.15">
      <c r="A184" s="10"/>
      <c r="B184" s="13"/>
      <c r="C184" s="13"/>
    </row>
    <row r="185" spans="1:3" ht="13" x14ac:dyDescent="0.15">
      <c r="A185" s="10"/>
      <c r="B185" s="13"/>
      <c r="C185" s="13"/>
    </row>
    <row r="186" spans="1:3" ht="13" x14ac:dyDescent="0.15">
      <c r="A186" s="10"/>
      <c r="B186" s="13"/>
      <c r="C186" s="13"/>
    </row>
    <row r="187" spans="1:3" ht="13" x14ac:dyDescent="0.15">
      <c r="A187" s="10"/>
      <c r="B187" s="13"/>
      <c r="C187" s="13"/>
    </row>
    <row r="188" spans="1:3" ht="13" x14ac:dyDescent="0.15">
      <c r="A188" s="10"/>
      <c r="B188" s="13"/>
      <c r="C188" s="13"/>
    </row>
    <row r="189" spans="1:3" ht="13" x14ac:dyDescent="0.15">
      <c r="A189" s="10"/>
      <c r="B189" s="13"/>
      <c r="C189" s="13"/>
    </row>
    <row r="190" spans="1:3" ht="13" x14ac:dyDescent="0.15">
      <c r="A190" s="10"/>
      <c r="B190" s="13"/>
      <c r="C190" s="13"/>
    </row>
    <row r="191" spans="1:3" ht="13" x14ac:dyDescent="0.15">
      <c r="A191" s="10"/>
      <c r="B191" s="13"/>
      <c r="C191" s="13"/>
    </row>
    <row r="192" spans="1:3" ht="13" x14ac:dyDescent="0.15">
      <c r="A192" s="10"/>
      <c r="B192" s="13"/>
      <c r="C192" s="13"/>
    </row>
    <row r="193" spans="1:3" ht="13" x14ac:dyDescent="0.15">
      <c r="A193" s="10"/>
      <c r="B193" s="13"/>
      <c r="C193" s="13"/>
    </row>
    <row r="194" spans="1:3" ht="13" x14ac:dyDescent="0.15">
      <c r="A194" s="10"/>
      <c r="B194" s="13"/>
      <c r="C194" s="13"/>
    </row>
    <row r="195" spans="1:3" ht="13" x14ac:dyDescent="0.15">
      <c r="A195" s="10"/>
      <c r="B195" s="13"/>
      <c r="C195" s="13"/>
    </row>
    <row r="196" spans="1:3" ht="13" x14ac:dyDescent="0.15">
      <c r="A196" s="10"/>
      <c r="B196" s="13"/>
      <c r="C196" s="13"/>
    </row>
    <row r="197" spans="1:3" ht="13" x14ac:dyDescent="0.15">
      <c r="A197" s="10"/>
      <c r="B197" s="13"/>
      <c r="C197" s="13"/>
    </row>
    <row r="198" spans="1:3" ht="13" x14ac:dyDescent="0.15">
      <c r="A198" s="10"/>
      <c r="B198" s="13"/>
      <c r="C198" s="13"/>
    </row>
    <row r="199" spans="1:3" ht="13" x14ac:dyDescent="0.15">
      <c r="A199" s="10"/>
      <c r="B199" s="13"/>
      <c r="C199" s="13"/>
    </row>
    <row r="200" spans="1:3" ht="13" x14ac:dyDescent="0.15">
      <c r="A200" s="10"/>
      <c r="B200" s="13"/>
      <c r="C200" s="13"/>
    </row>
    <row r="201" spans="1:3" ht="13" x14ac:dyDescent="0.15">
      <c r="A201" s="10"/>
      <c r="B201" s="13"/>
      <c r="C201" s="13"/>
    </row>
    <row r="202" spans="1:3" ht="13" x14ac:dyDescent="0.15">
      <c r="A202" s="10"/>
      <c r="B202" s="13"/>
      <c r="C202" s="13"/>
    </row>
    <row r="203" spans="1:3" ht="13" x14ac:dyDescent="0.15">
      <c r="A203" s="10"/>
      <c r="B203" s="13"/>
      <c r="C203" s="13"/>
    </row>
    <row r="204" spans="1:3" ht="13" x14ac:dyDescent="0.15">
      <c r="A204" s="10"/>
      <c r="B204" s="13"/>
      <c r="C204" s="13"/>
    </row>
    <row r="205" spans="1:3" ht="13" x14ac:dyDescent="0.15">
      <c r="A205" s="10"/>
      <c r="B205" s="13"/>
      <c r="C205" s="13"/>
    </row>
    <row r="206" spans="1:3" ht="13" x14ac:dyDescent="0.15">
      <c r="A206" s="10"/>
      <c r="B206" s="13"/>
      <c r="C206" s="13"/>
    </row>
    <row r="207" spans="1:3" ht="13" x14ac:dyDescent="0.15">
      <c r="A207" s="10"/>
      <c r="B207" s="13"/>
      <c r="C207" s="13"/>
    </row>
    <row r="208" spans="1:3" ht="13" x14ac:dyDescent="0.15">
      <c r="A208" s="10"/>
      <c r="B208" s="13"/>
      <c r="C208" s="13"/>
    </row>
    <row r="209" spans="1:3" ht="13" x14ac:dyDescent="0.15">
      <c r="A209" s="10"/>
      <c r="B209" s="13"/>
      <c r="C209" s="13"/>
    </row>
    <row r="210" spans="1:3" ht="13" x14ac:dyDescent="0.15">
      <c r="A210" s="10"/>
      <c r="B210" s="13"/>
      <c r="C210" s="13"/>
    </row>
    <row r="211" spans="1:3" ht="13" x14ac:dyDescent="0.15">
      <c r="A211" s="10"/>
      <c r="B211" s="13"/>
      <c r="C211" s="13"/>
    </row>
    <row r="212" spans="1:3" ht="13" x14ac:dyDescent="0.15">
      <c r="A212" s="10"/>
      <c r="B212" s="13"/>
      <c r="C212" s="13"/>
    </row>
    <row r="213" spans="1:3" ht="13" x14ac:dyDescent="0.15">
      <c r="A213" s="10"/>
      <c r="B213" s="13"/>
      <c r="C213" s="13"/>
    </row>
    <row r="214" spans="1:3" ht="13" x14ac:dyDescent="0.15">
      <c r="A214" s="10"/>
      <c r="B214" s="13"/>
      <c r="C214" s="13"/>
    </row>
    <row r="215" spans="1:3" ht="13" x14ac:dyDescent="0.15">
      <c r="A215" s="10"/>
      <c r="B215" s="13"/>
      <c r="C215" s="13"/>
    </row>
    <row r="216" spans="1:3" ht="13" x14ac:dyDescent="0.15">
      <c r="A216" s="10"/>
      <c r="B216" s="13"/>
      <c r="C216" s="13"/>
    </row>
    <row r="217" spans="1:3" ht="13" x14ac:dyDescent="0.15">
      <c r="A217" s="10"/>
      <c r="B217" s="13"/>
      <c r="C217" s="13"/>
    </row>
    <row r="218" spans="1:3" ht="13" x14ac:dyDescent="0.15">
      <c r="A218" s="10"/>
      <c r="B218" s="13"/>
      <c r="C218" s="13"/>
    </row>
    <row r="219" spans="1:3" ht="13" x14ac:dyDescent="0.15">
      <c r="A219" s="10"/>
      <c r="B219" s="13"/>
      <c r="C219" s="13"/>
    </row>
    <row r="220" spans="1:3" ht="13" x14ac:dyDescent="0.15">
      <c r="A220" s="10"/>
      <c r="B220" s="13"/>
      <c r="C220" s="13"/>
    </row>
    <row r="221" spans="1:3" ht="13" x14ac:dyDescent="0.15">
      <c r="A221" s="10"/>
      <c r="B221" s="13"/>
      <c r="C221" s="13"/>
    </row>
    <row r="222" spans="1:3" ht="13" x14ac:dyDescent="0.15">
      <c r="A222" s="10"/>
      <c r="B222" s="13"/>
      <c r="C222" s="13"/>
    </row>
    <row r="223" spans="1:3" ht="13" x14ac:dyDescent="0.15">
      <c r="A223" s="10"/>
      <c r="B223" s="13"/>
      <c r="C223" s="13"/>
    </row>
    <row r="224" spans="1:3" ht="13" x14ac:dyDescent="0.15">
      <c r="A224" s="10"/>
      <c r="B224" s="13"/>
      <c r="C224" s="13"/>
    </row>
    <row r="225" spans="1:3" ht="13" x14ac:dyDescent="0.15">
      <c r="A225" s="10"/>
      <c r="B225" s="13"/>
      <c r="C225" s="13"/>
    </row>
    <row r="226" spans="1:3" ht="13" x14ac:dyDescent="0.15">
      <c r="A226" s="10"/>
      <c r="B226" s="13"/>
      <c r="C226" s="13"/>
    </row>
    <row r="227" spans="1:3" ht="13" x14ac:dyDescent="0.15">
      <c r="A227" s="10"/>
      <c r="B227" s="13"/>
      <c r="C227" s="13"/>
    </row>
    <row r="228" spans="1:3" ht="13" x14ac:dyDescent="0.15">
      <c r="A228" s="10"/>
      <c r="B228" s="13"/>
      <c r="C228" s="13"/>
    </row>
    <row r="229" spans="1:3" ht="13" x14ac:dyDescent="0.15">
      <c r="A229" s="10"/>
      <c r="B229" s="13"/>
      <c r="C229" s="13"/>
    </row>
    <row r="230" spans="1:3" ht="13" x14ac:dyDescent="0.15">
      <c r="A230" s="10"/>
      <c r="B230" s="13"/>
      <c r="C230" s="13"/>
    </row>
    <row r="231" spans="1:3" ht="13" x14ac:dyDescent="0.15">
      <c r="A231" s="10"/>
      <c r="B231" s="13"/>
      <c r="C231" s="13"/>
    </row>
    <row r="232" spans="1:3" ht="13" x14ac:dyDescent="0.15">
      <c r="A232" s="10"/>
      <c r="B232" s="13"/>
      <c r="C232" s="13"/>
    </row>
    <row r="233" spans="1:3" ht="13" x14ac:dyDescent="0.15">
      <c r="A233" s="10"/>
      <c r="B233" s="13"/>
      <c r="C233" s="13"/>
    </row>
    <row r="234" spans="1:3" ht="13" x14ac:dyDescent="0.15">
      <c r="A234" s="10"/>
      <c r="B234" s="13"/>
      <c r="C234" s="13"/>
    </row>
    <row r="235" spans="1:3" ht="13" x14ac:dyDescent="0.15">
      <c r="A235" s="10"/>
      <c r="B235" s="13"/>
      <c r="C235" s="13"/>
    </row>
    <row r="236" spans="1:3" ht="13" x14ac:dyDescent="0.15">
      <c r="A236" s="10"/>
      <c r="B236" s="13"/>
      <c r="C236" s="13"/>
    </row>
    <row r="237" spans="1:3" ht="13" x14ac:dyDescent="0.15">
      <c r="A237" s="10"/>
      <c r="B237" s="13"/>
      <c r="C237" s="13"/>
    </row>
    <row r="238" spans="1:3" ht="13" x14ac:dyDescent="0.15">
      <c r="A238" s="10"/>
      <c r="B238" s="13"/>
      <c r="C238" s="13"/>
    </row>
    <row r="239" spans="1:3" ht="13" x14ac:dyDescent="0.15">
      <c r="A239" s="10"/>
      <c r="B239" s="13"/>
      <c r="C239" s="13"/>
    </row>
    <row r="240" spans="1:3" ht="13" x14ac:dyDescent="0.15">
      <c r="A240" s="10"/>
      <c r="B240" s="13"/>
      <c r="C240" s="13"/>
    </row>
    <row r="241" spans="1:3" ht="13" x14ac:dyDescent="0.15">
      <c r="A241" s="10"/>
      <c r="B241" s="13"/>
      <c r="C241" s="13"/>
    </row>
    <row r="242" spans="1:3" ht="13" x14ac:dyDescent="0.15">
      <c r="A242" s="10"/>
      <c r="B242" s="13"/>
      <c r="C242" s="13"/>
    </row>
    <row r="243" spans="1:3" ht="13" x14ac:dyDescent="0.15">
      <c r="A243" s="10"/>
      <c r="B243" s="13"/>
      <c r="C243" s="13"/>
    </row>
    <row r="244" spans="1:3" ht="13" x14ac:dyDescent="0.15">
      <c r="A244" s="10"/>
      <c r="B244" s="13"/>
      <c r="C244" s="13"/>
    </row>
    <row r="245" spans="1:3" ht="13" x14ac:dyDescent="0.15">
      <c r="A245" s="10"/>
      <c r="B245" s="13"/>
      <c r="C245" s="13"/>
    </row>
    <row r="246" spans="1:3" ht="13" x14ac:dyDescent="0.15">
      <c r="A246" s="10"/>
      <c r="B246" s="13"/>
      <c r="C246" s="13"/>
    </row>
    <row r="247" spans="1:3" ht="13" x14ac:dyDescent="0.15">
      <c r="A247" s="10"/>
      <c r="B247" s="13"/>
      <c r="C247" s="13"/>
    </row>
    <row r="248" spans="1:3" ht="13" x14ac:dyDescent="0.15">
      <c r="A248" s="10"/>
      <c r="B248" s="13"/>
      <c r="C248" s="13"/>
    </row>
    <row r="249" spans="1:3" ht="13" x14ac:dyDescent="0.15">
      <c r="A249" s="10"/>
      <c r="B249" s="13"/>
      <c r="C249" s="13"/>
    </row>
    <row r="250" spans="1:3" ht="13" x14ac:dyDescent="0.15">
      <c r="A250" s="10"/>
      <c r="B250" s="13"/>
      <c r="C250" s="13"/>
    </row>
    <row r="251" spans="1:3" ht="13" x14ac:dyDescent="0.15">
      <c r="A251" s="10"/>
      <c r="B251" s="13"/>
      <c r="C251" s="13"/>
    </row>
    <row r="252" spans="1:3" ht="13" x14ac:dyDescent="0.15">
      <c r="A252" s="10"/>
      <c r="B252" s="13"/>
      <c r="C252" s="13"/>
    </row>
    <row r="253" spans="1:3" ht="13" x14ac:dyDescent="0.15">
      <c r="A253" s="10"/>
      <c r="B253" s="13"/>
      <c r="C253" s="13"/>
    </row>
    <row r="254" spans="1:3" ht="13" x14ac:dyDescent="0.15">
      <c r="A254" s="10"/>
      <c r="B254" s="13"/>
      <c r="C254" s="13"/>
    </row>
    <row r="255" spans="1:3" ht="13" x14ac:dyDescent="0.15">
      <c r="A255" s="10"/>
      <c r="B255" s="13"/>
      <c r="C255" s="13"/>
    </row>
    <row r="256" spans="1:3" ht="13" x14ac:dyDescent="0.15">
      <c r="A256" s="10"/>
      <c r="B256" s="13"/>
      <c r="C256" s="13"/>
    </row>
    <row r="257" spans="1:3" ht="13" x14ac:dyDescent="0.15">
      <c r="A257" s="10"/>
      <c r="B257" s="13"/>
      <c r="C257" s="13"/>
    </row>
    <row r="258" spans="1:3" ht="13" x14ac:dyDescent="0.15">
      <c r="A258" s="10"/>
      <c r="B258" s="13"/>
      <c r="C258" s="13"/>
    </row>
    <row r="259" spans="1:3" ht="13" x14ac:dyDescent="0.15">
      <c r="A259" s="10"/>
      <c r="B259" s="13"/>
      <c r="C259" s="13"/>
    </row>
    <row r="260" spans="1:3" ht="13" x14ac:dyDescent="0.15">
      <c r="A260" s="10"/>
      <c r="B260" s="13"/>
      <c r="C260" s="13"/>
    </row>
    <row r="261" spans="1:3" ht="13" x14ac:dyDescent="0.15">
      <c r="A261" s="10"/>
      <c r="B261" s="13"/>
      <c r="C261" s="13"/>
    </row>
    <row r="262" spans="1:3" ht="13" x14ac:dyDescent="0.15">
      <c r="A262" s="10"/>
      <c r="B262" s="13"/>
      <c r="C262" s="13"/>
    </row>
    <row r="263" spans="1:3" ht="13" x14ac:dyDescent="0.15">
      <c r="A263" s="10"/>
      <c r="B263" s="13"/>
      <c r="C263" s="13"/>
    </row>
    <row r="264" spans="1:3" ht="13" x14ac:dyDescent="0.15">
      <c r="A264" s="10"/>
      <c r="B264" s="13"/>
      <c r="C264" s="13"/>
    </row>
    <row r="265" spans="1:3" ht="13" x14ac:dyDescent="0.15">
      <c r="A265" s="10"/>
      <c r="B265" s="13"/>
      <c r="C265" s="13"/>
    </row>
    <row r="266" spans="1:3" ht="13" x14ac:dyDescent="0.15">
      <c r="A266" s="10"/>
      <c r="B266" s="13"/>
      <c r="C266" s="13"/>
    </row>
    <row r="267" spans="1:3" ht="13" x14ac:dyDescent="0.15">
      <c r="A267" s="10"/>
      <c r="B267" s="13"/>
      <c r="C267" s="13"/>
    </row>
    <row r="268" spans="1:3" ht="13" x14ac:dyDescent="0.15">
      <c r="A268" s="10"/>
      <c r="B268" s="13"/>
      <c r="C268" s="13"/>
    </row>
    <row r="269" spans="1:3" ht="13" x14ac:dyDescent="0.15">
      <c r="A269" s="10"/>
      <c r="B269" s="13"/>
      <c r="C269" s="13"/>
    </row>
    <row r="270" spans="1:3" ht="13" x14ac:dyDescent="0.15">
      <c r="A270" s="10"/>
      <c r="B270" s="13"/>
      <c r="C270" s="13"/>
    </row>
    <row r="271" spans="1:3" ht="13" x14ac:dyDescent="0.15">
      <c r="A271" s="10"/>
      <c r="B271" s="13"/>
      <c r="C271" s="13"/>
    </row>
    <row r="272" spans="1:3" ht="13" x14ac:dyDescent="0.15">
      <c r="A272" s="10"/>
      <c r="B272" s="13"/>
      <c r="C272" s="13"/>
    </row>
    <row r="273" spans="1:3" ht="13" x14ac:dyDescent="0.15">
      <c r="A273" s="10"/>
      <c r="B273" s="13"/>
      <c r="C273" s="13"/>
    </row>
    <row r="274" spans="1:3" ht="13" x14ac:dyDescent="0.15">
      <c r="A274" s="10"/>
      <c r="B274" s="13"/>
      <c r="C274" s="13"/>
    </row>
    <row r="275" spans="1:3" ht="13" x14ac:dyDescent="0.15">
      <c r="A275" s="10"/>
      <c r="B275" s="13"/>
      <c r="C275" s="13"/>
    </row>
    <row r="276" spans="1:3" ht="13" x14ac:dyDescent="0.15">
      <c r="A276" s="10"/>
      <c r="B276" s="13"/>
      <c r="C276" s="13"/>
    </row>
    <row r="277" spans="1:3" ht="13" x14ac:dyDescent="0.15">
      <c r="A277" s="10"/>
      <c r="B277" s="13"/>
      <c r="C277" s="13"/>
    </row>
    <row r="278" spans="1:3" ht="13" x14ac:dyDescent="0.15">
      <c r="A278" s="10"/>
      <c r="B278" s="13"/>
      <c r="C278" s="13"/>
    </row>
    <row r="279" spans="1:3" ht="13" x14ac:dyDescent="0.15">
      <c r="A279" s="10"/>
      <c r="B279" s="13"/>
      <c r="C279" s="13"/>
    </row>
    <row r="280" spans="1:3" ht="13" x14ac:dyDescent="0.15">
      <c r="A280" s="10"/>
      <c r="B280" s="13"/>
      <c r="C280" s="13"/>
    </row>
    <row r="281" spans="1:3" ht="13" x14ac:dyDescent="0.15">
      <c r="A281" s="10"/>
      <c r="B281" s="13"/>
      <c r="C281" s="13"/>
    </row>
    <row r="282" spans="1:3" ht="13" x14ac:dyDescent="0.15">
      <c r="A282" s="10"/>
      <c r="B282" s="13"/>
      <c r="C282" s="13"/>
    </row>
    <row r="283" spans="1:3" ht="13" x14ac:dyDescent="0.15">
      <c r="A283" s="10"/>
      <c r="B283" s="13"/>
      <c r="C283" s="13"/>
    </row>
    <row r="284" spans="1:3" ht="13" x14ac:dyDescent="0.15">
      <c r="A284" s="10"/>
      <c r="B284" s="13"/>
      <c r="C284" s="13"/>
    </row>
    <row r="285" spans="1:3" ht="13" x14ac:dyDescent="0.15">
      <c r="A285" s="10"/>
      <c r="B285" s="13"/>
      <c r="C285" s="13"/>
    </row>
    <row r="286" spans="1:3" ht="13" x14ac:dyDescent="0.15">
      <c r="A286" s="10"/>
      <c r="B286" s="13"/>
      <c r="C286" s="13"/>
    </row>
    <row r="287" spans="1:3" ht="13" x14ac:dyDescent="0.15">
      <c r="A287" s="10"/>
      <c r="B287" s="13"/>
      <c r="C287" s="13"/>
    </row>
    <row r="288" spans="1:3" ht="13" x14ac:dyDescent="0.15">
      <c r="A288" s="10"/>
      <c r="B288" s="13"/>
      <c r="C288" s="13"/>
    </row>
    <row r="289" spans="1:3" ht="13" x14ac:dyDescent="0.15">
      <c r="A289" s="10"/>
      <c r="B289" s="13"/>
      <c r="C289" s="13"/>
    </row>
    <row r="290" spans="1:3" ht="13" x14ac:dyDescent="0.15">
      <c r="A290" s="10"/>
      <c r="B290" s="13"/>
      <c r="C290" s="13"/>
    </row>
    <row r="291" spans="1:3" ht="13" x14ac:dyDescent="0.15">
      <c r="A291" s="10"/>
      <c r="B291" s="13"/>
      <c r="C291" s="13"/>
    </row>
    <row r="292" spans="1:3" ht="13" x14ac:dyDescent="0.15">
      <c r="A292" s="10"/>
      <c r="B292" s="13"/>
      <c r="C292" s="13"/>
    </row>
    <row r="293" spans="1:3" ht="13" x14ac:dyDescent="0.15">
      <c r="A293" s="10"/>
      <c r="B293" s="13"/>
      <c r="C293" s="13"/>
    </row>
    <row r="294" spans="1:3" ht="13" x14ac:dyDescent="0.15">
      <c r="A294" s="10"/>
      <c r="B294" s="13"/>
      <c r="C294" s="13"/>
    </row>
    <row r="295" spans="1:3" ht="13" x14ac:dyDescent="0.15">
      <c r="A295" s="10"/>
      <c r="B295" s="13"/>
      <c r="C295" s="13"/>
    </row>
    <row r="296" spans="1:3" ht="13" x14ac:dyDescent="0.15">
      <c r="A296" s="10"/>
      <c r="B296" s="13"/>
      <c r="C296" s="13"/>
    </row>
    <row r="297" spans="1:3" ht="13" x14ac:dyDescent="0.15">
      <c r="A297" s="10"/>
      <c r="B297" s="13"/>
      <c r="C297" s="13"/>
    </row>
    <row r="298" spans="1:3" ht="13" x14ac:dyDescent="0.15">
      <c r="A298" s="10"/>
      <c r="B298" s="13"/>
      <c r="C298" s="13"/>
    </row>
    <row r="299" spans="1:3" ht="13" x14ac:dyDescent="0.15">
      <c r="A299" s="10"/>
      <c r="B299" s="13"/>
      <c r="C299" s="13"/>
    </row>
    <row r="300" spans="1:3" ht="13" x14ac:dyDescent="0.15">
      <c r="A300" s="10"/>
      <c r="B300" s="13"/>
      <c r="C300" s="13"/>
    </row>
    <row r="301" spans="1:3" ht="13" x14ac:dyDescent="0.15">
      <c r="A301" s="10"/>
      <c r="B301" s="13"/>
      <c r="C301" s="13"/>
    </row>
    <row r="302" spans="1:3" ht="13" x14ac:dyDescent="0.15">
      <c r="A302" s="10"/>
      <c r="B302" s="13"/>
      <c r="C302" s="13"/>
    </row>
    <row r="303" spans="1:3" ht="13" x14ac:dyDescent="0.15">
      <c r="A303" s="10"/>
      <c r="B303" s="13"/>
      <c r="C303" s="13"/>
    </row>
    <row r="304" spans="1:3" ht="13" x14ac:dyDescent="0.15">
      <c r="A304" s="10"/>
      <c r="B304" s="13"/>
      <c r="C304" s="13"/>
    </row>
    <row r="305" spans="1:3" ht="13" x14ac:dyDescent="0.15">
      <c r="A305" s="10"/>
      <c r="B305" s="13"/>
      <c r="C305" s="13"/>
    </row>
    <row r="306" spans="1:3" ht="13" x14ac:dyDescent="0.15">
      <c r="A306" s="10"/>
      <c r="B306" s="13"/>
      <c r="C306" s="13"/>
    </row>
    <row r="307" spans="1:3" ht="13" x14ac:dyDescent="0.15">
      <c r="A307" s="10"/>
      <c r="B307" s="13"/>
      <c r="C307" s="13"/>
    </row>
    <row r="308" spans="1:3" ht="13" x14ac:dyDescent="0.15">
      <c r="A308" s="10"/>
      <c r="B308" s="13"/>
      <c r="C308" s="13"/>
    </row>
    <row r="309" spans="1:3" ht="13" x14ac:dyDescent="0.15">
      <c r="A309" s="10"/>
      <c r="B309" s="13"/>
      <c r="C309" s="13"/>
    </row>
    <row r="310" spans="1:3" ht="13" x14ac:dyDescent="0.15">
      <c r="A310" s="10"/>
      <c r="B310" s="13"/>
      <c r="C310" s="13"/>
    </row>
    <row r="311" spans="1:3" ht="13" x14ac:dyDescent="0.15">
      <c r="A311" s="10"/>
      <c r="B311" s="13"/>
      <c r="C311" s="13"/>
    </row>
    <row r="312" spans="1:3" ht="13" x14ac:dyDescent="0.15">
      <c r="A312" s="10"/>
      <c r="B312" s="13"/>
      <c r="C312" s="13"/>
    </row>
    <row r="313" spans="1:3" ht="13" x14ac:dyDescent="0.15">
      <c r="A313" s="10"/>
      <c r="B313" s="13"/>
      <c r="C313" s="13"/>
    </row>
    <row r="314" spans="1:3" ht="13" x14ac:dyDescent="0.15">
      <c r="A314" s="10"/>
      <c r="B314" s="13"/>
      <c r="C314" s="13"/>
    </row>
    <row r="315" spans="1:3" ht="13" x14ac:dyDescent="0.15">
      <c r="A315" s="10"/>
      <c r="B315" s="13"/>
      <c r="C315" s="13"/>
    </row>
    <row r="316" spans="1:3" ht="13" x14ac:dyDescent="0.15">
      <c r="A316" s="10"/>
      <c r="B316" s="13"/>
      <c r="C316" s="13"/>
    </row>
    <row r="317" spans="1:3" ht="13" x14ac:dyDescent="0.15">
      <c r="A317" s="10"/>
      <c r="B317" s="13"/>
      <c r="C317" s="13"/>
    </row>
    <row r="318" spans="1:3" ht="13" x14ac:dyDescent="0.15">
      <c r="A318" s="10"/>
      <c r="B318" s="13"/>
      <c r="C318" s="13"/>
    </row>
    <row r="319" spans="1:3" ht="13" x14ac:dyDescent="0.15">
      <c r="A319" s="10"/>
      <c r="B319" s="13"/>
      <c r="C319" s="13"/>
    </row>
    <row r="320" spans="1:3" ht="13" x14ac:dyDescent="0.15">
      <c r="A320" s="10"/>
      <c r="B320" s="13"/>
      <c r="C320" s="13"/>
    </row>
    <row r="321" spans="1:3" ht="13" x14ac:dyDescent="0.15">
      <c r="A321" s="10"/>
      <c r="B321" s="13"/>
      <c r="C321" s="13"/>
    </row>
    <row r="322" spans="1:3" ht="13" x14ac:dyDescent="0.15">
      <c r="A322" s="10"/>
      <c r="B322" s="13"/>
      <c r="C322" s="13"/>
    </row>
    <row r="323" spans="1:3" ht="13" x14ac:dyDescent="0.15">
      <c r="A323" s="10"/>
      <c r="B323" s="13"/>
      <c r="C323" s="13"/>
    </row>
    <row r="324" spans="1:3" ht="13" x14ac:dyDescent="0.15">
      <c r="A324" s="10"/>
      <c r="B324" s="13"/>
      <c r="C324" s="13"/>
    </row>
    <row r="325" spans="1:3" ht="13" x14ac:dyDescent="0.15">
      <c r="A325" s="10"/>
      <c r="B325" s="13"/>
      <c r="C325" s="13"/>
    </row>
    <row r="326" spans="1:3" ht="13" x14ac:dyDescent="0.15">
      <c r="A326" s="10"/>
      <c r="B326" s="13"/>
      <c r="C326" s="13"/>
    </row>
    <row r="327" spans="1:3" ht="13" x14ac:dyDescent="0.15">
      <c r="A327" s="10"/>
      <c r="B327" s="13"/>
      <c r="C327" s="13"/>
    </row>
    <row r="328" spans="1:3" ht="13" x14ac:dyDescent="0.15">
      <c r="A328" s="10"/>
      <c r="B328" s="13"/>
      <c r="C328" s="13"/>
    </row>
    <row r="329" spans="1:3" ht="13" x14ac:dyDescent="0.15">
      <c r="A329" s="10"/>
      <c r="B329" s="13"/>
      <c r="C329" s="13"/>
    </row>
    <row r="330" spans="1:3" ht="13" x14ac:dyDescent="0.15">
      <c r="A330" s="10"/>
      <c r="B330" s="13"/>
      <c r="C330" s="13"/>
    </row>
    <row r="331" spans="1:3" ht="13" x14ac:dyDescent="0.15">
      <c r="A331" s="10"/>
      <c r="B331" s="13"/>
      <c r="C331" s="13"/>
    </row>
    <row r="332" spans="1:3" ht="13" x14ac:dyDescent="0.15">
      <c r="A332" s="10"/>
      <c r="B332" s="13"/>
      <c r="C332" s="13"/>
    </row>
    <row r="333" spans="1:3" ht="13" x14ac:dyDescent="0.15">
      <c r="A333" s="10"/>
      <c r="B333" s="13"/>
      <c r="C333" s="13"/>
    </row>
    <row r="334" spans="1:3" ht="13" x14ac:dyDescent="0.15">
      <c r="A334" s="10"/>
      <c r="B334" s="13"/>
      <c r="C334" s="13"/>
    </row>
    <row r="335" spans="1:3" ht="13" x14ac:dyDescent="0.15">
      <c r="A335" s="10"/>
      <c r="B335" s="13"/>
      <c r="C335" s="13"/>
    </row>
    <row r="336" spans="1:3" ht="13" x14ac:dyDescent="0.15">
      <c r="A336" s="10"/>
      <c r="B336" s="13"/>
      <c r="C336" s="13"/>
    </row>
    <row r="337" spans="1:3" ht="13" x14ac:dyDescent="0.15">
      <c r="A337" s="10"/>
      <c r="B337" s="13"/>
      <c r="C337" s="13"/>
    </row>
    <row r="338" spans="1:3" ht="13" x14ac:dyDescent="0.15">
      <c r="A338" s="10"/>
      <c r="B338" s="13"/>
      <c r="C338" s="13"/>
    </row>
    <row r="339" spans="1:3" ht="13" x14ac:dyDescent="0.15">
      <c r="A339" s="10"/>
      <c r="B339" s="13"/>
      <c r="C339" s="13"/>
    </row>
    <row r="340" spans="1:3" ht="13" x14ac:dyDescent="0.15">
      <c r="A340" s="10"/>
      <c r="B340" s="13"/>
      <c r="C340" s="13"/>
    </row>
    <row r="341" spans="1:3" ht="13" x14ac:dyDescent="0.15">
      <c r="A341" s="10"/>
      <c r="B341" s="13"/>
      <c r="C341" s="13"/>
    </row>
    <row r="342" spans="1:3" ht="13" x14ac:dyDescent="0.15">
      <c r="A342" s="10"/>
      <c r="B342" s="13"/>
      <c r="C342" s="13"/>
    </row>
    <row r="343" spans="1:3" ht="13" x14ac:dyDescent="0.15">
      <c r="A343" s="10"/>
      <c r="B343" s="13"/>
      <c r="C343" s="13"/>
    </row>
    <row r="344" spans="1:3" ht="13" x14ac:dyDescent="0.15">
      <c r="A344" s="10"/>
      <c r="B344" s="13"/>
      <c r="C344" s="13"/>
    </row>
    <row r="345" spans="1:3" ht="13" x14ac:dyDescent="0.15">
      <c r="A345" s="10"/>
      <c r="B345" s="13"/>
      <c r="C345" s="13"/>
    </row>
    <row r="346" spans="1:3" ht="13" x14ac:dyDescent="0.15">
      <c r="A346" s="10"/>
      <c r="B346" s="13"/>
      <c r="C346" s="13"/>
    </row>
    <row r="347" spans="1:3" ht="13" x14ac:dyDescent="0.15">
      <c r="A347" s="10"/>
      <c r="B347" s="13"/>
      <c r="C347" s="13"/>
    </row>
    <row r="348" spans="1:3" ht="13" x14ac:dyDescent="0.15">
      <c r="A348" s="10"/>
      <c r="B348" s="13"/>
      <c r="C348" s="13"/>
    </row>
    <row r="349" spans="1:3" ht="13" x14ac:dyDescent="0.15">
      <c r="A349" s="10"/>
      <c r="B349" s="13"/>
      <c r="C349" s="13"/>
    </row>
    <row r="350" spans="1:3" ht="13" x14ac:dyDescent="0.15">
      <c r="A350" s="10"/>
      <c r="B350" s="13"/>
      <c r="C350" s="13"/>
    </row>
    <row r="351" spans="1:3" ht="13" x14ac:dyDescent="0.15">
      <c r="A351" s="10"/>
      <c r="B351" s="13"/>
      <c r="C351" s="13"/>
    </row>
    <row r="352" spans="1:3" ht="13" x14ac:dyDescent="0.15">
      <c r="A352" s="10"/>
      <c r="B352" s="13"/>
      <c r="C352" s="13"/>
    </row>
    <row r="353" spans="1:3" ht="13" x14ac:dyDescent="0.15">
      <c r="A353" s="10"/>
      <c r="B353" s="13"/>
      <c r="C353" s="13"/>
    </row>
    <row r="354" spans="1:3" ht="13" x14ac:dyDescent="0.15">
      <c r="A354" s="10"/>
      <c r="B354" s="13"/>
      <c r="C354" s="13"/>
    </row>
    <row r="355" spans="1:3" ht="13" x14ac:dyDescent="0.15">
      <c r="A355" s="10"/>
      <c r="B355" s="13"/>
      <c r="C355" s="13"/>
    </row>
    <row r="356" spans="1:3" ht="13" x14ac:dyDescent="0.15">
      <c r="A356" s="10"/>
      <c r="B356" s="13"/>
      <c r="C356" s="13"/>
    </row>
    <row r="357" spans="1:3" ht="13" x14ac:dyDescent="0.15">
      <c r="A357" s="10"/>
      <c r="B357" s="13"/>
      <c r="C357" s="13"/>
    </row>
    <row r="358" spans="1:3" ht="13" x14ac:dyDescent="0.15">
      <c r="A358" s="10"/>
      <c r="B358" s="13"/>
      <c r="C358" s="13"/>
    </row>
    <row r="359" spans="1:3" ht="13" x14ac:dyDescent="0.15">
      <c r="A359" s="10"/>
      <c r="B359" s="13"/>
      <c r="C359" s="13"/>
    </row>
    <row r="360" spans="1:3" ht="13" x14ac:dyDescent="0.15">
      <c r="A360" s="10"/>
      <c r="B360" s="13"/>
      <c r="C360" s="13"/>
    </row>
    <row r="361" spans="1:3" ht="13" x14ac:dyDescent="0.15">
      <c r="A361" s="10"/>
      <c r="B361" s="13"/>
      <c r="C361" s="13"/>
    </row>
    <row r="362" spans="1:3" ht="13" x14ac:dyDescent="0.15">
      <c r="A362" s="10"/>
      <c r="B362" s="13"/>
      <c r="C362" s="13"/>
    </row>
    <row r="363" spans="1:3" ht="13" x14ac:dyDescent="0.15">
      <c r="A363" s="10"/>
      <c r="B363" s="13"/>
      <c r="C363" s="13"/>
    </row>
    <row r="364" spans="1:3" ht="13" x14ac:dyDescent="0.15">
      <c r="A364" s="10"/>
      <c r="B364" s="13"/>
      <c r="C364" s="13"/>
    </row>
    <row r="365" spans="1:3" ht="13" x14ac:dyDescent="0.15">
      <c r="A365" s="10"/>
      <c r="B365" s="13"/>
      <c r="C365" s="13"/>
    </row>
    <row r="366" spans="1:3" ht="13" x14ac:dyDescent="0.15">
      <c r="A366" s="10"/>
      <c r="B366" s="13"/>
      <c r="C366" s="13"/>
    </row>
    <row r="367" spans="1:3" ht="13" x14ac:dyDescent="0.15">
      <c r="A367" s="10"/>
      <c r="B367" s="13"/>
      <c r="C367" s="13"/>
    </row>
    <row r="368" spans="1:3" ht="13" x14ac:dyDescent="0.15">
      <c r="A368" s="10"/>
      <c r="B368" s="13"/>
      <c r="C368" s="13"/>
    </row>
    <row r="369" spans="1:3" ht="13" x14ac:dyDescent="0.15">
      <c r="A369" s="10"/>
      <c r="B369" s="13"/>
      <c r="C369" s="13"/>
    </row>
    <row r="370" spans="1:3" ht="13" x14ac:dyDescent="0.15">
      <c r="A370" s="10"/>
      <c r="B370" s="13"/>
      <c r="C370" s="13"/>
    </row>
    <row r="371" spans="1:3" ht="13" x14ac:dyDescent="0.15">
      <c r="A371" s="10"/>
      <c r="B371" s="13"/>
      <c r="C371" s="13"/>
    </row>
    <row r="372" spans="1:3" ht="13" x14ac:dyDescent="0.15">
      <c r="A372" s="10"/>
      <c r="B372" s="13"/>
      <c r="C372" s="13"/>
    </row>
    <row r="373" spans="1:3" ht="13" x14ac:dyDescent="0.15">
      <c r="A373" s="10"/>
      <c r="B373" s="13"/>
      <c r="C373" s="13"/>
    </row>
    <row r="374" spans="1:3" ht="13" x14ac:dyDescent="0.15">
      <c r="A374" s="10"/>
      <c r="B374" s="13"/>
      <c r="C374" s="13"/>
    </row>
    <row r="375" spans="1:3" ht="13" x14ac:dyDescent="0.15">
      <c r="A375" s="10"/>
      <c r="B375" s="13"/>
      <c r="C375" s="13"/>
    </row>
    <row r="376" spans="1:3" ht="13" x14ac:dyDescent="0.15">
      <c r="A376" s="10"/>
      <c r="B376" s="13"/>
      <c r="C376" s="13"/>
    </row>
    <row r="377" spans="1:3" ht="13" x14ac:dyDescent="0.15">
      <c r="A377" s="10"/>
      <c r="B377" s="13"/>
      <c r="C377" s="13"/>
    </row>
    <row r="378" spans="1:3" ht="13" x14ac:dyDescent="0.15">
      <c r="A378" s="10"/>
      <c r="B378" s="13"/>
      <c r="C378" s="13"/>
    </row>
    <row r="379" spans="1:3" ht="13" x14ac:dyDescent="0.15">
      <c r="A379" s="10"/>
      <c r="B379" s="13"/>
      <c r="C379" s="13"/>
    </row>
    <row r="380" spans="1:3" ht="13" x14ac:dyDescent="0.15">
      <c r="A380" s="10"/>
      <c r="B380" s="13"/>
      <c r="C380" s="13"/>
    </row>
    <row r="381" spans="1:3" ht="13" x14ac:dyDescent="0.15">
      <c r="A381" s="10"/>
      <c r="B381" s="13"/>
      <c r="C381" s="13"/>
    </row>
    <row r="382" spans="1:3" ht="13" x14ac:dyDescent="0.15">
      <c r="A382" s="10"/>
      <c r="B382" s="13"/>
      <c r="C382" s="13"/>
    </row>
    <row r="383" spans="1:3" ht="13" x14ac:dyDescent="0.15">
      <c r="A383" s="10"/>
      <c r="B383" s="13"/>
      <c r="C383" s="13"/>
    </row>
    <row r="384" spans="1:3" ht="13" x14ac:dyDescent="0.15">
      <c r="A384" s="10"/>
      <c r="B384" s="13"/>
      <c r="C384" s="13"/>
    </row>
    <row r="385" spans="1:3" ht="13" x14ac:dyDescent="0.15">
      <c r="A385" s="10"/>
      <c r="B385" s="13"/>
      <c r="C385" s="13"/>
    </row>
    <row r="386" spans="1:3" ht="13" x14ac:dyDescent="0.15">
      <c r="A386" s="10"/>
      <c r="B386" s="13"/>
      <c r="C386" s="13"/>
    </row>
    <row r="387" spans="1:3" ht="13" x14ac:dyDescent="0.15">
      <c r="A387" s="10"/>
      <c r="B387" s="13"/>
      <c r="C387" s="13"/>
    </row>
    <row r="388" spans="1:3" ht="13" x14ac:dyDescent="0.15">
      <c r="A388" s="10"/>
      <c r="B388" s="13"/>
      <c r="C388" s="13"/>
    </row>
    <row r="389" spans="1:3" ht="13" x14ac:dyDescent="0.15">
      <c r="A389" s="10"/>
      <c r="B389" s="13"/>
      <c r="C389" s="13"/>
    </row>
    <row r="390" spans="1:3" ht="13" x14ac:dyDescent="0.15">
      <c r="A390" s="10"/>
      <c r="B390" s="13"/>
      <c r="C390" s="13"/>
    </row>
    <row r="391" spans="1:3" ht="13" x14ac:dyDescent="0.15">
      <c r="A391" s="10"/>
      <c r="B391" s="13"/>
      <c r="C391" s="13"/>
    </row>
    <row r="392" spans="1:3" ht="13" x14ac:dyDescent="0.15">
      <c r="A392" s="10"/>
      <c r="B392" s="13"/>
      <c r="C392" s="13"/>
    </row>
    <row r="393" spans="1:3" ht="13" x14ac:dyDescent="0.15">
      <c r="A393" s="10"/>
      <c r="B393" s="13"/>
      <c r="C393" s="13"/>
    </row>
    <row r="394" spans="1:3" ht="13" x14ac:dyDescent="0.15">
      <c r="A394" s="10"/>
      <c r="B394" s="13"/>
      <c r="C394" s="13"/>
    </row>
    <row r="395" spans="1:3" ht="13" x14ac:dyDescent="0.15">
      <c r="A395" s="10"/>
      <c r="B395" s="13"/>
      <c r="C395" s="13"/>
    </row>
    <row r="396" spans="1:3" ht="13" x14ac:dyDescent="0.15">
      <c r="A396" s="10"/>
      <c r="B396" s="13"/>
      <c r="C396" s="13"/>
    </row>
    <row r="397" spans="1:3" ht="13" x14ac:dyDescent="0.15">
      <c r="A397" s="10"/>
      <c r="B397" s="13"/>
      <c r="C397" s="13"/>
    </row>
    <row r="398" spans="1:3" ht="13" x14ac:dyDescent="0.15">
      <c r="A398" s="10"/>
      <c r="B398" s="13"/>
      <c r="C398" s="13"/>
    </row>
    <row r="399" spans="1:3" ht="13" x14ac:dyDescent="0.15">
      <c r="A399" s="10"/>
      <c r="B399" s="13"/>
      <c r="C399" s="13"/>
    </row>
    <row r="400" spans="1:3" ht="13" x14ac:dyDescent="0.15">
      <c r="A400" s="10"/>
      <c r="B400" s="13"/>
      <c r="C400" s="13"/>
    </row>
    <row r="401" spans="1:3" ht="13" x14ac:dyDescent="0.15">
      <c r="A401" s="10"/>
      <c r="B401" s="13"/>
      <c r="C401" s="13"/>
    </row>
    <row r="402" spans="1:3" ht="13" x14ac:dyDescent="0.15">
      <c r="A402" s="10"/>
      <c r="B402" s="13"/>
      <c r="C402" s="13"/>
    </row>
    <row r="403" spans="1:3" ht="13" x14ac:dyDescent="0.15">
      <c r="A403" s="10"/>
      <c r="B403" s="13"/>
      <c r="C403" s="13"/>
    </row>
    <row r="404" spans="1:3" ht="13" x14ac:dyDescent="0.15">
      <c r="A404" s="10"/>
      <c r="B404" s="13"/>
      <c r="C404" s="13"/>
    </row>
    <row r="405" spans="1:3" ht="13" x14ac:dyDescent="0.15">
      <c r="A405" s="10"/>
      <c r="B405" s="13"/>
      <c r="C405" s="13"/>
    </row>
    <row r="406" spans="1:3" ht="13" x14ac:dyDescent="0.15">
      <c r="A406" s="10"/>
      <c r="B406" s="13"/>
      <c r="C406" s="13"/>
    </row>
    <row r="407" spans="1:3" ht="13" x14ac:dyDescent="0.15">
      <c r="A407" s="10"/>
      <c r="B407" s="13"/>
      <c r="C407" s="13"/>
    </row>
    <row r="408" spans="1:3" ht="13" x14ac:dyDescent="0.15">
      <c r="A408" s="10"/>
      <c r="B408" s="13"/>
      <c r="C408" s="13"/>
    </row>
    <row r="409" spans="1:3" ht="13" x14ac:dyDescent="0.15">
      <c r="A409" s="10"/>
      <c r="B409" s="13"/>
      <c r="C409" s="13"/>
    </row>
    <row r="410" spans="1:3" ht="13" x14ac:dyDescent="0.15">
      <c r="A410" s="10"/>
      <c r="B410" s="13"/>
      <c r="C410" s="13"/>
    </row>
    <row r="411" spans="1:3" ht="13" x14ac:dyDescent="0.15">
      <c r="A411" s="10"/>
      <c r="B411" s="13"/>
      <c r="C411" s="13"/>
    </row>
    <row r="412" spans="1:3" ht="13" x14ac:dyDescent="0.15">
      <c r="A412" s="10"/>
      <c r="B412" s="13"/>
      <c r="C412" s="13"/>
    </row>
    <row r="413" spans="1:3" ht="13" x14ac:dyDescent="0.15">
      <c r="A413" s="10"/>
      <c r="B413" s="13"/>
      <c r="C413" s="13"/>
    </row>
    <row r="414" spans="1:3" ht="13" x14ac:dyDescent="0.15">
      <c r="A414" s="10"/>
      <c r="B414" s="13"/>
      <c r="C414" s="13"/>
    </row>
    <row r="415" spans="1:3" ht="13" x14ac:dyDescent="0.15">
      <c r="A415" s="10"/>
      <c r="B415" s="13"/>
      <c r="C415" s="13"/>
    </row>
    <row r="416" spans="1:3" ht="13" x14ac:dyDescent="0.15">
      <c r="A416" s="10"/>
      <c r="B416" s="13"/>
      <c r="C416" s="13"/>
    </row>
    <row r="417" spans="1:3" ht="13" x14ac:dyDescent="0.15">
      <c r="A417" s="10"/>
      <c r="B417" s="13"/>
      <c r="C417" s="13"/>
    </row>
    <row r="418" spans="1:3" ht="13" x14ac:dyDescent="0.15">
      <c r="A418" s="10"/>
      <c r="B418" s="13"/>
      <c r="C418" s="13"/>
    </row>
    <row r="419" spans="1:3" ht="13" x14ac:dyDescent="0.15">
      <c r="A419" s="10"/>
      <c r="B419" s="13"/>
      <c r="C419" s="13"/>
    </row>
    <row r="420" spans="1:3" ht="13" x14ac:dyDescent="0.15">
      <c r="A420" s="10"/>
      <c r="B420" s="13"/>
      <c r="C420" s="13"/>
    </row>
    <row r="421" spans="1:3" ht="13" x14ac:dyDescent="0.15">
      <c r="A421" s="10"/>
      <c r="B421" s="13"/>
      <c r="C421" s="13"/>
    </row>
    <row r="422" spans="1:3" ht="13" x14ac:dyDescent="0.15">
      <c r="A422" s="10"/>
      <c r="B422" s="13"/>
      <c r="C422" s="13"/>
    </row>
    <row r="423" spans="1:3" ht="13" x14ac:dyDescent="0.15">
      <c r="A423" s="10"/>
      <c r="B423" s="13"/>
      <c r="C423" s="13"/>
    </row>
    <row r="424" spans="1:3" ht="13" x14ac:dyDescent="0.15">
      <c r="A424" s="10"/>
      <c r="B424" s="13"/>
      <c r="C424" s="13"/>
    </row>
    <row r="425" spans="1:3" ht="13" x14ac:dyDescent="0.15">
      <c r="A425" s="10"/>
      <c r="B425" s="13"/>
      <c r="C425" s="13"/>
    </row>
    <row r="426" spans="1:3" ht="13" x14ac:dyDescent="0.15">
      <c r="A426" s="10"/>
      <c r="B426" s="13"/>
      <c r="C426" s="13"/>
    </row>
    <row r="427" spans="1:3" ht="13" x14ac:dyDescent="0.15">
      <c r="A427" s="10"/>
      <c r="B427" s="13"/>
      <c r="C427" s="13"/>
    </row>
    <row r="428" spans="1:3" ht="13" x14ac:dyDescent="0.15">
      <c r="A428" s="10"/>
      <c r="B428" s="13"/>
      <c r="C428" s="13"/>
    </row>
    <row r="429" spans="1:3" ht="13" x14ac:dyDescent="0.15">
      <c r="A429" s="10"/>
      <c r="B429" s="13"/>
      <c r="C429" s="13"/>
    </row>
    <row r="430" spans="1:3" ht="13" x14ac:dyDescent="0.15">
      <c r="A430" s="10"/>
      <c r="B430" s="13"/>
      <c r="C430" s="13"/>
    </row>
    <row r="431" spans="1:3" ht="13" x14ac:dyDescent="0.15">
      <c r="A431" s="10"/>
      <c r="B431" s="13"/>
      <c r="C431" s="13"/>
    </row>
    <row r="432" spans="1:3" ht="13" x14ac:dyDescent="0.15">
      <c r="A432" s="10"/>
      <c r="B432" s="13"/>
      <c r="C432" s="13"/>
    </row>
    <row r="433" spans="1:3" ht="13" x14ac:dyDescent="0.15">
      <c r="A433" s="10"/>
      <c r="B433" s="13"/>
      <c r="C433" s="13"/>
    </row>
    <row r="434" spans="1:3" ht="13" x14ac:dyDescent="0.15">
      <c r="A434" s="10"/>
      <c r="B434" s="13"/>
      <c r="C434" s="13"/>
    </row>
    <row r="435" spans="1:3" ht="13" x14ac:dyDescent="0.15">
      <c r="A435" s="10"/>
      <c r="B435" s="13"/>
      <c r="C435" s="13"/>
    </row>
    <row r="436" spans="1:3" ht="13" x14ac:dyDescent="0.15">
      <c r="A436" s="10"/>
      <c r="B436" s="13"/>
      <c r="C436" s="13"/>
    </row>
    <row r="437" spans="1:3" ht="13" x14ac:dyDescent="0.15">
      <c r="A437" s="10"/>
      <c r="B437" s="13"/>
      <c r="C437" s="13"/>
    </row>
    <row r="438" spans="1:3" ht="13" x14ac:dyDescent="0.15">
      <c r="A438" s="10"/>
      <c r="B438" s="13"/>
      <c r="C438" s="13"/>
    </row>
    <row r="439" spans="1:3" ht="13" x14ac:dyDescent="0.15">
      <c r="A439" s="10"/>
      <c r="B439" s="13"/>
      <c r="C439" s="13"/>
    </row>
    <row r="440" spans="1:3" ht="13" x14ac:dyDescent="0.15">
      <c r="A440" s="10"/>
      <c r="B440" s="13"/>
      <c r="C440" s="13"/>
    </row>
    <row r="441" spans="1:3" ht="13" x14ac:dyDescent="0.15">
      <c r="A441" s="10"/>
      <c r="B441" s="13"/>
      <c r="C441" s="13"/>
    </row>
    <row r="442" spans="1:3" ht="13" x14ac:dyDescent="0.15">
      <c r="A442" s="10"/>
      <c r="B442" s="13"/>
      <c r="C442" s="13"/>
    </row>
    <row r="443" spans="1:3" ht="13" x14ac:dyDescent="0.15">
      <c r="A443" s="10"/>
      <c r="B443" s="13"/>
      <c r="C443" s="13"/>
    </row>
    <row r="444" spans="1:3" ht="13" x14ac:dyDescent="0.15">
      <c r="A444" s="10"/>
      <c r="B444" s="13"/>
      <c r="C444" s="13"/>
    </row>
    <row r="445" spans="1:3" ht="13" x14ac:dyDescent="0.15">
      <c r="A445" s="10"/>
      <c r="B445" s="13"/>
      <c r="C445" s="13"/>
    </row>
    <row r="446" spans="1:3" ht="13" x14ac:dyDescent="0.15">
      <c r="A446" s="10"/>
      <c r="B446" s="13"/>
      <c r="C446" s="13"/>
    </row>
    <row r="447" spans="1:3" ht="13" x14ac:dyDescent="0.15">
      <c r="A447" s="10"/>
      <c r="B447" s="13"/>
      <c r="C447" s="13"/>
    </row>
    <row r="448" spans="1:3" ht="13" x14ac:dyDescent="0.15">
      <c r="A448" s="10"/>
      <c r="B448" s="13"/>
      <c r="C448" s="13"/>
    </row>
    <row r="449" spans="1:3" ht="13" x14ac:dyDescent="0.15">
      <c r="A449" s="10"/>
      <c r="B449" s="13"/>
      <c r="C449" s="13"/>
    </row>
    <row r="450" spans="1:3" ht="13" x14ac:dyDescent="0.15">
      <c r="A450" s="10"/>
      <c r="B450" s="13"/>
      <c r="C450" s="13"/>
    </row>
    <row r="451" spans="1:3" ht="13" x14ac:dyDescent="0.15">
      <c r="A451" s="10"/>
      <c r="B451" s="13"/>
      <c r="C451" s="13"/>
    </row>
    <row r="452" spans="1:3" ht="13" x14ac:dyDescent="0.15">
      <c r="A452" s="10"/>
      <c r="B452" s="13"/>
      <c r="C452" s="13"/>
    </row>
    <row r="453" spans="1:3" ht="13" x14ac:dyDescent="0.15">
      <c r="A453" s="10"/>
      <c r="B453" s="13"/>
      <c r="C453" s="13"/>
    </row>
    <row r="454" spans="1:3" ht="13" x14ac:dyDescent="0.15">
      <c r="A454" s="10"/>
      <c r="B454" s="13"/>
      <c r="C454" s="13"/>
    </row>
    <row r="455" spans="1:3" ht="13" x14ac:dyDescent="0.15">
      <c r="A455" s="10"/>
      <c r="B455" s="13"/>
      <c r="C455" s="13"/>
    </row>
    <row r="456" spans="1:3" ht="13" x14ac:dyDescent="0.15">
      <c r="A456" s="10"/>
      <c r="B456" s="13"/>
      <c r="C456" s="13"/>
    </row>
    <row r="457" spans="1:3" ht="13" x14ac:dyDescent="0.15">
      <c r="A457" s="10"/>
      <c r="B457" s="13"/>
      <c r="C457" s="13"/>
    </row>
    <row r="458" spans="1:3" ht="13" x14ac:dyDescent="0.15">
      <c r="A458" s="10"/>
      <c r="B458" s="13"/>
      <c r="C458" s="13"/>
    </row>
    <row r="459" spans="1:3" ht="13" x14ac:dyDescent="0.15">
      <c r="A459" s="10"/>
      <c r="B459" s="13"/>
      <c r="C459" s="13"/>
    </row>
    <row r="460" spans="1:3" ht="13" x14ac:dyDescent="0.15">
      <c r="A460" s="10"/>
      <c r="B460" s="13"/>
      <c r="C460" s="13"/>
    </row>
    <row r="461" spans="1:3" ht="13" x14ac:dyDescent="0.15">
      <c r="A461" s="10"/>
      <c r="B461" s="13"/>
      <c r="C461" s="13"/>
    </row>
    <row r="462" spans="1:3" ht="13" x14ac:dyDescent="0.15">
      <c r="A462" s="10"/>
      <c r="B462" s="13"/>
      <c r="C462" s="13"/>
    </row>
    <row r="463" spans="1:3" ht="13" x14ac:dyDescent="0.15">
      <c r="A463" s="10"/>
      <c r="B463" s="13"/>
      <c r="C463" s="13"/>
    </row>
    <row r="464" spans="1:3" ht="13" x14ac:dyDescent="0.15">
      <c r="A464" s="10"/>
      <c r="B464" s="13"/>
      <c r="C464" s="13"/>
    </row>
    <row r="465" spans="1:3" ht="13" x14ac:dyDescent="0.15">
      <c r="A465" s="10"/>
      <c r="B465" s="13"/>
      <c r="C465" s="13"/>
    </row>
    <row r="466" spans="1:3" ht="13" x14ac:dyDescent="0.15">
      <c r="A466" s="10"/>
      <c r="B466" s="13"/>
      <c r="C466" s="13"/>
    </row>
    <row r="467" spans="1:3" ht="13" x14ac:dyDescent="0.15">
      <c r="A467" s="10"/>
      <c r="B467" s="13"/>
      <c r="C467" s="13"/>
    </row>
    <row r="468" spans="1:3" ht="13" x14ac:dyDescent="0.15">
      <c r="A468" s="10"/>
      <c r="B468" s="13"/>
      <c r="C468" s="13"/>
    </row>
    <row r="469" spans="1:3" ht="13" x14ac:dyDescent="0.15">
      <c r="A469" s="10"/>
      <c r="B469" s="13"/>
      <c r="C469" s="13"/>
    </row>
    <row r="470" spans="1:3" ht="13" x14ac:dyDescent="0.15">
      <c r="A470" s="10"/>
      <c r="B470" s="13"/>
      <c r="C470" s="13"/>
    </row>
    <row r="471" spans="1:3" ht="13" x14ac:dyDescent="0.15">
      <c r="A471" s="10"/>
      <c r="B471" s="13"/>
      <c r="C471" s="13"/>
    </row>
    <row r="472" spans="1:3" ht="13" x14ac:dyDescent="0.15">
      <c r="A472" s="10"/>
      <c r="B472" s="13"/>
      <c r="C472" s="13"/>
    </row>
    <row r="473" spans="1:3" ht="13" x14ac:dyDescent="0.15">
      <c r="A473" s="10"/>
      <c r="B473" s="13"/>
      <c r="C473" s="13"/>
    </row>
    <row r="474" spans="1:3" ht="13" x14ac:dyDescent="0.15">
      <c r="A474" s="10"/>
      <c r="B474" s="13"/>
      <c r="C474" s="13"/>
    </row>
    <row r="475" spans="1:3" ht="13" x14ac:dyDescent="0.15">
      <c r="A475" s="10"/>
      <c r="B475" s="13"/>
      <c r="C475" s="13"/>
    </row>
    <row r="476" spans="1:3" ht="13" x14ac:dyDescent="0.15">
      <c r="A476" s="10"/>
      <c r="B476" s="13"/>
      <c r="C476" s="13"/>
    </row>
    <row r="477" spans="1:3" ht="13" x14ac:dyDescent="0.15">
      <c r="A477" s="10"/>
      <c r="B477" s="13"/>
      <c r="C477" s="13"/>
    </row>
    <row r="478" spans="1:3" ht="13" x14ac:dyDescent="0.15">
      <c r="A478" s="10"/>
      <c r="B478" s="13"/>
      <c r="C478" s="13"/>
    </row>
    <row r="479" spans="1:3" ht="13" x14ac:dyDescent="0.15">
      <c r="A479" s="10"/>
      <c r="B479" s="13"/>
      <c r="C479" s="13"/>
    </row>
    <row r="480" spans="1:3" ht="13" x14ac:dyDescent="0.15">
      <c r="A480" s="10"/>
      <c r="B480" s="13"/>
      <c r="C480" s="13"/>
    </row>
    <row r="481" spans="1:3" ht="13" x14ac:dyDescent="0.15">
      <c r="A481" s="10"/>
      <c r="B481" s="13"/>
      <c r="C481" s="13"/>
    </row>
    <row r="482" spans="1:3" ht="13" x14ac:dyDescent="0.15">
      <c r="A482" s="10"/>
      <c r="B482" s="13"/>
      <c r="C482" s="13"/>
    </row>
    <row r="483" spans="1:3" ht="13" x14ac:dyDescent="0.15">
      <c r="A483" s="10"/>
      <c r="B483" s="13"/>
      <c r="C483" s="13"/>
    </row>
    <row r="484" spans="1:3" ht="13" x14ac:dyDescent="0.15">
      <c r="A484" s="10"/>
      <c r="B484" s="13"/>
      <c r="C484" s="13"/>
    </row>
    <row r="485" spans="1:3" ht="13" x14ac:dyDescent="0.15">
      <c r="A485" s="10"/>
      <c r="B485" s="13"/>
      <c r="C485" s="13"/>
    </row>
    <row r="486" spans="1:3" ht="13" x14ac:dyDescent="0.15">
      <c r="A486" s="10"/>
      <c r="B486" s="13"/>
      <c r="C486" s="13"/>
    </row>
    <row r="487" spans="1:3" ht="13" x14ac:dyDescent="0.15">
      <c r="A487" s="10"/>
      <c r="B487" s="13"/>
      <c r="C487" s="13"/>
    </row>
    <row r="488" spans="1:3" ht="13" x14ac:dyDescent="0.15">
      <c r="A488" s="10"/>
      <c r="B488" s="13"/>
      <c r="C488" s="13"/>
    </row>
    <row r="489" spans="1:3" ht="13" x14ac:dyDescent="0.15">
      <c r="A489" s="10"/>
      <c r="B489" s="13"/>
      <c r="C489" s="13"/>
    </row>
    <row r="490" spans="1:3" ht="13" x14ac:dyDescent="0.15">
      <c r="A490" s="10"/>
      <c r="B490" s="13"/>
      <c r="C490" s="13"/>
    </row>
    <row r="491" spans="1:3" ht="13" x14ac:dyDescent="0.15">
      <c r="A491" s="10"/>
      <c r="B491" s="13"/>
      <c r="C491" s="13"/>
    </row>
    <row r="492" spans="1:3" ht="13" x14ac:dyDescent="0.15">
      <c r="A492" s="10"/>
      <c r="B492" s="13"/>
      <c r="C492" s="13"/>
    </row>
    <row r="493" spans="1:3" ht="13" x14ac:dyDescent="0.15">
      <c r="A493" s="10"/>
      <c r="B493" s="13"/>
      <c r="C493" s="13"/>
    </row>
    <row r="494" spans="1:3" ht="13" x14ac:dyDescent="0.15">
      <c r="A494" s="10"/>
      <c r="B494" s="13"/>
      <c r="C494" s="13"/>
    </row>
    <row r="495" spans="1:3" ht="13" x14ac:dyDescent="0.15">
      <c r="A495" s="10"/>
      <c r="B495" s="13"/>
      <c r="C495" s="13"/>
    </row>
    <row r="496" spans="1:3" ht="13" x14ac:dyDescent="0.15">
      <c r="A496" s="10"/>
      <c r="B496" s="13"/>
      <c r="C496" s="13"/>
    </row>
    <row r="497" spans="1:3" ht="13" x14ac:dyDescent="0.15">
      <c r="A497" s="10"/>
      <c r="B497" s="13"/>
      <c r="C497" s="13"/>
    </row>
    <row r="498" spans="1:3" ht="13" x14ac:dyDescent="0.15">
      <c r="A498" s="10"/>
      <c r="B498" s="13"/>
      <c r="C498" s="13"/>
    </row>
    <row r="499" spans="1:3" ht="13" x14ac:dyDescent="0.15">
      <c r="A499" s="10"/>
      <c r="B499" s="13"/>
      <c r="C499" s="13"/>
    </row>
    <row r="500" spans="1:3" ht="13" x14ac:dyDescent="0.15">
      <c r="A500" s="10"/>
      <c r="B500" s="13"/>
      <c r="C500" s="13"/>
    </row>
    <row r="501" spans="1:3" ht="13" x14ac:dyDescent="0.15">
      <c r="A501" s="10"/>
      <c r="B501" s="13"/>
      <c r="C501" s="13"/>
    </row>
    <row r="502" spans="1:3" ht="13" x14ac:dyDescent="0.15">
      <c r="A502" s="10"/>
      <c r="B502" s="13"/>
      <c r="C502" s="13"/>
    </row>
    <row r="503" spans="1:3" ht="13" x14ac:dyDescent="0.15">
      <c r="A503" s="10"/>
      <c r="B503" s="13"/>
      <c r="C503" s="13"/>
    </row>
    <row r="504" spans="1:3" ht="13" x14ac:dyDescent="0.15">
      <c r="A504" s="10"/>
      <c r="B504" s="13"/>
      <c r="C504" s="13"/>
    </row>
    <row r="505" spans="1:3" ht="13" x14ac:dyDescent="0.15">
      <c r="A505" s="10"/>
      <c r="B505" s="13"/>
      <c r="C505" s="13"/>
    </row>
    <row r="506" spans="1:3" ht="13" x14ac:dyDescent="0.15">
      <c r="A506" s="10"/>
      <c r="B506" s="13"/>
      <c r="C506" s="13"/>
    </row>
    <row r="507" spans="1:3" ht="13" x14ac:dyDescent="0.15">
      <c r="A507" s="10"/>
      <c r="B507" s="13"/>
      <c r="C507" s="13"/>
    </row>
    <row r="508" spans="1:3" ht="13" x14ac:dyDescent="0.15">
      <c r="A508" s="10"/>
      <c r="B508" s="13"/>
      <c r="C508" s="13"/>
    </row>
    <row r="509" spans="1:3" ht="13" x14ac:dyDescent="0.15">
      <c r="A509" s="10"/>
      <c r="B509" s="13"/>
      <c r="C509" s="13"/>
    </row>
    <row r="510" spans="1:3" ht="13" x14ac:dyDescent="0.15">
      <c r="A510" s="10"/>
      <c r="B510" s="13"/>
      <c r="C510" s="13"/>
    </row>
    <row r="511" spans="1:3" ht="13" x14ac:dyDescent="0.15">
      <c r="A511" s="10"/>
      <c r="B511" s="13"/>
      <c r="C511" s="13"/>
    </row>
    <row r="512" spans="1:3" ht="13" x14ac:dyDescent="0.15">
      <c r="A512" s="10"/>
      <c r="B512" s="13"/>
      <c r="C512" s="13"/>
    </row>
    <row r="513" spans="1:3" ht="13" x14ac:dyDescent="0.15">
      <c r="A513" s="10"/>
      <c r="B513" s="13"/>
      <c r="C513" s="13"/>
    </row>
    <row r="514" spans="1:3" ht="13" x14ac:dyDescent="0.15">
      <c r="A514" s="10"/>
      <c r="B514" s="13"/>
      <c r="C514" s="13"/>
    </row>
    <row r="515" spans="1:3" ht="13" x14ac:dyDescent="0.15">
      <c r="A515" s="10"/>
      <c r="B515" s="13"/>
      <c r="C515" s="13"/>
    </row>
    <row r="516" spans="1:3" ht="13" x14ac:dyDescent="0.15">
      <c r="A516" s="10"/>
      <c r="B516" s="13"/>
      <c r="C516" s="13"/>
    </row>
    <row r="517" spans="1:3" ht="13" x14ac:dyDescent="0.15">
      <c r="A517" s="10"/>
      <c r="B517" s="13"/>
      <c r="C517" s="13"/>
    </row>
    <row r="518" spans="1:3" ht="13" x14ac:dyDescent="0.15">
      <c r="A518" s="10"/>
      <c r="B518" s="13"/>
      <c r="C518" s="13"/>
    </row>
    <row r="519" spans="1:3" ht="13" x14ac:dyDescent="0.15">
      <c r="A519" s="10"/>
      <c r="B519" s="13"/>
      <c r="C519" s="13"/>
    </row>
    <row r="520" spans="1:3" ht="13" x14ac:dyDescent="0.15">
      <c r="A520" s="10"/>
      <c r="B520" s="13"/>
      <c r="C520" s="13"/>
    </row>
    <row r="521" spans="1:3" ht="13" x14ac:dyDescent="0.15">
      <c r="A521" s="10"/>
      <c r="B521" s="13"/>
      <c r="C521" s="13"/>
    </row>
    <row r="522" spans="1:3" ht="13" x14ac:dyDescent="0.15">
      <c r="A522" s="10"/>
      <c r="B522" s="13"/>
      <c r="C522" s="13"/>
    </row>
    <row r="523" spans="1:3" ht="13" x14ac:dyDescent="0.15">
      <c r="A523" s="10"/>
      <c r="B523" s="13"/>
      <c r="C523" s="13"/>
    </row>
    <row r="524" spans="1:3" ht="13" x14ac:dyDescent="0.15">
      <c r="A524" s="10"/>
      <c r="B524" s="13"/>
      <c r="C524" s="13"/>
    </row>
    <row r="525" spans="1:3" ht="13" x14ac:dyDescent="0.15">
      <c r="A525" s="10"/>
      <c r="B525" s="13"/>
      <c r="C525" s="13"/>
    </row>
    <row r="526" spans="1:3" ht="13" x14ac:dyDescent="0.15">
      <c r="A526" s="10"/>
      <c r="B526" s="13"/>
      <c r="C526" s="13"/>
    </row>
    <row r="527" spans="1:3" ht="13" x14ac:dyDescent="0.15">
      <c r="A527" s="10"/>
      <c r="B527" s="13"/>
      <c r="C527" s="13"/>
    </row>
    <row r="528" spans="1:3" ht="13" x14ac:dyDescent="0.15">
      <c r="A528" s="10"/>
      <c r="B528" s="13"/>
      <c r="C528" s="13"/>
    </row>
    <row r="529" spans="1:3" ht="13" x14ac:dyDescent="0.15">
      <c r="A529" s="10"/>
      <c r="B529" s="13"/>
      <c r="C529" s="13"/>
    </row>
    <row r="530" spans="1:3" ht="13" x14ac:dyDescent="0.15">
      <c r="A530" s="10"/>
      <c r="B530" s="13"/>
      <c r="C530" s="13"/>
    </row>
    <row r="531" spans="1:3" ht="13" x14ac:dyDescent="0.15">
      <c r="A531" s="10"/>
      <c r="B531" s="13"/>
      <c r="C531" s="13"/>
    </row>
    <row r="532" spans="1:3" ht="13" x14ac:dyDescent="0.15">
      <c r="A532" s="10"/>
      <c r="B532" s="13"/>
      <c r="C532" s="13"/>
    </row>
    <row r="533" spans="1:3" ht="13" x14ac:dyDescent="0.15">
      <c r="A533" s="10"/>
      <c r="B533" s="13"/>
      <c r="C533" s="13"/>
    </row>
    <row r="534" spans="1:3" ht="13" x14ac:dyDescent="0.15">
      <c r="A534" s="10"/>
      <c r="B534" s="13"/>
      <c r="C534" s="13"/>
    </row>
    <row r="535" spans="1:3" ht="13" x14ac:dyDescent="0.15">
      <c r="A535" s="10"/>
      <c r="B535" s="13"/>
      <c r="C535" s="13"/>
    </row>
    <row r="536" spans="1:3" ht="13" x14ac:dyDescent="0.15">
      <c r="A536" s="10"/>
      <c r="B536" s="13"/>
      <c r="C536" s="13"/>
    </row>
    <row r="537" spans="1:3" ht="13" x14ac:dyDescent="0.15">
      <c r="A537" s="10"/>
      <c r="B537" s="13"/>
      <c r="C537" s="13"/>
    </row>
    <row r="538" spans="1:3" ht="13" x14ac:dyDescent="0.15">
      <c r="A538" s="10"/>
      <c r="B538" s="13"/>
      <c r="C538" s="13"/>
    </row>
    <row r="539" spans="1:3" ht="13" x14ac:dyDescent="0.15">
      <c r="A539" s="10"/>
      <c r="B539" s="13"/>
      <c r="C539" s="13"/>
    </row>
    <row r="540" spans="1:3" ht="13" x14ac:dyDescent="0.15">
      <c r="A540" s="10"/>
      <c r="B540" s="13"/>
      <c r="C540" s="13"/>
    </row>
    <row r="541" spans="1:3" ht="13" x14ac:dyDescent="0.15">
      <c r="A541" s="10"/>
      <c r="B541" s="13"/>
      <c r="C541" s="13"/>
    </row>
    <row r="542" spans="1:3" ht="13" x14ac:dyDescent="0.15">
      <c r="A542" s="10"/>
      <c r="B542" s="13"/>
      <c r="C542" s="13"/>
    </row>
    <row r="543" spans="1:3" ht="13" x14ac:dyDescent="0.15">
      <c r="A543" s="10"/>
      <c r="B543" s="13"/>
      <c r="C543" s="13"/>
    </row>
    <row r="544" spans="1:3" ht="13" x14ac:dyDescent="0.15">
      <c r="A544" s="10"/>
      <c r="B544" s="13"/>
      <c r="C544" s="13"/>
    </row>
    <row r="545" spans="1:3" ht="13" x14ac:dyDescent="0.15">
      <c r="A545" s="10"/>
      <c r="B545" s="13"/>
      <c r="C545" s="13"/>
    </row>
    <row r="546" spans="1:3" ht="13" x14ac:dyDescent="0.15">
      <c r="A546" s="10"/>
      <c r="B546" s="13"/>
      <c r="C546" s="13"/>
    </row>
    <row r="547" spans="1:3" ht="13" x14ac:dyDescent="0.15">
      <c r="A547" s="10"/>
      <c r="B547" s="13"/>
      <c r="C547" s="13"/>
    </row>
    <row r="548" spans="1:3" ht="13" x14ac:dyDescent="0.15">
      <c r="A548" s="10"/>
      <c r="B548" s="13"/>
      <c r="C548" s="13"/>
    </row>
    <row r="549" spans="1:3" ht="13" x14ac:dyDescent="0.15">
      <c r="A549" s="10"/>
      <c r="B549" s="13"/>
      <c r="C549" s="13"/>
    </row>
    <row r="550" spans="1:3" ht="13" x14ac:dyDescent="0.15">
      <c r="A550" s="10"/>
      <c r="B550" s="13"/>
      <c r="C550" s="13"/>
    </row>
    <row r="551" spans="1:3" ht="13" x14ac:dyDescent="0.15">
      <c r="A551" s="10"/>
      <c r="B551" s="13"/>
      <c r="C551" s="13"/>
    </row>
    <row r="552" spans="1:3" ht="13" x14ac:dyDescent="0.15">
      <c r="A552" s="10"/>
      <c r="B552" s="13"/>
      <c r="C552" s="13"/>
    </row>
    <row r="553" spans="1:3" ht="13" x14ac:dyDescent="0.15">
      <c r="A553" s="10"/>
      <c r="B553" s="13"/>
      <c r="C553" s="13"/>
    </row>
    <row r="554" spans="1:3" ht="13" x14ac:dyDescent="0.15">
      <c r="A554" s="10"/>
      <c r="B554" s="13"/>
      <c r="C554" s="13"/>
    </row>
    <row r="555" spans="1:3" ht="13" x14ac:dyDescent="0.15">
      <c r="A555" s="10"/>
      <c r="B555" s="13"/>
      <c r="C555" s="13"/>
    </row>
    <row r="556" spans="1:3" ht="13" x14ac:dyDescent="0.15">
      <c r="A556" s="10"/>
      <c r="B556" s="13"/>
      <c r="C556" s="13"/>
    </row>
    <row r="557" spans="1:3" ht="13" x14ac:dyDescent="0.15">
      <c r="A557" s="10"/>
      <c r="B557" s="13"/>
      <c r="C557" s="13"/>
    </row>
    <row r="558" spans="1:3" ht="13" x14ac:dyDescent="0.15">
      <c r="A558" s="10"/>
      <c r="B558" s="13"/>
      <c r="C558" s="13"/>
    </row>
    <row r="559" spans="1:3" ht="13" x14ac:dyDescent="0.15">
      <c r="A559" s="10"/>
      <c r="B559" s="13"/>
      <c r="C559" s="13"/>
    </row>
    <row r="560" spans="1:3" ht="13" x14ac:dyDescent="0.15">
      <c r="A560" s="10"/>
      <c r="B560" s="13"/>
      <c r="C560" s="13"/>
    </row>
    <row r="561" spans="1:3" ht="13" x14ac:dyDescent="0.15">
      <c r="A561" s="10"/>
      <c r="B561" s="13"/>
      <c r="C561" s="13"/>
    </row>
    <row r="562" spans="1:3" ht="13" x14ac:dyDescent="0.15">
      <c r="A562" s="10"/>
      <c r="B562" s="13"/>
      <c r="C562" s="13"/>
    </row>
    <row r="563" spans="1:3" ht="13" x14ac:dyDescent="0.15">
      <c r="A563" s="10"/>
      <c r="B563" s="13"/>
      <c r="C563" s="13"/>
    </row>
    <row r="564" spans="1:3" ht="13" x14ac:dyDescent="0.15">
      <c r="A564" s="10"/>
      <c r="B564" s="13"/>
      <c r="C564" s="13"/>
    </row>
    <row r="565" spans="1:3" ht="13" x14ac:dyDescent="0.15">
      <c r="A565" s="10"/>
      <c r="B565" s="13"/>
      <c r="C565" s="13"/>
    </row>
    <row r="566" spans="1:3" ht="13" x14ac:dyDescent="0.15">
      <c r="A566" s="10"/>
      <c r="B566" s="13"/>
      <c r="C566" s="13"/>
    </row>
    <row r="567" spans="1:3" ht="13" x14ac:dyDescent="0.15">
      <c r="A567" s="10"/>
      <c r="B567" s="13"/>
      <c r="C567" s="13"/>
    </row>
    <row r="568" spans="1:3" ht="13" x14ac:dyDescent="0.15">
      <c r="A568" s="10"/>
      <c r="B568" s="13"/>
      <c r="C568" s="13"/>
    </row>
    <row r="569" spans="1:3" ht="13" x14ac:dyDescent="0.15">
      <c r="A569" s="10"/>
      <c r="B569" s="13"/>
      <c r="C569" s="13"/>
    </row>
    <row r="570" spans="1:3" ht="13" x14ac:dyDescent="0.15">
      <c r="A570" s="10"/>
      <c r="B570" s="13"/>
      <c r="C570" s="13"/>
    </row>
    <row r="571" spans="1:3" ht="13" x14ac:dyDescent="0.15">
      <c r="A571" s="10"/>
      <c r="B571" s="13"/>
      <c r="C571" s="13"/>
    </row>
    <row r="572" spans="1:3" ht="13" x14ac:dyDescent="0.15">
      <c r="A572" s="10"/>
      <c r="B572" s="13"/>
      <c r="C572" s="13"/>
    </row>
    <row r="573" spans="1:3" ht="13" x14ac:dyDescent="0.15">
      <c r="A573" s="10"/>
      <c r="B573" s="13"/>
      <c r="C573" s="13"/>
    </row>
    <row r="574" spans="1:3" ht="13" x14ac:dyDescent="0.15">
      <c r="A574" s="10"/>
      <c r="B574" s="13"/>
      <c r="C574" s="13"/>
    </row>
    <row r="575" spans="1:3" ht="13" x14ac:dyDescent="0.15">
      <c r="A575" s="10"/>
      <c r="B575" s="13"/>
      <c r="C575" s="13"/>
    </row>
    <row r="576" spans="1:3" ht="13" x14ac:dyDescent="0.15">
      <c r="A576" s="10"/>
      <c r="B576" s="13"/>
      <c r="C576" s="13"/>
    </row>
    <row r="577" spans="1:3" ht="13" x14ac:dyDescent="0.15">
      <c r="A577" s="10"/>
      <c r="B577" s="13"/>
      <c r="C577" s="13"/>
    </row>
    <row r="578" spans="1:3" ht="13" x14ac:dyDescent="0.15">
      <c r="A578" s="10"/>
      <c r="B578" s="13"/>
      <c r="C578" s="13"/>
    </row>
    <row r="579" spans="1:3" ht="13" x14ac:dyDescent="0.15">
      <c r="A579" s="10"/>
      <c r="B579" s="13"/>
      <c r="C579" s="13"/>
    </row>
    <row r="580" spans="1:3" ht="13" x14ac:dyDescent="0.15">
      <c r="A580" s="10"/>
      <c r="B580" s="13"/>
      <c r="C580" s="13"/>
    </row>
    <row r="581" spans="1:3" ht="13" x14ac:dyDescent="0.15">
      <c r="A581" s="10"/>
      <c r="B581" s="13"/>
      <c r="C581" s="13"/>
    </row>
    <row r="582" spans="1:3" ht="13" x14ac:dyDescent="0.15">
      <c r="A582" s="10"/>
      <c r="B582" s="13"/>
      <c r="C582" s="13"/>
    </row>
    <row r="583" spans="1:3" ht="13" x14ac:dyDescent="0.15">
      <c r="A583" s="10"/>
      <c r="B583" s="13"/>
      <c r="C583" s="13"/>
    </row>
    <row r="584" spans="1:3" ht="13" x14ac:dyDescent="0.15">
      <c r="A584" s="10"/>
      <c r="B584" s="13"/>
      <c r="C584" s="13"/>
    </row>
    <row r="585" spans="1:3" ht="13" x14ac:dyDescent="0.15">
      <c r="A585" s="10"/>
      <c r="B585" s="13"/>
      <c r="C585" s="13"/>
    </row>
    <row r="586" spans="1:3" ht="13" x14ac:dyDescent="0.15">
      <c r="A586" s="10"/>
      <c r="B586" s="13"/>
      <c r="C586" s="13"/>
    </row>
    <row r="587" spans="1:3" ht="13" x14ac:dyDescent="0.15">
      <c r="A587" s="10"/>
      <c r="B587" s="13"/>
      <c r="C587" s="13"/>
    </row>
    <row r="588" spans="1:3" ht="13" x14ac:dyDescent="0.15">
      <c r="A588" s="10"/>
      <c r="B588" s="13"/>
      <c r="C588" s="13"/>
    </row>
    <row r="589" spans="1:3" ht="13" x14ac:dyDescent="0.15">
      <c r="A589" s="10"/>
      <c r="B589" s="13"/>
      <c r="C589" s="13"/>
    </row>
    <row r="590" spans="1:3" ht="13" x14ac:dyDescent="0.15">
      <c r="A590" s="10"/>
      <c r="B590" s="13"/>
      <c r="C590" s="13"/>
    </row>
    <row r="591" spans="1:3" ht="13" x14ac:dyDescent="0.15">
      <c r="A591" s="10"/>
      <c r="B591" s="13"/>
      <c r="C591" s="13"/>
    </row>
    <row r="592" spans="1:3" ht="13" x14ac:dyDescent="0.15">
      <c r="A592" s="10"/>
      <c r="B592" s="13"/>
      <c r="C592" s="13"/>
    </row>
    <row r="593" spans="1:3" ht="13" x14ac:dyDescent="0.15">
      <c r="A593" s="10"/>
      <c r="B593" s="13"/>
      <c r="C593" s="13"/>
    </row>
    <row r="594" spans="1:3" ht="13" x14ac:dyDescent="0.15">
      <c r="A594" s="10"/>
      <c r="B594" s="13"/>
      <c r="C594" s="13"/>
    </row>
    <row r="595" spans="1:3" ht="13" x14ac:dyDescent="0.15">
      <c r="A595" s="10"/>
      <c r="B595" s="13"/>
      <c r="C595" s="13"/>
    </row>
    <row r="596" spans="1:3" ht="13" x14ac:dyDescent="0.15">
      <c r="A596" s="10"/>
      <c r="B596" s="13"/>
      <c r="C596" s="13"/>
    </row>
    <row r="597" spans="1:3" ht="13" x14ac:dyDescent="0.15">
      <c r="A597" s="10"/>
      <c r="B597" s="13"/>
      <c r="C597" s="13"/>
    </row>
    <row r="598" spans="1:3" ht="13" x14ac:dyDescent="0.15">
      <c r="A598" s="10"/>
      <c r="B598" s="13"/>
      <c r="C598" s="13"/>
    </row>
    <row r="599" spans="1:3" ht="13" x14ac:dyDescent="0.15">
      <c r="A599" s="10"/>
      <c r="B599" s="13"/>
      <c r="C599" s="13"/>
    </row>
    <row r="600" spans="1:3" ht="13" x14ac:dyDescent="0.15">
      <c r="A600" s="10"/>
      <c r="B600" s="13"/>
      <c r="C600" s="13"/>
    </row>
    <row r="601" spans="1:3" ht="13" x14ac:dyDescent="0.15">
      <c r="A601" s="10"/>
      <c r="B601" s="13"/>
      <c r="C601" s="13"/>
    </row>
    <row r="602" spans="1:3" ht="13" x14ac:dyDescent="0.15">
      <c r="A602" s="10"/>
      <c r="B602" s="13"/>
      <c r="C602" s="13"/>
    </row>
    <row r="603" spans="1:3" ht="13" x14ac:dyDescent="0.15">
      <c r="A603" s="10"/>
      <c r="B603" s="13"/>
      <c r="C603" s="13"/>
    </row>
    <row r="604" spans="1:3" ht="13" x14ac:dyDescent="0.15">
      <c r="A604" s="10"/>
      <c r="B604" s="13"/>
      <c r="C604" s="13"/>
    </row>
    <row r="605" spans="1:3" ht="13" x14ac:dyDescent="0.15">
      <c r="A605" s="10"/>
      <c r="B605" s="13"/>
      <c r="C605" s="13"/>
    </row>
    <row r="606" spans="1:3" ht="13" x14ac:dyDescent="0.15">
      <c r="A606" s="10"/>
      <c r="B606" s="13"/>
      <c r="C606" s="13"/>
    </row>
    <row r="607" spans="1:3" ht="13" x14ac:dyDescent="0.15">
      <c r="A607" s="10"/>
      <c r="B607" s="13"/>
      <c r="C607" s="13"/>
    </row>
    <row r="608" spans="1:3" ht="13" x14ac:dyDescent="0.15">
      <c r="A608" s="10"/>
      <c r="B608" s="13"/>
      <c r="C608" s="13"/>
    </row>
    <row r="609" spans="1:3" ht="13" x14ac:dyDescent="0.15">
      <c r="A609" s="10"/>
      <c r="B609" s="13"/>
      <c r="C609" s="13"/>
    </row>
    <row r="610" spans="1:3" ht="13" x14ac:dyDescent="0.15">
      <c r="A610" s="10"/>
      <c r="B610" s="13"/>
      <c r="C610" s="13"/>
    </row>
    <row r="611" spans="1:3" ht="13" x14ac:dyDescent="0.15">
      <c r="A611" s="10"/>
      <c r="B611" s="13"/>
      <c r="C611" s="13"/>
    </row>
    <row r="612" spans="1:3" ht="13" x14ac:dyDescent="0.15">
      <c r="A612" s="10"/>
      <c r="B612" s="13"/>
      <c r="C612" s="13"/>
    </row>
    <row r="613" spans="1:3" ht="13" x14ac:dyDescent="0.15">
      <c r="A613" s="10"/>
      <c r="B613" s="13"/>
      <c r="C613" s="13"/>
    </row>
    <row r="614" spans="1:3" ht="13" x14ac:dyDescent="0.15">
      <c r="A614" s="10"/>
      <c r="B614" s="13"/>
      <c r="C614" s="13"/>
    </row>
    <row r="615" spans="1:3" ht="13" x14ac:dyDescent="0.15">
      <c r="A615" s="10"/>
      <c r="B615" s="13"/>
      <c r="C615" s="13"/>
    </row>
    <row r="616" spans="1:3" ht="13" x14ac:dyDescent="0.15">
      <c r="A616" s="10"/>
      <c r="B616" s="13"/>
      <c r="C616" s="13"/>
    </row>
    <row r="617" spans="1:3" ht="13" x14ac:dyDescent="0.15">
      <c r="A617" s="10"/>
      <c r="B617" s="13"/>
      <c r="C617" s="13"/>
    </row>
    <row r="618" spans="1:3" ht="13" x14ac:dyDescent="0.15">
      <c r="A618" s="10"/>
      <c r="B618" s="13"/>
      <c r="C618" s="13"/>
    </row>
    <row r="619" spans="1:3" ht="13" x14ac:dyDescent="0.15">
      <c r="A619" s="10"/>
      <c r="B619" s="13"/>
      <c r="C619" s="13"/>
    </row>
    <row r="620" spans="1:3" ht="13" x14ac:dyDescent="0.15">
      <c r="A620" s="10"/>
      <c r="B620" s="13"/>
      <c r="C620" s="13"/>
    </row>
    <row r="621" spans="1:3" ht="13" x14ac:dyDescent="0.15">
      <c r="A621" s="10"/>
      <c r="B621" s="13"/>
      <c r="C621" s="13"/>
    </row>
    <row r="622" spans="1:3" ht="13" x14ac:dyDescent="0.15">
      <c r="A622" s="10"/>
      <c r="B622" s="13"/>
      <c r="C622" s="13"/>
    </row>
    <row r="623" spans="1:3" ht="13" x14ac:dyDescent="0.15">
      <c r="A623" s="10"/>
      <c r="B623" s="13"/>
      <c r="C623" s="13"/>
    </row>
    <row r="624" spans="1:3" ht="13" x14ac:dyDescent="0.15">
      <c r="A624" s="10"/>
      <c r="B624" s="13"/>
      <c r="C624" s="13"/>
    </row>
    <row r="625" spans="1:3" ht="13" x14ac:dyDescent="0.15">
      <c r="A625" s="10"/>
      <c r="B625" s="13"/>
      <c r="C625" s="13"/>
    </row>
    <row r="626" spans="1:3" ht="13" x14ac:dyDescent="0.15">
      <c r="A626" s="10"/>
      <c r="B626" s="13"/>
      <c r="C626" s="13"/>
    </row>
    <row r="627" spans="1:3" ht="13" x14ac:dyDescent="0.15">
      <c r="A627" s="10"/>
      <c r="B627" s="13"/>
      <c r="C627" s="13"/>
    </row>
    <row r="628" spans="1:3" ht="13" x14ac:dyDescent="0.15">
      <c r="A628" s="10"/>
      <c r="B628" s="13"/>
      <c r="C628" s="13"/>
    </row>
    <row r="629" spans="1:3" ht="13" x14ac:dyDescent="0.15">
      <c r="A629" s="10"/>
      <c r="B629" s="13"/>
      <c r="C629" s="13"/>
    </row>
    <row r="630" spans="1:3" ht="13" x14ac:dyDescent="0.15">
      <c r="A630" s="10"/>
      <c r="B630" s="13"/>
      <c r="C630" s="13"/>
    </row>
    <row r="631" spans="1:3" ht="13" x14ac:dyDescent="0.15">
      <c r="A631" s="10"/>
      <c r="B631" s="13"/>
      <c r="C631" s="13"/>
    </row>
    <row r="632" spans="1:3" ht="13" x14ac:dyDescent="0.15">
      <c r="A632" s="10"/>
      <c r="B632" s="13"/>
      <c r="C632" s="13"/>
    </row>
    <row r="633" spans="1:3" ht="13" x14ac:dyDescent="0.15">
      <c r="A633" s="10"/>
      <c r="B633" s="13"/>
      <c r="C633" s="13"/>
    </row>
    <row r="634" spans="1:3" ht="13" x14ac:dyDescent="0.15">
      <c r="A634" s="10"/>
      <c r="B634" s="13"/>
      <c r="C634" s="13"/>
    </row>
    <row r="635" spans="1:3" ht="13" x14ac:dyDescent="0.15">
      <c r="A635" s="10"/>
      <c r="B635" s="13"/>
      <c r="C635" s="13"/>
    </row>
    <row r="636" spans="1:3" ht="13" x14ac:dyDescent="0.15">
      <c r="A636" s="10"/>
      <c r="B636" s="13"/>
      <c r="C636" s="13"/>
    </row>
    <row r="637" spans="1:3" ht="13" x14ac:dyDescent="0.15">
      <c r="A637" s="10"/>
      <c r="B637" s="13"/>
      <c r="C637" s="13"/>
    </row>
    <row r="638" spans="1:3" ht="13" x14ac:dyDescent="0.15">
      <c r="A638" s="10"/>
      <c r="B638" s="13"/>
      <c r="C638" s="13"/>
    </row>
    <row r="639" spans="1:3" ht="13" x14ac:dyDescent="0.15">
      <c r="A639" s="10"/>
      <c r="B639" s="13"/>
      <c r="C639" s="13"/>
    </row>
    <row r="640" spans="1:3" ht="13" x14ac:dyDescent="0.15">
      <c r="A640" s="10"/>
      <c r="B640" s="13"/>
      <c r="C640" s="13"/>
    </row>
    <row r="641" spans="1:3" ht="13" x14ac:dyDescent="0.15">
      <c r="A641" s="10"/>
      <c r="B641" s="13"/>
      <c r="C641" s="13"/>
    </row>
    <row r="642" spans="1:3" ht="13" x14ac:dyDescent="0.15">
      <c r="A642" s="10"/>
      <c r="B642" s="13"/>
      <c r="C642" s="13"/>
    </row>
    <row r="643" spans="1:3" ht="13" x14ac:dyDescent="0.15">
      <c r="A643" s="10"/>
      <c r="B643" s="13"/>
      <c r="C643" s="13"/>
    </row>
    <row r="644" spans="1:3" ht="13" x14ac:dyDescent="0.15">
      <c r="A644" s="10"/>
      <c r="B644" s="13"/>
      <c r="C644" s="13"/>
    </row>
    <row r="645" spans="1:3" ht="13" x14ac:dyDescent="0.15">
      <c r="A645" s="10"/>
      <c r="B645" s="13"/>
      <c r="C645" s="13"/>
    </row>
    <row r="646" spans="1:3" ht="13" x14ac:dyDescent="0.15">
      <c r="A646" s="10"/>
      <c r="B646" s="13"/>
      <c r="C646" s="13"/>
    </row>
    <row r="647" spans="1:3" ht="13" x14ac:dyDescent="0.15">
      <c r="A647" s="10"/>
      <c r="B647" s="13"/>
      <c r="C647" s="13"/>
    </row>
    <row r="648" spans="1:3" ht="13" x14ac:dyDescent="0.15">
      <c r="A648" s="10"/>
      <c r="B648" s="13"/>
      <c r="C648" s="13"/>
    </row>
    <row r="649" spans="1:3" ht="13" x14ac:dyDescent="0.15">
      <c r="A649" s="10"/>
      <c r="B649" s="13"/>
      <c r="C649" s="13"/>
    </row>
    <row r="650" spans="1:3" ht="13" x14ac:dyDescent="0.15">
      <c r="A650" s="10"/>
      <c r="B650" s="13"/>
      <c r="C650" s="13"/>
    </row>
    <row r="651" spans="1:3" ht="13" x14ac:dyDescent="0.15">
      <c r="A651" s="10"/>
      <c r="B651" s="13"/>
      <c r="C651" s="13"/>
    </row>
    <row r="652" spans="1:3" ht="13" x14ac:dyDescent="0.15">
      <c r="A652" s="10"/>
      <c r="B652" s="13"/>
      <c r="C652" s="13"/>
    </row>
    <row r="653" spans="1:3" ht="13" x14ac:dyDescent="0.15">
      <c r="A653" s="10"/>
      <c r="B653" s="13"/>
      <c r="C653" s="13"/>
    </row>
    <row r="654" spans="1:3" ht="13" x14ac:dyDescent="0.15">
      <c r="A654" s="10"/>
      <c r="B654" s="13"/>
      <c r="C654" s="13"/>
    </row>
    <row r="655" spans="1:3" ht="13" x14ac:dyDescent="0.15">
      <c r="A655" s="10"/>
      <c r="B655" s="13"/>
      <c r="C655" s="13"/>
    </row>
    <row r="656" spans="1:3" ht="13" x14ac:dyDescent="0.15">
      <c r="A656" s="10"/>
      <c r="B656" s="13"/>
      <c r="C656" s="13"/>
    </row>
    <row r="657" spans="1:3" ht="13" x14ac:dyDescent="0.15">
      <c r="A657" s="10"/>
      <c r="B657" s="13"/>
      <c r="C657" s="13"/>
    </row>
    <row r="658" spans="1:3" ht="13" x14ac:dyDescent="0.15">
      <c r="A658" s="10"/>
      <c r="B658" s="13"/>
      <c r="C658" s="13"/>
    </row>
    <row r="659" spans="1:3" ht="13" x14ac:dyDescent="0.15">
      <c r="A659" s="10"/>
      <c r="B659" s="13"/>
      <c r="C659" s="13"/>
    </row>
    <row r="660" spans="1:3" ht="13" x14ac:dyDescent="0.15">
      <c r="A660" s="10"/>
      <c r="B660" s="13"/>
      <c r="C660" s="13"/>
    </row>
    <row r="661" spans="1:3" ht="13" x14ac:dyDescent="0.15">
      <c r="A661" s="10"/>
      <c r="B661" s="13"/>
      <c r="C661" s="13"/>
    </row>
    <row r="662" spans="1:3" ht="13" x14ac:dyDescent="0.15">
      <c r="A662" s="10"/>
      <c r="B662" s="13"/>
      <c r="C662" s="13"/>
    </row>
    <row r="663" spans="1:3" ht="13" x14ac:dyDescent="0.15">
      <c r="A663" s="10"/>
      <c r="B663" s="13"/>
      <c r="C663" s="13"/>
    </row>
    <row r="664" spans="1:3" ht="13" x14ac:dyDescent="0.15">
      <c r="A664" s="10"/>
      <c r="B664" s="13"/>
      <c r="C664" s="13"/>
    </row>
    <row r="665" spans="1:3" ht="13" x14ac:dyDescent="0.15">
      <c r="A665" s="10"/>
      <c r="B665" s="13"/>
      <c r="C665" s="13"/>
    </row>
    <row r="666" spans="1:3" ht="13" x14ac:dyDescent="0.15">
      <c r="A666" s="10"/>
      <c r="B666" s="13"/>
      <c r="C666" s="13"/>
    </row>
    <row r="667" spans="1:3" ht="13" x14ac:dyDescent="0.15">
      <c r="A667" s="10"/>
      <c r="B667" s="13"/>
      <c r="C667" s="13"/>
    </row>
    <row r="668" spans="1:3" ht="13" x14ac:dyDescent="0.15">
      <c r="A668" s="10"/>
      <c r="B668" s="13"/>
      <c r="C668" s="13"/>
    </row>
    <row r="669" spans="1:3" ht="13" x14ac:dyDescent="0.15">
      <c r="A669" s="10"/>
      <c r="B669" s="13"/>
      <c r="C669" s="13"/>
    </row>
    <row r="670" spans="1:3" ht="13" x14ac:dyDescent="0.15">
      <c r="A670" s="10"/>
      <c r="B670" s="13"/>
      <c r="C670" s="13"/>
    </row>
    <row r="671" spans="1:3" ht="13" x14ac:dyDescent="0.15">
      <c r="A671" s="10"/>
      <c r="B671" s="13"/>
      <c r="C671" s="13"/>
    </row>
    <row r="672" spans="1:3" ht="13" x14ac:dyDescent="0.15">
      <c r="A672" s="10"/>
      <c r="B672" s="13"/>
      <c r="C672" s="13"/>
    </row>
    <row r="673" spans="1:3" ht="13" x14ac:dyDescent="0.15">
      <c r="A673" s="10"/>
      <c r="B673" s="13"/>
      <c r="C673" s="13"/>
    </row>
    <row r="674" spans="1:3" ht="13" x14ac:dyDescent="0.15">
      <c r="A674" s="10"/>
      <c r="B674" s="13"/>
      <c r="C674" s="13"/>
    </row>
    <row r="675" spans="1:3" ht="13" x14ac:dyDescent="0.15">
      <c r="A675" s="10"/>
      <c r="B675" s="13"/>
      <c r="C675" s="13"/>
    </row>
    <row r="676" spans="1:3" ht="13" x14ac:dyDescent="0.15">
      <c r="A676" s="10"/>
      <c r="B676" s="13"/>
      <c r="C676" s="13"/>
    </row>
    <row r="677" spans="1:3" ht="13" x14ac:dyDescent="0.15">
      <c r="A677" s="10"/>
      <c r="B677" s="13"/>
      <c r="C677" s="13"/>
    </row>
    <row r="678" spans="1:3" ht="13" x14ac:dyDescent="0.15">
      <c r="A678" s="10"/>
      <c r="B678" s="13"/>
      <c r="C678" s="13"/>
    </row>
    <row r="679" spans="1:3" ht="13" x14ac:dyDescent="0.15">
      <c r="A679" s="10"/>
      <c r="B679" s="13"/>
      <c r="C679" s="13"/>
    </row>
    <row r="680" spans="1:3" ht="13" x14ac:dyDescent="0.15">
      <c r="A680" s="10"/>
      <c r="B680" s="13"/>
      <c r="C680" s="13"/>
    </row>
    <row r="681" spans="1:3" ht="13" x14ac:dyDescent="0.15">
      <c r="A681" s="10"/>
      <c r="B681" s="13"/>
      <c r="C681" s="13"/>
    </row>
    <row r="682" spans="1:3" ht="13" x14ac:dyDescent="0.15">
      <c r="A682" s="10"/>
      <c r="B682" s="13"/>
      <c r="C682" s="13"/>
    </row>
    <row r="683" spans="1:3" ht="13" x14ac:dyDescent="0.15">
      <c r="A683" s="10"/>
      <c r="B683" s="13"/>
      <c r="C683" s="13"/>
    </row>
    <row r="684" spans="1:3" ht="13" x14ac:dyDescent="0.15">
      <c r="A684" s="10"/>
      <c r="B684" s="13"/>
      <c r="C684" s="13"/>
    </row>
    <row r="685" spans="1:3" ht="13" x14ac:dyDescent="0.15">
      <c r="A685" s="10"/>
      <c r="B685" s="13"/>
      <c r="C685" s="13"/>
    </row>
    <row r="686" spans="1:3" ht="13" x14ac:dyDescent="0.15">
      <c r="A686" s="10"/>
      <c r="B686" s="13"/>
      <c r="C686" s="13"/>
    </row>
    <row r="687" spans="1:3" ht="13" x14ac:dyDescent="0.15">
      <c r="A687" s="10"/>
      <c r="B687" s="13"/>
      <c r="C687" s="13"/>
    </row>
    <row r="688" spans="1:3" ht="13" x14ac:dyDescent="0.15">
      <c r="A688" s="10"/>
      <c r="B688" s="13"/>
      <c r="C688" s="13"/>
    </row>
    <row r="689" spans="1:3" ht="13" x14ac:dyDescent="0.15">
      <c r="A689" s="10"/>
      <c r="B689" s="13"/>
      <c r="C689" s="13"/>
    </row>
    <row r="690" spans="1:3" ht="13" x14ac:dyDescent="0.15">
      <c r="A690" s="10"/>
      <c r="B690" s="13"/>
      <c r="C690" s="13"/>
    </row>
    <row r="691" spans="1:3" ht="13" x14ac:dyDescent="0.15">
      <c r="A691" s="10"/>
      <c r="B691" s="13"/>
      <c r="C691" s="13"/>
    </row>
    <row r="692" spans="1:3" ht="13" x14ac:dyDescent="0.15">
      <c r="A692" s="10"/>
      <c r="B692" s="13"/>
      <c r="C692" s="13"/>
    </row>
    <row r="693" spans="1:3" ht="13" x14ac:dyDescent="0.15">
      <c r="A693" s="10"/>
      <c r="B693" s="13"/>
      <c r="C693" s="13"/>
    </row>
    <row r="694" spans="1:3" ht="13" x14ac:dyDescent="0.15">
      <c r="A694" s="10"/>
      <c r="B694" s="13"/>
      <c r="C694" s="13"/>
    </row>
    <row r="695" spans="1:3" ht="13" x14ac:dyDescent="0.15">
      <c r="A695" s="10"/>
      <c r="B695" s="13"/>
      <c r="C695" s="13"/>
    </row>
    <row r="696" spans="1:3" ht="13" x14ac:dyDescent="0.15">
      <c r="A696" s="10"/>
      <c r="B696" s="13"/>
      <c r="C696" s="13"/>
    </row>
    <row r="697" spans="1:3" ht="13" x14ac:dyDescent="0.15">
      <c r="A697" s="10"/>
      <c r="B697" s="13"/>
      <c r="C697" s="13"/>
    </row>
    <row r="698" spans="1:3" ht="13" x14ac:dyDescent="0.15">
      <c r="A698" s="10"/>
      <c r="B698" s="13"/>
      <c r="C698" s="13"/>
    </row>
    <row r="699" spans="1:3" ht="13" x14ac:dyDescent="0.15">
      <c r="A699" s="10"/>
      <c r="B699" s="13"/>
      <c r="C699" s="13"/>
    </row>
    <row r="700" spans="1:3" ht="13" x14ac:dyDescent="0.15">
      <c r="A700" s="10"/>
      <c r="B700" s="13"/>
      <c r="C700" s="13"/>
    </row>
    <row r="701" spans="1:3" ht="13" x14ac:dyDescent="0.15">
      <c r="A701" s="10"/>
      <c r="B701" s="13"/>
      <c r="C701" s="13"/>
    </row>
    <row r="702" spans="1:3" ht="13" x14ac:dyDescent="0.15">
      <c r="A702" s="10"/>
      <c r="B702" s="13"/>
      <c r="C702" s="13"/>
    </row>
    <row r="703" spans="1:3" ht="13" x14ac:dyDescent="0.15">
      <c r="A703" s="10"/>
      <c r="B703" s="13"/>
      <c r="C703" s="13"/>
    </row>
    <row r="704" spans="1:3" ht="13" x14ac:dyDescent="0.15">
      <c r="A704" s="10"/>
      <c r="B704" s="13"/>
      <c r="C704" s="13"/>
    </row>
    <row r="705" spans="1:3" ht="13" x14ac:dyDescent="0.15">
      <c r="A705" s="10"/>
      <c r="B705" s="13"/>
      <c r="C705" s="13"/>
    </row>
    <row r="706" spans="1:3" ht="13" x14ac:dyDescent="0.15">
      <c r="A706" s="10"/>
      <c r="B706" s="13"/>
      <c r="C706" s="13"/>
    </row>
    <row r="707" spans="1:3" ht="13" x14ac:dyDescent="0.15">
      <c r="A707" s="10"/>
      <c r="B707" s="13"/>
      <c r="C707" s="13"/>
    </row>
    <row r="708" spans="1:3" ht="13" x14ac:dyDescent="0.15">
      <c r="A708" s="10"/>
      <c r="B708" s="13"/>
      <c r="C708" s="13"/>
    </row>
    <row r="709" spans="1:3" ht="13" x14ac:dyDescent="0.15">
      <c r="A709" s="10"/>
      <c r="B709" s="13"/>
      <c r="C709" s="13"/>
    </row>
    <row r="710" spans="1:3" ht="13" x14ac:dyDescent="0.15">
      <c r="A710" s="10"/>
      <c r="B710" s="13"/>
      <c r="C710" s="13"/>
    </row>
    <row r="711" spans="1:3" ht="13" x14ac:dyDescent="0.15">
      <c r="A711" s="10"/>
      <c r="B711" s="13"/>
      <c r="C711" s="13"/>
    </row>
    <row r="712" spans="1:3" ht="13" x14ac:dyDescent="0.15">
      <c r="A712" s="10"/>
      <c r="B712" s="13"/>
      <c r="C712" s="13"/>
    </row>
    <row r="713" spans="1:3" ht="13" x14ac:dyDescent="0.15">
      <c r="A713" s="10"/>
      <c r="B713" s="13"/>
      <c r="C713" s="13"/>
    </row>
    <row r="714" spans="1:3" ht="13" x14ac:dyDescent="0.15">
      <c r="A714" s="10"/>
      <c r="B714" s="13"/>
      <c r="C714" s="13"/>
    </row>
    <row r="715" spans="1:3" ht="13" x14ac:dyDescent="0.15">
      <c r="A715" s="10"/>
      <c r="B715" s="13"/>
      <c r="C715" s="13"/>
    </row>
    <row r="716" spans="1:3" ht="13" x14ac:dyDescent="0.15">
      <c r="A716" s="10"/>
      <c r="B716" s="13"/>
      <c r="C716" s="13"/>
    </row>
    <row r="717" spans="1:3" ht="13" x14ac:dyDescent="0.15">
      <c r="A717" s="10"/>
      <c r="B717" s="13"/>
      <c r="C717" s="13"/>
    </row>
    <row r="718" spans="1:3" ht="13" x14ac:dyDescent="0.15">
      <c r="A718" s="10"/>
      <c r="B718" s="13"/>
      <c r="C718" s="13"/>
    </row>
    <row r="719" spans="1:3" ht="13" x14ac:dyDescent="0.15">
      <c r="A719" s="10"/>
      <c r="B719" s="13"/>
      <c r="C719" s="13"/>
    </row>
    <row r="720" spans="1:3" ht="13" x14ac:dyDescent="0.15">
      <c r="A720" s="10"/>
      <c r="B720" s="13"/>
      <c r="C720" s="13"/>
    </row>
    <row r="721" spans="1:3" ht="13" x14ac:dyDescent="0.15">
      <c r="A721" s="10"/>
      <c r="B721" s="13"/>
      <c r="C721" s="13"/>
    </row>
    <row r="722" spans="1:3" ht="13" x14ac:dyDescent="0.15">
      <c r="A722" s="10"/>
      <c r="B722" s="13"/>
      <c r="C722" s="13"/>
    </row>
    <row r="723" spans="1:3" ht="13" x14ac:dyDescent="0.15">
      <c r="A723" s="10"/>
      <c r="B723" s="13"/>
      <c r="C723" s="13"/>
    </row>
    <row r="724" spans="1:3" ht="13" x14ac:dyDescent="0.15">
      <c r="A724" s="10"/>
      <c r="B724" s="13"/>
      <c r="C724" s="13"/>
    </row>
    <row r="725" spans="1:3" ht="13" x14ac:dyDescent="0.15">
      <c r="A725" s="10"/>
      <c r="B725" s="13"/>
      <c r="C725" s="13"/>
    </row>
    <row r="726" spans="1:3" ht="13" x14ac:dyDescent="0.15">
      <c r="A726" s="10"/>
      <c r="B726" s="13"/>
      <c r="C726" s="13"/>
    </row>
    <row r="727" spans="1:3" ht="13" x14ac:dyDescent="0.15">
      <c r="A727" s="10"/>
      <c r="B727" s="13"/>
      <c r="C727" s="13"/>
    </row>
    <row r="728" spans="1:3" ht="13" x14ac:dyDescent="0.15">
      <c r="A728" s="10"/>
      <c r="B728" s="13"/>
      <c r="C728" s="13"/>
    </row>
    <row r="729" spans="1:3" ht="13" x14ac:dyDescent="0.15">
      <c r="A729" s="10"/>
      <c r="B729" s="13"/>
      <c r="C729" s="13"/>
    </row>
    <row r="730" spans="1:3" ht="13" x14ac:dyDescent="0.15">
      <c r="A730" s="10"/>
      <c r="B730" s="13"/>
      <c r="C730" s="13"/>
    </row>
    <row r="731" spans="1:3" ht="13" x14ac:dyDescent="0.15">
      <c r="A731" s="10"/>
      <c r="B731" s="13"/>
      <c r="C731" s="13"/>
    </row>
    <row r="732" spans="1:3" ht="13" x14ac:dyDescent="0.15">
      <c r="A732" s="10"/>
      <c r="B732" s="13"/>
      <c r="C732" s="13"/>
    </row>
    <row r="733" spans="1:3" ht="13" x14ac:dyDescent="0.15">
      <c r="A733" s="10"/>
      <c r="B733" s="13"/>
      <c r="C733" s="13"/>
    </row>
    <row r="734" spans="1:3" ht="13" x14ac:dyDescent="0.15">
      <c r="A734" s="10"/>
      <c r="B734" s="13"/>
      <c r="C734" s="13"/>
    </row>
    <row r="735" spans="1:3" ht="13" x14ac:dyDescent="0.15">
      <c r="A735" s="10"/>
      <c r="B735" s="13"/>
      <c r="C735" s="13"/>
    </row>
    <row r="736" spans="1:3" ht="13" x14ac:dyDescent="0.15">
      <c r="A736" s="10"/>
      <c r="B736" s="13"/>
      <c r="C736" s="13"/>
    </row>
    <row r="737" spans="1:3" ht="13" x14ac:dyDescent="0.15">
      <c r="A737" s="10"/>
      <c r="B737" s="13"/>
      <c r="C737" s="13"/>
    </row>
    <row r="738" spans="1:3" ht="13" x14ac:dyDescent="0.15">
      <c r="A738" s="10"/>
      <c r="B738" s="13"/>
      <c r="C738" s="13"/>
    </row>
    <row r="739" spans="1:3" ht="13" x14ac:dyDescent="0.15">
      <c r="A739" s="10"/>
      <c r="B739" s="13"/>
      <c r="C739" s="13"/>
    </row>
    <row r="740" spans="1:3" ht="13" x14ac:dyDescent="0.15">
      <c r="A740" s="10"/>
      <c r="B740" s="13"/>
      <c r="C740" s="13"/>
    </row>
    <row r="741" spans="1:3" ht="13" x14ac:dyDescent="0.15">
      <c r="A741" s="10"/>
      <c r="B741" s="13"/>
      <c r="C741" s="13"/>
    </row>
    <row r="742" spans="1:3" ht="13" x14ac:dyDescent="0.15">
      <c r="A742" s="10"/>
      <c r="B742" s="13"/>
      <c r="C742" s="13"/>
    </row>
    <row r="743" spans="1:3" ht="13" x14ac:dyDescent="0.15">
      <c r="A743" s="10"/>
      <c r="B743" s="13"/>
      <c r="C743" s="13"/>
    </row>
    <row r="744" spans="1:3" ht="13" x14ac:dyDescent="0.15">
      <c r="A744" s="10"/>
      <c r="B744" s="13"/>
      <c r="C744" s="13"/>
    </row>
    <row r="745" spans="1:3" ht="13" x14ac:dyDescent="0.15">
      <c r="A745" s="10"/>
      <c r="B745" s="13"/>
      <c r="C745" s="13"/>
    </row>
    <row r="746" spans="1:3" ht="13" x14ac:dyDescent="0.15">
      <c r="A746" s="10"/>
      <c r="B746" s="13"/>
      <c r="C746" s="13"/>
    </row>
    <row r="747" spans="1:3" ht="13" x14ac:dyDescent="0.15">
      <c r="A747" s="10"/>
      <c r="B747" s="13"/>
      <c r="C747" s="13"/>
    </row>
    <row r="748" spans="1:3" ht="13" x14ac:dyDescent="0.15">
      <c r="A748" s="10"/>
      <c r="B748" s="13"/>
      <c r="C748" s="13"/>
    </row>
    <row r="749" spans="1:3" ht="13" x14ac:dyDescent="0.15">
      <c r="A749" s="10"/>
      <c r="B749" s="13"/>
      <c r="C749" s="13"/>
    </row>
    <row r="750" spans="1:3" ht="13" x14ac:dyDescent="0.15">
      <c r="A750" s="10"/>
      <c r="B750" s="13"/>
      <c r="C750" s="13"/>
    </row>
    <row r="751" spans="1:3" ht="13" x14ac:dyDescent="0.15">
      <c r="A751" s="10"/>
      <c r="B751" s="13"/>
      <c r="C751" s="13"/>
    </row>
    <row r="752" spans="1:3" ht="13" x14ac:dyDescent="0.15">
      <c r="A752" s="10"/>
      <c r="B752" s="13"/>
      <c r="C752" s="13"/>
    </row>
    <row r="753" spans="1:3" ht="13" x14ac:dyDescent="0.15">
      <c r="A753" s="10"/>
      <c r="B753" s="13"/>
      <c r="C753" s="13"/>
    </row>
    <row r="754" spans="1:3" ht="13" x14ac:dyDescent="0.15">
      <c r="A754" s="10"/>
      <c r="B754" s="13"/>
      <c r="C754" s="13"/>
    </row>
    <row r="755" spans="1:3" ht="13" x14ac:dyDescent="0.15">
      <c r="A755" s="10"/>
      <c r="B755" s="13"/>
      <c r="C755" s="13"/>
    </row>
    <row r="756" spans="1:3" ht="13" x14ac:dyDescent="0.15">
      <c r="A756" s="10"/>
      <c r="B756" s="13"/>
      <c r="C756" s="13"/>
    </row>
    <row r="757" spans="1:3" ht="13" x14ac:dyDescent="0.15">
      <c r="A757" s="10"/>
      <c r="B757" s="13"/>
      <c r="C757" s="13"/>
    </row>
    <row r="758" spans="1:3" ht="13" x14ac:dyDescent="0.15">
      <c r="A758" s="10"/>
      <c r="B758" s="13"/>
      <c r="C758" s="13"/>
    </row>
    <row r="759" spans="1:3" ht="13" x14ac:dyDescent="0.15">
      <c r="A759" s="10"/>
      <c r="B759" s="13"/>
      <c r="C759" s="13"/>
    </row>
    <row r="760" spans="1:3" ht="13" x14ac:dyDescent="0.15">
      <c r="A760" s="10"/>
      <c r="B760" s="13"/>
      <c r="C760" s="13"/>
    </row>
    <row r="761" spans="1:3" ht="13" x14ac:dyDescent="0.15">
      <c r="A761" s="10"/>
      <c r="B761" s="13"/>
      <c r="C761" s="13"/>
    </row>
    <row r="762" spans="1:3" ht="13" x14ac:dyDescent="0.15">
      <c r="A762" s="10"/>
      <c r="B762" s="13"/>
      <c r="C762" s="13"/>
    </row>
    <row r="763" spans="1:3" ht="13" x14ac:dyDescent="0.15">
      <c r="A763" s="10"/>
      <c r="B763" s="13"/>
      <c r="C763" s="13"/>
    </row>
    <row r="764" spans="1:3" ht="13" x14ac:dyDescent="0.15">
      <c r="A764" s="10"/>
      <c r="B764" s="13"/>
      <c r="C764" s="13"/>
    </row>
    <row r="765" spans="1:3" ht="13" x14ac:dyDescent="0.15">
      <c r="A765" s="10"/>
      <c r="B765" s="13"/>
      <c r="C765" s="13"/>
    </row>
    <row r="766" spans="1:3" ht="13" x14ac:dyDescent="0.15">
      <c r="A766" s="10"/>
      <c r="B766" s="13"/>
      <c r="C766" s="13"/>
    </row>
    <row r="767" spans="1:3" ht="13" x14ac:dyDescent="0.15">
      <c r="A767" s="10"/>
      <c r="B767" s="13"/>
      <c r="C767" s="13"/>
    </row>
    <row r="768" spans="1:3" ht="13" x14ac:dyDescent="0.15">
      <c r="A768" s="10"/>
      <c r="B768" s="13"/>
      <c r="C768" s="13"/>
    </row>
    <row r="769" spans="1:3" ht="13" x14ac:dyDescent="0.15">
      <c r="A769" s="10"/>
      <c r="B769" s="13"/>
      <c r="C769" s="13"/>
    </row>
    <row r="770" spans="1:3" ht="13" x14ac:dyDescent="0.15">
      <c r="A770" s="10"/>
      <c r="B770" s="13"/>
      <c r="C770" s="13"/>
    </row>
    <row r="771" spans="1:3" ht="13" x14ac:dyDescent="0.15">
      <c r="A771" s="10"/>
      <c r="B771" s="13"/>
      <c r="C771" s="13"/>
    </row>
    <row r="772" spans="1:3" ht="13" x14ac:dyDescent="0.15">
      <c r="A772" s="10"/>
      <c r="B772" s="13"/>
      <c r="C772" s="13"/>
    </row>
    <row r="773" spans="1:3" ht="13" x14ac:dyDescent="0.15">
      <c r="A773" s="10"/>
      <c r="B773" s="13"/>
      <c r="C773" s="13"/>
    </row>
    <row r="774" spans="1:3" ht="13" x14ac:dyDescent="0.15">
      <c r="A774" s="10"/>
      <c r="B774" s="13"/>
      <c r="C774" s="13"/>
    </row>
    <row r="775" spans="1:3" ht="13" x14ac:dyDescent="0.15">
      <c r="A775" s="10"/>
      <c r="B775" s="13"/>
      <c r="C775" s="13"/>
    </row>
    <row r="776" spans="1:3" ht="13" x14ac:dyDescent="0.15">
      <c r="A776" s="10"/>
      <c r="B776" s="13"/>
      <c r="C776" s="13"/>
    </row>
    <row r="777" spans="1:3" ht="13" x14ac:dyDescent="0.15">
      <c r="A777" s="10"/>
      <c r="B777" s="13"/>
      <c r="C777" s="13"/>
    </row>
    <row r="778" spans="1:3" ht="13" x14ac:dyDescent="0.15">
      <c r="A778" s="10"/>
      <c r="B778" s="13"/>
      <c r="C778" s="13"/>
    </row>
    <row r="779" spans="1:3" ht="13" x14ac:dyDescent="0.15">
      <c r="A779" s="10"/>
      <c r="B779" s="13"/>
      <c r="C779" s="13"/>
    </row>
    <row r="780" spans="1:3" ht="13" x14ac:dyDescent="0.15">
      <c r="A780" s="10"/>
      <c r="B780" s="13"/>
      <c r="C780" s="13"/>
    </row>
    <row r="781" spans="1:3" ht="13" x14ac:dyDescent="0.15">
      <c r="A781" s="10"/>
      <c r="B781" s="13"/>
      <c r="C781" s="13"/>
    </row>
    <row r="782" spans="1:3" ht="13" x14ac:dyDescent="0.15">
      <c r="A782" s="10"/>
      <c r="B782" s="13"/>
      <c r="C782" s="13"/>
    </row>
    <row r="783" spans="1:3" ht="13" x14ac:dyDescent="0.15">
      <c r="A783" s="10"/>
      <c r="B783" s="13"/>
      <c r="C783" s="13"/>
    </row>
    <row r="784" spans="1:3" ht="13" x14ac:dyDescent="0.15">
      <c r="A784" s="10"/>
      <c r="B784" s="13"/>
      <c r="C784" s="13"/>
    </row>
    <row r="785" spans="1:3" ht="13" x14ac:dyDescent="0.15">
      <c r="A785" s="10"/>
      <c r="B785" s="13"/>
      <c r="C785" s="13"/>
    </row>
    <row r="786" spans="1:3" ht="13" x14ac:dyDescent="0.15">
      <c r="A786" s="10"/>
      <c r="B786" s="13"/>
      <c r="C786" s="13"/>
    </row>
    <row r="787" spans="1:3" ht="13" x14ac:dyDescent="0.15">
      <c r="A787" s="10"/>
      <c r="B787" s="13"/>
      <c r="C787" s="13"/>
    </row>
    <row r="788" spans="1:3" ht="13" x14ac:dyDescent="0.15">
      <c r="A788" s="10"/>
      <c r="B788" s="13"/>
      <c r="C788" s="13"/>
    </row>
    <row r="789" spans="1:3" ht="13" x14ac:dyDescent="0.15">
      <c r="A789" s="10"/>
      <c r="B789" s="13"/>
      <c r="C789" s="13"/>
    </row>
    <row r="790" spans="1:3" ht="13" x14ac:dyDescent="0.15">
      <c r="A790" s="10"/>
      <c r="B790" s="13"/>
      <c r="C790" s="13"/>
    </row>
    <row r="791" spans="1:3" ht="13" x14ac:dyDescent="0.15">
      <c r="A791" s="10"/>
      <c r="B791" s="13"/>
      <c r="C791" s="13"/>
    </row>
    <row r="792" spans="1:3" ht="13" x14ac:dyDescent="0.15">
      <c r="A792" s="10"/>
      <c r="B792" s="13"/>
      <c r="C792" s="13"/>
    </row>
    <row r="793" spans="1:3" ht="13" x14ac:dyDescent="0.15">
      <c r="A793" s="10"/>
      <c r="B793" s="13"/>
      <c r="C793" s="13"/>
    </row>
    <row r="794" spans="1:3" ht="13" x14ac:dyDescent="0.15">
      <c r="A794" s="10"/>
      <c r="B794" s="13"/>
      <c r="C794" s="13"/>
    </row>
    <row r="795" spans="1:3" ht="13" x14ac:dyDescent="0.15">
      <c r="A795" s="10"/>
      <c r="B795" s="13"/>
      <c r="C795" s="13"/>
    </row>
    <row r="796" spans="1:3" ht="13" x14ac:dyDescent="0.15">
      <c r="A796" s="10"/>
      <c r="B796" s="13"/>
      <c r="C796" s="13"/>
    </row>
    <row r="797" spans="1:3" ht="13" x14ac:dyDescent="0.15">
      <c r="A797" s="10"/>
      <c r="B797" s="13"/>
      <c r="C797" s="13"/>
    </row>
    <row r="798" spans="1:3" ht="13" x14ac:dyDescent="0.15">
      <c r="A798" s="10"/>
      <c r="B798" s="13"/>
      <c r="C798" s="13"/>
    </row>
    <row r="799" spans="1:3" ht="13" x14ac:dyDescent="0.15">
      <c r="A799" s="10"/>
      <c r="B799" s="13"/>
      <c r="C799" s="13"/>
    </row>
    <row r="800" spans="1:3" ht="13" x14ac:dyDescent="0.15">
      <c r="A800" s="10"/>
      <c r="B800" s="13"/>
      <c r="C800" s="13"/>
    </row>
    <row r="801" spans="1:3" ht="13" x14ac:dyDescent="0.15">
      <c r="A801" s="10"/>
      <c r="B801" s="13"/>
      <c r="C801" s="13"/>
    </row>
    <row r="802" spans="1:3" ht="13" x14ac:dyDescent="0.15">
      <c r="A802" s="10"/>
      <c r="B802" s="13"/>
      <c r="C802" s="13"/>
    </row>
    <row r="803" spans="1:3" ht="13" x14ac:dyDescent="0.15">
      <c r="A803" s="10"/>
      <c r="B803" s="13"/>
      <c r="C803" s="13"/>
    </row>
    <row r="804" spans="1:3" ht="13" x14ac:dyDescent="0.15">
      <c r="A804" s="10"/>
      <c r="B804" s="13"/>
      <c r="C804" s="13"/>
    </row>
    <row r="805" spans="1:3" ht="13" x14ac:dyDescent="0.15">
      <c r="A805" s="10"/>
      <c r="B805" s="13"/>
      <c r="C805" s="13"/>
    </row>
    <row r="806" spans="1:3" ht="13" x14ac:dyDescent="0.15">
      <c r="A806" s="10"/>
      <c r="B806" s="13"/>
      <c r="C806" s="13"/>
    </row>
    <row r="807" spans="1:3" ht="13" x14ac:dyDescent="0.15">
      <c r="A807" s="10"/>
      <c r="B807" s="13"/>
      <c r="C807" s="13"/>
    </row>
    <row r="808" spans="1:3" ht="13" x14ac:dyDescent="0.15">
      <c r="A808" s="10"/>
      <c r="B808" s="13"/>
      <c r="C808" s="13"/>
    </row>
    <row r="809" spans="1:3" ht="13" x14ac:dyDescent="0.15">
      <c r="A809" s="10"/>
      <c r="B809" s="13"/>
      <c r="C809" s="13"/>
    </row>
    <row r="810" spans="1:3" ht="13" x14ac:dyDescent="0.15">
      <c r="A810" s="10"/>
      <c r="B810" s="13"/>
      <c r="C810" s="13"/>
    </row>
    <row r="811" spans="1:3" ht="13" x14ac:dyDescent="0.15">
      <c r="A811" s="10"/>
      <c r="B811" s="13"/>
      <c r="C811" s="13"/>
    </row>
    <row r="812" spans="1:3" ht="13" x14ac:dyDescent="0.15">
      <c r="A812" s="10"/>
      <c r="B812" s="13"/>
      <c r="C812" s="13"/>
    </row>
    <row r="813" spans="1:3" ht="13" x14ac:dyDescent="0.15">
      <c r="A813" s="10"/>
      <c r="B813" s="13"/>
      <c r="C813" s="13"/>
    </row>
    <row r="814" spans="1:3" ht="13" x14ac:dyDescent="0.15">
      <c r="A814" s="10"/>
      <c r="B814" s="13"/>
      <c r="C814" s="13"/>
    </row>
    <row r="815" spans="1:3" ht="13" x14ac:dyDescent="0.15">
      <c r="A815" s="10"/>
      <c r="B815" s="13"/>
      <c r="C815" s="13"/>
    </row>
    <row r="816" spans="1:3" ht="13" x14ac:dyDescent="0.15">
      <c r="A816" s="10"/>
      <c r="B816" s="13"/>
      <c r="C816" s="13"/>
    </row>
    <row r="817" spans="1:3" ht="13" x14ac:dyDescent="0.15">
      <c r="A817" s="10"/>
      <c r="B817" s="13"/>
      <c r="C817" s="13"/>
    </row>
    <row r="818" spans="1:3" ht="13" x14ac:dyDescent="0.15">
      <c r="A818" s="10"/>
      <c r="B818" s="13"/>
      <c r="C818" s="13"/>
    </row>
    <row r="819" spans="1:3" ht="13" x14ac:dyDescent="0.15">
      <c r="A819" s="10"/>
      <c r="B819" s="13"/>
      <c r="C819" s="13"/>
    </row>
    <row r="820" spans="1:3" ht="13" x14ac:dyDescent="0.15">
      <c r="A820" s="10"/>
      <c r="B820" s="13"/>
      <c r="C820" s="13"/>
    </row>
    <row r="821" spans="1:3" ht="13" x14ac:dyDescent="0.15">
      <c r="A821" s="10"/>
      <c r="B821" s="13"/>
      <c r="C821" s="13"/>
    </row>
    <row r="822" spans="1:3" ht="13" x14ac:dyDescent="0.15">
      <c r="A822" s="10"/>
      <c r="B822" s="13"/>
      <c r="C822" s="13"/>
    </row>
    <row r="823" spans="1:3" ht="13" x14ac:dyDescent="0.15">
      <c r="A823" s="10"/>
      <c r="B823" s="13"/>
      <c r="C823" s="13"/>
    </row>
    <row r="824" spans="1:3" ht="13" x14ac:dyDescent="0.15">
      <c r="A824" s="10"/>
      <c r="B824" s="13"/>
      <c r="C824" s="13"/>
    </row>
    <row r="825" spans="1:3" ht="13" x14ac:dyDescent="0.15">
      <c r="A825" s="10"/>
      <c r="B825" s="13"/>
      <c r="C825" s="13"/>
    </row>
    <row r="826" spans="1:3" ht="13" x14ac:dyDescent="0.15">
      <c r="A826" s="10"/>
      <c r="B826" s="13"/>
      <c r="C826" s="13"/>
    </row>
    <row r="827" spans="1:3" ht="13" x14ac:dyDescent="0.15">
      <c r="A827" s="10"/>
      <c r="B827" s="13"/>
      <c r="C827" s="13"/>
    </row>
    <row r="828" spans="1:3" ht="13" x14ac:dyDescent="0.15">
      <c r="A828" s="10"/>
      <c r="B828" s="13"/>
      <c r="C828" s="13"/>
    </row>
    <row r="829" spans="1:3" ht="13" x14ac:dyDescent="0.15">
      <c r="A829" s="10"/>
      <c r="B829" s="13"/>
      <c r="C829" s="13"/>
    </row>
    <row r="830" spans="1:3" ht="13" x14ac:dyDescent="0.15">
      <c r="A830" s="10"/>
      <c r="B830" s="13"/>
      <c r="C830" s="13"/>
    </row>
    <row r="831" spans="1:3" ht="13" x14ac:dyDescent="0.15">
      <c r="A831" s="10"/>
      <c r="B831" s="13"/>
      <c r="C831" s="13"/>
    </row>
    <row r="832" spans="1:3" ht="13" x14ac:dyDescent="0.15">
      <c r="A832" s="10"/>
      <c r="B832" s="13"/>
      <c r="C832" s="13"/>
    </row>
    <row r="833" spans="1:3" ht="13" x14ac:dyDescent="0.15">
      <c r="A833" s="10"/>
      <c r="B833" s="13"/>
      <c r="C833" s="13"/>
    </row>
    <row r="834" spans="1:3" ht="13" x14ac:dyDescent="0.15">
      <c r="A834" s="10"/>
      <c r="B834" s="13"/>
      <c r="C834" s="13"/>
    </row>
    <row r="835" spans="1:3" ht="13" x14ac:dyDescent="0.15">
      <c r="A835" s="10"/>
      <c r="B835" s="13"/>
      <c r="C835" s="13"/>
    </row>
    <row r="836" spans="1:3" ht="13" x14ac:dyDescent="0.15">
      <c r="A836" s="10"/>
      <c r="B836" s="13"/>
      <c r="C836" s="13"/>
    </row>
    <row r="837" spans="1:3" ht="13" x14ac:dyDescent="0.15">
      <c r="A837" s="10"/>
      <c r="B837" s="13"/>
      <c r="C837" s="13"/>
    </row>
    <row r="838" spans="1:3" ht="13" x14ac:dyDescent="0.15">
      <c r="A838" s="10"/>
      <c r="B838" s="13"/>
      <c r="C838" s="13"/>
    </row>
    <row r="839" spans="1:3" ht="13" x14ac:dyDescent="0.15">
      <c r="A839" s="10"/>
      <c r="B839" s="13"/>
      <c r="C839" s="13"/>
    </row>
    <row r="840" spans="1:3" ht="13" x14ac:dyDescent="0.15">
      <c r="A840" s="10"/>
      <c r="B840" s="13"/>
      <c r="C840" s="13"/>
    </row>
    <row r="841" spans="1:3" ht="13" x14ac:dyDescent="0.15">
      <c r="A841" s="10"/>
      <c r="B841" s="13"/>
      <c r="C841" s="13"/>
    </row>
    <row r="842" spans="1:3" ht="13" x14ac:dyDescent="0.15">
      <c r="A842" s="10"/>
      <c r="B842" s="13"/>
      <c r="C842" s="13"/>
    </row>
    <row r="843" spans="1:3" ht="13" x14ac:dyDescent="0.15">
      <c r="A843" s="10"/>
      <c r="B843" s="13"/>
      <c r="C843" s="13"/>
    </row>
    <row r="844" spans="1:3" ht="13" x14ac:dyDescent="0.15">
      <c r="A844" s="10"/>
      <c r="B844" s="13"/>
      <c r="C844" s="13"/>
    </row>
    <row r="845" spans="1:3" ht="13" x14ac:dyDescent="0.15">
      <c r="A845" s="10"/>
      <c r="B845" s="13"/>
      <c r="C845" s="13"/>
    </row>
    <row r="846" spans="1:3" ht="13" x14ac:dyDescent="0.15">
      <c r="A846" s="10"/>
      <c r="B846" s="13"/>
      <c r="C846" s="13"/>
    </row>
    <row r="847" spans="1:3" ht="13" x14ac:dyDescent="0.15">
      <c r="A847" s="10"/>
      <c r="B847" s="13"/>
      <c r="C847" s="13"/>
    </row>
    <row r="848" spans="1:3" ht="13" x14ac:dyDescent="0.15">
      <c r="A848" s="10"/>
      <c r="B848" s="13"/>
      <c r="C848" s="13"/>
    </row>
    <row r="849" spans="1:3" ht="13" x14ac:dyDescent="0.15">
      <c r="A849" s="10"/>
      <c r="B849" s="13"/>
      <c r="C849" s="13"/>
    </row>
    <row r="850" spans="1:3" ht="13" x14ac:dyDescent="0.15">
      <c r="A850" s="10"/>
      <c r="B850" s="13"/>
      <c r="C850" s="13"/>
    </row>
    <row r="851" spans="1:3" ht="13" x14ac:dyDescent="0.15">
      <c r="A851" s="10"/>
      <c r="B851" s="13"/>
      <c r="C851" s="13"/>
    </row>
    <row r="852" spans="1:3" ht="13" x14ac:dyDescent="0.15">
      <c r="A852" s="10"/>
      <c r="B852" s="13"/>
      <c r="C852" s="13"/>
    </row>
    <row r="853" spans="1:3" ht="13" x14ac:dyDescent="0.15">
      <c r="A853" s="10"/>
      <c r="B853" s="13"/>
      <c r="C853" s="13"/>
    </row>
    <row r="854" spans="1:3" ht="13" x14ac:dyDescent="0.15">
      <c r="A854" s="10"/>
      <c r="B854" s="13"/>
      <c r="C854" s="13"/>
    </row>
    <row r="855" spans="1:3" ht="13" x14ac:dyDescent="0.15">
      <c r="A855" s="10"/>
      <c r="B855" s="13"/>
      <c r="C855" s="13"/>
    </row>
    <row r="856" spans="1:3" ht="13" x14ac:dyDescent="0.15">
      <c r="A856" s="10"/>
      <c r="B856" s="13"/>
      <c r="C856" s="13"/>
    </row>
    <row r="857" spans="1:3" ht="13" x14ac:dyDescent="0.15">
      <c r="A857" s="10"/>
      <c r="B857" s="13"/>
      <c r="C857" s="13"/>
    </row>
    <row r="858" spans="1:3" ht="13" x14ac:dyDescent="0.15">
      <c r="A858" s="10"/>
      <c r="B858" s="13"/>
      <c r="C858" s="13"/>
    </row>
    <row r="859" spans="1:3" ht="13" x14ac:dyDescent="0.15">
      <c r="A859" s="10"/>
      <c r="B859" s="13"/>
      <c r="C859" s="13"/>
    </row>
    <row r="860" spans="1:3" ht="13" x14ac:dyDescent="0.15">
      <c r="A860" s="10"/>
      <c r="B860" s="13"/>
      <c r="C860" s="13"/>
    </row>
    <row r="861" spans="1:3" ht="13" x14ac:dyDescent="0.15">
      <c r="A861" s="10"/>
      <c r="B861" s="13"/>
      <c r="C861" s="13"/>
    </row>
    <row r="862" spans="1:3" ht="13" x14ac:dyDescent="0.15">
      <c r="A862" s="10"/>
      <c r="B862" s="13"/>
      <c r="C862" s="13"/>
    </row>
    <row r="863" spans="1:3" ht="13" x14ac:dyDescent="0.15">
      <c r="A863" s="10"/>
      <c r="B863" s="13"/>
      <c r="C863" s="13"/>
    </row>
    <row r="864" spans="1:3" ht="13" x14ac:dyDescent="0.15">
      <c r="A864" s="10"/>
      <c r="B864" s="13"/>
      <c r="C864" s="13"/>
    </row>
    <row r="865" spans="1:3" ht="13" x14ac:dyDescent="0.15">
      <c r="A865" s="10"/>
      <c r="B865" s="13"/>
      <c r="C865" s="13"/>
    </row>
    <row r="866" spans="1:3" ht="13" x14ac:dyDescent="0.15">
      <c r="A866" s="10"/>
      <c r="B866" s="13"/>
      <c r="C866" s="13"/>
    </row>
    <row r="867" spans="1:3" ht="13" x14ac:dyDescent="0.15">
      <c r="A867" s="10"/>
      <c r="B867" s="13"/>
      <c r="C867" s="13"/>
    </row>
    <row r="868" spans="1:3" ht="13" x14ac:dyDescent="0.15">
      <c r="A868" s="10"/>
      <c r="B868" s="13"/>
      <c r="C868" s="13"/>
    </row>
    <row r="869" spans="1:3" ht="13" x14ac:dyDescent="0.15">
      <c r="A869" s="10"/>
      <c r="B869" s="13"/>
      <c r="C869" s="13"/>
    </row>
    <row r="870" spans="1:3" ht="13" x14ac:dyDescent="0.15">
      <c r="A870" s="10"/>
      <c r="B870" s="13"/>
      <c r="C870" s="13"/>
    </row>
    <row r="871" spans="1:3" ht="13" x14ac:dyDescent="0.15">
      <c r="A871" s="10"/>
      <c r="B871" s="13"/>
      <c r="C871" s="13"/>
    </row>
    <row r="872" spans="1:3" ht="13" x14ac:dyDescent="0.15">
      <c r="A872" s="10"/>
      <c r="B872" s="13"/>
      <c r="C872" s="13"/>
    </row>
    <row r="873" spans="1:3" ht="13" x14ac:dyDescent="0.15">
      <c r="A873" s="10"/>
      <c r="B873" s="13"/>
      <c r="C873" s="13"/>
    </row>
    <row r="874" spans="1:3" ht="13" x14ac:dyDescent="0.15">
      <c r="A874" s="10"/>
      <c r="B874" s="13"/>
      <c r="C874" s="13"/>
    </row>
    <row r="875" spans="1:3" ht="13" x14ac:dyDescent="0.15">
      <c r="A875" s="10"/>
      <c r="B875" s="13"/>
      <c r="C875" s="13"/>
    </row>
    <row r="876" spans="1:3" ht="13" x14ac:dyDescent="0.15">
      <c r="A876" s="10"/>
      <c r="B876" s="13"/>
      <c r="C876" s="13"/>
    </row>
    <row r="877" spans="1:3" ht="13" x14ac:dyDescent="0.15">
      <c r="A877" s="10"/>
      <c r="B877" s="13"/>
      <c r="C877" s="13"/>
    </row>
    <row r="878" spans="1:3" ht="13" x14ac:dyDescent="0.15">
      <c r="A878" s="10"/>
      <c r="B878" s="13"/>
      <c r="C878" s="13"/>
    </row>
    <row r="879" spans="1:3" ht="13" x14ac:dyDescent="0.15">
      <c r="A879" s="10"/>
      <c r="B879" s="13"/>
      <c r="C879" s="13"/>
    </row>
    <row r="880" spans="1:3" ht="13" x14ac:dyDescent="0.15">
      <c r="A880" s="10"/>
      <c r="B880" s="13"/>
      <c r="C880" s="13"/>
    </row>
    <row r="881" spans="1:3" ht="13" x14ac:dyDescent="0.15">
      <c r="A881" s="10"/>
      <c r="B881" s="13"/>
      <c r="C881" s="13"/>
    </row>
    <row r="882" spans="1:3" ht="13" x14ac:dyDescent="0.15">
      <c r="A882" s="10"/>
      <c r="B882" s="13"/>
      <c r="C882" s="13"/>
    </row>
    <row r="883" spans="1:3" ht="13" x14ac:dyDescent="0.15">
      <c r="A883" s="10"/>
      <c r="B883" s="13"/>
      <c r="C883" s="13"/>
    </row>
    <row r="884" spans="1:3" ht="13" x14ac:dyDescent="0.15">
      <c r="A884" s="10"/>
      <c r="B884" s="13"/>
      <c r="C884" s="13"/>
    </row>
    <row r="885" spans="1:3" ht="13" x14ac:dyDescent="0.15">
      <c r="A885" s="10"/>
      <c r="B885" s="13"/>
      <c r="C885" s="13"/>
    </row>
    <row r="886" spans="1:3" ht="13" x14ac:dyDescent="0.15">
      <c r="A886" s="10"/>
      <c r="B886" s="13"/>
      <c r="C886" s="13"/>
    </row>
    <row r="887" spans="1:3" ht="13" x14ac:dyDescent="0.15">
      <c r="A887" s="10"/>
      <c r="B887" s="13"/>
      <c r="C887" s="13"/>
    </row>
    <row r="888" spans="1:3" ht="13" x14ac:dyDescent="0.15">
      <c r="A888" s="10"/>
      <c r="B888" s="13"/>
      <c r="C888" s="13"/>
    </row>
    <row r="889" spans="1:3" ht="13" x14ac:dyDescent="0.15">
      <c r="A889" s="10"/>
      <c r="B889" s="13"/>
      <c r="C889" s="13"/>
    </row>
    <row r="890" spans="1:3" ht="13" x14ac:dyDescent="0.15">
      <c r="A890" s="10"/>
      <c r="B890" s="13"/>
      <c r="C890" s="13"/>
    </row>
    <row r="891" spans="1:3" ht="13" x14ac:dyDescent="0.15">
      <c r="A891" s="10"/>
      <c r="B891" s="13"/>
      <c r="C891" s="13"/>
    </row>
    <row r="892" spans="1:3" ht="13" x14ac:dyDescent="0.15">
      <c r="A892" s="10"/>
      <c r="B892" s="13"/>
      <c r="C892" s="13"/>
    </row>
    <row r="893" spans="1:3" ht="13" x14ac:dyDescent="0.15">
      <c r="A893" s="10"/>
      <c r="B893" s="13"/>
      <c r="C893" s="13"/>
    </row>
    <row r="894" spans="1:3" ht="13" x14ac:dyDescent="0.15">
      <c r="A894" s="10"/>
      <c r="B894" s="13"/>
      <c r="C894" s="13"/>
    </row>
    <row r="895" spans="1:3" ht="13" x14ac:dyDescent="0.15">
      <c r="A895" s="10"/>
      <c r="B895" s="13"/>
      <c r="C895" s="13"/>
    </row>
    <row r="896" spans="1:3" ht="13" x14ac:dyDescent="0.15">
      <c r="A896" s="10"/>
      <c r="B896" s="13"/>
      <c r="C896" s="13"/>
    </row>
    <row r="897" spans="1:3" ht="13" x14ac:dyDescent="0.15">
      <c r="A897" s="10"/>
      <c r="B897" s="13"/>
      <c r="C897" s="13"/>
    </row>
    <row r="898" spans="1:3" ht="13" x14ac:dyDescent="0.15">
      <c r="A898" s="10"/>
      <c r="B898" s="13"/>
      <c r="C898" s="13"/>
    </row>
    <row r="899" spans="1:3" ht="13" x14ac:dyDescent="0.15">
      <c r="A899" s="10"/>
      <c r="B899" s="13"/>
      <c r="C899" s="13"/>
    </row>
    <row r="900" spans="1:3" ht="13" x14ac:dyDescent="0.15">
      <c r="A900" s="10"/>
      <c r="B900" s="13"/>
      <c r="C900" s="13"/>
    </row>
    <row r="901" spans="1:3" ht="13" x14ac:dyDescent="0.15">
      <c r="A901" s="10"/>
      <c r="B901" s="13"/>
      <c r="C901" s="13"/>
    </row>
    <row r="902" spans="1:3" ht="13" x14ac:dyDescent="0.15">
      <c r="A902" s="10"/>
      <c r="B902" s="13"/>
      <c r="C902" s="13"/>
    </row>
    <row r="903" spans="1:3" ht="13" x14ac:dyDescent="0.15">
      <c r="A903" s="10"/>
      <c r="B903" s="13"/>
      <c r="C903" s="13"/>
    </row>
    <row r="904" spans="1:3" ht="13" x14ac:dyDescent="0.15">
      <c r="A904" s="10"/>
      <c r="B904" s="13"/>
      <c r="C904" s="13"/>
    </row>
    <row r="905" spans="1:3" ht="13" x14ac:dyDescent="0.15">
      <c r="A905" s="10"/>
      <c r="B905" s="13"/>
      <c r="C905" s="13"/>
    </row>
    <row r="906" spans="1:3" ht="13" x14ac:dyDescent="0.15">
      <c r="A906" s="10"/>
      <c r="B906" s="13"/>
      <c r="C906" s="13"/>
    </row>
    <row r="907" spans="1:3" ht="13" x14ac:dyDescent="0.15">
      <c r="A907" s="10"/>
      <c r="B907" s="13"/>
      <c r="C907" s="13"/>
    </row>
    <row r="908" spans="1:3" ht="13" x14ac:dyDescent="0.15">
      <c r="A908" s="10"/>
      <c r="B908" s="13"/>
      <c r="C908" s="13"/>
    </row>
    <row r="909" spans="1:3" ht="13" x14ac:dyDescent="0.15">
      <c r="A909" s="10"/>
      <c r="B909" s="13"/>
      <c r="C909" s="13"/>
    </row>
    <row r="910" spans="1:3" ht="13" x14ac:dyDescent="0.15">
      <c r="A910" s="10"/>
      <c r="B910" s="13"/>
      <c r="C910" s="13"/>
    </row>
    <row r="911" spans="1:3" ht="13" x14ac:dyDescent="0.15">
      <c r="A911" s="10"/>
      <c r="B911" s="13"/>
      <c r="C911" s="13"/>
    </row>
    <row r="912" spans="1:3" ht="13" x14ac:dyDescent="0.15">
      <c r="A912" s="10"/>
      <c r="B912" s="13"/>
      <c r="C912" s="13"/>
    </row>
    <row r="913" spans="1:3" ht="13" x14ac:dyDescent="0.15">
      <c r="A913" s="10"/>
      <c r="B913" s="13"/>
      <c r="C913" s="13"/>
    </row>
    <row r="914" spans="1:3" ht="13" x14ac:dyDescent="0.15">
      <c r="A914" s="10"/>
      <c r="B914" s="13"/>
      <c r="C914" s="13"/>
    </row>
    <row r="915" spans="1:3" ht="13" x14ac:dyDescent="0.15">
      <c r="A915" s="10"/>
      <c r="B915" s="13"/>
      <c r="C915" s="13"/>
    </row>
    <row r="916" spans="1:3" ht="13" x14ac:dyDescent="0.15">
      <c r="A916" s="10"/>
      <c r="B916" s="13"/>
      <c r="C916" s="13"/>
    </row>
    <row r="917" spans="1:3" ht="13" x14ac:dyDescent="0.15">
      <c r="A917" s="10"/>
      <c r="B917" s="13"/>
      <c r="C917" s="13"/>
    </row>
    <row r="918" spans="1:3" ht="13" x14ac:dyDescent="0.15">
      <c r="A918" s="10"/>
      <c r="B918" s="13"/>
      <c r="C918" s="13"/>
    </row>
    <row r="919" spans="1:3" ht="13" x14ac:dyDescent="0.15">
      <c r="A919" s="10"/>
      <c r="B919" s="13"/>
      <c r="C919" s="13"/>
    </row>
    <row r="920" spans="1:3" ht="13" x14ac:dyDescent="0.15">
      <c r="A920" s="10"/>
      <c r="B920" s="13"/>
      <c r="C920" s="13"/>
    </row>
    <row r="921" spans="1:3" ht="13" x14ac:dyDescent="0.15">
      <c r="A921" s="10"/>
      <c r="B921" s="13"/>
      <c r="C921" s="13"/>
    </row>
    <row r="922" spans="1:3" ht="13" x14ac:dyDescent="0.15">
      <c r="A922" s="10"/>
      <c r="B922" s="13"/>
      <c r="C922" s="13"/>
    </row>
    <row r="923" spans="1:3" ht="13" x14ac:dyDescent="0.15">
      <c r="A923" s="10"/>
      <c r="B923" s="13"/>
      <c r="C923" s="13"/>
    </row>
    <row r="924" spans="1:3" ht="13" x14ac:dyDescent="0.15">
      <c r="A924" s="10"/>
      <c r="B924" s="13"/>
      <c r="C924" s="13"/>
    </row>
    <row r="925" spans="1:3" ht="13" x14ac:dyDescent="0.15">
      <c r="A925" s="10"/>
      <c r="B925" s="13"/>
      <c r="C925" s="13"/>
    </row>
    <row r="926" spans="1:3" ht="13" x14ac:dyDescent="0.15">
      <c r="A926" s="10"/>
      <c r="B926" s="13"/>
      <c r="C926" s="13"/>
    </row>
    <row r="927" spans="1:3" ht="13" x14ac:dyDescent="0.15">
      <c r="A927" s="10"/>
      <c r="B927" s="13"/>
      <c r="C927" s="13"/>
    </row>
    <row r="928" spans="1:3" ht="13" x14ac:dyDescent="0.15">
      <c r="A928" s="10"/>
      <c r="B928" s="13"/>
      <c r="C928" s="13"/>
    </row>
    <row r="929" spans="1:3" ht="13" x14ac:dyDescent="0.15">
      <c r="A929" s="10"/>
      <c r="B929" s="13"/>
      <c r="C929" s="13"/>
    </row>
    <row r="930" spans="1:3" ht="13" x14ac:dyDescent="0.15">
      <c r="A930" s="10"/>
      <c r="B930" s="13"/>
      <c r="C930" s="13"/>
    </row>
    <row r="931" spans="1:3" ht="13" x14ac:dyDescent="0.15">
      <c r="A931" s="10"/>
      <c r="B931" s="13"/>
      <c r="C931" s="13"/>
    </row>
    <row r="932" spans="1:3" ht="13" x14ac:dyDescent="0.15">
      <c r="A932" s="10"/>
      <c r="B932" s="13"/>
      <c r="C932" s="13"/>
    </row>
    <row r="933" spans="1:3" ht="13" x14ac:dyDescent="0.15">
      <c r="A933" s="10"/>
      <c r="B933" s="13"/>
      <c r="C933" s="13"/>
    </row>
    <row r="934" spans="1:3" ht="13" x14ac:dyDescent="0.15">
      <c r="A934" s="10"/>
      <c r="B934" s="13"/>
      <c r="C934" s="13"/>
    </row>
    <row r="935" spans="1:3" ht="13" x14ac:dyDescent="0.15">
      <c r="A935" s="10"/>
      <c r="B935" s="13"/>
      <c r="C935" s="13"/>
    </row>
    <row r="936" spans="1:3" ht="13" x14ac:dyDescent="0.15">
      <c r="A936" s="10"/>
      <c r="B936" s="13"/>
      <c r="C936" s="13"/>
    </row>
    <row r="937" spans="1:3" ht="13" x14ac:dyDescent="0.15">
      <c r="A937" s="10"/>
      <c r="B937" s="13"/>
      <c r="C937" s="13"/>
    </row>
    <row r="938" spans="1:3" ht="13" x14ac:dyDescent="0.15">
      <c r="A938" s="10"/>
      <c r="B938" s="13"/>
      <c r="C938" s="13"/>
    </row>
    <row r="939" spans="1:3" ht="13" x14ac:dyDescent="0.15">
      <c r="A939" s="10"/>
      <c r="B939" s="13"/>
      <c r="C939" s="13"/>
    </row>
    <row r="940" spans="1:3" ht="13" x14ac:dyDescent="0.15">
      <c r="A940" s="10"/>
      <c r="B940" s="13"/>
      <c r="C940" s="13"/>
    </row>
    <row r="941" spans="1:3" ht="13" x14ac:dyDescent="0.15">
      <c r="A941" s="10"/>
      <c r="B941" s="13"/>
      <c r="C941" s="13"/>
    </row>
    <row r="942" spans="1:3" ht="13" x14ac:dyDescent="0.15">
      <c r="A942" s="10"/>
      <c r="B942" s="13"/>
      <c r="C942" s="13"/>
    </row>
    <row r="943" spans="1:3" ht="13" x14ac:dyDescent="0.15">
      <c r="A943" s="10"/>
      <c r="B943" s="13"/>
      <c r="C943" s="13"/>
    </row>
    <row r="944" spans="1:3" ht="13" x14ac:dyDescent="0.15">
      <c r="A944" s="10"/>
      <c r="B944" s="13"/>
      <c r="C944" s="13"/>
    </row>
    <row r="945" spans="1:3" ht="13" x14ac:dyDescent="0.15">
      <c r="A945" s="10"/>
      <c r="B945" s="13"/>
      <c r="C945" s="13"/>
    </row>
    <row r="946" spans="1:3" ht="13" x14ac:dyDescent="0.15">
      <c r="A946" s="10"/>
      <c r="B946" s="13"/>
      <c r="C946" s="13"/>
    </row>
    <row r="947" spans="1:3" ht="13" x14ac:dyDescent="0.15">
      <c r="A947" s="10"/>
      <c r="B947" s="13"/>
      <c r="C947" s="13"/>
    </row>
    <row r="948" spans="1:3" ht="13" x14ac:dyDescent="0.15">
      <c r="A948" s="10"/>
      <c r="B948" s="13"/>
      <c r="C948" s="13"/>
    </row>
    <row r="949" spans="1:3" ht="13" x14ac:dyDescent="0.15">
      <c r="A949" s="10"/>
      <c r="B949" s="13"/>
      <c r="C949" s="13"/>
    </row>
    <row r="950" spans="1:3" ht="13" x14ac:dyDescent="0.15">
      <c r="A950" s="10"/>
      <c r="B950" s="13"/>
      <c r="C950" s="13"/>
    </row>
    <row r="951" spans="1:3" ht="13" x14ac:dyDescent="0.15">
      <c r="A951" s="10"/>
      <c r="B951" s="13"/>
      <c r="C951" s="13"/>
    </row>
    <row r="952" spans="1:3" ht="13" x14ac:dyDescent="0.15">
      <c r="A952" s="10"/>
      <c r="B952" s="13"/>
      <c r="C952" s="13"/>
    </row>
    <row r="953" spans="1:3" ht="13" x14ac:dyDescent="0.15">
      <c r="A953" s="10"/>
      <c r="B953" s="13"/>
      <c r="C953" s="13"/>
    </row>
    <row r="954" spans="1:3" ht="13" x14ac:dyDescent="0.15">
      <c r="A954" s="10"/>
      <c r="B954" s="13"/>
      <c r="C954" s="13"/>
    </row>
    <row r="955" spans="1:3" ht="13" x14ac:dyDescent="0.15">
      <c r="A955" s="10"/>
      <c r="B955" s="13"/>
      <c r="C955" s="13"/>
    </row>
    <row r="956" spans="1:3" ht="13" x14ac:dyDescent="0.15">
      <c r="A956" s="10"/>
      <c r="B956" s="13"/>
      <c r="C956" s="13"/>
    </row>
    <row r="957" spans="1:3" ht="13" x14ac:dyDescent="0.15">
      <c r="A957" s="10"/>
      <c r="B957" s="13"/>
      <c r="C957" s="13"/>
    </row>
    <row r="958" spans="1:3" ht="13" x14ac:dyDescent="0.15">
      <c r="A958" s="10"/>
      <c r="B958" s="13"/>
      <c r="C958" s="13"/>
    </row>
    <row r="959" spans="1:3" ht="13" x14ac:dyDescent="0.15">
      <c r="A959" s="10"/>
      <c r="B959" s="13"/>
      <c r="C959" s="13"/>
    </row>
    <row r="960" spans="1:3" ht="13" x14ac:dyDescent="0.15">
      <c r="A960" s="10"/>
      <c r="B960" s="13"/>
      <c r="C960" s="13"/>
    </row>
    <row r="961" spans="1:3" ht="13" x14ac:dyDescent="0.15">
      <c r="A961" s="10"/>
      <c r="B961" s="13"/>
      <c r="C961" s="13"/>
    </row>
    <row r="962" spans="1:3" ht="13" x14ac:dyDescent="0.15">
      <c r="A962" s="10"/>
      <c r="B962" s="13"/>
      <c r="C962" s="13"/>
    </row>
    <row r="963" spans="1:3" ht="13" x14ac:dyDescent="0.15">
      <c r="A963" s="10"/>
      <c r="B963" s="13"/>
      <c r="C963" s="13"/>
    </row>
    <row r="964" spans="1:3" ht="13" x14ac:dyDescent="0.15">
      <c r="A964" s="10"/>
      <c r="B964" s="13"/>
      <c r="C964" s="13"/>
    </row>
    <row r="965" spans="1:3" ht="13" x14ac:dyDescent="0.15">
      <c r="A965" s="10"/>
      <c r="B965" s="13"/>
      <c r="C965" s="13"/>
    </row>
    <row r="966" spans="1:3" ht="13" x14ac:dyDescent="0.15">
      <c r="A966" s="10"/>
      <c r="B966" s="13"/>
      <c r="C966" s="13"/>
    </row>
    <row r="967" spans="1:3" ht="13" x14ac:dyDescent="0.15">
      <c r="A967" s="10"/>
      <c r="B967" s="13"/>
      <c r="C967" s="13"/>
    </row>
    <row r="968" spans="1:3" ht="13" x14ac:dyDescent="0.15">
      <c r="A968" s="10"/>
      <c r="B968" s="13"/>
      <c r="C968" s="13"/>
    </row>
    <row r="969" spans="1:3" ht="13" x14ac:dyDescent="0.15">
      <c r="A969" s="10"/>
      <c r="B969" s="13"/>
      <c r="C969" s="13"/>
    </row>
    <row r="970" spans="1:3" ht="13" x14ac:dyDescent="0.15">
      <c r="A970" s="10"/>
      <c r="B970" s="13"/>
      <c r="C970" s="13"/>
    </row>
    <row r="971" spans="1:3" ht="13" x14ac:dyDescent="0.15">
      <c r="A971" s="10"/>
      <c r="B971" s="13"/>
      <c r="C971" s="13"/>
    </row>
    <row r="972" spans="1:3" ht="13" x14ac:dyDescent="0.15">
      <c r="A972" s="10"/>
      <c r="B972" s="13"/>
      <c r="C972" s="13"/>
    </row>
    <row r="973" spans="1:3" ht="13" x14ac:dyDescent="0.15">
      <c r="A973" s="10"/>
      <c r="B973" s="13"/>
      <c r="C973" s="13"/>
    </row>
    <row r="974" spans="1:3" ht="13" x14ac:dyDescent="0.15">
      <c r="A974" s="10"/>
      <c r="B974" s="13"/>
      <c r="C974" s="13"/>
    </row>
    <row r="975" spans="1:3" ht="13" x14ac:dyDescent="0.15">
      <c r="A975" s="10"/>
      <c r="B975" s="13"/>
      <c r="C975" s="13"/>
    </row>
    <row r="976" spans="1:3" ht="13" x14ac:dyDescent="0.15">
      <c r="A976" s="10"/>
      <c r="B976" s="13"/>
      <c r="C976" s="13"/>
    </row>
    <row r="977" spans="1:3" ht="13" x14ac:dyDescent="0.15">
      <c r="A977" s="10"/>
      <c r="B977" s="13"/>
      <c r="C977" s="13"/>
    </row>
    <row r="978" spans="1:3" ht="13" x14ac:dyDescent="0.15">
      <c r="A978" s="10"/>
      <c r="B978" s="13"/>
      <c r="C978" s="13"/>
    </row>
    <row r="979" spans="1:3" ht="13" x14ac:dyDescent="0.15">
      <c r="A979" s="10"/>
      <c r="B979" s="13"/>
      <c r="C979" s="13"/>
    </row>
    <row r="980" spans="1:3" ht="13" x14ac:dyDescent="0.15">
      <c r="A980" s="10"/>
      <c r="B980" s="13"/>
      <c r="C980" s="13"/>
    </row>
    <row r="981" spans="1:3" ht="13" x14ac:dyDescent="0.15">
      <c r="A981" s="10"/>
      <c r="B981" s="13"/>
      <c r="C981" s="13"/>
    </row>
    <row r="982" spans="1:3" ht="13" x14ac:dyDescent="0.15">
      <c r="A982" s="10"/>
      <c r="B982" s="13"/>
      <c r="C982" s="13"/>
    </row>
    <row r="983" spans="1:3" ht="13" x14ac:dyDescent="0.15">
      <c r="A983" s="10"/>
      <c r="B983" s="13"/>
      <c r="C983" s="13"/>
    </row>
    <row r="984" spans="1:3" ht="13" x14ac:dyDescent="0.15">
      <c r="A984" s="10"/>
      <c r="B984" s="13"/>
      <c r="C984" s="13"/>
    </row>
    <row r="985" spans="1:3" ht="13" x14ac:dyDescent="0.15">
      <c r="A985" s="10"/>
      <c r="B985" s="13"/>
      <c r="C985" s="13"/>
    </row>
    <row r="986" spans="1:3" ht="13" x14ac:dyDescent="0.15">
      <c r="A986" s="10"/>
      <c r="B986" s="13"/>
      <c r="C986" s="13"/>
    </row>
    <row r="987" spans="1:3" ht="13" x14ac:dyDescent="0.15">
      <c r="A987" s="10"/>
      <c r="B987" s="13"/>
      <c r="C987" s="13"/>
    </row>
    <row r="988" spans="1:3" ht="13" x14ac:dyDescent="0.15">
      <c r="A988" s="10"/>
      <c r="B988" s="13"/>
      <c r="C988" s="13"/>
    </row>
    <row r="989" spans="1:3" ht="13" x14ac:dyDescent="0.15">
      <c r="A989" s="10"/>
      <c r="B989" s="13"/>
      <c r="C989" s="13"/>
    </row>
    <row r="990" spans="1:3" ht="13" x14ac:dyDescent="0.15">
      <c r="A990" s="10"/>
      <c r="B990" s="13"/>
      <c r="C990" s="13"/>
    </row>
    <row r="991" spans="1:3" ht="13" x14ac:dyDescent="0.15">
      <c r="A991" s="10"/>
      <c r="B991" s="13"/>
      <c r="C991" s="13"/>
    </row>
    <row r="992" spans="1:3" ht="13" x14ac:dyDescent="0.15">
      <c r="A992" s="10"/>
      <c r="B992" s="13"/>
      <c r="C992" s="13"/>
    </row>
    <row r="993" spans="1:3" ht="13" x14ac:dyDescent="0.15">
      <c r="A993" s="10"/>
      <c r="B993" s="13"/>
      <c r="C993" s="13"/>
    </row>
    <row r="994" spans="1:3" ht="13" x14ac:dyDescent="0.15">
      <c r="A994" s="10"/>
      <c r="B994" s="13"/>
      <c r="C994" s="13"/>
    </row>
    <row r="995" spans="1:3" ht="13" x14ac:dyDescent="0.15">
      <c r="A995" s="10"/>
      <c r="B995" s="13"/>
      <c r="C995" s="13"/>
    </row>
    <row r="996" spans="1:3" ht="13" x14ac:dyDescent="0.15">
      <c r="A996" s="10"/>
      <c r="B996" s="13"/>
      <c r="C996" s="13"/>
    </row>
    <row r="997" spans="1:3" ht="13" x14ac:dyDescent="0.15">
      <c r="A997" s="10"/>
      <c r="B997" s="13"/>
      <c r="C997" s="13"/>
    </row>
  </sheetData>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outlinePr summaryBelow="0" summaryRight="0"/>
  </sheetPr>
  <dimension ref="A1:D997"/>
  <sheetViews>
    <sheetView workbookViewId="0"/>
  </sheetViews>
  <sheetFormatPr baseColWidth="10" defaultColWidth="12.6640625" defaultRowHeight="15.75" customHeight="1" x14ac:dyDescent="0.15"/>
  <cols>
    <col min="1" max="1" width="71.5" customWidth="1"/>
    <col min="2" max="4" width="37.6640625" customWidth="1"/>
  </cols>
  <sheetData>
    <row r="1" spans="1:4" ht="15.75" customHeight="1" x14ac:dyDescent="0.15">
      <c r="A1" s="1"/>
      <c r="B1" s="10" t="str">
        <f ca="1">IFERROR(__xludf.DUMMYFUNCTION("IMPORTRANGE(""https://docs.google.com/spreadsheets/u/0/d/1v3alDV9sI-Ng7OoZouCf4a0CI5tv_Xg2T3WprxxRGRs"", ""A87!B1:B22"")"),"Tyler")</f>
        <v>Tyler</v>
      </c>
      <c r="C1" s="10" t="str">
        <f ca="1">IFERROR(__xludf.DUMMYFUNCTION("IMPORTRANGE(""https://docs.google.com/spreadsheets/u/0/d/1Rfwd61p8X8kU1VBE4PFTeYG7-2eZzi6BYhKfon6XtRs"", ""A87!B1:B22"")"),"Korie Hall")</f>
        <v>Korie Hall</v>
      </c>
      <c r="D1" s="2" t="s">
        <v>1</v>
      </c>
    </row>
    <row r="2" spans="1:4" ht="15.75" customHeight="1" x14ac:dyDescent="0.15">
      <c r="A2" s="3" t="s">
        <v>2</v>
      </c>
      <c r="B2" s="15" t="str">
        <f ca="1">IFERROR(__xludf.DUMMYFUNCTION("""COMPUTED_VALUE"""),"52585 - 52818 FOW")</f>
        <v>52585 - 52818 FOW</v>
      </c>
      <c r="C2" s="15" t="str">
        <f ca="1">IFERROR(__xludf.DUMMYFUNCTION("""COMPUTED_VALUE"""),"Start: 52585 / Stop: 52818")</f>
        <v>Start: 52585 / Stop: 52818</v>
      </c>
      <c r="D2" s="4"/>
    </row>
    <row r="3" spans="1:4" ht="15.75" customHeight="1" x14ac:dyDescent="0.15">
      <c r="A3" s="5" t="s">
        <v>3</v>
      </c>
      <c r="B3" s="17" t="str">
        <f ca="1">IFERROR(__xludf.DUMMYFUNCTION("""COMPUTED_VALUE"""),"DNA Master_86
Phamerator_87")</f>
        <v>DNA Master_86
Phamerator_87</v>
      </c>
      <c r="C3" s="17" t="str">
        <f ca="1">IFERROR(__xludf.DUMMYFUNCTION("""COMPUTED_VALUE"""),"DNA Master: Gene 86 / Phamerator: Gene 87")</f>
        <v>DNA Master: Gene 86 / Phamerator: Gene 87</v>
      </c>
      <c r="D3" s="6"/>
    </row>
    <row r="4" spans="1:4" ht="15.75" customHeight="1" x14ac:dyDescent="0.15">
      <c r="A4" s="5" t="s">
        <v>4</v>
      </c>
      <c r="B4" s="17" t="str">
        <f ca="1">IFERROR(__xludf.DUMMYFUNCTION("""COMPUTED_VALUE"""),"199559 3/17/25")</f>
        <v>199559 3/17/25</v>
      </c>
      <c r="C4" s="17">
        <f ca="1">IFERROR(__xludf.DUMMYFUNCTION("""COMPUTED_VALUE"""),199559)</f>
        <v>199559</v>
      </c>
      <c r="D4" s="6"/>
    </row>
    <row r="5" spans="1:4" ht="15.75" customHeight="1" x14ac:dyDescent="0.15">
      <c r="A5" s="5" t="s">
        <v>5</v>
      </c>
      <c r="B5" s="17" t="str">
        <f ca="1">IFERROR(__xludf.DUMMYFUNCTION("""COMPUTED_VALUE"""),"Kovu_85")</f>
        <v>Kovu_85</v>
      </c>
      <c r="C5" s="17"/>
      <c r="D5" s="6"/>
    </row>
    <row r="6" spans="1:4" ht="15.75" customHeight="1" x14ac:dyDescent="0.15">
      <c r="A6" s="5" t="s">
        <v>6</v>
      </c>
      <c r="B6" s="17" t="str">
        <f ca="1">IFERROR(__xludf.DUMMYFUNCTION("""COMPUTED_VALUE"""),"both call @bp 52585 strength 7.73")</f>
        <v>both call @bp 52585 strength 7.73</v>
      </c>
      <c r="C6" s="17" t="str">
        <f ca="1">IFERROR(__xludf.DUMMYFUNCTION("""COMPUTED_VALUE"""),"Glimmer and GeneMark call this gene")</f>
        <v>Glimmer and GeneMark call this gene</v>
      </c>
      <c r="D6" s="6"/>
    </row>
    <row r="7" spans="1:4" ht="15.75" customHeight="1" x14ac:dyDescent="0.15">
      <c r="A7" s="5" t="s">
        <v>7</v>
      </c>
      <c r="B7" s="17" t="str">
        <f ca="1">IFERROR(__xludf.DUMMYFUNCTION("""COMPUTED_VALUE"""),"previous starts have no coding potential, coding potential spikes after current start")</f>
        <v>previous starts have no coding potential, coding potential spikes after current start</v>
      </c>
      <c r="C7" s="17" t="str">
        <f ca="1">IFERROR(__xludf.DUMMYFUNCTION("""COMPUTED_VALUE"""),"There is a small amount of coding potential missed, but the previous gene catches it. Has good coding potential.")</f>
        <v>There is a small amount of coding potential missed, but the previous gene catches it. Has good coding potential.</v>
      </c>
      <c r="D7" s="6"/>
    </row>
    <row r="8" spans="1:4" ht="15.75" customHeight="1" x14ac:dyDescent="0.15">
      <c r="A8" s="5" t="s">
        <v>8</v>
      </c>
      <c r="B8" s="17" t="str">
        <f ca="1">IFERROR(__xludf.DUMMYFUNCTION("""COMPUTED_VALUE"""),"no, two other previous starts")</f>
        <v>no, two other previous starts</v>
      </c>
      <c r="C8" s="17" t="str">
        <f ca="1">IFERROR(__xludf.DUMMYFUNCTION("""COMPUTED_VALUE"""),"Longest possible ORF")</f>
        <v>Longest possible ORF</v>
      </c>
      <c r="D8" s="6"/>
    </row>
    <row r="9" spans="1:4" ht="15.75" customHeight="1" x14ac:dyDescent="0.15">
      <c r="A9" s="5" t="s">
        <v>9</v>
      </c>
      <c r="B9" s="17" t="str">
        <f ca="1">IFERROR(__xludf.DUMMYFUNCTION("""COMPUTED_VALUE"""),"gap of about 184 nt")</f>
        <v>gap of about 184 nt</v>
      </c>
      <c r="C9" s="17" t="str">
        <f ca="1">IFERROR(__xludf.DUMMYFUNCTION("""COMPUTED_VALUE"""),"7 bp overlap between gene 86 and gene 87")</f>
        <v>7 bp overlap between gene 86 and gene 87</v>
      </c>
      <c r="D9" s="6"/>
    </row>
    <row r="10" spans="1:4" ht="15.75" customHeight="1" x14ac:dyDescent="0.15">
      <c r="A10" s="5" t="s">
        <v>10</v>
      </c>
      <c r="B10" s="17" t="str">
        <f ca="1">IFERROR(__xludf.DUMMYFUNCTION("""COMPUTED_VALUE"""),"the previous start to the one called has the highest Z sore (2.106) 
the current start has the worst Z score (1.400)
Moving the start would decrease the gap")</f>
        <v>the previous start to the one called has the highest Z sore (2.106) 
the current start has the worst Z score (1.400)
Moving the start would decrease the gap</v>
      </c>
      <c r="C10" s="17" t="str">
        <f ca="1">IFERROR(__xludf.DUMMYFUNCTION("""COMPUTED_VALUE"""),"Z-score: 2.883 / Final score: -2.664")</f>
        <v>Z-score: 2.883 / Final score: -2.664</v>
      </c>
      <c r="D10" s="6"/>
    </row>
    <row r="11" spans="1:4" ht="15.75" customHeight="1" x14ac:dyDescent="0.15">
      <c r="A11" s="5" t="s">
        <v>11</v>
      </c>
      <c r="B11" s="17" t="str">
        <f ca="1">IFERROR(__xludf.DUMMYFUNCTION("""COMPUTED_VALUE"""),"Kovu_85; 90.91%; 1.1E-43; Q:1 T:1")</f>
        <v>Kovu_85; 90.91%; 1.1E-43; Q:1 T:1</v>
      </c>
      <c r="C11" s="17" t="str">
        <f ca="1">IFERROR(__xludf.DUMMYFUNCTION("""COMPUTED_VALUE"""),"Kovu_85 - % identity: 91% / e-value: 1e-43 / q1:s1")</f>
        <v>Kovu_85 - % identity: 91% / e-value: 1e-43 / q1:s1</v>
      </c>
      <c r="D11" s="6"/>
    </row>
    <row r="12" spans="1:4" ht="15.75" customHeight="1" x14ac:dyDescent="0.15">
      <c r="A12" s="5" t="s">
        <v>12</v>
      </c>
      <c r="B12" s="17" t="str">
        <f ca="1">IFERROR(__xludf.DUMMYFUNCTION("""COMPUTED_VALUE"""),"yes called 2 out of 2 times")</f>
        <v>yes called 2 out of 2 times</v>
      </c>
      <c r="C12" s="17" t="str">
        <f ca="1">IFERROR(__xludf.DUMMYFUNCTION("""COMPUTED_VALUE"""),"Found in 2 of 2 genes in the pham / Called 100% of the time")</f>
        <v>Found in 2 of 2 genes in the pham / Called 100% of the time</v>
      </c>
      <c r="D12" s="6"/>
    </row>
    <row r="13" spans="1:4" ht="15.75" customHeight="1" x14ac:dyDescent="0.15">
      <c r="A13" s="5" t="s">
        <v>13</v>
      </c>
      <c r="B13" s="17" t="str">
        <f ca="1">IFERROR(__xludf.DUMMYFUNCTION("""COMPUTED_VALUE"""),"Yes, I would move the start to the previous start to lower the gap. Although the previous start has lower coding potential, it has the best Z score. ")</f>
        <v xml:space="preserve">Yes, I would move the start to the previous start to lower the gap. Although the previous start has lower coding potential, it has the best Z score. </v>
      </c>
      <c r="C13" s="17" t="str">
        <f ca="1">IFERROR(__xludf.DUMMYFUNCTION("""COMPUTED_VALUE"""),"Start should remain as is. Other member in the pham calls the same start / any missing coding potential is caught by the gene before.")</f>
        <v>Start should remain as is. Other member in the pham calls the same start / any missing coding potential is caught by the gene before.</v>
      </c>
      <c r="D13" s="6"/>
    </row>
    <row r="14" spans="1:4" ht="15.75" customHeight="1" x14ac:dyDescent="0.15">
      <c r="A14" s="5" t="s">
        <v>14</v>
      </c>
      <c r="B14" s="17" t="str">
        <f ca="1">IFERROR(__xludf.DUMMYFUNCTION("""COMPUTED_VALUE"""),"Kovu_85 5e-41 
Waltz_82 2e-36 ")</f>
        <v xml:space="preserve">Kovu_85 5e-41 
Waltz_82 2e-36 </v>
      </c>
      <c r="C14" s="17" t="str">
        <f ca="1">IFERROR(__xludf.DUMMYFUNCTION("""COMPUTED_VALUE"""),"Kovu_85 - e-value: 2e-36")</f>
        <v>Kovu_85 - e-value: 2e-36</v>
      </c>
      <c r="D14" s="6"/>
    </row>
    <row r="15" spans="1:4" ht="15.75" customHeight="1" x14ac:dyDescent="0.15">
      <c r="A15" s="5" t="s">
        <v>15</v>
      </c>
      <c r="B15" s="17" t="str">
        <f ca="1">IFERROR(__xludf.DUMMYFUNCTION("""COMPUTED_VALUE"""),"function unknown")</f>
        <v>function unknown</v>
      </c>
      <c r="C15" s="17" t="str">
        <f ca="1">IFERROR(__xludf.DUMMYFUNCTION("""COMPUTED_VALUE"""),"Function unknow / hypothetical protein ")</f>
        <v xml:space="preserve">Function unknow / hypothetical protein </v>
      </c>
      <c r="D15" s="6"/>
    </row>
    <row r="16" spans="1:4" ht="15.75" customHeight="1" x14ac:dyDescent="0.15">
      <c r="A16" s="5" t="s">
        <v>16</v>
      </c>
      <c r="B16" s="17" t="str">
        <f ca="1">IFERROR(__xludf.DUMMYFUNCTION("""COMPUTED_VALUE"""),"Close match to Kovu's genetic environment")</f>
        <v>Close match to Kovu's genetic environment</v>
      </c>
      <c r="C16" s="17" t="str">
        <f ca="1">IFERROR(__xludf.DUMMYFUNCTION("""COMPUTED_VALUE"""),"Function is as expected / adjacent to Kovu_85 ")</f>
        <v xml:space="preserve">Function is as expected / adjacent to Kovu_85 </v>
      </c>
      <c r="D16" s="6"/>
    </row>
    <row r="17" spans="1:4" ht="15.75" customHeight="1" x14ac:dyDescent="0.15">
      <c r="A17" s="5" t="s">
        <v>17</v>
      </c>
      <c r="B17" s="17" t="str">
        <f ca="1">IFERROR(__xludf.DUMMYFUNCTION("""COMPUTED_VALUE"""),"Centromere-binding protein ParB C-terminal
probability:81.91%
% alignment Q: 37.67%
% alignment T: 61.70%")</f>
        <v>Centromere-binding protein ParB C-terminal
probability:81.91%
% alignment Q: 37.67%
% alignment T: 61.70%</v>
      </c>
      <c r="C17" s="17" t="str">
        <f ca="1">IFERROR(__xludf.DUMMYFUNCTION("""COMPUTED_VALUE"""),"No solid matches to consider or rely on for further exploration.")</f>
        <v>No solid matches to consider or rely on for further exploration.</v>
      </c>
      <c r="D17" s="6"/>
    </row>
    <row r="18" spans="1:4" ht="15.75" customHeight="1" x14ac:dyDescent="0.15">
      <c r="A18" s="5" t="s">
        <v>18</v>
      </c>
      <c r="B18" s="17" t="str">
        <f ca="1">IFERROR(__xludf.DUMMYFUNCTION("""COMPUTED_VALUE"""),"no")</f>
        <v>no</v>
      </c>
      <c r="C18" s="17" t="str">
        <f ca="1">IFERROR(__xludf.DUMMYFUNCTION("""COMPUTED_VALUE"""),"No conserved domain identified")</f>
        <v>No conserved domain identified</v>
      </c>
      <c r="D18" s="6"/>
    </row>
    <row r="19" spans="1:4" ht="15.75" customHeight="1" x14ac:dyDescent="0.15">
      <c r="A19" s="5" t="s">
        <v>19</v>
      </c>
      <c r="B19" s="17" t="str">
        <f ca="1">IFERROR(__xludf.DUMMYFUNCTION("""COMPUTED_VALUE"""),"no")</f>
        <v>no</v>
      </c>
      <c r="C19" s="17" t="str">
        <f ca="1">IFERROR(__xludf.DUMMYFUNCTION("""COMPUTED_VALUE"""),"No membrane protein identified")</f>
        <v>No membrane protein identified</v>
      </c>
      <c r="D19" s="6"/>
    </row>
    <row r="20" spans="1:4" ht="15.75" customHeight="1" x14ac:dyDescent="0.15">
      <c r="A20" s="5" t="s">
        <v>20</v>
      </c>
      <c r="B20" s="17" t="str">
        <f ca="1">IFERROR(__xludf.DUMMYFUNCTION("""COMPUTED_VALUE"""),"hypothetical protein; matches with Kovu; HHpred results have low E values ")</f>
        <v xml:space="preserve">hypothetical protein; matches with Kovu; HHpred results have low E values </v>
      </c>
      <c r="C20" s="17" t="str">
        <f ca="1">IFERROR(__xludf.DUMMYFUNCTION("""COMPUTED_VALUE"""),"Hypothetical protein ( Rationale: There isn't much solid information to give a function to this gene. Matches with the adjacent gene well. but that gene also has a unknown function. )")</f>
        <v>Hypothetical protein ( Rationale: There isn't much solid information to give a function to this gene. Matches with the adjacent gene well. but that gene also has a unknown function. )</v>
      </c>
      <c r="D20" s="6"/>
    </row>
    <row r="21" spans="1:4" x14ac:dyDescent="0.2">
      <c r="A21" s="7"/>
      <c r="B21" s="19"/>
      <c r="C21" s="19"/>
      <c r="D21" s="8"/>
    </row>
    <row r="22" spans="1:4" ht="15.75" customHeight="1" x14ac:dyDescent="0.15">
      <c r="A22" s="9" t="s">
        <v>21</v>
      </c>
      <c r="B22" s="19"/>
      <c r="C22" s="19"/>
      <c r="D22" s="8"/>
    </row>
    <row r="23" spans="1:4" ht="15.75" customHeight="1" x14ac:dyDescent="0.15">
      <c r="A23" s="10"/>
      <c r="B23" s="13"/>
      <c r="C23" s="13"/>
    </row>
    <row r="24" spans="1:4" ht="15.75" customHeight="1" x14ac:dyDescent="0.15">
      <c r="A24" s="10"/>
      <c r="B24" s="13"/>
      <c r="C24" s="13"/>
    </row>
    <row r="25" spans="1:4" ht="15.75" customHeight="1" x14ac:dyDescent="0.15">
      <c r="A25" s="10"/>
      <c r="B25" s="13"/>
      <c r="C25" s="13"/>
    </row>
    <row r="26" spans="1:4" ht="15.75" customHeight="1" x14ac:dyDescent="0.15">
      <c r="A26" s="10"/>
      <c r="B26" s="13"/>
      <c r="C26" s="13"/>
    </row>
    <row r="27" spans="1:4" ht="15.75" customHeight="1" x14ac:dyDescent="0.15">
      <c r="A27" s="10"/>
      <c r="B27" s="13"/>
      <c r="C27" s="13"/>
    </row>
    <row r="28" spans="1:4" ht="15.75" customHeight="1" x14ac:dyDescent="0.15">
      <c r="A28" s="10"/>
      <c r="B28" s="13"/>
      <c r="C28" s="13"/>
    </row>
    <row r="29" spans="1:4" ht="15.75" customHeight="1" x14ac:dyDescent="0.15">
      <c r="A29" s="10"/>
      <c r="B29" s="13"/>
      <c r="C29" s="13"/>
    </row>
    <row r="30" spans="1:4" ht="15.75" customHeight="1" x14ac:dyDescent="0.15">
      <c r="A30" s="10"/>
      <c r="B30" s="13"/>
      <c r="C30" s="13"/>
    </row>
    <row r="31" spans="1:4" ht="15.75" customHeight="1" x14ac:dyDescent="0.15">
      <c r="A31" s="10"/>
      <c r="B31" s="13"/>
      <c r="C31" s="13"/>
    </row>
    <row r="32" spans="1:4" ht="15.75" customHeight="1" x14ac:dyDescent="0.15">
      <c r="A32" s="10"/>
      <c r="B32" s="13"/>
      <c r="C32" s="13"/>
    </row>
    <row r="33" spans="1:3" ht="15.75" customHeight="1" x14ac:dyDescent="0.15">
      <c r="A33" s="10"/>
      <c r="B33" s="13"/>
      <c r="C33" s="13"/>
    </row>
    <row r="34" spans="1:3" ht="15.75" customHeight="1" x14ac:dyDescent="0.15">
      <c r="A34" s="10"/>
      <c r="B34" s="13"/>
      <c r="C34" s="13"/>
    </row>
    <row r="35" spans="1:3" ht="15.75" customHeight="1" x14ac:dyDescent="0.15">
      <c r="A35" s="10"/>
      <c r="B35" s="13"/>
      <c r="C35" s="13"/>
    </row>
    <row r="36" spans="1:3" ht="15.75" customHeight="1" x14ac:dyDescent="0.15">
      <c r="A36" s="10"/>
      <c r="B36" s="13"/>
      <c r="C36" s="13"/>
    </row>
    <row r="37" spans="1:3" ht="15.75" customHeight="1" x14ac:dyDescent="0.15">
      <c r="A37" s="10"/>
      <c r="B37" s="13"/>
      <c r="C37" s="13"/>
    </row>
    <row r="38" spans="1:3" ht="15.75" customHeight="1" x14ac:dyDescent="0.15">
      <c r="A38" s="10"/>
      <c r="B38" s="13"/>
      <c r="C38" s="13"/>
    </row>
    <row r="39" spans="1:3" ht="13" x14ac:dyDescent="0.15">
      <c r="A39" s="10"/>
      <c r="B39" s="13"/>
      <c r="C39" s="13"/>
    </row>
    <row r="40" spans="1:3" ht="13" x14ac:dyDescent="0.15">
      <c r="A40" s="10"/>
      <c r="B40" s="13"/>
      <c r="C40" s="13"/>
    </row>
    <row r="41" spans="1:3" ht="13" x14ac:dyDescent="0.15">
      <c r="A41" s="10"/>
      <c r="B41" s="13"/>
      <c r="C41" s="13"/>
    </row>
    <row r="42" spans="1:3" ht="13" x14ac:dyDescent="0.15">
      <c r="A42" s="10"/>
      <c r="B42" s="13"/>
      <c r="C42" s="13"/>
    </row>
    <row r="43" spans="1:3" ht="13" x14ac:dyDescent="0.15">
      <c r="A43" s="10"/>
      <c r="B43" s="13"/>
      <c r="C43" s="13"/>
    </row>
    <row r="44" spans="1:3" ht="13" x14ac:dyDescent="0.15">
      <c r="A44" s="10"/>
      <c r="B44" s="13"/>
      <c r="C44" s="13"/>
    </row>
    <row r="45" spans="1:3" ht="13" x14ac:dyDescent="0.15">
      <c r="A45" s="10"/>
      <c r="B45" s="13"/>
      <c r="C45" s="13"/>
    </row>
    <row r="46" spans="1:3" ht="13" x14ac:dyDescent="0.15">
      <c r="A46" s="10"/>
      <c r="B46" s="13"/>
      <c r="C46" s="13"/>
    </row>
    <row r="47" spans="1:3" ht="13" x14ac:dyDescent="0.15">
      <c r="A47" s="10"/>
      <c r="B47" s="13"/>
      <c r="C47" s="13"/>
    </row>
    <row r="48" spans="1:3" ht="13" x14ac:dyDescent="0.15">
      <c r="A48" s="10"/>
      <c r="B48" s="13"/>
      <c r="C48" s="13"/>
    </row>
    <row r="49" spans="1:3" ht="13" x14ac:dyDescent="0.15">
      <c r="A49" s="10"/>
      <c r="B49" s="13"/>
      <c r="C49" s="13"/>
    </row>
    <row r="50" spans="1:3" ht="13" x14ac:dyDescent="0.15">
      <c r="A50" s="10"/>
      <c r="B50" s="13"/>
      <c r="C50" s="13"/>
    </row>
    <row r="51" spans="1:3" ht="13" x14ac:dyDescent="0.15">
      <c r="A51" s="10"/>
      <c r="B51" s="13"/>
      <c r="C51" s="13"/>
    </row>
    <row r="52" spans="1:3" ht="13" x14ac:dyDescent="0.15">
      <c r="A52" s="10"/>
      <c r="B52" s="13"/>
      <c r="C52" s="13"/>
    </row>
    <row r="53" spans="1:3" ht="13" x14ac:dyDescent="0.15">
      <c r="A53" s="10"/>
      <c r="B53" s="13"/>
      <c r="C53" s="13"/>
    </row>
    <row r="54" spans="1:3" ht="13" x14ac:dyDescent="0.15">
      <c r="A54" s="10"/>
      <c r="B54" s="13"/>
      <c r="C54" s="13"/>
    </row>
    <row r="55" spans="1:3" ht="13" x14ac:dyDescent="0.15">
      <c r="A55" s="10"/>
      <c r="B55" s="13"/>
      <c r="C55" s="13"/>
    </row>
    <row r="56" spans="1:3" ht="13" x14ac:dyDescent="0.15">
      <c r="A56" s="10"/>
      <c r="B56" s="13"/>
      <c r="C56" s="13"/>
    </row>
    <row r="57" spans="1:3" ht="13" x14ac:dyDescent="0.15">
      <c r="A57" s="10"/>
      <c r="B57" s="13"/>
      <c r="C57" s="13"/>
    </row>
    <row r="58" spans="1:3" ht="13" x14ac:dyDescent="0.15">
      <c r="A58" s="10"/>
      <c r="B58" s="13"/>
      <c r="C58" s="13"/>
    </row>
    <row r="59" spans="1:3" ht="13" x14ac:dyDescent="0.15">
      <c r="A59" s="10"/>
      <c r="B59" s="13"/>
      <c r="C59" s="13"/>
    </row>
    <row r="60" spans="1:3" ht="13" x14ac:dyDescent="0.15">
      <c r="A60" s="10"/>
      <c r="B60" s="13"/>
      <c r="C60" s="13"/>
    </row>
    <row r="61" spans="1:3" ht="13" x14ac:dyDescent="0.15">
      <c r="A61" s="10"/>
      <c r="B61" s="13"/>
      <c r="C61" s="13"/>
    </row>
    <row r="62" spans="1:3" ht="13" x14ac:dyDescent="0.15">
      <c r="A62" s="10"/>
      <c r="B62" s="13"/>
      <c r="C62" s="13"/>
    </row>
    <row r="63" spans="1:3" ht="13" x14ac:dyDescent="0.15">
      <c r="A63" s="10"/>
      <c r="B63" s="13"/>
      <c r="C63" s="13"/>
    </row>
    <row r="64" spans="1:3" ht="13" x14ac:dyDescent="0.15">
      <c r="A64" s="10"/>
      <c r="B64" s="13"/>
      <c r="C64" s="13"/>
    </row>
    <row r="65" spans="1:3" ht="13" x14ac:dyDescent="0.15">
      <c r="A65" s="10"/>
      <c r="B65" s="13"/>
      <c r="C65" s="13"/>
    </row>
    <row r="66" spans="1:3" ht="13" x14ac:dyDescent="0.15">
      <c r="A66" s="10"/>
      <c r="B66" s="13"/>
      <c r="C66" s="13"/>
    </row>
    <row r="67" spans="1:3" ht="13" x14ac:dyDescent="0.15">
      <c r="A67" s="10"/>
      <c r="B67" s="13"/>
      <c r="C67" s="13"/>
    </row>
    <row r="68" spans="1:3" ht="13" x14ac:dyDescent="0.15">
      <c r="A68" s="10"/>
      <c r="B68" s="13"/>
      <c r="C68" s="13"/>
    </row>
    <row r="69" spans="1:3" ht="13" x14ac:dyDescent="0.15">
      <c r="A69" s="10"/>
      <c r="B69" s="13"/>
      <c r="C69" s="13"/>
    </row>
    <row r="70" spans="1:3" ht="13" x14ac:dyDescent="0.15">
      <c r="A70" s="10"/>
      <c r="B70" s="13"/>
      <c r="C70" s="13"/>
    </row>
    <row r="71" spans="1:3" ht="13" x14ac:dyDescent="0.15">
      <c r="A71" s="10"/>
      <c r="B71" s="13"/>
      <c r="C71" s="13"/>
    </row>
    <row r="72" spans="1:3" ht="13" x14ac:dyDescent="0.15">
      <c r="A72" s="10"/>
      <c r="B72" s="13"/>
      <c r="C72" s="13"/>
    </row>
    <row r="73" spans="1:3" ht="13" x14ac:dyDescent="0.15">
      <c r="A73" s="10"/>
      <c r="B73" s="13"/>
      <c r="C73" s="13"/>
    </row>
    <row r="74" spans="1:3" ht="13" x14ac:dyDescent="0.15">
      <c r="A74" s="10"/>
      <c r="B74" s="13"/>
      <c r="C74" s="13"/>
    </row>
    <row r="75" spans="1:3" ht="13" x14ac:dyDescent="0.15">
      <c r="A75" s="10"/>
      <c r="B75" s="13"/>
      <c r="C75" s="13"/>
    </row>
    <row r="76" spans="1:3" ht="13" x14ac:dyDescent="0.15">
      <c r="A76" s="10"/>
      <c r="B76" s="13"/>
      <c r="C76" s="13"/>
    </row>
    <row r="77" spans="1:3" ht="13" x14ac:dyDescent="0.15">
      <c r="A77" s="10"/>
      <c r="B77" s="13"/>
      <c r="C77" s="13"/>
    </row>
    <row r="78" spans="1:3" ht="13" x14ac:dyDescent="0.15">
      <c r="A78" s="10"/>
      <c r="B78" s="13"/>
      <c r="C78" s="13"/>
    </row>
    <row r="79" spans="1:3" ht="13" x14ac:dyDescent="0.15">
      <c r="A79" s="10"/>
      <c r="B79" s="13"/>
      <c r="C79" s="13"/>
    </row>
    <row r="80" spans="1:3" ht="13" x14ac:dyDescent="0.15">
      <c r="A80" s="10"/>
      <c r="B80" s="13"/>
      <c r="C80" s="13"/>
    </row>
    <row r="81" spans="1:3" ht="13" x14ac:dyDescent="0.15">
      <c r="A81" s="10"/>
      <c r="B81" s="13"/>
      <c r="C81" s="13"/>
    </row>
    <row r="82" spans="1:3" ht="13" x14ac:dyDescent="0.15">
      <c r="A82" s="10"/>
      <c r="B82" s="13"/>
      <c r="C82" s="13"/>
    </row>
    <row r="83" spans="1:3" ht="13" x14ac:dyDescent="0.15">
      <c r="A83" s="10"/>
      <c r="B83" s="13"/>
      <c r="C83" s="13"/>
    </row>
    <row r="84" spans="1:3" ht="13" x14ac:dyDescent="0.15">
      <c r="A84" s="10"/>
      <c r="B84" s="13"/>
      <c r="C84" s="13"/>
    </row>
    <row r="85" spans="1:3" ht="13" x14ac:dyDescent="0.15">
      <c r="A85" s="10"/>
      <c r="B85" s="13"/>
      <c r="C85" s="13"/>
    </row>
    <row r="86" spans="1:3" ht="13" x14ac:dyDescent="0.15">
      <c r="A86" s="10"/>
      <c r="B86" s="13"/>
      <c r="C86" s="13"/>
    </row>
    <row r="87" spans="1:3" ht="13" x14ac:dyDescent="0.15">
      <c r="A87" s="10"/>
      <c r="B87" s="13"/>
      <c r="C87" s="13"/>
    </row>
    <row r="88" spans="1:3" ht="13" x14ac:dyDescent="0.15">
      <c r="A88" s="10"/>
      <c r="B88" s="13"/>
      <c r="C88" s="13"/>
    </row>
    <row r="89" spans="1:3" ht="13" x14ac:dyDescent="0.15">
      <c r="A89" s="10"/>
      <c r="B89" s="13"/>
      <c r="C89" s="13"/>
    </row>
    <row r="90" spans="1:3" ht="13" x14ac:dyDescent="0.15">
      <c r="A90" s="10"/>
      <c r="B90" s="13"/>
      <c r="C90" s="13"/>
    </row>
    <row r="91" spans="1:3" ht="13" x14ac:dyDescent="0.15">
      <c r="A91" s="10"/>
      <c r="B91" s="13"/>
      <c r="C91" s="13"/>
    </row>
    <row r="92" spans="1:3" ht="13" x14ac:dyDescent="0.15">
      <c r="A92" s="10"/>
      <c r="B92" s="13"/>
      <c r="C92" s="13"/>
    </row>
    <row r="93" spans="1:3" ht="13" x14ac:dyDescent="0.15">
      <c r="A93" s="10"/>
      <c r="B93" s="13"/>
      <c r="C93" s="13"/>
    </row>
    <row r="94" spans="1:3" ht="13" x14ac:dyDescent="0.15">
      <c r="A94" s="10"/>
      <c r="B94" s="13"/>
      <c r="C94" s="13"/>
    </row>
    <row r="95" spans="1:3" ht="13" x14ac:dyDescent="0.15">
      <c r="A95" s="10"/>
      <c r="B95" s="13"/>
      <c r="C95" s="13"/>
    </row>
    <row r="96" spans="1:3" ht="13" x14ac:dyDescent="0.15">
      <c r="A96" s="10"/>
      <c r="B96" s="13"/>
      <c r="C96" s="13"/>
    </row>
    <row r="97" spans="1:3" ht="13" x14ac:dyDescent="0.15">
      <c r="A97" s="10"/>
      <c r="B97" s="13"/>
      <c r="C97" s="13"/>
    </row>
    <row r="98" spans="1:3" ht="13" x14ac:dyDescent="0.15">
      <c r="A98" s="10"/>
      <c r="B98" s="13"/>
      <c r="C98" s="13"/>
    </row>
    <row r="99" spans="1:3" ht="13" x14ac:dyDescent="0.15">
      <c r="A99" s="10"/>
      <c r="B99" s="13"/>
      <c r="C99" s="13"/>
    </row>
    <row r="100" spans="1:3" ht="13" x14ac:dyDescent="0.15">
      <c r="A100" s="10"/>
      <c r="B100" s="13"/>
      <c r="C100" s="13"/>
    </row>
    <row r="101" spans="1:3" ht="13" x14ac:dyDescent="0.15">
      <c r="A101" s="10"/>
      <c r="B101" s="13"/>
      <c r="C101" s="13"/>
    </row>
    <row r="102" spans="1:3" ht="13" x14ac:dyDescent="0.15">
      <c r="A102" s="10"/>
      <c r="B102" s="13"/>
      <c r="C102" s="13"/>
    </row>
    <row r="103" spans="1:3" ht="13" x14ac:dyDescent="0.15">
      <c r="A103" s="10"/>
      <c r="B103" s="13"/>
      <c r="C103" s="13"/>
    </row>
    <row r="104" spans="1:3" ht="13" x14ac:dyDescent="0.15">
      <c r="A104" s="10"/>
      <c r="B104" s="13"/>
      <c r="C104" s="13"/>
    </row>
    <row r="105" spans="1:3" ht="13" x14ac:dyDescent="0.15">
      <c r="A105" s="10"/>
      <c r="B105" s="13"/>
      <c r="C105" s="13"/>
    </row>
    <row r="106" spans="1:3" ht="13" x14ac:dyDescent="0.15">
      <c r="A106" s="10"/>
      <c r="B106" s="13"/>
      <c r="C106" s="13"/>
    </row>
    <row r="107" spans="1:3" ht="13" x14ac:dyDescent="0.15">
      <c r="A107" s="10"/>
      <c r="B107" s="13"/>
      <c r="C107" s="13"/>
    </row>
    <row r="108" spans="1:3" ht="13" x14ac:dyDescent="0.15">
      <c r="A108" s="10"/>
      <c r="B108" s="13"/>
      <c r="C108" s="13"/>
    </row>
    <row r="109" spans="1:3" ht="13" x14ac:dyDescent="0.15">
      <c r="A109" s="10"/>
      <c r="B109" s="13"/>
      <c r="C109" s="13"/>
    </row>
    <row r="110" spans="1:3" ht="13" x14ac:dyDescent="0.15">
      <c r="A110" s="10"/>
      <c r="B110" s="13"/>
      <c r="C110" s="13"/>
    </row>
    <row r="111" spans="1:3" ht="13" x14ac:dyDescent="0.15">
      <c r="A111" s="10"/>
      <c r="B111" s="13"/>
      <c r="C111" s="13"/>
    </row>
    <row r="112" spans="1:3" ht="13" x14ac:dyDescent="0.15">
      <c r="A112" s="10"/>
      <c r="B112" s="13"/>
      <c r="C112" s="13"/>
    </row>
    <row r="113" spans="1:3" ht="13" x14ac:dyDescent="0.15">
      <c r="A113" s="10"/>
      <c r="B113" s="13"/>
      <c r="C113" s="13"/>
    </row>
    <row r="114" spans="1:3" ht="13" x14ac:dyDescent="0.15">
      <c r="A114" s="10"/>
      <c r="B114" s="13"/>
      <c r="C114" s="13"/>
    </row>
    <row r="115" spans="1:3" ht="13" x14ac:dyDescent="0.15">
      <c r="A115" s="10"/>
      <c r="B115" s="13"/>
      <c r="C115" s="13"/>
    </row>
    <row r="116" spans="1:3" ht="13" x14ac:dyDescent="0.15">
      <c r="A116" s="10"/>
      <c r="B116" s="13"/>
      <c r="C116" s="13"/>
    </row>
    <row r="117" spans="1:3" ht="13" x14ac:dyDescent="0.15">
      <c r="A117" s="10"/>
      <c r="B117" s="13"/>
      <c r="C117" s="13"/>
    </row>
    <row r="118" spans="1:3" ht="13" x14ac:dyDescent="0.15">
      <c r="A118" s="10"/>
      <c r="B118" s="13"/>
      <c r="C118" s="13"/>
    </row>
    <row r="119" spans="1:3" ht="13" x14ac:dyDescent="0.15">
      <c r="A119" s="10"/>
      <c r="B119" s="13"/>
      <c r="C119" s="13"/>
    </row>
    <row r="120" spans="1:3" ht="13" x14ac:dyDescent="0.15">
      <c r="A120" s="10"/>
      <c r="B120" s="13"/>
      <c r="C120" s="13"/>
    </row>
    <row r="121" spans="1:3" ht="13" x14ac:dyDescent="0.15">
      <c r="A121" s="10"/>
      <c r="B121" s="13"/>
      <c r="C121" s="13"/>
    </row>
    <row r="122" spans="1:3" ht="13" x14ac:dyDescent="0.15">
      <c r="A122" s="10"/>
      <c r="B122" s="13"/>
      <c r="C122" s="13"/>
    </row>
    <row r="123" spans="1:3" ht="13" x14ac:dyDescent="0.15">
      <c r="A123" s="10"/>
      <c r="B123" s="13"/>
      <c r="C123" s="13"/>
    </row>
    <row r="124" spans="1:3" ht="13" x14ac:dyDescent="0.15">
      <c r="A124" s="10"/>
      <c r="B124" s="13"/>
      <c r="C124" s="13"/>
    </row>
    <row r="125" spans="1:3" ht="13" x14ac:dyDescent="0.15">
      <c r="A125" s="10"/>
      <c r="B125" s="13"/>
      <c r="C125" s="13"/>
    </row>
    <row r="126" spans="1:3" ht="13" x14ac:dyDescent="0.15">
      <c r="A126" s="10"/>
      <c r="B126" s="13"/>
      <c r="C126" s="13"/>
    </row>
    <row r="127" spans="1:3" ht="13" x14ac:dyDescent="0.15">
      <c r="A127" s="10"/>
      <c r="B127" s="13"/>
      <c r="C127" s="13"/>
    </row>
    <row r="128" spans="1:3" ht="13" x14ac:dyDescent="0.15">
      <c r="A128" s="10"/>
      <c r="B128" s="13"/>
      <c r="C128" s="13"/>
    </row>
    <row r="129" spans="1:3" ht="13" x14ac:dyDescent="0.15">
      <c r="A129" s="10"/>
      <c r="B129" s="13"/>
      <c r="C129" s="13"/>
    </row>
    <row r="130" spans="1:3" ht="13" x14ac:dyDescent="0.15">
      <c r="A130" s="10"/>
      <c r="B130" s="13"/>
      <c r="C130" s="13"/>
    </row>
    <row r="131" spans="1:3" ht="13" x14ac:dyDescent="0.15">
      <c r="A131" s="10"/>
      <c r="B131" s="13"/>
      <c r="C131" s="13"/>
    </row>
    <row r="132" spans="1:3" ht="13" x14ac:dyDescent="0.15">
      <c r="A132" s="10"/>
      <c r="B132" s="13"/>
      <c r="C132" s="13"/>
    </row>
    <row r="133" spans="1:3" ht="13" x14ac:dyDescent="0.15">
      <c r="A133" s="10"/>
      <c r="B133" s="13"/>
      <c r="C133" s="13"/>
    </row>
    <row r="134" spans="1:3" ht="13" x14ac:dyDescent="0.15">
      <c r="A134" s="10"/>
      <c r="B134" s="13"/>
      <c r="C134" s="13"/>
    </row>
    <row r="135" spans="1:3" ht="13" x14ac:dyDescent="0.15">
      <c r="A135" s="10"/>
      <c r="B135" s="13"/>
      <c r="C135" s="13"/>
    </row>
    <row r="136" spans="1:3" ht="13" x14ac:dyDescent="0.15">
      <c r="A136" s="10"/>
      <c r="B136" s="13"/>
      <c r="C136" s="13"/>
    </row>
    <row r="137" spans="1:3" ht="13" x14ac:dyDescent="0.15">
      <c r="A137" s="10"/>
      <c r="B137" s="13"/>
      <c r="C137" s="13"/>
    </row>
    <row r="138" spans="1:3" ht="13" x14ac:dyDescent="0.15">
      <c r="A138" s="10"/>
      <c r="B138" s="13"/>
      <c r="C138" s="13"/>
    </row>
    <row r="139" spans="1:3" ht="13" x14ac:dyDescent="0.15">
      <c r="A139" s="10"/>
      <c r="B139" s="13"/>
      <c r="C139" s="13"/>
    </row>
    <row r="140" spans="1:3" ht="13" x14ac:dyDescent="0.15">
      <c r="A140" s="10"/>
      <c r="B140" s="13"/>
      <c r="C140" s="13"/>
    </row>
    <row r="141" spans="1:3" ht="13" x14ac:dyDescent="0.15">
      <c r="A141" s="10"/>
      <c r="B141" s="13"/>
      <c r="C141" s="13"/>
    </row>
    <row r="142" spans="1:3" ht="13" x14ac:dyDescent="0.15">
      <c r="A142" s="10"/>
      <c r="B142" s="13"/>
      <c r="C142" s="13"/>
    </row>
    <row r="143" spans="1:3" ht="13" x14ac:dyDescent="0.15">
      <c r="A143" s="10"/>
      <c r="B143" s="13"/>
      <c r="C143" s="13"/>
    </row>
    <row r="144" spans="1:3" ht="13" x14ac:dyDescent="0.15">
      <c r="A144" s="10"/>
      <c r="B144" s="13"/>
      <c r="C144" s="13"/>
    </row>
    <row r="145" spans="1:3" ht="13" x14ac:dyDescent="0.15">
      <c r="A145" s="10"/>
      <c r="B145" s="13"/>
      <c r="C145" s="13"/>
    </row>
    <row r="146" spans="1:3" ht="13" x14ac:dyDescent="0.15">
      <c r="A146" s="10"/>
      <c r="B146" s="13"/>
      <c r="C146" s="13"/>
    </row>
    <row r="147" spans="1:3" ht="13" x14ac:dyDescent="0.15">
      <c r="A147" s="10"/>
      <c r="B147" s="13"/>
      <c r="C147" s="13"/>
    </row>
    <row r="148" spans="1:3" ht="13" x14ac:dyDescent="0.15">
      <c r="A148" s="10"/>
      <c r="B148" s="13"/>
      <c r="C148" s="13"/>
    </row>
    <row r="149" spans="1:3" ht="13" x14ac:dyDescent="0.15">
      <c r="A149" s="10"/>
      <c r="B149" s="13"/>
      <c r="C149" s="13"/>
    </row>
    <row r="150" spans="1:3" ht="13" x14ac:dyDescent="0.15">
      <c r="A150" s="10"/>
      <c r="B150" s="13"/>
      <c r="C150" s="13"/>
    </row>
    <row r="151" spans="1:3" ht="13" x14ac:dyDescent="0.15">
      <c r="A151" s="10"/>
      <c r="B151" s="13"/>
      <c r="C151" s="13"/>
    </row>
    <row r="152" spans="1:3" ht="13" x14ac:dyDescent="0.15">
      <c r="A152" s="10"/>
      <c r="B152" s="13"/>
      <c r="C152" s="13"/>
    </row>
    <row r="153" spans="1:3" ht="13" x14ac:dyDescent="0.15">
      <c r="A153" s="10"/>
      <c r="B153" s="13"/>
      <c r="C153" s="13"/>
    </row>
    <row r="154" spans="1:3" ht="13" x14ac:dyDescent="0.15">
      <c r="A154" s="10"/>
      <c r="B154" s="13"/>
      <c r="C154" s="13"/>
    </row>
    <row r="155" spans="1:3" ht="13" x14ac:dyDescent="0.15">
      <c r="A155" s="10"/>
      <c r="B155" s="13"/>
      <c r="C155" s="13"/>
    </row>
    <row r="156" spans="1:3" ht="13" x14ac:dyDescent="0.15">
      <c r="A156" s="10"/>
      <c r="B156" s="13"/>
      <c r="C156" s="13"/>
    </row>
    <row r="157" spans="1:3" ht="13" x14ac:dyDescent="0.15">
      <c r="A157" s="10"/>
      <c r="B157" s="13"/>
      <c r="C157" s="13"/>
    </row>
    <row r="158" spans="1:3" ht="13" x14ac:dyDescent="0.15">
      <c r="A158" s="10"/>
      <c r="B158" s="13"/>
      <c r="C158" s="13"/>
    </row>
    <row r="159" spans="1:3" ht="13" x14ac:dyDescent="0.15">
      <c r="A159" s="10"/>
      <c r="B159" s="13"/>
      <c r="C159" s="13"/>
    </row>
    <row r="160" spans="1:3" ht="13" x14ac:dyDescent="0.15">
      <c r="A160" s="10"/>
      <c r="B160" s="13"/>
      <c r="C160" s="13"/>
    </row>
    <row r="161" spans="1:3" ht="13" x14ac:dyDescent="0.15">
      <c r="A161" s="10"/>
      <c r="B161" s="13"/>
      <c r="C161" s="13"/>
    </row>
    <row r="162" spans="1:3" ht="13" x14ac:dyDescent="0.15">
      <c r="A162" s="10"/>
      <c r="B162" s="13"/>
      <c r="C162" s="13"/>
    </row>
    <row r="163" spans="1:3" ht="13" x14ac:dyDescent="0.15">
      <c r="A163" s="10"/>
      <c r="B163" s="13"/>
      <c r="C163" s="13"/>
    </row>
    <row r="164" spans="1:3" ht="13" x14ac:dyDescent="0.15">
      <c r="A164" s="10"/>
      <c r="B164" s="13"/>
      <c r="C164" s="13"/>
    </row>
    <row r="165" spans="1:3" ht="13" x14ac:dyDescent="0.15">
      <c r="A165" s="10"/>
      <c r="B165" s="13"/>
      <c r="C165" s="13"/>
    </row>
    <row r="166" spans="1:3" ht="13" x14ac:dyDescent="0.15">
      <c r="A166" s="10"/>
      <c r="B166" s="13"/>
      <c r="C166" s="13"/>
    </row>
    <row r="167" spans="1:3" ht="13" x14ac:dyDescent="0.15">
      <c r="A167" s="10"/>
      <c r="B167" s="13"/>
      <c r="C167" s="13"/>
    </row>
    <row r="168" spans="1:3" ht="13" x14ac:dyDescent="0.15">
      <c r="A168" s="10"/>
      <c r="B168" s="13"/>
      <c r="C168" s="13"/>
    </row>
    <row r="169" spans="1:3" ht="13" x14ac:dyDescent="0.15">
      <c r="A169" s="10"/>
      <c r="B169" s="13"/>
      <c r="C169" s="13"/>
    </row>
    <row r="170" spans="1:3" ht="13" x14ac:dyDescent="0.15">
      <c r="A170" s="10"/>
      <c r="B170" s="13"/>
      <c r="C170" s="13"/>
    </row>
    <row r="171" spans="1:3" ht="13" x14ac:dyDescent="0.15">
      <c r="A171" s="10"/>
      <c r="B171" s="13"/>
      <c r="C171" s="13"/>
    </row>
    <row r="172" spans="1:3" ht="13" x14ac:dyDescent="0.15">
      <c r="A172" s="10"/>
      <c r="B172" s="13"/>
      <c r="C172" s="13"/>
    </row>
    <row r="173" spans="1:3" ht="13" x14ac:dyDescent="0.15">
      <c r="A173" s="10"/>
      <c r="B173" s="13"/>
      <c r="C173" s="13"/>
    </row>
    <row r="174" spans="1:3" ht="13" x14ac:dyDescent="0.15">
      <c r="A174" s="10"/>
      <c r="B174" s="13"/>
      <c r="C174" s="13"/>
    </row>
    <row r="175" spans="1:3" ht="13" x14ac:dyDescent="0.15">
      <c r="A175" s="10"/>
      <c r="B175" s="13"/>
      <c r="C175" s="13"/>
    </row>
    <row r="176" spans="1:3" ht="13" x14ac:dyDescent="0.15">
      <c r="A176" s="10"/>
      <c r="B176" s="13"/>
      <c r="C176" s="13"/>
    </row>
    <row r="177" spans="1:3" ht="13" x14ac:dyDescent="0.15">
      <c r="A177" s="10"/>
      <c r="B177" s="13"/>
      <c r="C177" s="13"/>
    </row>
    <row r="178" spans="1:3" ht="13" x14ac:dyDescent="0.15">
      <c r="A178" s="10"/>
      <c r="B178" s="13"/>
      <c r="C178" s="13"/>
    </row>
    <row r="179" spans="1:3" ht="13" x14ac:dyDescent="0.15">
      <c r="A179" s="10"/>
      <c r="B179" s="13"/>
      <c r="C179" s="13"/>
    </row>
    <row r="180" spans="1:3" ht="13" x14ac:dyDescent="0.15">
      <c r="A180" s="10"/>
      <c r="B180" s="13"/>
      <c r="C180" s="13"/>
    </row>
    <row r="181" spans="1:3" ht="13" x14ac:dyDescent="0.15">
      <c r="A181" s="10"/>
      <c r="B181" s="13"/>
      <c r="C181" s="13"/>
    </row>
    <row r="182" spans="1:3" ht="13" x14ac:dyDescent="0.15">
      <c r="A182" s="10"/>
      <c r="B182" s="13"/>
      <c r="C182" s="13"/>
    </row>
    <row r="183" spans="1:3" ht="13" x14ac:dyDescent="0.15">
      <c r="A183" s="10"/>
      <c r="B183" s="13"/>
      <c r="C183" s="13"/>
    </row>
    <row r="184" spans="1:3" ht="13" x14ac:dyDescent="0.15">
      <c r="A184" s="10"/>
      <c r="B184" s="13"/>
      <c r="C184" s="13"/>
    </row>
    <row r="185" spans="1:3" ht="13" x14ac:dyDescent="0.15">
      <c r="A185" s="10"/>
      <c r="B185" s="13"/>
      <c r="C185" s="13"/>
    </row>
    <row r="186" spans="1:3" ht="13" x14ac:dyDescent="0.15">
      <c r="A186" s="10"/>
      <c r="B186" s="13"/>
      <c r="C186" s="13"/>
    </row>
    <row r="187" spans="1:3" ht="13" x14ac:dyDescent="0.15">
      <c r="A187" s="10"/>
      <c r="B187" s="13"/>
      <c r="C187" s="13"/>
    </row>
    <row r="188" spans="1:3" ht="13" x14ac:dyDescent="0.15">
      <c r="A188" s="10"/>
      <c r="B188" s="13"/>
      <c r="C188" s="13"/>
    </row>
    <row r="189" spans="1:3" ht="13" x14ac:dyDescent="0.15">
      <c r="A189" s="10"/>
      <c r="B189" s="13"/>
      <c r="C189" s="13"/>
    </row>
    <row r="190" spans="1:3" ht="13" x14ac:dyDescent="0.15">
      <c r="A190" s="10"/>
      <c r="B190" s="13"/>
      <c r="C190" s="13"/>
    </row>
    <row r="191" spans="1:3" ht="13" x14ac:dyDescent="0.15">
      <c r="A191" s="10"/>
      <c r="B191" s="13"/>
      <c r="C191" s="13"/>
    </row>
    <row r="192" spans="1:3" ht="13" x14ac:dyDescent="0.15">
      <c r="A192" s="10"/>
      <c r="B192" s="13"/>
      <c r="C192" s="13"/>
    </row>
    <row r="193" spans="1:3" ht="13" x14ac:dyDescent="0.15">
      <c r="A193" s="10"/>
      <c r="B193" s="13"/>
      <c r="C193" s="13"/>
    </row>
    <row r="194" spans="1:3" ht="13" x14ac:dyDescent="0.15">
      <c r="A194" s="10"/>
      <c r="B194" s="13"/>
      <c r="C194" s="13"/>
    </row>
    <row r="195" spans="1:3" ht="13" x14ac:dyDescent="0.15">
      <c r="A195" s="10"/>
      <c r="B195" s="13"/>
      <c r="C195" s="13"/>
    </row>
    <row r="196" spans="1:3" ht="13" x14ac:dyDescent="0.15">
      <c r="A196" s="10"/>
      <c r="B196" s="13"/>
      <c r="C196" s="13"/>
    </row>
    <row r="197" spans="1:3" ht="13" x14ac:dyDescent="0.15">
      <c r="A197" s="10"/>
      <c r="B197" s="13"/>
      <c r="C197" s="13"/>
    </row>
    <row r="198" spans="1:3" ht="13" x14ac:dyDescent="0.15">
      <c r="A198" s="10"/>
      <c r="B198" s="13"/>
      <c r="C198" s="13"/>
    </row>
    <row r="199" spans="1:3" ht="13" x14ac:dyDescent="0.15">
      <c r="A199" s="10"/>
      <c r="B199" s="13"/>
      <c r="C199" s="13"/>
    </row>
    <row r="200" spans="1:3" ht="13" x14ac:dyDescent="0.15">
      <c r="A200" s="10"/>
      <c r="B200" s="13"/>
      <c r="C200" s="13"/>
    </row>
    <row r="201" spans="1:3" ht="13" x14ac:dyDescent="0.15">
      <c r="A201" s="10"/>
      <c r="B201" s="13"/>
      <c r="C201" s="13"/>
    </row>
    <row r="202" spans="1:3" ht="13" x14ac:dyDescent="0.15">
      <c r="A202" s="10"/>
      <c r="B202" s="13"/>
      <c r="C202" s="13"/>
    </row>
    <row r="203" spans="1:3" ht="13" x14ac:dyDescent="0.15">
      <c r="A203" s="10"/>
      <c r="B203" s="13"/>
      <c r="C203" s="13"/>
    </row>
    <row r="204" spans="1:3" ht="13" x14ac:dyDescent="0.15">
      <c r="A204" s="10"/>
      <c r="B204" s="13"/>
      <c r="C204" s="13"/>
    </row>
    <row r="205" spans="1:3" ht="13" x14ac:dyDescent="0.15">
      <c r="A205" s="10"/>
      <c r="B205" s="13"/>
      <c r="C205" s="13"/>
    </row>
    <row r="206" spans="1:3" ht="13" x14ac:dyDescent="0.15">
      <c r="A206" s="10"/>
      <c r="B206" s="13"/>
      <c r="C206" s="13"/>
    </row>
    <row r="207" spans="1:3" ht="13" x14ac:dyDescent="0.15">
      <c r="A207" s="10"/>
      <c r="B207" s="13"/>
      <c r="C207" s="13"/>
    </row>
    <row r="208" spans="1:3" ht="13" x14ac:dyDescent="0.15">
      <c r="A208" s="10"/>
      <c r="B208" s="13"/>
      <c r="C208" s="13"/>
    </row>
    <row r="209" spans="1:3" ht="13" x14ac:dyDescent="0.15">
      <c r="A209" s="10"/>
      <c r="B209" s="13"/>
      <c r="C209" s="13"/>
    </row>
    <row r="210" spans="1:3" ht="13" x14ac:dyDescent="0.15">
      <c r="A210" s="10"/>
      <c r="B210" s="13"/>
      <c r="C210" s="13"/>
    </row>
    <row r="211" spans="1:3" ht="13" x14ac:dyDescent="0.15">
      <c r="A211" s="10"/>
      <c r="B211" s="13"/>
      <c r="C211" s="13"/>
    </row>
    <row r="212" spans="1:3" ht="13" x14ac:dyDescent="0.15">
      <c r="A212" s="10"/>
      <c r="B212" s="13"/>
      <c r="C212" s="13"/>
    </row>
    <row r="213" spans="1:3" ht="13" x14ac:dyDescent="0.15">
      <c r="A213" s="10"/>
      <c r="B213" s="13"/>
      <c r="C213" s="13"/>
    </row>
    <row r="214" spans="1:3" ht="13" x14ac:dyDescent="0.15">
      <c r="A214" s="10"/>
      <c r="B214" s="13"/>
      <c r="C214" s="13"/>
    </row>
    <row r="215" spans="1:3" ht="13" x14ac:dyDescent="0.15">
      <c r="A215" s="10"/>
      <c r="B215" s="13"/>
      <c r="C215" s="13"/>
    </row>
    <row r="216" spans="1:3" ht="13" x14ac:dyDescent="0.15">
      <c r="A216" s="10"/>
      <c r="B216" s="13"/>
      <c r="C216" s="13"/>
    </row>
    <row r="217" spans="1:3" ht="13" x14ac:dyDescent="0.15">
      <c r="A217" s="10"/>
      <c r="B217" s="13"/>
      <c r="C217" s="13"/>
    </row>
    <row r="218" spans="1:3" ht="13" x14ac:dyDescent="0.15">
      <c r="A218" s="10"/>
      <c r="B218" s="13"/>
      <c r="C218" s="13"/>
    </row>
    <row r="219" spans="1:3" ht="13" x14ac:dyDescent="0.15">
      <c r="A219" s="10"/>
      <c r="B219" s="13"/>
      <c r="C219" s="13"/>
    </row>
    <row r="220" spans="1:3" ht="13" x14ac:dyDescent="0.15">
      <c r="A220" s="10"/>
      <c r="B220" s="13"/>
      <c r="C220" s="13"/>
    </row>
    <row r="221" spans="1:3" ht="13" x14ac:dyDescent="0.15">
      <c r="A221" s="10"/>
      <c r="B221" s="13"/>
      <c r="C221" s="13"/>
    </row>
    <row r="222" spans="1:3" ht="13" x14ac:dyDescent="0.15">
      <c r="A222" s="10"/>
      <c r="B222" s="13"/>
      <c r="C222" s="13"/>
    </row>
    <row r="223" spans="1:3" ht="13" x14ac:dyDescent="0.15">
      <c r="A223" s="10"/>
      <c r="B223" s="13"/>
      <c r="C223" s="13"/>
    </row>
    <row r="224" spans="1:3" ht="13" x14ac:dyDescent="0.15">
      <c r="A224" s="10"/>
      <c r="B224" s="13"/>
      <c r="C224" s="13"/>
    </row>
    <row r="225" spans="1:3" ht="13" x14ac:dyDescent="0.15">
      <c r="A225" s="10"/>
      <c r="B225" s="13"/>
      <c r="C225" s="13"/>
    </row>
    <row r="226" spans="1:3" ht="13" x14ac:dyDescent="0.15">
      <c r="A226" s="10"/>
      <c r="B226" s="13"/>
      <c r="C226" s="13"/>
    </row>
    <row r="227" spans="1:3" ht="13" x14ac:dyDescent="0.15">
      <c r="A227" s="10"/>
      <c r="B227" s="13"/>
      <c r="C227" s="13"/>
    </row>
    <row r="228" spans="1:3" ht="13" x14ac:dyDescent="0.15">
      <c r="A228" s="10"/>
      <c r="B228" s="13"/>
      <c r="C228" s="13"/>
    </row>
    <row r="229" spans="1:3" ht="13" x14ac:dyDescent="0.15">
      <c r="A229" s="10"/>
      <c r="B229" s="13"/>
      <c r="C229" s="13"/>
    </row>
    <row r="230" spans="1:3" ht="13" x14ac:dyDescent="0.15">
      <c r="A230" s="10"/>
      <c r="B230" s="13"/>
      <c r="C230" s="13"/>
    </row>
    <row r="231" spans="1:3" ht="13" x14ac:dyDescent="0.15">
      <c r="A231" s="10"/>
      <c r="B231" s="13"/>
      <c r="C231" s="13"/>
    </row>
    <row r="232" spans="1:3" ht="13" x14ac:dyDescent="0.15">
      <c r="A232" s="10"/>
      <c r="B232" s="13"/>
      <c r="C232" s="13"/>
    </row>
    <row r="233" spans="1:3" ht="13" x14ac:dyDescent="0.15">
      <c r="A233" s="10"/>
      <c r="B233" s="13"/>
      <c r="C233" s="13"/>
    </row>
    <row r="234" spans="1:3" ht="13" x14ac:dyDescent="0.15">
      <c r="A234" s="10"/>
      <c r="B234" s="13"/>
      <c r="C234" s="13"/>
    </row>
    <row r="235" spans="1:3" ht="13" x14ac:dyDescent="0.15">
      <c r="A235" s="10"/>
      <c r="B235" s="13"/>
      <c r="C235" s="13"/>
    </row>
    <row r="236" spans="1:3" ht="13" x14ac:dyDescent="0.15">
      <c r="A236" s="10"/>
      <c r="B236" s="13"/>
      <c r="C236" s="13"/>
    </row>
    <row r="237" spans="1:3" ht="13" x14ac:dyDescent="0.15">
      <c r="A237" s="10"/>
      <c r="B237" s="13"/>
      <c r="C237" s="13"/>
    </row>
    <row r="238" spans="1:3" ht="13" x14ac:dyDescent="0.15">
      <c r="A238" s="10"/>
      <c r="B238" s="13"/>
      <c r="C238" s="13"/>
    </row>
    <row r="239" spans="1:3" ht="13" x14ac:dyDescent="0.15">
      <c r="A239" s="10"/>
      <c r="B239" s="13"/>
      <c r="C239" s="13"/>
    </row>
    <row r="240" spans="1:3" ht="13" x14ac:dyDescent="0.15">
      <c r="A240" s="10"/>
      <c r="B240" s="13"/>
      <c r="C240" s="13"/>
    </row>
    <row r="241" spans="1:3" ht="13" x14ac:dyDescent="0.15">
      <c r="A241" s="10"/>
      <c r="B241" s="13"/>
      <c r="C241" s="13"/>
    </row>
    <row r="242" spans="1:3" ht="13" x14ac:dyDescent="0.15">
      <c r="A242" s="10"/>
      <c r="B242" s="13"/>
      <c r="C242" s="13"/>
    </row>
    <row r="243" spans="1:3" ht="13" x14ac:dyDescent="0.15">
      <c r="A243" s="10"/>
      <c r="B243" s="13"/>
      <c r="C243" s="13"/>
    </row>
    <row r="244" spans="1:3" ht="13" x14ac:dyDescent="0.15">
      <c r="A244" s="10"/>
      <c r="B244" s="13"/>
      <c r="C244" s="13"/>
    </row>
    <row r="245" spans="1:3" ht="13" x14ac:dyDescent="0.15">
      <c r="A245" s="10"/>
      <c r="B245" s="13"/>
      <c r="C245" s="13"/>
    </row>
    <row r="246" spans="1:3" ht="13" x14ac:dyDescent="0.15">
      <c r="A246" s="10"/>
      <c r="B246" s="13"/>
      <c r="C246" s="13"/>
    </row>
    <row r="247" spans="1:3" ht="13" x14ac:dyDescent="0.15">
      <c r="A247" s="10"/>
      <c r="B247" s="13"/>
      <c r="C247" s="13"/>
    </row>
    <row r="248" spans="1:3" ht="13" x14ac:dyDescent="0.15">
      <c r="A248" s="10"/>
      <c r="B248" s="13"/>
      <c r="C248" s="13"/>
    </row>
    <row r="249" spans="1:3" ht="13" x14ac:dyDescent="0.15">
      <c r="A249" s="10"/>
      <c r="B249" s="13"/>
      <c r="C249" s="13"/>
    </row>
    <row r="250" spans="1:3" ht="13" x14ac:dyDescent="0.15">
      <c r="A250" s="10"/>
      <c r="B250" s="13"/>
      <c r="C250" s="13"/>
    </row>
    <row r="251" spans="1:3" ht="13" x14ac:dyDescent="0.15">
      <c r="A251" s="10"/>
      <c r="B251" s="13"/>
      <c r="C251" s="13"/>
    </row>
    <row r="252" spans="1:3" ht="13" x14ac:dyDescent="0.15">
      <c r="A252" s="10"/>
      <c r="B252" s="13"/>
      <c r="C252" s="13"/>
    </row>
    <row r="253" spans="1:3" ht="13" x14ac:dyDescent="0.15">
      <c r="A253" s="10"/>
      <c r="B253" s="13"/>
      <c r="C253" s="13"/>
    </row>
    <row r="254" spans="1:3" ht="13" x14ac:dyDescent="0.15">
      <c r="A254" s="10"/>
      <c r="B254" s="13"/>
      <c r="C254" s="13"/>
    </row>
    <row r="255" spans="1:3" ht="13" x14ac:dyDescent="0.15">
      <c r="A255" s="10"/>
      <c r="B255" s="13"/>
      <c r="C255" s="13"/>
    </row>
    <row r="256" spans="1:3" ht="13" x14ac:dyDescent="0.15">
      <c r="A256" s="10"/>
      <c r="B256" s="13"/>
      <c r="C256" s="13"/>
    </row>
    <row r="257" spans="1:3" ht="13" x14ac:dyDescent="0.15">
      <c r="A257" s="10"/>
      <c r="B257" s="13"/>
      <c r="C257" s="13"/>
    </row>
    <row r="258" spans="1:3" ht="13" x14ac:dyDescent="0.15">
      <c r="A258" s="10"/>
      <c r="B258" s="13"/>
      <c r="C258" s="13"/>
    </row>
    <row r="259" spans="1:3" ht="13" x14ac:dyDescent="0.15">
      <c r="A259" s="10"/>
      <c r="B259" s="13"/>
      <c r="C259" s="13"/>
    </row>
    <row r="260" spans="1:3" ht="13" x14ac:dyDescent="0.15">
      <c r="A260" s="10"/>
      <c r="B260" s="13"/>
      <c r="C260" s="13"/>
    </row>
    <row r="261" spans="1:3" ht="13" x14ac:dyDescent="0.15">
      <c r="A261" s="10"/>
      <c r="B261" s="13"/>
      <c r="C261" s="13"/>
    </row>
    <row r="262" spans="1:3" ht="13" x14ac:dyDescent="0.15">
      <c r="A262" s="10"/>
      <c r="B262" s="13"/>
      <c r="C262" s="13"/>
    </row>
    <row r="263" spans="1:3" ht="13" x14ac:dyDescent="0.15">
      <c r="A263" s="10"/>
      <c r="B263" s="13"/>
      <c r="C263" s="13"/>
    </row>
    <row r="264" spans="1:3" ht="13" x14ac:dyDescent="0.15">
      <c r="A264" s="10"/>
      <c r="B264" s="13"/>
      <c r="C264" s="13"/>
    </row>
    <row r="265" spans="1:3" ht="13" x14ac:dyDescent="0.15">
      <c r="A265" s="10"/>
      <c r="B265" s="13"/>
      <c r="C265" s="13"/>
    </row>
    <row r="266" spans="1:3" ht="13" x14ac:dyDescent="0.15">
      <c r="A266" s="10"/>
      <c r="B266" s="13"/>
      <c r="C266" s="13"/>
    </row>
    <row r="267" spans="1:3" ht="13" x14ac:dyDescent="0.15">
      <c r="A267" s="10"/>
      <c r="B267" s="13"/>
      <c r="C267" s="13"/>
    </row>
    <row r="268" spans="1:3" ht="13" x14ac:dyDescent="0.15">
      <c r="A268" s="10"/>
      <c r="B268" s="13"/>
      <c r="C268" s="13"/>
    </row>
    <row r="269" spans="1:3" ht="13" x14ac:dyDescent="0.15">
      <c r="A269" s="10"/>
      <c r="B269" s="13"/>
      <c r="C269" s="13"/>
    </row>
    <row r="270" spans="1:3" ht="13" x14ac:dyDescent="0.15">
      <c r="A270" s="10"/>
      <c r="B270" s="13"/>
      <c r="C270" s="13"/>
    </row>
    <row r="271" spans="1:3" ht="13" x14ac:dyDescent="0.15">
      <c r="A271" s="10"/>
      <c r="B271" s="13"/>
      <c r="C271" s="13"/>
    </row>
    <row r="272" spans="1:3" ht="13" x14ac:dyDescent="0.15">
      <c r="A272" s="10"/>
      <c r="B272" s="13"/>
      <c r="C272" s="13"/>
    </row>
    <row r="273" spans="1:3" ht="13" x14ac:dyDescent="0.15">
      <c r="A273" s="10"/>
      <c r="B273" s="13"/>
      <c r="C273" s="13"/>
    </row>
    <row r="274" spans="1:3" ht="13" x14ac:dyDescent="0.15">
      <c r="A274" s="10"/>
      <c r="B274" s="13"/>
      <c r="C274" s="13"/>
    </row>
    <row r="275" spans="1:3" ht="13" x14ac:dyDescent="0.15">
      <c r="A275" s="10"/>
      <c r="B275" s="13"/>
      <c r="C275" s="13"/>
    </row>
    <row r="276" spans="1:3" ht="13" x14ac:dyDescent="0.15">
      <c r="A276" s="10"/>
      <c r="B276" s="13"/>
      <c r="C276" s="13"/>
    </row>
    <row r="277" spans="1:3" ht="13" x14ac:dyDescent="0.15">
      <c r="A277" s="10"/>
      <c r="B277" s="13"/>
      <c r="C277" s="13"/>
    </row>
    <row r="278" spans="1:3" ht="13" x14ac:dyDescent="0.15">
      <c r="A278" s="10"/>
      <c r="B278" s="13"/>
      <c r="C278" s="13"/>
    </row>
    <row r="279" spans="1:3" ht="13" x14ac:dyDescent="0.15">
      <c r="A279" s="10"/>
      <c r="B279" s="13"/>
      <c r="C279" s="13"/>
    </row>
    <row r="280" spans="1:3" ht="13" x14ac:dyDescent="0.15">
      <c r="A280" s="10"/>
      <c r="B280" s="13"/>
      <c r="C280" s="13"/>
    </row>
    <row r="281" spans="1:3" ht="13" x14ac:dyDescent="0.15">
      <c r="A281" s="10"/>
      <c r="B281" s="13"/>
      <c r="C281" s="13"/>
    </row>
    <row r="282" spans="1:3" ht="13" x14ac:dyDescent="0.15">
      <c r="A282" s="10"/>
      <c r="B282" s="13"/>
      <c r="C282" s="13"/>
    </row>
    <row r="283" spans="1:3" ht="13" x14ac:dyDescent="0.15">
      <c r="A283" s="10"/>
      <c r="B283" s="13"/>
      <c r="C283" s="13"/>
    </row>
    <row r="284" spans="1:3" ht="13" x14ac:dyDescent="0.15">
      <c r="A284" s="10"/>
      <c r="B284" s="13"/>
      <c r="C284" s="13"/>
    </row>
    <row r="285" spans="1:3" ht="13" x14ac:dyDescent="0.15">
      <c r="A285" s="10"/>
      <c r="B285" s="13"/>
      <c r="C285" s="13"/>
    </row>
    <row r="286" spans="1:3" ht="13" x14ac:dyDescent="0.15">
      <c r="A286" s="10"/>
      <c r="B286" s="13"/>
      <c r="C286" s="13"/>
    </row>
    <row r="287" spans="1:3" ht="13" x14ac:dyDescent="0.15">
      <c r="A287" s="10"/>
      <c r="B287" s="13"/>
      <c r="C287" s="13"/>
    </row>
    <row r="288" spans="1:3" ht="13" x14ac:dyDescent="0.15">
      <c r="A288" s="10"/>
      <c r="B288" s="13"/>
      <c r="C288" s="13"/>
    </row>
    <row r="289" spans="1:3" ht="13" x14ac:dyDescent="0.15">
      <c r="A289" s="10"/>
      <c r="B289" s="13"/>
      <c r="C289" s="13"/>
    </row>
    <row r="290" spans="1:3" ht="13" x14ac:dyDescent="0.15">
      <c r="A290" s="10"/>
      <c r="B290" s="13"/>
      <c r="C290" s="13"/>
    </row>
    <row r="291" spans="1:3" ht="13" x14ac:dyDescent="0.15">
      <c r="A291" s="10"/>
      <c r="B291" s="13"/>
      <c r="C291" s="13"/>
    </row>
    <row r="292" spans="1:3" ht="13" x14ac:dyDescent="0.15">
      <c r="A292" s="10"/>
      <c r="B292" s="13"/>
      <c r="C292" s="13"/>
    </row>
    <row r="293" spans="1:3" ht="13" x14ac:dyDescent="0.15">
      <c r="A293" s="10"/>
      <c r="B293" s="13"/>
      <c r="C293" s="13"/>
    </row>
    <row r="294" spans="1:3" ht="13" x14ac:dyDescent="0.15">
      <c r="A294" s="10"/>
      <c r="B294" s="13"/>
      <c r="C294" s="13"/>
    </row>
    <row r="295" spans="1:3" ht="13" x14ac:dyDescent="0.15">
      <c r="A295" s="10"/>
      <c r="B295" s="13"/>
      <c r="C295" s="13"/>
    </row>
    <row r="296" spans="1:3" ht="13" x14ac:dyDescent="0.15">
      <c r="A296" s="10"/>
      <c r="B296" s="13"/>
      <c r="C296" s="13"/>
    </row>
    <row r="297" spans="1:3" ht="13" x14ac:dyDescent="0.15">
      <c r="A297" s="10"/>
      <c r="B297" s="13"/>
      <c r="C297" s="13"/>
    </row>
    <row r="298" spans="1:3" ht="13" x14ac:dyDescent="0.15">
      <c r="A298" s="10"/>
      <c r="B298" s="13"/>
      <c r="C298" s="13"/>
    </row>
    <row r="299" spans="1:3" ht="13" x14ac:dyDescent="0.15">
      <c r="A299" s="10"/>
      <c r="B299" s="13"/>
      <c r="C299" s="13"/>
    </row>
    <row r="300" spans="1:3" ht="13" x14ac:dyDescent="0.15">
      <c r="A300" s="10"/>
      <c r="B300" s="13"/>
      <c r="C300" s="13"/>
    </row>
    <row r="301" spans="1:3" ht="13" x14ac:dyDescent="0.15">
      <c r="A301" s="10"/>
      <c r="B301" s="13"/>
      <c r="C301" s="13"/>
    </row>
    <row r="302" spans="1:3" ht="13" x14ac:dyDescent="0.15">
      <c r="A302" s="10"/>
      <c r="B302" s="13"/>
      <c r="C302" s="13"/>
    </row>
    <row r="303" spans="1:3" ht="13" x14ac:dyDescent="0.15">
      <c r="A303" s="10"/>
      <c r="B303" s="13"/>
      <c r="C303" s="13"/>
    </row>
    <row r="304" spans="1:3" ht="13" x14ac:dyDescent="0.15">
      <c r="A304" s="10"/>
      <c r="B304" s="13"/>
      <c r="C304" s="13"/>
    </row>
    <row r="305" spans="1:3" ht="13" x14ac:dyDescent="0.15">
      <c r="A305" s="10"/>
      <c r="B305" s="13"/>
      <c r="C305" s="13"/>
    </row>
    <row r="306" spans="1:3" ht="13" x14ac:dyDescent="0.15">
      <c r="A306" s="10"/>
      <c r="B306" s="13"/>
      <c r="C306" s="13"/>
    </row>
    <row r="307" spans="1:3" ht="13" x14ac:dyDescent="0.15">
      <c r="A307" s="10"/>
      <c r="B307" s="13"/>
      <c r="C307" s="13"/>
    </row>
    <row r="308" spans="1:3" ht="13" x14ac:dyDescent="0.15">
      <c r="A308" s="10"/>
      <c r="B308" s="13"/>
      <c r="C308" s="13"/>
    </row>
    <row r="309" spans="1:3" ht="13" x14ac:dyDescent="0.15">
      <c r="A309" s="10"/>
      <c r="B309" s="13"/>
      <c r="C309" s="13"/>
    </row>
    <row r="310" spans="1:3" ht="13" x14ac:dyDescent="0.15">
      <c r="A310" s="10"/>
      <c r="B310" s="13"/>
      <c r="C310" s="13"/>
    </row>
    <row r="311" spans="1:3" ht="13" x14ac:dyDescent="0.15">
      <c r="A311" s="10"/>
      <c r="B311" s="13"/>
      <c r="C311" s="13"/>
    </row>
    <row r="312" spans="1:3" ht="13" x14ac:dyDescent="0.15">
      <c r="A312" s="10"/>
      <c r="B312" s="13"/>
      <c r="C312" s="13"/>
    </row>
    <row r="313" spans="1:3" ht="13" x14ac:dyDescent="0.15">
      <c r="A313" s="10"/>
      <c r="B313" s="13"/>
      <c r="C313" s="13"/>
    </row>
    <row r="314" spans="1:3" ht="13" x14ac:dyDescent="0.15">
      <c r="A314" s="10"/>
      <c r="B314" s="13"/>
      <c r="C314" s="13"/>
    </row>
    <row r="315" spans="1:3" ht="13" x14ac:dyDescent="0.15">
      <c r="A315" s="10"/>
      <c r="B315" s="13"/>
      <c r="C315" s="13"/>
    </row>
    <row r="316" spans="1:3" ht="13" x14ac:dyDescent="0.15">
      <c r="A316" s="10"/>
      <c r="B316" s="13"/>
      <c r="C316" s="13"/>
    </row>
    <row r="317" spans="1:3" ht="13" x14ac:dyDescent="0.15">
      <c r="A317" s="10"/>
      <c r="B317" s="13"/>
      <c r="C317" s="13"/>
    </row>
    <row r="318" spans="1:3" ht="13" x14ac:dyDescent="0.15">
      <c r="A318" s="10"/>
      <c r="B318" s="13"/>
      <c r="C318" s="13"/>
    </row>
    <row r="319" spans="1:3" ht="13" x14ac:dyDescent="0.15">
      <c r="A319" s="10"/>
      <c r="B319" s="13"/>
      <c r="C319" s="13"/>
    </row>
    <row r="320" spans="1:3" ht="13" x14ac:dyDescent="0.15">
      <c r="A320" s="10"/>
      <c r="B320" s="13"/>
      <c r="C320" s="13"/>
    </row>
    <row r="321" spans="1:3" ht="13" x14ac:dyDescent="0.15">
      <c r="A321" s="10"/>
      <c r="B321" s="13"/>
      <c r="C321" s="13"/>
    </row>
    <row r="322" spans="1:3" ht="13" x14ac:dyDescent="0.15">
      <c r="A322" s="10"/>
      <c r="B322" s="13"/>
      <c r="C322" s="13"/>
    </row>
    <row r="323" spans="1:3" ht="13" x14ac:dyDescent="0.15">
      <c r="A323" s="10"/>
      <c r="B323" s="13"/>
      <c r="C323" s="13"/>
    </row>
    <row r="324" spans="1:3" ht="13" x14ac:dyDescent="0.15">
      <c r="A324" s="10"/>
      <c r="B324" s="13"/>
      <c r="C324" s="13"/>
    </row>
    <row r="325" spans="1:3" ht="13" x14ac:dyDescent="0.15">
      <c r="A325" s="10"/>
      <c r="B325" s="13"/>
      <c r="C325" s="13"/>
    </row>
    <row r="326" spans="1:3" ht="13" x14ac:dyDescent="0.15">
      <c r="A326" s="10"/>
      <c r="B326" s="13"/>
      <c r="C326" s="13"/>
    </row>
    <row r="327" spans="1:3" ht="13" x14ac:dyDescent="0.15">
      <c r="A327" s="10"/>
      <c r="B327" s="13"/>
      <c r="C327" s="13"/>
    </row>
    <row r="328" spans="1:3" ht="13" x14ac:dyDescent="0.15">
      <c r="A328" s="10"/>
      <c r="B328" s="13"/>
      <c r="C328" s="13"/>
    </row>
    <row r="329" spans="1:3" ht="13" x14ac:dyDescent="0.15">
      <c r="A329" s="10"/>
      <c r="B329" s="13"/>
      <c r="C329" s="13"/>
    </row>
    <row r="330" spans="1:3" ht="13" x14ac:dyDescent="0.15">
      <c r="A330" s="10"/>
      <c r="B330" s="13"/>
      <c r="C330" s="13"/>
    </row>
    <row r="331" spans="1:3" ht="13" x14ac:dyDescent="0.15">
      <c r="A331" s="10"/>
      <c r="B331" s="13"/>
      <c r="C331" s="13"/>
    </row>
    <row r="332" spans="1:3" ht="13" x14ac:dyDescent="0.15">
      <c r="A332" s="10"/>
      <c r="B332" s="13"/>
      <c r="C332" s="13"/>
    </row>
    <row r="333" spans="1:3" ht="13" x14ac:dyDescent="0.15">
      <c r="A333" s="10"/>
      <c r="B333" s="13"/>
      <c r="C333" s="13"/>
    </row>
    <row r="334" spans="1:3" ht="13" x14ac:dyDescent="0.15">
      <c r="A334" s="10"/>
      <c r="B334" s="13"/>
      <c r="C334" s="13"/>
    </row>
    <row r="335" spans="1:3" ht="13" x14ac:dyDescent="0.15">
      <c r="A335" s="10"/>
      <c r="B335" s="13"/>
      <c r="C335" s="13"/>
    </row>
    <row r="336" spans="1:3" ht="13" x14ac:dyDescent="0.15">
      <c r="A336" s="10"/>
      <c r="B336" s="13"/>
      <c r="C336" s="13"/>
    </row>
    <row r="337" spans="1:3" ht="13" x14ac:dyDescent="0.15">
      <c r="A337" s="10"/>
      <c r="B337" s="13"/>
      <c r="C337" s="13"/>
    </row>
    <row r="338" spans="1:3" ht="13" x14ac:dyDescent="0.15">
      <c r="A338" s="10"/>
      <c r="B338" s="13"/>
      <c r="C338" s="13"/>
    </row>
    <row r="339" spans="1:3" ht="13" x14ac:dyDescent="0.15">
      <c r="A339" s="10"/>
      <c r="B339" s="13"/>
      <c r="C339" s="13"/>
    </row>
    <row r="340" spans="1:3" ht="13" x14ac:dyDescent="0.15">
      <c r="A340" s="10"/>
      <c r="B340" s="13"/>
      <c r="C340" s="13"/>
    </row>
    <row r="341" spans="1:3" ht="13" x14ac:dyDescent="0.15">
      <c r="A341" s="10"/>
      <c r="B341" s="13"/>
      <c r="C341" s="13"/>
    </row>
    <row r="342" spans="1:3" ht="13" x14ac:dyDescent="0.15">
      <c r="A342" s="10"/>
      <c r="B342" s="13"/>
      <c r="C342" s="13"/>
    </row>
    <row r="343" spans="1:3" ht="13" x14ac:dyDescent="0.15">
      <c r="A343" s="10"/>
      <c r="B343" s="13"/>
      <c r="C343" s="13"/>
    </row>
    <row r="344" spans="1:3" ht="13" x14ac:dyDescent="0.15">
      <c r="A344" s="10"/>
      <c r="B344" s="13"/>
      <c r="C344" s="13"/>
    </row>
    <row r="345" spans="1:3" ht="13" x14ac:dyDescent="0.15">
      <c r="A345" s="10"/>
      <c r="B345" s="13"/>
      <c r="C345" s="13"/>
    </row>
    <row r="346" spans="1:3" ht="13" x14ac:dyDescent="0.15">
      <c r="A346" s="10"/>
      <c r="B346" s="13"/>
      <c r="C346" s="13"/>
    </row>
    <row r="347" spans="1:3" ht="13" x14ac:dyDescent="0.15">
      <c r="A347" s="10"/>
      <c r="B347" s="13"/>
      <c r="C347" s="13"/>
    </row>
    <row r="348" spans="1:3" ht="13" x14ac:dyDescent="0.15">
      <c r="A348" s="10"/>
      <c r="B348" s="13"/>
      <c r="C348" s="13"/>
    </row>
    <row r="349" spans="1:3" ht="13" x14ac:dyDescent="0.15">
      <c r="A349" s="10"/>
      <c r="B349" s="13"/>
      <c r="C349" s="13"/>
    </row>
    <row r="350" spans="1:3" ht="13" x14ac:dyDescent="0.15">
      <c r="A350" s="10"/>
      <c r="B350" s="13"/>
      <c r="C350" s="13"/>
    </row>
    <row r="351" spans="1:3" ht="13" x14ac:dyDescent="0.15">
      <c r="A351" s="10"/>
      <c r="B351" s="13"/>
      <c r="C351" s="13"/>
    </row>
    <row r="352" spans="1:3" ht="13" x14ac:dyDescent="0.15">
      <c r="A352" s="10"/>
      <c r="B352" s="13"/>
      <c r="C352" s="13"/>
    </row>
    <row r="353" spans="1:3" ht="13" x14ac:dyDescent="0.15">
      <c r="A353" s="10"/>
      <c r="B353" s="13"/>
      <c r="C353" s="13"/>
    </row>
    <row r="354" spans="1:3" ht="13" x14ac:dyDescent="0.15">
      <c r="A354" s="10"/>
      <c r="B354" s="13"/>
      <c r="C354" s="13"/>
    </row>
    <row r="355" spans="1:3" ht="13" x14ac:dyDescent="0.15">
      <c r="A355" s="10"/>
      <c r="B355" s="13"/>
      <c r="C355" s="13"/>
    </row>
    <row r="356" spans="1:3" ht="13" x14ac:dyDescent="0.15">
      <c r="A356" s="10"/>
      <c r="B356" s="13"/>
      <c r="C356" s="13"/>
    </row>
    <row r="357" spans="1:3" ht="13" x14ac:dyDescent="0.15">
      <c r="A357" s="10"/>
      <c r="B357" s="13"/>
      <c r="C357" s="13"/>
    </row>
    <row r="358" spans="1:3" ht="13" x14ac:dyDescent="0.15">
      <c r="A358" s="10"/>
      <c r="B358" s="13"/>
      <c r="C358" s="13"/>
    </row>
    <row r="359" spans="1:3" ht="13" x14ac:dyDescent="0.15">
      <c r="A359" s="10"/>
      <c r="B359" s="13"/>
      <c r="C359" s="13"/>
    </row>
    <row r="360" spans="1:3" ht="13" x14ac:dyDescent="0.15">
      <c r="A360" s="10"/>
      <c r="B360" s="13"/>
      <c r="C360" s="13"/>
    </row>
    <row r="361" spans="1:3" ht="13" x14ac:dyDescent="0.15">
      <c r="A361" s="10"/>
      <c r="B361" s="13"/>
      <c r="C361" s="13"/>
    </row>
    <row r="362" spans="1:3" ht="13" x14ac:dyDescent="0.15">
      <c r="A362" s="10"/>
      <c r="B362" s="13"/>
      <c r="C362" s="13"/>
    </row>
    <row r="363" spans="1:3" ht="13" x14ac:dyDescent="0.15">
      <c r="A363" s="10"/>
      <c r="B363" s="13"/>
      <c r="C363" s="13"/>
    </row>
    <row r="364" spans="1:3" ht="13" x14ac:dyDescent="0.15">
      <c r="A364" s="10"/>
      <c r="B364" s="13"/>
      <c r="C364" s="13"/>
    </row>
    <row r="365" spans="1:3" ht="13" x14ac:dyDescent="0.15">
      <c r="A365" s="10"/>
      <c r="B365" s="13"/>
      <c r="C365" s="13"/>
    </row>
    <row r="366" spans="1:3" ht="13" x14ac:dyDescent="0.15">
      <c r="A366" s="10"/>
      <c r="B366" s="13"/>
      <c r="C366" s="13"/>
    </row>
    <row r="367" spans="1:3" ht="13" x14ac:dyDescent="0.15">
      <c r="A367" s="10"/>
      <c r="B367" s="13"/>
      <c r="C367" s="13"/>
    </row>
    <row r="368" spans="1:3" ht="13" x14ac:dyDescent="0.15">
      <c r="A368" s="10"/>
      <c r="B368" s="13"/>
      <c r="C368" s="13"/>
    </row>
    <row r="369" spans="1:3" ht="13" x14ac:dyDescent="0.15">
      <c r="A369" s="10"/>
      <c r="B369" s="13"/>
      <c r="C369" s="13"/>
    </row>
    <row r="370" spans="1:3" ht="13" x14ac:dyDescent="0.15">
      <c r="A370" s="10"/>
      <c r="B370" s="13"/>
      <c r="C370" s="13"/>
    </row>
    <row r="371" spans="1:3" ht="13" x14ac:dyDescent="0.15">
      <c r="A371" s="10"/>
      <c r="B371" s="13"/>
      <c r="C371" s="13"/>
    </row>
    <row r="372" spans="1:3" ht="13" x14ac:dyDescent="0.15">
      <c r="A372" s="10"/>
      <c r="B372" s="13"/>
      <c r="C372" s="13"/>
    </row>
    <row r="373" spans="1:3" ht="13" x14ac:dyDescent="0.15">
      <c r="A373" s="10"/>
      <c r="B373" s="13"/>
      <c r="C373" s="13"/>
    </row>
    <row r="374" spans="1:3" ht="13" x14ac:dyDescent="0.15">
      <c r="A374" s="10"/>
      <c r="B374" s="13"/>
      <c r="C374" s="13"/>
    </row>
    <row r="375" spans="1:3" ht="13" x14ac:dyDescent="0.15">
      <c r="A375" s="10"/>
      <c r="B375" s="13"/>
      <c r="C375" s="13"/>
    </row>
    <row r="376" spans="1:3" ht="13" x14ac:dyDescent="0.15">
      <c r="A376" s="10"/>
      <c r="B376" s="13"/>
      <c r="C376" s="13"/>
    </row>
    <row r="377" spans="1:3" ht="13" x14ac:dyDescent="0.15">
      <c r="A377" s="10"/>
      <c r="B377" s="13"/>
      <c r="C377" s="13"/>
    </row>
    <row r="378" spans="1:3" ht="13" x14ac:dyDescent="0.15">
      <c r="A378" s="10"/>
      <c r="B378" s="13"/>
      <c r="C378" s="13"/>
    </row>
    <row r="379" spans="1:3" ht="13" x14ac:dyDescent="0.15">
      <c r="A379" s="10"/>
      <c r="B379" s="13"/>
      <c r="C379" s="13"/>
    </row>
    <row r="380" spans="1:3" ht="13" x14ac:dyDescent="0.15">
      <c r="A380" s="10"/>
      <c r="B380" s="13"/>
      <c r="C380" s="13"/>
    </row>
    <row r="381" spans="1:3" ht="13" x14ac:dyDescent="0.15">
      <c r="A381" s="10"/>
      <c r="B381" s="13"/>
      <c r="C381" s="13"/>
    </row>
    <row r="382" spans="1:3" ht="13" x14ac:dyDescent="0.15">
      <c r="A382" s="10"/>
      <c r="B382" s="13"/>
      <c r="C382" s="13"/>
    </row>
    <row r="383" spans="1:3" ht="13" x14ac:dyDescent="0.15">
      <c r="A383" s="10"/>
      <c r="B383" s="13"/>
      <c r="C383" s="13"/>
    </row>
    <row r="384" spans="1:3" ht="13" x14ac:dyDescent="0.15">
      <c r="A384" s="10"/>
      <c r="B384" s="13"/>
      <c r="C384" s="13"/>
    </row>
    <row r="385" spans="1:3" ht="13" x14ac:dyDescent="0.15">
      <c r="A385" s="10"/>
      <c r="B385" s="13"/>
      <c r="C385" s="13"/>
    </row>
    <row r="386" spans="1:3" ht="13" x14ac:dyDescent="0.15">
      <c r="A386" s="10"/>
      <c r="B386" s="13"/>
      <c r="C386" s="13"/>
    </row>
    <row r="387" spans="1:3" ht="13" x14ac:dyDescent="0.15">
      <c r="A387" s="10"/>
      <c r="B387" s="13"/>
      <c r="C387" s="13"/>
    </row>
    <row r="388" spans="1:3" ht="13" x14ac:dyDescent="0.15">
      <c r="A388" s="10"/>
      <c r="B388" s="13"/>
      <c r="C388" s="13"/>
    </row>
    <row r="389" spans="1:3" ht="13" x14ac:dyDescent="0.15">
      <c r="A389" s="10"/>
      <c r="B389" s="13"/>
      <c r="C389" s="13"/>
    </row>
    <row r="390" spans="1:3" ht="13" x14ac:dyDescent="0.15">
      <c r="A390" s="10"/>
      <c r="B390" s="13"/>
      <c r="C390" s="13"/>
    </row>
    <row r="391" spans="1:3" ht="13" x14ac:dyDescent="0.15">
      <c r="A391" s="10"/>
      <c r="B391" s="13"/>
      <c r="C391" s="13"/>
    </row>
    <row r="392" spans="1:3" ht="13" x14ac:dyDescent="0.15">
      <c r="A392" s="10"/>
      <c r="B392" s="13"/>
      <c r="C392" s="13"/>
    </row>
    <row r="393" spans="1:3" ht="13" x14ac:dyDescent="0.15">
      <c r="A393" s="10"/>
      <c r="B393" s="13"/>
      <c r="C393" s="13"/>
    </row>
    <row r="394" spans="1:3" ht="13" x14ac:dyDescent="0.15">
      <c r="A394" s="10"/>
      <c r="B394" s="13"/>
      <c r="C394" s="13"/>
    </row>
    <row r="395" spans="1:3" ht="13" x14ac:dyDescent="0.15">
      <c r="A395" s="10"/>
      <c r="B395" s="13"/>
      <c r="C395" s="13"/>
    </row>
    <row r="396" spans="1:3" ht="13" x14ac:dyDescent="0.15">
      <c r="A396" s="10"/>
      <c r="B396" s="13"/>
      <c r="C396" s="13"/>
    </row>
    <row r="397" spans="1:3" ht="13" x14ac:dyDescent="0.15">
      <c r="A397" s="10"/>
      <c r="B397" s="13"/>
      <c r="C397" s="13"/>
    </row>
    <row r="398" spans="1:3" ht="13" x14ac:dyDescent="0.15">
      <c r="A398" s="10"/>
      <c r="B398" s="13"/>
      <c r="C398" s="13"/>
    </row>
    <row r="399" spans="1:3" ht="13" x14ac:dyDescent="0.15">
      <c r="A399" s="10"/>
      <c r="B399" s="13"/>
      <c r="C399" s="13"/>
    </row>
    <row r="400" spans="1:3" ht="13" x14ac:dyDescent="0.15">
      <c r="A400" s="10"/>
      <c r="B400" s="13"/>
      <c r="C400" s="13"/>
    </row>
    <row r="401" spans="1:3" ht="13" x14ac:dyDescent="0.15">
      <c r="A401" s="10"/>
      <c r="B401" s="13"/>
      <c r="C401" s="13"/>
    </row>
    <row r="402" spans="1:3" ht="13" x14ac:dyDescent="0.15">
      <c r="A402" s="10"/>
      <c r="B402" s="13"/>
      <c r="C402" s="13"/>
    </row>
    <row r="403" spans="1:3" ht="13" x14ac:dyDescent="0.15">
      <c r="A403" s="10"/>
      <c r="B403" s="13"/>
      <c r="C403" s="13"/>
    </row>
    <row r="404" spans="1:3" ht="13" x14ac:dyDescent="0.15">
      <c r="A404" s="10"/>
      <c r="B404" s="13"/>
      <c r="C404" s="13"/>
    </row>
    <row r="405" spans="1:3" ht="13" x14ac:dyDescent="0.15">
      <c r="A405" s="10"/>
      <c r="B405" s="13"/>
      <c r="C405" s="13"/>
    </row>
    <row r="406" spans="1:3" ht="13" x14ac:dyDescent="0.15">
      <c r="A406" s="10"/>
      <c r="B406" s="13"/>
      <c r="C406" s="13"/>
    </row>
    <row r="407" spans="1:3" ht="13" x14ac:dyDescent="0.15">
      <c r="A407" s="10"/>
      <c r="B407" s="13"/>
      <c r="C407" s="13"/>
    </row>
    <row r="408" spans="1:3" ht="13" x14ac:dyDescent="0.15">
      <c r="A408" s="10"/>
      <c r="B408" s="13"/>
      <c r="C408" s="13"/>
    </row>
    <row r="409" spans="1:3" ht="13" x14ac:dyDescent="0.15">
      <c r="A409" s="10"/>
      <c r="B409" s="13"/>
      <c r="C409" s="13"/>
    </row>
    <row r="410" spans="1:3" ht="13" x14ac:dyDescent="0.15">
      <c r="A410" s="10"/>
      <c r="B410" s="13"/>
      <c r="C410" s="13"/>
    </row>
    <row r="411" spans="1:3" ht="13" x14ac:dyDescent="0.15">
      <c r="A411" s="10"/>
      <c r="B411" s="13"/>
      <c r="C411" s="13"/>
    </row>
    <row r="412" spans="1:3" ht="13" x14ac:dyDescent="0.15">
      <c r="A412" s="10"/>
      <c r="B412" s="13"/>
      <c r="C412" s="13"/>
    </row>
    <row r="413" spans="1:3" ht="13" x14ac:dyDescent="0.15">
      <c r="A413" s="10"/>
      <c r="B413" s="13"/>
      <c r="C413" s="13"/>
    </row>
    <row r="414" spans="1:3" ht="13" x14ac:dyDescent="0.15">
      <c r="A414" s="10"/>
      <c r="B414" s="13"/>
      <c r="C414" s="13"/>
    </row>
    <row r="415" spans="1:3" ht="13" x14ac:dyDescent="0.15">
      <c r="A415" s="10"/>
      <c r="B415" s="13"/>
      <c r="C415" s="13"/>
    </row>
    <row r="416" spans="1:3" ht="13" x14ac:dyDescent="0.15">
      <c r="A416" s="10"/>
      <c r="B416" s="13"/>
      <c r="C416" s="13"/>
    </row>
    <row r="417" spans="1:3" ht="13" x14ac:dyDescent="0.15">
      <c r="A417" s="10"/>
      <c r="B417" s="13"/>
      <c r="C417" s="13"/>
    </row>
    <row r="418" spans="1:3" ht="13" x14ac:dyDescent="0.15">
      <c r="A418" s="10"/>
      <c r="B418" s="13"/>
      <c r="C418" s="13"/>
    </row>
    <row r="419" spans="1:3" ht="13" x14ac:dyDescent="0.15">
      <c r="A419" s="10"/>
      <c r="B419" s="13"/>
      <c r="C419" s="13"/>
    </row>
    <row r="420" spans="1:3" ht="13" x14ac:dyDescent="0.15">
      <c r="A420" s="10"/>
      <c r="B420" s="13"/>
      <c r="C420" s="13"/>
    </row>
    <row r="421" spans="1:3" ht="13" x14ac:dyDescent="0.15">
      <c r="A421" s="10"/>
      <c r="B421" s="13"/>
      <c r="C421" s="13"/>
    </row>
    <row r="422" spans="1:3" ht="13" x14ac:dyDescent="0.15">
      <c r="A422" s="10"/>
      <c r="B422" s="13"/>
      <c r="C422" s="13"/>
    </row>
    <row r="423" spans="1:3" ht="13" x14ac:dyDescent="0.15">
      <c r="A423" s="10"/>
      <c r="B423" s="13"/>
      <c r="C423" s="13"/>
    </row>
    <row r="424" spans="1:3" ht="13" x14ac:dyDescent="0.15">
      <c r="A424" s="10"/>
      <c r="B424" s="13"/>
      <c r="C424" s="13"/>
    </row>
    <row r="425" spans="1:3" ht="13" x14ac:dyDescent="0.15">
      <c r="A425" s="10"/>
      <c r="B425" s="13"/>
      <c r="C425" s="13"/>
    </row>
    <row r="426" spans="1:3" ht="13" x14ac:dyDescent="0.15">
      <c r="A426" s="10"/>
      <c r="B426" s="13"/>
      <c r="C426" s="13"/>
    </row>
    <row r="427" spans="1:3" ht="13" x14ac:dyDescent="0.15">
      <c r="A427" s="10"/>
      <c r="B427" s="13"/>
      <c r="C427" s="13"/>
    </row>
    <row r="428" spans="1:3" ht="13" x14ac:dyDescent="0.15">
      <c r="A428" s="10"/>
      <c r="B428" s="13"/>
      <c r="C428" s="13"/>
    </row>
    <row r="429" spans="1:3" ht="13" x14ac:dyDescent="0.15">
      <c r="A429" s="10"/>
      <c r="B429" s="13"/>
      <c r="C429" s="13"/>
    </row>
    <row r="430" spans="1:3" ht="13" x14ac:dyDescent="0.15">
      <c r="A430" s="10"/>
      <c r="B430" s="13"/>
      <c r="C430" s="13"/>
    </row>
    <row r="431" spans="1:3" ht="13" x14ac:dyDescent="0.15">
      <c r="A431" s="10"/>
      <c r="B431" s="13"/>
      <c r="C431" s="13"/>
    </row>
    <row r="432" spans="1:3" ht="13" x14ac:dyDescent="0.15">
      <c r="A432" s="10"/>
      <c r="B432" s="13"/>
      <c r="C432" s="13"/>
    </row>
    <row r="433" spans="1:3" ht="13" x14ac:dyDescent="0.15">
      <c r="A433" s="10"/>
      <c r="B433" s="13"/>
      <c r="C433" s="13"/>
    </row>
    <row r="434" spans="1:3" ht="13" x14ac:dyDescent="0.15">
      <c r="A434" s="10"/>
      <c r="B434" s="13"/>
      <c r="C434" s="13"/>
    </row>
    <row r="435" spans="1:3" ht="13" x14ac:dyDescent="0.15">
      <c r="A435" s="10"/>
      <c r="B435" s="13"/>
      <c r="C435" s="13"/>
    </row>
    <row r="436" spans="1:3" ht="13" x14ac:dyDescent="0.15">
      <c r="A436" s="10"/>
      <c r="B436" s="13"/>
      <c r="C436" s="13"/>
    </row>
    <row r="437" spans="1:3" ht="13" x14ac:dyDescent="0.15">
      <c r="A437" s="10"/>
      <c r="B437" s="13"/>
      <c r="C437" s="13"/>
    </row>
    <row r="438" spans="1:3" ht="13" x14ac:dyDescent="0.15">
      <c r="A438" s="10"/>
      <c r="B438" s="13"/>
      <c r="C438" s="13"/>
    </row>
    <row r="439" spans="1:3" ht="13" x14ac:dyDescent="0.15">
      <c r="A439" s="10"/>
      <c r="B439" s="13"/>
      <c r="C439" s="13"/>
    </row>
    <row r="440" spans="1:3" ht="13" x14ac:dyDescent="0.15">
      <c r="A440" s="10"/>
      <c r="B440" s="13"/>
      <c r="C440" s="13"/>
    </row>
    <row r="441" spans="1:3" ht="13" x14ac:dyDescent="0.15">
      <c r="A441" s="10"/>
      <c r="B441" s="13"/>
      <c r="C441" s="13"/>
    </row>
    <row r="442" spans="1:3" ht="13" x14ac:dyDescent="0.15">
      <c r="A442" s="10"/>
      <c r="B442" s="13"/>
      <c r="C442" s="13"/>
    </row>
    <row r="443" spans="1:3" ht="13" x14ac:dyDescent="0.15">
      <c r="A443" s="10"/>
      <c r="B443" s="13"/>
      <c r="C443" s="13"/>
    </row>
    <row r="444" spans="1:3" ht="13" x14ac:dyDescent="0.15">
      <c r="A444" s="10"/>
      <c r="B444" s="13"/>
      <c r="C444" s="13"/>
    </row>
    <row r="445" spans="1:3" ht="13" x14ac:dyDescent="0.15">
      <c r="A445" s="10"/>
      <c r="B445" s="13"/>
      <c r="C445" s="13"/>
    </row>
    <row r="446" spans="1:3" ht="13" x14ac:dyDescent="0.15">
      <c r="A446" s="10"/>
      <c r="B446" s="13"/>
      <c r="C446" s="13"/>
    </row>
    <row r="447" spans="1:3" ht="13" x14ac:dyDescent="0.15">
      <c r="A447" s="10"/>
      <c r="B447" s="13"/>
      <c r="C447" s="13"/>
    </row>
    <row r="448" spans="1:3" ht="13" x14ac:dyDescent="0.15">
      <c r="A448" s="10"/>
      <c r="B448" s="13"/>
      <c r="C448" s="13"/>
    </row>
    <row r="449" spans="1:3" ht="13" x14ac:dyDescent="0.15">
      <c r="A449" s="10"/>
      <c r="B449" s="13"/>
      <c r="C449" s="13"/>
    </row>
    <row r="450" spans="1:3" ht="13" x14ac:dyDescent="0.15">
      <c r="A450" s="10"/>
      <c r="B450" s="13"/>
      <c r="C450" s="13"/>
    </row>
    <row r="451" spans="1:3" ht="13" x14ac:dyDescent="0.15">
      <c r="A451" s="10"/>
      <c r="B451" s="13"/>
      <c r="C451" s="13"/>
    </row>
    <row r="452" spans="1:3" ht="13" x14ac:dyDescent="0.15">
      <c r="A452" s="10"/>
      <c r="B452" s="13"/>
      <c r="C452" s="13"/>
    </row>
    <row r="453" spans="1:3" ht="13" x14ac:dyDescent="0.15">
      <c r="A453" s="10"/>
      <c r="B453" s="13"/>
      <c r="C453" s="13"/>
    </row>
    <row r="454" spans="1:3" ht="13" x14ac:dyDescent="0.15">
      <c r="A454" s="10"/>
      <c r="B454" s="13"/>
      <c r="C454" s="13"/>
    </row>
    <row r="455" spans="1:3" ht="13" x14ac:dyDescent="0.15">
      <c r="A455" s="10"/>
      <c r="B455" s="13"/>
      <c r="C455" s="13"/>
    </row>
    <row r="456" spans="1:3" ht="13" x14ac:dyDescent="0.15">
      <c r="A456" s="10"/>
      <c r="B456" s="13"/>
      <c r="C456" s="13"/>
    </row>
    <row r="457" spans="1:3" ht="13" x14ac:dyDescent="0.15">
      <c r="A457" s="10"/>
      <c r="B457" s="13"/>
      <c r="C457" s="13"/>
    </row>
    <row r="458" spans="1:3" ht="13" x14ac:dyDescent="0.15">
      <c r="A458" s="10"/>
      <c r="B458" s="13"/>
      <c r="C458" s="13"/>
    </row>
    <row r="459" spans="1:3" ht="13" x14ac:dyDescent="0.15">
      <c r="A459" s="10"/>
      <c r="B459" s="13"/>
      <c r="C459" s="13"/>
    </row>
    <row r="460" spans="1:3" ht="13" x14ac:dyDescent="0.15">
      <c r="A460" s="10"/>
      <c r="B460" s="13"/>
      <c r="C460" s="13"/>
    </row>
    <row r="461" spans="1:3" ht="13" x14ac:dyDescent="0.15">
      <c r="A461" s="10"/>
      <c r="B461" s="13"/>
      <c r="C461" s="13"/>
    </row>
    <row r="462" spans="1:3" ht="13" x14ac:dyDescent="0.15">
      <c r="A462" s="10"/>
      <c r="B462" s="13"/>
      <c r="C462" s="13"/>
    </row>
    <row r="463" spans="1:3" ht="13" x14ac:dyDescent="0.15">
      <c r="A463" s="10"/>
      <c r="B463" s="13"/>
      <c r="C463" s="13"/>
    </row>
    <row r="464" spans="1:3" ht="13" x14ac:dyDescent="0.15">
      <c r="A464" s="10"/>
      <c r="B464" s="13"/>
      <c r="C464" s="13"/>
    </row>
    <row r="465" spans="1:3" ht="13" x14ac:dyDescent="0.15">
      <c r="A465" s="10"/>
      <c r="B465" s="13"/>
      <c r="C465" s="13"/>
    </row>
    <row r="466" spans="1:3" ht="13" x14ac:dyDescent="0.15">
      <c r="A466" s="10"/>
      <c r="B466" s="13"/>
      <c r="C466" s="13"/>
    </row>
    <row r="467" spans="1:3" ht="13" x14ac:dyDescent="0.15">
      <c r="A467" s="10"/>
      <c r="B467" s="13"/>
      <c r="C467" s="13"/>
    </row>
    <row r="468" spans="1:3" ht="13" x14ac:dyDescent="0.15">
      <c r="A468" s="10"/>
      <c r="B468" s="13"/>
      <c r="C468" s="13"/>
    </row>
    <row r="469" spans="1:3" ht="13" x14ac:dyDescent="0.15">
      <c r="A469" s="10"/>
      <c r="B469" s="13"/>
      <c r="C469" s="13"/>
    </row>
    <row r="470" spans="1:3" ht="13" x14ac:dyDescent="0.15">
      <c r="A470" s="10"/>
      <c r="B470" s="13"/>
      <c r="C470" s="13"/>
    </row>
    <row r="471" spans="1:3" ht="13" x14ac:dyDescent="0.15">
      <c r="A471" s="10"/>
      <c r="B471" s="13"/>
      <c r="C471" s="13"/>
    </row>
    <row r="472" spans="1:3" ht="13" x14ac:dyDescent="0.15">
      <c r="A472" s="10"/>
      <c r="B472" s="13"/>
      <c r="C472" s="13"/>
    </row>
    <row r="473" spans="1:3" ht="13" x14ac:dyDescent="0.15">
      <c r="A473" s="10"/>
      <c r="B473" s="13"/>
      <c r="C473" s="13"/>
    </row>
    <row r="474" spans="1:3" ht="13" x14ac:dyDescent="0.15">
      <c r="A474" s="10"/>
      <c r="B474" s="13"/>
      <c r="C474" s="13"/>
    </row>
    <row r="475" spans="1:3" ht="13" x14ac:dyDescent="0.15">
      <c r="A475" s="10"/>
      <c r="B475" s="13"/>
      <c r="C475" s="13"/>
    </row>
    <row r="476" spans="1:3" ht="13" x14ac:dyDescent="0.15">
      <c r="A476" s="10"/>
      <c r="B476" s="13"/>
      <c r="C476" s="13"/>
    </row>
    <row r="477" spans="1:3" ht="13" x14ac:dyDescent="0.15">
      <c r="A477" s="10"/>
      <c r="B477" s="13"/>
      <c r="C477" s="13"/>
    </row>
    <row r="478" spans="1:3" ht="13" x14ac:dyDescent="0.15">
      <c r="A478" s="10"/>
      <c r="B478" s="13"/>
      <c r="C478" s="13"/>
    </row>
    <row r="479" spans="1:3" ht="13" x14ac:dyDescent="0.15">
      <c r="A479" s="10"/>
      <c r="B479" s="13"/>
      <c r="C479" s="13"/>
    </row>
    <row r="480" spans="1:3" ht="13" x14ac:dyDescent="0.15">
      <c r="A480" s="10"/>
      <c r="B480" s="13"/>
      <c r="C480" s="13"/>
    </row>
    <row r="481" spans="1:3" ht="13" x14ac:dyDescent="0.15">
      <c r="A481" s="10"/>
      <c r="B481" s="13"/>
      <c r="C481" s="13"/>
    </row>
    <row r="482" spans="1:3" ht="13" x14ac:dyDescent="0.15">
      <c r="A482" s="10"/>
      <c r="B482" s="13"/>
      <c r="C482" s="13"/>
    </row>
    <row r="483" spans="1:3" ht="13" x14ac:dyDescent="0.15">
      <c r="A483" s="10"/>
      <c r="B483" s="13"/>
      <c r="C483" s="13"/>
    </row>
    <row r="484" spans="1:3" ht="13" x14ac:dyDescent="0.15">
      <c r="A484" s="10"/>
      <c r="B484" s="13"/>
      <c r="C484" s="13"/>
    </row>
    <row r="485" spans="1:3" ht="13" x14ac:dyDescent="0.15">
      <c r="A485" s="10"/>
      <c r="B485" s="13"/>
      <c r="C485" s="13"/>
    </row>
    <row r="486" spans="1:3" ht="13" x14ac:dyDescent="0.15">
      <c r="A486" s="10"/>
      <c r="B486" s="13"/>
      <c r="C486" s="13"/>
    </row>
    <row r="487" spans="1:3" ht="13" x14ac:dyDescent="0.15">
      <c r="A487" s="10"/>
      <c r="B487" s="13"/>
      <c r="C487" s="13"/>
    </row>
    <row r="488" spans="1:3" ht="13" x14ac:dyDescent="0.15">
      <c r="A488" s="10"/>
      <c r="B488" s="13"/>
      <c r="C488" s="13"/>
    </row>
    <row r="489" spans="1:3" ht="13" x14ac:dyDescent="0.15">
      <c r="A489" s="10"/>
      <c r="B489" s="13"/>
      <c r="C489" s="13"/>
    </row>
    <row r="490" spans="1:3" ht="13" x14ac:dyDescent="0.15">
      <c r="A490" s="10"/>
      <c r="B490" s="13"/>
      <c r="C490" s="13"/>
    </row>
    <row r="491" spans="1:3" ht="13" x14ac:dyDescent="0.15">
      <c r="A491" s="10"/>
      <c r="B491" s="13"/>
      <c r="C491" s="13"/>
    </row>
    <row r="492" spans="1:3" ht="13" x14ac:dyDescent="0.15">
      <c r="A492" s="10"/>
      <c r="B492" s="13"/>
      <c r="C492" s="13"/>
    </row>
    <row r="493" spans="1:3" ht="13" x14ac:dyDescent="0.15">
      <c r="A493" s="10"/>
      <c r="B493" s="13"/>
      <c r="C493" s="13"/>
    </row>
    <row r="494" spans="1:3" ht="13" x14ac:dyDescent="0.15">
      <c r="A494" s="10"/>
      <c r="B494" s="13"/>
      <c r="C494" s="13"/>
    </row>
    <row r="495" spans="1:3" ht="13" x14ac:dyDescent="0.15">
      <c r="A495" s="10"/>
      <c r="B495" s="13"/>
      <c r="C495" s="13"/>
    </row>
    <row r="496" spans="1:3" ht="13" x14ac:dyDescent="0.15">
      <c r="A496" s="10"/>
      <c r="B496" s="13"/>
      <c r="C496" s="13"/>
    </row>
    <row r="497" spans="1:3" ht="13" x14ac:dyDescent="0.15">
      <c r="A497" s="10"/>
      <c r="B497" s="13"/>
      <c r="C497" s="13"/>
    </row>
    <row r="498" spans="1:3" ht="13" x14ac:dyDescent="0.15">
      <c r="A498" s="10"/>
      <c r="B498" s="13"/>
      <c r="C498" s="13"/>
    </row>
    <row r="499" spans="1:3" ht="13" x14ac:dyDescent="0.15">
      <c r="A499" s="10"/>
      <c r="B499" s="13"/>
      <c r="C499" s="13"/>
    </row>
    <row r="500" spans="1:3" ht="13" x14ac:dyDescent="0.15">
      <c r="A500" s="10"/>
      <c r="B500" s="13"/>
      <c r="C500" s="13"/>
    </row>
    <row r="501" spans="1:3" ht="13" x14ac:dyDescent="0.15">
      <c r="A501" s="10"/>
      <c r="B501" s="13"/>
      <c r="C501" s="13"/>
    </row>
    <row r="502" spans="1:3" ht="13" x14ac:dyDescent="0.15">
      <c r="A502" s="10"/>
      <c r="B502" s="13"/>
      <c r="C502" s="13"/>
    </row>
    <row r="503" spans="1:3" ht="13" x14ac:dyDescent="0.15">
      <c r="A503" s="10"/>
      <c r="B503" s="13"/>
      <c r="C503" s="13"/>
    </row>
    <row r="504" spans="1:3" ht="13" x14ac:dyDescent="0.15">
      <c r="A504" s="10"/>
      <c r="B504" s="13"/>
      <c r="C504" s="13"/>
    </row>
    <row r="505" spans="1:3" ht="13" x14ac:dyDescent="0.15">
      <c r="A505" s="10"/>
      <c r="B505" s="13"/>
      <c r="C505" s="13"/>
    </row>
    <row r="506" spans="1:3" ht="13" x14ac:dyDescent="0.15">
      <c r="A506" s="10"/>
      <c r="B506" s="13"/>
      <c r="C506" s="13"/>
    </row>
    <row r="507" spans="1:3" ht="13" x14ac:dyDescent="0.15">
      <c r="A507" s="10"/>
      <c r="B507" s="13"/>
      <c r="C507" s="13"/>
    </row>
    <row r="508" spans="1:3" ht="13" x14ac:dyDescent="0.15">
      <c r="A508" s="10"/>
      <c r="B508" s="13"/>
      <c r="C508" s="13"/>
    </row>
    <row r="509" spans="1:3" ht="13" x14ac:dyDescent="0.15">
      <c r="A509" s="10"/>
      <c r="B509" s="13"/>
      <c r="C509" s="13"/>
    </row>
    <row r="510" spans="1:3" ht="13" x14ac:dyDescent="0.15">
      <c r="A510" s="10"/>
      <c r="B510" s="13"/>
      <c r="C510" s="13"/>
    </row>
    <row r="511" spans="1:3" ht="13" x14ac:dyDescent="0.15">
      <c r="A511" s="10"/>
      <c r="B511" s="13"/>
      <c r="C511" s="13"/>
    </row>
    <row r="512" spans="1:3" ht="13" x14ac:dyDescent="0.15">
      <c r="A512" s="10"/>
      <c r="B512" s="13"/>
      <c r="C512" s="13"/>
    </row>
    <row r="513" spans="1:3" ht="13" x14ac:dyDescent="0.15">
      <c r="A513" s="10"/>
      <c r="B513" s="13"/>
      <c r="C513" s="13"/>
    </row>
    <row r="514" spans="1:3" ht="13" x14ac:dyDescent="0.15">
      <c r="A514" s="10"/>
      <c r="B514" s="13"/>
      <c r="C514" s="13"/>
    </row>
    <row r="515" spans="1:3" ht="13" x14ac:dyDescent="0.15">
      <c r="A515" s="10"/>
      <c r="B515" s="13"/>
      <c r="C515" s="13"/>
    </row>
    <row r="516" spans="1:3" ht="13" x14ac:dyDescent="0.15">
      <c r="A516" s="10"/>
      <c r="B516" s="13"/>
      <c r="C516" s="13"/>
    </row>
    <row r="517" spans="1:3" ht="13" x14ac:dyDescent="0.15">
      <c r="A517" s="10"/>
      <c r="B517" s="13"/>
      <c r="C517" s="13"/>
    </row>
    <row r="518" spans="1:3" ht="13" x14ac:dyDescent="0.15">
      <c r="A518" s="10"/>
      <c r="B518" s="13"/>
      <c r="C518" s="13"/>
    </row>
    <row r="519" spans="1:3" ht="13" x14ac:dyDescent="0.15">
      <c r="A519" s="10"/>
      <c r="B519" s="13"/>
      <c r="C519" s="13"/>
    </row>
    <row r="520" spans="1:3" ht="13" x14ac:dyDescent="0.15">
      <c r="A520" s="10"/>
      <c r="B520" s="13"/>
      <c r="C520" s="13"/>
    </row>
    <row r="521" spans="1:3" ht="13" x14ac:dyDescent="0.15">
      <c r="A521" s="10"/>
      <c r="B521" s="13"/>
      <c r="C521" s="13"/>
    </row>
    <row r="522" spans="1:3" ht="13" x14ac:dyDescent="0.15">
      <c r="A522" s="10"/>
      <c r="B522" s="13"/>
      <c r="C522" s="13"/>
    </row>
    <row r="523" spans="1:3" ht="13" x14ac:dyDescent="0.15">
      <c r="A523" s="10"/>
      <c r="B523" s="13"/>
      <c r="C523" s="13"/>
    </row>
    <row r="524" spans="1:3" ht="13" x14ac:dyDescent="0.15">
      <c r="A524" s="10"/>
      <c r="B524" s="13"/>
      <c r="C524" s="13"/>
    </row>
    <row r="525" spans="1:3" ht="13" x14ac:dyDescent="0.15">
      <c r="A525" s="10"/>
      <c r="B525" s="13"/>
      <c r="C525" s="13"/>
    </row>
    <row r="526" spans="1:3" ht="13" x14ac:dyDescent="0.15">
      <c r="A526" s="10"/>
      <c r="B526" s="13"/>
      <c r="C526" s="13"/>
    </row>
    <row r="527" spans="1:3" ht="13" x14ac:dyDescent="0.15">
      <c r="A527" s="10"/>
      <c r="B527" s="13"/>
      <c r="C527" s="13"/>
    </row>
    <row r="528" spans="1:3" ht="13" x14ac:dyDescent="0.15">
      <c r="A528" s="10"/>
      <c r="B528" s="13"/>
      <c r="C528" s="13"/>
    </row>
    <row r="529" spans="1:3" ht="13" x14ac:dyDescent="0.15">
      <c r="A529" s="10"/>
      <c r="B529" s="13"/>
      <c r="C529" s="13"/>
    </row>
    <row r="530" spans="1:3" ht="13" x14ac:dyDescent="0.15">
      <c r="A530" s="10"/>
      <c r="B530" s="13"/>
      <c r="C530" s="13"/>
    </row>
    <row r="531" spans="1:3" ht="13" x14ac:dyDescent="0.15">
      <c r="A531" s="10"/>
      <c r="B531" s="13"/>
      <c r="C531" s="13"/>
    </row>
    <row r="532" spans="1:3" ht="13" x14ac:dyDescent="0.15">
      <c r="A532" s="10"/>
      <c r="B532" s="13"/>
      <c r="C532" s="13"/>
    </row>
    <row r="533" spans="1:3" ht="13" x14ac:dyDescent="0.15">
      <c r="A533" s="10"/>
      <c r="B533" s="13"/>
      <c r="C533" s="13"/>
    </row>
    <row r="534" spans="1:3" ht="13" x14ac:dyDescent="0.15">
      <c r="A534" s="10"/>
      <c r="B534" s="13"/>
      <c r="C534" s="13"/>
    </row>
    <row r="535" spans="1:3" ht="13" x14ac:dyDescent="0.15">
      <c r="A535" s="10"/>
      <c r="B535" s="13"/>
      <c r="C535" s="13"/>
    </row>
    <row r="536" spans="1:3" ht="13" x14ac:dyDescent="0.15">
      <c r="A536" s="10"/>
      <c r="B536" s="13"/>
      <c r="C536" s="13"/>
    </row>
    <row r="537" spans="1:3" ht="13" x14ac:dyDescent="0.15">
      <c r="A537" s="10"/>
      <c r="B537" s="13"/>
      <c r="C537" s="13"/>
    </row>
    <row r="538" spans="1:3" ht="13" x14ac:dyDescent="0.15">
      <c r="A538" s="10"/>
      <c r="B538" s="13"/>
      <c r="C538" s="13"/>
    </row>
    <row r="539" spans="1:3" ht="13" x14ac:dyDescent="0.15">
      <c r="A539" s="10"/>
      <c r="B539" s="13"/>
      <c r="C539" s="13"/>
    </row>
    <row r="540" spans="1:3" ht="13" x14ac:dyDescent="0.15">
      <c r="A540" s="10"/>
      <c r="B540" s="13"/>
      <c r="C540" s="13"/>
    </row>
    <row r="541" spans="1:3" ht="13" x14ac:dyDescent="0.15">
      <c r="A541" s="10"/>
      <c r="B541" s="13"/>
      <c r="C541" s="13"/>
    </row>
    <row r="542" spans="1:3" ht="13" x14ac:dyDescent="0.15">
      <c r="A542" s="10"/>
      <c r="B542" s="13"/>
      <c r="C542" s="13"/>
    </row>
    <row r="543" spans="1:3" ht="13" x14ac:dyDescent="0.15">
      <c r="A543" s="10"/>
      <c r="B543" s="13"/>
      <c r="C543" s="13"/>
    </row>
    <row r="544" spans="1:3" ht="13" x14ac:dyDescent="0.15">
      <c r="A544" s="10"/>
      <c r="B544" s="13"/>
      <c r="C544" s="13"/>
    </row>
    <row r="545" spans="1:3" ht="13" x14ac:dyDescent="0.15">
      <c r="A545" s="10"/>
      <c r="B545" s="13"/>
      <c r="C545" s="13"/>
    </row>
    <row r="546" spans="1:3" ht="13" x14ac:dyDescent="0.15">
      <c r="A546" s="10"/>
      <c r="B546" s="13"/>
      <c r="C546" s="13"/>
    </row>
    <row r="547" spans="1:3" ht="13" x14ac:dyDescent="0.15">
      <c r="A547" s="10"/>
      <c r="B547" s="13"/>
      <c r="C547" s="13"/>
    </row>
    <row r="548" spans="1:3" ht="13" x14ac:dyDescent="0.15">
      <c r="A548" s="10"/>
      <c r="B548" s="13"/>
      <c r="C548" s="13"/>
    </row>
    <row r="549" spans="1:3" ht="13" x14ac:dyDescent="0.15">
      <c r="A549" s="10"/>
      <c r="B549" s="13"/>
      <c r="C549" s="13"/>
    </row>
    <row r="550" spans="1:3" ht="13" x14ac:dyDescent="0.15">
      <c r="A550" s="10"/>
      <c r="B550" s="13"/>
      <c r="C550" s="13"/>
    </row>
    <row r="551" spans="1:3" ht="13" x14ac:dyDescent="0.15">
      <c r="A551" s="10"/>
      <c r="B551" s="13"/>
      <c r="C551" s="13"/>
    </row>
    <row r="552" spans="1:3" ht="13" x14ac:dyDescent="0.15">
      <c r="A552" s="10"/>
      <c r="B552" s="13"/>
      <c r="C552" s="13"/>
    </row>
    <row r="553" spans="1:3" ht="13" x14ac:dyDescent="0.15">
      <c r="A553" s="10"/>
      <c r="B553" s="13"/>
      <c r="C553" s="13"/>
    </row>
    <row r="554" spans="1:3" ht="13" x14ac:dyDescent="0.15">
      <c r="A554" s="10"/>
      <c r="B554" s="13"/>
      <c r="C554" s="13"/>
    </row>
    <row r="555" spans="1:3" ht="13" x14ac:dyDescent="0.15">
      <c r="A555" s="10"/>
      <c r="B555" s="13"/>
      <c r="C555" s="13"/>
    </row>
    <row r="556" spans="1:3" ht="13" x14ac:dyDescent="0.15">
      <c r="A556" s="10"/>
      <c r="B556" s="13"/>
      <c r="C556" s="13"/>
    </row>
    <row r="557" spans="1:3" ht="13" x14ac:dyDescent="0.15">
      <c r="A557" s="10"/>
      <c r="B557" s="13"/>
      <c r="C557" s="13"/>
    </row>
    <row r="558" spans="1:3" ht="13" x14ac:dyDescent="0.15">
      <c r="A558" s="10"/>
      <c r="B558" s="13"/>
      <c r="C558" s="13"/>
    </row>
    <row r="559" spans="1:3" ht="13" x14ac:dyDescent="0.15">
      <c r="A559" s="10"/>
      <c r="B559" s="13"/>
      <c r="C559" s="13"/>
    </row>
    <row r="560" spans="1:3" ht="13" x14ac:dyDescent="0.15">
      <c r="A560" s="10"/>
      <c r="B560" s="13"/>
      <c r="C560" s="13"/>
    </row>
    <row r="561" spans="1:3" ht="13" x14ac:dyDescent="0.15">
      <c r="A561" s="10"/>
      <c r="B561" s="13"/>
      <c r="C561" s="13"/>
    </row>
    <row r="562" spans="1:3" ht="13" x14ac:dyDescent="0.15">
      <c r="A562" s="10"/>
      <c r="B562" s="13"/>
      <c r="C562" s="13"/>
    </row>
    <row r="563" spans="1:3" ht="13" x14ac:dyDescent="0.15">
      <c r="A563" s="10"/>
      <c r="B563" s="13"/>
      <c r="C563" s="13"/>
    </row>
    <row r="564" spans="1:3" ht="13" x14ac:dyDescent="0.15">
      <c r="A564" s="10"/>
      <c r="B564" s="13"/>
      <c r="C564" s="13"/>
    </row>
    <row r="565" spans="1:3" ht="13" x14ac:dyDescent="0.15">
      <c r="A565" s="10"/>
      <c r="B565" s="13"/>
      <c r="C565" s="13"/>
    </row>
    <row r="566" spans="1:3" ht="13" x14ac:dyDescent="0.15">
      <c r="A566" s="10"/>
      <c r="B566" s="13"/>
      <c r="C566" s="13"/>
    </row>
    <row r="567" spans="1:3" ht="13" x14ac:dyDescent="0.15">
      <c r="A567" s="10"/>
      <c r="B567" s="13"/>
      <c r="C567" s="13"/>
    </row>
    <row r="568" spans="1:3" ht="13" x14ac:dyDescent="0.15">
      <c r="A568" s="10"/>
      <c r="B568" s="13"/>
      <c r="C568" s="13"/>
    </row>
    <row r="569" spans="1:3" ht="13" x14ac:dyDescent="0.15">
      <c r="A569" s="10"/>
      <c r="B569" s="13"/>
      <c r="C569" s="13"/>
    </row>
    <row r="570" spans="1:3" ht="13" x14ac:dyDescent="0.15">
      <c r="A570" s="10"/>
      <c r="B570" s="13"/>
      <c r="C570" s="13"/>
    </row>
    <row r="571" spans="1:3" ht="13" x14ac:dyDescent="0.15">
      <c r="A571" s="10"/>
      <c r="B571" s="13"/>
      <c r="C571" s="13"/>
    </row>
    <row r="572" spans="1:3" ht="13" x14ac:dyDescent="0.15">
      <c r="A572" s="10"/>
      <c r="B572" s="13"/>
      <c r="C572" s="13"/>
    </row>
    <row r="573" spans="1:3" ht="13" x14ac:dyDescent="0.15">
      <c r="A573" s="10"/>
      <c r="B573" s="13"/>
      <c r="C573" s="13"/>
    </row>
    <row r="574" spans="1:3" ht="13" x14ac:dyDescent="0.15">
      <c r="A574" s="10"/>
      <c r="B574" s="13"/>
      <c r="C574" s="13"/>
    </row>
    <row r="575" spans="1:3" ht="13" x14ac:dyDescent="0.15">
      <c r="A575" s="10"/>
      <c r="B575" s="13"/>
      <c r="C575" s="13"/>
    </row>
    <row r="576" spans="1:3" ht="13" x14ac:dyDescent="0.15">
      <c r="A576" s="10"/>
      <c r="B576" s="13"/>
      <c r="C576" s="13"/>
    </row>
    <row r="577" spans="1:3" ht="13" x14ac:dyDescent="0.15">
      <c r="A577" s="10"/>
      <c r="B577" s="13"/>
      <c r="C577" s="13"/>
    </row>
    <row r="578" spans="1:3" ht="13" x14ac:dyDescent="0.15">
      <c r="A578" s="10"/>
      <c r="B578" s="13"/>
      <c r="C578" s="13"/>
    </row>
    <row r="579" spans="1:3" ht="13" x14ac:dyDescent="0.15">
      <c r="A579" s="10"/>
      <c r="B579" s="13"/>
      <c r="C579" s="13"/>
    </row>
    <row r="580" spans="1:3" ht="13" x14ac:dyDescent="0.15">
      <c r="A580" s="10"/>
      <c r="B580" s="13"/>
      <c r="C580" s="13"/>
    </row>
    <row r="581" spans="1:3" ht="13" x14ac:dyDescent="0.15">
      <c r="A581" s="10"/>
      <c r="B581" s="13"/>
      <c r="C581" s="13"/>
    </row>
    <row r="582" spans="1:3" ht="13" x14ac:dyDescent="0.15">
      <c r="A582" s="10"/>
      <c r="B582" s="13"/>
      <c r="C582" s="13"/>
    </row>
    <row r="583" spans="1:3" ht="13" x14ac:dyDescent="0.15">
      <c r="A583" s="10"/>
      <c r="B583" s="13"/>
      <c r="C583" s="13"/>
    </row>
    <row r="584" spans="1:3" ht="13" x14ac:dyDescent="0.15">
      <c r="A584" s="10"/>
      <c r="B584" s="13"/>
      <c r="C584" s="13"/>
    </row>
    <row r="585" spans="1:3" ht="13" x14ac:dyDescent="0.15">
      <c r="A585" s="10"/>
      <c r="B585" s="13"/>
      <c r="C585" s="13"/>
    </row>
    <row r="586" spans="1:3" ht="13" x14ac:dyDescent="0.15">
      <c r="A586" s="10"/>
      <c r="B586" s="13"/>
      <c r="C586" s="13"/>
    </row>
    <row r="587" spans="1:3" ht="13" x14ac:dyDescent="0.15">
      <c r="A587" s="10"/>
      <c r="B587" s="13"/>
      <c r="C587" s="13"/>
    </row>
    <row r="588" spans="1:3" ht="13" x14ac:dyDescent="0.15">
      <c r="A588" s="10"/>
      <c r="B588" s="13"/>
      <c r="C588" s="13"/>
    </row>
    <row r="589" spans="1:3" ht="13" x14ac:dyDescent="0.15">
      <c r="A589" s="10"/>
      <c r="B589" s="13"/>
      <c r="C589" s="13"/>
    </row>
    <row r="590" spans="1:3" ht="13" x14ac:dyDescent="0.15">
      <c r="A590" s="10"/>
      <c r="B590" s="13"/>
      <c r="C590" s="13"/>
    </row>
    <row r="591" spans="1:3" ht="13" x14ac:dyDescent="0.15">
      <c r="A591" s="10"/>
      <c r="B591" s="13"/>
      <c r="C591" s="13"/>
    </row>
    <row r="592" spans="1:3" ht="13" x14ac:dyDescent="0.15">
      <c r="A592" s="10"/>
      <c r="B592" s="13"/>
      <c r="C592" s="13"/>
    </row>
    <row r="593" spans="1:3" ht="13" x14ac:dyDescent="0.15">
      <c r="A593" s="10"/>
      <c r="B593" s="13"/>
      <c r="C593" s="13"/>
    </row>
    <row r="594" spans="1:3" ht="13" x14ac:dyDescent="0.15">
      <c r="A594" s="10"/>
      <c r="B594" s="13"/>
      <c r="C594" s="13"/>
    </row>
    <row r="595" spans="1:3" ht="13" x14ac:dyDescent="0.15">
      <c r="A595" s="10"/>
      <c r="B595" s="13"/>
      <c r="C595" s="13"/>
    </row>
    <row r="596" spans="1:3" ht="13" x14ac:dyDescent="0.15">
      <c r="A596" s="10"/>
      <c r="B596" s="13"/>
      <c r="C596" s="13"/>
    </row>
    <row r="597" spans="1:3" ht="13" x14ac:dyDescent="0.15">
      <c r="A597" s="10"/>
      <c r="B597" s="13"/>
      <c r="C597" s="13"/>
    </row>
    <row r="598" spans="1:3" ht="13" x14ac:dyDescent="0.15">
      <c r="A598" s="10"/>
      <c r="B598" s="13"/>
      <c r="C598" s="13"/>
    </row>
    <row r="599" spans="1:3" ht="13" x14ac:dyDescent="0.15">
      <c r="A599" s="10"/>
      <c r="B599" s="13"/>
      <c r="C599" s="13"/>
    </row>
    <row r="600" spans="1:3" ht="13" x14ac:dyDescent="0.15">
      <c r="A600" s="10"/>
      <c r="B600" s="13"/>
      <c r="C600" s="13"/>
    </row>
    <row r="601" spans="1:3" ht="13" x14ac:dyDescent="0.15">
      <c r="A601" s="10"/>
      <c r="B601" s="13"/>
      <c r="C601" s="13"/>
    </row>
    <row r="602" spans="1:3" ht="13" x14ac:dyDescent="0.15">
      <c r="A602" s="10"/>
      <c r="B602" s="13"/>
      <c r="C602" s="13"/>
    </row>
    <row r="603" spans="1:3" ht="13" x14ac:dyDescent="0.15">
      <c r="A603" s="10"/>
      <c r="B603" s="13"/>
      <c r="C603" s="13"/>
    </row>
    <row r="604" spans="1:3" ht="13" x14ac:dyDescent="0.15">
      <c r="A604" s="10"/>
      <c r="B604" s="13"/>
      <c r="C604" s="13"/>
    </row>
    <row r="605" spans="1:3" ht="13" x14ac:dyDescent="0.15">
      <c r="A605" s="10"/>
      <c r="B605" s="13"/>
      <c r="C605" s="13"/>
    </row>
    <row r="606" spans="1:3" ht="13" x14ac:dyDescent="0.15">
      <c r="A606" s="10"/>
      <c r="B606" s="13"/>
      <c r="C606" s="13"/>
    </row>
    <row r="607" spans="1:3" ht="13" x14ac:dyDescent="0.15">
      <c r="A607" s="10"/>
      <c r="B607" s="13"/>
      <c r="C607" s="13"/>
    </row>
    <row r="608" spans="1:3" ht="13" x14ac:dyDescent="0.15">
      <c r="A608" s="10"/>
      <c r="B608" s="13"/>
      <c r="C608" s="13"/>
    </row>
    <row r="609" spans="1:3" ht="13" x14ac:dyDescent="0.15">
      <c r="A609" s="10"/>
      <c r="B609" s="13"/>
      <c r="C609" s="13"/>
    </row>
    <row r="610" spans="1:3" ht="13" x14ac:dyDescent="0.15">
      <c r="A610" s="10"/>
      <c r="B610" s="13"/>
      <c r="C610" s="13"/>
    </row>
    <row r="611" spans="1:3" ht="13" x14ac:dyDescent="0.15">
      <c r="A611" s="10"/>
      <c r="B611" s="13"/>
      <c r="C611" s="13"/>
    </row>
    <row r="612" spans="1:3" ht="13" x14ac:dyDescent="0.15">
      <c r="A612" s="10"/>
      <c r="B612" s="13"/>
      <c r="C612" s="13"/>
    </row>
    <row r="613" spans="1:3" ht="13" x14ac:dyDescent="0.15">
      <c r="A613" s="10"/>
      <c r="B613" s="13"/>
      <c r="C613" s="13"/>
    </row>
    <row r="614" spans="1:3" ht="13" x14ac:dyDescent="0.15">
      <c r="A614" s="10"/>
      <c r="B614" s="13"/>
      <c r="C614" s="13"/>
    </row>
    <row r="615" spans="1:3" ht="13" x14ac:dyDescent="0.15">
      <c r="A615" s="10"/>
      <c r="B615" s="13"/>
      <c r="C615" s="13"/>
    </row>
    <row r="616" spans="1:3" ht="13" x14ac:dyDescent="0.15">
      <c r="A616" s="10"/>
      <c r="B616" s="13"/>
      <c r="C616" s="13"/>
    </row>
    <row r="617" spans="1:3" ht="13" x14ac:dyDescent="0.15">
      <c r="A617" s="10"/>
      <c r="B617" s="13"/>
      <c r="C617" s="13"/>
    </row>
    <row r="618" spans="1:3" ht="13" x14ac:dyDescent="0.15">
      <c r="A618" s="10"/>
      <c r="B618" s="13"/>
      <c r="C618" s="13"/>
    </row>
    <row r="619" spans="1:3" ht="13" x14ac:dyDescent="0.15">
      <c r="A619" s="10"/>
      <c r="B619" s="13"/>
      <c r="C619" s="13"/>
    </row>
    <row r="620" spans="1:3" ht="13" x14ac:dyDescent="0.15">
      <c r="A620" s="10"/>
      <c r="B620" s="13"/>
      <c r="C620" s="13"/>
    </row>
    <row r="621" spans="1:3" ht="13" x14ac:dyDescent="0.15">
      <c r="A621" s="10"/>
      <c r="B621" s="13"/>
      <c r="C621" s="13"/>
    </row>
    <row r="622" spans="1:3" ht="13" x14ac:dyDescent="0.15">
      <c r="A622" s="10"/>
      <c r="B622" s="13"/>
      <c r="C622" s="13"/>
    </row>
    <row r="623" spans="1:3" ht="13" x14ac:dyDescent="0.15">
      <c r="A623" s="10"/>
      <c r="B623" s="13"/>
      <c r="C623" s="13"/>
    </row>
    <row r="624" spans="1:3" ht="13" x14ac:dyDescent="0.15">
      <c r="A624" s="10"/>
      <c r="B624" s="13"/>
      <c r="C624" s="13"/>
    </row>
    <row r="625" spans="1:3" ht="13" x14ac:dyDescent="0.15">
      <c r="A625" s="10"/>
      <c r="B625" s="13"/>
      <c r="C625" s="13"/>
    </row>
    <row r="626" spans="1:3" ht="13" x14ac:dyDescent="0.15">
      <c r="A626" s="10"/>
      <c r="B626" s="13"/>
      <c r="C626" s="13"/>
    </row>
    <row r="627" spans="1:3" ht="13" x14ac:dyDescent="0.15">
      <c r="A627" s="10"/>
      <c r="B627" s="13"/>
      <c r="C627" s="13"/>
    </row>
    <row r="628" spans="1:3" ht="13" x14ac:dyDescent="0.15">
      <c r="A628" s="10"/>
      <c r="B628" s="13"/>
      <c r="C628" s="13"/>
    </row>
    <row r="629" spans="1:3" ht="13" x14ac:dyDescent="0.15">
      <c r="A629" s="10"/>
      <c r="B629" s="13"/>
      <c r="C629" s="13"/>
    </row>
    <row r="630" spans="1:3" ht="13" x14ac:dyDescent="0.15">
      <c r="A630" s="10"/>
      <c r="B630" s="13"/>
      <c r="C630" s="13"/>
    </row>
    <row r="631" spans="1:3" ht="13" x14ac:dyDescent="0.15">
      <c r="A631" s="10"/>
      <c r="B631" s="13"/>
      <c r="C631" s="13"/>
    </row>
    <row r="632" spans="1:3" ht="13" x14ac:dyDescent="0.15">
      <c r="A632" s="10"/>
      <c r="B632" s="13"/>
      <c r="C632" s="13"/>
    </row>
    <row r="633" spans="1:3" ht="13" x14ac:dyDescent="0.15">
      <c r="A633" s="10"/>
      <c r="B633" s="13"/>
      <c r="C633" s="13"/>
    </row>
    <row r="634" spans="1:3" ht="13" x14ac:dyDescent="0.15">
      <c r="A634" s="10"/>
      <c r="B634" s="13"/>
      <c r="C634" s="13"/>
    </row>
    <row r="635" spans="1:3" ht="13" x14ac:dyDescent="0.15">
      <c r="A635" s="10"/>
      <c r="B635" s="13"/>
      <c r="C635" s="13"/>
    </row>
    <row r="636" spans="1:3" ht="13" x14ac:dyDescent="0.15">
      <c r="A636" s="10"/>
      <c r="B636" s="13"/>
      <c r="C636" s="13"/>
    </row>
    <row r="637" spans="1:3" ht="13" x14ac:dyDescent="0.15">
      <c r="A637" s="10"/>
      <c r="B637" s="13"/>
      <c r="C637" s="13"/>
    </row>
    <row r="638" spans="1:3" ht="13" x14ac:dyDescent="0.15">
      <c r="A638" s="10"/>
      <c r="B638" s="13"/>
      <c r="C638" s="13"/>
    </row>
    <row r="639" spans="1:3" ht="13" x14ac:dyDescent="0.15">
      <c r="A639" s="10"/>
      <c r="B639" s="13"/>
      <c r="C639" s="13"/>
    </row>
    <row r="640" spans="1:3" ht="13" x14ac:dyDescent="0.15">
      <c r="A640" s="10"/>
      <c r="B640" s="13"/>
      <c r="C640" s="13"/>
    </row>
    <row r="641" spans="1:3" ht="13" x14ac:dyDescent="0.15">
      <c r="A641" s="10"/>
      <c r="B641" s="13"/>
      <c r="C641" s="13"/>
    </row>
    <row r="642" spans="1:3" ht="13" x14ac:dyDescent="0.15">
      <c r="A642" s="10"/>
      <c r="B642" s="13"/>
      <c r="C642" s="13"/>
    </row>
    <row r="643" spans="1:3" ht="13" x14ac:dyDescent="0.15">
      <c r="A643" s="10"/>
      <c r="B643" s="13"/>
      <c r="C643" s="13"/>
    </row>
    <row r="644" spans="1:3" ht="13" x14ac:dyDescent="0.15">
      <c r="A644" s="10"/>
      <c r="B644" s="13"/>
      <c r="C644" s="13"/>
    </row>
    <row r="645" spans="1:3" ht="13" x14ac:dyDescent="0.15">
      <c r="A645" s="10"/>
      <c r="B645" s="13"/>
      <c r="C645" s="13"/>
    </row>
    <row r="646" spans="1:3" ht="13" x14ac:dyDescent="0.15">
      <c r="A646" s="10"/>
      <c r="B646" s="13"/>
      <c r="C646" s="13"/>
    </row>
    <row r="647" spans="1:3" ht="13" x14ac:dyDescent="0.15">
      <c r="A647" s="10"/>
      <c r="B647" s="13"/>
      <c r="C647" s="13"/>
    </row>
    <row r="648" spans="1:3" ht="13" x14ac:dyDescent="0.15">
      <c r="A648" s="10"/>
      <c r="B648" s="13"/>
      <c r="C648" s="13"/>
    </row>
    <row r="649" spans="1:3" ht="13" x14ac:dyDescent="0.15">
      <c r="A649" s="10"/>
      <c r="B649" s="13"/>
      <c r="C649" s="13"/>
    </row>
    <row r="650" spans="1:3" ht="13" x14ac:dyDescent="0.15">
      <c r="A650" s="10"/>
      <c r="B650" s="13"/>
      <c r="C650" s="13"/>
    </row>
    <row r="651" spans="1:3" ht="13" x14ac:dyDescent="0.15">
      <c r="A651" s="10"/>
      <c r="B651" s="13"/>
      <c r="C651" s="13"/>
    </row>
    <row r="652" spans="1:3" ht="13" x14ac:dyDescent="0.15">
      <c r="A652" s="10"/>
      <c r="B652" s="13"/>
      <c r="C652" s="13"/>
    </row>
    <row r="653" spans="1:3" ht="13" x14ac:dyDescent="0.15">
      <c r="A653" s="10"/>
      <c r="B653" s="13"/>
      <c r="C653" s="13"/>
    </row>
    <row r="654" spans="1:3" ht="13" x14ac:dyDescent="0.15">
      <c r="A654" s="10"/>
      <c r="B654" s="13"/>
      <c r="C654" s="13"/>
    </row>
    <row r="655" spans="1:3" ht="13" x14ac:dyDescent="0.15">
      <c r="A655" s="10"/>
      <c r="B655" s="13"/>
      <c r="C655" s="13"/>
    </row>
    <row r="656" spans="1:3" ht="13" x14ac:dyDescent="0.15">
      <c r="A656" s="10"/>
      <c r="B656" s="13"/>
      <c r="C656" s="13"/>
    </row>
    <row r="657" spans="1:3" ht="13" x14ac:dyDescent="0.15">
      <c r="A657" s="10"/>
      <c r="B657" s="13"/>
      <c r="C657" s="13"/>
    </row>
    <row r="658" spans="1:3" ht="13" x14ac:dyDescent="0.15">
      <c r="A658" s="10"/>
      <c r="B658" s="13"/>
      <c r="C658" s="13"/>
    </row>
    <row r="659" spans="1:3" ht="13" x14ac:dyDescent="0.15">
      <c r="A659" s="10"/>
      <c r="B659" s="13"/>
      <c r="C659" s="13"/>
    </row>
    <row r="660" spans="1:3" ht="13" x14ac:dyDescent="0.15">
      <c r="A660" s="10"/>
      <c r="B660" s="13"/>
      <c r="C660" s="13"/>
    </row>
    <row r="661" spans="1:3" ht="13" x14ac:dyDescent="0.15">
      <c r="A661" s="10"/>
      <c r="B661" s="13"/>
      <c r="C661" s="13"/>
    </row>
    <row r="662" spans="1:3" ht="13" x14ac:dyDescent="0.15">
      <c r="A662" s="10"/>
      <c r="B662" s="13"/>
      <c r="C662" s="13"/>
    </row>
    <row r="663" spans="1:3" ht="13" x14ac:dyDescent="0.15">
      <c r="A663" s="10"/>
      <c r="B663" s="13"/>
      <c r="C663" s="13"/>
    </row>
    <row r="664" spans="1:3" ht="13" x14ac:dyDescent="0.15">
      <c r="A664" s="10"/>
      <c r="B664" s="13"/>
      <c r="C664" s="13"/>
    </row>
    <row r="665" spans="1:3" ht="13" x14ac:dyDescent="0.15">
      <c r="A665" s="10"/>
      <c r="B665" s="13"/>
      <c r="C665" s="13"/>
    </row>
    <row r="666" spans="1:3" ht="13" x14ac:dyDescent="0.15">
      <c r="A666" s="10"/>
      <c r="B666" s="13"/>
      <c r="C666" s="13"/>
    </row>
    <row r="667" spans="1:3" ht="13" x14ac:dyDescent="0.15">
      <c r="A667" s="10"/>
      <c r="B667" s="13"/>
      <c r="C667" s="13"/>
    </row>
    <row r="668" spans="1:3" ht="13" x14ac:dyDescent="0.15">
      <c r="A668" s="10"/>
      <c r="B668" s="13"/>
      <c r="C668" s="13"/>
    </row>
    <row r="669" spans="1:3" ht="13" x14ac:dyDescent="0.15">
      <c r="A669" s="10"/>
      <c r="B669" s="13"/>
      <c r="C669" s="13"/>
    </row>
    <row r="670" spans="1:3" ht="13" x14ac:dyDescent="0.15">
      <c r="A670" s="10"/>
      <c r="B670" s="13"/>
      <c r="C670" s="13"/>
    </row>
    <row r="671" spans="1:3" ht="13" x14ac:dyDescent="0.15">
      <c r="A671" s="10"/>
      <c r="B671" s="13"/>
      <c r="C671" s="13"/>
    </row>
    <row r="672" spans="1:3" ht="13" x14ac:dyDescent="0.15">
      <c r="A672" s="10"/>
      <c r="B672" s="13"/>
      <c r="C672" s="13"/>
    </row>
    <row r="673" spans="1:3" ht="13" x14ac:dyDescent="0.15">
      <c r="A673" s="10"/>
      <c r="B673" s="13"/>
      <c r="C673" s="13"/>
    </row>
    <row r="674" spans="1:3" ht="13" x14ac:dyDescent="0.15">
      <c r="A674" s="10"/>
      <c r="B674" s="13"/>
      <c r="C674" s="13"/>
    </row>
    <row r="675" spans="1:3" ht="13" x14ac:dyDescent="0.15">
      <c r="A675" s="10"/>
      <c r="B675" s="13"/>
      <c r="C675" s="13"/>
    </row>
    <row r="676" spans="1:3" ht="13" x14ac:dyDescent="0.15">
      <c r="A676" s="10"/>
      <c r="B676" s="13"/>
      <c r="C676" s="13"/>
    </row>
    <row r="677" spans="1:3" ht="13" x14ac:dyDescent="0.15">
      <c r="A677" s="10"/>
      <c r="B677" s="13"/>
      <c r="C677" s="13"/>
    </row>
    <row r="678" spans="1:3" ht="13" x14ac:dyDescent="0.15">
      <c r="A678" s="10"/>
      <c r="B678" s="13"/>
      <c r="C678" s="13"/>
    </row>
    <row r="679" spans="1:3" ht="13" x14ac:dyDescent="0.15">
      <c r="A679" s="10"/>
      <c r="B679" s="13"/>
      <c r="C679" s="13"/>
    </row>
    <row r="680" spans="1:3" ht="13" x14ac:dyDescent="0.15">
      <c r="A680" s="10"/>
      <c r="B680" s="13"/>
      <c r="C680" s="13"/>
    </row>
    <row r="681" spans="1:3" ht="13" x14ac:dyDescent="0.15">
      <c r="A681" s="10"/>
      <c r="B681" s="13"/>
      <c r="C681" s="13"/>
    </row>
    <row r="682" spans="1:3" ht="13" x14ac:dyDescent="0.15">
      <c r="A682" s="10"/>
      <c r="B682" s="13"/>
      <c r="C682" s="13"/>
    </row>
    <row r="683" spans="1:3" ht="13" x14ac:dyDescent="0.15">
      <c r="A683" s="10"/>
      <c r="B683" s="13"/>
      <c r="C683" s="13"/>
    </row>
    <row r="684" spans="1:3" ht="13" x14ac:dyDescent="0.15">
      <c r="A684" s="10"/>
      <c r="B684" s="13"/>
      <c r="C684" s="13"/>
    </row>
    <row r="685" spans="1:3" ht="13" x14ac:dyDescent="0.15">
      <c r="A685" s="10"/>
      <c r="B685" s="13"/>
      <c r="C685" s="13"/>
    </row>
    <row r="686" spans="1:3" ht="13" x14ac:dyDescent="0.15">
      <c r="A686" s="10"/>
      <c r="B686" s="13"/>
      <c r="C686" s="13"/>
    </row>
    <row r="687" spans="1:3" ht="13" x14ac:dyDescent="0.15">
      <c r="A687" s="10"/>
      <c r="B687" s="13"/>
      <c r="C687" s="13"/>
    </row>
    <row r="688" spans="1:3" ht="13" x14ac:dyDescent="0.15">
      <c r="A688" s="10"/>
      <c r="B688" s="13"/>
      <c r="C688" s="13"/>
    </row>
    <row r="689" spans="1:3" ht="13" x14ac:dyDescent="0.15">
      <c r="A689" s="10"/>
      <c r="B689" s="13"/>
      <c r="C689" s="13"/>
    </row>
    <row r="690" spans="1:3" ht="13" x14ac:dyDescent="0.15">
      <c r="A690" s="10"/>
      <c r="B690" s="13"/>
      <c r="C690" s="13"/>
    </row>
    <row r="691" spans="1:3" ht="13" x14ac:dyDescent="0.15">
      <c r="A691" s="10"/>
      <c r="B691" s="13"/>
      <c r="C691" s="13"/>
    </row>
    <row r="692" spans="1:3" ht="13" x14ac:dyDescent="0.15">
      <c r="A692" s="10"/>
      <c r="B692" s="13"/>
      <c r="C692" s="13"/>
    </row>
    <row r="693" spans="1:3" ht="13" x14ac:dyDescent="0.15">
      <c r="A693" s="10"/>
      <c r="B693" s="13"/>
      <c r="C693" s="13"/>
    </row>
    <row r="694" spans="1:3" ht="13" x14ac:dyDescent="0.15">
      <c r="A694" s="10"/>
      <c r="B694" s="13"/>
      <c r="C694" s="13"/>
    </row>
    <row r="695" spans="1:3" ht="13" x14ac:dyDescent="0.15">
      <c r="A695" s="10"/>
      <c r="B695" s="13"/>
      <c r="C695" s="13"/>
    </row>
    <row r="696" spans="1:3" ht="13" x14ac:dyDescent="0.15">
      <c r="A696" s="10"/>
      <c r="B696" s="13"/>
      <c r="C696" s="13"/>
    </row>
    <row r="697" spans="1:3" ht="13" x14ac:dyDescent="0.15">
      <c r="A697" s="10"/>
      <c r="B697" s="13"/>
      <c r="C697" s="13"/>
    </row>
    <row r="698" spans="1:3" ht="13" x14ac:dyDescent="0.15">
      <c r="A698" s="10"/>
      <c r="B698" s="13"/>
      <c r="C698" s="13"/>
    </row>
    <row r="699" spans="1:3" ht="13" x14ac:dyDescent="0.15">
      <c r="A699" s="10"/>
      <c r="B699" s="13"/>
      <c r="C699" s="13"/>
    </row>
    <row r="700" spans="1:3" ht="13" x14ac:dyDescent="0.15">
      <c r="A700" s="10"/>
      <c r="B700" s="13"/>
      <c r="C700" s="13"/>
    </row>
    <row r="701" spans="1:3" ht="13" x14ac:dyDescent="0.15">
      <c r="A701" s="10"/>
      <c r="B701" s="13"/>
      <c r="C701" s="13"/>
    </row>
    <row r="702" spans="1:3" ht="13" x14ac:dyDescent="0.15">
      <c r="A702" s="10"/>
      <c r="B702" s="13"/>
      <c r="C702" s="13"/>
    </row>
    <row r="703" spans="1:3" ht="13" x14ac:dyDescent="0.15">
      <c r="A703" s="10"/>
      <c r="B703" s="13"/>
      <c r="C703" s="13"/>
    </row>
    <row r="704" spans="1:3" ht="13" x14ac:dyDescent="0.15">
      <c r="A704" s="10"/>
      <c r="B704" s="13"/>
      <c r="C704" s="13"/>
    </row>
    <row r="705" spans="1:3" ht="13" x14ac:dyDescent="0.15">
      <c r="A705" s="10"/>
      <c r="B705" s="13"/>
      <c r="C705" s="13"/>
    </row>
    <row r="706" spans="1:3" ht="13" x14ac:dyDescent="0.15">
      <c r="A706" s="10"/>
      <c r="B706" s="13"/>
      <c r="C706" s="13"/>
    </row>
    <row r="707" spans="1:3" ht="13" x14ac:dyDescent="0.15">
      <c r="A707" s="10"/>
      <c r="B707" s="13"/>
      <c r="C707" s="13"/>
    </row>
    <row r="708" spans="1:3" ht="13" x14ac:dyDescent="0.15">
      <c r="A708" s="10"/>
      <c r="B708" s="13"/>
      <c r="C708" s="13"/>
    </row>
    <row r="709" spans="1:3" ht="13" x14ac:dyDescent="0.15">
      <c r="A709" s="10"/>
      <c r="B709" s="13"/>
      <c r="C709" s="13"/>
    </row>
    <row r="710" spans="1:3" ht="13" x14ac:dyDescent="0.15">
      <c r="A710" s="10"/>
      <c r="B710" s="13"/>
      <c r="C710" s="13"/>
    </row>
    <row r="711" spans="1:3" ht="13" x14ac:dyDescent="0.15">
      <c r="A711" s="10"/>
      <c r="B711" s="13"/>
      <c r="C711" s="13"/>
    </row>
    <row r="712" spans="1:3" ht="13" x14ac:dyDescent="0.15">
      <c r="A712" s="10"/>
      <c r="B712" s="13"/>
      <c r="C712" s="13"/>
    </row>
    <row r="713" spans="1:3" ht="13" x14ac:dyDescent="0.15">
      <c r="A713" s="10"/>
      <c r="B713" s="13"/>
      <c r="C713" s="13"/>
    </row>
    <row r="714" spans="1:3" ht="13" x14ac:dyDescent="0.15">
      <c r="A714" s="10"/>
      <c r="B714" s="13"/>
      <c r="C714" s="13"/>
    </row>
    <row r="715" spans="1:3" ht="13" x14ac:dyDescent="0.15">
      <c r="A715" s="10"/>
      <c r="B715" s="13"/>
      <c r="C715" s="13"/>
    </row>
    <row r="716" spans="1:3" ht="13" x14ac:dyDescent="0.15">
      <c r="A716" s="10"/>
      <c r="B716" s="13"/>
      <c r="C716" s="13"/>
    </row>
    <row r="717" spans="1:3" ht="13" x14ac:dyDescent="0.15">
      <c r="A717" s="10"/>
      <c r="B717" s="13"/>
      <c r="C717" s="13"/>
    </row>
    <row r="718" spans="1:3" ht="13" x14ac:dyDescent="0.15">
      <c r="A718" s="10"/>
      <c r="B718" s="13"/>
      <c r="C718" s="13"/>
    </row>
    <row r="719" spans="1:3" ht="13" x14ac:dyDescent="0.15">
      <c r="A719" s="10"/>
      <c r="B719" s="13"/>
      <c r="C719" s="13"/>
    </row>
    <row r="720" spans="1:3" ht="13" x14ac:dyDescent="0.15">
      <c r="A720" s="10"/>
      <c r="B720" s="13"/>
      <c r="C720" s="13"/>
    </row>
    <row r="721" spans="1:3" ht="13" x14ac:dyDescent="0.15">
      <c r="A721" s="10"/>
      <c r="B721" s="13"/>
      <c r="C721" s="13"/>
    </row>
    <row r="722" spans="1:3" ht="13" x14ac:dyDescent="0.15">
      <c r="A722" s="10"/>
      <c r="B722" s="13"/>
      <c r="C722" s="13"/>
    </row>
    <row r="723" spans="1:3" ht="13" x14ac:dyDescent="0.15">
      <c r="A723" s="10"/>
      <c r="B723" s="13"/>
      <c r="C723" s="13"/>
    </row>
    <row r="724" spans="1:3" ht="13" x14ac:dyDescent="0.15">
      <c r="A724" s="10"/>
      <c r="B724" s="13"/>
      <c r="C724" s="13"/>
    </row>
    <row r="725" spans="1:3" ht="13" x14ac:dyDescent="0.15">
      <c r="A725" s="10"/>
      <c r="B725" s="13"/>
      <c r="C725" s="13"/>
    </row>
    <row r="726" spans="1:3" ht="13" x14ac:dyDescent="0.15">
      <c r="A726" s="10"/>
      <c r="B726" s="13"/>
      <c r="C726" s="13"/>
    </row>
    <row r="727" spans="1:3" ht="13" x14ac:dyDescent="0.15">
      <c r="A727" s="10"/>
      <c r="B727" s="13"/>
      <c r="C727" s="13"/>
    </row>
    <row r="728" spans="1:3" ht="13" x14ac:dyDescent="0.15">
      <c r="A728" s="10"/>
      <c r="B728" s="13"/>
      <c r="C728" s="13"/>
    </row>
    <row r="729" spans="1:3" ht="13" x14ac:dyDescent="0.15">
      <c r="A729" s="10"/>
      <c r="B729" s="13"/>
      <c r="C729" s="13"/>
    </row>
    <row r="730" spans="1:3" ht="13" x14ac:dyDescent="0.15">
      <c r="A730" s="10"/>
      <c r="B730" s="13"/>
      <c r="C730" s="13"/>
    </row>
    <row r="731" spans="1:3" ht="13" x14ac:dyDescent="0.15">
      <c r="A731" s="10"/>
      <c r="B731" s="13"/>
      <c r="C731" s="13"/>
    </row>
    <row r="732" spans="1:3" ht="13" x14ac:dyDescent="0.15">
      <c r="A732" s="10"/>
      <c r="B732" s="13"/>
      <c r="C732" s="13"/>
    </row>
    <row r="733" spans="1:3" ht="13" x14ac:dyDescent="0.15">
      <c r="A733" s="10"/>
      <c r="B733" s="13"/>
      <c r="C733" s="13"/>
    </row>
    <row r="734" spans="1:3" ht="13" x14ac:dyDescent="0.15">
      <c r="A734" s="10"/>
      <c r="B734" s="13"/>
      <c r="C734" s="13"/>
    </row>
    <row r="735" spans="1:3" ht="13" x14ac:dyDescent="0.15">
      <c r="A735" s="10"/>
      <c r="B735" s="13"/>
      <c r="C735" s="13"/>
    </row>
    <row r="736" spans="1:3" ht="13" x14ac:dyDescent="0.15">
      <c r="A736" s="10"/>
      <c r="B736" s="13"/>
      <c r="C736" s="13"/>
    </row>
    <row r="737" spans="1:3" ht="13" x14ac:dyDescent="0.15">
      <c r="A737" s="10"/>
      <c r="B737" s="13"/>
      <c r="C737" s="13"/>
    </row>
    <row r="738" spans="1:3" ht="13" x14ac:dyDescent="0.15">
      <c r="A738" s="10"/>
      <c r="B738" s="13"/>
      <c r="C738" s="13"/>
    </row>
    <row r="739" spans="1:3" ht="13" x14ac:dyDescent="0.15">
      <c r="A739" s="10"/>
      <c r="B739" s="13"/>
      <c r="C739" s="13"/>
    </row>
    <row r="740" spans="1:3" ht="13" x14ac:dyDescent="0.15">
      <c r="A740" s="10"/>
      <c r="B740" s="13"/>
      <c r="C740" s="13"/>
    </row>
    <row r="741" spans="1:3" ht="13" x14ac:dyDescent="0.15">
      <c r="A741" s="10"/>
      <c r="B741" s="13"/>
      <c r="C741" s="13"/>
    </row>
    <row r="742" spans="1:3" ht="13" x14ac:dyDescent="0.15">
      <c r="A742" s="10"/>
      <c r="B742" s="13"/>
      <c r="C742" s="13"/>
    </row>
    <row r="743" spans="1:3" ht="13" x14ac:dyDescent="0.15">
      <c r="A743" s="10"/>
      <c r="B743" s="13"/>
      <c r="C743" s="13"/>
    </row>
    <row r="744" spans="1:3" ht="13" x14ac:dyDescent="0.15">
      <c r="A744" s="10"/>
      <c r="B744" s="13"/>
      <c r="C744" s="13"/>
    </row>
    <row r="745" spans="1:3" ht="13" x14ac:dyDescent="0.15">
      <c r="A745" s="10"/>
      <c r="B745" s="13"/>
      <c r="C745" s="13"/>
    </row>
    <row r="746" spans="1:3" ht="13" x14ac:dyDescent="0.15">
      <c r="A746" s="10"/>
      <c r="B746" s="13"/>
      <c r="C746" s="13"/>
    </row>
    <row r="747" spans="1:3" ht="13" x14ac:dyDescent="0.15">
      <c r="A747" s="10"/>
      <c r="B747" s="13"/>
      <c r="C747" s="13"/>
    </row>
    <row r="748" spans="1:3" ht="13" x14ac:dyDescent="0.15">
      <c r="A748" s="10"/>
      <c r="B748" s="13"/>
      <c r="C748" s="13"/>
    </row>
    <row r="749" spans="1:3" ht="13" x14ac:dyDescent="0.15">
      <c r="A749" s="10"/>
      <c r="B749" s="13"/>
      <c r="C749" s="13"/>
    </row>
    <row r="750" spans="1:3" ht="13" x14ac:dyDescent="0.15">
      <c r="A750" s="10"/>
      <c r="B750" s="13"/>
      <c r="C750" s="13"/>
    </row>
    <row r="751" spans="1:3" ht="13" x14ac:dyDescent="0.15">
      <c r="A751" s="10"/>
      <c r="B751" s="13"/>
      <c r="C751" s="13"/>
    </row>
    <row r="752" spans="1:3" ht="13" x14ac:dyDescent="0.15">
      <c r="A752" s="10"/>
      <c r="B752" s="13"/>
      <c r="C752" s="13"/>
    </row>
    <row r="753" spans="1:3" ht="13" x14ac:dyDescent="0.15">
      <c r="A753" s="10"/>
      <c r="B753" s="13"/>
      <c r="C753" s="13"/>
    </row>
    <row r="754" spans="1:3" ht="13" x14ac:dyDescent="0.15">
      <c r="A754" s="10"/>
      <c r="B754" s="13"/>
      <c r="C754" s="13"/>
    </row>
    <row r="755" spans="1:3" ht="13" x14ac:dyDescent="0.15">
      <c r="A755" s="10"/>
      <c r="B755" s="13"/>
      <c r="C755" s="13"/>
    </row>
    <row r="756" spans="1:3" ht="13" x14ac:dyDescent="0.15">
      <c r="A756" s="10"/>
      <c r="B756" s="13"/>
      <c r="C756" s="13"/>
    </row>
    <row r="757" spans="1:3" ht="13" x14ac:dyDescent="0.15">
      <c r="A757" s="10"/>
      <c r="B757" s="13"/>
      <c r="C757" s="13"/>
    </row>
    <row r="758" spans="1:3" ht="13" x14ac:dyDescent="0.15">
      <c r="A758" s="10"/>
      <c r="B758" s="13"/>
      <c r="C758" s="13"/>
    </row>
    <row r="759" spans="1:3" ht="13" x14ac:dyDescent="0.15">
      <c r="A759" s="10"/>
      <c r="B759" s="13"/>
      <c r="C759" s="13"/>
    </row>
    <row r="760" spans="1:3" ht="13" x14ac:dyDescent="0.15">
      <c r="A760" s="10"/>
      <c r="B760" s="13"/>
      <c r="C760" s="13"/>
    </row>
    <row r="761" spans="1:3" ht="13" x14ac:dyDescent="0.15">
      <c r="A761" s="10"/>
      <c r="B761" s="13"/>
      <c r="C761" s="13"/>
    </row>
    <row r="762" spans="1:3" ht="13" x14ac:dyDescent="0.15">
      <c r="A762" s="10"/>
      <c r="B762" s="13"/>
      <c r="C762" s="13"/>
    </row>
    <row r="763" spans="1:3" ht="13" x14ac:dyDescent="0.15">
      <c r="A763" s="10"/>
      <c r="B763" s="13"/>
      <c r="C763" s="13"/>
    </row>
    <row r="764" spans="1:3" ht="13" x14ac:dyDescent="0.15">
      <c r="A764" s="10"/>
      <c r="B764" s="13"/>
      <c r="C764" s="13"/>
    </row>
    <row r="765" spans="1:3" ht="13" x14ac:dyDescent="0.15">
      <c r="A765" s="10"/>
      <c r="B765" s="13"/>
      <c r="C765" s="13"/>
    </row>
    <row r="766" spans="1:3" ht="13" x14ac:dyDescent="0.15">
      <c r="A766" s="10"/>
      <c r="B766" s="13"/>
      <c r="C766" s="13"/>
    </row>
    <row r="767" spans="1:3" ht="13" x14ac:dyDescent="0.15">
      <c r="A767" s="10"/>
      <c r="B767" s="13"/>
      <c r="C767" s="13"/>
    </row>
    <row r="768" spans="1:3" ht="13" x14ac:dyDescent="0.15">
      <c r="A768" s="10"/>
      <c r="B768" s="13"/>
      <c r="C768" s="13"/>
    </row>
    <row r="769" spans="1:3" ht="13" x14ac:dyDescent="0.15">
      <c r="A769" s="10"/>
      <c r="B769" s="13"/>
      <c r="C769" s="13"/>
    </row>
    <row r="770" spans="1:3" ht="13" x14ac:dyDescent="0.15">
      <c r="A770" s="10"/>
      <c r="B770" s="13"/>
      <c r="C770" s="13"/>
    </row>
    <row r="771" spans="1:3" ht="13" x14ac:dyDescent="0.15">
      <c r="A771" s="10"/>
      <c r="B771" s="13"/>
      <c r="C771" s="13"/>
    </row>
    <row r="772" spans="1:3" ht="13" x14ac:dyDescent="0.15">
      <c r="A772" s="10"/>
      <c r="B772" s="13"/>
      <c r="C772" s="13"/>
    </row>
    <row r="773" spans="1:3" ht="13" x14ac:dyDescent="0.15">
      <c r="A773" s="10"/>
      <c r="B773" s="13"/>
      <c r="C773" s="13"/>
    </row>
    <row r="774" spans="1:3" ht="13" x14ac:dyDescent="0.15">
      <c r="A774" s="10"/>
      <c r="B774" s="13"/>
      <c r="C774" s="13"/>
    </row>
    <row r="775" spans="1:3" ht="13" x14ac:dyDescent="0.15">
      <c r="A775" s="10"/>
      <c r="B775" s="13"/>
      <c r="C775" s="13"/>
    </row>
    <row r="776" spans="1:3" ht="13" x14ac:dyDescent="0.15">
      <c r="A776" s="10"/>
      <c r="B776" s="13"/>
      <c r="C776" s="13"/>
    </row>
    <row r="777" spans="1:3" ht="13" x14ac:dyDescent="0.15">
      <c r="A777" s="10"/>
      <c r="B777" s="13"/>
      <c r="C777" s="13"/>
    </row>
    <row r="778" spans="1:3" ht="13" x14ac:dyDescent="0.15">
      <c r="A778" s="10"/>
      <c r="B778" s="13"/>
      <c r="C778" s="13"/>
    </row>
    <row r="779" spans="1:3" ht="13" x14ac:dyDescent="0.15">
      <c r="A779" s="10"/>
      <c r="B779" s="13"/>
      <c r="C779" s="13"/>
    </row>
    <row r="780" spans="1:3" ht="13" x14ac:dyDescent="0.15">
      <c r="A780" s="10"/>
      <c r="B780" s="13"/>
      <c r="C780" s="13"/>
    </row>
    <row r="781" spans="1:3" ht="13" x14ac:dyDescent="0.15">
      <c r="A781" s="10"/>
      <c r="B781" s="13"/>
      <c r="C781" s="13"/>
    </row>
    <row r="782" spans="1:3" ht="13" x14ac:dyDescent="0.15">
      <c r="A782" s="10"/>
      <c r="B782" s="13"/>
      <c r="C782" s="13"/>
    </row>
    <row r="783" spans="1:3" ht="13" x14ac:dyDescent="0.15">
      <c r="A783" s="10"/>
      <c r="B783" s="13"/>
      <c r="C783" s="13"/>
    </row>
    <row r="784" spans="1:3" ht="13" x14ac:dyDescent="0.15">
      <c r="A784" s="10"/>
      <c r="B784" s="13"/>
      <c r="C784" s="13"/>
    </row>
    <row r="785" spans="1:3" ht="13" x14ac:dyDescent="0.15">
      <c r="A785" s="10"/>
      <c r="B785" s="13"/>
      <c r="C785" s="13"/>
    </row>
    <row r="786" spans="1:3" ht="13" x14ac:dyDescent="0.15">
      <c r="A786" s="10"/>
      <c r="B786" s="13"/>
      <c r="C786" s="13"/>
    </row>
    <row r="787" spans="1:3" ht="13" x14ac:dyDescent="0.15">
      <c r="A787" s="10"/>
      <c r="B787" s="13"/>
      <c r="C787" s="13"/>
    </row>
    <row r="788" spans="1:3" ht="13" x14ac:dyDescent="0.15">
      <c r="A788" s="10"/>
      <c r="B788" s="13"/>
      <c r="C788" s="13"/>
    </row>
    <row r="789" spans="1:3" ht="13" x14ac:dyDescent="0.15">
      <c r="A789" s="10"/>
      <c r="B789" s="13"/>
      <c r="C789" s="13"/>
    </row>
    <row r="790" spans="1:3" ht="13" x14ac:dyDescent="0.15">
      <c r="A790" s="10"/>
      <c r="B790" s="13"/>
      <c r="C790" s="13"/>
    </row>
    <row r="791" spans="1:3" ht="13" x14ac:dyDescent="0.15">
      <c r="A791" s="10"/>
      <c r="B791" s="13"/>
      <c r="C791" s="13"/>
    </row>
    <row r="792" spans="1:3" ht="13" x14ac:dyDescent="0.15">
      <c r="A792" s="10"/>
      <c r="B792" s="13"/>
      <c r="C792" s="13"/>
    </row>
    <row r="793" spans="1:3" ht="13" x14ac:dyDescent="0.15">
      <c r="A793" s="10"/>
      <c r="B793" s="13"/>
      <c r="C793" s="13"/>
    </row>
    <row r="794" spans="1:3" ht="13" x14ac:dyDescent="0.15">
      <c r="A794" s="10"/>
      <c r="B794" s="13"/>
      <c r="C794" s="13"/>
    </row>
    <row r="795" spans="1:3" ht="13" x14ac:dyDescent="0.15">
      <c r="A795" s="10"/>
      <c r="B795" s="13"/>
      <c r="C795" s="13"/>
    </row>
    <row r="796" spans="1:3" ht="13" x14ac:dyDescent="0.15">
      <c r="A796" s="10"/>
      <c r="B796" s="13"/>
      <c r="C796" s="13"/>
    </row>
    <row r="797" spans="1:3" ht="13" x14ac:dyDescent="0.15">
      <c r="A797" s="10"/>
      <c r="B797" s="13"/>
      <c r="C797" s="13"/>
    </row>
    <row r="798" spans="1:3" ht="13" x14ac:dyDescent="0.15">
      <c r="A798" s="10"/>
      <c r="B798" s="13"/>
      <c r="C798" s="13"/>
    </row>
    <row r="799" spans="1:3" ht="13" x14ac:dyDescent="0.15">
      <c r="A799" s="10"/>
      <c r="B799" s="13"/>
      <c r="C799" s="13"/>
    </row>
    <row r="800" spans="1:3" ht="13" x14ac:dyDescent="0.15">
      <c r="A800" s="10"/>
      <c r="B800" s="13"/>
      <c r="C800" s="13"/>
    </row>
    <row r="801" spans="1:3" ht="13" x14ac:dyDescent="0.15">
      <c r="A801" s="10"/>
      <c r="B801" s="13"/>
      <c r="C801" s="13"/>
    </row>
    <row r="802" spans="1:3" ht="13" x14ac:dyDescent="0.15">
      <c r="A802" s="10"/>
      <c r="B802" s="13"/>
      <c r="C802" s="13"/>
    </row>
    <row r="803" spans="1:3" ht="13" x14ac:dyDescent="0.15">
      <c r="A803" s="10"/>
      <c r="B803" s="13"/>
      <c r="C803" s="13"/>
    </row>
    <row r="804" spans="1:3" ht="13" x14ac:dyDescent="0.15">
      <c r="A804" s="10"/>
      <c r="B804" s="13"/>
      <c r="C804" s="13"/>
    </row>
    <row r="805" spans="1:3" ht="13" x14ac:dyDescent="0.15">
      <c r="A805" s="10"/>
      <c r="B805" s="13"/>
      <c r="C805" s="13"/>
    </row>
    <row r="806" spans="1:3" ht="13" x14ac:dyDescent="0.15">
      <c r="A806" s="10"/>
      <c r="B806" s="13"/>
      <c r="C806" s="13"/>
    </row>
    <row r="807" spans="1:3" ht="13" x14ac:dyDescent="0.15">
      <c r="A807" s="10"/>
      <c r="B807" s="13"/>
      <c r="C807" s="13"/>
    </row>
    <row r="808" spans="1:3" ht="13" x14ac:dyDescent="0.15">
      <c r="A808" s="10"/>
      <c r="B808" s="13"/>
      <c r="C808" s="13"/>
    </row>
    <row r="809" spans="1:3" ht="13" x14ac:dyDescent="0.15">
      <c r="A809" s="10"/>
      <c r="B809" s="13"/>
      <c r="C809" s="13"/>
    </row>
    <row r="810" spans="1:3" ht="13" x14ac:dyDescent="0.15">
      <c r="A810" s="10"/>
      <c r="B810" s="13"/>
      <c r="C810" s="13"/>
    </row>
    <row r="811" spans="1:3" ht="13" x14ac:dyDescent="0.15">
      <c r="A811" s="10"/>
      <c r="B811" s="13"/>
      <c r="C811" s="13"/>
    </row>
    <row r="812" spans="1:3" ht="13" x14ac:dyDescent="0.15">
      <c r="A812" s="10"/>
      <c r="B812" s="13"/>
      <c r="C812" s="13"/>
    </row>
    <row r="813" spans="1:3" ht="13" x14ac:dyDescent="0.15">
      <c r="A813" s="10"/>
      <c r="B813" s="13"/>
      <c r="C813" s="13"/>
    </row>
    <row r="814" spans="1:3" ht="13" x14ac:dyDescent="0.15">
      <c r="A814" s="10"/>
      <c r="B814" s="13"/>
      <c r="C814" s="13"/>
    </row>
    <row r="815" spans="1:3" ht="13" x14ac:dyDescent="0.15">
      <c r="A815" s="10"/>
      <c r="B815" s="13"/>
      <c r="C815" s="13"/>
    </row>
    <row r="816" spans="1:3" ht="13" x14ac:dyDescent="0.15">
      <c r="A816" s="10"/>
      <c r="B816" s="13"/>
      <c r="C816" s="13"/>
    </row>
    <row r="817" spans="1:3" ht="13" x14ac:dyDescent="0.15">
      <c r="A817" s="10"/>
      <c r="B817" s="13"/>
      <c r="C817" s="13"/>
    </row>
    <row r="818" spans="1:3" ht="13" x14ac:dyDescent="0.15">
      <c r="A818" s="10"/>
      <c r="B818" s="13"/>
      <c r="C818" s="13"/>
    </row>
    <row r="819" spans="1:3" ht="13" x14ac:dyDescent="0.15">
      <c r="A819" s="10"/>
      <c r="B819" s="13"/>
      <c r="C819" s="13"/>
    </row>
    <row r="820" spans="1:3" ht="13" x14ac:dyDescent="0.15">
      <c r="A820" s="10"/>
      <c r="B820" s="13"/>
      <c r="C820" s="13"/>
    </row>
    <row r="821" spans="1:3" ht="13" x14ac:dyDescent="0.15">
      <c r="A821" s="10"/>
      <c r="B821" s="13"/>
      <c r="C821" s="13"/>
    </row>
    <row r="822" spans="1:3" ht="13" x14ac:dyDescent="0.15">
      <c r="A822" s="10"/>
      <c r="B822" s="13"/>
      <c r="C822" s="13"/>
    </row>
    <row r="823" spans="1:3" ht="13" x14ac:dyDescent="0.15">
      <c r="A823" s="10"/>
      <c r="B823" s="13"/>
      <c r="C823" s="13"/>
    </row>
    <row r="824" spans="1:3" ht="13" x14ac:dyDescent="0.15">
      <c r="A824" s="10"/>
      <c r="B824" s="13"/>
      <c r="C824" s="13"/>
    </row>
    <row r="825" spans="1:3" ht="13" x14ac:dyDescent="0.15">
      <c r="A825" s="10"/>
      <c r="B825" s="13"/>
      <c r="C825" s="13"/>
    </row>
    <row r="826" spans="1:3" ht="13" x14ac:dyDescent="0.15">
      <c r="A826" s="10"/>
      <c r="B826" s="13"/>
      <c r="C826" s="13"/>
    </row>
    <row r="827" spans="1:3" ht="13" x14ac:dyDescent="0.15">
      <c r="A827" s="10"/>
      <c r="B827" s="13"/>
      <c r="C827" s="13"/>
    </row>
    <row r="828" spans="1:3" ht="13" x14ac:dyDescent="0.15">
      <c r="A828" s="10"/>
      <c r="B828" s="13"/>
      <c r="C828" s="13"/>
    </row>
    <row r="829" spans="1:3" ht="13" x14ac:dyDescent="0.15">
      <c r="A829" s="10"/>
      <c r="B829" s="13"/>
      <c r="C829" s="13"/>
    </row>
    <row r="830" spans="1:3" ht="13" x14ac:dyDescent="0.15">
      <c r="A830" s="10"/>
      <c r="B830" s="13"/>
      <c r="C830" s="13"/>
    </row>
    <row r="831" spans="1:3" ht="13" x14ac:dyDescent="0.15">
      <c r="A831" s="10"/>
      <c r="B831" s="13"/>
      <c r="C831" s="13"/>
    </row>
    <row r="832" spans="1:3" ht="13" x14ac:dyDescent="0.15">
      <c r="A832" s="10"/>
      <c r="B832" s="13"/>
      <c r="C832" s="13"/>
    </row>
    <row r="833" spans="1:3" ht="13" x14ac:dyDescent="0.15">
      <c r="A833" s="10"/>
      <c r="B833" s="13"/>
      <c r="C833" s="13"/>
    </row>
    <row r="834" spans="1:3" ht="13" x14ac:dyDescent="0.15">
      <c r="A834" s="10"/>
      <c r="B834" s="13"/>
      <c r="C834" s="13"/>
    </row>
    <row r="835" spans="1:3" ht="13" x14ac:dyDescent="0.15">
      <c r="A835" s="10"/>
      <c r="B835" s="13"/>
      <c r="C835" s="13"/>
    </row>
    <row r="836" spans="1:3" ht="13" x14ac:dyDescent="0.15">
      <c r="A836" s="10"/>
      <c r="B836" s="13"/>
      <c r="C836" s="13"/>
    </row>
    <row r="837" spans="1:3" ht="13" x14ac:dyDescent="0.15">
      <c r="A837" s="10"/>
      <c r="B837" s="13"/>
      <c r="C837" s="13"/>
    </row>
    <row r="838" spans="1:3" ht="13" x14ac:dyDescent="0.15">
      <c r="A838" s="10"/>
      <c r="B838" s="13"/>
      <c r="C838" s="13"/>
    </row>
    <row r="839" spans="1:3" ht="13" x14ac:dyDescent="0.15">
      <c r="A839" s="10"/>
      <c r="B839" s="13"/>
      <c r="C839" s="13"/>
    </row>
    <row r="840" spans="1:3" ht="13" x14ac:dyDescent="0.15">
      <c r="A840" s="10"/>
      <c r="B840" s="13"/>
      <c r="C840" s="13"/>
    </row>
    <row r="841" spans="1:3" ht="13" x14ac:dyDescent="0.15">
      <c r="A841" s="10"/>
      <c r="B841" s="13"/>
      <c r="C841" s="13"/>
    </row>
    <row r="842" spans="1:3" ht="13" x14ac:dyDescent="0.15">
      <c r="A842" s="10"/>
      <c r="B842" s="13"/>
      <c r="C842" s="13"/>
    </row>
    <row r="843" spans="1:3" ht="13" x14ac:dyDescent="0.15">
      <c r="A843" s="10"/>
      <c r="B843" s="13"/>
      <c r="C843" s="13"/>
    </row>
    <row r="844" spans="1:3" ht="13" x14ac:dyDescent="0.15">
      <c r="A844" s="10"/>
      <c r="B844" s="13"/>
      <c r="C844" s="13"/>
    </row>
    <row r="845" spans="1:3" ht="13" x14ac:dyDescent="0.15">
      <c r="A845" s="10"/>
      <c r="B845" s="13"/>
      <c r="C845" s="13"/>
    </row>
    <row r="846" spans="1:3" ht="13" x14ac:dyDescent="0.15">
      <c r="A846" s="10"/>
      <c r="B846" s="13"/>
      <c r="C846" s="13"/>
    </row>
    <row r="847" spans="1:3" ht="13" x14ac:dyDescent="0.15">
      <c r="A847" s="10"/>
      <c r="B847" s="13"/>
      <c r="C847" s="13"/>
    </row>
    <row r="848" spans="1:3" ht="13" x14ac:dyDescent="0.15">
      <c r="A848" s="10"/>
      <c r="B848" s="13"/>
      <c r="C848" s="13"/>
    </row>
    <row r="849" spans="1:3" ht="13" x14ac:dyDescent="0.15">
      <c r="A849" s="10"/>
      <c r="B849" s="13"/>
      <c r="C849" s="13"/>
    </row>
    <row r="850" spans="1:3" ht="13" x14ac:dyDescent="0.15">
      <c r="A850" s="10"/>
      <c r="B850" s="13"/>
      <c r="C850" s="13"/>
    </row>
    <row r="851" spans="1:3" ht="13" x14ac:dyDescent="0.15">
      <c r="A851" s="10"/>
      <c r="B851" s="13"/>
      <c r="C851" s="13"/>
    </row>
    <row r="852" spans="1:3" ht="13" x14ac:dyDescent="0.15">
      <c r="A852" s="10"/>
      <c r="B852" s="13"/>
      <c r="C852" s="13"/>
    </row>
    <row r="853" spans="1:3" ht="13" x14ac:dyDescent="0.15">
      <c r="A853" s="10"/>
      <c r="B853" s="13"/>
      <c r="C853" s="13"/>
    </row>
    <row r="854" spans="1:3" ht="13" x14ac:dyDescent="0.15">
      <c r="A854" s="10"/>
      <c r="B854" s="13"/>
      <c r="C854" s="13"/>
    </row>
    <row r="855" spans="1:3" ht="13" x14ac:dyDescent="0.15">
      <c r="A855" s="10"/>
      <c r="B855" s="13"/>
      <c r="C855" s="13"/>
    </row>
    <row r="856" spans="1:3" ht="13" x14ac:dyDescent="0.15">
      <c r="A856" s="10"/>
      <c r="B856" s="13"/>
      <c r="C856" s="13"/>
    </row>
    <row r="857" spans="1:3" ht="13" x14ac:dyDescent="0.15">
      <c r="A857" s="10"/>
      <c r="B857" s="13"/>
      <c r="C857" s="13"/>
    </row>
    <row r="858" spans="1:3" ht="13" x14ac:dyDescent="0.15">
      <c r="A858" s="10"/>
      <c r="B858" s="13"/>
      <c r="C858" s="13"/>
    </row>
    <row r="859" spans="1:3" ht="13" x14ac:dyDescent="0.15">
      <c r="A859" s="10"/>
      <c r="B859" s="13"/>
      <c r="C859" s="13"/>
    </row>
    <row r="860" spans="1:3" ht="13" x14ac:dyDescent="0.15">
      <c r="A860" s="10"/>
      <c r="B860" s="13"/>
      <c r="C860" s="13"/>
    </row>
    <row r="861" spans="1:3" ht="13" x14ac:dyDescent="0.15">
      <c r="A861" s="10"/>
      <c r="B861" s="13"/>
      <c r="C861" s="13"/>
    </row>
    <row r="862" spans="1:3" ht="13" x14ac:dyDescent="0.15">
      <c r="A862" s="10"/>
      <c r="B862" s="13"/>
      <c r="C862" s="13"/>
    </row>
    <row r="863" spans="1:3" ht="13" x14ac:dyDescent="0.15">
      <c r="A863" s="10"/>
      <c r="B863" s="13"/>
      <c r="C863" s="13"/>
    </row>
    <row r="864" spans="1:3" ht="13" x14ac:dyDescent="0.15">
      <c r="A864" s="10"/>
      <c r="B864" s="13"/>
      <c r="C864" s="13"/>
    </row>
    <row r="865" spans="1:3" ht="13" x14ac:dyDescent="0.15">
      <c r="A865" s="10"/>
      <c r="B865" s="13"/>
      <c r="C865" s="13"/>
    </row>
    <row r="866" spans="1:3" ht="13" x14ac:dyDescent="0.15">
      <c r="A866" s="10"/>
      <c r="B866" s="13"/>
      <c r="C866" s="13"/>
    </row>
    <row r="867" spans="1:3" ht="13" x14ac:dyDescent="0.15">
      <c r="A867" s="10"/>
      <c r="B867" s="13"/>
      <c r="C867" s="13"/>
    </row>
    <row r="868" spans="1:3" ht="13" x14ac:dyDescent="0.15">
      <c r="A868" s="10"/>
      <c r="B868" s="13"/>
      <c r="C868" s="13"/>
    </row>
    <row r="869" spans="1:3" ht="13" x14ac:dyDescent="0.15">
      <c r="A869" s="10"/>
      <c r="B869" s="13"/>
      <c r="C869" s="13"/>
    </row>
    <row r="870" spans="1:3" ht="13" x14ac:dyDescent="0.15">
      <c r="A870" s="10"/>
      <c r="B870" s="13"/>
      <c r="C870" s="13"/>
    </row>
    <row r="871" spans="1:3" ht="13" x14ac:dyDescent="0.15">
      <c r="A871" s="10"/>
      <c r="B871" s="13"/>
      <c r="C871" s="13"/>
    </row>
    <row r="872" spans="1:3" ht="13" x14ac:dyDescent="0.15">
      <c r="A872" s="10"/>
      <c r="B872" s="13"/>
      <c r="C872" s="13"/>
    </row>
    <row r="873" spans="1:3" ht="13" x14ac:dyDescent="0.15">
      <c r="A873" s="10"/>
      <c r="B873" s="13"/>
      <c r="C873" s="13"/>
    </row>
    <row r="874" spans="1:3" ht="13" x14ac:dyDescent="0.15">
      <c r="A874" s="10"/>
      <c r="B874" s="13"/>
      <c r="C874" s="13"/>
    </row>
    <row r="875" spans="1:3" ht="13" x14ac:dyDescent="0.15">
      <c r="A875" s="10"/>
      <c r="B875" s="13"/>
      <c r="C875" s="13"/>
    </row>
    <row r="876" spans="1:3" ht="13" x14ac:dyDescent="0.15">
      <c r="A876" s="10"/>
      <c r="B876" s="13"/>
      <c r="C876" s="13"/>
    </row>
    <row r="877" spans="1:3" ht="13" x14ac:dyDescent="0.15">
      <c r="A877" s="10"/>
      <c r="B877" s="13"/>
      <c r="C877" s="13"/>
    </row>
    <row r="878" spans="1:3" ht="13" x14ac:dyDescent="0.15">
      <c r="A878" s="10"/>
      <c r="B878" s="13"/>
      <c r="C878" s="13"/>
    </row>
    <row r="879" spans="1:3" ht="13" x14ac:dyDescent="0.15">
      <c r="A879" s="10"/>
      <c r="B879" s="13"/>
      <c r="C879" s="13"/>
    </row>
    <row r="880" spans="1:3" ht="13" x14ac:dyDescent="0.15">
      <c r="A880" s="10"/>
      <c r="B880" s="13"/>
      <c r="C880" s="13"/>
    </row>
    <row r="881" spans="1:3" ht="13" x14ac:dyDescent="0.15">
      <c r="A881" s="10"/>
      <c r="B881" s="13"/>
      <c r="C881" s="13"/>
    </row>
    <row r="882" spans="1:3" ht="13" x14ac:dyDescent="0.15">
      <c r="A882" s="10"/>
      <c r="B882" s="13"/>
      <c r="C882" s="13"/>
    </row>
    <row r="883" spans="1:3" ht="13" x14ac:dyDescent="0.15">
      <c r="A883" s="10"/>
      <c r="B883" s="13"/>
      <c r="C883" s="13"/>
    </row>
    <row r="884" spans="1:3" ht="13" x14ac:dyDescent="0.15">
      <c r="A884" s="10"/>
      <c r="B884" s="13"/>
      <c r="C884" s="13"/>
    </row>
    <row r="885" spans="1:3" ht="13" x14ac:dyDescent="0.15">
      <c r="A885" s="10"/>
      <c r="B885" s="13"/>
      <c r="C885" s="13"/>
    </row>
    <row r="886" spans="1:3" ht="13" x14ac:dyDescent="0.15">
      <c r="A886" s="10"/>
      <c r="B886" s="13"/>
      <c r="C886" s="13"/>
    </row>
    <row r="887" spans="1:3" ht="13" x14ac:dyDescent="0.15">
      <c r="A887" s="10"/>
      <c r="B887" s="13"/>
      <c r="C887" s="13"/>
    </row>
    <row r="888" spans="1:3" ht="13" x14ac:dyDescent="0.15">
      <c r="A888" s="10"/>
      <c r="B888" s="13"/>
      <c r="C888" s="13"/>
    </row>
    <row r="889" spans="1:3" ht="13" x14ac:dyDescent="0.15">
      <c r="A889" s="10"/>
      <c r="B889" s="13"/>
      <c r="C889" s="13"/>
    </row>
    <row r="890" spans="1:3" ht="13" x14ac:dyDescent="0.15">
      <c r="A890" s="10"/>
      <c r="B890" s="13"/>
      <c r="C890" s="13"/>
    </row>
    <row r="891" spans="1:3" ht="13" x14ac:dyDescent="0.15">
      <c r="A891" s="10"/>
      <c r="B891" s="13"/>
      <c r="C891" s="13"/>
    </row>
    <row r="892" spans="1:3" ht="13" x14ac:dyDescent="0.15">
      <c r="A892" s="10"/>
      <c r="B892" s="13"/>
      <c r="C892" s="13"/>
    </row>
    <row r="893" spans="1:3" ht="13" x14ac:dyDescent="0.15">
      <c r="A893" s="10"/>
      <c r="B893" s="13"/>
      <c r="C893" s="13"/>
    </row>
    <row r="894" spans="1:3" ht="13" x14ac:dyDescent="0.15">
      <c r="A894" s="10"/>
      <c r="B894" s="13"/>
      <c r="C894" s="13"/>
    </row>
    <row r="895" spans="1:3" ht="13" x14ac:dyDescent="0.15">
      <c r="A895" s="10"/>
      <c r="B895" s="13"/>
      <c r="C895" s="13"/>
    </row>
    <row r="896" spans="1:3" ht="13" x14ac:dyDescent="0.15">
      <c r="A896" s="10"/>
      <c r="B896" s="13"/>
      <c r="C896" s="13"/>
    </row>
    <row r="897" spans="1:3" ht="13" x14ac:dyDescent="0.15">
      <c r="A897" s="10"/>
      <c r="B897" s="13"/>
      <c r="C897" s="13"/>
    </row>
    <row r="898" spans="1:3" ht="13" x14ac:dyDescent="0.15">
      <c r="A898" s="10"/>
      <c r="B898" s="13"/>
      <c r="C898" s="13"/>
    </row>
    <row r="899" spans="1:3" ht="13" x14ac:dyDescent="0.15">
      <c r="A899" s="10"/>
      <c r="B899" s="13"/>
      <c r="C899" s="13"/>
    </row>
    <row r="900" spans="1:3" ht="13" x14ac:dyDescent="0.15">
      <c r="A900" s="10"/>
      <c r="B900" s="13"/>
      <c r="C900" s="13"/>
    </row>
    <row r="901" spans="1:3" ht="13" x14ac:dyDescent="0.15">
      <c r="A901" s="10"/>
      <c r="B901" s="13"/>
      <c r="C901" s="13"/>
    </row>
    <row r="902" spans="1:3" ht="13" x14ac:dyDescent="0.15">
      <c r="A902" s="10"/>
      <c r="B902" s="13"/>
      <c r="C902" s="13"/>
    </row>
    <row r="903" spans="1:3" ht="13" x14ac:dyDescent="0.15">
      <c r="A903" s="10"/>
      <c r="B903" s="13"/>
      <c r="C903" s="13"/>
    </row>
    <row r="904" spans="1:3" ht="13" x14ac:dyDescent="0.15">
      <c r="A904" s="10"/>
      <c r="B904" s="13"/>
      <c r="C904" s="13"/>
    </row>
    <row r="905" spans="1:3" ht="13" x14ac:dyDescent="0.15">
      <c r="A905" s="10"/>
      <c r="B905" s="13"/>
      <c r="C905" s="13"/>
    </row>
    <row r="906" spans="1:3" ht="13" x14ac:dyDescent="0.15">
      <c r="A906" s="10"/>
      <c r="B906" s="13"/>
      <c r="C906" s="13"/>
    </row>
    <row r="907" spans="1:3" ht="13" x14ac:dyDescent="0.15">
      <c r="A907" s="10"/>
      <c r="B907" s="13"/>
      <c r="C907" s="13"/>
    </row>
    <row r="908" spans="1:3" ht="13" x14ac:dyDescent="0.15">
      <c r="A908" s="10"/>
      <c r="B908" s="13"/>
      <c r="C908" s="13"/>
    </row>
    <row r="909" spans="1:3" ht="13" x14ac:dyDescent="0.15">
      <c r="A909" s="10"/>
      <c r="B909" s="13"/>
      <c r="C909" s="13"/>
    </row>
    <row r="910" spans="1:3" ht="13" x14ac:dyDescent="0.15">
      <c r="A910" s="10"/>
      <c r="B910" s="13"/>
      <c r="C910" s="13"/>
    </row>
    <row r="911" spans="1:3" ht="13" x14ac:dyDescent="0.15">
      <c r="A911" s="10"/>
      <c r="B911" s="13"/>
      <c r="C911" s="13"/>
    </row>
    <row r="912" spans="1:3" ht="13" x14ac:dyDescent="0.15">
      <c r="A912" s="10"/>
      <c r="B912" s="13"/>
      <c r="C912" s="13"/>
    </row>
    <row r="913" spans="1:3" ht="13" x14ac:dyDescent="0.15">
      <c r="A913" s="10"/>
      <c r="B913" s="13"/>
      <c r="C913" s="13"/>
    </row>
    <row r="914" spans="1:3" ht="13" x14ac:dyDescent="0.15">
      <c r="A914" s="10"/>
      <c r="B914" s="13"/>
      <c r="C914" s="13"/>
    </row>
    <row r="915" spans="1:3" ht="13" x14ac:dyDescent="0.15">
      <c r="A915" s="10"/>
      <c r="B915" s="13"/>
      <c r="C915" s="13"/>
    </row>
    <row r="916" spans="1:3" ht="13" x14ac:dyDescent="0.15">
      <c r="A916" s="10"/>
      <c r="B916" s="13"/>
      <c r="C916" s="13"/>
    </row>
    <row r="917" spans="1:3" ht="13" x14ac:dyDescent="0.15">
      <c r="A917" s="10"/>
      <c r="B917" s="13"/>
      <c r="C917" s="13"/>
    </row>
    <row r="918" spans="1:3" ht="13" x14ac:dyDescent="0.15">
      <c r="A918" s="10"/>
      <c r="B918" s="13"/>
      <c r="C918" s="13"/>
    </row>
    <row r="919" spans="1:3" ht="13" x14ac:dyDescent="0.15">
      <c r="A919" s="10"/>
      <c r="B919" s="13"/>
      <c r="C919" s="13"/>
    </row>
    <row r="920" spans="1:3" ht="13" x14ac:dyDescent="0.15">
      <c r="A920" s="10"/>
      <c r="B920" s="13"/>
      <c r="C920" s="13"/>
    </row>
    <row r="921" spans="1:3" ht="13" x14ac:dyDescent="0.15">
      <c r="A921" s="10"/>
      <c r="B921" s="13"/>
      <c r="C921" s="13"/>
    </row>
    <row r="922" spans="1:3" ht="13" x14ac:dyDescent="0.15">
      <c r="A922" s="10"/>
      <c r="B922" s="13"/>
      <c r="C922" s="13"/>
    </row>
    <row r="923" spans="1:3" ht="13" x14ac:dyDescent="0.15">
      <c r="A923" s="10"/>
      <c r="B923" s="13"/>
      <c r="C923" s="13"/>
    </row>
    <row r="924" spans="1:3" ht="13" x14ac:dyDescent="0.15">
      <c r="A924" s="10"/>
      <c r="B924" s="13"/>
      <c r="C924" s="13"/>
    </row>
    <row r="925" spans="1:3" ht="13" x14ac:dyDescent="0.15">
      <c r="A925" s="10"/>
      <c r="B925" s="13"/>
      <c r="C925" s="13"/>
    </row>
    <row r="926" spans="1:3" ht="13" x14ac:dyDescent="0.15">
      <c r="A926" s="10"/>
      <c r="B926" s="13"/>
      <c r="C926" s="13"/>
    </row>
    <row r="927" spans="1:3" ht="13" x14ac:dyDescent="0.15">
      <c r="A927" s="10"/>
      <c r="B927" s="13"/>
      <c r="C927" s="13"/>
    </row>
    <row r="928" spans="1:3" ht="13" x14ac:dyDescent="0.15">
      <c r="A928" s="10"/>
      <c r="B928" s="13"/>
      <c r="C928" s="13"/>
    </row>
    <row r="929" spans="1:3" ht="13" x14ac:dyDescent="0.15">
      <c r="A929" s="10"/>
      <c r="B929" s="13"/>
      <c r="C929" s="13"/>
    </row>
    <row r="930" spans="1:3" ht="13" x14ac:dyDescent="0.15">
      <c r="A930" s="10"/>
      <c r="B930" s="13"/>
      <c r="C930" s="13"/>
    </row>
    <row r="931" spans="1:3" ht="13" x14ac:dyDescent="0.15">
      <c r="A931" s="10"/>
      <c r="B931" s="13"/>
      <c r="C931" s="13"/>
    </row>
    <row r="932" spans="1:3" ht="13" x14ac:dyDescent="0.15">
      <c r="A932" s="10"/>
      <c r="B932" s="13"/>
      <c r="C932" s="13"/>
    </row>
    <row r="933" spans="1:3" ht="13" x14ac:dyDescent="0.15">
      <c r="A933" s="10"/>
      <c r="B933" s="13"/>
      <c r="C933" s="13"/>
    </row>
    <row r="934" spans="1:3" ht="13" x14ac:dyDescent="0.15">
      <c r="A934" s="10"/>
      <c r="B934" s="13"/>
      <c r="C934" s="13"/>
    </row>
    <row r="935" spans="1:3" ht="13" x14ac:dyDescent="0.15">
      <c r="A935" s="10"/>
      <c r="B935" s="13"/>
      <c r="C935" s="13"/>
    </row>
    <row r="936" spans="1:3" ht="13" x14ac:dyDescent="0.15">
      <c r="A936" s="10"/>
      <c r="B936" s="13"/>
      <c r="C936" s="13"/>
    </row>
    <row r="937" spans="1:3" ht="13" x14ac:dyDescent="0.15">
      <c r="A937" s="10"/>
      <c r="B937" s="13"/>
      <c r="C937" s="13"/>
    </row>
    <row r="938" spans="1:3" ht="13" x14ac:dyDescent="0.15">
      <c r="A938" s="10"/>
      <c r="B938" s="13"/>
      <c r="C938" s="13"/>
    </row>
    <row r="939" spans="1:3" ht="13" x14ac:dyDescent="0.15">
      <c r="A939" s="10"/>
      <c r="B939" s="13"/>
      <c r="C939" s="13"/>
    </row>
    <row r="940" spans="1:3" ht="13" x14ac:dyDescent="0.15">
      <c r="A940" s="10"/>
      <c r="B940" s="13"/>
      <c r="C940" s="13"/>
    </row>
    <row r="941" spans="1:3" ht="13" x14ac:dyDescent="0.15">
      <c r="A941" s="10"/>
      <c r="B941" s="13"/>
      <c r="C941" s="13"/>
    </row>
    <row r="942" spans="1:3" ht="13" x14ac:dyDescent="0.15">
      <c r="A942" s="10"/>
      <c r="B942" s="13"/>
      <c r="C942" s="13"/>
    </row>
    <row r="943" spans="1:3" ht="13" x14ac:dyDescent="0.15">
      <c r="A943" s="10"/>
      <c r="B943" s="13"/>
      <c r="C943" s="13"/>
    </row>
    <row r="944" spans="1:3" ht="13" x14ac:dyDescent="0.15">
      <c r="A944" s="10"/>
      <c r="B944" s="13"/>
      <c r="C944" s="13"/>
    </row>
    <row r="945" spans="1:3" ht="13" x14ac:dyDescent="0.15">
      <c r="A945" s="10"/>
      <c r="B945" s="13"/>
      <c r="C945" s="13"/>
    </row>
    <row r="946" spans="1:3" ht="13" x14ac:dyDescent="0.15">
      <c r="A946" s="10"/>
      <c r="B946" s="13"/>
      <c r="C946" s="13"/>
    </row>
    <row r="947" spans="1:3" ht="13" x14ac:dyDescent="0.15">
      <c r="A947" s="10"/>
      <c r="B947" s="13"/>
      <c r="C947" s="13"/>
    </row>
    <row r="948" spans="1:3" ht="13" x14ac:dyDescent="0.15">
      <c r="A948" s="10"/>
      <c r="B948" s="13"/>
      <c r="C948" s="13"/>
    </row>
    <row r="949" spans="1:3" ht="13" x14ac:dyDescent="0.15">
      <c r="A949" s="10"/>
      <c r="B949" s="13"/>
      <c r="C949" s="13"/>
    </row>
    <row r="950" spans="1:3" ht="13" x14ac:dyDescent="0.15">
      <c r="A950" s="10"/>
      <c r="B950" s="13"/>
      <c r="C950" s="13"/>
    </row>
    <row r="951" spans="1:3" ht="13" x14ac:dyDescent="0.15">
      <c r="A951" s="10"/>
      <c r="B951" s="13"/>
      <c r="C951" s="13"/>
    </row>
    <row r="952" spans="1:3" ht="13" x14ac:dyDescent="0.15">
      <c r="A952" s="10"/>
      <c r="B952" s="13"/>
      <c r="C952" s="13"/>
    </row>
    <row r="953" spans="1:3" ht="13" x14ac:dyDescent="0.15">
      <c r="A953" s="10"/>
      <c r="B953" s="13"/>
      <c r="C953" s="13"/>
    </row>
    <row r="954" spans="1:3" ht="13" x14ac:dyDescent="0.15">
      <c r="A954" s="10"/>
      <c r="B954" s="13"/>
      <c r="C954" s="13"/>
    </row>
    <row r="955" spans="1:3" ht="13" x14ac:dyDescent="0.15">
      <c r="A955" s="10"/>
      <c r="B955" s="13"/>
      <c r="C955" s="13"/>
    </row>
    <row r="956" spans="1:3" ht="13" x14ac:dyDescent="0.15">
      <c r="A956" s="10"/>
      <c r="B956" s="13"/>
      <c r="C956" s="13"/>
    </row>
    <row r="957" spans="1:3" ht="13" x14ac:dyDescent="0.15">
      <c r="A957" s="10"/>
      <c r="B957" s="13"/>
      <c r="C957" s="13"/>
    </row>
    <row r="958" spans="1:3" ht="13" x14ac:dyDescent="0.15">
      <c r="A958" s="10"/>
      <c r="B958" s="13"/>
      <c r="C958" s="13"/>
    </row>
    <row r="959" spans="1:3" ht="13" x14ac:dyDescent="0.15">
      <c r="A959" s="10"/>
      <c r="B959" s="13"/>
      <c r="C959" s="13"/>
    </row>
    <row r="960" spans="1:3" ht="13" x14ac:dyDescent="0.15">
      <c r="A960" s="10"/>
      <c r="B960" s="13"/>
      <c r="C960" s="13"/>
    </row>
    <row r="961" spans="1:3" ht="13" x14ac:dyDescent="0.15">
      <c r="A961" s="10"/>
      <c r="B961" s="13"/>
      <c r="C961" s="13"/>
    </row>
    <row r="962" spans="1:3" ht="13" x14ac:dyDescent="0.15">
      <c r="A962" s="10"/>
      <c r="B962" s="13"/>
      <c r="C962" s="13"/>
    </row>
    <row r="963" spans="1:3" ht="13" x14ac:dyDescent="0.15">
      <c r="A963" s="10"/>
      <c r="B963" s="13"/>
      <c r="C963" s="13"/>
    </row>
    <row r="964" spans="1:3" ht="13" x14ac:dyDescent="0.15">
      <c r="A964" s="10"/>
      <c r="B964" s="13"/>
      <c r="C964" s="13"/>
    </row>
    <row r="965" spans="1:3" ht="13" x14ac:dyDescent="0.15">
      <c r="A965" s="10"/>
      <c r="B965" s="13"/>
      <c r="C965" s="13"/>
    </row>
    <row r="966" spans="1:3" ht="13" x14ac:dyDescent="0.15">
      <c r="A966" s="10"/>
      <c r="B966" s="13"/>
      <c r="C966" s="13"/>
    </row>
    <row r="967" spans="1:3" ht="13" x14ac:dyDescent="0.15">
      <c r="A967" s="10"/>
      <c r="B967" s="13"/>
      <c r="C967" s="13"/>
    </row>
    <row r="968" spans="1:3" ht="13" x14ac:dyDescent="0.15">
      <c r="A968" s="10"/>
      <c r="B968" s="13"/>
      <c r="C968" s="13"/>
    </row>
    <row r="969" spans="1:3" ht="13" x14ac:dyDescent="0.15">
      <c r="A969" s="10"/>
      <c r="B969" s="13"/>
      <c r="C969" s="13"/>
    </row>
    <row r="970" spans="1:3" ht="13" x14ac:dyDescent="0.15">
      <c r="A970" s="10"/>
      <c r="B970" s="13"/>
      <c r="C970" s="13"/>
    </row>
    <row r="971" spans="1:3" ht="13" x14ac:dyDescent="0.15">
      <c r="A971" s="10"/>
      <c r="B971" s="13"/>
      <c r="C971" s="13"/>
    </row>
    <row r="972" spans="1:3" ht="13" x14ac:dyDescent="0.15">
      <c r="A972" s="10"/>
      <c r="B972" s="13"/>
      <c r="C972" s="13"/>
    </row>
    <row r="973" spans="1:3" ht="13" x14ac:dyDescent="0.15">
      <c r="A973" s="10"/>
      <c r="B973" s="13"/>
      <c r="C973" s="13"/>
    </row>
    <row r="974" spans="1:3" ht="13" x14ac:dyDescent="0.15">
      <c r="A974" s="10"/>
      <c r="B974" s="13"/>
      <c r="C974" s="13"/>
    </row>
    <row r="975" spans="1:3" ht="13" x14ac:dyDescent="0.15">
      <c r="A975" s="10"/>
      <c r="B975" s="13"/>
      <c r="C975" s="13"/>
    </row>
    <row r="976" spans="1:3" ht="13" x14ac:dyDescent="0.15">
      <c r="A976" s="10"/>
      <c r="B976" s="13"/>
      <c r="C976" s="13"/>
    </row>
    <row r="977" spans="1:3" ht="13" x14ac:dyDescent="0.15">
      <c r="A977" s="10"/>
      <c r="B977" s="13"/>
      <c r="C977" s="13"/>
    </row>
    <row r="978" spans="1:3" ht="13" x14ac:dyDescent="0.15">
      <c r="A978" s="10"/>
      <c r="B978" s="13"/>
      <c r="C978" s="13"/>
    </row>
    <row r="979" spans="1:3" ht="13" x14ac:dyDescent="0.15">
      <c r="A979" s="10"/>
      <c r="B979" s="13"/>
      <c r="C979" s="13"/>
    </row>
    <row r="980" spans="1:3" ht="13" x14ac:dyDescent="0.15">
      <c r="A980" s="10"/>
      <c r="B980" s="13"/>
      <c r="C980" s="13"/>
    </row>
    <row r="981" spans="1:3" ht="13" x14ac:dyDescent="0.15">
      <c r="A981" s="10"/>
      <c r="B981" s="13"/>
      <c r="C981" s="13"/>
    </row>
    <row r="982" spans="1:3" ht="13" x14ac:dyDescent="0.15">
      <c r="A982" s="10"/>
      <c r="B982" s="13"/>
      <c r="C982" s="13"/>
    </row>
    <row r="983" spans="1:3" ht="13" x14ac:dyDescent="0.15">
      <c r="A983" s="10"/>
      <c r="B983" s="13"/>
      <c r="C983" s="13"/>
    </row>
    <row r="984" spans="1:3" ht="13" x14ac:dyDescent="0.15">
      <c r="A984" s="10"/>
      <c r="B984" s="13"/>
      <c r="C984" s="13"/>
    </row>
    <row r="985" spans="1:3" ht="13" x14ac:dyDescent="0.15">
      <c r="A985" s="10"/>
      <c r="B985" s="13"/>
      <c r="C985" s="13"/>
    </row>
    <row r="986" spans="1:3" ht="13" x14ac:dyDescent="0.15">
      <c r="A986" s="10"/>
      <c r="B986" s="13"/>
      <c r="C986" s="13"/>
    </row>
    <row r="987" spans="1:3" ht="13" x14ac:dyDescent="0.15">
      <c r="A987" s="10"/>
      <c r="B987" s="13"/>
      <c r="C987" s="13"/>
    </row>
    <row r="988" spans="1:3" ht="13" x14ac:dyDescent="0.15">
      <c r="A988" s="10"/>
      <c r="B988" s="13"/>
      <c r="C988" s="13"/>
    </row>
    <row r="989" spans="1:3" ht="13" x14ac:dyDescent="0.15">
      <c r="A989" s="10"/>
      <c r="B989" s="13"/>
      <c r="C989" s="13"/>
    </row>
    <row r="990" spans="1:3" ht="13" x14ac:dyDescent="0.15">
      <c r="A990" s="10"/>
      <c r="B990" s="13"/>
      <c r="C990" s="13"/>
    </row>
    <row r="991" spans="1:3" ht="13" x14ac:dyDescent="0.15">
      <c r="A991" s="10"/>
      <c r="B991" s="13"/>
      <c r="C991" s="13"/>
    </row>
    <row r="992" spans="1:3" ht="13" x14ac:dyDescent="0.15">
      <c r="A992" s="10"/>
      <c r="B992" s="13"/>
      <c r="C992" s="13"/>
    </row>
    <row r="993" spans="1:3" ht="13" x14ac:dyDescent="0.15">
      <c r="A993" s="10"/>
      <c r="B993" s="13"/>
      <c r="C993" s="13"/>
    </row>
    <row r="994" spans="1:3" ht="13" x14ac:dyDescent="0.15">
      <c r="A994" s="10"/>
      <c r="B994" s="13"/>
      <c r="C994" s="13"/>
    </row>
    <row r="995" spans="1:3" ht="13" x14ac:dyDescent="0.15">
      <c r="A995" s="10"/>
      <c r="B995" s="13"/>
      <c r="C995" s="13"/>
    </row>
    <row r="996" spans="1:3" ht="13" x14ac:dyDescent="0.15">
      <c r="A996" s="10"/>
      <c r="B996" s="13"/>
      <c r="C996" s="13"/>
    </row>
    <row r="997" spans="1:3" ht="13" x14ac:dyDescent="0.15">
      <c r="A997" s="10"/>
      <c r="B997" s="13"/>
      <c r="C997" s="13"/>
    </row>
  </sheetData>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outlinePr summaryBelow="0" summaryRight="0"/>
  </sheetPr>
  <dimension ref="A1:D997"/>
  <sheetViews>
    <sheetView workbookViewId="0"/>
  </sheetViews>
  <sheetFormatPr baseColWidth="10" defaultColWidth="12.6640625" defaultRowHeight="15.75" customHeight="1" x14ac:dyDescent="0.15"/>
  <cols>
    <col min="1" max="1" width="71.5" customWidth="1"/>
    <col min="2" max="4" width="37.6640625" customWidth="1"/>
  </cols>
  <sheetData>
    <row r="1" spans="1:4" ht="15.75" customHeight="1" x14ac:dyDescent="0.15">
      <c r="A1" s="1"/>
      <c r="B1" s="12" t="str">
        <f ca="1">IFERROR(__xludf.DUMMYFUNCTION("IMPORTRANGE(""https://docs.google.com/spreadsheets/d/1C06Vs6H0Eg3__x1-dePLdZcY_bo1r3ReCeWRxqLlaS4"",""A88!B1:B22"")"),"Layla Baldwin")</f>
        <v>Layla Baldwin</v>
      </c>
      <c r="C1" s="10" t="str">
        <f ca="1">IFERROR(__xludf.DUMMYFUNCTION("IMPORTRANGE(""https://docs.google.com/spreadsheets/u/0/d/1DTeUShR903oScgwuFGuA8V8JqIoXmME8W-T3lNP0oHM"", ""A88!B1:B22"")"),"McKinzie Novak")</f>
        <v>McKinzie Novak</v>
      </c>
      <c r="D1" s="2" t="s">
        <v>1</v>
      </c>
    </row>
    <row r="2" spans="1:4" ht="15.75" customHeight="1" x14ac:dyDescent="0.15">
      <c r="A2" s="3" t="s">
        <v>2</v>
      </c>
      <c r="B2" s="15" t="str">
        <f ca="1">IFERROR(__xludf.DUMMYFUNCTION("""COMPUTED_VALUE"""),"52999 to 53238 Forward")</f>
        <v>52999 to 53238 Forward</v>
      </c>
      <c r="C2" s="15" t="str">
        <f ca="1">IFERROR(__xludf.DUMMYFUNCTION("""COMPUTED_VALUE"""),"START: 52999
STOP: 53238
FORWARD")</f>
        <v>START: 52999
STOP: 53238
FORWARD</v>
      </c>
      <c r="D2" s="4"/>
    </row>
    <row r="3" spans="1:4" ht="15.75" customHeight="1" x14ac:dyDescent="0.15">
      <c r="A3" s="5" t="s">
        <v>3</v>
      </c>
      <c r="B3" s="17" t="str">
        <f ca="1">IFERROR(__xludf.DUMMYFUNCTION("""COMPUTED_VALUE"""),"88 in Pham and PDB, 87 in DNAM")</f>
        <v>88 in Pham and PDB, 87 in DNAM</v>
      </c>
      <c r="C3" s="17" t="str">
        <f ca="1">IFERROR(__xludf.DUMMYFUNCTION("""COMPUTED_VALUE"""),"DNAM: 87
PHAM: 88
Phagesdb: 88")</f>
        <v>DNAM: 87
PHAM: 88
Phagesdb: 88</v>
      </c>
      <c r="D3" s="6"/>
    </row>
    <row r="4" spans="1:4" ht="15.75" customHeight="1" x14ac:dyDescent="0.15">
      <c r="A4" s="5" t="s">
        <v>4</v>
      </c>
      <c r="B4" s="17" t="str">
        <f ca="1">IFERROR(__xludf.DUMMYFUNCTION("""COMPUTED_VALUE"""),"6955 3-14-25")</f>
        <v>6955 3-14-25</v>
      </c>
      <c r="C4" s="17" t="str">
        <f ca="1">IFERROR(__xludf.DUMMYFUNCTION("""COMPUTED_VALUE"""),"#6955   3/20/25")</f>
        <v>#6955   3/20/25</v>
      </c>
      <c r="D4" s="6"/>
    </row>
    <row r="5" spans="1:4" ht="15.75" customHeight="1" x14ac:dyDescent="0.15">
      <c r="A5" s="5" t="s">
        <v>5</v>
      </c>
      <c r="B5" s="17" t="str">
        <f ca="1">IFERROR(__xludf.DUMMYFUNCTION("""COMPUTED_VALUE"""),"Kovu_86, LiSara_83")</f>
        <v>Kovu_86, LiSara_83</v>
      </c>
      <c r="C5" s="17" t="str">
        <f ca="1">IFERROR(__xludf.DUMMYFUNCTION("""COMPUTED_VALUE"""),"Kovu #86 &amp; Laroye #86")</f>
        <v>Kovu #86 &amp; Laroye #86</v>
      </c>
      <c r="D5" s="6"/>
    </row>
    <row r="6" spans="1:4" ht="15.75" customHeight="1" x14ac:dyDescent="0.15">
      <c r="A6" s="5" t="s">
        <v>6</v>
      </c>
      <c r="B6" s="17" t="str">
        <f ca="1">IFERROR(__xludf.DUMMYFUNCTION("""COMPUTED_VALUE"""),"Both call")</f>
        <v>Both call</v>
      </c>
      <c r="C6" s="17" t="str">
        <f ca="1">IFERROR(__xludf.DUMMYFUNCTION("""COMPUTED_VALUE"""),"Both glimmer and genemark call start 52999")</f>
        <v>Both glimmer and genemark call start 52999</v>
      </c>
      <c r="D6" s="6"/>
    </row>
    <row r="7" spans="1:4" ht="15.75" customHeight="1" x14ac:dyDescent="0.15">
      <c r="A7" s="5" t="s">
        <v>7</v>
      </c>
      <c r="B7" s="17" t="str">
        <f ca="1">IFERROR(__xludf.DUMMYFUNCTION("""COMPUTED_VALUE"""),"Overall good coding potential, start captures potential")</f>
        <v>Overall good coding potential, start captures potential</v>
      </c>
      <c r="C7" s="17" t="str">
        <f ca="1">IFERROR(__xludf.DUMMYFUNCTION("""COMPUTED_VALUE"""),"Yes the gene has good coding potential, and the chosen start captures all of it")</f>
        <v>Yes the gene has good coding potential, and the chosen start captures all of it</v>
      </c>
      <c r="D7" s="6"/>
    </row>
    <row r="8" spans="1:4" ht="15.75" customHeight="1" x14ac:dyDescent="0.15">
      <c r="A8" s="5" t="s">
        <v>8</v>
      </c>
      <c r="B8" s="17" t="str">
        <f ca="1">IFERROR(__xludf.DUMMYFUNCTION("""COMPUTED_VALUE"""),"No, two previous starts")</f>
        <v>No, two previous starts</v>
      </c>
      <c r="C8" s="17" t="str">
        <f ca="1">IFERROR(__xludf.DUMMYFUNCTION("""COMPUTED_VALUE"""),"No, a start at basepair 52867 is the longest ORF")</f>
        <v>No, a start at basepair 52867 is the longest ORF</v>
      </c>
      <c r="D8" s="6"/>
    </row>
    <row r="9" spans="1:4" ht="15.75" customHeight="1" x14ac:dyDescent="0.15">
      <c r="A9" s="5" t="s">
        <v>9</v>
      </c>
      <c r="B9" s="17" t="str">
        <f ca="1">IFERROR(__xludf.DUMMYFUNCTION("""COMPUTED_VALUE"""),"181 bp gap")</f>
        <v>181 bp gap</v>
      </c>
      <c r="C9" s="17" t="str">
        <f ca="1">IFERROR(__xludf.DUMMYFUNCTION("""COMPUTED_VALUE"""),"Start 52999 has a 181 basepair gap and start 52894 has a 76 basepair gap")</f>
        <v>Start 52999 has a 181 basepair gap and start 52894 has a 76 basepair gap</v>
      </c>
      <c r="D9" s="6"/>
    </row>
    <row r="10" spans="1:4" ht="15.75" customHeight="1" x14ac:dyDescent="0.15">
      <c r="A10" s="5" t="s">
        <v>10</v>
      </c>
      <c r="B10" s="17" t="str">
        <f ca="1">IFERROR(__xludf.DUMMYFUNCTION("""COMPUTED_VALUE"""),"Z = 1.4, final = -5.792. Second start Z = 2.106, final = -4.962. Called start has worst scores, second startt has best.")</f>
        <v>Z = 1.4, final = -5.792. Second start Z = 2.106, final = -4.962. Called start has worst scores, second startt has best.</v>
      </c>
      <c r="C10" s="17" t="str">
        <f ca="1">IFERROR(__xludf.DUMMYFUNCTION("""COMPUTED_VALUE"""),"Start: 52999 z-score:1.98 rbs:-4.67
Start: 52894 z-score:2.11 rbs:-4.93")</f>
        <v>Start: 52999 z-score:1.98 rbs:-4.67
Start: 52894 z-score:2.11 rbs:-4.93</v>
      </c>
      <c r="D10" s="6"/>
    </row>
    <row r="11" spans="1:4" ht="15.75" customHeight="1" x14ac:dyDescent="0.15">
      <c r="A11" s="5" t="s">
        <v>11</v>
      </c>
      <c r="B11" s="17" t="str">
        <f ca="1">IFERROR(__xludf.DUMMYFUNCTION("""COMPUTED_VALUE"""),"Kovu, identity = 89.87, e = 1e-32, q1:s1")</f>
        <v>Kovu, identity = 89.87, e = 1e-32, q1:s1</v>
      </c>
      <c r="C11" s="17" t="str">
        <f ca="1">IFERROR(__xludf.DUMMYFUNCTION("""COMPUTED_VALUE"""),"Kovu #86 %ID:89.9 e-val:1.0e-32
Q:1 S:1")</f>
        <v>Kovu #86 %ID:89.9 e-val:1.0e-32
Q:1 S:1</v>
      </c>
      <c r="D11" s="6"/>
    </row>
    <row r="12" spans="1:4" ht="15.75" customHeight="1" x14ac:dyDescent="0.15">
      <c r="A12" s="5" t="s">
        <v>12</v>
      </c>
      <c r="B12" s="17" t="str">
        <f ca="1">IFERROR(__xludf.DUMMYFUNCTION("""COMPUTED_VALUE"""),"Start found and called in all members, second start in ApoKipo isnt found in other members. ")</f>
        <v xml:space="preserve">Start found and called in all members, second start in ApoKipo isnt found in other members. </v>
      </c>
      <c r="C12" s="17" t="str">
        <f ca="1">IFERROR(__xludf.DUMMYFUNCTION("""COMPUTED_VALUE"""),"The called start 52999 is conserved in EVERY phage. 100% of the time, only apokipo has an earlier start")</f>
        <v>The called start 52999 is conserved in EVERY phage. 100% of the time, only apokipo has an earlier start</v>
      </c>
      <c r="D12" s="6"/>
    </row>
    <row r="13" spans="1:4" ht="15.75" customHeight="1" x14ac:dyDescent="0.15">
      <c r="A13" s="5" t="s">
        <v>13</v>
      </c>
      <c r="B13" s="17" t="str">
        <f ca="1">IFERROR(__xludf.DUMMYFUNCTION("""COMPUTED_VALUE"""),"Yes, there is a large gap. Moving the start back would help that, along with the scores.")</f>
        <v>Yes, there is a large gap. Moving the start back would help that, along with the scores.</v>
      </c>
      <c r="C13" s="17" t="str">
        <f ca="1">IFERROR(__xludf.DUMMYFUNCTION("""COMPUTED_VALUE"""),"No, even though there is a start with a better z-score all coding potential is captured and starterator conserves this start really well.")</f>
        <v>No, even though there is a start with a better z-score all coding potential is captured and starterator conserves this start really well.</v>
      </c>
      <c r="D13" s="6"/>
    </row>
    <row r="14" spans="1:4" ht="15.75" customHeight="1" x14ac:dyDescent="0.15">
      <c r="A14" s="5" t="s">
        <v>14</v>
      </c>
      <c r="B14" s="17" t="str">
        <f ca="1">IFERROR(__xludf.DUMMYFUNCTION("""COMPUTED_VALUE"""),"Kovu_86 e = 3e-35, Waltz_83 e = 6e-12")</f>
        <v>Kovu_86 e = 3e-35, Waltz_83 e = 6e-12</v>
      </c>
      <c r="C14" s="17" t="str">
        <f ca="1">IFERROR(__xludf.DUMMYFUNCTION("""COMPUTED_VALUE"""),"Kovu #86 e-val: 1.0e-32")</f>
        <v>Kovu #86 e-val: 1.0e-32</v>
      </c>
      <c r="D14" s="6"/>
    </row>
    <row r="15" spans="1:4" ht="15.75" customHeight="1" x14ac:dyDescent="0.15">
      <c r="A15" s="5" t="s">
        <v>15</v>
      </c>
      <c r="B15" s="17" t="str">
        <f ca="1">IFERROR(__xludf.DUMMYFUNCTION("""COMPUTED_VALUE"""),"Kovu_86 - helix-turn-helix DNA binding domain, Waltz - HTH DNA bindig protein")</f>
        <v>Kovu_86 - helix-turn-helix DNA binding domain, Waltz - HTH DNA bindig protein</v>
      </c>
      <c r="C15" s="17" t="str">
        <f ca="1">IFERROR(__xludf.DUMMYFUNCTION("""COMPUTED_VALUE"""),"Helix-turn-Helix DNA binding domain")</f>
        <v>Helix-turn-Helix DNA binding domain</v>
      </c>
      <c r="D15" s="6"/>
    </row>
    <row r="16" spans="1:4" ht="15.75" customHeight="1" x14ac:dyDescent="0.15">
      <c r="A16" s="5" t="s">
        <v>16</v>
      </c>
      <c r="B16" s="17" t="str">
        <f ca="1">IFERROR(__xludf.DUMMYFUNCTION("""COMPUTED_VALUE"""),"Yes")</f>
        <v>Yes</v>
      </c>
      <c r="C16" s="17" t="str">
        <f ca="1">IFERROR(__xludf.DUMMYFUNCTION("""COMPUTED_VALUE"""),"Yes the gene matches its genetic environment, adjacent genes include another HTH on the right and a hypothetical protein on the left")</f>
        <v>Yes the gene matches its genetic environment, adjacent genes include another HTH on the right and a hypothetical protein on the left</v>
      </c>
      <c r="D16" s="6"/>
    </row>
    <row r="17" spans="1:4" ht="15.75" customHeight="1" x14ac:dyDescent="0.15">
      <c r="A17" s="5" t="s">
        <v>17</v>
      </c>
      <c r="B17" s="17" t="str">
        <f ca="1">IFERROR(__xludf.DUMMYFUNCTION("""COMPUTED_VALUE"""),"probable Zinc uptake regulation protein FurB; Zinc uptake, DNA-binding, helix-turn-helix, Zinc binding, GENE REGULATION; 2.699A {Mycobacterium tuberculosis}. AOQ = 91, AOT = 55")</f>
        <v>probable Zinc uptake regulation protein FurB; Zinc uptake, DNA-binding, helix-turn-helix, Zinc binding, GENE REGULATION; 2.699A {Mycobacterium tuberculosis}. AOQ = 91, AOT = 55</v>
      </c>
      <c r="C17" s="17" t="str">
        <f ca="1">IFERROR(__xludf.DUMMYFUNCTION("""COMPUTED_VALUE"""),"DESC: Double-stranded RNA-specific adenosine deaminase; winged Helix-Turn-Helix, RNA editing, Interferon, ADAR1, HYDROLASE
Prob:96.6 %ALQ:89.9 %ALT:89.9
Yes, the ENTIRE domain is in the target part of the alignment")</f>
        <v>DESC: Double-stranded RNA-specific adenosine deaminase; winged Helix-Turn-Helix, RNA editing, Interferon, ADAR1, HYDROLASE
Prob:96.6 %ALQ:89.9 %ALT:89.9
Yes, the ENTIRE domain is in the target part of the alignment</v>
      </c>
      <c r="D17" s="6"/>
    </row>
    <row r="18" spans="1:4" ht="15.75" customHeight="1" x14ac:dyDescent="0.15">
      <c r="A18" s="5" t="s">
        <v>18</v>
      </c>
      <c r="B18" s="17" t="str">
        <f ca="1">IFERROR(__xludf.DUMMYFUNCTION("""COMPUTED_VALUE"""),"No")</f>
        <v>No</v>
      </c>
      <c r="C18" s="17" t="str">
        <f ca="1">IFERROR(__xludf.DUMMYFUNCTION("""COMPUTED_VALUE"""),"Helix-turn-Helix DNA binding domain")</f>
        <v>Helix-turn-Helix DNA binding domain</v>
      </c>
      <c r="D18" s="6"/>
    </row>
    <row r="19" spans="1:4" ht="15.75" customHeight="1" x14ac:dyDescent="0.15">
      <c r="A19" s="5" t="s">
        <v>19</v>
      </c>
      <c r="B19" s="17" t="str">
        <f ca="1">IFERROR(__xludf.DUMMYFUNCTION("""COMPUTED_VALUE"""),"No")</f>
        <v>No</v>
      </c>
      <c r="C19" s="17" t="str">
        <f ca="1">IFERROR(__xludf.DUMMYFUNCTION("""COMPUTED_VALUE"""),"NONE")</f>
        <v>NONE</v>
      </c>
      <c r="D19" s="6"/>
    </row>
    <row r="20" spans="1:4" ht="15.75" customHeight="1" x14ac:dyDescent="0.15">
      <c r="A20" s="5" t="s">
        <v>20</v>
      </c>
      <c r="B20" s="17" t="str">
        <f ca="1">IFERROR(__xludf.DUMMYFUNCTION("""COMPUTED_VALUE"""),"DNA binding protein, HHPred supports and pham")</f>
        <v>DNA binding protein, HHPred supports and pham</v>
      </c>
      <c r="C20" s="17" t="str">
        <f ca="1">IFERROR(__xludf.DUMMYFUNCTION("""COMPUTED_VALUE"""),"Helix-turn-Helix DNA binding domain protein")</f>
        <v>Helix-turn-Helix DNA binding domain protein</v>
      </c>
      <c r="D20" s="6"/>
    </row>
    <row r="21" spans="1:4" x14ac:dyDescent="0.2">
      <c r="A21" s="7"/>
      <c r="B21" s="19"/>
      <c r="C21" s="19"/>
      <c r="D21" s="8"/>
    </row>
    <row r="22" spans="1:4" ht="15.75" customHeight="1" x14ac:dyDescent="0.15">
      <c r="A22" s="9" t="s">
        <v>21</v>
      </c>
      <c r="B22" s="19" t="str">
        <f ca="1">IFERROR(__xludf.DUMMYFUNCTION("""COMPUTED_VALUE"""),"helix turn helix DNA binding domain?")</f>
        <v>helix turn helix DNA binding domain?</v>
      </c>
      <c r="C22" s="19"/>
      <c r="D22" s="8"/>
    </row>
    <row r="23" spans="1:4" ht="15.75" customHeight="1" x14ac:dyDescent="0.15">
      <c r="A23" s="10"/>
      <c r="B23" s="13"/>
      <c r="C23" s="13"/>
    </row>
    <row r="24" spans="1:4" ht="15.75" customHeight="1" x14ac:dyDescent="0.15">
      <c r="A24" s="10"/>
      <c r="B24" s="13"/>
      <c r="C24" s="13"/>
    </row>
    <row r="25" spans="1:4" ht="15.75" customHeight="1" x14ac:dyDescent="0.15">
      <c r="A25" s="10"/>
      <c r="B25" s="13"/>
      <c r="C25" s="13"/>
    </row>
    <row r="26" spans="1:4" ht="15.75" customHeight="1" x14ac:dyDescent="0.15">
      <c r="A26" s="10"/>
      <c r="B26" s="13"/>
      <c r="C26" s="13"/>
    </row>
    <row r="27" spans="1:4" ht="15.75" customHeight="1" x14ac:dyDescent="0.15">
      <c r="A27" s="10"/>
      <c r="B27" s="13"/>
      <c r="C27" s="13"/>
    </row>
    <row r="28" spans="1:4" ht="15.75" customHeight="1" x14ac:dyDescent="0.15">
      <c r="A28" s="10"/>
      <c r="B28" s="13"/>
      <c r="C28" s="13"/>
    </row>
    <row r="29" spans="1:4" ht="15.75" customHeight="1" x14ac:dyDescent="0.15">
      <c r="A29" s="10"/>
      <c r="B29" s="13"/>
      <c r="C29" s="13"/>
    </row>
    <row r="30" spans="1:4" ht="15.75" customHeight="1" x14ac:dyDescent="0.15">
      <c r="A30" s="10"/>
      <c r="B30" s="13"/>
      <c r="C30" s="13"/>
    </row>
    <row r="31" spans="1:4" ht="15.75" customHeight="1" x14ac:dyDescent="0.15">
      <c r="A31" s="10"/>
      <c r="B31" s="13"/>
      <c r="C31" s="13"/>
    </row>
    <row r="32" spans="1:4" ht="15.75" customHeight="1" x14ac:dyDescent="0.15">
      <c r="A32" s="10"/>
      <c r="B32" s="13"/>
      <c r="C32" s="13"/>
    </row>
    <row r="33" spans="1:3" ht="15.75" customHeight="1" x14ac:dyDescent="0.15">
      <c r="A33" s="10"/>
      <c r="B33" s="13"/>
      <c r="C33" s="13"/>
    </row>
    <row r="34" spans="1:3" ht="15.75" customHeight="1" x14ac:dyDescent="0.15">
      <c r="A34" s="10"/>
      <c r="B34" s="13"/>
      <c r="C34" s="13"/>
    </row>
    <row r="35" spans="1:3" ht="15.75" customHeight="1" x14ac:dyDescent="0.15">
      <c r="A35" s="10"/>
      <c r="B35" s="13"/>
      <c r="C35" s="13"/>
    </row>
    <row r="36" spans="1:3" ht="15.75" customHeight="1" x14ac:dyDescent="0.15">
      <c r="A36" s="10"/>
      <c r="B36" s="13"/>
      <c r="C36" s="13"/>
    </row>
    <row r="37" spans="1:3" ht="15.75" customHeight="1" x14ac:dyDescent="0.15">
      <c r="A37" s="10"/>
      <c r="B37" s="13"/>
      <c r="C37" s="13"/>
    </row>
    <row r="38" spans="1:3" ht="15.75" customHeight="1" x14ac:dyDescent="0.15">
      <c r="A38" s="10"/>
      <c r="B38" s="13"/>
      <c r="C38" s="13"/>
    </row>
    <row r="39" spans="1:3" ht="13" x14ac:dyDescent="0.15">
      <c r="A39" s="10"/>
      <c r="B39" s="13"/>
      <c r="C39" s="13"/>
    </row>
    <row r="40" spans="1:3" ht="13" x14ac:dyDescent="0.15">
      <c r="A40" s="10"/>
      <c r="B40" s="13"/>
      <c r="C40" s="13"/>
    </row>
    <row r="41" spans="1:3" ht="13" x14ac:dyDescent="0.15">
      <c r="A41" s="10"/>
      <c r="B41" s="13"/>
      <c r="C41" s="13"/>
    </row>
    <row r="42" spans="1:3" ht="13" x14ac:dyDescent="0.15">
      <c r="A42" s="10"/>
      <c r="B42" s="13"/>
      <c r="C42" s="13"/>
    </row>
    <row r="43" spans="1:3" ht="13" x14ac:dyDescent="0.15">
      <c r="A43" s="10"/>
      <c r="B43" s="13"/>
      <c r="C43" s="13"/>
    </row>
    <row r="44" spans="1:3" ht="13" x14ac:dyDescent="0.15">
      <c r="A44" s="10"/>
      <c r="B44" s="13"/>
      <c r="C44" s="13"/>
    </row>
    <row r="45" spans="1:3" ht="13" x14ac:dyDescent="0.15">
      <c r="A45" s="10"/>
      <c r="B45" s="13"/>
      <c r="C45" s="13"/>
    </row>
    <row r="46" spans="1:3" ht="13" x14ac:dyDescent="0.15">
      <c r="A46" s="10"/>
      <c r="B46" s="13"/>
      <c r="C46" s="13"/>
    </row>
    <row r="47" spans="1:3" ht="13" x14ac:dyDescent="0.15">
      <c r="A47" s="10"/>
      <c r="B47" s="13"/>
      <c r="C47" s="13"/>
    </row>
    <row r="48" spans="1:3" ht="13" x14ac:dyDescent="0.15">
      <c r="A48" s="10"/>
      <c r="B48" s="13"/>
      <c r="C48" s="13"/>
    </row>
    <row r="49" spans="1:3" ht="13" x14ac:dyDescent="0.15">
      <c r="A49" s="10"/>
      <c r="B49" s="13"/>
      <c r="C49" s="13"/>
    </row>
    <row r="50" spans="1:3" ht="13" x14ac:dyDescent="0.15">
      <c r="A50" s="10"/>
      <c r="B50" s="13"/>
      <c r="C50" s="13"/>
    </row>
    <row r="51" spans="1:3" ht="13" x14ac:dyDescent="0.15">
      <c r="A51" s="10"/>
      <c r="B51" s="13"/>
      <c r="C51" s="13"/>
    </row>
    <row r="52" spans="1:3" ht="13" x14ac:dyDescent="0.15">
      <c r="A52" s="10"/>
      <c r="B52" s="13"/>
      <c r="C52" s="13"/>
    </row>
    <row r="53" spans="1:3" ht="13" x14ac:dyDescent="0.15">
      <c r="A53" s="10"/>
      <c r="B53" s="13"/>
      <c r="C53" s="13"/>
    </row>
    <row r="54" spans="1:3" ht="13" x14ac:dyDescent="0.15">
      <c r="A54" s="10"/>
      <c r="B54" s="13"/>
      <c r="C54" s="13"/>
    </row>
    <row r="55" spans="1:3" ht="13" x14ac:dyDescent="0.15">
      <c r="A55" s="10"/>
      <c r="B55" s="13"/>
      <c r="C55" s="13"/>
    </row>
    <row r="56" spans="1:3" ht="13" x14ac:dyDescent="0.15">
      <c r="A56" s="10"/>
      <c r="B56" s="13"/>
      <c r="C56" s="13"/>
    </row>
    <row r="57" spans="1:3" ht="13" x14ac:dyDescent="0.15">
      <c r="A57" s="10"/>
      <c r="B57" s="13"/>
      <c r="C57" s="13"/>
    </row>
    <row r="58" spans="1:3" ht="13" x14ac:dyDescent="0.15">
      <c r="A58" s="10"/>
      <c r="B58" s="13"/>
      <c r="C58" s="13"/>
    </row>
    <row r="59" spans="1:3" ht="13" x14ac:dyDescent="0.15">
      <c r="A59" s="10"/>
      <c r="B59" s="13"/>
      <c r="C59" s="13"/>
    </row>
    <row r="60" spans="1:3" ht="13" x14ac:dyDescent="0.15">
      <c r="A60" s="10"/>
      <c r="B60" s="13"/>
      <c r="C60" s="13"/>
    </row>
    <row r="61" spans="1:3" ht="13" x14ac:dyDescent="0.15">
      <c r="A61" s="10"/>
      <c r="B61" s="13"/>
      <c r="C61" s="13"/>
    </row>
    <row r="62" spans="1:3" ht="13" x14ac:dyDescent="0.15">
      <c r="A62" s="10"/>
      <c r="B62" s="13"/>
      <c r="C62" s="13"/>
    </row>
    <row r="63" spans="1:3" ht="13" x14ac:dyDescent="0.15">
      <c r="A63" s="10"/>
      <c r="B63" s="13"/>
      <c r="C63" s="13"/>
    </row>
    <row r="64" spans="1:3" ht="13" x14ac:dyDescent="0.15">
      <c r="A64" s="10"/>
      <c r="B64" s="13"/>
      <c r="C64" s="13"/>
    </row>
    <row r="65" spans="1:3" ht="13" x14ac:dyDescent="0.15">
      <c r="A65" s="10"/>
      <c r="B65" s="13"/>
      <c r="C65" s="13"/>
    </row>
    <row r="66" spans="1:3" ht="13" x14ac:dyDescent="0.15">
      <c r="A66" s="10"/>
      <c r="B66" s="13"/>
      <c r="C66" s="13"/>
    </row>
    <row r="67" spans="1:3" ht="13" x14ac:dyDescent="0.15">
      <c r="A67" s="10"/>
      <c r="B67" s="13"/>
      <c r="C67" s="13"/>
    </row>
    <row r="68" spans="1:3" ht="13" x14ac:dyDescent="0.15">
      <c r="A68" s="10"/>
      <c r="B68" s="13"/>
      <c r="C68" s="13"/>
    </row>
    <row r="69" spans="1:3" ht="13" x14ac:dyDescent="0.15">
      <c r="A69" s="10"/>
      <c r="B69" s="13"/>
      <c r="C69" s="13"/>
    </row>
    <row r="70" spans="1:3" ht="13" x14ac:dyDescent="0.15">
      <c r="A70" s="10"/>
      <c r="B70" s="13"/>
      <c r="C70" s="13"/>
    </row>
    <row r="71" spans="1:3" ht="13" x14ac:dyDescent="0.15">
      <c r="A71" s="10"/>
      <c r="B71" s="13"/>
      <c r="C71" s="13"/>
    </row>
    <row r="72" spans="1:3" ht="13" x14ac:dyDescent="0.15">
      <c r="A72" s="10"/>
      <c r="B72" s="13"/>
      <c r="C72" s="13"/>
    </row>
    <row r="73" spans="1:3" ht="13" x14ac:dyDescent="0.15">
      <c r="A73" s="10"/>
      <c r="B73" s="13"/>
      <c r="C73" s="13"/>
    </row>
    <row r="74" spans="1:3" ht="13" x14ac:dyDescent="0.15">
      <c r="A74" s="10"/>
      <c r="B74" s="13"/>
      <c r="C74" s="13"/>
    </row>
    <row r="75" spans="1:3" ht="13" x14ac:dyDescent="0.15">
      <c r="A75" s="10"/>
      <c r="B75" s="13"/>
      <c r="C75" s="13"/>
    </row>
    <row r="76" spans="1:3" ht="13" x14ac:dyDescent="0.15">
      <c r="A76" s="10"/>
      <c r="B76" s="13"/>
      <c r="C76" s="13"/>
    </row>
    <row r="77" spans="1:3" ht="13" x14ac:dyDescent="0.15">
      <c r="A77" s="10"/>
      <c r="B77" s="13"/>
      <c r="C77" s="13"/>
    </row>
    <row r="78" spans="1:3" ht="13" x14ac:dyDescent="0.15">
      <c r="A78" s="10"/>
      <c r="B78" s="13"/>
      <c r="C78" s="13"/>
    </row>
    <row r="79" spans="1:3" ht="13" x14ac:dyDescent="0.15">
      <c r="A79" s="10"/>
      <c r="B79" s="13"/>
      <c r="C79" s="13"/>
    </row>
    <row r="80" spans="1:3" ht="13" x14ac:dyDescent="0.15">
      <c r="A80" s="10"/>
      <c r="B80" s="13"/>
      <c r="C80" s="13"/>
    </row>
    <row r="81" spans="1:3" ht="13" x14ac:dyDescent="0.15">
      <c r="A81" s="10"/>
      <c r="B81" s="13"/>
      <c r="C81" s="13"/>
    </row>
    <row r="82" spans="1:3" ht="13" x14ac:dyDescent="0.15">
      <c r="A82" s="10"/>
      <c r="B82" s="13"/>
      <c r="C82" s="13"/>
    </row>
    <row r="83" spans="1:3" ht="13" x14ac:dyDescent="0.15">
      <c r="A83" s="10"/>
      <c r="B83" s="13"/>
      <c r="C83" s="13"/>
    </row>
    <row r="84" spans="1:3" ht="13" x14ac:dyDescent="0.15">
      <c r="A84" s="10"/>
      <c r="B84" s="13"/>
      <c r="C84" s="13"/>
    </row>
    <row r="85" spans="1:3" ht="13" x14ac:dyDescent="0.15">
      <c r="A85" s="10"/>
      <c r="B85" s="13"/>
      <c r="C85" s="13"/>
    </row>
    <row r="86" spans="1:3" ht="13" x14ac:dyDescent="0.15">
      <c r="A86" s="10"/>
      <c r="B86" s="13"/>
      <c r="C86" s="13"/>
    </row>
    <row r="87" spans="1:3" ht="13" x14ac:dyDescent="0.15">
      <c r="A87" s="10"/>
      <c r="B87" s="13"/>
      <c r="C87" s="13"/>
    </row>
    <row r="88" spans="1:3" ht="13" x14ac:dyDescent="0.15">
      <c r="A88" s="10"/>
      <c r="B88" s="13"/>
      <c r="C88" s="13"/>
    </row>
    <row r="89" spans="1:3" ht="13" x14ac:dyDescent="0.15">
      <c r="A89" s="10"/>
      <c r="B89" s="13"/>
      <c r="C89" s="13"/>
    </row>
    <row r="90" spans="1:3" ht="13" x14ac:dyDescent="0.15">
      <c r="A90" s="10"/>
      <c r="B90" s="13"/>
      <c r="C90" s="13"/>
    </row>
    <row r="91" spans="1:3" ht="13" x14ac:dyDescent="0.15">
      <c r="A91" s="10"/>
      <c r="B91" s="13"/>
      <c r="C91" s="13"/>
    </row>
    <row r="92" spans="1:3" ht="13" x14ac:dyDescent="0.15">
      <c r="A92" s="10"/>
      <c r="B92" s="13"/>
      <c r="C92" s="13"/>
    </row>
    <row r="93" spans="1:3" ht="13" x14ac:dyDescent="0.15">
      <c r="A93" s="10"/>
      <c r="B93" s="13"/>
      <c r="C93" s="13"/>
    </row>
    <row r="94" spans="1:3" ht="13" x14ac:dyDescent="0.15">
      <c r="A94" s="10"/>
      <c r="B94" s="13"/>
      <c r="C94" s="13"/>
    </row>
    <row r="95" spans="1:3" ht="13" x14ac:dyDescent="0.15">
      <c r="A95" s="10"/>
      <c r="B95" s="13"/>
      <c r="C95" s="13"/>
    </row>
    <row r="96" spans="1:3" ht="13" x14ac:dyDescent="0.15">
      <c r="A96" s="10"/>
      <c r="B96" s="13"/>
      <c r="C96" s="13"/>
    </row>
    <row r="97" spans="1:3" ht="13" x14ac:dyDescent="0.15">
      <c r="A97" s="10"/>
      <c r="B97" s="13"/>
      <c r="C97" s="13"/>
    </row>
    <row r="98" spans="1:3" ht="13" x14ac:dyDescent="0.15">
      <c r="A98" s="10"/>
      <c r="B98" s="13"/>
      <c r="C98" s="13"/>
    </row>
    <row r="99" spans="1:3" ht="13" x14ac:dyDescent="0.15">
      <c r="A99" s="10"/>
      <c r="B99" s="13"/>
      <c r="C99" s="13"/>
    </row>
    <row r="100" spans="1:3" ht="13" x14ac:dyDescent="0.15">
      <c r="A100" s="10"/>
      <c r="B100" s="13"/>
      <c r="C100" s="13"/>
    </row>
    <row r="101" spans="1:3" ht="13" x14ac:dyDescent="0.15">
      <c r="A101" s="10"/>
      <c r="B101" s="13"/>
      <c r="C101" s="13"/>
    </row>
    <row r="102" spans="1:3" ht="13" x14ac:dyDescent="0.15">
      <c r="A102" s="10"/>
      <c r="B102" s="13"/>
      <c r="C102" s="13"/>
    </row>
    <row r="103" spans="1:3" ht="13" x14ac:dyDescent="0.15">
      <c r="A103" s="10"/>
      <c r="B103" s="13"/>
      <c r="C103" s="13"/>
    </row>
    <row r="104" spans="1:3" ht="13" x14ac:dyDescent="0.15">
      <c r="A104" s="10"/>
      <c r="B104" s="13"/>
      <c r="C104" s="13"/>
    </row>
    <row r="105" spans="1:3" ht="13" x14ac:dyDescent="0.15">
      <c r="A105" s="10"/>
      <c r="B105" s="13"/>
      <c r="C105" s="13"/>
    </row>
    <row r="106" spans="1:3" ht="13" x14ac:dyDescent="0.15">
      <c r="A106" s="10"/>
      <c r="B106" s="13"/>
      <c r="C106" s="13"/>
    </row>
    <row r="107" spans="1:3" ht="13" x14ac:dyDescent="0.15">
      <c r="A107" s="10"/>
      <c r="B107" s="13"/>
      <c r="C107" s="13"/>
    </row>
    <row r="108" spans="1:3" ht="13" x14ac:dyDescent="0.15">
      <c r="A108" s="10"/>
      <c r="B108" s="13"/>
      <c r="C108" s="13"/>
    </row>
    <row r="109" spans="1:3" ht="13" x14ac:dyDescent="0.15">
      <c r="A109" s="10"/>
      <c r="B109" s="13"/>
      <c r="C109" s="13"/>
    </row>
    <row r="110" spans="1:3" ht="13" x14ac:dyDescent="0.15">
      <c r="A110" s="10"/>
      <c r="B110" s="13"/>
      <c r="C110" s="13"/>
    </row>
    <row r="111" spans="1:3" ht="13" x14ac:dyDescent="0.15">
      <c r="A111" s="10"/>
      <c r="B111" s="13"/>
      <c r="C111" s="13"/>
    </row>
    <row r="112" spans="1:3" ht="13" x14ac:dyDescent="0.15">
      <c r="A112" s="10"/>
      <c r="B112" s="13"/>
      <c r="C112" s="13"/>
    </row>
    <row r="113" spans="1:3" ht="13" x14ac:dyDescent="0.15">
      <c r="A113" s="10"/>
      <c r="B113" s="13"/>
      <c r="C113" s="13"/>
    </row>
    <row r="114" spans="1:3" ht="13" x14ac:dyDescent="0.15">
      <c r="A114" s="10"/>
      <c r="B114" s="13"/>
      <c r="C114" s="13"/>
    </row>
    <row r="115" spans="1:3" ht="13" x14ac:dyDescent="0.15">
      <c r="A115" s="10"/>
      <c r="B115" s="13"/>
      <c r="C115" s="13"/>
    </row>
    <row r="116" spans="1:3" ht="13" x14ac:dyDescent="0.15">
      <c r="A116" s="10"/>
      <c r="B116" s="13"/>
      <c r="C116" s="13"/>
    </row>
    <row r="117" spans="1:3" ht="13" x14ac:dyDescent="0.15">
      <c r="A117" s="10"/>
      <c r="B117" s="13"/>
      <c r="C117" s="13"/>
    </row>
    <row r="118" spans="1:3" ht="13" x14ac:dyDescent="0.15">
      <c r="A118" s="10"/>
      <c r="B118" s="13"/>
      <c r="C118" s="13"/>
    </row>
    <row r="119" spans="1:3" ht="13" x14ac:dyDescent="0.15">
      <c r="A119" s="10"/>
      <c r="B119" s="13"/>
      <c r="C119" s="13"/>
    </row>
    <row r="120" spans="1:3" ht="13" x14ac:dyDescent="0.15">
      <c r="A120" s="10"/>
      <c r="B120" s="13"/>
      <c r="C120" s="13"/>
    </row>
    <row r="121" spans="1:3" ht="13" x14ac:dyDescent="0.15">
      <c r="A121" s="10"/>
      <c r="B121" s="13"/>
      <c r="C121" s="13"/>
    </row>
    <row r="122" spans="1:3" ht="13" x14ac:dyDescent="0.15">
      <c r="A122" s="10"/>
      <c r="B122" s="13"/>
      <c r="C122" s="13"/>
    </row>
    <row r="123" spans="1:3" ht="13" x14ac:dyDescent="0.15">
      <c r="A123" s="10"/>
      <c r="B123" s="13"/>
      <c r="C123" s="13"/>
    </row>
    <row r="124" spans="1:3" ht="13" x14ac:dyDescent="0.15">
      <c r="A124" s="10"/>
      <c r="B124" s="13"/>
      <c r="C124" s="13"/>
    </row>
    <row r="125" spans="1:3" ht="13" x14ac:dyDescent="0.15">
      <c r="A125" s="10"/>
      <c r="B125" s="13"/>
      <c r="C125" s="13"/>
    </row>
    <row r="126" spans="1:3" ht="13" x14ac:dyDescent="0.15">
      <c r="A126" s="10"/>
      <c r="B126" s="13"/>
      <c r="C126" s="13"/>
    </row>
    <row r="127" spans="1:3" ht="13" x14ac:dyDescent="0.15">
      <c r="A127" s="10"/>
      <c r="B127" s="13"/>
      <c r="C127" s="13"/>
    </row>
    <row r="128" spans="1:3" ht="13" x14ac:dyDescent="0.15">
      <c r="A128" s="10"/>
      <c r="B128" s="13"/>
      <c r="C128" s="13"/>
    </row>
    <row r="129" spans="1:3" ht="13" x14ac:dyDescent="0.15">
      <c r="A129" s="10"/>
      <c r="B129" s="13"/>
      <c r="C129" s="13"/>
    </row>
    <row r="130" spans="1:3" ht="13" x14ac:dyDescent="0.15">
      <c r="A130" s="10"/>
      <c r="B130" s="13"/>
      <c r="C130" s="13"/>
    </row>
    <row r="131" spans="1:3" ht="13" x14ac:dyDescent="0.15">
      <c r="A131" s="10"/>
      <c r="B131" s="13"/>
      <c r="C131" s="13"/>
    </row>
    <row r="132" spans="1:3" ht="13" x14ac:dyDescent="0.15">
      <c r="A132" s="10"/>
      <c r="B132" s="13"/>
      <c r="C132" s="13"/>
    </row>
    <row r="133" spans="1:3" ht="13" x14ac:dyDescent="0.15">
      <c r="A133" s="10"/>
      <c r="B133" s="13"/>
      <c r="C133" s="13"/>
    </row>
    <row r="134" spans="1:3" ht="13" x14ac:dyDescent="0.15">
      <c r="A134" s="10"/>
      <c r="B134" s="13"/>
      <c r="C134" s="13"/>
    </row>
    <row r="135" spans="1:3" ht="13" x14ac:dyDescent="0.15">
      <c r="A135" s="10"/>
      <c r="B135" s="13"/>
      <c r="C135" s="13"/>
    </row>
    <row r="136" spans="1:3" ht="13" x14ac:dyDescent="0.15">
      <c r="A136" s="10"/>
      <c r="B136" s="13"/>
      <c r="C136" s="13"/>
    </row>
    <row r="137" spans="1:3" ht="13" x14ac:dyDescent="0.15">
      <c r="A137" s="10"/>
      <c r="B137" s="13"/>
      <c r="C137" s="13"/>
    </row>
    <row r="138" spans="1:3" ht="13" x14ac:dyDescent="0.15">
      <c r="A138" s="10"/>
      <c r="B138" s="13"/>
      <c r="C138" s="13"/>
    </row>
    <row r="139" spans="1:3" ht="13" x14ac:dyDescent="0.15">
      <c r="A139" s="10"/>
      <c r="B139" s="13"/>
      <c r="C139" s="13"/>
    </row>
    <row r="140" spans="1:3" ht="13" x14ac:dyDescent="0.15">
      <c r="A140" s="10"/>
      <c r="B140" s="13"/>
      <c r="C140" s="13"/>
    </row>
    <row r="141" spans="1:3" ht="13" x14ac:dyDescent="0.15">
      <c r="A141" s="10"/>
      <c r="B141" s="13"/>
      <c r="C141" s="13"/>
    </row>
    <row r="142" spans="1:3" ht="13" x14ac:dyDescent="0.15">
      <c r="A142" s="10"/>
      <c r="B142" s="13"/>
      <c r="C142" s="13"/>
    </row>
    <row r="143" spans="1:3" ht="13" x14ac:dyDescent="0.15">
      <c r="A143" s="10"/>
      <c r="B143" s="13"/>
      <c r="C143" s="13"/>
    </row>
    <row r="144" spans="1:3" ht="13" x14ac:dyDescent="0.15">
      <c r="A144" s="10"/>
      <c r="B144" s="13"/>
      <c r="C144" s="13"/>
    </row>
    <row r="145" spans="1:3" ht="13" x14ac:dyDescent="0.15">
      <c r="A145" s="10"/>
      <c r="B145" s="13"/>
      <c r="C145" s="13"/>
    </row>
    <row r="146" spans="1:3" ht="13" x14ac:dyDescent="0.15">
      <c r="A146" s="10"/>
      <c r="B146" s="13"/>
      <c r="C146" s="13"/>
    </row>
    <row r="147" spans="1:3" ht="13" x14ac:dyDescent="0.15">
      <c r="A147" s="10"/>
      <c r="B147" s="13"/>
      <c r="C147" s="13"/>
    </row>
    <row r="148" spans="1:3" ht="13" x14ac:dyDescent="0.15">
      <c r="A148" s="10"/>
      <c r="B148" s="13"/>
      <c r="C148" s="13"/>
    </row>
    <row r="149" spans="1:3" ht="13" x14ac:dyDescent="0.15">
      <c r="A149" s="10"/>
      <c r="B149" s="13"/>
      <c r="C149" s="13"/>
    </row>
    <row r="150" spans="1:3" ht="13" x14ac:dyDescent="0.15">
      <c r="A150" s="10"/>
      <c r="B150" s="13"/>
      <c r="C150" s="13"/>
    </row>
    <row r="151" spans="1:3" ht="13" x14ac:dyDescent="0.15">
      <c r="A151" s="10"/>
      <c r="B151" s="13"/>
      <c r="C151" s="13"/>
    </row>
    <row r="152" spans="1:3" ht="13" x14ac:dyDescent="0.15">
      <c r="A152" s="10"/>
      <c r="B152" s="13"/>
      <c r="C152" s="13"/>
    </row>
    <row r="153" spans="1:3" ht="13" x14ac:dyDescent="0.15">
      <c r="A153" s="10"/>
      <c r="B153" s="13"/>
      <c r="C153" s="13"/>
    </row>
    <row r="154" spans="1:3" ht="13" x14ac:dyDescent="0.15">
      <c r="A154" s="10"/>
      <c r="B154" s="13"/>
      <c r="C154" s="13"/>
    </row>
    <row r="155" spans="1:3" ht="13" x14ac:dyDescent="0.15">
      <c r="A155" s="10"/>
      <c r="B155" s="13"/>
      <c r="C155" s="13"/>
    </row>
    <row r="156" spans="1:3" ht="13" x14ac:dyDescent="0.15">
      <c r="A156" s="10"/>
      <c r="B156" s="13"/>
      <c r="C156" s="13"/>
    </row>
    <row r="157" spans="1:3" ht="13" x14ac:dyDescent="0.15">
      <c r="A157" s="10"/>
      <c r="B157" s="13"/>
      <c r="C157" s="13"/>
    </row>
    <row r="158" spans="1:3" ht="13" x14ac:dyDescent="0.15">
      <c r="A158" s="10"/>
      <c r="B158" s="13"/>
      <c r="C158" s="13"/>
    </row>
    <row r="159" spans="1:3" ht="13" x14ac:dyDescent="0.15">
      <c r="A159" s="10"/>
      <c r="B159" s="13"/>
      <c r="C159" s="13"/>
    </row>
    <row r="160" spans="1:3" ht="13" x14ac:dyDescent="0.15">
      <c r="A160" s="10"/>
      <c r="B160" s="13"/>
      <c r="C160" s="13"/>
    </row>
    <row r="161" spans="1:3" ht="13" x14ac:dyDescent="0.15">
      <c r="A161" s="10"/>
      <c r="B161" s="13"/>
      <c r="C161" s="13"/>
    </row>
    <row r="162" spans="1:3" ht="13" x14ac:dyDescent="0.15">
      <c r="A162" s="10"/>
      <c r="B162" s="13"/>
      <c r="C162" s="13"/>
    </row>
    <row r="163" spans="1:3" ht="13" x14ac:dyDescent="0.15">
      <c r="A163" s="10"/>
      <c r="B163" s="13"/>
      <c r="C163" s="13"/>
    </row>
    <row r="164" spans="1:3" ht="13" x14ac:dyDescent="0.15">
      <c r="A164" s="10"/>
      <c r="B164" s="13"/>
      <c r="C164" s="13"/>
    </row>
    <row r="165" spans="1:3" ht="13" x14ac:dyDescent="0.15">
      <c r="A165" s="10"/>
      <c r="B165" s="13"/>
      <c r="C165" s="13"/>
    </row>
    <row r="166" spans="1:3" ht="13" x14ac:dyDescent="0.15">
      <c r="A166" s="10"/>
      <c r="B166" s="13"/>
      <c r="C166" s="13"/>
    </row>
    <row r="167" spans="1:3" ht="13" x14ac:dyDescent="0.15">
      <c r="A167" s="10"/>
      <c r="B167" s="13"/>
      <c r="C167" s="13"/>
    </row>
    <row r="168" spans="1:3" ht="13" x14ac:dyDescent="0.15">
      <c r="A168" s="10"/>
      <c r="B168" s="13"/>
      <c r="C168" s="13"/>
    </row>
    <row r="169" spans="1:3" ht="13" x14ac:dyDescent="0.15">
      <c r="A169" s="10"/>
      <c r="B169" s="13"/>
      <c r="C169" s="13"/>
    </row>
    <row r="170" spans="1:3" ht="13" x14ac:dyDescent="0.15">
      <c r="A170" s="10"/>
      <c r="B170" s="13"/>
      <c r="C170" s="13"/>
    </row>
    <row r="171" spans="1:3" ht="13" x14ac:dyDescent="0.15">
      <c r="A171" s="10"/>
      <c r="B171" s="13"/>
      <c r="C171" s="13"/>
    </row>
    <row r="172" spans="1:3" ht="13" x14ac:dyDescent="0.15">
      <c r="A172" s="10"/>
      <c r="B172" s="13"/>
      <c r="C172" s="13"/>
    </row>
    <row r="173" spans="1:3" ht="13" x14ac:dyDescent="0.15">
      <c r="A173" s="10"/>
      <c r="B173" s="13"/>
      <c r="C173" s="13"/>
    </row>
    <row r="174" spans="1:3" ht="13" x14ac:dyDescent="0.15">
      <c r="A174" s="10"/>
      <c r="B174" s="13"/>
      <c r="C174" s="13"/>
    </row>
    <row r="175" spans="1:3" ht="13" x14ac:dyDescent="0.15">
      <c r="A175" s="10"/>
      <c r="B175" s="13"/>
      <c r="C175" s="13"/>
    </row>
    <row r="176" spans="1:3" ht="13" x14ac:dyDescent="0.15">
      <c r="A176" s="10"/>
      <c r="B176" s="13"/>
      <c r="C176" s="13"/>
    </row>
    <row r="177" spans="1:3" ht="13" x14ac:dyDescent="0.15">
      <c r="A177" s="10"/>
      <c r="B177" s="13"/>
      <c r="C177" s="13"/>
    </row>
    <row r="178" spans="1:3" ht="13" x14ac:dyDescent="0.15">
      <c r="A178" s="10"/>
      <c r="B178" s="13"/>
      <c r="C178" s="13"/>
    </row>
    <row r="179" spans="1:3" ht="13" x14ac:dyDescent="0.15">
      <c r="A179" s="10"/>
      <c r="B179" s="13"/>
      <c r="C179" s="13"/>
    </row>
    <row r="180" spans="1:3" ht="13" x14ac:dyDescent="0.15">
      <c r="A180" s="10"/>
      <c r="B180" s="13"/>
      <c r="C180" s="13"/>
    </row>
    <row r="181" spans="1:3" ht="13" x14ac:dyDescent="0.15">
      <c r="A181" s="10"/>
      <c r="B181" s="13"/>
      <c r="C181" s="13"/>
    </row>
    <row r="182" spans="1:3" ht="13" x14ac:dyDescent="0.15">
      <c r="A182" s="10"/>
      <c r="B182" s="13"/>
      <c r="C182" s="13"/>
    </row>
    <row r="183" spans="1:3" ht="13" x14ac:dyDescent="0.15">
      <c r="A183" s="10"/>
      <c r="B183" s="13"/>
      <c r="C183" s="13"/>
    </row>
    <row r="184" spans="1:3" ht="13" x14ac:dyDescent="0.15">
      <c r="A184" s="10"/>
      <c r="B184" s="13"/>
      <c r="C184" s="13"/>
    </row>
    <row r="185" spans="1:3" ht="13" x14ac:dyDescent="0.15">
      <c r="A185" s="10"/>
      <c r="B185" s="13"/>
      <c r="C185" s="13"/>
    </row>
    <row r="186" spans="1:3" ht="13" x14ac:dyDescent="0.15">
      <c r="A186" s="10"/>
      <c r="B186" s="13"/>
      <c r="C186" s="13"/>
    </row>
    <row r="187" spans="1:3" ht="13" x14ac:dyDescent="0.15">
      <c r="A187" s="10"/>
      <c r="B187" s="13"/>
      <c r="C187" s="13"/>
    </row>
    <row r="188" spans="1:3" ht="13" x14ac:dyDescent="0.15">
      <c r="A188" s="10"/>
      <c r="B188" s="13"/>
      <c r="C188" s="13"/>
    </row>
    <row r="189" spans="1:3" ht="13" x14ac:dyDescent="0.15">
      <c r="A189" s="10"/>
      <c r="B189" s="13"/>
      <c r="C189" s="13"/>
    </row>
    <row r="190" spans="1:3" ht="13" x14ac:dyDescent="0.15">
      <c r="A190" s="10"/>
      <c r="B190" s="13"/>
      <c r="C190" s="13"/>
    </row>
    <row r="191" spans="1:3" ht="13" x14ac:dyDescent="0.15">
      <c r="A191" s="10"/>
      <c r="B191" s="13"/>
      <c r="C191" s="13"/>
    </row>
    <row r="192" spans="1:3" ht="13" x14ac:dyDescent="0.15">
      <c r="A192" s="10"/>
      <c r="B192" s="13"/>
      <c r="C192" s="13"/>
    </row>
    <row r="193" spans="1:3" ht="13" x14ac:dyDescent="0.15">
      <c r="A193" s="10"/>
      <c r="B193" s="13"/>
      <c r="C193" s="13"/>
    </row>
    <row r="194" spans="1:3" ht="13" x14ac:dyDescent="0.15">
      <c r="A194" s="10"/>
      <c r="B194" s="13"/>
      <c r="C194" s="13"/>
    </row>
    <row r="195" spans="1:3" ht="13" x14ac:dyDescent="0.15">
      <c r="A195" s="10"/>
      <c r="B195" s="13"/>
      <c r="C195" s="13"/>
    </row>
    <row r="196" spans="1:3" ht="13" x14ac:dyDescent="0.15">
      <c r="A196" s="10"/>
      <c r="B196" s="13"/>
      <c r="C196" s="13"/>
    </row>
    <row r="197" spans="1:3" ht="13" x14ac:dyDescent="0.15">
      <c r="A197" s="10"/>
      <c r="B197" s="13"/>
      <c r="C197" s="13"/>
    </row>
    <row r="198" spans="1:3" ht="13" x14ac:dyDescent="0.15">
      <c r="A198" s="10"/>
      <c r="B198" s="13"/>
      <c r="C198" s="13"/>
    </row>
    <row r="199" spans="1:3" ht="13" x14ac:dyDescent="0.15">
      <c r="A199" s="10"/>
      <c r="B199" s="13"/>
      <c r="C199" s="13"/>
    </row>
    <row r="200" spans="1:3" ht="13" x14ac:dyDescent="0.15">
      <c r="A200" s="10"/>
      <c r="B200" s="13"/>
      <c r="C200" s="13"/>
    </row>
    <row r="201" spans="1:3" ht="13" x14ac:dyDescent="0.15">
      <c r="A201" s="10"/>
      <c r="B201" s="13"/>
      <c r="C201" s="13"/>
    </row>
    <row r="202" spans="1:3" ht="13" x14ac:dyDescent="0.15">
      <c r="A202" s="10"/>
      <c r="B202" s="13"/>
      <c r="C202" s="13"/>
    </row>
    <row r="203" spans="1:3" ht="13" x14ac:dyDescent="0.15">
      <c r="A203" s="10"/>
      <c r="B203" s="13"/>
      <c r="C203" s="13"/>
    </row>
    <row r="204" spans="1:3" ht="13" x14ac:dyDescent="0.15">
      <c r="A204" s="10"/>
      <c r="B204" s="13"/>
      <c r="C204" s="13"/>
    </row>
    <row r="205" spans="1:3" ht="13" x14ac:dyDescent="0.15">
      <c r="A205" s="10"/>
      <c r="B205" s="13"/>
      <c r="C205" s="13"/>
    </row>
    <row r="206" spans="1:3" ht="13" x14ac:dyDescent="0.15">
      <c r="A206" s="10"/>
      <c r="B206" s="13"/>
      <c r="C206" s="13"/>
    </row>
    <row r="207" spans="1:3" ht="13" x14ac:dyDescent="0.15">
      <c r="A207" s="10"/>
      <c r="B207" s="13"/>
      <c r="C207" s="13"/>
    </row>
    <row r="208" spans="1:3" ht="13" x14ac:dyDescent="0.15">
      <c r="A208" s="10"/>
      <c r="B208" s="13"/>
      <c r="C208" s="13"/>
    </row>
    <row r="209" spans="1:3" ht="13" x14ac:dyDescent="0.15">
      <c r="A209" s="10"/>
      <c r="B209" s="13"/>
      <c r="C209" s="13"/>
    </row>
    <row r="210" spans="1:3" ht="13" x14ac:dyDescent="0.15">
      <c r="A210" s="10"/>
      <c r="B210" s="13"/>
      <c r="C210" s="13"/>
    </row>
    <row r="211" spans="1:3" ht="13" x14ac:dyDescent="0.15">
      <c r="A211" s="10"/>
      <c r="B211" s="13"/>
      <c r="C211" s="13"/>
    </row>
    <row r="212" spans="1:3" ht="13" x14ac:dyDescent="0.15">
      <c r="A212" s="10"/>
      <c r="B212" s="13"/>
      <c r="C212" s="13"/>
    </row>
    <row r="213" spans="1:3" ht="13" x14ac:dyDescent="0.15">
      <c r="A213" s="10"/>
      <c r="B213" s="13"/>
      <c r="C213" s="13"/>
    </row>
    <row r="214" spans="1:3" ht="13" x14ac:dyDescent="0.15">
      <c r="A214" s="10"/>
      <c r="B214" s="13"/>
      <c r="C214" s="13"/>
    </row>
    <row r="215" spans="1:3" ht="13" x14ac:dyDescent="0.15">
      <c r="A215" s="10"/>
      <c r="B215" s="13"/>
      <c r="C215" s="13"/>
    </row>
    <row r="216" spans="1:3" ht="13" x14ac:dyDescent="0.15">
      <c r="A216" s="10"/>
      <c r="B216" s="13"/>
      <c r="C216" s="13"/>
    </row>
    <row r="217" spans="1:3" ht="13" x14ac:dyDescent="0.15">
      <c r="A217" s="10"/>
      <c r="B217" s="13"/>
      <c r="C217" s="13"/>
    </row>
    <row r="218" spans="1:3" ht="13" x14ac:dyDescent="0.15">
      <c r="A218" s="10"/>
      <c r="B218" s="13"/>
      <c r="C218" s="13"/>
    </row>
    <row r="219" spans="1:3" ht="13" x14ac:dyDescent="0.15">
      <c r="A219" s="10"/>
      <c r="B219" s="13"/>
      <c r="C219" s="13"/>
    </row>
    <row r="220" spans="1:3" ht="13" x14ac:dyDescent="0.15">
      <c r="A220" s="10"/>
      <c r="B220" s="13"/>
      <c r="C220" s="13"/>
    </row>
    <row r="221" spans="1:3" ht="13" x14ac:dyDescent="0.15">
      <c r="A221" s="10"/>
      <c r="B221" s="13"/>
      <c r="C221" s="13"/>
    </row>
    <row r="222" spans="1:3" ht="13" x14ac:dyDescent="0.15">
      <c r="A222" s="10"/>
      <c r="B222" s="13"/>
      <c r="C222" s="13"/>
    </row>
    <row r="223" spans="1:3" ht="13" x14ac:dyDescent="0.15">
      <c r="A223" s="10"/>
      <c r="B223" s="13"/>
      <c r="C223" s="13"/>
    </row>
    <row r="224" spans="1:3" ht="13" x14ac:dyDescent="0.15">
      <c r="A224" s="10"/>
      <c r="B224" s="13"/>
      <c r="C224" s="13"/>
    </row>
    <row r="225" spans="1:3" ht="13" x14ac:dyDescent="0.15">
      <c r="A225" s="10"/>
      <c r="B225" s="13"/>
      <c r="C225" s="13"/>
    </row>
    <row r="226" spans="1:3" ht="13" x14ac:dyDescent="0.15">
      <c r="A226" s="10"/>
      <c r="B226" s="13"/>
      <c r="C226" s="13"/>
    </row>
    <row r="227" spans="1:3" ht="13" x14ac:dyDescent="0.15">
      <c r="A227" s="10"/>
      <c r="B227" s="13"/>
      <c r="C227" s="13"/>
    </row>
    <row r="228" spans="1:3" ht="13" x14ac:dyDescent="0.15">
      <c r="A228" s="10"/>
      <c r="B228" s="13"/>
      <c r="C228" s="13"/>
    </row>
    <row r="229" spans="1:3" ht="13" x14ac:dyDescent="0.15">
      <c r="A229" s="10"/>
      <c r="B229" s="13"/>
      <c r="C229" s="13"/>
    </row>
    <row r="230" spans="1:3" ht="13" x14ac:dyDescent="0.15">
      <c r="A230" s="10"/>
      <c r="B230" s="13"/>
      <c r="C230" s="13"/>
    </row>
    <row r="231" spans="1:3" ht="13" x14ac:dyDescent="0.15">
      <c r="A231" s="10"/>
      <c r="B231" s="13"/>
      <c r="C231" s="13"/>
    </row>
    <row r="232" spans="1:3" ht="13" x14ac:dyDescent="0.15">
      <c r="A232" s="10"/>
      <c r="B232" s="13"/>
      <c r="C232" s="13"/>
    </row>
    <row r="233" spans="1:3" ht="13" x14ac:dyDescent="0.15">
      <c r="A233" s="10"/>
      <c r="B233" s="13"/>
      <c r="C233" s="13"/>
    </row>
    <row r="234" spans="1:3" ht="13" x14ac:dyDescent="0.15">
      <c r="A234" s="10"/>
      <c r="B234" s="13"/>
      <c r="C234" s="13"/>
    </row>
    <row r="235" spans="1:3" ht="13" x14ac:dyDescent="0.15">
      <c r="A235" s="10"/>
      <c r="B235" s="13"/>
      <c r="C235" s="13"/>
    </row>
    <row r="236" spans="1:3" ht="13" x14ac:dyDescent="0.15">
      <c r="A236" s="10"/>
      <c r="B236" s="13"/>
      <c r="C236" s="13"/>
    </row>
    <row r="237" spans="1:3" ht="13" x14ac:dyDescent="0.15">
      <c r="A237" s="10"/>
      <c r="B237" s="13"/>
      <c r="C237" s="13"/>
    </row>
    <row r="238" spans="1:3" ht="13" x14ac:dyDescent="0.15">
      <c r="A238" s="10"/>
      <c r="B238" s="13"/>
      <c r="C238" s="13"/>
    </row>
    <row r="239" spans="1:3" ht="13" x14ac:dyDescent="0.15">
      <c r="A239" s="10"/>
      <c r="B239" s="13"/>
      <c r="C239" s="13"/>
    </row>
    <row r="240" spans="1:3" ht="13" x14ac:dyDescent="0.15">
      <c r="A240" s="10"/>
      <c r="B240" s="13"/>
      <c r="C240" s="13"/>
    </row>
    <row r="241" spans="1:3" ht="13" x14ac:dyDescent="0.15">
      <c r="A241" s="10"/>
      <c r="B241" s="13"/>
      <c r="C241" s="13"/>
    </row>
    <row r="242" spans="1:3" ht="13" x14ac:dyDescent="0.15">
      <c r="A242" s="10"/>
      <c r="B242" s="13"/>
      <c r="C242" s="13"/>
    </row>
    <row r="243" spans="1:3" ht="13" x14ac:dyDescent="0.15">
      <c r="A243" s="10"/>
      <c r="B243" s="13"/>
      <c r="C243" s="13"/>
    </row>
    <row r="244" spans="1:3" ht="13" x14ac:dyDescent="0.15">
      <c r="A244" s="10"/>
      <c r="B244" s="13"/>
      <c r="C244" s="13"/>
    </row>
    <row r="245" spans="1:3" ht="13" x14ac:dyDescent="0.15">
      <c r="A245" s="10"/>
      <c r="B245" s="13"/>
      <c r="C245" s="13"/>
    </row>
    <row r="246" spans="1:3" ht="13" x14ac:dyDescent="0.15">
      <c r="A246" s="10"/>
      <c r="B246" s="13"/>
      <c r="C246" s="13"/>
    </row>
    <row r="247" spans="1:3" ht="13" x14ac:dyDescent="0.15">
      <c r="A247" s="10"/>
      <c r="B247" s="13"/>
      <c r="C247" s="13"/>
    </row>
    <row r="248" spans="1:3" ht="13" x14ac:dyDescent="0.15">
      <c r="A248" s="10"/>
      <c r="B248" s="13"/>
      <c r="C248" s="13"/>
    </row>
    <row r="249" spans="1:3" ht="13" x14ac:dyDescent="0.15">
      <c r="A249" s="10"/>
      <c r="B249" s="13"/>
      <c r="C249" s="13"/>
    </row>
    <row r="250" spans="1:3" ht="13" x14ac:dyDescent="0.15">
      <c r="A250" s="10"/>
      <c r="B250" s="13"/>
      <c r="C250" s="13"/>
    </row>
    <row r="251" spans="1:3" ht="13" x14ac:dyDescent="0.15">
      <c r="A251" s="10"/>
      <c r="B251" s="13"/>
      <c r="C251" s="13"/>
    </row>
    <row r="252" spans="1:3" ht="13" x14ac:dyDescent="0.15">
      <c r="A252" s="10"/>
      <c r="B252" s="13"/>
      <c r="C252" s="13"/>
    </row>
    <row r="253" spans="1:3" ht="13" x14ac:dyDescent="0.15">
      <c r="A253" s="10"/>
      <c r="B253" s="13"/>
      <c r="C253" s="13"/>
    </row>
    <row r="254" spans="1:3" ht="13" x14ac:dyDescent="0.15">
      <c r="A254" s="10"/>
      <c r="B254" s="13"/>
      <c r="C254" s="13"/>
    </row>
    <row r="255" spans="1:3" ht="13" x14ac:dyDescent="0.15">
      <c r="A255" s="10"/>
      <c r="B255" s="13"/>
      <c r="C255" s="13"/>
    </row>
    <row r="256" spans="1:3" ht="13" x14ac:dyDescent="0.15">
      <c r="A256" s="10"/>
      <c r="B256" s="13"/>
      <c r="C256" s="13"/>
    </row>
    <row r="257" spans="1:3" ht="13" x14ac:dyDescent="0.15">
      <c r="A257" s="10"/>
      <c r="B257" s="13"/>
      <c r="C257" s="13"/>
    </row>
    <row r="258" spans="1:3" ht="13" x14ac:dyDescent="0.15">
      <c r="A258" s="10"/>
      <c r="B258" s="13"/>
      <c r="C258" s="13"/>
    </row>
    <row r="259" spans="1:3" ht="13" x14ac:dyDescent="0.15">
      <c r="A259" s="10"/>
      <c r="B259" s="13"/>
      <c r="C259" s="13"/>
    </row>
    <row r="260" spans="1:3" ht="13" x14ac:dyDescent="0.15">
      <c r="A260" s="10"/>
      <c r="B260" s="13"/>
      <c r="C260" s="13"/>
    </row>
    <row r="261" spans="1:3" ht="13" x14ac:dyDescent="0.15">
      <c r="A261" s="10"/>
      <c r="B261" s="13"/>
      <c r="C261" s="13"/>
    </row>
    <row r="262" spans="1:3" ht="13" x14ac:dyDescent="0.15">
      <c r="A262" s="10"/>
      <c r="B262" s="13"/>
      <c r="C262" s="13"/>
    </row>
    <row r="263" spans="1:3" ht="13" x14ac:dyDescent="0.15">
      <c r="A263" s="10"/>
      <c r="B263" s="13"/>
      <c r="C263" s="13"/>
    </row>
    <row r="264" spans="1:3" ht="13" x14ac:dyDescent="0.15">
      <c r="A264" s="10"/>
      <c r="B264" s="13"/>
      <c r="C264" s="13"/>
    </row>
    <row r="265" spans="1:3" ht="13" x14ac:dyDescent="0.15">
      <c r="A265" s="10"/>
      <c r="B265" s="13"/>
      <c r="C265" s="13"/>
    </row>
    <row r="266" spans="1:3" ht="13" x14ac:dyDescent="0.15">
      <c r="A266" s="10"/>
      <c r="B266" s="13"/>
      <c r="C266" s="13"/>
    </row>
    <row r="267" spans="1:3" ht="13" x14ac:dyDescent="0.15">
      <c r="A267" s="10"/>
      <c r="B267" s="13"/>
      <c r="C267" s="13"/>
    </row>
    <row r="268" spans="1:3" ht="13" x14ac:dyDescent="0.15">
      <c r="A268" s="10"/>
      <c r="B268" s="13"/>
      <c r="C268" s="13"/>
    </row>
    <row r="269" spans="1:3" ht="13" x14ac:dyDescent="0.15">
      <c r="A269" s="10"/>
      <c r="B269" s="13"/>
      <c r="C269" s="13"/>
    </row>
    <row r="270" spans="1:3" ht="13" x14ac:dyDescent="0.15">
      <c r="A270" s="10"/>
      <c r="B270" s="13"/>
      <c r="C270" s="13"/>
    </row>
    <row r="271" spans="1:3" ht="13" x14ac:dyDescent="0.15">
      <c r="A271" s="10"/>
      <c r="B271" s="13"/>
      <c r="C271" s="13"/>
    </row>
    <row r="272" spans="1:3" ht="13" x14ac:dyDescent="0.15">
      <c r="A272" s="10"/>
      <c r="B272" s="13"/>
      <c r="C272" s="13"/>
    </row>
    <row r="273" spans="1:3" ht="13" x14ac:dyDescent="0.15">
      <c r="A273" s="10"/>
      <c r="B273" s="13"/>
      <c r="C273" s="13"/>
    </row>
    <row r="274" spans="1:3" ht="13" x14ac:dyDescent="0.15">
      <c r="A274" s="10"/>
      <c r="B274" s="13"/>
      <c r="C274" s="13"/>
    </row>
    <row r="275" spans="1:3" ht="13" x14ac:dyDescent="0.15">
      <c r="A275" s="10"/>
      <c r="B275" s="13"/>
      <c r="C275" s="13"/>
    </row>
    <row r="276" spans="1:3" ht="13" x14ac:dyDescent="0.15">
      <c r="A276" s="10"/>
      <c r="B276" s="13"/>
      <c r="C276" s="13"/>
    </row>
    <row r="277" spans="1:3" ht="13" x14ac:dyDescent="0.15">
      <c r="A277" s="10"/>
      <c r="B277" s="13"/>
      <c r="C277" s="13"/>
    </row>
    <row r="278" spans="1:3" ht="13" x14ac:dyDescent="0.15">
      <c r="A278" s="10"/>
      <c r="B278" s="13"/>
      <c r="C278" s="13"/>
    </row>
    <row r="279" spans="1:3" ht="13" x14ac:dyDescent="0.15">
      <c r="A279" s="10"/>
      <c r="B279" s="13"/>
      <c r="C279" s="13"/>
    </row>
    <row r="280" spans="1:3" ht="13" x14ac:dyDescent="0.15">
      <c r="A280" s="10"/>
      <c r="B280" s="13"/>
      <c r="C280" s="13"/>
    </row>
    <row r="281" spans="1:3" ht="13" x14ac:dyDescent="0.15">
      <c r="A281" s="10"/>
      <c r="B281" s="13"/>
      <c r="C281" s="13"/>
    </row>
    <row r="282" spans="1:3" ht="13" x14ac:dyDescent="0.15">
      <c r="A282" s="10"/>
      <c r="B282" s="13"/>
      <c r="C282" s="13"/>
    </row>
    <row r="283" spans="1:3" ht="13" x14ac:dyDescent="0.15">
      <c r="A283" s="10"/>
      <c r="B283" s="13"/>
      <c r="C283" s="13"/>
    </row>
    <row r="284" spans="1:3" ht="13" x14ac:dyDescent="0.15">
      <c r="A284" s="10"/>
      <c r="B284" s="13"/>
      <c r="C284" s="13"/>
    </row>
    <row r="285" spans="1:3" ht="13" x14ac:dyDescent="0.15">
      <c r="A285" s="10"/>
      <c r="B285" s="13"/>
      <c r="C285" s="13"/>
    </row>
    <row r="286" spans="1:3" ht="13" x14ac:dyDescent="0.15">
      <c r="A286" s="10"/>
      <c r="B286" s="13"/>
      <c r="C286" s="13"/>
    </row>
    <row r="287" spans="1:3" ht="13" x14ac:dyDescent="0.15">
      <c r="A287" s="10"/>
      <c r="B287" s="13"/>
      <c r="C287" s="13"/>
    </row>
    <row r="288" spans="1:3" ht="13" x14ac:dyDescent="0.15">
      <c r="A288" s="10"/>
      <c r="B288" s="13"/>
      <c r="C288" s="13"/>
    </row>
    <row r="289" spans="1:3" ht="13" x14ac:dyDescent="0.15">
      <c r="A289" s="10"/>
      <c r="B289" s="13"/>
      <c r="C289" s="13"/>
    </row>
    <row r="290" spans="1:3" ht="13" x14ac:dyDescent="0.15">
      <c r="A290" s="10"/>
      <c r="B290" s="13"/>
      <c r="C290" s="13"/>
    </row>
    <row r="291" spans="1:3" ht="13" x14ac:dyDescent="0.15">
      <c r="A291" s="10"/>
      <c r="B291" s="13"/>
      <c r="C291" s="13"/>
    </row>
    <row r="292" spans="1:3" ht="13" x14ac:dyDescent="0.15">
      <c r="A292" s="10"/>
      <c r="B292" s="13"/>
      <c r="C292" s="13"/>
    </row>
    <row r="293" spans="1:3" ht="13" x14ac:dyDescent="0.15">
      <c r="A293" s="10"/>
      <c r="B293" s="13"/>
      <c r="C293" s="13"/>
    </row>
    <row r="294" spans="1:3" ht="13" x14ac:dyDescent="0.15">
      <c r="A294" s="10"/>
      <c r="B294" s="13"/>
      <c r="C294" s="13"/>
    </row>
    <row r="295" spans="1:3" ht="13" x14ac:dyDescent="0.15">
      <c r="A295" s="10"/>
      <c r="B295" s="13"/>
      <c r="C295" s="13"/>
    </row>
    <row r="296" spans="1:3" ht="13" x14ac:dyDescent="0.15">
      <c r="A296" s="10"/>
      <c r="B296" s="13"/>
      <c r="C296" s="13"/>
    </row>
    <row r="297" spans="1:3" ht="13" x14ac:dyDescent="0.15">
      <c r="A297" s="10"/>
      <c r="B297" s="13"/>
      <c r="C297" s="13"/>
    </row>
    <row r="298" spans="1:3" ht="13" x14ac:dyDescent="0.15">
      <c r="A298" s="10"/>
      <c r="B298" s="13"/>
      <c r="C298" s="13"/>
    </row>
    <row r="299" spans="1:3" ht="13" x14ac:dyDescent="0.15">
      <c r="A299" s="10"/>
      <c r="B299" s="13"/>
      <c r="C299" s="13"/>
    </row>
    <row r="300" spans="1:3" ht="13" x14ac:dyDescent="0.15">
      <c r="A300" s="10"/>
      <c r="B300" s="13"/>
      <c r="C300" s="13"/>
    </row>
    <row r="301" spans="1:3" ht="13" x14ac:dyDescent="0.15">
      <c r="A301" s="10"/>
      <c r="B301" s="13"/>
      <c r="C301" s="13"/>
    </row>
    <row r="302" spans="1:3" ht="13" x14ac:dyDescent="0.15">
      <c r="A302" s="10"/>
      <c r="B302" s="13"/>
      <c r="C302" s="13"/>
    </row>
    <row r="303" spans="1:3" ht="13" x14ac:dyDescent="0.15">
      <c r="A303" s="10"/>
      <c r="B303" s="13"/>
      <c r="C303" s="13"/>
    </row>
    <row r="304" spans="1:3" ht="13" x14ac:dyDescent="0.15">
      <c r="A304" s="10"/>
      <c r="B304" s="13"/>
      <c r="C304" s="13"/>
    </row>
    <row r="305" spans="1:3" ht="13" x14ac:dyDescent="0.15">
      <c r="A305" s="10"/>
      <c r="B305" s="13"/>
      <c r="C305" s="13"/>
    </row>
    <row r="306" spans="1:3" ht="13" x14ac:dyDescent="0.15">
      <c r="A306" s="10"/>
      <c r="B306" s="13"/>
      <c r="C306" s="13"/>
    </row>
    <row r="307" spans="1:3" ht="13" x14ac:dyDescent="0.15">
      <c r="A307" s="10"/>
      <c r="B307" s="13"/>
      <c r="C307" s="13"/>
    </row>
    <row r="308" spans="1:3" ht="13" x14ac:dyDescent="0.15">
      <c r="A308" s="10"/>
      <c r="B308" s="13"/>
      <c r="C308" s="13"/>
    </row>
    <row r="309" spans="1:3" ht="13" x14ac:dyDescent="0.15">
      <c r="A309" s="10"/>
      <c r="B309" s="13"/>
      <c r="C309" s="13"/>
    </row>
    <row r="310" spans="1:3" ht="13" x14ac:dyDescent="0.15">
      <c r="A310" s="10"/>
      <c r="B310" s="13"/>
      <c r="C310" s="13"/>
    </row>
    <row r="311" spans="1:3" ht="13" x14ac:dyDescent="0.15">
      <c r="A311" s="10"/>
      <c r="B311" s="13"/>
      <c r="C311" s="13"/>
    </row>
    <row r="312" spans="1:3" ht="13" x14ac:dyDescent="0.15">
      <c r="A312" s="10"/>
      <c r="B312" s="13"/>
      <c r="C312" s="13"/>
    </row>
    <row r="313" spans="1:3" ht="13" x14ac:dyDescent="0.15">
      <c r="A313" s="10"/>
      <c r="B313" s="13"/>
      <c r="C313" s="13"/>
    </row>
    <row r="314" spans="1:3" ht="13" x14ac:dyDescent="0.15">
      <c r="A314" s="10"/>
      <c r="B314" s="13"/>
      <c r="C314" s="13"/>
    </row>
    <row r="315" spans="1:3" ht="13" x14ac:dyDescent="0.15">
      <c r="A315" s="10"/>
      <c r="B315" s="13"/>
      <c r="C315" s="13"/>
    </row>
    <row r="316" spans="1:3" ht="13" x14ac:dyDescent="0.15">
      <c r="A316" s="10"/>
      <c r="B316" s="13"/>
      <c r="C316" s="13"/>
    </row>
    <row r="317" spans="1:3" ht="13" x14ac:dyDescent="0.15">
      <c r="A317" s="10"/>
      <c r="B317" s="13"/>
      <c r="C317" s="13"/>
    </row>
    <row r="318" spans="1:3" ht="13" x14ac:dyDescent="0.15">
      <c r="A318" s="10"/>
      <c r="B318" s="13"/>
      <c r="C318" s="13"/>
    </row>
    <row r="319" spans="1:3" ht="13" x14ac:dyDescent="0.15">
      <c r="A319" s="10"/>
      <c r="B319" s="13"/>
      <c r="C319" s="13"/>
    </row>
    <row r="320" spans="1:3" ht="13" x14ac:dyDescent="0.15">
      <c r="A320" s="10"/>
      <c r="B320" s="13"/>
      <c r="C320" s="13"/>
    </row>
    <row r="321" spans="1:3" ht="13" x14ac:dyDescent="0.15">
      <c r="A321" s="10"/>
      <c r="B321" s="13"/>
      <c r="C321" s="13"/>
    </row>
    <row r="322" spans="1:3" ht="13" x14ac:dyDescent="0.15">
      <c r="A322" s="10"/>
      <c r="B322" s="13"/>
      <c r="C322" s="13"/>
    </row>
    <row r="323" spans="1:3" ht="13" x14ac:dyDescent="0.15">
      <c r="A323" s="10"/>
      <c r="B323" s="13"/>
      <c r="C323" s="13"/>
    </row>
    <row r="324" spans="1:3" ht="13" x14ac:dyDescent="0.15">
      <c r="A324" s="10"/>
      <c r="B324" s="13"/>
      <c r="C324" s="13"/>
    </row>
    <row r="325" spans="1:3" ht="13" x14ac:dyDescent="0.15">
      <c r="A325" s="10"/>
      <c r="B325" s="13"/>
      <c r="C325" s="13"/>
    </row>
    <row r="326" spans="1:3" ht="13" x14ac:dyDescent="0.15">
      <c r="A326" s="10"/>
      <c r="B326" s="13"/>
      <c r="C326" s="13"/>
    </row>
    <row r="327" spans="1:3" ht="13" x14ac:dyDescent="0.15">
      <c r="A327" s="10"/>
      <c r="B327" s="13"/>
      <c r="C327" s="13"/>
    </row>
    <row r="328" spans="1:3" ht="13" x14ac:dyDescent="0.15">
      <c r="A328" s="10"/>
      <c r="B328" s="13"/>
      <c r="C328" s="13"/>
    </row>
    <row r="329" spans="1:3" ht="13" x14ac:dyDescent="0.15">
      <c r="A329" s="10"/>
      <c r="B329" s="13"/>
      <c r="C329" s="13"/>
    </row>
    <row r="330" spans="1:3" ht="13" x14ac:dyDescent="0.15">
      <c r="A330" s="10"/>
      <c r="B330" s="13"/>
      <c r="C330" s="13"/>
    </row>
    <row r="331" spans="1:3" ht="13" x14ac:dyDescent="0.15">
      <c r="A331" s="10"/>
      <c r="B331" s="13"/>
      <c r="C331" s="13"/>
    </row>
    <row r="332" spans="1:3" ht="13" x14ac:dyDescent="0.15">
      <c r="A332" s="10"/>
      <c r="B332" s="13"/>
      <c r="C332" s="13"/>
    </row>
    <row r="333" spans="1:3" ht="13" x14ac:dyDescent="0.15">
      <c r="A333" s="10"/>
      <c r="B333" s="13"/>
      <c r="C333" s="13"/>
    </row>
    <row r="334" spans="1:3" ht="13" x14ac:dyDescent="0.15">
      <c r="A334" s="10"/>
      <c r="B334" s="13"/>
      <c r="C334" s="13"/>
    </row>
    <row r="335" spans="1:3" ht="13" x14ac:dyDescent="0.15">
      <c r="A335" s="10"/>
      <c r="B335" s="13"/>
      <c r="C335" s="13"/>
    </row>
    <row r="336" spans="1:3" ht="13" x14ac:dyDescent="0.15">
      <c r="A336" s="10"/>
      <c r="B336" s="13"/>
      <c r="C336" s="13"/>
    </row>
    <row r="337" spans="1:3" ht="13" x14ac:dyDescent="0.15">
      <c r="A337" s="10"/>
      <c r="B337" s="13"/>
      <c r="C337" s="13"/>
    </row>
    <row r="338" spans="1:3" ht="13" x14ac:dyDescent="0.15">
      <c r="A338" s="10"/>
      <c r="B338" s="13"/>
      <c r="C338" s="13"/>
    </row>
    <row r="339" spans="1:3" ht="13" x14ac:dyDescent="0.15">
      <c r="A339" s="10"/>
      <c r="B339" s="13"/>
      <c r="C339" s="13"/>
    </row>
    <row r="340" spans="1:3" ht="13" x14ac:dyDescent="0.15">
      <c r="A340" s="10"/>
      <c r="B340" s="13"/>
      <c r="C340" s="13"/>
    </row>
    <row r="341" spans="1:3" ht="13" x14ac:dyDescent="0.15">
      <c r="A341" s="10"/>
      <c r="B341" s="13"/>
      <c r="C341" s="13"/>
    </row>
    <row r="342" spans="1:3" ht="13" x14ac:dyDescent="0.15">
      <c r="A342" s="10"/>
      <c r="B342" s="13"/>
      <c r="C342" s="13"/>
    </row>
    <row r="343" spans="1:3" ht="13" x14ac:dyDescent="0.15">
      <c r="A343" s="10"/>
      <c r="B343" s="13"/>
      <c r="C343" s="13"/>
    </row>
    <row r="344" spans="1:3" ht="13" x14ac:dyDescent="0.15">
      <c r="A344" s="10"/>
      <c r="B344" s="13"/>
      <c r="C344" s="13"/>
    </row>
    <row r="345" spans="1:3" ht="13" x14ac:dyDescent="0.15">
      <c r="A345" s="10"/>
      <c r="B345" s="13"/>
      <c r="C345" s="13"/>
    </row>
    <row r="346" spans="1:3" ht="13" x14ac:dyDescent="0.15">
      <c r="A346" s="10"/>
      <c r="B346" s="13"/>
      <c r="C346" s="13"/>
    </row>
    <row r="347" spans="1:3" ht="13" x14ac:dyDescent="0.15">
      <c r="A347" s="10"/>
      <c r="B347" s="13"/>
      <c r="C347" s="13"/>
    </row>
    <row r="348" spans="1:3" ht="13" x14ac:dyDescent="0.15">
      <c r="A348" s="10"/>
      <c r="B348" s="13"/>
      <c r="C348" s="13"/>
    </row>
    <row r="349" spans="1:3" ht="13" x14ac:dyDescent="0.15">
      <c r="A349" s="10"/>
      <c r="B349" s="13"/>
      <c r="C349" s="13"/>
    </row>
    <row r="350" spans="1:3" ht="13" x14ac:dyDescent="0.15">
      <c r="A350" s="10"/>
      <c r="B350" s="13"/>
      <c r="C350" s="13"/>
    </row>
    <row r="351" spans="1:3" ht="13" x14ac:dyDescent="0.15">
      <c r="A351" s="10"/>
      <c r="B351" s="13"/>
      <c r="C351" s="13"/>
    </row>
    <row r="352" spans="1:3" ht="13" x14ac:dyDescent="0.15">
      <c r="A352" s="10"/>
      <c r="B352" s="13"/>
      <c r="C352" s="13"/>
    </row>
    <row r="353" spans="1:3" ht="13" x14ac:dyDescent="0.15">
      <c r="A353" s="10"/>
      <c r="B353" s="13"/>
      <c r="C353" s="13"/>
    </row>
    <row r="354" spans="1:3" ht="13" x14ac:dyDescent="0.15">
      <c r="A354" s="10"/>
      <c r="B354" s="13"/>
      <c r="C354" s="13"/>
    </row>
    <row r="355" spans="1:3" ht="13" x14ac:dyDescent="0.15">
      <c r="A355" s="10"/>
      <c r="B355" s="13"/>
      <c r="C355" s="13"/>
    </row>
    <row r="356" spans="1:3" ht="13" x14ac:dyDescent="0.15">
      <c r="A356" s="10"/>
      <c r="B356" s="13"/>
      <c r="C356" s="13"/>
    </row>
    <row r="357" spans="1:3" ht="13" x14ac:dyDescent="0.15">
      <c r="A357" s="10"/>
      <c r="B357" s="13"/>
      <c r="C357" s="13"/>
    </row>
    <row r="358" spans="1:3" ht="13" x14ac:dyDescent="0.15">
      <c r="A358" s="10"/>
      <c r="B358" s="13"/>
      <c r="C358" s="13"/>
    </row>
    <row r="359" spans="1:3" ht="13" x14ac:dyDescent="0.15">
      <c r="A359" s="10"/>
      <c r="B359" s="13"/>
      <c r="C359" s="13"/>
    </row>
    <row r="360" spans="1:3" ht="13" x14ac:dyDescent="0.15">
      <c r="A360" s="10"/>
      <c r="B360" s="13"/>
      <c r="C360" s="13"/>
    </row>
    <row r="361" spans="1:3" ht="13" x14ac:dyDescent="0.15">
      <c r="A361" s="10"/>
      <c r="B361" s="13"/>
      <c r="C361" s="13"/>
    </row>
    <row r="362" spans="1:3" ht="13" x14ac:dyDescent="0.15">
      <c r="A362" s="10"/>
      <c r="B362" s="13"/>
      <c r="C362" s="13"/>
    </row>
    <row r="363" spans="1:3" ht="13" x14ac:dyDescent="0.15">
      <c r="A363" s="10"/>
      <c r="B363" s="13"/>
      <c r="C363" s="13"/>
    </row>
    <row r="364" spans="1:3" ht="13" x14ac:dyDescent="0.15">
      <c r="A364" s="10"/>
      <c r="B364" s="13"/>
      <c r="C364" s="13"/>
    </row>
    <row r="365" spans="1:3" ht="13" x14ac:dyDescent="0.15">
      <c r="A365" s="10"/>
      <c r="B365" s="13"/>
      <c r="C365" s="13"/>
    </row>
    <row r="366" spans="1:3" ht="13" x14ac:dyDescent="0.15">
      <c r="A366" s="10"/>
      <c r="B366" s="13"/>
      <c r="C366" s="13"/>
    </row>
    <row r="367" spans="1:3" ht="13" x14ac:dyDescent="0.15">
      <c r="A367" s="10"/>
      <c r="B367" s="13"/>
      <c r="C367" s="13"/>
    </row>
    <row r="368" spans="1:3" ht="13" x14ac:dyDescent="0.15">
      <c r="A368" s="10"/>
      <c r="B368" s="13"/>
      <c r="C368" s="13"/>
    </row>
    <row r="369" spans="1:3" ht="13" x14ac:dyDescent="0.15">
      <c r="A369" s="10"/>
      <c r="B369" s="13"/>
      <c r="C369" s="13"/>
    </row>
    <row r="370" spans="1:3" ht="13" x14ac:dyDescent="0.15">
      <c r="A370" s="10"/>
      <c r="B370" s="13"/>
      <c r="C370" s="13"/>
    </row>
    <row r="371" spans="1:3" ht="13" x14ac:dyDescent="0.15">
      <c r="A371" s="10"/>
      <c r="B371" s="13"/>
      <c r="C371" s="13"/>
    </row>
    <row r="372" spans="1:3" ht="13" x14ac:dyDescent="0.15">
      <c r="A372" s="10"/>
      <c r="B372" s="13"/>
      <c r="C372" s="13"/>
    </row>
    <row r="373" spans="1:3" ht="13" x14ac:dyDescent="0.15">
      <c r="A373" s="10"/>
      <c r="B373" s="13"/>
      <c r="C373" s="13"/>
    </row>
    <row r="374" spans="1:3" ht="13" x14ac:dyDescent="0.15">
      <c r="A374" s="10"/>
      <c r="B374" s="13"/>
      <c r="C374" s="13"/>
    </row>
    <row r="375" spans="1:3" ht="13" x14ac:dyDescent="0.15">
      <c r="A375" s="10"/>
      <c r="B375" s="13"/>
      <c r="C375" s="13"/>
    </row>
    <row r="376" spans="1:3" ht="13" x14ac:dyDescent="0.15">
      <c r="A376" s="10"/>
      <c r="B376" s="13"/>
      <c r="C376" s="13"/>
    </row>
    <row r="377" spans="1:3" ht="13" x14ac:dyDescent="0.15">
      <c r="A377" s="10"/>
      <c r="B377" s="13"/>
      <c r="C377" s="13"/>
    </row>
    <row r="378" spans="1:3" ht="13" x14ac:dyDescent="0.15">
      <c r="A378" s="10"/>
      <c r="B378" s="13"/>
      <c r="C378" s="13"/>
    </row>
    <row r="379" spans="1:3" ht="13" x14ac:dyDescent="0.15">
      <c r="A379" s="10"/>
      <c r="B379" s="13"/>
      <c r="C379" s="13"/>
    </row>
    <row r="380" spans="1:3" ht="13" x14ac:dyDescent="0.15">
      <c r="A380" s="10"/>
      <c r="B380" s="13"/>
      <c r="C380" s="13"/>
    </row>
    <row r="381" spans="1:3" ht="13" x14ac:dyDescent="0.15">
      <c r="A381" s="10"/>
      <c r="B381" s="13"/>
      <c r="C381" s="13"/>
    </row>
    <row r="382" spans="1:3" ht="13" x14ac:dyDescent="0.15">
      <c r="A382" s="10"/>
      <c r="B382" s="13"/>
      <c r="C382" s="13"/>
    </row>
    <row r="383" spans="1:3" ht="13" x14ac:dyDescent="0.15">
      <c r="A383" s="10"/>
      <c r="B383" s="13"/>
      <c r="C383" s="13"/>
    </row>
    <row r="384" spans="1:3" ht="13" x14ac:dyDescent="0.15">
      <c r="A384" s="10"/>
      <c r="B384" s="13"/>
      <c r="C384" s="13"/>
    </row>
    <row r="385" spans="1:3" ht="13" x14ac:dyDescent="0.15">
      <c r="A385" s="10"/>
      <c r="B385" s="13"/>
      <c r="C385" s="13"/>
    </row>
    <row r="386" spans="1:3" ht="13" x14ac:dyDescent="0.15">
      <c r="A386" s="10"/>
      <c r="B386" s="13"/>
      <c r="C386" s="13"/>
    </row>
    <row r="387" spans="1:3" ht="13" x14ac:dyDescent="0.15">
      <c r="A387" s="10"/>
      <c r="B387" s="13"/>
      <c r="C387" s="13"/>
    </row>
    <row r="388" spans="1:3" ht="13" x14ac:dyDescent="0.15">
      <c r="A388" s="10"/>
      <c r="B388" s="13"/>
      <c r="C388" s="13"/>
    </row>
    <row r="389" spans="1:3" ht="13" x14ac:dyDescent="0.15">
      <c r="A389" s="10"/>
      <c r="B389" s="13"/>
      <c r="C389" s="13"/>
    </row>
    <row r="390" spans="1:3" ht="13" x14ac:dyDescent="0.15">
      <c r="A390" s="10"/>
      <c r="B390" s="13"/>
      <c r="C390" s="13"/>
    </row>
    <row r="391" spans="1:3" ht="13" x14ac:dyDescent="0.15">
      <c r="A391" s="10"/>
      <c r="B391" s="13"/>
      <c r="C391" s="13"/>
    </row>
    <row r="392" spans="1:3" ht="13" x14ac:dyDescent="0.15">
      <c r="A392" s="10"/>
      <c r="B392" s="13"/>
      <c r="C392" s="13"/>
    </row>
    <row r="393" spans="1:3" ht="13" x14ac:dyDescent="0.15">
      <c r="A393" s="10"/>
      <c r="B393" s="13"/>
      <c r="C393" s="13"/>
    </row>
    <row r="394" spans="1:3" ht="13" x14ac:dyDescent="0.15">
      <c r="A394" s="10"/>
      <c r="B394" s="13"/>
      <c r="C394" s="13"/>
    </row>
    <row r="395" spans="1:3" ht="13" x14ac:dyDescent="0.15">
      <c r="A395" s="10"/>
      <c r="B395" s="13"/>
      <c r="C395" s="13"/>
    </row>
    <row r="396" spans="1:3" ht="13" x14ac:dyDescent="0.15">
      <c r="A396" s="10"/>
      <c r="B396" s="13"/>
      <c r="C396" s="13"/>
    </row>
    <row r="397" spans="1:3" ht="13" x14ac:dyDescent="0.15">
      <c r="A397" s="10"/>
      <c r="B397" s="13"/>
      <c r="C397" s="13"/>
    </row>
    <row r="398" spans="1:3" ht="13" x14ac:dyDescent="0.15">
      <c r="A398" s="10"/>
      <c r="B398" s="13"/>
      <c r="C398" s="13"/>
    </row>
    <row r="399" spans="1:3" ht="13" x14ac:dyDescent="0.15">
      <c r="A399" s="10"/>
      <c r="B399" s="13"/>
      <c r="C399" s="13"/>
    </row>
    <row r="400" spans="1:3" ht="13" x14ac:dyDescent="0.15">
      <c r="A400" s="10"/>
      <c r="B400" s="13"/>
      <c r="C400" s="13"/>
    </row>
    <row r="401" spans="1:3" ht="13" x14ac:dyDescent="0.15">
      <c r="A401" s="10"/>
      <c r="B401" s="13"/>
      <c r="C401" s="13"/>
    </row>
    <row r="402" spans="1:3" ht="13" x14ac:dyDescent="0.15">
      <c r="A402" s="10"/>
      <c r="B402" s="13"/>
      <c r="C402" s="13"/>
    </row>
    <row r="403" spans="1:3" ht="13" x14ac:dyDescent="0.15">
      <c r="A403" s="10"/>
      <c r="B403" s="13"/>
      <c r="C403" s="13"/>
    </row>
    <row r="404" spans="1:3" ht="13" x14ac:dyDescent="0.15">
      <c r="A404" s="10"/>
      <c r="B404" s="13"/>
      <c r="C404" s="13"/>
    </row>
    <row r="405" spans="1:3" ht="13" x14ac:dyDescent="0.15">
      <c r="A405" s="10"/>
      <c r="B405" s="13"/>
      <c r="C405" s="13"/>
    </row>
    <row r="406" spans="1:3" ht="13" x14ac:dyDescent="0.15">
      <c r="A406" s="10"/>
      <c r="B406" s="13"/>
      <c r="C406" s="13"/>
    </row>
    <row r="407" spans="1:3" ht="13" x14ac:dyDescent="0.15">
      <c r="A407" s="10"/>
      <c r="B407" s="13"/>
      <c r="C407" s="13"/>
    </row>
    <row r="408" spans="1:3" ht="13" x14ac:dyDescent="0.15">
      <c r="A408" s="10"/>
      <c r="B408" s="13"/>
      <c r="C408" s="13"/>
    </row>
    <row r="409" spans="1:3" ht="13" x14ac:dyDescent="0.15">
      <c r="A409" s="10"/>
      <c r="B409" s="13"/>
      <c r="C409" s="13"/>
    </row>
    <row r="410" spans="1:3" ht="13" x14ac:dyDescent="0.15">
      <c r="A410" s="10"/>
      <c r="B410" s="13"/>
      <c r="C410" s="13"/>
    </row>
    <row r="411" spans="1:3" ht="13" x14ac:dyDescent="0.15">
      <c r="A411" s="10"/>
      <c r="B411" s="13"/>
      <c r="C411" s="13"/>
    </row>
    <row r="412" spans="1:3" ht="13" x14ac:dyDescent="0.15">
      <c r="A412" s="10"/>
      <c r="B412" s="13"/>
      <c r="C412" s="13"/>
    </row>
    <row r="413" spans="1:3" ht="13" x14ac:dyDescent="0.15">
      <c r="A413" s="10"/>
      <c r="B413" s="13"/>
      <c r="C413" s="13"/>
    </row>
    <row r="414" spans="1:3" ht="13" x14ac:dyDescent="0.15">
      <c r="A414" s="10"/>
      <c r="B414" s="13"/>
      <c r="C414" s="13"/>
    </row>
    <row r="415" spans="1:3" ht="13" x14ac:dyDescent="0.15">
      <c r="A415" s="10"/>
      <c r="B415" s="13"/>
      <c r="C415" s="13"/>
    </row>
    <row r="416" spans="1:3" ht="13" x14ac:dyDescent="0.15">
      <c r="A416" s="10"/>
      <c r="B416" s="13"/>
      <c r="C416" s="13"/>
    </row>
    <row r="417" spans="1:3" ht="13" x14ac:dyDescent="0.15">
      <c r="A417" s="10"/>
      <c r="B417" s="13"/>
      <c r="C417" s="13"/>
    </row>
    <row r="418" spans="1:3" ht="13" x14ac:dyDescent="0.15">
      <c r="A418" s="10"/>
      <c r="B418" s="13"/>
      <c r="C418" s="13"/>
    </row>
    <row r="419" spans="1:3" ht="13" x14ac:dyDescent="0.15">
      <c r="A419" s="10"/>
      <c r="B419" s="13"/>
      <c r="C419" s="13"/>
    </row>
    <row r="420" spans="1:3" ht="13" x14ac:dyDescent="0.15">
      <c r="A420" s="10"/>
      <c r="B420" s="13"/>
      <c r="C420" s="13"/>
    </row>
    <row r="421" spans="1:3" ht="13" x14ac:dyDescent="0.15">
      <c r="A421" s="10"/>
      <c r="B421" s="13"/>
      <c r="C421" s="13"/>
    </row>
    <row r="422" spans="1:3" ht="13" x14ac:dyDescent="0.15">
      <c r="A422" s="10"/>
      <c r="B422" s="13"/>
      <c r="C422" s="13"/>
    </row>
    <row r="423" spans="1:3" ht="13" x14ac:dyDescent="0.15">
      <c r="A423" s="10"/>
      <c r="B423" s="13"/>
      <c r="C423" s="13"/>
    </row>
    <row r="424" spans="1:3" ht="13" x14ac:dyDescent="0.15">
      <c r="A424" s="10"/>
      <c r="B424" s="13"/>
      <c r="C424" s="13"/>
    </row>
    <row r="425" spans="1:3" ht="13" x14ac:dyDescent="0.15">
      <c r="A425" s="10"/>
      <c r="B425" s="13"/>
      <c r="C425" s="13"/>
    </row>
    <row r="426" spans="1:3" ht="13" x14ac:dyDescent="0.15">
      <c r="A426" s="10"/>
      <c r="B426" s="13"/>
      <c r="C426" s="13"/>
    </row>
    <row r="427" spans="1:3" ht="13" x14ac:dyDescent="0.15">
      <c r="A427" s="10"/>
      <c r="B427" s="13"/>
      <c r="C427" s="13"/>
    </row>
    <row r="428" spans="1:3" ht="13" x14ac:dyDescent="0.15">
      <c r="A428" s="10"/>
      <c r="B428" s="13"/>
      <c r="C428" s="13"/>
    </row>
    <row r="429" spans="1:3" ht="13" x14ac:dyDescent="0.15">
      <c r="A429" s="10"/>
      <c r="B429" s="13"/>
      <c r="C429" s="13"/>
    </row>
    <row r="430" spans="1:3" ht="13" x14ac:dyDescent="0.15">
      <c r="A430" s="10"/>
      <c r="B430" s="13"/>
      <c r="C430" s="13"/>
    </row>
    <row r="431" spans="1:3" ht="13" x14ac:dyDescent="0.15">
      <c r="A431" s="10"/>
      <c r="B431" s="13"/>
      <c r="C431" s="13"/>
    </row>
    <row r="432" spans="1:3" ht="13" x14ac:dyDescent="0.15">
      <c r="A432" s="10"/>
      <c r="B432" s="13"/>
      <c r="C432" s="13"/>
    </row>
    <row r="433" spans="1:3" ht="13" x14ac:dyDescent="0.15">
      <c r="A433" s="10"/>
      <c r="B433" s="13"/>
      <c r="C433" s="13"/>
    </row>
    <row r="434" spans="1:3" ht="13" x14ac:dyDescent="0.15">
      <c r="A434" s="10"/>
      <c r="B434" s="13"/>
      <c r="C434" s="13"/>
    </row>
    <row r="435" spans="1:3" ht="13" x14ac:dyDescent="0.15">
      <c r="A435" s="10"/>
      <c r="B435" s="13"/>
      <c r="C435" s="13"/>
    </row>
    <row r="436" spans="1:3" ht="13" x14ac:dyDescent="0.15">
      <c r="A436" s="10"/>
      <c r="B436" s="13"/>
      <c r="C436" s="13"/>
    </row>
    <row r="437" spans="1:3" ht="13" x14ac:dyDescent="0.15">
      <c r="A437" s="10"/>
      <c r="B437" s="13"/>
      <c r="C437" s="13"/>
    </row>
    <row r="438" spans="1:3" ht="13" x14ac:dyDescent="0.15">
      <c r="A438" s="10"/>
      <c r="B438" s="13"/>
      <c r="C438" s="13"/>
    </row>
    <row r="439" spans="1:3" ht="13" x14ac:dyDescent="0.15">
      <c r="A439" s="10"/>
      <c r="B439" s="13"/>
      <c r="C439" s="13"/>
    </row>
    <row r="440" spans="1:3" ht="13" x14ac:dyDescent="0.15">
      <c r="A440" s="10"/>
      <c r="B440" s="13"/>
      <c r="C440" s="13"/>
    </row>
    <row r="441" spans="1:3" ht="13" x14ac:dyDescent="0.15">
      <c r="A441" s="10"/>
      <c r="B441" s="13"/>
      <c r="C441" s="13"/>
    </row>
    <row r="442" spans="1:3" ht="13" x14ac:dyDescent="0.15">
      <c r="A442" s="10"/>
      <c r="B442" s="13"/>
      <c r="C442" s="13"/>
    </row>
    <row r="443" spans="1:3" ht="13" x14ac:dyDescent="0.15">
      <c r="A443" s="10"/>
      <c r="B443" s="13"/>
      <c r="C443" s="13"/>
    </row>
    <row r="444" spans="1:3" ht="13" x14ac:dyDescent="0.15">
      <c r="A444" s="10"/>
      <c r="B444" s="13"/>
      <c r="C444" s="13"/>
    </row>
    <row r="445" spans="1:3" ht="13" x14ac:dyDescent="0.15">
      <c r="A445" s="10"/>
      <c r="B445" s="13"/>
      <c r="C445" s="13"/>
    </row>
    <row r="446" spans="1:3" ht="13" x14ac:dyDescent="0.15">
      <c r="A446" s="10"/>
      <c r="B446" s="13"/>
      <c r="C446" s="13"/>
    </row>
    <row r="447" spans="1:3" ht="13" x14ac:dyDescent="0.15">
      <c r="A447" s="10"/>
      <c r="B447" s="13"/>
      <c r="C447" s="13"/>
    </row>
    <row r="448" spans="1:3" ht="13" x14ac:dyDescent="0.15">
      <c r="A448" s="10"/>
      <c r="B448" s="13"/>
      <c r="C448" s="13"/>
    </row>
    <row r="449" spans="1:3" ht="13" x14ac:dyDescent="0.15">
      <c r="A449" s="10"/>
      <c r="B449" s="13"/>
      <c r="C449" s="13"/>
    </row>
    <row r="450" spans="1:3" ht="13" x14ac:dyDescent="0.15">
      <c r="A450" s="10"/>
      <c r="B450" s="13"/>
      <c r="C450" s="13"/>
    </row>
    <row r="451" spans="1:3" ht="13" x14ac:dyDescent="0.15">
      <c r="A451" s="10"/>
      <c r="B451" s="13"/>
      <c r="C451" s="13"/>
    </row>
    <row r="452" spans="1:3" ht="13" x14ac:dyDescent="0.15">
      <c r="A452" s="10"/>
      <c r="B452" s="13"/>
      <c r="C452" s="13"/>
    </row>
    <row r="453" spans="1:3" ht="13" x14ac:dyDescent="0.15">
      <c r="A453" s="10"/>
      <c r="B453" s="13"/>
      <c r="C453" s="13"/>
    </row>
    <row r="454" spans="1:3" ht="13" x14ac:dyDescent="0.15">
      <c r="A454" s="10"/>
      <c r="B454" s="13"/>
      <c r="C454" s="13"/>
    </row>
    <row r="455" spans="1:3" ht="13" x14ac:dyDescent="0.15">
      <c r="A455" s="10"/>
      <c r="B455" s="13"/>
      <c r="C455" s="13"/>
    </row>
    <row r="456" spans="1:3" ht="13" x14ac:dyDescent="0.15">
      <c r="A456" s="10"/>
      <c r="B456" s="13"/>
      <c r="C456" s="13"/>
    </row>
    <row r="457" spans="1:3" ht="13" x14ac:dyDescent="0.15">
      <c r="A457" s="10"/>
      <c r="B457" s="13"/>
      <c r="C457" s="13"/>
    </row>
    <row r="458" spans="1:3" ht="13" x14ac:dyDescent="0.15">
      <c r="A458" s="10"/>
      <c r="B458" s="13"/>
      <c r="C458" s="13"/>
    </row>
    <row r="459" spans="1:3" ht="13" x14ac:dyDescent="0.15">
      <c r="A459" s="10"/>
      <c r="B459" s="13"/>
      <c r="C459" s="13"/>
    </row>
    <row r="460" spans="1:3" ht="13" x14ac:dyDescent="0.15">
      <c r="A460" s="10"/>
      <c r="B460" s="13"/>
      <c r="C460" s="13"/>
    </row>
    <row r="461" spans="1:3" ht="13" x14ac:dyDescent="0.15">
      <c r="A461" s="10"/>
      <c r="B461" s="13"/>
      <c r="C461" s="13"/>
    </row>
    <row r="462" spans="1:3" ht="13" x14ac:dyDescent="0.15">
      <c r="A462" s="10"/>
      <c r="B462" s="13"/>
      <c r="C462" s="13"/>
    </row>
    <row r="463" spans="1:3" ht="13" x14ac:dyDescent="0.15">
      <c r="A463" s="10"/>
      <c r="B463" s="13"/>
      <c r="C463" s="13"/>
    </row>
    <row r="464" spans="1:3" ht="13" x14ac:dyDescent="0.15">
      <c r="A464" s="10"/>
      <c r="B464" s="13"/>
      <c r="C464" s="13"/>
    </row>
    <row r="465" spans="1:3" ht="13" x14ac:dyDescent="0.15">
      <c r="A465" s="10"/>
      <c r="B465" s="13"/>
      <c r="C465" s="13"/>
    </row>
    <row r="466" spans="1:3" ht="13" x14ac:dyDescent="0.15">
      <c r="A466" s="10"/>
      <c r="B466" s="13"/>
      <c r="C466" s="13"/>
    </row>
    <row r="467" spans="1:3" ht="13" x14ac:dyDescent="0.15">
      <c r="A467" s="10"/>
      <c r="B467" s="13"/>
      <c r="C467" s="13"/>
    </row>
    <row r="468" spans="1:3" ht="13" x14ac:dyDescent="0.15">
      <c r="A468" s="10"/>
      <c r="B468" s="13"/>
      <c r="C468" s="13"/>
    </row>
    <row r="469" spans="1:3" ht="13" x14ac:dyDescent="0.15">
      <c r="A469" s="10"/>
      <c r="B469" s="13"/>
      <c r="C469" s="13"/>
    </row>
    <row r="470" spans="1:3" ht="13" x14ac:dyDescent="0.15">
      <c r="A470" s="10"/>
      <c r="B470" s="13"/>
      <c r="C470" s="13"/>
    </row>
    <row r="471" spans="1:3" ht="13" x14ac:dyDescent="0.15">
      <c r="A471" s="10"/>
      <c r="B471" s="13"/>
      <c r="C471" s="13"/>
    </row>
    <row r="472" spans="1:3" ht="13" x14ac:dyDescent="0.15">
      <c r="A472" s="10"/>
      <c r="B472" s="13"/>
      <c r="C472" s="13"/>
    </row>
    <row r="473" spans="1:3" ht="13" x14ac:dyDescent="0.15">
      <c r="A473" s="10"/>
      <c r="B473" s="13"/>
      <c r="C473" s="13"/>
    </row>
    <row r="474" spans="1:3" ht="13" x14ac:dyDescent="0.15">
      <c r="A474" s="10"/>
      <c r="B474" s="13"/>
      <c r="C474" s="13"/>
    </row>
    <row r="475" spans="1:3" ht="13" x14ac:dyDescent="0.15">
      <c r="A475" s="10"/>
      <c r="B475" s="13"/>
      <c r="C475" s="13"/>
    </row>
    <row r="476" spans="1:3" ht="13" x14ac:dyDescent="0.15">
      <c r="A476" s="10"/>
      <c r="B476" s="13"/>
      <c r="C476" s="13"/>
    </row>
    <row r="477" spans="1:3" ht="13" x14ac:dyDescent="0.15">
      <c r="A477" s="10"/>
      <c r="B477" s="13"/>
      <c r="C477" s="13"/>
    </row>
    <row r="478" spans="1:3" ht="13" x14ac:dyDescent="0.15">
      <c r="A478" s="10"/>
      <c r="B478" s="13"/>
      <c r="C478" s="13"/>
    </row>
    <row r="479" spans="1:3" ht="13" x14ac:dyDescent="0.15">
      <c r="A479" s="10"/>
      <c r="B479" s="13"/>
      <c r="C479" s="13"/>
    </row>
    <row r="480" spans="1:3" ht="13" x14ac:dyDescent="0.15">
      <c r="A480" s="10"/>
      <c r="B480" s="13"/>
      <c r="C480" s="13"/>
    </row>
    <row r="481" spans="1:3" ht="13" x14ac:dyDescent="0.15">
      <c r="A481" s="10"/>
      <c r="B481" s="13"/>
      <c r="C481" s="13"/>
    </row>
    <row r="482" spans="1:3" ht="13" x14ac:dyDescent="0.15">
      <c r="A482" s="10"/>
      <c r="B482" s="13"/>
      <c r="C482" s="13"/>
    </row>
    <row r="483" spans="1:3" ht="13" x14ac:dyDescent="0.15">
      <c r="A483" s="10"/>
      <c r="B483" s="13"/>
      <c r="C483" s="13"/>
    </row>
    <row r="484" spans="1:3" ht="13" x14ac:dyDescent="0.15">
      <c r="A484" s="10"/>
      <c r="B484" s="13"/>
      <c r="C484" s="13"/>
    </row>
    <row r="485" spans="1:3" ht="13" x14ac:dyDescent="0.15">
      <c r="A485" s="10"/>
      <c r="B485" s="13"/>
      <c r="C485" s="13"/>
    </row>
    <row r="486" spans="1:3" ht="13" x14ac:dyDescent="0.15">
      <c r="A486" s="10"/>
      <c r="B486" s="13"/>
      <c r="C486" s="13"/>
    </row>
    <row r="487" spans="1:3" ht="13" x14ac:dyDescent="0.15">
      <c r="A487" s="10"/>
      <c r="B487" s="13"/>
      <c r="C487" s="13"/>
    </row>
    <row r="488" spans="1:3" ht="13" x14ac:dyDescent="0.15">
      <c r="A488" s="10"/>
      <c r="B488" s="13"/>
      <c r="C488" s="13"/>
    </row>
    <row r="489" spans="1:3" ht="13" x14ac:dyDescent="0.15">
      <c r="A489" s="10"/>
      <c r="B489" s="13"/>
      <c r="C489" s="13"/>
    </row>
    <row r="490" spans="1:3" ht="13" x14ac:dyDescent="0.15">
      <c r="A490" s="10"/>
      <c r="B490" s="13"/>
      <c r="C490" s="13"/>
    </row>
    <row r="491" spans="1:3" ht="13" x14ac:dyDescent="0.15">
      <c r="A491" s="10"/>
      <c r="B491" s="13"/>
      <c r="C491" s="13"/>
    </row>
    <row r="492" spans="1:3" ht="13" x14ac:dyDescent="0.15">
      <c r="A492" s="10"/>
      <c r="B492" s="13"/>
      <c r="C492" s="13"/>
    </row>
    <row r="493" spans="1:3" ht="13" x14ac:dyDescent="0.15">
      <c r="A493" s="10"/>
      <c r="B493" s="13"/>
      <c r="C493" s="13"/>
    </row>
    <row r="494" spans="1:3" ht="13" x14ac:dyDescent="0.15">
      <c r="A494" s="10"/>
      <c r="B494" s="13"/>
      <c r="C494" s="13"/>
    </row>
    <row r="495" spans="1:3" ht="13" x14ac:dyDescent="0.15">
      <c r="A495" s="10"/>
      <c r="B495" s="13"/>
      <c r="C495" s="13"/>
    </row>
    <row r="496" spans="1:3" ht="13" x14ac:dyDescent="0.15">
      <c r="A496" s="10"/>
      <c r="B496" s="13"/>
      <c r="C496" s="13"/>
    </row>
    <row r="497" spans="1:3" ht="13" x14ac:dyDescent="0.15">
      <c r="A497" s="10"/>
      <c r="B497" s="13"/>
      <c r="C497" s="13"/>
    </row>
    <row r="498" spans="1:3" ht="13" x14ac:dyDescent="0.15">
      <c r="A498" s="10"/>
      <c r="B498" s="13"/>
      <c r="C498" s="13"/>
    </row>
    <row r="499" spans="1:3" ht="13" x14ac:dyDescent="0.15">
      <c r="A499" s="10"/>
      <c r="B499" s="13"/>
      <c r="C499" s="13"/>
    </row>
    <row r="500" spans="1:3" ht="13" x14ac:dyDescent="0.15">
      <c r="A500" s="10"/>
      <c r="B500" s="13"/>
      <c r="C500" s="13"/>
    </row>
    <row r="501" spans="1:3" ht="13" x14ac:dyDescent="0.15">
      <c r="A501" s="10"/>
      <c r="B501" s="13"/>
      <c r="C501" s="13"/>
    </row>
    <row r="502" spans="1:3" ht="13" x14ac:dyDescent="0.15">
      <c r="A502" s="10"/>
      <c r="B502" s="13"/>
      <c r="C502" s="13"/>
    </row>
    <row r="503" spans="1:3" ht="13" x14ac:dyDescent="0.15">
      <c r="A503" s="10"/>
      <c r="B503" s="13"/>
      <c r="C503" s="13"/>
    </row>
    <row r="504" spans="1:3" ht="13" x14ac:dyDescent="0.15">
      <c r="A504" s="10"/>
      <c r="B504" s="13"/>
      <c r="C504" s="13"/>
    </row>
    <row r="505" spans="1:3" ht="13" x14ac:dyDescent="0.15">
      <c r="A505" s="10"/>
      <c r="B505" s="13"/>
      <c r="C505" s="13"/>
    </row>
    <row r="506" spans="1:3" ht="13" x14ac:dyDescent="0.15">
      <c r="A506" s="10"/>
      <c r="B506" s="13"/>
      <c r="C506" s="13"/>
    </row>
    <row r="507" spans="1:3" ht="13" x14ac:dyDescent="0.15">
      <c r="A507" s="10"/>
      <c r="B507" s="13"/>
      <c r="C507" s="13"/>
    </row>
    <row r="508" spans="1:3" ht="13" x14ac:dyDescent="0.15">
      <c r="A508" s="10"/>
      <c r="B508" s="13"/>
      <c r="C508" s="13"/>
    </row>
    <row r="509" spans="1:3" ht="13" x14ac:dyDescent="0.15">
      <c r="A509" s="10"/>
      <c r="B509" s="13"/>
      <c r="C509" s="13"/>
    </row>
    <row r="510" spans="1:3" ht="13" x14ac:dyDescent="0.15">
      <c r="A510" s="10"/>
      <c r="B510" s="13"/>
      <c r="C510" s="13"/>
    </row>
    <row r="511" spans="1:3" ht="13" x14ac:dyDescent="0.15">
      <c r="A511" s="10"/>
      <c r="B511" s="13"/>
      <c r="C511" s="13"/>
    </row>
    <row r="512" spans="1:3" ht="13" x14ac:dyDescent="0.15">
      <c r="A512" s="10"/>
      <c r="B512" s="13"/>
      <c r="C512" s="13"/>
    </row>
    <row r="513" spans="1:3" ht="13" x14ac:dyDescent="0.15">
      <c r="A513" s="10"/>
      <c r="B513" s="13"/>
      <c r="C513" s="13"/>
    </row>
    <row r="514" spans="1:3" ht="13" x14ac:dyDescent="0.15">
      <c r="A514" s="10"/>
      <c r="B514" s="13"/>
      <c r="C514" s="13"/>
    </row>
    <row r="515" spans="1:3" ht="13" x14ac:dyDescent="0.15">
      <c r="A515" s="10"/>
      <c r="B515" s="13"/>
      <c r="C515" s="13"/>
    </row>
    <row r="516" spans="1:3" ht="13" x14ac:dyDescent="0.15">
      <c r="A516" s="10"/>
      <c r="B516" s="13"/>
      <c r="C516" s="13"/>
    </row>
    <row r="517" spans="1:3" ht="13" x14ac:dyDescent="0.15">
      <c r="A517" s="10"/>
      <c r="B517" s="13"/>
      <c r="C517" s="13"/>
    </row>
    <row r="518" spans="1:3" ht="13" x14ac:dyDescent="0.15">
      <c r="A518" s="10"/>
      <c r="B518" s="13"/>
      <c r="C518" s="13"/>
    </row>
    <row r="519" spans="1:3" ht="13" x14ac:dyDescent="0.15">
      <c r="A519" s="10"/>
      <c r="B519" s="13"/>
      <c r="C519" s="13"/>
    </row>
    <row r="520" spans="1:3" ht="13" x14ac:dyDescent="0.15">
      <c r="A520" s="10"/>
      <c r="B520" s="13"/>
      <c r="C520" s="13"/>
    </row>
    <row r="521" spans="1:3" ht="13" x14ac:dyDescent="0.15">
      <c r="A521" s="10"/>
      <c r="B521" s="13"/>
      <c r="C521" s="13"/>
    </row>
    <row r="522" spans="1:3" ht="13" x14ac:dyDescent="0.15">
      <c r="A522" s="10"/>
      <c r="B522" s="13"/>
      <c r="C522" s="13"/>
    </row>
    <row r="523" spans="1:3" ht="13" x14ac:dyDescent="0.15">
      <c r="A523" s="10"/>
      <c r="B523" s="13"/>
      <c r="C523" s="13"/>
    </row>
    <row r="524" spans="1:3" ht="13" x14ac:dyDescent="0.15">
      <c r="A524" s="10"/>
      <c r="B524" s="13"/>
      <c r="C524" s="13"/>
    </row>
    <row r="525" spans="1:3" ht="13" x14ac:dyDescent="0.15">
      <c r="A525" s="10"/>
      <c r="B525" s="13"/>
      <c r="C525" s="13"/>
    </row>
    <row r="526" spans="1:3" ht="13" x14ac:dyDescent="0.15">
      <c r="A526" s="10"/>
      <c r="B526" s="13"/>
      <c r="C526" s="13"/>
    </row>
    <row r="527" spans="1:3" ht="13" x14ac:dyDescent="0.15">
      <c r="A527" s="10"/>
      <c r="B527" s="13"/>
      <c r="C527" s="13"/>
    </row>
    <row r="528" spans="1:3" ht="13" x14ac:dyDescent="0.15">
      <c r="A528" s="10"/>
      <c r="B528" s="13"/>
      <c r="C528" s="13"/>
    </row>
    <row r="529" spans="1:3" ht="13" x14ac:dyDescent="0.15">
      <c r="A529" s="10"/>
      <c r="B529" s="13"/>
      <c r="C529" s="13"/>
    </row>
    <row r="530" spans="1:3" ht="13" x14ac:dyDescent="0.15">
      <c r="A530" s="10"/>
      <c r="B530" s="13"/>
      <c r="C530" s="13"/>
    </row>
    <row r="531" spans="1:3" ht="13" x14ac:dyDescent="0.15">
      <c r="A531" s="10"/>
      <c r="B531" s="13"/>
      <c r="C531" s="13"/>
    </row>
    <row r="532" spans="1:3" ht="13" x14ac:dyDescent="0.15">
      <c r="A532" s="10"/>
      <c r="B532" s="13"/>
      <c r="C532" s="13"/>
    </row>
    <row r="533" spans="1:3" ht="13" x14ac:dyDescent="0.15">
      <c r="A533" s="10"/>
      <c r="B533" s="13"/>
      <c r="C533" s="13"/>
    </row>
    <row r="534" spans="1:3" ht="13" x14ac:dyDescent="0.15">
      <c r="A534" s="10"/>
      <c r="B534" s="13"/>
      <c r="C534" s="13"/>
    </row>
    <row r="535" spans="1:3" ht="13" x14ac:dyDescent="0.15">
      <c r="A535" s="10"/>
      <c r="B535" s="13"/>
      <c r="C535" s="13"/>
    </row>
    <row r="536" spans="1:3" ht="13" x14ac:dyDescent="0.15">
      <c r="A536" s="10"/>
      <c r="B536" s="13"/>
      <c r="C536" s="13"/>
    </row>
    <row r="537" spans="1:3" ht="13" x14ac:dyDescent="0.15">
      <c r="A537" s="10"/>
      <c r="B537" s="13"/>
      <c r="C537" s="13"/>
    </row>
    <row r="538" spans="1:3" ht="13" x14ac:dyDescent="0.15">
      <c r="A538" s="10"/>
      <c r="B538" s="13"/>
      <c r="C538" s="13"/>
    </row>
    <row r="539" spans="1:3" ht="13" x14ac:dyDescent="0.15">
      <c r="A539" s="10"/>
      <c r="B539" s="13"/>
      <c r="C539" s="13"/>
    </row>
    <row r="540" spans="1:3" ht="13" x14ac:dyDescent="0.15">
      <c r="A540" s="10"/>
      <c r="B540" s="13"/>
      <c r="C540" s="13"/>
    </row>
    <row r="541" spans="1:3" ht="13" x14ac:dyDescent="0.15">
      <c r="A541" s="10"/>
      <c r="B541" s="13"/>
      <c r="C541" s="13"/>
    </row>
    <row r="542" spans="1:3" ht="13" x14ac:dyDescent="0.15">
      <c r="A542" s="10"/>
      <c r="B542" s="13"/>
      <c r="C542" s="13"/>
    </row>
    <row r="543" spans="1:3" ht="13" x14ac:dyDescent="0.15">
      <c r="A543" s="10"/>
      <c r="B543" s="13"/>
      <c r="C543" s="13"/>
    </row>
    <row r="544" spans="1:3" ht="13" x14ac:dyDescent="0.15">
      <c r="A544" s="10"/>
      <c r="B544" s="13"/>
      <c r="C544" s="13"/>
    </row>
    <row r="545" spans="1:3" ht="13" x14ac:dyDescent="0.15">
      <c r="A545" s="10"/>
      <c r="B545" s="13"/>
      <c r="C545" s="13"/>
    </row>
    <row r="546" spans="1:3" ht="13" x14ac:dyDescent="0.15">
      <c r="A546" s="10"/>
      <c r="B546" s="13"/>
      <c r="C546" s="13"/>
    </row>
    <row r="547" spans="1:3" ht="13" x14ac:dyDescent="0.15">
      <c r="A547" s="10"/>
      <c r="B547" s="13"/>
      <c r="C547" s="13"/>
    </row>
    <row r="548" spans="1:3" ht="13" x14ac:dyDescent="0.15">
      <c r="A548" s="10"/>
      <c r="B548" s="13"/>
      <c r="C548" s="13"/>
    </row>
    <row r="549" spans="1:3" ht="13" x14ac:dyDescent="0.15">
      <c r="A549" s="10"/>
      <c r="B549" s="13"/>
      <c r="C549" s="13"/>
    </row>
    <row r="550" spans="1:3" ht="13" x14ac:dyDescent="0.15">
      <c r="A550" s="10"/>
      <c r="B550" s="13"/>
      <c r="C550" s="13"/>
    </row>
    <row r="551" spans="1:3" ht="13" x14ac:dyDescent="0.15">
      <c r="A551" s="10"/>
      <c r="B551" s="13"/>
      <c r="C551" s="13"/>
    </row>
    <row r="552" spans="1:3" ht="13" x14ac:dyDescent="0.15">
      <c r="A552" s="10"/>
      <c r="B552" s="13"/>
      <c r="C552" s="13"/>
    </row>
    <row r="553" spans="1:3" ht="13" x14ac:dyDescent="0.15">
      <c r="A553" s="10"/>
      <c r="B553" s="13"/>
      <c r="C553" s="13"/>
    </row>
    <row r="554" spans="1:3" ht="13" x14ac:dyDescent="0.15">
      <c r="A554" s="10"/>
      <c r="B554" s="13"/>
      <c r="C554" s="13"/>
    </row>
    <row r="555" spans="1:3" ht="13" x14ac:dyDescent="0.15">
      <c r="A555" s="10"/>
      <c r="B555" s="13"/>
      <c r="C555" s="13"/>
    </row>
    <row r="556" spans="1:3" ht="13" x14ac:dyDescent="0.15">
      <c r="A556" s="10"/>
      <c r="B556" s="13"/>
      <c r="C556" s="13"/>
    </row>
    <row r="557" spans="1:3" ht="13" x14ac:dyDescent="0.15">
      <c r="A557" s="10"/>
      <c r="B557" s="13"/>
      <c r="C557" s="13"/>
    </row>
    <row r="558" spans="1:3" ht="13" x14ac:dyDescent="0.15">
      <c r="A558" s="10"/>
      <c r="B558" s="13"/>
      <c r="C558" s="13"/>
    </row>
    <row r="559" spans="1:3" ht="13" x14ac:dyDescent="0.15">
      <c r="A559" s="10"/>
      <c r="B559" s="13"/>
      <c r="C559" s="13"/>
    </row>
    <row r="560" spans="1:3" ht="13" x14ac:dyDescent="0.15">
      <c r="A560" s="10"/>
      <c r="B560" s="13"/>
      <c r="C560" s="13"/>
    </row>
    <row r="561" spans="1:3" ht="13" x14ac:dyDescent="0.15">
      <c r="A561" s="10"/>
      <c r="B561" s="13"/>
      <c r="C561" s="13"/>
    </row>
    <row r="562" spans="1:3" ht="13" x14ac:dyDescent="0.15">
      <c r="A562" s="10"/>
      <c r="B562" s="13"/>
      <c r="C562" s="13"/>
    </row>
    <row r="563" spans="1:3" ht="13" x14ac:dyDescent="0.15">
      <c r="A563" s="10"/>
      <c r="B563" s="13"/>
      <c r="C563" s="13"/>
    </row>
    <row r="564" spans="1:3" ht="13" x14ac:dyDescent="0.15">
      <c r="A564" s="10"/>
      <c r="B564" s="13"/>
      <c r="C564" s="13"/>
    </row>
    <row r="565" spans="1:3" ht="13" x14ac:dyDescent="0.15">
      <c r="A565" s="10"/>
      <c r="B565" s="13"/>
      <c r="C565" s="13"/>
    </row>
    <row r="566" spans="1:3" ht="13" x14ac:dyDescent="0.15">
      <c r="A566" s="10"/>
      <c r="B566" s="13"/>
      <c r="C566" s="13"/>
    </row>
    <row r="567" spans="1:3" ht="13" x14ac:dyDescent="0.15">
      <c r="A567" s="10"/>
      <c r="B567" s="13"/>
      <c r="C567" s="13"/>
    </row>
    <row r="568" spans="1:3" ht="13" x14ac:dyDescent="0.15">
      <c r="A568" s="10"/>
      <c r="B568" s="13"/>
      <c r="C568" s="13"/>
    </row>
    <row r="569" spans="1:3" ht="13" x14ac:dyDescent="0.15">
      <c r="A569" s="10"/>
      <c r="B569" s="13"/>
      <c r="C569" s="13"/>
    </row>
    <row r="570" spans="1:3" ht="13" x14ac:dyDescent="0.15">
      <c r="A570" s="10"/>
      <c r="B570" s="13"/>
      <c r="C570" s="13"/>
    </row>
    <row r="571" spans="1:3" ht="13" x14ac:dyDescent="0.15">
      <c r="A571" s="10"/>
      <c r="B571" s="13"/>
      <c r="C571" s="13"/>
    </row>
    <row r="572" spans="1:3" ht="13" x14ac:dyDescent="0.15">
      <c r="A572" s="10"/>
      <c r="B572" s="13"/>
      <c r="C572" s="13"/>
    </row>
    <row r="573" spans="1:3" ht="13" x14ac:dyDescent="0.15">
      <c r="A573" s="10"/>
      <c r="B573" s="13"/>
      <c r="C573" s="13"/>
    </row>
    <row r="574" spans="1:3" ht="13" x14ac:dyDescent="0.15">
      <c r="A574" s="10"/>
      <c r="B574" s="13"/>
      <c r="C574" s="13"/>
    </row>
    <row r="575" spans="1:3" ht="13" x14ac:dyDescent="0.15">
      <c r="A575" s="10"/>
      <c r="B575" s="13"/>
      <c r="C575" s="13"/>
    </row>
    <row r="576" spans="1:3" ht="13" x14ac:dyDescent="0.15">
      <c r="A576" s="10"/>
      <c r="B576" s="13"/>
      <c r="C576" s="13"/>
    </row>
    <row r="577" spans="1:3" ht="13" x14ac:dyDescent="0.15">
      <c r="A577" s="10"/>
      <c r="B577" s="13"/>
      <c r="C577" s="13"/>
    </row>
    <row r="578" spans="1:3" ht="13" x14ac:dyDescent="0.15">
      <c r="A578" s="10"/>
      <c r="B578" s="13"/>
      <c r="C578" s="13"/>
    </row>
    <row r="579" spans="1:3" ht="13" x14ac:dyDescent="0.15">
      <c r="A579" s="10"/>
      <c r="B579" s="13"/>
      <c r="C579" s="13"/>
    </row>
    <row r="580" spans="1:3" ht="13" x14ac:dyDescent="0.15">
      <c r="A580" s="10"/>
      <c r="B580" s="13"/>
      <c r="C580" s="13"/>
    </row>
    <row r="581" spans="1:3" ht="13" x14ac:dyDescent="0.15">
      <c r="A581" s="10"/>
      <c r="B581" s="13"/>
      <c r="C581" s="13"/>
    </row>
    <row r="582" spans="1:3" ht="13" x14ac:dyDescent="0.15">
      <c r="A582" s="10"/>
      <c r="B582" s="13"/>
      <c r="C582" s="13"/>
    </row>
    <row r="583" spans="1:3" ht="13" x14ac:dyDescent="0.15">
      <c r="A583" s="10"/>
      <c r="B583" s="13"/>
      <c r="C583" s="13"/>
    </row>
    <row r="584" spans="1:3" ht="13" x14ac:dyDescent="0.15">
      <c r="A584" s="10"/>
      <c r="B584" s="13"/>
      <c r="C584" s="13"/>
    </row>
    <row r="585" spans="1:3" ht="13" x14ac:dyDescent="0.15">
      <c r="A585" s="10"/>
      <c r="B585" s="13"/>
      <c r="C585" s="13"/>
    </row>
    <row r="586" spans="1:3" ht="13" x14ac:dyDescent="0.15">
      <c r="A586" s="10"/>
      <c r="B586" s="13"/>
      <c r="C586" s="13"/>
    </row>
    <row r="587" spans="1:3" ht="13" x14ac:dyDescent="0.15">
      <c r="A587" s="10"/>
      <c r="B587" s="13"/>
      <c r="C587" s="13"/>
    </row>
    <row r="588" spans="1:3" ht="13" x14ac:dyDescent="0.15">
      <c r="A588" s="10"/>
      <c r="B588" s="13"/>
      <c r="C588" s="13"/>
    </row>
    <row r="589" spans="1:3" ht="13" x14ac:dyDescent="0.15">
      <c r="A589" s="10"/>
      <c r="B589" s="13"/>
      <c r="C589" s="13"/>
    </row>
    <row r="590" spans="1:3" ht="13" x14ac:dyDescent="0.15">
      <c r="A590" s="10"/>
      <c r="B590" s="13"/>
      <c r="C590" s="13"/>
    </row>
    <row r="591" spans="1:3" ht="13" x14ac:dyDescent="0.15">
      <c r="A591" s="10"/>
      <c r="B591" s="13"/>
      <c r="C591" s="13"/>
    </row>
    <row r="592" spans="1:3" ht="13" x14ac:dyDescent="0.15">
      <c r="A592" s="10"/>
      <c r="B592" s="13"/>
      <c r="C592" s="13"/>
    </row>
    <row r="593" spans="1:3" ht="13" x14ac:dyDescent="0.15">
      <c r="A593" s="10"/>
      <c r="B593" s="13"/>
      <c r="C593" s="13"/>
    </row>
    <row r="594" spans="1:3" ht="13" x14ac:dyDescent="0.15">
      <c r="A594" s="10"/>
      <c r="B594" s="13"/>
      <c r="C594" s="13"/>
    </row>
    <row r="595" spans="1:3" ht="13" x14ac:dyDescent="0.15">
      <c r="A595" s="10"/>
      <c r="B595" s="13"/>
      <c r="C595" s="13"/>
    </row>
    <row r="596" spans="1:3" ht="13" x14ac:dyDescent="0.15">
      <c r="A596" s="10"/>
      <c r="B596" s="13"/>
      <c r="C596" s="13"/>
    </row>
    <row r="597" spans="1:3" ht="13" x14ac:dyDescent="0.15">
      <c r="A597" s="10"/>
      <c r="B597" s="13"/>
      <c r="C597" s="13"/>
    </row>
    <row r="598" spans="1:3" ht="13" x14ac:dyDescent="0.15">
      <c r="A598" s="10"/>
      <c r="B598" s="13"/>
      <c r="C598" s="13"/>
    </row>
    <row r="599" spans="1:3" ht="13" x14ac:dyDescent="0.15">
      <c r="A599" s="10"/>
      <c r="B599" s="13"/>
      <c r="C599" s="13"/>
    </row>
    <row r="600" spans="1:3" ht="13" x14ac:dyDescent="0.15">
      <c r="A600" s="10"/>
      <c r="B600" s="13"/>
      <c r="C600" s="13"/>
    </row>
    <row r="601" spans="1:3" ht="13" x14ac:dyDescent="0.15">
      <c r="A601" s="10"/>
      <c r="B601" s="13"/>
      <c r="C601" s="13"/>
    </row>
    <row r="602" spans="1:3" ht="13" x14ac:dyDescent="0.15">
      <c r="A602" s="10"/>
      <c r="B602" s="13"/>
      <c r="C602" s="13"/>
    </row>
    <row r="603" spans="1:3" ht="13" x14ac:dyDescent="0.15">
      <c r="A603" s="10"/>
      <c r="B603" s="13"/>
      <c r="C603" s="13"/>
    </row>
    <row r="604" spans="1:3" ht="13" x14ac:dyDescent="0.15">
      <c r="A604" s="10"/>
      <c r="B604" s="13"/>
      <c r="C604" s="13"/>
    </row>
    <row r="605" spans="1:3" ht="13" x14ac:dyDescent="0.15">
      <c r="A605" s="10"/>
      <c r="B605" s="13"/>
      <c r="C605" s="13"/>
    </row>
    <row r="606" spans="1:3" ht="13" x14ac:dyDescent="0.15">
      <c r="A606" s="10"/>
      <c r="B606" s="13"/>
      <c r="C606" s="13"/>
    </row>
    <row r="607" spans="1:3" ht="13" x14ac:dyDescent="0.15">
      <c r="A607" s="10"/>
      <c r="B607" s="13"/>
      <c r="C607" s="13"/>
    </row>
    <row r="608" spans="1:3" ht="13" x14ac:dyDescent="0.15">
      <c r="A608" s="10"/>
      <c r="B608" s="13"/>
      <c r="C608" s="13"/>
    </row>
    <row r="609" spans="1:3" ht="13" x14ac:dyDescent="0.15">
      <c r="A609" s="10"/>
      <c r="B609" s="13"/>
      <c r="C609" s="13"/>
    </row>
    <row r="610" spans="1:3" ht="13" x14ac:dyDescent="0.15">
      <c r="A610" s="10"/>
      <c r="B610" s="13"/>
      <c r="C610" s="13"/>
    </row>
    <row r="611" spans="1:3" ht="13" x14ac:dyDescent="0.15">
      <c r="A611" s="10"/>
      <c r="B611" s="13"/>
      <c r="C611" s="13"/>
    </row>
    <row r="612" spans="1:3" ht="13" x14ac:dyDescent="0.15">
      <c r="A612" s="10"/>
      <c r="B612" s="13"/>
      <c r="C612" s="13"/>
    </row>
    <row r="613" spans="1:3" ht="13" x14ac:dyDescent="0.15">
      <c r="A613" s="10"/>
      <c r="B613" s="13"/>
      <c r="C613" s="13"/>
    </row>
    <row r="614" spans="1:3" ht="13" x14ac:dyDescent="0.15">
      <c r="A614" s="10"/>
      <c r="B614" s="13"/>
      <c r="C614" s="13"/>
    </row>
    <row r="615" spans="1:3" ht="13" x14ac:dyDescent="0.15">
      <c r="A615" s="10"/>
      <c r="B615" s="13"/>
      <c r="C615" s="13"/>
    </row>
    <row r="616" spans="1:3" ht="13" x14ac:dyDescent="0.15">
      <c r="A616" s="10"/>
      <c r="B616" s="13"/>
      <c r="C616" s="13"/>
    </row>
    <row r="617" spans="1:3" ht="13" x14ac:dyDescent="0.15">
      <c r="A617" s="10"/>
      <c r="B617" s="13"/>
      <c r="C617" s="13"/>
    </row>
    <row r="618" spans="1:3" ht="13" x14ac:dyDescent="0.15">
      <c r="A618" s="10"/>
      <c r="B618" s="13"/>
      <c r="C618" s="13"/>
    </row>
    <row r="619" spans="1:3" ht="13" x14ac:dyDescent="0.15">
      <c r="A619" s="10"/>
      <c r="B619" s="13"/>
      <c r="C619" s="13"/>
    </row>
    <row r="620" spans="1:3" ht="13" x14ac:dyDescent="0.15">
      <c r="A620" s="10"/>
      <c r="B620" s="13"/>
      <c r="C620" s="13"/>
    </row>
    <row r="621" spans="1:3" ht="13" x14ac:dyDescent="0.15">
      <c r="A621" s="10"/>
      <c r="B621" s="13"/>
      <c r="C621" s="13"/>
    </row>
    <row r="622" spans="1:3" ht="13" x14ac:dyDescent="0.15">
      <c r="A622" s="10"/>
      <c r="B622" s="13"/>
      <c r="C622" s="13"/>
    </row>
    <row r="623" spans="1:3" ht="13" x14ac:dyDescent="0.15">
      <c r="A623" s="10"/>
      <c r="B623" s="13"/>
      <c r="C623" s="13"/>
    </row>
    <row r="624" spans="1:3" ht="13" x14ac:dyDescent="0.15">
      <c r="A624" s="10"/>
      <c r="B624" s="13"/>
      <c r="C624" s="13"/>
    </row>
    <row r="625" spans="1:3" ht="13" x14ac:dyDescent="0.15">
      <c r="A625" s="10"/>
      <c r="B625" s="13"/>
      <c r="C625" s="13"/>
    </row>
    <row r="626" spans="1:3" ht="13" x14ac:dyDescent="0.15">
      <c r="A626" s="10"/>
      <c r="B626" s="13"/>
      <c r="C626" s="13"/>
    </row>
    <row r="627" spans="1:3" ht="13" x14ac:dyDescent="0.15">
      <c r="A627" s="10"/>
      <c r="B627" s="13"/>
      <c r="C627" s="13"/>
    </row>
    <row r="628" spans="1:3" ht="13" x14ac:dyDescent="0.15">
      <c r="A628" s="10"/>
      <c r="B628" s="13"/>
      <c r="C628" s="13"/>
    </row>
    <row r="629" spans="1:3" ht="13" x14ac:dyDescent="0.15">
      <c r="A629" s="10"/>
      <c r="B629" s="13"/>
      <c r="C629" s="13"/>
    </row>
    <row r="630" spans="1:3" ht="13" x14ac:dyDescent="0.15">
      <c r="A630" s="10"/>
      <c r="B630" s="13"/>
      <c r="C630" s="13"/>
    </row>
    <row r="631" spans="1:3" ht="13" x14ac:dyDescent="0.15">
      <c r="A631" s="10"/>
      <c r="B631" s="13"/>
      <c r="C631" s="13"/>
    </row>
    <row r="632" spans="1:3" ht="13" x14ac:dyDescent="0.15">
      <c r="A632" s="10"/>
      <c r="B632" s="13"/>
      <c r="C632" s="13"/>
    </row>
    <row r="633" spans="1:3" ht="13" x14ac:dyDescent="0.15">
      <c r="A633" s="10"/>
      <c r="B633" s="13"/>
      <c r="C633" s="13"/>
    </row>
    <row r="634" spans="1:3" ht="13" x14ac:dyDescent="0.15">
      <c r="A634" s="10"/>
      <c r="B634" s="13"/>
      <c r="C634" s="13"/>
    </row>
    <row r="635" spans="1:3" ht="13" x14ac:dyDescent="0.15">
      <c r="A635" s="10"/>
      <c r="B635" s="13"/>
      <c r="C635" s="13"/>
    </row>
    <row r="636" spans="1:3" ht="13" x14ac:dyDescent="0.15">
      <c r="A636" s="10"/>
      <c r="B636" s="13"/>
      <c r="C636" s="13"/>
    </row>
    <row r="637" spans="1:3" ht="13" x14ac:dyDescent="0.15">
      <c r="A637" s="10"/>
      <c r="B637" s="13"/>
      <c r="C637" s="13"/>
    </row>
    <row r="638" spans="1:3" ht="13" x14ac:dyDescent="0.15">
      <c r="A638" s="10"/>
      <c r="B638" s="13"/>
      <c r="C638" s="13"/>
    </row>
    <row r="639" spans="1:3" ht="13" x14ac:dyDescent="0.15">
      <c r="A639" s="10"/>
      <c r="B639" s="13"/>
      <c r="C639" s="13"/>
    </row>
    <row r="640" spans="1:3" ht="13" x14ac:dyDescent="0.15">
      <c r="A640" s="10"/>
      <c r="B640" s="13"/>
      <c r="C640" s="13"/>
    </row>
    <row r="641" spans="1:3" ht="13" x14ac:dyDescent="0.15">
      <c r="A641" s="10"/>
      <c r="B641" s="13"/>
      <c r="C641" s="13"/>
    </row>
    <row r="642" spans="1:3" ht="13" x14ac:dyDescent="0.15">
      <c r="A642" s="10"/>
      <c r="B642" s="13"/>
      <c r="C642" s="13"/>
    </row>
    <row r="643" spans="1:3" ht="13" x14ac:dyDescent="0.15">
      <c r="A643" s="10"/>
      <c r="B643" s="13"/>
      <c r="C643" s="13"/>
    </row>
    <row r="644" spans="1:3" ht="13" x14ac:dyDescent="0.15">
      <c r="A644" s="10"/>
      <c r="B644" s="13"/>
      <c r="C644" s="13"/>
    </row>
    <row r="645" spans="1:3" ht="13" x14ac:dyDescent="0.15">
      <c r="A645" s="10"/>
      <c r="B645" s="13"/>
      <c r="C645" s="13"/>
    </row>
    <row r="646" spans="1:3" ht="13" x14ac:dyDescent="0.15">
      <c r="A646" s="10"/>
      <c r="B646" s="13"/>
      <c r="C646" s="13"/>
    </row>
    <row r="647" spans="1:3" ht="13" x14ac:dyDescent="0.15">
      <c r="A647" s="10"/>
      <c r="B647" s="13"/>
      <c r="C647" s="13"/>
    </row>
    <row r="648" spans="1:3" ht="13" x14ac:dyDescent="0.15">
      <c r="A648" s="10"/>
      <c r="B648" s="13"/>
      <c r="C648" s="13"/>
    </row>
    <row r="649" spans="1:3" ht="13" x14ac:dyDescent="0.15">
      <c r="A649" s="10"/>
      <c r="B649" s="13"/>
      <c r="C649" s="13"/>
    </row>
    <row r="650" spans="1:3" ht="13" x14ac:dyDescent="0.15">
      <c r="A650" s="10"/>
      <c r="B650" s="13"/>
      <c r="C650" s="13"/>
    </row>
    <row r="651" spans="1:3" ht="13" x14ac:dyDescent="0.15">
      <c r="A651" s="10"/>
      <c r="B651" s="13"/>
      <c r="C651" s="13"/>
    </row>
    <row r="652" spans="1:3" ht="13" x14ac:dyDescent="0.15">
      <c r="A652" s="10"/>
      <c r="B652" s="13"/>
      <c r="C652" s="13"/>
    </row>
    <row r="653" spans="1:3" ht="13" x14ac:dyDescent="0.15">
      <c r="A653" s="10"/>
      <c r="B653" s="13"/>
      <c r="C653" s="13"/>
    </row>
    <row r="654" spans="1:3" ht="13" x14ac:dyDescent="0.15">
      <c r="A654" s="10"/>
      <c r="B654" s="13"/>
      <c r="C654" s="13"/>
    </row>
    <row r="655" spans="1:3" ht="13" x14ac:dyDescent="0.15">
      <c r="A655" s="10"/>
      <c r="B655" s="13"/>
      <c r="C655" s="13"/>
    </row>
    <row r="656" spans="1:3" ht="13" x14ac:dyDescent="0.15">
      <c r="A656" s="10"/>
      <c r="B656" s="13"/>
      <c r="C656" s="13"/>
    </row>
    <row r="657" spans="1:3" ht="13" x14ac:dyDescent="0.15">
      <c r="A657" s="10"/>
      <c r="B657" s="13"/>
      <c r="C657" s="13"/>
    </row>
    <row r="658" spans="1:3" ht="13" x14ac:dyDescent="0.15">
      <c r="A658" s="10"/>
      <c r="B658" s="13"/>
      <c r="C658" s="13"/>
    </row>
    <row r="659" spans="1:3" ht="13" x14ac:dyDescent="0.15">
      <c r="A659" s="10"/>
      <c r="B659" s="13"/>
      <c r="C659" s="13"/>
    </row>
    <row r="660" spans="1:3" ht="13" x14ac:dyDescent="0.15">
      <c r="A660" s="10"/>
      <c r="B660" s="13"/>
      <c r="C660" s="13"/>
    </row>
    <row r="661" spans="1:3" ht="13" x14ac:dyDescent="0.15">
      <c r="A661" s="10"/>
      <c r="B661" s="13"/>
      <c r="C661" s="13"/>
    </row>
    <row r="662" spans="1:3" ht="13" x14ac:dyDescent="0.15">
      <c r="A662" s="10"/>
      <c r="B662" s="13"/>
      <c r="C662" s="13"/>
    </row>
    <row r="663" spans="1:3" ht="13" x14ac:dyDescent="0.15">
      <c r="A663" s="10"/>
      <c r="B663" s="13"/>
      <c r="C663" s="13"/>
    </row>
    <row r="664" spans="1:3" ht="13" x14ac:dyDescent="0.15">
      <c r="A664" s="10"/>
      <c r="B664" s="13"/>
      <c r="C664" s="13"/>
    </row>
    <row r="665" spans="1:3" ht="13" x14ac:dyDescent="0.15">
      <c r="A665" s="10"/>
      <c r="B665" s="13"/>
      <c r="C665" s="13"/>
    </row>
    <row r="666" spans="1:3" ht="13" x14ac:dyDescent="0.15">
      <c r="A666" s="10"/>
      <c r="B666" s="13"/>
      <c r="C666" s="13"/>
    </row>
    <row r="667" spans="1:3" ht="13" x14ac:dyDescent="0.15">
      <c r="A667" s="10"/>
      <c r="B667" s="13"/>
      <c r="C667" s="13"/>
    </row>
    <row r="668" spans="1:3" ht="13" x14ac:dyDescent="0.15">
      <c r="A668" s="10"/>
      <c r="B668" s="13"/>
      <c r="C668" s="13"/>
    </row>
    <row r="669" spans="1:3" ht="13" x14ac:dyDescent="0.15">
      <c r="A669" s="10"/>
      <c r="B669" s="13"/>
      <c r="C669" s="13"/>
    </row>
    <row r="670" spans="1:3" ht="13" x14ac:dyDescent="0.15">
      <c r="A670" s="10"/>
      <c r="B670" s="13"/>
      <c r="C670" s="13"/>
    </row>
    <row r="671" spans="1:3" ht="13" x14ac:dyDescent="0.15">
      <c r="A671" s="10"/>
      <c r="B671" s="13"/>
      <c r="C671" s="13"/>
    </row>
    <row r="672" spans="1:3" ht="13" x14ac:dyDescent="0.15">
      <c r="A672" s="10"/>
      <c r="B672" s="13"/>
      <c r="C672" s="13"/>
    </row>
    <row r="673" spans="1:3" ht="13" x14ac:dyDescent="0.15">
      <c r="A673" s="10"/>
      <c r="B673" s="13"/>
      <c r="C673" s="13"/>
    </row>
    <row r="674" spans="1:3" ht="13" x14ac:dyDescent="0.15">
      <c r="A674" s="10"/>
      <c r="B674" s="13"/>
      <c r="C674" s="13"/>
    </row>
    <row r="675" spans="1:3" ht="13" x14ac:dyDescent="0.15">
      <c r="A675" s="10"/>
      <c r="B675" s="13"/>
      <c r="C675" s="13"/>
    </row>
    <row r="676" spans="1:3" ht="13" x14ac:dyDescent="0.15">
      <c r="A676" s="10"/>
      <c r="B676" s="13"/>
      <c r="C676" s="13"/>
    </row>
    <row r="677" spans="1:3" ht="13" x14ac:dyDescent="0.15">
      <c r="A677" s="10"/>
      <c r="B677" s="13"/>
      <c r="C677" s="13"/>
    </row>
    <row r="678" spans="1:3" ht="13" x14ac:dyDescent="0.15">
      <c r="A678" s="10"/>
      <c r="B678" s="13"/>
      <c r="C678" s="13"/>
    </row>
    <row r="679" spans="1:3" ht="13" x14ac:dyDescent="0.15">
      <c r="A679" s="10"/>
      <c r="B679" s="13"/>
      <c r="C679" s="13"/>
    </row>
    <row r="680" spans="1:3" ht="13" x14ac:dyDescent="0.15">
      <c r="A680" s="10"/>
      <c r="B680" s="13"/>
      <c r="C680" s="13"/>
    </row>
    <row r="681" spans="1:3" ht="13" x14ac:dyDescent="0.15">
      <c r="A681" s="10"/>
      <c r="B681" s="13"/>
      <c r="C681" s="13"/>
    </row>
    <row r="682" spans="1:3" ht="13" x14ac:dyDescent="0.15">
      <c r="A682" s="10"/>
      <c r="B682" s="13"/>
      <c r="C682" s="13"/>
    </row>
    <row r="683" spans="1:3" ht="13" x14ac:dyDescent="0.15">
      <c r="A683" s="10"/>
      <c r="B683" s="13"/>
      <c r="C683" s="13"/>
    </row>
    <row r="684" spans="1:3" ht="13" x14ac:dyDescent="0.15">
      <c r="A684" s="10"/>
      <c r="B684" s="13"/>
      <c r="C684" s="13"/>
    </row>
    <row r="685" spans="1:3" ht="13" x14ac:dyDescent="0.15">
      <c r="A685" s="10"/>
      <c r="B685" s="13"/>
      <c r="C685" s="13"/>
    </row>
    <row r="686" spans="1:3" ht="13" x14ac:dyDescent="0.15">
      <c r="A686" s="10"/>
      <c r="B686" s="13"/>
      <c r="C686" s="13"/>
    </row>
    <row r="687" spans="1:3" ht="13" x14ac:dyDescent="0.15">
      <c r="A687" s="10"/>
      <c r="B687" s="13"/>
      <c r="C687" s="13"/>
    </row>
    <row r="688" spans="1:3" ht="13" x14ac:dyDescent="0.15">
      <c r="A688" s="10"/>
      <c r="B688" s="13"/>
      <c r="C688" s="13"/>
    </row>
    <row r="689" spans="1:3" ht="13" x14ac:dyDescent="0.15">
      <c r="A689" s="10"/>
      <c r="B689" s="13"/>
      <c r="C689" s="13"/>
    </row>
    <row r="690" spans="1:3" ht="13" x14ac:dyDescent="0.15">
      <c r="A690" s="10"/>
      <c r="B690" s="13"/>
      <c r="C690" s="13"/>
    </row>
    <row r="691" spans="1:3" ht="13" x14ac:dyDescent="0.15">
      <c r="A691" s="10"/>
      <c r="B691" s="13"/>
      <c r="C691" s="13"/>
    </row>
    <row r="692" spans="1:3" ht="13" x14ac:dyDescent="0.15">
      <c r="A692" s="10"/>
      <c r="B692" s="13"/>
      <c r="C692" s="13"/>
    </row>
    <row r="693" spans="1:3" ht="13" x14ac:dyDescent="0.15">
      <c r="A693" s="10"/>
      <c r="B693" s="13"/>
      <c r="C693" s="13"/>
    </row>
    <row r="694" spans="1:3" ht="13" x14ac:dyDescent="0.15">
      <c r="A694" s="10"/>
      <c r="B694" s="13"/>
      <c r="C694" s="13"/>
    </row>
    <row r="695" spans="1:3" ht="13" x14ac:dyDescent="0.15">
      <c r="A695" s="10"/>
      <c r="B695" s="13"/>
      <c r="C695" s="13"/>
    </row>
    <row r="696" spans="1:3" ht="13" x14ac:dyDescent="0.15">
      <c r="A696" s="10"/>
      <c r="B696" s="13"/>
      <c r="C696" s="13"/>
    </row>
    <row r="697" spans="1:3" ht="13" x14ac:dyDescent="0.15">
      <c r="A697" s="10"/>
      <c r="B697" s="13"/>
      <c r="C697" s="13"/>
    </row>
    <row r="698" spans="1:3" ht="13" x14ac:dyDescent="0.15">
      <c r="A698" s="10"/>
      <c r="B698" s="13"/>
      <c r="C698" s="13"/>
    </row>
    <row r="699" spans="1:3" ht="13" x14ac:dyDescent="0.15">
      <c r="A699" s="10"/>
      <c r="B699" s="13"/>
      <c r="C699" s="13"/>
    </row>
    <row r="700" spans="1:3" ht="13" x14ac:dyDescent="0.15">
      <c r="A700" s="10"/>
      <c r="B700" s="13"/>
      <c r="C700" s="13"/>
    </row>
    <row r="701" spans="1:3" ht="13" x14ac:dyDescent="0.15">
      <c r="A701" s="10"/>
      <c r="B701" s="13"/>
      <c r="C701" s="13"/>
    </row>
    <row r="702" spans="1:3" ht="13" x14ac:dyDescent="0.15">
      <c r="A702" s="10"/>
      <c r="B702" s="13"/>
      <c r="C702" s="13"/>
    </row>
    <row r="703" spans="1:3" ht="13" x14ac:dyDescent="0.15">
      <c r="A703" s="10"/>
      <c r="B703" s="13"/>
      <c r="C703" s="13"/>
    </row>
    <row r="704" spans="1:3" ht="13" x14ac:dyDescent="0.15">
      <c r="A704" s="10"/>
      <c r="B704" s="13"/>
      <c r="C704" s="13"/>
    </row>
    <row r="705" spans="1:3" ht="13" x14ac:dyDescent="0.15">
      <c r="A705" s="10"/>
      <c r="B705" s="13"/>
      <c r="C705" s="13"/>
    </row>
    <row r="706" spans="1:3" ht="13" x14ac:dyDescent="0.15">
      <c r="A706" s="10"/>
      <c r="B706" s="13"/>
      <c r="C706" s="13"/>
    </row>
    <row r="707" spans="1:3" ht="13" x14ac:dyDescent="0.15">
      <c r="A707" s="10"/>
      <c r="B707" s="13"/>
      <c r="C707" s="13"/>
    </row>
    <row r="708" spans="1:3" ht="13" x14ac:dyDescent="0.15">
      <c r="A708" s="10"/>
      <c r="B708" s="13"/>
      <c r="C708" s="13"/>
    </row>
    <row r="709" spans="1:3" ht="13" x14ac:dyDescent="0.15">
      <c r="A709" s="10"/>
      <c r="B709" s="13"/>
      <c r="C709" s="13"/>
    </row>
    <row r="710" spans="1:3" ht="13" x14ac:dyDescent="0.15">
      <c r="A710" s="10"/>
      <c r="B710" s="13"/>
      <c r="C710" s="13"/>
    </row>
    <row r="711" spans="1:3" ht="13" x14ac:dyDescent="0.15">
      <c r="A711" s="10"/>
      <c r="B711" s="13"/>
      <c r="C711" s="13"/>
    </row>
    <row r="712" spans="1:3" ht="13" x14ac:dyDescent="0.15">
      <c r="A712" s="10"/>
      <c r="B712" s="13"/>
      <c r="C712" s="13"/>
    </row>
    <row r="713" spans="1:3" ht="13" x14ac:dyDescent="0.15">
      <c r="A713" s="10"/>
      <c r="B713" s="13"/>
      <c r="C713" s="13"/>
    </row>
    <row r="714" spans="1:3" ht="13" x14ac:dyDescent="0.15">
      <c r="A714" s="10"/>
      <c r="B714" s="13"/>
      <c r="C714" s="13"/>
    </row>
    <row r="715" spans="1:3" ht="13" x14ac:dyDescent="0.15">
      <c r="A715" s="10"/>
      <c r="B715" s="13"/>
      <c r="C715" s="13"/>
    </row>
    <row r="716" spans="1:3" ht="13" x14ac:dyDescent="0.15">
      <c r="A716" s="10"/>
      <c r="B716" s="13"/>
      <c r="C716" s="13"/>
    </row>
    <row r="717" spans="1:3" ht="13" x14ac:dyDescent="0.15">
      <c r="A717" s="10"/>
      <c r="B717" s="13"/>
      <c r="C717" s="13"/>
    </row>
    <row r="718" spans="1:3" ht="13" x14ac:dyDescent="0.15">
      <c r="A718" s="10"/>
      <c r="B718" s="13"/>
      <c r="C718" s="13"/>
    </row>
    <row r="719" spans="1:3" ht="13" x14ac:dyDescent="0.15">
      <c r="A719" s="10"/>
      <c r="B719" s="13"/>
      <c r="C719" s="13"/>
    </row>
    <row r="720" spans="1:3" ht="13" x14ac:dyDescent="0.15">
      <c r="A720" s="10"/>
      <c r="B720" s="13"/>
      <c r="C720" s="13"/>
    </row>
    <row r="721" spans="1:3" ht="13" x14ac:dyDescent="0.15">
      <c r="A721" s="10"/>
      <c r="B721" s="13"/>
      <c r="C721" s="13"/>
    </row>
    <row r="722" spans="1:3" ht="13" x14ac:dyDescent="0.15">
      <c r="A722" s="10"/>
      <c r="B722" s="13"/>
      <c r="C722" s="13"/>
    </row>
    <row r="723" spans="1:3" ht="13" x14ac:dyDescent="0.15">
      <c r="A723" s="10"/>
      <c r="B723" s="13"/>
      <c r="C723" s="13"/>
    </row>
    <row r="724" spans="1:3" ht="13" x14ac:dyDescent="0.15">
      <c r="A724" s="10"/>
      <c r="B724" s="13"/>
      <c r="C724" s="13"/>
    </row>
    <row r="725" spans="1:3" ht="13" x14ac:dyDescent="0.15">
      <c r="A725" s="10"/>
      <c r="B725" s="13"/>
      <c r="C725" s="13"/>
    </row>
    <row r="726" spans="1:3" ht="13" x14ac:dyDescent="0.15">
      <c r="A726" s="10"/>
      <c r="B726" s="13"/>
      <c r="C726" s="13"/>
    </row>
    <row r="727" spans="1:3" ht="13" x14ac:dyDescent="0.15">
      <c r="A727" s="10"/>
      <c r="B727" s="13"/>
      <c r="C727" s="13"/>
    </row>
    <row r="728" spans="1:3" ht="13" x14ac:dyDescent="0.15">
      <c r="A728" s="10"/>
      <c r="B728" s="13"/>
      <c r="C728" s="13"/>
    </row>
    <row r="729" spans="1:3" ht="13" x14ac:dyDescent="0.15">
      <c r="A729" s="10"/>
      <c r="B729" s="13"/>
      <c r="C729" s="13"/>
    </row>
    <row r="730" spans="1:3" ht="13" x14ac:dyDescent="0.15">
      <c r="A730" s="10"/>
      <c r="B730" s="13"/>
      <c r="C730" s="13"/>
    </row>
    <row r="731" spans="1:3" ht="13" x14ac:dyDescent="0.15">
      <c r="A731" s="10"/>
      <c r="B731" s="13"/>
      <c r="C731" s="13"/>
    </row>
    <row r="732" spans="1:3" ht="13" x14ac:dyDescent="0.15">
      <c r="A732" s="10"/>
      <c r="B732" s="13"/>
      <c r="C732" s="13"/>
    </row>
    <row r="733" spans="1:3" ht="13" x14ac:dyDescent="0.15">
      <c r="A733" s="10"/>
      <c r="B733" s="13"/>
      <c r="C733" s="13"/>
    </row>
    <row r="734" spans="1:3" ht="13" x14ac:dyDescent="0.15">
      <c r="A734" s="10"/>
      <c r="B734" s="13"/>
      <c r="C734" s="13"/>
    </row>
    <row r="735" spans="1:3" ht="13" x14ac:dyDescent="0.15">
      <c r="A735" s="10"/>
      <c r="B735" s="13"/>
      <c r="C735" s="13"/>
    </row>
    <row r="736" spans="1:3" ht="13" x14ac:dyDescent="0.15">
      <c r="A736" s="10"/>
      <c r="B736" s="13"/>
      <c r="C736" s="13"/>
    </row>
    <row r="737" spans="1:3" ht="13" x14ac:dyDescent="0.15">
      <c r="A737" s="10"/>
      <c r="B737" s="13"/>
      <c r="C737" s="13"/>
    </row>
    <row r="738" spans="1:3" ht="13" x14ac:dyDescent="0.15">
      <c r="A738" s="10"/>
      <c r="B738" s="13"/>
      <c r="C738" s="13"/>
    </row>
    <row r="739" spans="1:3" ht="13" x14ac:dyDescent="0.15">
      <c r="A739" s="10"/>
      <c r="B739" s="13"/>
      <c r="C739" s="13"/>
    </row>
    <row r="740" spans="1:3" ht="13" x14ac:dyDescent="0.15">
      <c r="A740" s="10"/>
      <c r="B740" s="13"/>
      <c r="C740" s="13"/>
    </row>
    <row r="741" spans="1:3" ht="13" x14ac:dyDescent="0.15">
      <c r="A741" s="10"/>
      <c r="B741" s="13"/>
      <c r="C741" s="13"/>
    </row>
    <row r="742" spans="1:3" ht="13" x14ac:dyDescent="0.15">
      <c r="A742" s="10"/>
      <c r="B742" s="13"/>
      <c r="C742" s="13"/>
    </row>
    <row r="743" spans="1:3" ht="13" x14ac:dyDescent="0.15">
      <c r="A743" s="10"/>
      <c r="B743" s="13"/>
      <c r="C743" s="13"/>
    </row>
    <row r="744" spans="1:3" ht="13" x14ac:dyDescent="0.15">
      <c r="A744" s="10"/>
      <c r="B744" s="13"/>
      <c r="C744" s="13"/>
    </row>
    <row r="745" spans="1:3" ht="13" x14ac:dyDescent="0.15">
      <c r="A745" s="10"/>
      <c r="B745" s="13"/>
      <c r="C745" s="13"/>
    </row>
    <row r="746" spans="1:3" ht="13" x14ac:dyDescent="0.15">
      <c r="A746" s="10"/>
      <c r="B746" s="13"/>
      <c r="C746" s="13"/>
    </row>
    <row r="747" spans="1:3" ht="13" x14ac:dyDescent="0.15">
      <c r="A747" s="10"/>
      <c r="B747" s="13"/>
      <c r="C747" s="13"/>
    </row>
    <row r="748" spans="1:3" ht="13" x14ac:dyDescent="0.15">
      <c r="A748" s="10"/>
      <c r="B748" s="13"/>
      <c r="C748" s="13"/>
    </row>
    <row r="749" spans="1:3" ht="13" x14ac:dyDescent="0.15">
      <c r="A749" s="10"/>
      <c r="B749" s="13"/>
      <c r="C749" s="13"/>
    </row>
    <row r="750" spans="1:3" ht="13" x14ac:dyDescent="0.15">
      <c r="A750" s="10"/>
      <c r="B750" s="13"/>
      <c r="C750" s="13"/>
    </row>
    <row r="751" spans="1:3" ht="13" x14ac:dyDescent="0.15">
      <c r="A751" s="10"/>
      <c r="B751" s="13"/>
      <c r="C751" s="13"/>
    </row>
    <row r="752" spans="1:3" ht="13" x14ac:dyDescent="0.15">
      <c r="A752" s="10"/>
      <c r="B752" s="13"/>
      <c r="C752" s="13"/>
    </row>
    <row r="753" spans="1:3" ht="13" x14ac:dyDescent="0.15">
      <c r="A753" s="10"/>
      <c r="B753" s="13"/>
      <c r="C753" s="13"/>
    </row>
    <row r="754" spans="1:3" ht="13" x14ac:dyDescent="0.15">
      <c r="A754" s="10"/>
      <c r="B754" s="13"/>
      <c r="C754" s="13"/>
    </row>
    <row r="755" spans="1:3" ht="13" x14ac:dyDescent="0.15">
      <c r="A755" s="10"/>
      <c r="B755" s="13"/>
      <c r="C755" s="13"/>
    </row>
    <row r="756" spans="1:3" ht="13" x14ac:dyDescent="0.15">
      <c r="A756" s="10"/>
      <c r="B756" s="13"/>
      <c r="C756" s="13"/>
    </row>
    <row r="757" spans="1:3" ht="13" x14ac:dyDescent="0.15">
      <c r="A757" s="10"/>
      <c r="B757" s="13"/>
      <c r="C757" s="13"/>
    </row>
    <row r="758" spans="1:3" ht="13" x14ac:dyDescent="0.15">
      <c r="A758" s="10"/>
      <c r="B758" s="13"/>
      <c r="C758" s="13"/>
    </row>
    <row r="759" spans="1:3" ht="13" x14ac:dyDescent="0.15">
      <c r="A759" s="10"/>
      <c r="B759" s="13"/>
      <c r="C759" s="13"/>
    </row>
    <row r="760" spans="1:3" ht="13" x14ac:dyDescent="0.15">
      <c r="A760" s="10"/>
      <c r="B760" s="13"/>
      <c r="C760" s="13"/>
    </row>
    <row r="761" spans="1:3" ht="13" x14ac:dyDescent="0.15">
      <c r="A761" s="10"/>
      <c r="B761" s="13"/>
      <c r="C761" s="13"/>
    </row>
    <row r="762" spans="1:3" ht="13" x14ac:dyDescent="0.15">
      <c r="A762" s="10"/>
      <c r="B762" s="13"/>
      <c r="C762" s="13"/>
    </row>
    <row r="763" spans="1:3" ht="13" x14ac:dyDescent="0.15">
      <c r="A763" s="10"/>
      <c r="B763" s="13"/>
      <c r="C763" s="13"/>
    </row>
    <row r="764" spans="1:3" ht="13" x14ac:dyDescent="0.15">
      <c r="A764" s="10"/>
      <c r="B764" s="13"/>
      <c r="C764" s="13"/>
    </row>
    <row r="765" spans="1:3" ht="13" x14ac:dyDescent="0.15">
      <c r="A765" s="10"/>
      <c r="B765" s="13"/>
      <c r="C765" s="13"/>
    </row>
    <row r="766" spans="1:3" ht="13" x14ac:dyDescent="0.15">
      <c r="A766" s="10"/>
      <c r="B766" s="13"/>
      <c r="C766" s="13"/>
    </row>
    <row r="767" spans="1:3" ht="13" x14ac:dyDescent="0.15">
      <c r="A767" s="10"/>
      <c r="B767" s="13"/>
      <c r="C767" s="13"/>
    </row>
    <row r="768" spans="1:3" ht="13" x14ac:dyDescent="0.15">
      <c r="A768" s="10"/>
      <c r="B768" s="13"/>
      <c r="C768" s="13"/>
    </row>
    <row r="769" spans="1:3" ht="13" x14ac:dyDescent="0.15">
      <c r="A769" s="10"/>
      <c r="B769" s="13"/>
      <c r="C769" s="13"/>
    </row>
    <row r="770" spans="1:3" ht="13" x14ac:dyDescent="0.15">
      <c r="A770" s="10"/>
      <c r="B770" s="13"/>
      <c r="C770" s="13"/>
    </row>
    <row r="771" spans="1:3" ht="13" x14ac:dyDescent="0.15">
      <c r="A771" s="10"/>
      <c r="B771" s="13"/>
      <c r="C771" s="13"/>
    </row>
    <row r="772" spans="1:3" ht="13" x14ac:dyDescent="0.15">
      <c r="A772" s="10"/>
      <c r="B772" s="13"/>
      <c r="C772" s="13"/>
    </row>
    <row r="773" spans="1:3" ht="13" x14ac:dyDescent="0.15">
      <c r="A773" s="10"/>
      <c r="B773" s="13"/>
      <c r="C773" s="13"/>
    </row>
    <row r="774" spans="1:3" ht="13" x14ac:dyDescent="0.15">
      <c r="A774" s="10"/>
      <c r="B774" s="13"/>
      <c r="C774" s="13"/>
    </row>
    <row r="775" spans="1:3" ht="13" x14ac:dyDescent="0.15">
      <c r="A775" s="10"/>
      <c r="B775" s="13"/>
      <c r="C775" s="13"/>
    </row>
    <row r="776" spans="1:3" ht="13" x14ac:dyDescent="0.15">
      <c r="A776" s="10"/>
      <c r="B776" s="13"/>
      <c r="C776" s="13"/>
    </row>
    <row r="777" spans="1:3" ht="13" x14ac:dyDescent="0.15">
      <c r="A777" s="10"/>
      <c r="B777" s="13"/>
      <c r="C777" s="13"/>
    </row>
    <row r="778" spans="1:3" ht="13" x14ac:dyDescent="0.15">
      <c r="A778" s="10"/>
      <c r="B778" s="13"/>
      <c r="C778" s="13"/>
    </row>
    <row r="779" spans="1:3" ht="13" x14ac:dyDescent="0.15">
      <c r="A779" s="10"/>
      <c r="B779" s="13"/>
      <c r="C779" s="13"/>
    </row>
    <row r="780" spans="1:3" ht="13" x14ac:dyDescent="0.15">
      <c r="A780" s="10"/>
      <c r="B780" s="13"/>
      <c r="C780" s="13"/>
    </row>
    <row r="781" spans="1:3" ht="13" x14ac:dyDescent="0.15">
      <c r="A781" s="10"/>
      <c r="B781" s="13"/>
      <c r="C781" s="13"/>
    </row>
    <row r="782" spans="1:3" ht="13" x14ac:dyDescent="0.15">
      <c r="A782" s="10"/>
      <c r="B782" s="13"/>
      <c r="C782" s="13"/>
    </row>
    <row r="783" spans="1:3" ht="13" x14ac:dyDescent="0.15">
      <c r="A783" s="10"/>
      <c r="B783" s="13"/>
      <c r="C783" s="13"/>
    </row>
    <row r="784" spans="1:3" ht="13" x14ac:dyDescent="0.15">
      <c r="A784" s="10"/>
      <c r="B784" s="13"/>
      <c r="C784" s="13"/>
    </row>
    <row r="785" spans="1:3" ht="13" x14ac:dyDescent="0.15">
      <c r="A785" s="10"/>
      <c r="B785" s="13"/>
      <c r="C785" s="13"/>
    </row>
    <row r="786" spans="1:3" ht="13" x14ac:dyDescent="0.15">
      <c r="A786" s="10"/>
      <c r="B786" s="13"/>
      <c r="C786" s="13"/>
    </row>
    <row r="787" spans="1:3" ht="13" x14ac:dyDescent="0.15">
      <c r="A787" s="10"/>
      <c r="B787" s="13"/>
      <c r="C787" s="13"/>
    </row>
    <row r="788" spans="1:3" ht="13" x14ac:dyDescent="0.15">
      <c r="A788" s="10"/>
      <c r="B788" s="13"/>
      <c r="C788" s="13"/>
    </row>
    <row r="789" spans="1:3" ht="13" x14ac:dyDescent="0.15">
      <c r="A789" s="10"/>
      <c r="B789" s="13"/>
      <c r="C789" s="13"/>
    </row>
    <row r="790" spans="1:3" ht="13" x14ac:dyDescent="0.15">
      <c r="A790" s="10"/>
      <c r="B790" s="13"/>
      <c r="C790" s="13"/>
    </row>
    <row r="791" spans="1:3" ht="13" x14ac:dyDescent="0.15">
      <c r="A791" s="10"/>
      <c r="B791" s="13"/>
      <c r="C791" s="13"/>
    </row>
    <row r="792" spans="1:3" ht="13" x14ac:dyDescent="0.15">
      <c r="A792" s="10"/>
      <c r="B792" s="13"/>
      <c r="C792" s="13"/>
    </row>
    <row r="793" spans="1:3" ht="13" x14ac:dyDescent="0.15">
      <c r="A793" s="10"/>
      <c r="B793" s="13"/>
      <c r="C793" s="13"/>
    </row>
    <row r="794" spans="1:3" ht="13" x14ac:dyDescent="0.15">
      <c r="A794" s="10"/>
      <c r="B794" s="13"/>
      <c r="C794" s="13"/>
    </row>
    <row r="795" spans="1:3" ht="13" x14ac:dyDescent="0.15">
      <c r="A795" s="10"/>
      <c r="B795" s="13"/>
      <c r="C795" s="13"/>
    </row>
    <row r="796" spans="1:3" ht="13" x14ac:dyDescent="0.15">
      <c r="A796" s="10"/>
      <c r="B796" s="13"/>
      <c r="C796" s="13"/>
    </row>
    <row r="797" spans="1:3" ht="13" x14ac:dyDescent="0.15">
      <c r="A797" s="10"/>
      <c r="B797" s="13"/>
      <c r="C797" s="13"/>
    </row>
    <row r="798" spans="1:3" ht="13" x14ac:dyDescent="0.15">
      <c r="A798" s="10"/>
      <c r="B798" s="13"/>
      <c r="C798" s="13"/>
    </row>
    <row r="799" spans="1:3" ht="13" x14ac:dyDescent="0.15">
      <c r="A799" s="10"/>
      <c r="B799" s="13"/>
      <c r="C799" s="13"/>
    </row>
    <row r="800" spans="1:3" ht="13" x14ac:dyDescent="0.15">
      <c r="A800" s="10"/>
      <c r="B800" s="13"/>
      <c r="C800" s="13"/>
    </row>
    <row r="801" spans="1:3" ht="13" x14ac:dyDescent="0.15">
      <c r="A801" s="10"/>
      <c r="B801" s="13"/>
      <c r="C801" s="13"/>
    </row>
    <row r="802" spans="1:3" ht="13" x14ac:dyDescent="0.15">
      <c r="A802" s="10"/>
      <c r="B802" s="13"/>
      <c r="C802" s="13"/>
    </row>
    <row r="803" spans="1:3" ht="13" x14ac:dyDescent="0.15">
      <c r="A803" s="10"/>
      <c r="B803" s="13"/>
      <c r="C803" s="13"/>
    </row>
    <row r="804" spans="1:3" ht="13" x14ac:dyDescent="0.15">
      <c r="A804" s="10"/>
      <c r="B804" s="13"/>
      <c r="C804" s="13"/>
    </row>
    <row r="805" spans="1:3" ht="13" x14ac:dyDescent="0.15">
      <c r="A805" s="10"/>
      <c r="B805" s="13"/>
      <c r="C805" s="13"/>
    </row>
    <row r="806" spans="1:3" ht="13" x14ac:dyDescent="0.15">
      <c r="A806" s="10"/>
      <c r="B806" s="13"/>
      <c r="C806" s="13"/>
    </row>
    <row r="807" spans="1:3" ht="13" x14ac:dyDescent="0.15">
      <c r="A807" s="10"/>
      <c r="B807" s="13"/>
      <c r="C807" s="13"/>
    </row>
    <row r="808" spans="1:3" ht="13" x14ac:dyDescent="0.15">
      <c r="A808" s="10"/>
      <c r="B808" s="13"/>
      <c r="C808" s="13"/>
    </row>
    <row r="809" spans="1:3" ht="13" x14ac:dyDescent="0.15">
      <c r="A809" s="10"/>
      <c r="B809" s="13"/>
      <c r="C809" s="13"/>
    </row>
    <row r="810" spans="1:3" ht="13" x14ac:dyDescent="0.15">
      <c r="A810" s="10"/>
      <c r="B810" s="13"/>
      <c r="C810" s="13"/>
    </row>
    <row r="811" spans="1:3" ht="13" x14ac:dyDescent="0.15">
      <c r="A811" s="10"/>
      <c r="B811" s="13"/>
      <c r="C811" s="13"/>
    </row>
    <row r="812" spans="1:3" ht="13" x14ac:dyDescent="0.15">
      <c r="A812" s="10"/>
      <c r="B812" s="13"/>
      <c r="C812" s="13"/>
    </row>
    <row r="813" spans="1:3" ht="13" x14ac:dyDescent="0.15">
      <c r="A813" s="10"/>
      <c r="B813" s="13"/>
      <c r="C813" s="13"/>
    </row>
    <row r="814" spans="1:3" ht="13" x14ac:dyDescent="0.15">
      <c r="A814" s="10"/>
      <c r="B814" s="13"/>
      <c r="C814" s="13"/>
    </row>
    <row r="815" spans="1:3" ht="13" x14ac:dyDescent="0.15">
      <c r="A815" s="10"/>
      <c r="B815" s="13"/>
      <c r="C815" s="13"/>
    </row>
    <row r="816" spans="1:3" ht="13" x14ac:dyDescent="0.15">
      <c r="A816" s="10"/>
      <c r="B816" s="13"/>
      <c r="C816" s="13"/>
    </row>
    <row r="817" spans="1:3" ht="13" x14ac:dyDescent="0.15">
      <c r="A817" s="10"/>
      <c r="B817" s="13"/>
      <c r="C817" s="13"/>
    </row>
    <row r="818" spans="1:3" ht="13" x14ac:dyDescent="0.15">
      <c r="A818" s="10"/>
      <c r="B818" s="13"/>
      <c r="C818" s="13"/>
    </row>
    <row r="819" spans="1:3" ht="13" x14ac:dyDescent="0.15">
      <c r="A819" s="10"/>
      <c r="B819" s="13"/>
      <c r="C819" s="13"/>
    </row>
    <row r="820" spans="1:3" ht="13" x14ac:dyDescent="0.15">
      <c r="A820" s="10"/>
      <c r="B820" s="13"/>
      <c r="C820" s="13"/>
    </row>
    <row r="821" spans="1:3" ht="13" x14ac:dyDescent="0.15">
      <c r="A821" s="10"/>
      <c r="B821" s="13"/>
      <c r="C821" s="13"/>
    </row>
    <row r="822" spans="1:3" ht="13" x14ac:dyDescent="0.15">
      <c r="A822" s="10"/>
      <c r="B822" s="13"/>
      <c r="C822" s="13"/>
    </row>
    <row r="823" spans="1:3" ht="13" x14ac:dyDescent="0.15">
      <c r="A823" s="10"/>
      <c r="B823" s="13"/>
      <c r="C823" s="13"/>
    </row>
    <row r="824" spans="1:3" ht="13" x14ac:dyDescent="0.15">
      <c r="A824" s="10"/>
      <c r="B824" s="13"/>
      <c r="C824" s="13"/>
    </row>
    <row r="825" spans="1:3" ht="13" x14ac:dyDescent="0.15">
      <c r="A825" s="10"/>
      <c r="B825" s="13"/>
      <c r="C825" s="13"/>
    </row>
    <row r="826" spans="1:3" ht="13" x14ac:dyDescent="0.15">
      <c r="A826" s="10"/>
      <c r="B826" s="13"/>
      <c r="C826" s="13"/>
    </row>
    <row r="827" spans="1:3" ht="13" x14ac:dyDescent="0.15">
      <c r="A827" s="10"/>
      <c r="B827" s="13"/>
      <c r="C827" s="13"/>
    </row>
    <row r="828" spans="1:3" ht="13" x14ac:dyDescent="0.15">
      <c r="A828" s="10"/>
      <c r="B828" s="13"/>
      <c r="C828" s="13"/>
    </row>
    <row r="829" spans="1:3" ht="13" x14ac:dyDescent="0.15">
      <c r="A829" s="10"/>
      <c r="B829" s="13"/>
      <c r="C829" s="13"/>
    </row>
    <row r="830" spans="1:3" ht="13" x14ac:dyDescent="0.15">
      <c r="A830" s="10"/>
      <c r="B830" s="13"/>
      <c r="C830" s="13"/>
    </row>
    <row r="831" spans="1:3" ht="13" x14ac:dyDescent="0.15">
      <c r="A831" s="10"/>
      <c r="B831" s="13"/>
      <c r="C831" s="13"/>
    </row>
    <row r="832" spans="1:3" ht="13" x14ac:dyDescent="0.15">
      <c r="A832" s="10"/>
      <c r="B832" s="13"/>
      <c r="C832" s="13"/>
    </row>
    <row r="833" spans="1:3" ht="13" x14ac:dyDescent="0.15">
      <c r="A833" s="10"/>
      <c r="B833" s="13"/>
      <c r="C833" s="13"/>
    </row>
    <row r="834" spans="1:3" ht="13" x14ac:dyDescent="0.15">
      <c r="A834" s="10"/>
      <c r="B834" s="13"/>
      <c r="C834" s="13"/>
    </row>
    <row r="835" spans="1:3" ht="13" x14ac:dyDescent="0.15">
      <c r="A835" s="10"/>
      <c r="B835" s="13"/>
      <c r="C835" s="13"/>
    </row>
    <row r="836" spans="1:3" ht="13" x14ac:dyDescent="0.15">
      <c r="A836" s="10"/>
      <c r="B836" s="13"/>
      <c r="C836" s="13"/>
    </row>
    <row r="837" spans="1:3" ht="13" x14ac:dyDescent="0.15">
      <c r="A837" s="10"/>
      <c r="B837" s="13"/>
      <c r="C837" s="13"/>
    </row>
    <row r="838" spans="1:3" ht="13" x14ac:dyDescent="0.15">
      <c r="A838" s="10"/>
      <c r="B838" s="13"/>
      <c r="C838" s="13"/>
    </row>
    <row r="839" spans="1:3" ht="13" x14ac:dyDescent="0.15">
      <c r="A839" s="10"/>
      <c r="B839" s="13"/>
      <c r="C839" s="13"/>
    </row>
    <row r="840" spans="1:3" ht="13" x14ac:dyDescent="0.15">
      <c r="A840" s="10"/>
      <c r="B840" s="13"/>
      <c r="C840" s="13"/>
    </row>
    <row r="841" spans="1:3" ht="13" x14ac:dyDescent="0.15">
      <c r="A841" s="10"/>
      <c r="B841" s="13"/>
      <c r="C841" s="13"/>
    </row>
    <row r="842" spans="1:3" ht="13" x14ac:dyDescent="0.15">
      <c r="A842" s="10"/>
      <c r="B842" s="13"/>
      <c r="C842" s="13"/>
    </row>
    <row r="843" spans="1:3" ht="13" x14ac:dyDescent="0.15">
      <c r="A843" s="10"/>
      <c r="B843" s="13"/>
      <c r="C843" s="13"/>
    </row>
    <row r="844" spans="1:3" ht="13" x14ac:dyDescent="0.15">
      <c r="A844" s="10"/>
      <c r="B844" s="13"/>
      <c r="C844" s="13"/>
    </row>
    <row r="845" spans="1:3" ht="13" x14ac:dyDescent="0.15">
      <c r="A845" s="10"/>
      <c r="B845" s="13"/>
      <c r="C845" s="13"/>
    </row>
    <row r="846" spans="1:3" ht="13" x14ac:dyDescent="0.15">
      <c r="A846" s="10"/>
      <c r="B846" s="13"/>
      <c r="C846" s="13"/>
    </row>
    <row r="847" spans="1:3" ht="13" x14ac:dyDescent="0.15">
      <c r="A847" s="10"/>
      <c r="B847" s="13"/>
      <c r="C847" s="13"/>
    </row>
    <row r="848" spans="1:3" ht="13" x14ac:dyDescent="0.15">
      <c r="A848" s="10"/>
      <c r="B848" s="13"/>
      <c r="C848" s="13"/>
    </row>
    <row r="849" spans="1:3" ht="13" x14ac:dyDescent="0.15">
      <c r="A849" s="10"/>
      <c r="B849" s="13"/>
      <c r="C849" s="13"/>
    </row>
    <row r="850" spans="1:3" ht="13" x14ac:dyDescent="0.15">
      <c r="A850" s="10"/>
      <c r="B850" s="13"/>
      <c r="C850" s="13"/>
    </row>
    <row r="851" spans="1:3" ht="13" x14ac:dyDescent="0.15">
      <c r="A851" s="10"/>
      <c r="B851" s="13"/>
      <c r="C851" s="13"/>
    </row>
    <row r="852" spans="1:3" ht="13" x14ac:dyDescent="0.15">
      <c r="A852" s="10"/>
      <c r="B852" s="13"/>
      <c r="C852" s="13"/>
    </row>
    <row r="853" spans="1:3" ht="13" x14ac:dyDescent="0.15">
      <c r="A853" s="10"/>
      <c r="B853" s="13"/>
      <c r="C853" s="13"/>
    </row>
    <row r="854" spans="1:3" ht="13" x14ac:dyDescent="0.15">
      <c r="A854" s="10"/>
      <c r="B854" s="13"/>
      <c r="C854" s="13"/>
    </row>
    <row r="855" spans="1:3" ht="13" x14ac:dyDescent="0.15">
      <c r="A855" s="10"/>
      <c r="B855" s="13"/>
      <c r="C855" s="13"/>
    </row>
    <row r="856" spans="1:3" ht="13" x14ac:dyDescent="0.15">
      <c r="A856" s="10"/>
      <c r="B856" s="13"/>
      <c r="C856" s="13"/>
    </row>
    <row r="857" spans="1:3" ht="13" x14ac:dyDescent="0.15">
      <c r="A857" s="10"/>
      <c r="B857" s="13"/>
      <c r="C857" s="13"/>
    </row>
    <row r="858" spans="1:3" ht="13" x14ac:dyDescent="0.15">
      <c r="A858" s="10"/>
      <c r="B858" s="13"/>
      <c r="C858" s="13"/>
    </row>
    <row r="859" spans="1:3" ht="13" x14ac:dyDescent="0.15">
      <c r="A859" s="10"/>
      <c r="B859" s="13"/>
      <c r="C859" s="13"/>
    </row>
    <row r="860" spans="1:3" ht="13" x14ac:dyDescent="0.15">
      <c r="A860" s="10"/>
      <c r="B860" s="13"/>
      <c r="C860" s="13"/>
    </row>
    <row r="861" spans="1:3" ht="13" x14ac:dyDescent="0.15">
      <c r="A861" s="10"/>
      <c r="B861" s="13"/>
      <c r="C861" s="13"/>
    </row>
    <row r="862" spans="1:3" ht="13" x14ac:dyDescent="0.15">
      <c r="A862" s="10"/>
      <c r="B862" s="13"/>
      <c r="C862" s="13"/>
    </row>
    <row r="863" spans="1:3" ht="13" x14ac:dyDescent="0.15">
      <c r="A863" s="10"/>
      <c r="B863" s="13"/>
      <c r="C863" s="13"/>
    </row>
    <row r="864" spans="1:3" ht="13" x14ac:dyDescent="0.15">
      <c r="A864" s="10"/>
      <c r="B864" s="13"/>
      <c r="C864" s="13"/>
    </row>
    <row r="865" spans="1:3" ht="13" x14ac:dyDescent="0.15">
      <c r="A865" s="10"/>
      <c r="B865" s="13"/>
      <c r="C865" s="13"/>
    </row>
    <row r="866" spans="1:3" ht="13" x14ac:dyDescent="0.15">
      <c r="A866" s="10"/>
      <c r="B866" s="13"/>
      <c r="C866" s="13"/>
    </row>
    <row r="867" spans="1:3" ht="13" x14ac:dyDescent="0.15">
      <c r="A867" s="10"/>
      <c r="B867" s="13"/>
      <c r="C867" s="13"/>
    </row>
    <row r="868" spans="1:3" ht="13" x14ac:dyDescent="0.15">
      <c r="A868" s="10"/>
      <c r="B868" s="13"/>
      <c r="C868" s="13"/>
    </row>
    <row r="869" spans="1:3" ht="13" x14ac:dyDescent="0.15">
      <c r="A869" s="10"/>
      <c r="B869" s="13"/>
      <c r="C869" s="13"/>
    </row>
    <row r="870" spans="1:3" ht="13" x14ac:dyDescent="0.15">
      <c r="A870" s="10"/>
      <c r="B870" s="13"/>
      <c r="C870" s="13"/>
    </row>
    <row r="871" spans="1:3" ht="13" x14ac:dyDescent="0.15">
      <c r="A871" s="10"/>
      <c r="B871" s="13"/>
      <c r="C871" s="13"/>
    </row>
    <row r="872" spans="1:3" ht="13" x14ac:dyDescent="0.15">
      <c r="A872" s="10"/>
      <c r="B872" s="13"/>
      <c r="C872" s="13"/>
    </row>
    <row r="873" spans="1:3" ht="13" x14ac:dyDescent="0.15">
      <c r="A873" s="10"/>
      <c r="B873" s="13"/>
      <c r="C873" s="13"/>
    </row>
    <row r="874" spans="1:3" ht="13" x14ac:dyDescent="0.15">
      <c r="A874" s="10"/>
      <c r="B874" s="13"/>
      <c r="C874" s="13"/>
    </row>
    <row r="875" spans="1:3" ht="13" x14ac:dyDescent="0.15">
      <c r="A875" s="10"/>
      <c r="B875" s="13"/>
      <c r="C875" s="13"/>
    </row>
    <row r="876" spans="1:3" ht="13" x14ac:dyDescent="0.15">
      <c r="A876" s="10"/>
      <c r="B876" s="13"/>
      <c r="C876" s="13"/>
    </row>
    <row r="877" spans="1:3" ht="13" x14ac:dyDescent="0.15">
      <c r="A877" s="10"/>
      <c r="B877" s="13"/>
      <c r="C877" s="13"/>
    </row>
    <row r="878" spans="1:3" ht="13" x14ac:dyDescent="0.15">
      <c r="A878" s="10"/>
      <c r="B878" s="13"/>
      <c r="C878" s="13"/>
    </row>
    <row r="879" spans="1:3" ht="13" x14ac:dyDescent="0.15">
      <c r="A879" s="10"/>
      <c r="B879" s="13"/>
      <c r="C879" s="13"/>
    </row>
    <row r="880" spans="1:3" ht="13" x14ac:dyDescent="0.15">
      <c r="A880" s="10"/>
      <c r="B880" s="13"/>
      <c r="C880" s="13"/>
    </row>
    <row r="881" spans="1:3" ht="13" x14ac:dyDescent="0.15">
      <c r="A881" s="10"/>
      <c r="B881" s="13"/>
      <c r="C881" s="13"/>
    </row>
    <row r="882" spans="1:3" ht="13" x14ac:dyDescent="0.15">
      <c r="A882" s="10"/>
      <c r="B882" s="13"/>
      <c r="C882" s="13"/>
    </row>
    <row r="883" spans="1:3" ht="13" x14ac:dyDescent="0.15">
      <c r="A883" s="10"/>
      <c r="B883" s="13"/>
      <c r="C883" s="13"/>
    </row>
    <row r="884" spans="1:3" ht="13" x14ac:dyDescent="0.15">
      <c r="A884" s="10"/>
      <c r="B884" s="13"/>
      <c r="C884" s="13"/>
    </row>
    <row r="885" spans="1:3" ht="13" x14ac:dyDescent="0.15">
      <c r="A885" s="10"/>
      <c r="B885" s="13"/>
      <c r="C885" s="13"/>
    </row>
    <row r="886" spans="1:3" ht="13" x14ac:dyDescent="0.15">
      <c r="A886" s="10"/>
      <c r="B886" s="13"/>
      <c r="C886" s="13"/>
    </row>
    <row r="887" spans="1:3" ht="13" x14ac:dyDescent="0.15">
      <c r="A887" s="10"/>
      <c r="B887" s="13"/>
      <c r="C887" s="13"/>
    </row>
    <row r="888" spans="1:3" ht="13" x14ac:dyDescent="0.15">
      <c r="A888" s="10"/>
      <c r="B888" s="13"/>
      <c r="C888" s="13"/>
    </row>
    <row r="889" spans="1:3" ht="13" x14ac:dyDescent="0.15">
      <c r="A889" s="10"/>
      <c r="B889" s="13"/>
      <c r="C889" s="13"/>
    </row>
    <row r="890" spans="1:3" ht="13" x14ac:dyDescent="0.15">
      <c r="A890" s="10"/>
      <c r="B890" s="13"/>
      <c r="C890" s="13"/>
    </row>
    <row r="891" spans="1:3" ht="13" x14ac:dyDescent="0.15">
      <c r="A891" s="10"/>
      <c r="B891" s="13"/>
      <c r="C891" s="13"/>
    </row>
    <row r="892" spans="1:3" ht="13" x14ac:dyDescent="0.15">
      <c r="A892" s="10"/>
      <c r="B892" s="13"/>
      <c r="C892" s="13"/>
    </row>
    <row r="893" spans="1:3" ht="13" x14ac:dyDescent="0.15">
      <c r="A893" s="10"/>
      <c r="B893" s="13"/>
      <c r="C893" s="13"/>
    </row>
    <row r="894" spans="1:3" ht="13" x14ac:dyDescent="0.15">
      <c r="A894" s="10"/>
      <c r="B894" s="13"/>
      <c r="C894" s="13"/>
    </row>
    <row r="895" spans="1:3" ht="13" x14ac:dyDescent="0.15">
      <c r="A895" s="10"/>
      <c r="B895" s="13"/>
      <c r="C895" s="13"/>
    </row>
    <row r="896" spans="1:3" ht="13" x14ac:dyDescent="0.15">
      <c r="A896" s="10"/>
      <c r="B896" s="13"/>
      <c r="C896" s="13"/>
    </row>
    <row r="897" spans="1:3" ht="13" x14ac:dyDescent="0.15">
      <c r="A897" s="10"/>
      <c r="B897" s="13"/>
      <c r="C897" s="13"/>
    </row>
    <row r="898" spans="1:3" ht="13" x14ac:dyDescent="0.15">
      <c r="A898" s="10"/>
      <c r="B898" s="13"/>
      <c r="C898" s="13"/>
    </row>
    <row r="899" spans="1:3" ht="13" x14ac:dyDescent="0.15">
      <c r="A899" s="10"/>
      <c r="B899" s="13"/>
      <c r="C899" s="13"/>
    </row>
    <row r="900" spans="1:3" ht="13" x14ac:dyDescent="0.15">
      <c r="A900" s="10"/>
      <c r="B900" s="13"/>
      <c r="C900" s="13"/>
    </row>
    <row r="901" spans="1:3" ht="13" x14ac:dyDescent="0.15">
      <c r="A901" s="10"/>
      <c r="B901" s="13"/>
      <c r="C901" s="13"/>
    </row>
    <row r="902" spans="1:3" ht="13" x14ac:dyDescent="0.15">
      <c r="A902" s="10"/>
      <c r="B902" s="13"/>
      <c r="C902" s="13"/>
    </row>
    <row r="903" spans="1:3" ht="13" x14ac:dyDescent="0.15">
      <c r="A903" s="10"/>
      <c r="B903" s="13"/>
      <c r="C903" s="13"/>
    </row>
    <row r="904" spans="1:3" ht="13" x14ac:dyDescent="0.15">
      <c r="A904" s="10"/>
      <c r="B904" s="13"/>
      <c r="C904" s="13"/>
    </row>
    <row r="905" spans="1:3" ht="13" x14ac:dyDescent="0.15">
      <c r="A905" s="10"/>
      <c r="B905" s="13"/>
      <c r="C905" s="13"/>
    </row>
    <row r="906" spans="1:3" ht="13" x14ac:dyDescent="0.15">
      <c r="A906" s="10"/>
      <c r="B906" s="13"/>
      <c r="C906" s="13"/>
    </row>
    <row r="907" spans="1:3" ht="13" x14ac:dyDescent="0.15">
      <c r="A907" s="10"/>
      <c r="B907" s="13"/>
      <c r="C907" s="13"/>
    </row>
    <row r="908" spans="1:3" ht="13" x14ac:dyDescent="0.15">
      <c r="A908" s="10"/>
      <c r="B908" s="13"/>
      <c r="C908" s="13"/>
    </row>
    <row r="909" spans="1:3" ht="13" x14ac:dyDescent="0.15">
      <c r="A909" s="10"/>
      <c r="B909" s="13"/>
      <c r="C909" s="13"/>
    </row>
    <row r="910" spans="1:3" ht="13" x14ac:dyDescent="0.15">
      <c r="A910" s="10"/>
      <c r="B910" s="13"/>
      <c r="C910" s="13"/>
    </row>
    <row r="911" spans="1:3" ht="13" x14ac:dyDescent="0.15">
      <c r="A911" s="10"/>
      <c r="B911" s="13"/>
      <c r="C911" s="13"/>
    </row>
    <row r="912" spans="1:3" ht="13" x14ac:dyDescent="0.15">
      <c r="A912" s="10"/>
      <c r="B912" s="13"/>
      <c r="C912" s="13"/>
    </row>
    <row r="913" spans="1:3" ht="13" x14ac:dyDescent="0.15">
      <c r="A913" s="10"/>
      <c r="B913" s="13"/>
      <c r="C913" s="13"/>
    </row>
    <row r="914" spans="1:3" ht="13" x14ac:dyDescent="0.15">
      <c r="A914" s="10"/>
      <c r="B914" s="13"/>
      <c r="C914" s="13"/>
    </row>
    <row r="915" spans="1:3" ht="13" x14ac:dyDescent="0.15">
      <c r="A915" s="10"/>
      <c r="B915" s="13"/>
      <c r="C915" s="13"/>
    </row>
    <row r="916" spans="1:3" ht="13" x14ac:dyDescent="0.15">
      <c r="A916" s="10"/>
      <c r="B916" s="13"/>
      <c r="C916" s="13"/>
    </row>
    <row r="917" spans="1:3" ht="13" x14ac:dyDescent="0.15">
      <c r="A917" s="10"/>
      <c r="B917" s="13"/>
      <c r="C917" s="13"/>
    </row>
    <row r="918" spans="1:3" ht="13" x14ac:dyDescent="0.15">
      <c r="A918" s="10"/>
      <c r="B918" s="13"/>
      <c r="C918" s="13"/>
    </row>
    <row r="919" spans="1:3" ht="13" x14ac:dyDescent="0.15">
      <c r="A919" s="10"/>
      <c r="B919" s="13"/>
      <c r="C919" s="13"/>
    </row>
    <row r="920" spans="1:3" ht="13" x14ac:dyDescent="0.15">
      <c r="A920" s="10"/>
      <c r="B920" s="13"/>
      <c r="C920" s="13"/>
    </row>
    <row r="921" spans="1:3" ht="13" x14ac:dyDescent="0.15">
      <c r="A921" s="10"/>
      <c r="B921" s="13"/>
      <c r="C921" s="13"/>
    </row>
    <row r="922" spans="1:3" ht="13" x14ac:dyDescent="0.15">
      <c r="A922" s="10"/>
      <c r="B922" s="13"/>
      <c r="C922" s="13"/>
    </row>
    <row r="923" spans="1:3" ht="13" x14ac:dyDescent="0.15">
      <c r="A923" s="10"/>
      <c r="B923" s="13"/>
      <c r="C923" s="13"/>
    </row>
    <row r="924" spans="1:3" ht="13" x14ac:dyDescent="0.15">
      <c r="A924" s="10"/>
      <c r="B924" s="13"/>
      <c r="C924" s="13"/>
    </row>
    <row r="925" spans="1:3" ht="13" x14ac:dyDescent="0.15">
      <c r="A925" s="10"/>
      <c r="B925" s="13"/>
      <c r="C925" s="13"/>
    </row>
    <row r="926" spans="1:3" ht="13" x14ac:dyDescent="0.15">
      <c r="A926" s="10"/>
      <c r="B926" s="13"/>
      <c r="C926" s="13"/>
    </row>
    <row r="927" spans="1:3" ht="13" x14ac:dyDescent="0.15">
      <c r="A927" s="10"/>
      <c r="B927" s="13"/>
      <c r="C927" s="13"/>
    </row>
    <row r="928" spans="1:3" ht="13" x14ac:dyDescent="0.15">
      <c r="A928" s="10"/>
      <c r="B928" s="13"/>
      <c r="C928" s="13"/>
    </row>
    <row r="929" spans="1:3" ht="13" x14ac:dyDescent="0.15">
      <c r="A929" s="10"/>
      <c r="B929" s="13"/>
      <c r="C929" s="13"/>
    </row>
    <row r="930" spans="1:3" ht="13" x14ac:dyDescent="0.15">
      <c r="A930" s="10"/>
      <c r="B930" s="13"/>
      <c r="C930" s="13"/>
    </row>
    <row r="931" spans="1:3" ht="13" x14ac:dyDescent="0.15">
      <c r="A931" s="10"/>
      <c r="B931" s="13"/>
      <c r="C931" s="13"/>
    </row>
    <row r="932" spans="1:3" ht="13" x14ac:dyDescent="0.15">
      <c r="A932" s="10"/>
      <c r="B932" s="13"/>
      <c r="C932" s="13"/>
    </row>
    <row r="933" spans="1:3" ht="13" x14ac:dyDescent="0.15">
      <c r="A933" s="10"/>
      <c r="B933" s="13"/>
      <c r="C933" s="13"/>
    </row>
    <row r="934" spans="1:3" ht="13" x14ac:dyDescent="0.15">
      <c r="A934" s="10"/>
      <c r="B934" s="13"/>
      <c r="C934" s="13"/>
    </row>
    <row r="935" spans="1:3" ht="13" x14ac:dyDescent="0.15">
      <c r="A935" s="10"/>
      <c r="B935" s="13"/>
      <c r="C935" s="13"/>
    </row>
    <row r="936" spans="1:3" ht="13" x14ac:dyDescent="0.15">
      <c r="A936" s="10"/>
      <c r="B936" s="13"/>
      <c r="C936" s="13"/>
    </row>
    <row r="937" spans="1:3" ht="13" x14ac:dyDescent="0.15">
      <c r="A937" s="10"/>
      <c r="B937" s="13"/>
      <c r="C937" s="13"/>
    </row>
    <row r="938" spans="1:3" ht="13" x14ac:dyDescent="0.15">
      <c r="A938" s="10"/>
      <c r="B938" s="13"/>
      <c r="C938" s="13"/>
    </row>
    <row r="939" spans="1:3" ht="13" x14ac:dyDescent="0.15">
      <c r="A939" s="10"/>
      <c r="B939" s="13"/>
      <c r="C939" s="13"/>
    </row>
    <row r="940" spans="1:3" ht="13" x14ac:dyDescent="0.15">
      <c r="A940" s="10"/>
      <c r="B940" s="13"/>
      <c r="C940" s="13"/>
    </row>
    <row r="941" spans="1:3" ht="13" x14ac:dyDescent="0.15">
      <c r="A941" s="10"/>
      <c r="B941" s="13"/>
      <c r="C941" s="13"/>
    </row>
    <row r="942" spans="1:3" ht="13" x14ac:dyDescent="0.15">
      <c r="A942" s="10"/>
      <c r="B942" s="13"/>
      <c r="C942" s="13"/>
    </row>
    <row r="943" spans="1:3" ht="13" x14ac:dyDescent="0.15">
      <c r="A943" s="10"/>
      <c r="B943" s="13"/>
      <c r="C943" s="13"/>
    </row>
    <row r="944" spans="1:3" ht="13" x14ac:dyDescent="0.15">
      <c r="A944" s="10"/>
      <c r="B944" s="13"/>
      <c r="C944" s="13"/>
    </row>
    <row r="945" spans="1:3" ht="13" x14ac:dyDescent="0.15">
      <c r="A945" s="10"/>
      <c r="B945" s="13"/>
      <c r="C945" s="13"/>
    </row>
    <row r="946" spans="1:3" ht="13" x14ac:dyDescent="0.15">
      <c r="A946" s="10"/>
      <c r="B946" s="13"/>
      <c r="C946" s="13"/>
    </row>
    <row r="947" spans="1:3" ht="13" x14ac:dyDescent="0.15">
      <c r="A947" s="10"/>
      <c r="B947" s="13"/>
      <c r="C947" s="13"/>
    </row>
    <row r="948" spans="1:3" ht="13" x14ac:dyDescent="0.15">
      <c r="A948" s="10"/>
      <c r="B948" s="13"/>
      <c r="C948" s="13"/>
    </row>
    <row r="949" spans="1:3" ht="13" x14ac:dyDescent="0.15">
      <c r="A949" s="10"/>
      <c r="B949" s="13"/>
      <c r="C949" s="13"/>
    </row>
    <row r="950" spans="1:3" ht="13" x14ac:dyDescent="0.15">
      <c r="A950" s="10"/>
      <c r="B950" s="13"/>
      <c r="C950" s="13"/>
    </row>
    <row r="951" spans="1:3" ht="13" x14ac:dyDescent="0.15">
      <c r="A951" s="10"/>
      <c r="B951" s="13"/>
      <c r="C951" s="13"/>
    </row>
    <row r="952" spans="1:3" ht="13" x14ac:dyDescent="0.15">
      <c r="A952" s="10"/>
      <c r="B952" s="13"/>
      <c r="C952" s="13"/>
    </row>
    <row r="953" spans="1:3" ht="13" x14ac:dyDescent="0.15">
      <c r="A953" s="10"/>
      <c r="B953" s="13"/>
      <c r="C953" s="13"/>
    </row>
    <row r="954" spans="1:3" ht="13" x14ac:dyDescent="0.15">
      <c r="A954" s="10"/>
      <c r="B954" s="13"/>
      <c r="C954" s="13"/>
    </row>
    <row r="955" spans="1:3" ht="13" x14ac:dyDescent="0.15">
      <c r="A955" s="10"/>
      <c r="B955" s="13"/>
      <c r="C955" s="13"/>
    </row>
    <row r="956" spans="1:3" ht="13" x14ac:dyDescent="0.15">
      <c r="A956" s="10"/>
      <c r="B956" s="13"/>
      <c r="C956" s="13"/>
    </row>
    <row r="957" spans="1:3" ht="13" x14ac:dyDescent="0.15">
      <c r="A957" s="10"/>
      <c r="B957" s="13"/>
      <c r="C957" s="13"/>
    </row>
    <row r="958" spans="1:3" ht="13" x14ac:dyDescent="0.15">
      <c r="A958" s="10"/>
      <c r="B958" s="13"/>
      <c r="C958" s="13"/>
    </row>
    <row r="959" spans="1:3" ht="13" x14ac:dyDescent="0.15">
      <c r="A959" s="10"/>
      <c r="B959" s="13"/>
      <c r="C959" s="13"/>
    </row>
    <row r="960" spans="1:3" ht="13" x14ac:dyDescent="0.15">
      <c r="A960" s="10"/>
      <c r="B960" s="13"/>
      <c r="C960" s="13"/>
    </row>
    <row r="961" spans="1:3" ht="13" x14ac:dyDescent="0.15">
      <c r="A961" s="10"/>
      <c r="B961" s="13"/>
      <c r="C961" s="13"/>
    </row>
    <row r="962" spans="1:3" ht="13" x14ac:dyDescent="0.15">
      <c r="A962" s="10"/>
      <c r="B962" s="13"/>
      <c r="C962" s="13"/>
    </row>
    <row r="963" spans="1:3" ht="13" x14ac:dyDescent="0.15">
      <c r="A963" s="10"/>
      <c r="B963" s="13"/>
      <c r="C963" s="13"/>
    </row>
    <row r="964" spans="1:3" ht="13" x14ac:dyDescent="0.15">
      <c r="A964" s="10"/>
      <c r="B964" s="13"/>
      <c r="C964" s="13"/>
    </row>
    <row r="965" spans="1:3" ht="13" x14ac:dyDescent="0.15">
      <c r="A965" s="10"/>
      <c r="B965" s="13"/>
      <c r="C965" s="13"/>
    </row>
    <row r="966" spans="1:3" ht="13" x14ac:dyDescent="0.15">
      <c r="A966" s="10"/>
      <c r="B966" s="13"/>
      <c r="C966" s="13"/>
    </row>
    <row r="967" spans="1:3" ht="13" x14ac:dyDescent="0.15">
      <c r="A967" s="10"/>
      <c r="B967" s="13"/>
      <c r="C967" s="13"/>
    </row>
    <row r="968" spans="1:3" ht="13" x14ac:dyDescent="0.15">
      <c r="A968" s="10"/>
      <c r="B968" s="13"/>
      <c r="C968" s="13"/>
    </row>
    <row r="969" spans="1:3" ht="13" x14ac:dyDescent="0.15">
      <c r="A969" s="10"/>
      <c r="B969" s="13"/>
      <c r="C969" s="13"/>
    </row>
    <row r="970" spans="1:3" ht="13" x14ac:dyDescent="0.15">
      <c r="A970" s="10"/>
      <c r="B970" s="13"/>
      <c r="C970" s="13"/>
    </row>
    <row r="971" spans="1:3" ht="13" x14ac:dyDescent="0.15">
      <c r="A971" s="10"/>
      <c r="B971" s="13"/>
      <c r="C971" s="13"/>
    </row>
    <row r="972" spans="1:3" ht="13" x14ac:dyDescent="0.15">
      <c r="A972" s="10"/>
      <c r="B972" s="13"/>
      <c r="C972" s="13"/>
    </row>
    <row r="973" spans="1:3" ht="13" x14ac:dyDescent="0.15">
      <c r="A973" s="10"/>
      <c r="B973" s="13"/>
      <c r="C973" s="13"/>
    </row>
    <row r="974" spans="1:3" ht="13" x14ac:dyDescent="0.15">
      <c r="A974" s="10"/>
      <c r="B974" s="13"/>
      <c r="C974" s="13"/>
    </row>
    <row r="975" spans="1:3" ht="13" x14ac:dyDescent="0.15">
      <c r="A975" s="10"/>
      <c r="B975" s="13"/>
      <c r="C975" s="13"/>
    </row>
    <row r="976" spans="1:3" ht="13" x14ac:dyDescent="0.15">
      <c r="A976" s="10"/>
      <c r="B976" s="13"/>
      <c r="C976" s="13"/>
    </row>
    <row r="977" spans="1:3" ht="13" x14ac:dyDescent="0.15">
      <c r="A977" s="10"/>
      <c r="B977" s="13"/>
      <c r="C977" s="13"/>
    </row>
    <row r="978" spans="1:3" ht="13" x14ac:dyDescent="0.15">
      <c r="A978" s="10"/>
      <c r="B978" s="13"/>
      <c r="C978" s="13"/>
    </row>
    <row r="979" spans="1:3" ht="13" x14ac:dyDescent="0.15">
      <c r="A979" s="10"/>
      <c r="B979" s="13"/>
      <c r="C979" s="13"/>
    </row>
    <row r="980" spans="1:3" ht="13" x14ac:dyDescent="0.15">
      <c r="A980" s="10"/>
      <c r="B980" s="13"/>
      <c r="C980" s="13"/>
    </row>
    <row r="981" spans="1:3" ht="13" x14ac:dyDescent="0.15">
      <c r="A981" s="10"/>
      <c r="B981" s="13"/>
      <c r="C981" s="13"/>
    </row>
    <row r="982" spans="1:3" ht="13" x14ac:dyDescent="0.15">
      <c r="A982" s="10"/>
      <c r="B982" s="13"/>
      <c r="C982" s="13"/>
    </row>
    <row r="983" spans="1:3" ht="13" x14ac:dyDescent="0.15">
      <c r="A983" s="10"/>
      <c r="B983" s="13"/>
      <c r="C983" s="13"/>
    </row>
    <row r="984" spans="1:3" ht="13" x14ac:dyDescent="0.15">
      <c r="A984" s="10"/>
      <c r="B984" s="13"/>
      <c r="C984" s="13"/>
    </row>
    <row r="985" spans="1:3" ht="13" x14ac:dyDescent="0.15">
      <c r="A985" s="10"/>
      <c r="B985" s="13"/>
      <c r="C985" s="13"/>
    </row>
    <row r="986" spans="1:3" ht="13" x14ac:dyDescent="0.15">
      <c r="A986" s="10"/>
      <c r="B986" s="13"/>
      <c r="C986" s="13"/>
    </row>
    <row r="987" spans="1:3" ht="13" x14ac:dyDescent="0.15">
      <c r="A987" s="10"/>
      <c r="B987" s="13"/>
      <c r="C987" s="13"/>
    </row>
    <row r="988" spans="1:3" ht="13" x14ac:dyDescent="0.15">
      <c r="A988" s="10"/>
      <c r="B988" s="13"/>
      <c r="C988" s="13"/>
    </row>
    <row r="989" spans="1:3" ht="13" x14ac:dyDescent="0.15">
      <c r="A989" s="10"/>
      <c r="B989" s="13"/>
      <c r="C989" s="13"/>
    </row>
    <row r="990" spans="1:3" ht="13" x14ac:dyDescent="0.15">
      <c r="A990" s="10"/>
      <c r="B990" s="13"/>
      <c r="C990" s="13"/>
    </row>
    <row r="991" spans="1:3" ht="13" x14ac:dyDescent="0.15">
      <c r="A991" s="10"/>
      <c r="B991" s="13"/>
      <c r="C991" s="13"/>
    </row>
    <row r="992" spans="1:3" ht="13" x14ac:dyDescent="0.15">
      <c r="A992" s="10"/>
      <c r="B992" s="13"/>
      <c r="C992" s="13"/>
    </row>
    <row r="993" spans="1:3" ht="13" x14ac:dyDescent="0.15">
      <c r="A993" s="10"/>
      <c r="B993" s="13"/>
      <c r="C993" s="13"/>
    </row>
    <row r="994" spans="1:3" ht="13" x14ac:dyDescent="0.15">
      <c r="A994" s="10"/>
      <c r="B994" s="13"/>
      <c r="C994" s="13"/>
    </row>
    <row r="995" spans="1:3" ht="13" x14ac:dyDescent="0.15">
      <c r="A995" s="10"/>
      <c r="B995" s="13"/>
      <c r="C995" s="13"/>
    </row>
    <row r="996" spans="1:3" ht="13" x14ac:dyDescent="0.15">
      <c r="A996" s="10"/>
      <c r="B996" s="13"/>
      <c r="C996" s="13"/>
    </row>
    <row r="997" spans="1:3" ht="13" x14ac:dyDescent="0.15">
      <c r="A997" s="10"/>
      <c r="B997" s="13"/>
      <c r="C997" s="13"/>
    </row>
  </sheetData>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outlinePr summaryBelow="0" summaryRight="0"/>
  </sheetPr>
  <dimension ref="A1:D997"/>
  <sheetViews>
    <sheetView workbookViewId="0"/>
  </sheetViews>
  <sheetFormatPr baseColWidth="10" defaultColWidth="12.6640625" defaultRowHeight="15.75" customHeight="1" x14ac:dyDescent="0.15"/>
  <cols>
    <col min="1" max="1" width="71.5" customWidth="1"/>
    <col min="2" max="4" width="37.6640625" customWidth="1"/>
  </cols>
  <sheetData>
    <row r="1" spans="1:4" x14ac:dyDescent="0.2">
      <c r="A1" s="1"/>
      <c r="B1" s="22" t="str">
        <f ca="1">IFERROR(__xludf.DUMMYFUNCTION("IMPORTRANGE(""https://docs.google.com/spreadsheets/u/0/d/1_NcUY7_L0-VKMwwoDwesshr7eGsHFBVPNg4YI6jkjhk"", ""A89!B1:B22"")"),"Noelle Labadens")</f>
        <v>Noelle Labadens</v>
      </c>
      <c r="C1" s="10" t="str">
        <f ca="1">IFERROR(__xludf.DUMMYFUNCTION("IMPORTRANGE(""https://docs.google.com/spreadsheets/u/0/d/1QLAeYl5D81_Myo-agZdCgYFm7rliPzxg4xkt-QHL9OA"", ""A89!B1:B22"")"),"Rin Godfrey")</f>
        <v>Rin Godfrey</v>
      </c>
      <c r="D1" s="2" t="s">
        <v>1</v>
      </c>
    </row>
    <row r="2" spans="1:4" ht="15.75" customHeight="1" x14ac:dyDescent="0.15">
      <c r="A2" s="3" t="s">
        <v>2</v>
      </c>
      <c r="B2" s="15" t="str">
        <f ca="1">IFERROR(__xludf.DUMMYFUNCTION("""COMPUTED_VALUE"""),"53235-53489 FOR")</f>
        <v>53235-53489 FOR</v>
      </c>
      <c r="C2" s="15" t="str">
        <f ca="1">IFERROR(__xludf.DUMMYFUNCTION("""COMPUTED_VALUE"""),"Start: 53235 
Stop: 53489 FOR")</f>
        <v>Start: 53235 
Stop: 53489 FOR</v>
      </c>
      <c r="D2" s="4"/>
    </row>
    <row r="3" spans="1:4" ht="15.75" customHeight="1" x14ac:dyDescent="0.15">
      <c r="A3" s="5" t="s">
        <v>3</v>
      </c>
      <c r="B3" s="17" t="str">
        <f ca="1">IFERROR(__xludf.DUMMYFUNCTION("""COMPUTED_VALUE"""),"DNA Master: 88, Phamerator: 89")</f>
        <v>DNA Master: 88, Phamerator: 89</v>
      </c>
      <c r="C3" s="17" t="str">
        <f ca="1">IFERROR(__xludf.DUMMYFUNCTION("""COMPUTED_VALUE"""),"DNA Master: 88
Phamerator: 89")</f>
        <v>DNA Master: 88
Phamerator: 89</v>
      </c>
      <c r="D3" s="6"/>
    </row>
    <row r="4" spans="1:4" ht="15.75" customHeight="1" x14ac:dyDescent="0.15">
      <c r="A4" s="5" t="s">
        <v>4</v>
      </c>
      <c r="B4" s="17" t="str">
        <f ca="1">IFERROR(__xludf.DUMMYFUNCTION("""COMPUTED_VALUE"""),"pham 209236")</f>
        <v>pham 209236</v>
      </c>
      <c r="C4" s="17" t="str">
        <f ca="1">IFERROR(__xludf.DUMMYFUNCTION("""COMPUTED_VALUE"""),"209236 3/18/25")</f>
        <v>209236 3/18/25</v>
      </c>
      <c r="D4" s="6"/>
    </row>
    <row r="5" spans="1:4" ht="15.75" customHeight="1" x14ac:dyDescent="0.15">
      <c r="A5" s="5" t="s">
        <v>5</v>
      </c>
      <c r="B5" s="17" t="str">
        <f ca="1">IFERROR(__xludf.DUMMYFUNCTION("""COMPUTED_VALUE"""),"Kovu_87, LiSara_84")</f>
        <v>Kovu_87, LiSara_84</v>
      </c>
      <c r="C5" s="17" t="str">
        <f ca="1">IFERROR(__xludf.DUMMYFUNCTION("""COMPUTED_VALUE"""),"Edmundo_86 (helix-turn-helix DNA binding domain protein)
Kovu_87 (helix-turn-helix DNA binding domain)")</f>
        <v>Edmundo_86 (helix-turn-helix DNA binding domain protein)
Kovu_87 (helix-turn-helix DNA binding domain)</v>
      </c>
      <c r="D5" s="6"/>
    </row>
    <row r="6" spans="1:4" ht="15.75" customHeight="1" x14ac:dyDescent="0.15">
      <c r="A6" s="5" t="s">
        <v>6</v>
      </c>
      <c r="B6" s="17" t="str">
        <f ca="1">IFERROR(__xludf.DUMMYFUNCTION("""COMPUTED_VALUE"""),"both")</f>
        <v>both</v>
      </c>
      <c r="C6" s="17" t="str">
        <f ca="1">IFERROR(__xludf.DUMMYFUNCTION("""COMPUTED_VALUE"""),"Both call with a strength of 17.77")</f>
        <v>Both call with a strength of 17.77</v>
      </c>
      <c r="D6" s="6"/>
    </row>
    <row r="7" spans="1:4" ht="15.75" customHeight="1" x14ac:dyDescent="0.15">
      <c r="A7" s="5" t="s">
        <v>7</v>
      </c>
      <c r="B7" s="17" t="str">
        <f ca="1">IFERROR(__xludf.DUMMYFUNCTION("""COMPUTED_VALUE"""),"good coding potential, captures all potential")</f>
        <v>good coding potential, captures all potential</v>
      </c>
      <c r="C7" s="17" t="str">
        <f ca="1">IFERROR(__xludf.DUMMYFUNCTION("""COMPUTED_VALUE"""),"It has good coding potential and all is included.")</f>
        <v>It has good coding potential and all is included.</v>
      </c>
      <c r="D7" s="6"/>
    </row>
    <row r="8" spans="1:4" ht="15.75" customHeight="1" x14ac:dyDescent="0.15">
      <c r="A8" s="5" t="s">
        <v>8</v>
      </c>
      <c r="B8" s="17" t="str">
        <f ca="1">IFERROR(__xludf.DUMMYFUNCTION("""COMPUTED_VALUE"""),"no,starts 1-3 are before it")</f>
        <v>no,starts 1-3 are before it</v>
      </c>
      <c r="C8" s="17" t="str">
        <f ca="1">IFERROR(__xludf.DUMMYFUNCTION("""COMPUTED_VALUE"""),"No this is not the longest ORF but if moved then it would overlap with previous gene.")</f>
        <v>No this is not the longest ORF but if moved then it would overlap with previous gene.</v>
      </c>
      <c r="D8" s="6"/>
    </row>
    <row r="9" spans="1:4" ht="15.75" customHeight="1" x14ac:dyDescent="0.15">
      <c r="A9" s="5" t="s">
        <v>9</v>
      </c>
      <c r="B9" s="17" t="str">
        <f ca="1">IFERROR(__xludf.DUMMYFUNCTION("""COMPUTED_VALUE"""),"3 nt overlap")</f>
        <v>3 nt overlap</v>
      </c>
      <c r="C9" s="17" t="str">
        <f ca="1">IFERROR(__xludf.DUMMYFUNCTION("""COMPUTED_VALUE"""),"Overlap of preves gene by 3 nucleotide")</f>
        <v>Overlap of preves gene by 3 nucleotide</v>
      </c>
      <c r="D9" s="6"/>
    </row>
    <row r="10" spans="1:4" ht="15.75" customHeight="1" x14ac:dyDescent="0.15">
      <c r="A10" s="5" t="s">
        <v>10</v>
      </c>
      <c r="B10" s="17" t="str">
        <f ca="1">IFERROR(__xludf.DUMMYFUNCTION("""COMPUTED_VALUE"""),"Z score: 2.386, other scores are bad")</f>
        <v>Z score: 2.386, other scores are bad</v>
      </c>
      <c r="C10" s="17" t="str">
        <f ca="1">IFERROR(__xludf.DUMMYFUNCTION("""COMPUTED_VALUE"""),"RBS raw score -3.976, Z-score 2.386, F-score -4.198. 
There are other starts but they are not as good as this one.")</f>
        <v>RBS raw score -3.976, Z-score 2.386, F-score -4.198. 
There are other starts but they are not as good as this one.</v>
      </c>
      <c r="D10" s="6"/>
    </row>
    <row r="11" spans="1:4" ht="15.75" customHeight="1" x14ac:dyDescent="0.15">
      <c r="A11" s="5" t="s">
        <v>11</v>
      </c>
      <c r="B11" s="17" t="str">
        <f ca="1">IFERROR(__xludf.DUMMYFUNCTION("""COMPUTED_VALUE"""),"all very bad. very very bad. like 30% bad.")</f>
        <v>all very bad. very very bad. like 30% bad.</v>
      </c>
      <c r="C11" s="17" t="str">
        <f ca="1">IFERROR(__xludf.DUMMYFUNCTION("""COMPUTED_VALUE"""),"None found")</f>
        <v>None found</v>
      </c>
      <c r="D11" s="6"/>
    </row>
    <row r="12" spans="1:4" ht="15.75" customHeight="1" x14ac:dyDescent="0.15">
      <c r="A12" s="5" t="s">
        <v>12</v>
      </c>
      <c r="B12" s="17" t="str">
        <f ca="1">IFERROR(__xludf.DUMMYFUNCTION("""COMPUTED_VALUE"""),"yes, called 100% of the time.")</f>
        <v>yes, called 100% of the time.</v>
      </c>
      <c r="C12" s="17" t="str">
        <f ca="1">IFERROR(__xludf.DUMMYFUNCTION("""COMPUTED_VALUE"""),"Start conserved found in 100% of pham.
Called 100% of the time present")</f>
        <v>Start conserved found in 100% of pham.
Called 100% of the time present</v>
      </c>
      <c r="D12" s="6"/>
    </row>
    <row r="13" spans="1:4" ht="15.75" customHeight="1" x14ac:dyDescent="0.15">
      <c r="A13" s="5" t="s">
        <v>13</v>
      </c>
      <c r="B13" s="17" t="str">
        <f ca="1">IFERROR(__xludf.DUMMYFUNCTION("""COMPUTED_VALUE"""),"no. no good evidience to change. has good coding potential, the other z scores are bad, and it is called in all members of pham.")</f>
        <v>no. no good evidience to change. has good coding potential, the other z scores are bad, and it is called in all members of pham.</v>
      </c>
      <c r="C13" s="17" t="str">
        <f ca="1">IFERROR(__xludf.DUMMYFUNCTION("""COMPUTED_VALUE"""),"No change to the start.")</f>
        <v>No change to the start.</v>
      </c>
      <c r="D13" s="6"/>
    </row>
    <row r="14" spans="1:4" ht="15.75" customHeight="1" x14ac:dyDescent="0.15">
      <c r="A14" s="5" t="s">
        <v>14</v>
      </c>
      <c r="B14" s="17" t="str">
        <f ca="1">IFERROR(__xludf.DUMMYFUNCTION("""COMPUTED_VALUE"""),"Wheelbite_83, 3e-08, Edmundo_86, 3e-08")</f>
        <v>Wheelbite_83, 3e-08, Edmundo_86, 3e-08</v>
      </c>
      <c r="C14" s="17" t="str">
        <f ca="1">IFERROR(__xludf.DUMMYFUNCTION("""COMPUTED_VALUE"""),"Kovu_87, 3e-60 
Waltz_84, 3e-07 ")</f>
        <v xml:space="preserve">Kovu_87, 3e-60 
Waltz_84, 3e-07 </v>
      </c>
      <c r="D14" s="6"/>
    </row>
    <row r="15" spans="1:4" ht="15.75" customHeight="1" x14ac:dyDescent="0.15">
      <c r="A15" s="5" t="s">
        <v>15</v>
      </c>
      <c r="B15" s="17" t="str">
        <f ca="1">IFERROR(__xludf.DUMMYFUNCTION("""COMPUTED_VALUE"""),"helix-turn-helix DNA binding domain protien, Edmundo_86")</f>
        <v>helix-turn-helix DNA binding domain protien, Edmundo_86</v>
      </c>
      <c r="C15" s="17" t="str">
        <f ca="1">IFERROR(__xludf.DUMMYFUNCTION("""COMPUTED_VALUE"""),"Kovu: helix-turn-helix DNA binding domain
Waltz_84: helix-turn-helix DNA binding domain protein")</f>
        <v>Kovu: helix-turn-helix DNA binding domain
Waltz_84: helix-turn-helix DNA binding domain protein</v>
      </c>
      <c r="D15" s="6"/>
    </row>
    <row r="16" spans="1:4" ht="15.75" customHeight="1" x14ac:dyDescent="0.15">
      <c r="A16" s="5" t="s">
        <v>16</v>
      </c>
      <c r="B16" s="17" t="str">
        <f ca="1">IFERROR(__xludf.DUMMYFUNCTION("""COMPUTED_VALUE"""),"yes, gene 90 is a bit off but everything else is to be expected. 90 may need a start change.")</f>
        <v>yes, gene 90 is a bit off but everything else is to be expected. 90 may need a start change.</v>
      </c>
      <c r="C16" s="17" t="str">
        <f ca="1">IFERROR(__xludf.DUMMYFUNCTION("""COMPUTED_VALUE"""),"The Synteny is good and Kovu and ApoKipo match well.")</f>
        <v>The Synteny is good and Kovu and ApoKipo match well.</v>
      </c>
      <c r="D16" s="6"/>
    </row>
    <row r="17" spans="1:4" ht="15.75" customHeight="1" x14ac:dyDescent="0.15">
      <c r="A17" s="5" t="s">
        <v>17</v>
      </c>
      <c r="B17" s="17" t="str">
        <f ca="1">IFERROR(__xludf.DUMMYFUNCTION("""COMPUTED_VALUE"""),"DNA REPLICATION PROTEIN DNAD; PRIMOSOME, DNA-BINDING PROTEIN, DNA BINDING PROTEIN; HET: CL; 2.0A {BACILLUS SUBTILIS}; 98.55%, q:65.48% t:40.74%, can't find the pink bar, yes (for the bar, I get confused). I looked at a couple other dna binding proteins an"&amp;"d didn't see the pink bar either.")</f>
        <v>DNA REPLICATION PROTEIN DNAD; PRIMOSOME, DNA-BINDING PROTEIN, DNA BINDING PROTEIN; HET: CL; 2.0A {BACILLUS SUBTILIS}; 98.55%, q:65.48% t:40.74%, can't find the pink bar, yes (for the bar, I get confused). I looked at a couple other dna binding proteins and didn't see the pink bar either.</v>
      </c>
      <c r="C17" s="17" t="str">
        <f ca="1">IFERROR(__xludf.DUMMYFUNCTION("""COMPUTED_VALUE"""),"2VN2_C CHROMOSOME REPLICATION INITIATION PROTEIN; DNAD, DNA REPLICATION, PRIMOSOME, REPLICATION; 2.3A {GEOBACILLUS KAUSTOPHILUS HTA426}
Probability: 98.49%
Query: 65%
Target: 43%
The functional domain is a part of the targeted alignment. It does not fully"&amp;" get the beginning but has everything else.")</f>
        <v>2VN2_C CHROMOSOME REPLICATION INITIATION PROTEIN; DNAD, DNA REPLICATION, PRIMOSOME, REPLICATION; 2.3A {GEOBACILLUS KAUSTOPHILUS HTA426}
Probability: 98.49%
Query: 65%
Target: 43%
The functional domain is a part of the targeted alignment. It does not fully get the beginning but has everything else.</v>
      </c>
      <c r="D17" s="6"/>
    </row>
    <row r="18" spans="1:4" ht="15.75" customHeight="1" x14ac:dyDescent="0.15">
      <c r="A18" s="5" t="s">
        <v>18</v>
      </c>
      <c r="B18" s="17" t="str">
        <f ca="1">IFERROR(__xludf.DUMMYFUNCTION("""COMPUTED_VALUE"""),"none")</f>
        <v>none</v>
      </c>
      <c r="C18" s="17" t="str">
        <f ca="1">IFERROR(__xludf.DUMMYFUNCTION("""COMPUTED_VALUE"""),"None")</f>
        <v>None</v>
      </c>
      <c r="D18" s="6"/>
    </row>
    <row r="19" spans="1:4" ht="15.75" customHeight="1" x14ac:dyDescent="0.15">
      <c r="A19" s="5" t="s">
        <v>19</v>
      </c>
      <c r="B19" s="17" t="str">
        <f ca="1">IFERROR(__xludf.DUMMYFUNCTION("""COMPUTED_VALUE"""),"none")</f>
        <v>none</v>
      </c>
      <c r="C19" s="17" t="str">
        <f ca="1">IFERROR(__xludf.DUMMYFUNCTION("""COMPUTED_VALUE"""),"None")</f>
        <v>None</v>
      </c>
      <c r="D19" s="6"/>
    </row>
    <row r="20" spans="1:4" ht="15.75" customHeight="1" x14ac:dyDescent="0.15">
      <c r="A20" s="5" t="s">
        <v>20</v>
      </c>
      <c r="B20" s="17" t="str">
        <f ca="1">IFERROR(__xludf.DUMMYFUNCTION("""COMPUTED_VALUE"""),"helix-turn-helix DNA binding domain protien. hth found in hhpred. matches called functions in pham. ")</f>
        <v xml:space="preserve">helix-turn-helix DNA binding domain protien. hth found in hhpred. matches called functions in pham. </v>
      </c>
      <c r="C20" s="17" t="str">
        <f ca="1">IFERROR(__xludf.DUMMYFUNCTION("""COMPUTED_VALUE"""),"helix-turn-helix DNA binding domain
This is the most likely function because of how close the other genes were also to this function. But need to look more into HTHs to check the alignments of your protein hitting HTHs, that they indeed hit 2-3 alpha heli"&amp;"ces in the sequence separated by small spacer (turn) regions of 3-4 amino acids. To confirm the functions.")</f>
        <v>helix-turn-helix DNA binding domain
This is the most likely function because of how close the other genes were also to this function. But need to look more into HTHs to check the alignments of your protein hitting HTHs, that they indeed hit 2-3 alpha helices in the sequence separated by small spacer (turn) regions of 3-4 amino acids. To confirm the functions.</v>
      </c>
      <c r="D20" s="6"/>
    </row>
    <row r="21" spans="1:4" x14ac:dyDescent="0.2">
      <c r="A21" s="7"/>
      <c r="B21" s="19"/>
      <c r="C21" s="19"/>
      <c r="D21" s="8"/>
    </row>
    <row r="22" spans="1:4" ht="15.75" customHeight="1" x14ac:dyDescent="0.15">
      <c r="A22" s="9" t="s">
        <v>21</v>
      </c>
      <c r="B22" s="19"/>
      <c r="C22" s="19" t="str">
        <f ca="1">IFERROR(__xludf.DUMMYFUNCTION("""COMPUTED_VALUE"""),"Need to look into HTHs")</f>
        <v>Need to look into HTHs</v>
      </c>
      <c r="D22" s="8"/>
    </row>
    <row r="23" spans="1:4" ht="15.75" customHeight="1" x14ac:dyDescent="0.15">
      <c r="A23" s="10"/>
      <c r="B23" s="13"/>
      <c r="C23" s="13"/>
    </row>
    <row r="24" spans="1:4" ht="15.75" customHeight="1" x14ac:dyDescent="0.15">
      <c r="A24" s="10"/>
      <c r="B24" s="13"/>
      <c r="C24" s="13"/>
    </row>
    <row r="25" spans="1:4" ht="15.75" customHeight="1" x14ac:dyDescent="0.15">
      <c r="A25" s="10"/>
      <c r="B25" s="13"/>
      <c r="C25" s="13"/>
    </row>
    <row r="26" spans="1:4" ht="15.75" customHeight="1" x14ac:dyDescent="0.15">
      <c r="A26" s="10"/>
      <c r="B26" s="13"/>
      <c r="C26" s="13"/>
    </row>
    <row r="27" spans="1:4" ht="15.75" customHeight="1" x14ac:dyDescent="0.15">
      <c r="A27" s="10"/>
      <c r="B27" s="13"/>
      <c r="C27" s="13"/>
    </row>
    <row r="28" spans="1:4" ht="15.75" customHeight="1" x14ac:dyDescent="0.15">
      <c r="A28" s="10"/>
      <c r="B28" s="13"/>
      <c r="C28" s="13"/>
    </row>
    <row r="29" spans="1:4" ht="15.75" customHeight="1" x14ac:dyDescent="0.15">
      <c r="A29" s="10"/>
      <c r="B29" s="13"/>
      <c r="C29" s="13"/>
    </row>
    <row r="30" spans="1:4" ht="15.75" customHeight="1" x14ac:dyDescent="0.15">
      <c r="A30" s="10"/>
      <c r="B30" s="13"/>
      <c r="C30" s="13"/>
    </row>
    <row r="31" spans="1:4" ht="15.75" customHeight="1" x14ac:dyDescent="0.15">
      <c r="A31" s="10"/>
      <c r="B31" s="13"/>
      <c r="C31" s="13"/>
    </row>
    <row r="32" spans="1:4" ht="15.75" customHeight="1" x14ac:dyDescent="0.15">
      <c r="A32" s="10"/>
      <c r="B32" s="13"/>
      <c r="C32" s="13"/>
    </row>
    <row r="33" spans="1:3" ht="15.75" customHeight="1" x14ac:dyDescent="0.15">
      <c r="A33" s="10"/>
      <c r="B33" s="13"/>
      <c r="C33" s="13"/>
    </row>
    <row r="34" spans="1:3" ht="15.75" customHeight="1" x14ac:dyDescent="0.15">
      <c r="A34" s="10"/>
      <c r="B34" s="13"/>
      <c r="C34" s="13"/>
    </row>
    <row r="35" spans="1:3" ht="15.75" customHeight="1" x14ac:dyDescent="0.15">
      <c r="A35" s="10"/>
      <c r="B35" s="13"/>
      <c r="C35" s="13"/>
    </row>
    <row r="36" spans="1:3" ht="15.75" customHeight="1" x14ac:dyDescent="0.15">
      <c r="A36" s="10"/>
      <c r="B36" s="13"/>
      <c r="C36" s="13"/>
    </row>
    <row r="37" spans="1:3" ht="15.75" customHeight="1" x14ac:dyDescent="0.15">
      <c r="A37" s="10"/>
      <c r="B37" s="13"/>
      <c r="C37" s="13"/>
    </row>
    <row r="38" spans="1:3" ht="15.75" customHeight="1" x14ac:dyDescent="0.15">
      <c r="A38" s="10"/>
      <c r="B38" s="13"/>
      <c r="C38" s="13"/>
    </row>
    <row r="39" spans="1:3" ht="13" x14ac:dyDescent="0.15">
      <c r="A39" s="10"/>
      <c r="B39" s="13"/>
      <c r="C39" s="13"/>
    </row>
    <row r="40" spans="1:3" ht="13" x14ac:dyDescent="0.15">
      <c r="A40" s="10"/>
      <c r="B40" s="13"/>
      <c r="C40" s="13"/>
    </row>
    <row r="41" spans="1:3" ht="13" x14ac:dyDescent="0.15">
      <c r="A41" s="10"/>
      <c r="B41" s="13"/>
      <c r="C41" s="13"/>
    </row>
    <row r="42" spans="1:3" ht="13" x14ac:dyDescent="0.15">
      <c r="A42" s="10"/>
      <c r="B42" s="13"/>
      <c r="C42" s="13"/>
    </row>
    <row r="43" spans="1:3" ht="13" x14ac:dyDescent="0.15">
      <c r="A43" s="10"/>
      <c r="B43" s="13"/>
      <c r="C43" s="13"/>
    </row>
    <row r="44" spans="1:3" ht="13" x14ac:dyDescent="0.15">
      <c r="A44" s="10"/>
      <c r="B44" s="13"/>
      <c r="C44" s="13"/>
    </row>
    <row r="45" spans="1:3" ht="13" x14ac:dyDescent="0.15">
      <c r="A45" s="10"/>
      <c r="B45" s="13"/>
      <c r="C45" s="13"/>
    </row>
    <row r="46" spans="1:3" ht="13" x14ac:dyDescent="0.15">
      <c r="A46" s="10"/>
      <c r="B46" s="13"/>
      <c r="C46" s="13"/>
    </row>
    <row r="47" spans="1:3" ht="13" x14ac:dyDescent="0.15">
      <c r="A47" s="10"/>
      <c r="B47" s="13"/>
      <c r="C47" s="13"/>
    </row>
    <row r="48" spans="1:3" ht="13" x14ac:dyDescent="0.15">
      <c r="A48" s="10"/>
      <c r="B48" s="13"/>
      <c r="C48" s="13"/>
    </row>
    <row r="49" spans="1:3" ht="13" x14ac:dyDescent="0.15">
      <c r="A49" s="10"/>
      <c r="B49" s="13"/>
      <c r="C49" s="13"/>
    </row>
    <row r="50" spans="1:3" ht="13" x14ac:dyDescent="0.15">
      <c r="A50" s="10"/>
      <c r="B50" s="13"/>
      <c r="C50" s="13"/>
    </row>
    <row r="51" spans="1:3" ht="13" x14ac:dyDescent="0.15">
      <c r="A51" s="10"/>
      <c r="B51" s="13"/>
      <c r="C51" s="13"/>
    </row>
    <row r="52" spans="1:3" ht="13" x14ac:dyDescent="0.15">
      <c r="A52" s="10"/>
      <c r="B52" s="13"/>
      <c r="C52" s="13"/>
    </row>
    <row r="53" spans="1:3" ht="13" x14ac:dyDescent="0.15">
      <c r="A53" s="10"/>
      <c r="B53" s="13"/>
      <c r="C53" s="13"/>
    </row>
    <row r="54" spans="1:3" ht="13" x14ac:dyDescent="0.15">
      <c r="A54" s="10"/>
      <c r="B54" s="13"/>
      <c r="C54" s="13"/>
    </row>
    <row r="55" spans="1:3" ht="13" x14ac:dyDescent="0.15">
      <c r="A55" s="10"/>
      <c r="B55" s="13"/>
      <c r="C55" s="13"/>
    </row>
    <row r="56" spans="1:3" ht="13" x14ac:dyDescent="0.15">
      <c r="A56" s="10"/>
      <c r="B56" s="13"/>
      <c r="C56" s="13"/>
    </row>
    <row r="57" spans="1:3" ht="13" x14ac:dyDescent="0.15">
      <c r="A57" s="10"/>
      <c r="B57" s="13"/>
      <c r="C57" s="13"/>
    </row>
    <row r="58" spans="1:3" ht="13" x14ac:dyDescent="0.15">
      <c r="A58" s="10"/>
      <c r="B58" s="13"/>
      <c r="C58" s="13"/>
    </row>
    <row r="59" spans="1:3" ht="13" x14ac:dyDescent="0.15">
      <c r="A59" s="10"/>
      <c r="B59" s="13"/>
      <c r="C59" s="13"/>
    </row>
    <row r="60" spans="1:3" ht="13" x14ac:dyDescent="0.15">
      <c r="A60" s="10"/>
      <c r="B60" s="13"/>
      <c r="C60" s="13"/>
    </row>
    <row r="61" spans="1:3" ht="13" x14ac:dyDescent="0.15">
      <c r="A61" s="10"/>
      <c r="B61" s="13"/>
      <c r="C61" s="13"/>
    </row>
    <row r="62" spans="1:3" ht="13" x14ac:dyDescent="0.15">
      <c r="A62" s="10"/>
      <c r="B62" s="13"/>
      <c r="C62" s="13"/>
    </row>
    <row r="63" spans="1:3" ht="13" x14ac:dyDescent="0.15">
      <c r="A63" s="10"/>
      <c r="B63" s="13"/>
      <c r="C63" s="13"/>
    </row>
    <row r="64" spans="1:3" ht="13" x14ac:dyDescent="0.15">
      <c r="A64" s="10"/>
      <c r="B64" s="13"/>
      <c r="C64" s="13"/>
    </row>
    <row r="65" spans="1:3" ht="13" x14ac:dyDescent="0.15">
      <c r="A65" s="10"/>
      <c r="B65" s="13"/>
      <c r="C65" s="13"/>
    </row>
    <row r="66" spans="1:3" ht="13" x14ac:dyDescent="0.15">
      <c r="A66" s="10"/>
      <c r="B66" s="13"/>
      <c r="C66" s="13"/>
    </row>
    <row r="67" spans="1:3" ht="13" x14ac:dyDescent="0.15">
      <c r="A67" s="10"/>
      <c r="B67" s="13"/>
      <c r="C67" s="13"/>
    </row>
    <row r="68" spans="1:3" ht="13" x14ac:dyDescent="0.15">
      <c r="A68" s="10"/>
      <c r="B68" s="13"/>
      <c r="C68" s="13"/>
    </row>
    <row r="69" spans="1:3" ht="13" x14ac:dyDescent="0.15">
      <c r="A69" s="10"/>
      <c r="B69" s="13"/>
      <c r="C69" s="13"/>
    </row>
    <row r="70" spans="1:3" ht="13" x14ac:dyDescent="0.15">
      <c r="A70" s="10"/>
      <c r="B70" s="13"/>
      <c r="C70" s="13"/>
    </row>
    <row r="71" spans="1:3" ht="13" x14ac:dyDescent="0.15">
      <c r="A71" s="10"/>
      <c r="B71" s="13"/>
      <c r="C71" s="13"/>
    </row>
    <row r="72" spans="1:3" ht="13" x14ac:dyDescent="0.15">
      <c r="A72" s="10"/>
      <c r="B72" s="13"/>
      <c r="C72" s="13"/>
    </row>
    <row r="73" spans="1:3" ht="13" x14ac:dyDescent="0.15">
      <c r="A73" s="10"/>
      <c r="B73" s="13"/>
      <c r="C73" s="13"/>
    </row>
    <row r="74" spans="1:3" ht="13" x14ac:dyDescent="0.15">
      <c r="A74" s="10"/>
      <c r="B74" s="13"/>
      <c r="C74" s="13"/>
    </row>
    <row r="75" spans="1:3" ht="13" x14ac:dyDescent="0.15">
      <c r="A75" s="10"/>
      <c r="B75" s="13"/>
      <c r="C75" s="13"/>
    </row>
    <row r="76" spans="1:3" ht="13" x14ac:dyDescent="0.15">
      <c r="A76" s="10"/>
      <c r="B76" s="13"/>
      <c r="C76" s="13"/>
    </row>
    <row r="77" spans="1:3" ht="13" x14ac:dyDescent="0.15">
      <c r="A77" s="10"/>
      <c r="B77" s="13"/>
      <c r="C77" s="13"/>
    </row>
    <row r="78" spans="1:3" ht="13" x14ac:dyDescent="0.15">
      <c r="A78" s="10"/>
      <c r="B78" s="13"/>
      <c r="C78" s="13"/>
    </row>
    <row r="79" spans="1:3" ht="13" x14ac:dyDescent="0.15">
      <c r="A79" s="10"/>
      <c r="B79" s="13"/>
      <c r="C79" s="13"/>
    </row>
    <row r="80" spans="1:3" ht="13" x14ac:dyDescent="0.15">
      <c r="A80" s="10"/>
      <c r="B80" s="13"/>
      <c r="C80" s="13"/>
    </row>
    <row r="81" spans="1:3" ht="13" x14ac:dyDescent="0.15">
      <c r="A81" s="10"/>
      <c r="B81" s="13"/>
      <c r="C81" s="13"/>
    </row>
    <row r="82" spans="1:3" ht="13" x14ac:dyDescent="0.15">
      <c r="A82" s="10"/>
      <c r="B82" s="13"/>
      <c r="C82" s="13"/>
    </row>
    <row r="83" spans="1:3" ht="13" x14ac:dyDescent="0.15">
      <c r="A83" s="10"/>
      <c r="B83" s="13"/>
      <c r="C83" s="13"/>
    </row>
    <row r="84" spans="1:3" ht="13" x14ac:dyDescent="0.15">
      <c r="A84" s="10"/>
      <c r="B84" s="13"/>
      <c r="C84" s="13"/>
    </row>
    <row r="85" spans="1:3" ht="13" x14ac:dyDescent="0.15">
      <c r="A85" s="10"/>
      <c r="B85" s="13"/>
      <c r="C85" s="13"/>
    </row>
    <row r="86" spans="1:3" ht="13" x14ac:dyDescent="0.15">
      <c r="A86" s="10"/>
      <c r="B86" s="13"/>
      <c r="C86" s="13"/>
    </row>
    <row r="87" spans="1:3" ht="13" x14ac:dyDescent="0.15">
      <c r="A87" s="10"/>
      <c r="B87" s="13"/>
      <c r="C87" s="13"/>
    </row>
    <row r="88" spans="1:3" ht="13" x14ac:dyDescent="0.15">
      <c r="A88" s="10"/>
      <c r="B88" s="13"/>
      <c r="C88" s="13"/>
    </row>
    <row r="89" spans="1:3" ht="13" x14ac:dyDescent="0.15">
      <c r="A89" s="10"/>
      <c r="B89" s="13"/>
      <c r="C89" s="13"/>
    </row>
    <row r="90" spans="1:3" ht="13" x14ac:dyDescent="0.15">
      <c r="A90" s="10"/>
      <c r="B90" s="13"/>
      <c r="C90" s="13"/>
    </row>
    <row r="91" spans="1:3" ht="13" x14ac:dyDescent="0.15">
      <c r="A91" s="10"/>
      <c r="B91" s="13"/>
      <c r="C91" s="13"/>
    </row>
    <row r="92" spans="1:3" ht="13" x14ac:dyDescent="0.15">
      <c r="A92" s="10"/>
      <c r="B92" s="13"/>
      <c r="C92" s="13"/>
    </row>
    <row r="93" spans="1:3" ht="13" x14ac:dyDescent="0.15">
      <c r="A93" s="10"/>
      <c r="B93" s="13"/>
      <c r="C93" s="13"/>
    </row>
    <row r="94" spans="1:3" ht="13" x14ac:dyDescent="0.15">
      <c r="A94" s="10"/>
      <c r="B94" s="13"/>
      <c r="C94" s="13"/>
    </row>
    <row r="95" spans="1:3" ht="13" x14ac:dyDescent="0.15">
      <c r="A95" s="10"/>
      <c r="B95" s="13"/>
      <c r="C95" s="13"/>
    </row>
    <row r="96" spans="1:3" ht="13" x14ac:dyDescent="0.15">
      <c r="A96" s="10"/>
      <c r="B96" s="13"/>
      <c r="C96" s="13"/>
    </row>
    <row r="97" spans="1:3" ht="13" x14ac:dyDescent="0.15">
      <c r="A97" s="10"/>
      <c r="B97" s="13"/>
      <c r="C97" s="13"/>
    </row>
    <row r="98" spans="1:3" ht="13" x14ac:dyDescent="0.15">
      <c r="A98" s="10"/>
      <c r="B98" s="13"/>
      <c r="C98" s="13"/>
    </row>
    <row r="99" spans="1:3" ht="13" x14ac:dyDescent="0.15">
      <c r="A99" s="10"/>
      <c r="B99" s="13"/>
      <c r="C99" s="13"/>
    </row>
    <row r="100" spans="1:3" ht="13" x14ac:dyDescent="0.15">
      <c r="A100" s="10"/>
      <c r="B100" s="13"/>
      <c r="C100" s="13"/>
    </row>
    <row r="101" spans="1:3" ht="13" x14ac:dyDescent="0.15">
      <c r="A101" s="10"/>
      <c r="B101" s="13"/>
      <c r="C101" s="13"/>
    </row>
    <row r="102" spans="1:3" ht="13" x14ac:dyDescent="0.15">
      <c r="A102" s="10"/>
      <c r="B102" s="13"/>
      <c r="C102" s="13"/>
    </row>
    <row r="103" spans="1:3" ht="13" x14ac:dyDescent="0.15">
      <c r="A103" s="10"/>
      <c r="B103" s="13"/>
      <c r="C103" s="13"/>
    </row>
    <row r="104" spans="1:3" ht="13" x14ac:dyDescent="0.15">
      <c r="A104" s="10"/>
      <c r="B104" s="13"/>
      <c r="C104" s="13"/>
    </row>
    <row r="105" spans="1:3" ht="13" x14ac:dyDescent="0.15">
      <c r="A105" s="10"/>
      <c r="B105" s="13"/>
      <c r="C105" s="13"/>
    </row>
    <row r="106" spans="1:3" ht="13" x14ac:dyDescent="0.15">
      <c r="A106" s="10"/>
      <c r="B106" s="13"/>
      <c r="C106" s="13"/>
    </row>
    <row r="107" spans="1:3" ht="13" x14ac:dyDescent="0.15">
      <c r="A107" s="10"/>
      <c r="B107" s="13"/>
      <c r="C107" s="13"/>
    </row>
    <row r="108" spans="1:3" ht="13" x14ac:dyDescent="0.15">
      <c r="A108" s="10"/>
      <c r="B108" s="13"/>
      <c r="C108" s="13"/>
    </row>
    <row r="109" spans="1:3" ht="13" x14ac:dyDescent="0.15">
      <c r="A109" s="10"/>
      <c r="B109" s="13"/>
      <c r="C109" s="13"/>
    </row>
    <row r="110" spans="1:3" ht="13" x14ac:dyDescent="0.15">
      <c r="A110" s="10"/>
      <c r="B110" s="13"/>
      <c r="C110" s="13"/>
    </row>
    <row r="111" spans="1:3" ht="13" x14ac:dyDescent="0.15">
      <c r="A111" s="10"/>
      <c r="B111" s="13"/>
      <c r="C111" s="13"/>
    </row>
    <row r="112" spans="1:3" ht="13" x14ac:dyDescent="0.15">
      <c r="A112" s="10"/>
      <c r="B112" s="13"/>
      <c r="C112" s="13"/>
    </row>
    <row r="113" spans="1:3" ht="13" x14ac:dyDescent="0.15">
      <c r="A113" s="10"/>
      <c r="B113" s="13"/>
      <c r="C113" s="13"/>
    </row>
    <row r="114" spans="1:3" ht="13" x14ac:dyDescent="0.15">
      <c r="A114" s="10"/>
      <c r="B114" s="13"/>
      <c r="C114" s="13"/>
    </row>
    <row r="115" spans="1:3" ht="13" x14ac:dyDescent="0.15">
      <c r="A115" s="10"/>
      <c r="B115" s="13"/>
      <c r="C115" s="13"/>
    </row>
    <row r="116" spans="1:3" ht="13" x14ac:dyDescent="0.15">
      <c r="A116" s="10"/>
      <c r="B116" s="13"/>
      <c r="C116" s="13"/>
    </row>
    <row r="117" spans="1:3" ht="13" x14ac:dyDescent="0.15">
      <c r="A117" s="10"/>
      <c r="B117" s="13"/>
      <c r="C117" s="13"/>
    </row>
    <row r="118" spans="1:3" ht="13" x14ac:dyDescent="0.15">
      <c r="A118" s="10"/>
      <c r="B118" s="13"/>
      <c r="C118" s="13"/>
    </row>
    <row r="119" spans="1:3" ht="13" x14ac:dyDescent="0.15">
      <c r="A119" s="10"/>
      <c r="B119" s="13"/>
      <c r="C119" s="13"/>
    </row>
    <row r="120" spans="1:3" ht="13" x14ac:dyDescent="0.15">
      <c r="A120" s="10"/>
      <c r="B120" s="13"/>
      <c r="C120" s="13"/>
    </row>
    <row r="121" spans="1:3" ht="13" x14ac:dyDescent="0.15">
      <c r="A121" s="10"/>
      <c r="B121" s="13"/>
      <c r="C121" s="13"/>
    </row>
    <row r="122" spans="1:3" ht="13" x14ac:dyDescent="0.15">
      <c r="A122" s="10"/>
      <c r="B122" s="13"/>
      <c r="C122" s="13"/>
    </row>
    <row r="123" spans="1:3" ht="13" x14ac:dyDescent="0.15">
      <c r="A123" s="10"/>
      <c r="B123" s="13"/>
      <c r="C123" s="13"/>
    </row>
    <row r="124" spans="1:3" ht="13" x14ac:dyDescent="0.15">
      <c r="A124" s="10"/>
      <c r="B124" s="13"/>
      <c r="C124" s="13"/>
    </row>
    <row r="125" spans="1:3" ht="13" x14ac:dyDescent="0.15">
      <c r="A125" s="10"/>
      <c r="B125" s="13"/>
      <c r="C125" s="13"/>
    </row>
    <row r="126" spans="1:3" ht="13" x14ac:dyDescent="0.15">
      <c r="A126" s="10"/>
      <c r="B126" s="13"/>
      <c r="C126" s="13"/>
    </row>
    <row r="127" spans="1:3" ht="13" x14ac:dyDescent="0.15">
      <c r="A127" s="10"/>
      <c r="B127" s="13"/>
      <c r="C127" s="13"/>
    </row>
    <row r="128" spans="1:3" ht="13" x14ac:dyDescent="0.15">
      <c r="A128" s="10"/>
      <c r="B128" s="13"/>
      <c r="C128" s="13"/>
    </row>
    <row r="129" spans="1:3" ht="13" x14ac:dyDescent="0.15">
      <c r="A129" s="10"/>
      <c r="B129" s="13"/>
      <c r="C129" s="13"/>
    </row>
    <row r="130" spans="1:3" ht="13" x14ac:dyDescent="0.15">
      <c r="A130" s="10"/>
      <c r="B130" s="13"/>
      <c r="C130" s="13"/>
    </row>
    <row r="131" spans="1:3" ht="13" x14ac:dyDescent="0.15">
      <c r="A131" s="10"/>
      <c r="B131" s="13"/>
      <c r="C131" s="13"/>
    </row>
    <row r="132" spans="1:3" ht="13" x14ac:dyDescent="0.15">
      <c r="A132" s="10"/>
      <c r="B132" s="13"/>
      <c r="C132" s="13"/>
    </row>
    <row r="133" spans="1:3" ht="13" x14ac:dyDescent="0.15">
      <c r="A133" s="10"/>
      <c r="B133" s="13"/>
      <c r="C133" s="13"/>
    </row>
    <row r="134" spans="1:3" ht="13" x14ac:dyDescent="0.15">
      <c r="A134" s="10"/>
      <c r="B134" s="13"/>
      <c r="C134" s="13"/>
    </row>
    <row r="135" spans="1:3" ht="13" x14ac:dyDescent="0.15">
      <c r="A135" s="10"/>
      <c r="B135" s="13"/>
      <c r="C135" s="13"/>
    </row>
    <row r="136" spans="1:3" ht="13" x14ac:dyDescent="0.15">
      <c r="A136" s="10"/>
      <c r="B136" s="13"/>
      <c r="C136" s="13"/>
    </row>
    <row r="137" spans="1:3" ht="13" x14ac:dyDescent="0.15">
      <c r="A137" s="10"/>
      <c r="B137" s="13"/>
      <c r="C137" s="13"/>
    </row>
    <row r="138" spans="1:3" ht="13" x14ac:dyDescent="0.15">
      <c r="A138" s="10"/>
      <c r="B138" s="13"/>
      <c r="C138" s="13"/>
    </row>
    <row r="139" spans="1:3" ht="13" x14ac:dyDescent="0.15">
      <c r="A139" s="10"/>
      <c r="B139" s="13"/>
      <c r="C139" s="13"/>
    </row>
    <row r="140" spans="1:3" ht="13" x14ac:dyDescent="0.15">
      <c r="A140" s="10"/>
      <c r="B140" s="13"/>
      <c r="C140" s="13"/>
    </row>
    <row r="141" spans="1:3" ht="13" x14ac:dyDescent="0.15">
      <c r="A141" s="10"/>
      <c r="B141" s="13"/>
      <c r="C141" s="13"/>
    </row>
    <row r="142" spans="1:3" ht="13" x14ac:dyDescent="0.15">
      <c r="A142" s="10"/>
      <c r="B142" s="13"/>
      <c r="C142" s="13"/>
    </row>
    <row r="143" spans="1:3" ht="13" x14ac:dyDescent="0.15">
      <c r="A143" s="10"/>
      <c r="B143" s="13"/>
      <c r="C143" s="13"/>
    </row>
    <row r="144" spans="1:3" ht="13" x14ac:dyDescent="0.15">
      <c r="A144" s="10"/>
      <c r="B144" s="13"/>
      <c r="C144" s="13"/>
    </row>
    <row r="145" spans="1:3" ht="13" x14ac:dyDescent="0.15">
      <c r="A145" s="10"/>
      <c r="B145" s="13"/>
      <c r="C145" s="13"/>
    </row>
    <row r="146" spans="1:3" ht="13" x14ac:dyDescent="0.15">
      <c r="A146" s="10"/>
      <c r="B146" s="13"/>
      <c r="C146" s="13"/>
    </row>
    <row r="147" spans="1:3" ht="13" x14ac:dyDescent="0.15">
      <c r="A147" s="10"/>
      <c r="B147" s="13"/>
      <c r="C147" s="13"/>
    </row>
    <row r="148" spans="1:3" ht="13" x14ac:dyDescent="0.15">
      <c r="A148" s="10"/>
      <c r="B148" s="13"/>
      <c r="C148" s="13"/>
    </row>
    <row r="149" spans="1:3" ht="13" x14ac:dyDescent="0.15">
      <c r="A149" s="10"/>
      <c r="B149" s="13"/>
      <c r="C149" s="13"/>
    </row>
    <row r="150" spans="1:3" ht="13" x14ac:dyDescent="0.15">
      <c r="A150" s="10"/>
      <c r="B150" s="13"/>
      <c r="C150" s="13"/>
    </row>
    <row r="151" spans="1:3" ht="13" x14ac:dyDescent="0.15">
      <c r="A151" s="10"/>
      <c r="B151" s="13"/>
      <c r="C151" s="13"/>
    </row>
    <row r="152" spans="1:3" ht="13" x14ac:dyDescent="0.15">
      <c r="A152" s="10"/>
      <c r="B152" s="13"/>
      <c r="C152" s="13"/>
    </row>
    <row r="153" spans="1:3" ht="13" x14ac:dyDescent="0.15">
      <c r="A153" s="10"/>
      <c r="B153" s="13"/>
      <c r="C153" s="13"/>
    </row>
    <row r="154" spans="1:3" ht="13" x14ac:dyDescent="0.15">
      <c r="A154" s="10"/>
      <c r="B154" s="13"/>
      <c r="C154" s="13"/>
    </row>
    <row r="155" spans="1:3" ht="13" x14ac:dyDescent="0.15">
      <c r="A155" s="10"/>
      <c r="B155" s="13"/>
      <c r="C155" s="13"/>
    </row>
    <row r="156" spans="1:3" ht="13" x14ac:dyDescent="0.15">
      <c r="A156" s="10"/>
      <c r="B156" s="13"/>
      <c r="C156" s="13"/>
    </row>
    <row r="157" spans="1:3" ht="13" x14ac:dyDescent="0.15">
      <c r="A157" s="10"/>
      <c r="B157" s="13"/>
      <c r="C157" s="13"/>
    </row>
    <row r="158" spans="1:3" ht="13" x14ac:dyDescent="0.15">
      <c r="A158" s="10"/>
      <c r="B158" s="13"/>
      <c r="C158" s="13"/>
    </row>
    <row r="159" spans="1:3" ht="13" x14ac:dyDescent="0.15">
      <c r="A159" s="10"/>
      <c r="B159" s="13"/>
      <c r="C159" s="13"/>
    </row>
    <row r="160" spans="1:3" ht="13" x14ac:dyDescent="0.15">
      <c r="A160" s="10"/>
      <c r="B160" s="13"/>
      <c r="C160" s="13"/>
    </row>
    <row r="161" spans="1:3" ht="13" x14ac:dyDescent="0.15">
      <c r="A161" s="10"/>
      <c r="B161" s="13"/>
      <c r="C161" s="13"/>
    </row>
    <row r="162" spans="1:3" ht="13" x14ac:dyDescent="0.15">
      <c r="A162" s="10"/>
      <c r="B162" s="13"/>
      <c r="C162" s="13"/>
    </row>
    <row r="163" spans="1:3" ht="13" x14ac:dyDescent="0.15">
      <c r="A163" s="10"/>
      <c r="B163" s="13"/>
      <c r="C163" s="13"/>
    </row>
    <row r="164" spans="1:3" ht="13" x14ac:dyDescent="0.15">
      <c r="A164" s="10"/>
      <c r="B164" s="13"/>
      <c r="C164" s="13"/>
    </row>
    <row r="165" spans="1:3" ht="13" x14ac:dyDescent="0.15">
      <c r="A165" s="10"/>
      <c r="B165" s="13"/>
      <c r="C165" s="13"/>
    </row>
    <row r="166" spans="1:3" ht="13" x14ac:dyDescent="0.15">
      <c r="A166" s="10"/>
      <c r="B166" s="13"/>
      <c r="C166" s="13"/>
    </row>
    <row r="167" spans="1:3" ht="13" x14ac:dyDescent="0.15">
      <c r="A167" s="10"/>
      <c r="B167" s="13"/>
      <c r="C167" s="13"/>
    </row>
    <row r="168" spans="1:3" ht="13" x14ac:dyDescent="0.15">
      <c r="A168" s="10"/>
      <c r="B168" s="13"/>
      <c r="C168" s="13"/>
    </row>
    <row r="169" spans="1:3" ht="13" x14ac:dyDescent="0.15">
      <c r="A169" s="10"/>
      <c r="B169" s="13"/>
      <c r="C169" s="13"/>
    </row>
    <row r="170" spans="1:3" ht="13" x14ac:dyDescent="0.15">
      <c r="A170" s="10"/>
      <c r="B170" s="13"/>
      <c r="C170" s="13"/>
    </row>
    <row r="171" spans="1:3" ht="13" x14ac:dyDescent="0.15">
      <c r="A171" s="10"/>
      <c r="B171" s="13"/>
      <c r="C171" s="13"/>
    </row>
    <row r="172" spans="1:3" ht="13" x14ac:dyDescent="0.15">
      <c r="A172" s="10"/>
      <c r="B172" s="13"/>
      <c r="C172" s="13"/>
    </row>
    <row r="173" spans="1:3" ht="13" x14ac:dyDescent="0.15">
      <c r="A173" s="10"/>
      <c r="B173" s="13"/>
      <c r="C173" s="13"/>
    </row>
    <row r="174" spans="1:3" ht="13" x14ac:dyDescent="0.15">
      <c r="A174" s="10"/>
      <c r="B174" s="13"/>
      <c r="C174" s="13"/>
    </row>
    <row r="175" spans="1:3" ht="13" x14ac:dyDescent="0.15">
      <c r="A175" s="10"/>
      <c r="B175" s="13"/>
      <c r="C175" s="13"/>
    </row>
    <row r="176" spans="1:3" ht="13" x14ac:dyDescent="0.15">
      <c r="A176" s="10"/>
      <c r="B176" s="13"/>
      <c r="C176" s="13"/>
    </row>
    <row r="177" spans="1:3" ht="13" x14ac:dyDescent="0.15">
      <c r="A177" s="10"/>
      <c r="B177" s="13"/>
      <c r="C177" s="13"/>
    </row>
    <row r="178" spans="1:3" ht="13" x14ac:dyDescent="0.15">
      <c r="A178" s="10"/>
      <c r="B178" s="13"/>
      <c r="C178" s="13"/>
    </row>
    <row r="179" spans="1:3" ht="13" x14ac:dyDescent="0.15">
      <c r="A179" s="10"/>
      <c r="B179" s="13"/>
      <c r="C179" s="13"/>
    </row>
    <row r="180" spans="1:3" ht="13" x14ac:dyDescent="0.15">
      <c r="A180" s="10"/>
      <c r="B180" s="13"/>
      <c r="C180" s="13"/>
    </row>
    <row r="181" spans="1:3" ht="13" x14ac:dyDescent="0.15">
      <c r="A181" s="10"/>
      <c r="B181" s="13"/>
      <c r="C181" s="13"/>
    </row>
    <row r="182" spans="1:3" ht="13" x14ac:dyDescent="0.15">
      <c r="A182" s="10"/>
      <c r="B182" s="13"/>
      <c r="C182" s="13"/>
    </row>
    <row r="183" spans="1:3" ht="13" x14ac:dyDescent="0.15">
      <c r="A183" s="10"/>
      <c r="B183" s="13"/>
      <c r="C183" s="13"/>
    </row>
    <row r="184" spans="1:3" ht="13" x14ac:dyDescent="0.15">
      <c r="A184" s="10"/>
      <c r="B184" s="13"/>
      <c r="C184" s="13"/>
    </row>
    <row r="185" spans="1:3" ht="13" x14ac:dyDescent="0.15">
      <c r="A185" s="10"/>
      <c r="B185" s="13"/>
      <c r="C185" s="13"/>
    </row>
    <row r="186" spans="1:3" ht="13" x14ac:dyDescent="0.15">
      <c r="A186" s="10"/>
      <c r="B186" s="13"/>
      <c r="C186" s="13"/>
    </row>
    <row r="187" spans="1:3" ht="13" x14ac:dyDescent="0.15">
      <c r="A187" s="10"/>
      <c r="B187" s="13"/>
      <c r="C187" s="13"/>
    </row>
    <row r="188" spans="1:3" ht="13" x14ac:dyDescent="0.15">
      <c r="A188" s="10"/>
      <c r="B188" s="13"/>
      <c r="C188" s="13"/>
    </row>
    <row r="189" spans="1:3" ht="13" x14ac:dyDescent="0.15">
      <c r="A189" s="10"/>
      <c r="B189" s="13"/>
      <c r="C189" s="13"/>
    </row>
    <row r="190" spans="1:3" ht="13" x14ac:dyDescent="0.15">
      <c r="A190" s="10"/>
      <c r="B190" s="13"/>
      <c r="C190" s="13"/>
    </row>
    <row r="191" spans="1:3" ht="13" x14ac:dyDescent="0.15">
      <c r="A191" s="10"/>
      <c r="B191" s="13"/>
      <c r="C191" s="13"/>
    </row>
    <row r="192" spans="1:3" ht="13" x14ac:dyDescent="0.15">
      <c r="A192" s="10"/>
      <c r="B192" s="13"/>
      <c r="C192" s="13"/>
    </row>
    <row r="193" spans="1:3" ht="13" x14ac:dyDescent="0.15">
      <c r="A193" s="10"/>
      <c r="B193" s="13"/>
      <c r="C193" s="13"/>
    </row>
    <row r="194" spans="1:3" ht="13" x14ac:dyDescent="0.15">
      <c r="A194" s="10"/>
      <c r="B194" s="13"/>
      <c r="C194" s="13"/>
    </row>
    <row r="195" spans="1:3" ht="13" x14ac:dyDescent="0.15">
      <c r="A195" s="10"/>
      <c r="B195" s="13"/>
      <c r="C195" s="13"/>
    </row>
    <row r="196" spans="1:3" ht="13" x14ac:dyDescent="0.15">
      <c r="A196" s="10"/>
      <c r="B196" s="13"/>
      <c r="C196" s="13"/>
    </row>
    <row r="197" spans="1:3" ht="13" x14ac:dyDescent="0.15">
      <c r="A197" s="10"/>
      <c r="B197" s="13"/>
      <c r="C197" s="13"/>
    </row>
    <row r="198" spans="1:3" ht="13" x14ac:dyDescent="0.15">
      <c r="A198" s="10"/>
      <c r="B198" s="13"/>
      <c r="C198" s="13"/>
    </row>
    <row r="199" spans="1:3" ht="13" x14ac:dyDescent="0.15">
      <c r="A199" s="10"/>
      <c r="B199" s="13"/>
      <c r="C199" s="13"/>
    </row>
    <row r="200" spans="1:3" ht="13" x14ac:dyDescent="0.15">
      <c r="A200" s="10"/>
      <c r="B200" s="13"/>
      <c r="C200" s="13"/>
    </row>
    <row r="201" spans="1:3" ht="13" x14ac:dyDescent="0.15">
      <c r="A201" s="10"/>
      <c r="B201" s="13"/>
      <c r="C201" s="13"/>
    </row>
    <row r="202" spans="1:3" ht="13" x14ac:dyDescent="0.15">
      <c r="A202" s="10"/>
      <c r="B202" s="13"/>
      <c r="C202" s="13"/>
    </row>
    <row r="203" spans="1:3" ht="13" x14ac:dyDescent="0.15">
      <c r="A203" s="10"/>
      <c r="B203" s="13"/>
      <c r="C203" s="13"/>
    </row>
    <row r="204" spans="1:3" ht="13" x14ac:dyDescent="0.15">
      <c r="A204" s="10"/>
      <c r="B204" s="13"/>
      <c r="C204" s="13"/>
    </row>
    <row r="205" spans="1:3" ht="13" x14ac:dyDescent="0.15">
      <c r="A205" s="10"/>
      <c r="B205" s="13"/>
      <c r="C205" s="13"/>
    </row>
    <row r="206" spans="1:3" ht="13" x14ac:dyDescent="0.15">
      <c r="A206" s="10"/>
      <c r="B206" s="13"/>
      <c r="C206" s="13"/>
    </row>
    <row r="207" spans="1:3" ht="13" x14ac:dyDescent="0.15">
      <c r="A207" s="10"/>
      <c r="B207" s="13"/>
      <c r="C207" s="13"/>
    </row>
    <row r="208" spans="1:3" ht="13" x14ac:dyDescent="0.15">
      <c r="A208" s="10"/>
      <c r="B208" s="13"/>
      <c r="C208" s="13"/>
    </row>
    <row r="209" spans="1:3" ht="13" x14ac:dyDescent="0.15">
      <c r="A209" s="10"/>
      <c r="B209" s="13"/>
      <c r="C209" s="13"/>
    </row>
    <row r="210" spans="1:3" ht="13" x14ac:dyDescent="0.15">
      <c r="A210" s="10"/>
      <c r="B210" s="13"/>
      <c r="C210" s="13"/>
    </row>
    <row r="211" spans="1:3" ht="13" x14ac:dyDescent="0.15">
      <c r="A211" s="10"/>
      <c r="B211" s="13"/>
      <c r="C211" s="13"/>
    </row>
    <row r="212" spans="1:3" ht="13" x14ac:dyDescent="0.15">
      <c r="A212" s="10"/>
      <c r="B212" s="13"/>
      <c r="C212" s="13"/>
    </row>
    <row r="213" spans="1:3" ht="13" x14ac:dyDescent="0.15">
      <c r="A213" s="10"/>
      <c r="B213" s="13"/>
      <c r="C213" s="13"/>
    </row>
    <row r="214" spans="1:3" ht="13" x14ac:dyDescent="0.15">
      <c r="A214" s="10"/>
      <c r="B214" s="13"/>
      <c r="C214" s="13"/>
    </row>
    <row r="215" spans="1:3" ht="13" x14ac:dyDescent="0.15">
      <c r="A215" s="10"/>
      <c r="B215" s="13"/>
      <c r="C215" s="13"/>
    </row>
    <row r="216" spans="1:3" ht="13" x14ac:dyDescent="0.15">
      <c r="A216" s="10"/>
      <c r="B216" s="13"/>
      <c r="C216" s="13"/>
    </row>
    <row r="217" spans="1:3" ht="13" x14ac:dyDescent="0.15">
      <c r="A217" s="10"/>
      <c r="B217" s="13"/>
      <c r="C217" s="13"/>
    </row>
    <row r="218" spans="1:3" ht="13" x14ac:dyDescent="0.15">
      <c r="A218" s="10"/>
      <c r="B218" s="13"/>
      <c r="C218" s="13"/>
    </row>
    <row r="219" spans="1:3" ht="13" x14ac:dyDescent="0.15">
      <c r="A219" s="10"/>
      <c r="B219" s="13"/>
      <c r="C219" s="13"/>
    </row>
    <row r="220" spans="1:3" ht="13" x14ac:dyDescent="0.15">
      <c r="A220" s="10"/>
      <c r="B220" s="13"/>
      <c r="C220" s="13"/>
    </row>
    <row r="221" spans="1:3" ht="13" x14ac:dyDescent="0.15">
      <c r="A221" s="10"/>
      <c r="B221" s="13"/>
      <c r="C221" s="13"/>
    </row>
    <row r="222" spans="1:3" ht="13" x14ac:dyDescent="0.15">
      <c r="A222" s="10"/>
      <c r="B222" s="13"/>
      <c r="C222" s="13"/>
    </row>
    <row r="223" spans="1:3" ht="13" x14ac:dyDescent="0.15">
      <c r="A223" s="10"/>
      <c r="B223" s="13"/>
      <c r="C223" s="13"/>
    </row>
    <row r="224" spans="1:3" ht="13" x14ac:dyDescent="0.15">
      <c r="A224" s="10"/>
      <c r="B224" s="13"/>
      <c r="C224" s="13"/>
    </row>
    <row r="225" spans="1:3" ht="13" x14ac:dyDescent="0.15">
      <c r="A225" s="10"/>
      <c r="B225" s="13"/>
      <c r="C225" s="13"/>
    </row>
    <row r="226" spans="1:3" ht="13" x14ac:dyDescent="0.15">
      <c r="A226" s="10"/>
      <c r="B226" s="13"/>
      <c r="C226" s="13"/>
    </row>
    <row r="227" spans="1:3" ht="13" x14ac:dyDescent="0.15">
      <c r="A227" s="10"/>
      <c r="B227" s="13"/>
      <c r="C227" s="13"/>
    </row>
    <row r="228" spans="1:3" ht="13" x14ac:dyDescent="0.15">
      <c r="A228" s="10"/>
      <c r="B228" s="13"/>
      <c r="C228" s="13"/>
    </row>
    <row r="229" spans="1:3" ht="13" x14ac:dyDescent="0.15">
      <c r="A229" s="10"/>
      <c r="B229" s="13"/>
      <c r="C229" s="13"/>
    </row>
    <row r="230" spans="1:3" ht="13" x14ac:dyDescent="0.15">
      <c r="A230" s="10"/>
      <c r="B230" s="13"/>
      <c r="C230" s="13"/>
    </row>
    <row r="231" spans="1:3" ht="13" x14ac:dyDescent="0.15">
      <c r="A231" s="10"/>
      <c r="B231" s="13"/>
      <c r="C231" s="13"/>
    </row>
    <row r="232" spans="1:3" ht="13" x14ac:dyDescent="0.15">
      <c r="A232" s="10"/>
      <c r="B232" s="13"/>
      <c r="C232" s="13"/>
    </row>
    <row r="233" spans="1:3" ht="13" x14ac:dyDescent="0.15">
      <c r="A233" s="10"/>
      <c r="B233" s="13"/>
      <c r="C233" s="13"/>
    </row>
    <row r="234" spans="1:3" ht="13" x14ac:dyDescent="0.15">
      <c r="A234" s="10"/>
      <c r="B234" s="13"/>
      <c r="C234" s="13"/>
    </row>
    <row r="235" spans="1:3" ht="13" x14ac:dyDescent="0.15">
      <c r="A235" s="10"/>
      <c r="B235" s="13"/>
      <c r="C235" s="13"/>
    </row>
    <row r="236" spans="1:3" ht="13" x14ac:dyDescent="0.15">
      <c r="A236" s="10"/>
      <c r="B236" s="13"/>
      <c r="C236" s="13"/>
    </row>
    <row r="237" spans="1:3" ht="13" x14ac:dyDescent="0.15">
      <c r="A237" s="10"/>
      <c r="B237" s="13"/>
      <c r="C237" s="13"/>
    </row>
    <row r="238" spans="1:3" ht="13" x14ac:dyDescent="0.15">
      <c r="A238" s="10"/>
      <c r="B238" s="13"/>
      <c r="C238" s="13"/>
    </row>
    <row r="239" spans="1:3" ht="13" x14ac:dyDescent="0.15">
      <c r="A239" s="10"/>
      <c r="B239" s="13"/>
      <c r="C239" s="13"/>
    </row>
    <row r="240" spans="1:3" ht="13" x14ac:dyDescent="0.15">
      <c r="A240" s="10"/>
      <c r="B240" s="13"/>
      <c r="C240" s="13"/>
    </row>
    <row r="241" spans="1:3" ht="13" x14ac:dyDescent="0.15">
      <c r="A241" s="10"/>
      <c r="B241" s="13"/>
      <c r="C241" s="13"/>
    </row>
    <row r="242" spans="1:3" ht="13" x14ac:dyDescent="0.15">
      <c r="A242" s="10"/>
      <c r="B242" s="13"/>
      <c r="C242" s="13"/>
    </row>
    <row r="243" spans="1:3" ht="13" x14ac:dyDescent="0.15">
      <c r="A243" s="10"/>
      <c r="B243" s="13"/>
      <c r="C243" s="13"/>
    </row>
    <row r="244" spans="1:3" ht="13" x14ac:dyDescent="0.15">
      <c r="A244" s="10"/>
      <c r="B244" s="13"/>
      <c r="C244" s="13"/>
    </row>
    <row r="245" spans="1:3" ht="13" x14ac:dyDescent="0.15">
      <c r="A245" s="10"/>
      <c r="B245" s="13"/>
      <c r="C245" s="13"/>
    </row>
    <row r="246" spans="1:3" ht="13" x14ac:dyDescent="0.15">
      <c r="A246" s="10"/>
      <c r="B246" s="13"/>
      <c r="C246" s="13"/>
    </row>
    <row r="247" spans="1:3" ht="13" x14ac:dyDescent="0.15">
      <c r="A247" s="10"/>
      <c r="B247" s="13"/>
      <c r="C247" s="13"/>
    </row>
    <row r="248" spans="1:3" ht="13" x14ac:dyDescent="0.15">
      <c r="A248" s="10"/>
      <c r="B248" s="13"/>
      <c r="C248" s="13"/>
    </row>
    <row r="249" spans="1:3" ht="13" x14ac:dyDescent="0.15">
      <c r="A249" s="10"/>
      <c r="B249" s="13"/>
      <c r="C249" s="13"/>
    </row>
    <row r="250" spans="1:3" ht="13" x14ac:dyDescent="0.15">
      <c r="A250" s="10"/>
      <c r="B250" s="13"/>
      <c r="C250" s="13"/>
    </row>
    <row r="251" spans="1:3" ht="13" x14ac:dyDescent="0.15">
      <c r="A251" s="10"/>
      <c r="B251" s="13"/>
      <c r="C251" s="13"/>
    </row>
    <row r="252" spans="1:3" ht="13" x14ac:dyDescent="0.15">
      <c r="A252" s="10"/>
      <c r="B252" s="13"/>
      <c r="C252" s="13"/>
    </row>
    <row r="253" spans="1:3" ht="13" x14ac:dyDescent="0.15">
      <c r="A253" s="10"/>
      <c r="B253" s="13"/>
      <c r="C253" s="13"/>
    </row>
    <row r="254" spans="1:3" ht="13" x14ac:dyDescent="0.15">
      <c r="A254" s="10"/>
      <c r="B254" s="13"/>
      <c r="C254" s="13"/>
    </row>
    <row r="255" spans="1:3" ht="13" x14ac:dyDescent="0.15">
      <c r="A255" s="10"/>
      <c r="B255" s="13"/>
      <c r="C255" s="13"/>
    </row>
    <row r="256" spans="1:3" ht="13" x14ac:dyDescent="0.15">
      <c r="A256" s="10"/>
      <c r="B256" s="13"/>
      <c r="C256" s="13"/>
    </row>
    <row r="257" spans="1:3" ht="13" x14ac:dyDescent="0.15">
      <c r="A257" s="10"/>
      <c r="B257" s="13"/>
      <c r="C257" s="13"/>
    </row>
    <row r="258" spans="1:3" ht="13" x14ac:dyDescent="0.15">
      <c r="A258" s="10"/>
      <c r="B258" s="13"/>
      <c r="C258" s="13"/>
    </row>
    <row r="259" spans="1:3" ht="13" x14ac:dyDescent="0.15">
      <c r="A259" s="10"/>
      <c r="B259" s="13"/>
      <c r="C259" s="13"/>
    </row>
    <row r="260" spans="1:3" ht="13" x14ac:dyDescent="0.15">
      <c r="A260" s="10"/>
      <c r="B260" s="13"/>
      <c r="C260" s="13"/>
    </row>
    <row r="261" spans="1:3" ht="13" x14ac:dyDescent="0.15">
      <c r="A261" s="10"/>
      <c r="B261" s="13"/>
      <c r="C261" s="13"/>
    </row>
    <row r="262" spans="1:3" ht="13" x14ac:dyDescent="0.15">
      <c r="A262" s="10"/>
      <c r="B262" s="13"/>
      <c r="C262" s="13"/>
    </row>
    <row r="263" spans="1:3" ht="13" x14ac:dyDescent="0.15">
      <c r="A263" s="10"/>
      <c r="B263" s="13"/>
      <c r="C263" s="13"/>
    </row>
    <row r="264" spans="1:3" ht="13" x14ac:dyDescent="0.15">
      <c r="A264" s="10"/>
      <c r="B264" s="13"/>
      <c r="C264" s="13"/>
    </row>
    <row r="265" spans="1:3" ht="13" x14ac:dyDescent="0.15">
      <c r="A265" s="10"/>
      <c r="B265" s="13"/>
      <c r="C265" s="13"/>
    </row>
    <row r="266" spans="1:3" ht="13" x14ac:dyDescent="0.15">
      <c r="A266" s="10"/>
      <c r="B266" s="13"/>
      <c r="C266" s="13"/>
    </row>
    <row r="267" spans="1:3" ht="13" x14ac:dyDescent="0.15">
      <c r="A267" s="10"/>
      <c r="B267" s="13"/>
      <c r="C267" s="13"/>
    </row>
    <row r="268" spans="1:3" ht="13" x14ac:dyDescent="0.15">
      <c r="A268" s="10"/>
      <c r="B268" s="13"/>
      <c r="C268" s="13"/>
    </row>
    <row r="269" spans="1:3" ht="13" x14ac:dyDescent="0.15">
      <c r="A269" s="10"/>
      <c r="B269" s="13"/>
      <c r="C269" s="13"/>
    </row>
    <row r="270" spans="1:3" ht="13" x14ac:dyDescent="0.15">
      <c r="A270" s="10"/>
      <c r="B270" s="13"/>
      <c r="C270" s="13"/>
    </row>
    <row r="271" spans="1:3" ht="13" x14ac:dyDescent="0.15">
      <c r="A271" s="10"/>
      <c r="B271" s="13"/>
      <c r="C271" s="13"/>
    </row>
    <row r="272" spans="1:3" ht="13" x14ac:dyDescent="0.15">
      <c r="A272" s="10"/>
      <c r="B272" s="13"/>
      <c r="C272" s="13"/>
    </row>
    <row r="273" spans="1:3" ht="13" x14ac:dyDescent="0.15">
      <c r="A273" s="10"/>
      <c r="B273" s="13"/>
      <c r="C273" s="13"/>
    </row>
    <row r="274" spans="1:3" ht="13" x14ac:dyDescent="0.15">
      <c r="A274" s="10"/>
      <c r="B274" s="13"/>
      <c r="C274" s="13"/>
    </row>
    <row r="275" spans="1:3" ht="13" x14ac:dyDescent="0.15">
      <c r="A275" s="10"/>
      <c r="B275" s="13"/>
      <c r="C275" s="13"/>
    </row>
    <row r="276" spans="1:3" ht="13" x14ac:dyDescent="0.15">
      <c r="A276" s="10"/>
      <c r="B276" s="13"/>
      <c r="C276" s="13"/>
    </row>
    <row r="277" spans="1:3" ht="13" x14ac:dyDescent="0.15">
      <c r="A277" s="10"/>
      <c r="B277" s="13"/>
      <c r="C277" s="13"/>
    </row>
    <row r="278" spans="1:3" ht="13" x14ac:dyDescent="0.15">
      <c r="A278" s="10"/>
      <c r="B278" s="13"/>
      <c r="C278" s="13"/>
    </row>
    <row r="279" spans="1:3" ht="13" x14ac:dyDescent="0.15">
      <c r="A279" s="10"/>
      <c r="B279" s="13"/>
      <c r="C279" s="13"/>
    </row>
    <row r="280" spans="1:3" ht="13" x14ac:dyDescent="0.15">
      <c r="A280" s="10"/>
      <c r="B280" s="13"/>
      <c r="C280" s="13"/>
    </row>
    <row r="281" spans="1:3" ht="13" x14ac:dyDescent="0.15">
      <c r="A281" s="10"/>
      <c r="B281" s="13"/>
      <c r="C281" s="13"/>
    </row>
    <row r="282" spans="1:3" ht="13" x14ac:dyDescent="0.15">
      <c r="A282" s="10"/>
      <c r="B282" s="13"/>
      <c r="C282" s="13"/>
    </row>
    <row r="283" spans="1:3" ht="13" x14ac:dyDescent="0.15">
      <c r="A283" s="10"/>
      <c r="B283" s="13"/>
      <c r="C283" s="13"/>
    </row>
    <row r="284" spans="1:3" ht="13" x14ac:dyDescent="0.15">
      <c r="A284" s="10"/>
      <c r="B284" s="13"/>
      <c r="C284" s="13"/>
    </row>
    <row r="285" spans="1:3" ht="13" x14ac:dyDescent="0.15">
      <c r="A285" s="10"/>
      <c r="B285" s="13"/>
      <c r="C285" s="13"/>
    </row>
    <row r="286" spans="1:3" ht="13" x14ac:dyDescent="0.15">
      <c r="A286" s="10"/>
      <c r="B286" s="13"/>
      <c r="C286" s="13"/>
    </row>
    <row r="287" spans="1:3" ht="13" x14ac:dyDescent="0.15">
      <c r="A287" s="10"/>
      <c r="B287" s="13"/>
      <c r="C287" s="13"/>
    </row>
    <row r="288" spans="1:3" ht="13" x14ac:dyDescent="0.15">
      <c r="A288" s="10"/>
      <c r="B288" s="13"/>
      <c r="C288" s="13"/>
    </row>
    <row r="289" spans="1:3" ht="13" x14ac:dyDescent="0.15">
      <c r="A289" s="10"/>
      <c r="B289" s="13"/>
      <c r="C289" s="13"/>
    </row>
    <row r="290" spans="1:3" ht="13" x14ac:dyDescent="0.15">
      <c r="A290" s="10"/>
      <c r="B290" s="13"/>
      <c r="C290" s="13"/>
    </row>
    <row r="291" spans="1:3" ht="13" x14ac:dyDescent="0.15">
      <c r="A291" s="10"/>
      <c r="B291" s="13"/>
      <c r="C291" s="13"/>
    </row>
    <row r="292" spans="1:3" ht="13" x14ac:dyDescent="0.15">
      <c r="A292" s="10"/>
      <c r="B292" s="13"/>
      <c r="C292" s="13"/>
    </row>
    <row r="293" spans="1:3" ht="13" x14ac:dyDescent="0.15">
      <c r="A293" s="10"/>
      <c r="B293" s="13"/>
      <c r="C293" s="13"/>
    </row>
    <row r="294" spans="1:3" ht="13" x14ac:dyDescent="0.15">
      <c r="A294" s="10"/>
      <c r="B294" s="13"/>
      <c r="C294" s="13"/>
    </row>
    <row r="295" spans="1:3" ht="13" x14ac:dyDescent="0.15">
      <c r="A295" s="10"/>
      <c r="B295" s="13"/>
      <c r="C295" s="13"/>
    </row>
    <row r="296" spans="1:3" ht="13" x14ac:dyDescent="0.15">
      <c r="A296" s="10"/>
      <c r="B296" s="13"/>
      <c r="C296" s="13"/>
    </row>
    <row r="297" spans="1:3" ht="13" x14ac:dyDescent="0.15">
      <c r="A297" s="10"/>
      <c r="B297" s="13"/>
      <c r="C297" s="13"/>
    </row>
    <row r="298" spans="1:3" ht="13" x14ac:dyDescent="0.15">
      <c r="A298" s="10"/>
      <c r="B298" s="13"/>
      <c r="C298" s="13"/>
    </row>
    <row r="299" spans="1:3" ht="13" x14ac:dyDescent="0.15">
      <c r="A299" s="10"/>
      <c r="B299" s="13"/>
      <c r="C299" s="13"/>
    </row>
    <row r="300" spans="1:3" ht="13" x14ac:dyDescent="0.15">
      <c r="A300" s="10"/>
      <c r="B300" s="13"/>
      <c r="C300" s="13"/>
    </row>
    <row r="301" spans="1:3" ht="13" x14ac:dyDescent="0.15">
      <c r="A301" s="10"/>
      <c r="B301" s="13"/>
      <c r="C301" s="13"/>
    </row>
    <row r="302" spans="1:3" ht="13" x14ac:dyDescent="0.15">
      <c r="A302" s="10"/>
      <c r="B302" s="13"/>
      <c r="C302" s="13"/>
    </row>
    <row r="303" spans="1:3" ht="13" x14ac:dyDescent="0.15">
      <c r="A303" s="10"/>
      <c r="B303" s="13"/>
      <c r="C303" s="13"/>
    </row>
    <row r="304" spans="1:3" ht="13" x14ac:dyDescent="0.15">
      <c r="A304" s="10"/>
      <c r="B304" s="13"/>
      <c r="C304" s="13"/>
    </row>
    <row r="305" spans="1:3" ht="13" x14ac:dyDescent="0.15">
      <c r="A305" s="10"/>
      <c r="B305" s="13"/>
      <c r="C305" s="13"/>
    </row>
    <row r="306" spans="1:3" ht="13" x14ac:dyDescent="0.15">
      <c r="A306" s="10"/>
      <c r="B306" s="13"/>
      <c r="C306" s="13"/>
    </row>
    <row r="307" spans="1:3" ht="13" x14ac:dyDescent="0.15">
      <c r="A307" s="10"/>
      <c r="B307" s="13"/>
      <c r="C307" s="13"/>
    </row>
    <row r="308" spans="1:3" ht="13" x14ac:dyDescent="0.15">
      <c r="A308" s="10"/>
      <c r="B308" s="13"/>
      <c r="C308" s="13"/>
    </row>
    <row r="309" spans="1:3" ht="13" x14ac:dyDescent="0.15">
      <c r="A309" s="10"/>
      <c r="B309" s="13"/>
      <c r="C309" s="13"/>
    </row>
    <row r="310" spans="1:3" ht="13" x14ac:dyDescent="0.15">
      <c r="A310" s="10"/>
      <c r="B310" s="13"/>
      <c r="C310" s="13"/>
    </row>
    <row r="311" spans="1:3" ht="13" x14ac:dyDescent="0.15">
      <c r="A311" s="10"/>
      <c r="B311" s="13"/>
      <c r="C311" s="13"/>
    </row>
    <row r="312" spans="1:3" ht="13" x14ac:dyDescent="0.15">
      <c r="A312" s="10"/>
      <c r="B312" s="13"/>
      <c r="C312" s="13"/>
    </row>
    <row r="313" spans="1:3" ht="13" x14ac:dyDescent="0.15">
      <c r="A313" s="10"/>
      <c r="B313" s="13"/>
      <c r="C313" s="13"/>
    </row>
    <row r="314" spans="1:3" ht="13" x14ac:dyDescent="0.15">
      <c r="A314" s="10"/>
      <c r="B314" s="13"/>
      <c r="C314" s="13"/>
    </row>
    <row r="315" spans="1:3" ht="13" x14ac:dyDescent="0.15">
      <c r="A315" s="10"/>
      <c r="B315" s="13"/>
      <c r="C315" s="13"/>
    </row>
    <row r="316" spans="1:3" ht="13" x14ac:dyDescent="0.15">
      <c r="A316" s="10"/>
      <c r="B316" s="13"/>
      <c r="C316" s="13"/>
    </row>
    <row r="317" spans="1:3" ht="13" x14ac:dyDescent="0.15">
      <c r="A317" s="10"/>
      <c r="B317" s="13"/>
      <c r="C317" s="13"/>
    </row>
    <row r="318" spans="1:3" ht="13" x14ac:dyDescent="0.15">
      <c r="A318" s="10"/>
      <c r="B318" s="13"/>
      <c r="C318" s="13"/>
    </row>
    <row r="319" spans="1:3" ht="13" x14ac:dyDescent="0.15">
      <c r="A319" s="10"/>
      <c r="B319" s="13"/>
      <c r="C319" s="13"/>
    </row>
    <row r="320" spans="1:3" ht="13" x14ac:dyDescent="0.15">
      <c r="A320" s="10"/>
      <c r="B320" s="13"/>
      <c r="C320" s="13"/>
    </row>
    <row r="321" spans="1:3" ht="13" x14ac:dyDescent="0.15">
      <c r="A321" s="10"/>
      <c r="B321" s="13"/>
      <c r="C321" s="13"/>
    </row>
    <row r="322" spans="1:3" ht="13" x14ac:dyDescent="0.15">
      <c r="A322" s="10"/>
      <c r="B322" s="13"/>
      <c r="C322" s="13"/>
    </row>
    <row r="323" spans="1:3" ht="13" x14ac:dyDescent="0.15">
      <c r="A323" s="10"/>
      <c r="B323" s="13"/>
      <c r="C323" s="13"/>
    </row>
    <row r="324" spans="1:3" ht="13" x14ac:dyDescent="0.15">
      <c r="A324" s="10"/>
      <c r="B324" s="13"/>
      <c r="C324" s="13"/>
    </row>
    <row r="325" spans="1:3" ht="13" x14ac:dyDescent="0.15">
      <c r="A325" s="10"/>
      <c r="B325" s="13"/>
      <c r="C325" s="13"/>
    </row>
    <row r="326" spans="1:3" ht="13" x14ac:dyDescent="0.15">
      <c r="A326" s="10"/>
      <c r="B326" s="13"/>
      <c r="C326" s="13"/>
    </row>
    <row r="327" spans="1:3" ht="13" x14ac:dyDescent="0.15">
      <c r="A327" s="10"/>
      <c r="B327" s="13"/>
      <c r="C327" s="13"/>
    </row>
    <row r="328" spans="1:3" ht="13" x14ac:dyDescent="0.15">
      <c r="A328" s="10"/>
      <c r="B328" s="13"/>
      <c r="C328" s="13"/>
    </row>
    <row r="329" spans="1:3" ht="13" x14ac:dyDescent="0.15">
      <c r="A329" s="10"/>
      <c r="B329" s="13"/>
      <c r="C329" s="13"/>
    </row>
    <row r="330" spans="1:3" ht="13" x14ac:dyDescent="0.15">
      <c r="A330" s="10"/>
      <c r="B330" s="13"/>
      <c r="C330" s="13"/>
    </row>
    <row r="331" spans="1:3" ht="13" x14ac:dyDescent="0.15">
      <c r="A331" s="10"/>
      <c r="B331" s="13"/>
      <c r="C331" s="13"/>
    </row>
    <row r="332" spans="1:3" ht="13" x14ac:dyDescent="0.15">
      <c r="A332" s="10"/>
      <c r="B332" s="13"/>
      <c r="C332" s="13"/>
    </row>
    <row r="333" spans="1:3" ht="13" x14ac:dyDescent="0.15">
      <c r="A333" s="10"/>
      <c r="B333" s="13"/>
      <c r="C333" s="13"/>
    </row>
    <row r="334" spans="1:3" ht="13" x14ac:dyDescent="0.15">
      <c r="A334" s="10"/>
      <c r="B334" s="13"/>
      <c r="C334" s="13"/>
    </row>
    <row r="335" spans="1:3" ht="13" x14ac:dyDescent="0.15">
      <c r="A335" s="10"/>
      <c r="B335" s="13"/>
      <c r="C335" s="13"/>
    </row>
    <row r="336" spans="1:3" ht="13" x14ac:dyDescent="0.15">
      <c r="A336" s="10"/>
      <c r="B336" s="13"/>
      <c r="C336" s="13"/>
    </row>
    <row r="337" spans="1:3" ht="13" x14ac:dyDescent="0.15">
      <c r="A337" s="10"/>
      <c r="B337" s="13"/>
      <c r="C337" s="13"/>
    </row>
    <row r="338" spans="1:3" ht="13" x14ac:dyDescent="0.15">
      <c r="A338" s="10"/>
      <c r="B338" s="13"/>
      <c r="C338" s="13"/>
    </row>
    <row r="339" spans="1:3" ht="13" x14ac:dyDescent="0.15">
      <c r="A339" s="10"/>
      <c r="B339" s="13"/>
      <c r="C339" s="13"/>
    </row>
    <row r="340" spans="1:3" ht="13" x14ac:dyDescent="0.15">
      <c r="A340" s="10"/>
      <c r="B340" s="13"/>
      <c r="C340" s="13"/>
    </row>
    <row r="341" spans="1:3" ht="13" x14ac:dyDescent="0.15">
      <c r="A341" s="10"/>
      <c r="B341" s="13"/>
      <c r="C341" s="13"/>
    </row>
    <row r="342" spans="1:3" ht="13" x14ac:dyDescent="0.15">
      <c r="A342" s="10"/>
      <c r="B342" s="13"/>
      <c r="C342" s="13"/>
    </row>
    <row r="343" spans="1:3" ht="13" x14ac:dyDescent="0.15">
      <c r="A343" s="10"/>
      <c r="B343" s="13"/>
      <c r="C343" s="13"/>
    </row>
    <row r="344" spans="1:3" ht="13" x14ac:dyDescent="0.15">
      <c r="A344" s="10"/>
      <c r="B344" s="13"/>
      <c r="C344" s="13"/>
    </row>
    <row r="345" spans="1:3" ht="13" x14ac:dyDescent="0.15">
      <c r="A345" s="10"/>
      <c r="B345" s="13"/>
      <c r="C345" s="13"/>
    </row>
    <row r="346" spans="1:3" ht="13" x14ac:dyDescent="0.15">
      <c r="A346" s="10"/>
      <c r="B346" s="13"/>
      <c r="C346" s="13"/>
    </row>
    <row r="347" spans="1:3" ht="13" x14ac:dyDescent="0.15">
      <c r="A347" s="10"/>
      <c r="B347" s="13"/>
      <c r="C347" s="13"/>
    </row>
    <row r="348" spans="1:3" ht="13" x14ac:dyDescent="0.15">
      <c r="A348" s="10"/>
      <c r="B348" s="13"/>
      <c r="C348" s="13"/>
    </row>
    <row r="349" spans="1:3" ht="13" x14ac:dyDescent="0.15">
      <c r="A349" s="10"/>
      <c r="B349" s="13"/>
      <c r="C349" s="13"/>
    </row>
    <row r="350" spans="1:3" ht="13" x14ac:dyDescent="0.15">
      <c r="A350" s="10"/>
      <c r="B350" s="13"/>
      <c r="C350" s="13"/>
    </row>
    <row r="351" spans="1:3" ht="13" x14ac:dyDescent="0.15">
      <c r="A351" s="10"/>
      <c r="B351" s="13"/>
      <c r="C351" s="13"/>
    </row>
    <row r="352" spans="1:3" ht="13" x14ac:dyDescent="0.15">
      <c r="A352" s="10"/>
      <c r="B352" s="13"/>
      <c r="C352" s="13"/>
    </row>
    <row r="353" spans="1:3" ht="13" x14ac:dyDescent="0.15">
      <c r="A353" s="10"/>
      <c r="B353" s="13"/>
      <c r="C353" s="13"/>
    </row>
    <row r="354" spans="1:3" ht="13" x14ac:dyDescent="0.15">
      <c r="A354" s="10"/>
      <c r="B354" s="13"/>
      <c r="C354" s="13"/>
    </row>
    <row r="355" spans="1:3" ht="13" x14ac:dyDescent="0.15">
      <c r="A355" s="10"/>
      <c r="B355" s="13"/>
      <c r="C355" s="13"/>
    </row>
    <row r="356" spans="1:3" ht="13" x14ac:dyDescent="0.15">
      <c r="A356" s="10"/>
      <c r="B356" s="13"/>
      <c r="C356" s="13"/>
    </row>
    <row r="357" spans="1:3" ht="13" x14ac:dyDescent="0.15">
      <c r="A357" s="10"/>
      <c r="B357" s="13"/>
      <c r="C357" s="13"/>
    </row>
    <row r="358" spans="1:3" ht="13" x14ac:dyDescent="0.15">
      <c r="A358" s="10"/>
      <c r="B358" s="13"/>
      <c r="C358" s="13"/>
    </row>
    <row r="359" spans="1:3" ht="13" x14ac:dyDescent="0.15">
      <c r="A359" s="10"/>
      <c r="B359" s="13"/>
      <c r="C359" s="13"/>
    </row>
    <row r="360" spans="1:3" ht="13" x14ac:dyDescent="0.15">
      <c r="A360" s="10"/>
      <c r="B360" s="13"/>
      <c r="C360" s="13"/>
    </row>
    <row r="361" spans="1:3" ht="13" x14ac:dyDescent="0.15">
      <c r="A361" s="10"/>
      <c r="B361" s="13"/>
      <c r="C361" s="13"/>
    </row>
    <row r="362" spans="1:3" ht="13" x14ac:dyDescent="0.15">
      <c r="A362" s="10"/>
      <c r="B362" s="13"/>
      <c r="C362" s="13"/>
    </row>
    <row r="363" spans="1:3" ht="13" x14ac:dyDescent="0.15">
      <c r="A363" s="10"/>
      <c r="B363" s="13"/>
      <c r="C363" s="13"/>
    </row>
    <row r="364" spans="1:3" ht="13" x14ac:dyDescent="0.15">
      <c r="A364" s="10"/>
      <c r="B364" s="13"/>
      <c r="C364" s="13"/>
    </row>
    <row r="365" spans="1:3" ht="13" x14ac:dyDescent="0.15">
      <c r="A365" s="10"/>
      <c r="B365" s="13"/>
      <c r="C365" s="13"/>
    </row>
    <row r="366" spans="1:3" ht="13" x14ac:dyDescent="0.15">
      <c r="A366" s="10"/>
      <c r="B366" s="13"/>
      <c r="C366" s="13"/>
    </row>
    <row r="367" spans="1:3" ht="13" x14ac:dyDescent="0.15">
      <c r="A367" s="10"/>
      <c r="B367" s="13"/>
      <c r="C367" s="13"/>
    </row>
    <row r="368" spans="1:3" ht="13" x14ac:dyDescent="0.15">
      <c r="A368" s="10"/>
      <c r="B368" s="13"/>
      <c r="C368" s="13"/>
    </row>
    <row r="369" spans="1:3" ht="13" x14ac:dyDescent="0.15">
      <c r="A369" s="10"/>
      <c r="B369" s="13"/>
      <c r="C369" s="13"/>
    </row>
    <row r="370" spans="1:3" ht="13" x14ac:dyDescent="0.15">
      <c r="A370" s="10"/>
      <c r="B370" s="13"/>
      <c r="C370" s="13"/>
    </row>
    <row r="371" spans="1:3" ht="13" x14ac:dyDescent="0.15">
      <c r="A371" s="10"/>
      <c r="B371" s="13"/>
      <c r="C371" s="13"/>
    </row>
    <row r="372" spans="1:3" ht="13" x14ac:dyDescent="0.15">
      <c r="A372" s="10"/>
      <c r="B372" s="13"/>
      <c r="C372" s="13"/>
    </row>
    <row r="373" spans="1:3" ht="13" x14ac:dyDescent="0.15">
      <c r="A373" s="10"/>
      <c r="B373" s="13"/>
      <c r="C373" s="13"/>
    </row>
    <row r="374" spans="1:3" ht="13" x14ac:dyDescent="0.15">
      <c r="A374" s="10"/>
      <c r="B374" s="13"/>
      <c r="C374" s="13"/>
    </row>
    <row r="375" spans="1:3" ht="13" x14ac:dyDescent="0.15">
      <c r="A375" s="10"/>
      <c r="B375" s="13"/>
      <c r="C375" s="13"/>
    </row>
    <row r="376" spans="1:3" ht="13" x14ac:dyDescent="0.15">
      <c r="A376" s="10"/>
      <c r="B376" s="13"/>
      <c r="C376" s="13"/>
    </row>
    <row r="377" spans="1:3" ht="13" x14ac:dyDescent="0.15">
      <c r="A377" s="10"/>
      <c r="B377" s="13"/>
      <c r="C377" s="13"/>
    </row>
    <row r="378" spans="1:3" ht="13" x14ac:dyDescent="0.15">
      <c r="A378" s="10"/>
      <c r="B378" s="13"/>
      <c r="C378" s="13"/>
    </row>
    <row r="379" spans="1:3" ht="13" x14ac:dyDescent="0.15">
      <c r="A379" s="10"/>
      <c r="B379" s="13"/>
      <c r="C379" s="13"/>
    </row>
    <row r="380" spans="1:3" ht="13" x14ac:dyDescent="0.15">
      <c r="A380" s="10"/>
      <c r="B380" s="13"/>
      <c r="C380" s="13"/>
    </row>
    <row r="381" spans="1:3" ht="13" x14ac:dyDescent="0.15">
      <c r="A381" s="10"/>
      <c r="B381" s="13"/>
      <c r="C381" s="13"/>
    </row>
    <row r="382" spans="1:3" ht="13" x14ac:dyDescent="0.15">
      <c r="A382" s="10"/>
      <c r="B382" s="13"/>
      <c r="C382" s="13"/>
    </row>
    <row r="383" spans="1:3" ht="13" x14ac:dyDescent="0.15">
      <c r="A383" s="10"/>
      <c r="B383" s="13"/>
      <c r="C383" s="13"/>
    </row>
    <row r="384" spans="1:3" ht="13" x14ac:dyDescent="0.15">
      <c r="A384" s="10"/>
      <c r="B384" s="13"/>
      <c r="C384" s="13"/>
    </row>
    <row r="385" spans="1:3" ht="13" x14ac:dyDescent="0.15">
      <c r="A385" s="10"/>
      <c r="B385" s="13"/>
      <c r="C385" s="13"/>
    </row>
    <row r="386" spans="1:3" ht="13" x14ac:dyDescent="0.15">
      <c r="A386" s="10"/>
      <c r="B386" s="13"/>
      <c r="C386" s="13"/>
    </row>
    <row r="387" spans="1:3" ht="13" x14ac:dyDescent="0.15">
      <c r="A387" s="10"/>
      <c r="B387" s="13"/>
      <c r="C387" s="13"/>
    </row>
    <row r="388" spans="1:3" ht="13" x14ac:dyDescent="0.15">
      <c r="A388" s="10"/>
      <c r="B388" s="13"/>
      <c r="C388" s="13"/>
    </row>
    <row r="389" spans="1:3" ht="13" x14ac:dyDescent="0.15">
      <c r="A389" s="10"/>
      <c r="B389" s="13"/>
      <c r="C389" s="13"/>
    </row>
    <row r="390" spans="1:3" ht="13" x14ac:dyDescent="0.15">
      <c r="A390" s="10"/>
      <c r="B390" s="13"/>
      <c r="C390" s="13"/>
    </row>
    <row r="391" spans="1:3" ht="13" x14ac:dyDescent="0.15">
      <c r="A391" s="10"/>
      <c r="B391" s="13"/>
      <c r="C391" s="13"/>
    </row>
    <row r="392" spans="1:3" ht="13" x14ac:dyDescent="0.15">
      <c r="A392" s="10"/>
      <c r="B392" s="13"/>
      <c r="C392" s="13"/>
    </row>
    <row r="393" spans="1:3" ht="13" x14ac:dyDescent="0.15">
      <c r="A393" s="10"/>
      <c r="B393" s="13"/>
      <c r="C393" s="13"/>
    </row>
    <row r="394" spans="1:3" ht="13" x14ac:dyDescent="0.15">
      <c r="A394" s="10"/>
      <c r="B394" s="13"/>
      <c r="C394" s="13"/>
    </row>
    <row r="395" spans="1:3" ht="13" x14ac:dyDescent="0.15">
      <c r="A395" s="10"/>
      <c r="B395" s="13"/>
      <c r="C395" s="13"/>
    </row>
    <row r="396" spans="1:3" ht="13" x14ac:dyDescent="0.15">
      <c r="A396" s="10"/>
      <c r="B396" s="13"/>
      <c r="C396" s="13"/>
    </row>
    <row r="397" spans="1:3" ht="13" x14ac:dyDescent="0.15">
      <c r="A397" s="10"/>
      <c r="B397" s="13"/>
      <c r="C397" s="13"/>
    </row>
    <row r="398" spans="1:3" ht="13" x14ac:dyDescent="0.15">
      <c r="A398" s="10"/>
      <c r="B398" s="13"/>
      <c r="C398" s="13"/>
    </row>
    <row r="399" spans="1:3" ht="13" x14ac:dyDescent="0.15">
      <c r="A399" s="10"/>
      <c r="B399" s="13"/>
      <c r="C399" s="13"/>
    </row>
    <row r="400" spans="1:3" ht="13" x14ac:dyDescent="0.15">
      <c r="A400" s="10"/>
      <c r="B400" s="13"/>
      <c r="C400" s="13"/>
    </row>
    <row r="401" spans="1:3" ht="13" x14ac:dyDescent="0.15">
      <c r="A401" s="10"/>
      <c r="B401" s="13"/>
      <c r="C401" s="13"/>
    </row>
    <row r="402" spans="1:3" ht="13" x14ac:dyDescent="0.15">
      <c r="A402" s="10"/>
      <c r="B402" s="13"/>
      <c r="C402" s="13"/>
    </row>
    <row r="403" spans="1:3" ht="13" x14ac:dyDescent="0.15">
      <c r="A403" s="10"/>
      <c r="B403" s="13"/>
      <c r="C403" s="13"/>
    </row>
    <row r="404" spans="1:3" ht="13" x14ac:dyDescent="0.15">
      <c r="A404" s="10"/>
      <c r="B404" s="13"/>
      <c r="C404" s="13"/>
    </row>
    <row r="405" spans="1:3" ht="13" x14ac:dyDescent="0.15">
      <c r="A405" s="10"/>
      <c r="B405" s="13"/>
      <c r="C405" s="13"/>
    </row>
    <row r="406" spans="1:3" ht="13" x14ac:dyDescent="0.15">
      <c r="A406" s="10"/>
      <c r="B406" s="13"/>
      <c r="C406" s="13"/>
    </row>
    <row r="407" spans="1:3" ht="13" x14ac:dyDescent="0.15">
      <c r="A407" s="10"/>
      <c r="B407" s="13"/>
      <c r="C407" s="13"/>
    </row>
    <row r="408" spans="1:3" ht="13" x14ac:dyDescent="0.15">
      <c r="A408" s="10"/>
      <c r="B408" s="13"/>
      <c r="C408" s="13"/>
    </row>
    <row r="409" spans="1:3" ht="13" x14ac:dyDescent="0.15">
      <c r="A409" s="10"/>
      <c r="B409" s="13"/>
      <c r="C409" s="13"/>
    </row>
    <row r="410" spans="1:3" ht="13" x14ac:dyDescent="0.15">
      <c r="A410" s="10"/>
      <c r="B410" s="13"/>
      <c r="C410" s="13"/>
    </row>
    <row r="411" spans="1:3" ht="13" x14ac:dyDescent="0.15">
      <c r="A411" s="10"/>
      <c r="B411" s="13"/>
      <c r="C411" s="13"/>
    </row>
    <row r="412" spans="1:3" ht="13" x14ac:dyDescent="0.15">
      <c r="A412" s="10"/>
      <c r="B412" s="13"/>
      <c r="C412" s="13"/>
    </row>
    <row r="413" spans="1:3" ht="13" x14ac:dyDescent="0.15">
      <c r="A413" s="10"/>
      <c r="B413" s="13"/>
      <c r="C413" s="13"/>
    </row>
    <row r="414" spans="1:3" ht="13" x14ac:dyDescent="0.15">
      <c r="A414" s="10"/>
      <c r="B414" s="13"/>
      <c r="C414" s="13"/>
    </row>
    <row r="415" spans="1:3" ht="13" x14ac:dyDescent="0.15">
      <c r="A415" s="10"/>
      <c r="B415" s="13"/>
      <c r="C415" s="13"/>
    </row>
    <row r="416" spans="1:3" ht="13" x14ac:dyDescent="0.15">
      <c r="A416" s="10"/>
      <c r="B416" s="13"/>
      <c r="C416" s="13"/>
    </row>
    <row r="417" spans="1:3" ht="13" x14ac:dyDescent="0.15">
      <c r="A417" s="10"/>
      <c r="B417" s="13"/>
      <c r="C417" s="13"/>
    </row>
    <row r="418" spans="1:3" ht="13" x14ac:dyDescent="0.15">
      <c r="A418" s="10"/>
      <c r="B418" s="13"/>
      <c r="C418" s="13"/>
    </row>
    <row r="419" spans="1:3" ht="13" x14ac:dyDescent="0.15">
      <c r="A419" s="10"/>
      <c r="B419" s="13"/>
      <c r="C419" s="13"/>
    </row>
    <row r="420" spans="1:3" ht="13" x14ac:dyDescent="0.15">
      <c r="A420" s="10"/>
      <c r="B420" s="13"/>
      <c r="C420" s="13"/>
    </row>
    <row r="421" spans="1:3" ht="13" x14ac:dyDescent="0.15">
      <c r="A421" s="10"/>
      <c r="B421" s="13"/>
      <c r="C421" s="13"/>
    </row>
    <row r="422" spans="1:3" ht="13" x14ac:dyDescent="0.15">
      <c r="A422" s="10"/>
      <c r="B422" s="13"/>
      <c r="C422" s="13"/>
    </row>
    <row r="423" spans="1:3" ht="13" x14ac:dyDescent="0.15">
      <c r="A423" s="10"/>
      <c r="B423" s="13"/>
      <c r="C423" s="13"/>
    </row>
    <row r="424" spans="1:3" ht="13" x14ac:dyDescent="0.15">
      <c r="A424" s="10"/>
      <c r="B424" s="13"/>
      <c r="C424" s="13"/>
    </row>
    <row r="425" spans="1:3" ht="13" x14ac:dyDescent="0.15">
      <c r="A425" s="10"/>
      <c r="B425" s="13"/>
      <c r="C425" s="13"/>
    </row>
    <row r="426" spans="1:3" ht="13" x14ac:dyDescent="0.15">
      <c r="A426" s="10"/>
      <c r="B426" s="13"/>
      <c r="C426" s="13"/>
    </row>
    <row r="427" spans="1:3" ht="13" x14ac:dyDescent="0.15">
      <c r="A427" s="10"/>
      <c r="B427" s="13"/>
      <c r="C427" s="13"/>
    </row>
    <row r="428" spans="1:3" ht="13" x14ac:dyDescent="0.15">
      <c r="A428" s="10"/>
      <c r="B428" s="13"/>
      <c r="C428" s="13"/>
    </row>
    <row r="429" spans="1:3" ht="13" x14ac:dyDescent="0.15">
      <c r="A429" s="10"/>
      <c r="B429" s="13"/>
      <c r="C429" s="13"/>
    </row>
    <row r="430" spans="1:3" ht="13" x14ac:dyDescent="0.15">
      <c r="A430" s="10"/>
      <c r="B430" s="13"/>
      <c r="C430" s="13"/>
    </row>
    <row r="431" spans="1:3" ht="13" x14ac:dyDescent="0.15">
      <c r="A431" s="10"/>
      <c r="B431" s="13"/>
      <c r="C431" s="13"/>
    </row>
    <row r="432" spans="1:3" ht="13" x14ac:dyDescent="0.15">
      <c r="A432" s="10"/>
      <c r="B432" s="13"/>
      <c r="C432" s="13"/>
    </row>
    <row r="433" spans="1:3" ht="13" x14ac:dyDescent="0.15">
      <c r="A433" s="10"/>
      <c r="B433" s="13"/>
      <c r="C433" s="13"/>
    </row>
    <row r="434" spans="1:3" ht="13" x14ac:dyDescent="0.15">
      <c r="A434" s="10"/>
      <c r="B434" s="13"/>
      <c r="C434" s="13"/>
    </row>
    <row r="435" spans="1:3" ht="13" x14ac:dyDescent="0.15">
      <c r="A435" s="10"/>
      <c r="B435" s="13"/>
      <c r="C435" s="13"/>
    </row>
    <row r="436" spans="1:3" ht="13" x14ac:dyDescent="0.15">
      <c r="A436" s="10"/>
      <c r="B436" s="13"/>
      <c r="C436" s="13"/>
    </row>
    <row r="437" spans="1:3" ht="13" x14ac:dyDescent="0.15">
      <c r="A437" s="10"/>
      <c r="B437" s="13"/>
      <c r="C437" s="13"/>
    </row>
    <row r="438" spans="1:3" ht="13" x14ac:dyDescent="0.15">
      <c r="A438" s="10"/>
      <c r="B438" s="13"/>
      <c r="C438" s="13"/>
    </row>
    <row r="439" spans="1:3" ht="13" x14ac:dyDescent="0.15">
      <c r="A439" s="10"/>
      <c r="B439" s="13"/>
      <c r="C439" s="13"/>
    </row>
    <row r="440" spans="1:3" ht="13" x14ac:dyDescent="0.15">
      <c r="A440" s="10"/>
      <c r="B440" s="13"/>
      <c r="C440" s="13"/>
    </row>
    <row r="441" spans="1:3" ht="13" x14ac:dyDescent="0.15">
      <c r="A441" s="10"/>
      <c r="B441" s="13"/>
      <c r="C441" s="13"/>
    </row>
    <row r="442" spans="1:3" ht="13" x14ac:dyDescent="0.15">
      <c r="A442" s="10"/>
      <c r="B442" s="13"/>
      <c r="C442" s="13"/>
    </row>
    <row r="443" spans="1:3" ht="13" x14ac:dyDescent="0.15">
      <c r="A443" s="10"/>
      <c r="B443" s="13"/>
      <c r="C443" s="13"/>
    </row>
    <row r="444" spans="1:3" ht="13" x14ac:dyDescent="0.15">
      <c r="A444" s="10"/>
      <c r="B444" s="13"/>
      <c r="C444" s="13"/>
    </row>
    <row r="445" spans="1:3" ht="13" x14ac:dyDescent="0.15">
      <c r="A445" s="10"/>
      <c r="B445" s="13"/>
      <c r="C445" s="13"/>
    </row>
    <row r="446" spans="1:3" ht="13" x14ac:dyDescent="0.15">
      <c r="A446" s="10"/>
      <c r="B446" s="13"/>
      <c r="C446" s="13"/>
    </row>
    <row r="447" spans="1:3" ht="13" x14ac:dyDescent="0.15">
      <c r="A447" s="10"/>
      <c r="B447" s="13"/>
      <c r="C447" s="13"/>
    </row>
    <row r="448" spans="1:3" ht="13" x14ac:dyDescent="0.15">
      <c r="A448" s="10"/>
      <c r="B448" s="13"/>
      <c r="C448" s="13"/>
    </row>
    <row r="449" spans="1:3" ht="13" x14ac:dyDescent="0.15">
      <c r="A449" s="10"/>
      <c r="B449" s="13"/>
      <c r="C449" s="13"/>
    </row>
    <row r="450" spans="1:3" ht="13" x14ac:dyDescent="0.15">
      <c r="A450" s="10"/>
      <c r="B450" s="13"/>
      <c r="C450" s="13"/>
    </row>
    <row r="451" spans="1:3" ht="13" x14ac:dyDescent="0.15">
      <c r="A451" s="10"/>
      <c r="B451" s="13"/>
      <c r="C451" s="13"/>
    </row>
    <row r="452" spans="1:3" ht="13" x14ac:dyDescent="0.15">
      <c r="A452" s="10"/>
      <c r="B452" s="13"/>
      <c r="C452" s="13"/>
    </row>
    <row r="453" spans="1:3" ht="13" x14ac:dyDescent="0.15">
      <c r="A453" s="10"/>
      <c r="B453" s="13"/>
      <c r="C453" s="13"/>
    </row>
    <row r="454" spans="1:3" ht="13" x14ac:dyDescent="0.15">
      <c r="A454" s="10"/>
      <c r="B454" s="13"/>
      <c r="C454" s="13"/>
    </row>
    <row r="455" spans="1:3" ht="13" x14ac:dyDescent="0.15">
      <c r="A455" s="10"/>
      <c r="B455" s="13"/>
      <c r="C455" s="13"/>
    </row>
    <row r="456" spans="1:3" ht="13" x14ac:dyDescent="0.15">
      <c r="A456" s="10"/>
      <c r="B456" s="13"/>
      <c r="C456" s="13"/>
    </row>
    <row r="457" spans="1:3" ht="13" x14ac:dyDescent="0.15">
      <c r="A457" s="10"/>
      <c r="B457" s="13"/>
      <c r="C457" s="13"/>
    </row>
    <row r="458" spans="1:3" ht="13" x14ac:dyDescent="0.15">
      <c r="A458" s="10"/>
      <c r="B458" s="13"/>
      <c r="C458" s="13"/>
    </row>
    <row r="459" spans="1:3" ht="13" x14ac:dyDescent="0.15">
      <c r="A459" s="10"/>
      <c r="B459" s="13"/>
      <c r="C459" s="13"/>
    </row>
    <row r="460" spans="1:3" ht="13" x14ac:dyDescent="0.15">
      <c r="A460" s="10"/>
      <c r="B460" s="13"/>
      <c r="C460" s="13"/>
    </row>
    <row r="461" spans="1:3" ht="13" x14ac:dyDescent="0.15">
      <c r="A461" s="10"/>
      <c r="B461" s="13"/>
      <c r="C461" s="13"/>
    </row>
    <row r="462" spans="1:3" ht="13" x14ac:dyDescent="0.15">
      <c r="A462" s="10"/>
      <c r="B462" s="13"/>
      <c r="C462" s="13"/>
    </row>
    <row r="463" spans="1:3" ht="13" x14ac:dyDescent="0.15">
      <c r="A463" s="10"/>
      <c r="B463" s="13"/>
      <c r="C463" s="13"/>
    </row>
    <row r="464" spans="1:3" ht="13" x14ac:dyDescent="0.15">
      <c r="A464" s="10"/>
      <c r="B464" s="13"/>
      <c r="C464" s="13"/>
    </row>
    <row r="465" spans="1:3" ht="13" x14ac:dyDescent="0.15">
      <c r="A465" s="10"/>
      <c r="B465" s="13"/>
      <c r="C465" s="13"/>
    </row>
    <row r="466" spans="1:3" ht="13" x14ac:dyDescent="0.15">
      <c r="A466" s="10"/>
      <c r="B466" s="13"/>
      <c r="C466" s="13"/>
    </row>
    <row r="467" spans="1:3" ht="13" x14ac:dyDescent="0.15">
      <c r="A467" s="10"/>
      <c r="B467" s="13"/>
      <c r="C467" s="13"/>
    </row>
    <row r="468" spans="1:3" ht="13" x14ac:dyDescent="0.15">
      <c r="A468" s="10"/>
      <c r="B468" s="13"/>
      <c r="C468" s="13"/>
    </row>
    <row r="469" spans="1:3" ht="13" x14ac:dyDescent="0.15">
      <c r="A469" s="10"/>
      <c r="B469" s="13"/>
      <c r="C469" s="13"/>
    </row>
    <row r="470" spans="1:3" ht="13" x14ac:dyDescent="0.15">
      <c r="A470" s="10"/>
      <c r="B470" s="13"/>
      <c r="C470" s="13"/>
    </row>
    <row r="471" spans="1:3" ht="13" x14ac:dyDescent="0.15">
      <c r="A471" s="10"/>
      <c r="B471" s="13"/>
      <c r="C471" s="13"/>
    </row>
    <row r="472" spans="1:3" ht="13" x14ac:dyDescent="0.15">
      <c r="A472" s="10"/>
      <c r="B472" s="13"/>
      <c r="C472" s="13"/>
    </row>
    <row r="473" spans="1:3" ht="13" x14ac:dyDescent="0.15">
      <c r="A473" s="10"/>
      <c r="B473" s="13"/>
      <c r="C473" s="13"/>
    </row>
    <row r="474" spans="1:3" ht="13" x14ac:dyDescent="0.15">
      <c r="A474" s="10"/>
      <c r="B474" s="13"/>
      <c r="C474" s="13"/>
    </row>
    <row r="475" spans="1:3" ht="13" x14ac:dyDescent="0.15">
      <c r="A475" s="10"/>
      <c r="B475" s="13"/>
      <c r="C475" s="13"/>
    </row>
    <row r="476" spans="1:3" ht="13" x14ac:dyDescent="0.15">
      <c r="A476" s="10"/>
      <c r="B476" s="13"/>
      <c r="C476" s="13"/>
    </row>
    <row r="477" spans="1:3" ht="13" x14ac:dyDescent="0.15">
      <c r="A477" s="10"/>
      <c r="B477" s="13"/>
      <c r="C477" s="13"/>
    </row>
    <row r="478" spans="1:3" ht="13" x14ac:dyDescent="0.15">
      <c r="A478" s="10"/>
      <c r="B478" s="13"/>
      <c r="C478" s="13"/>
    </row>
    <row r="479" spans="1:3" ht="13" x14ac:dyDescent="0.15">
      <c r="A479" s="10"/>
      <c r="B479" s="13"/>
      <c r="C479" s="13"/>
    </row>
    <row r="480" spans="1:3" ht="13" x14ac:dyDescent="0.15">
      <c r="A480" s="10"/>
      <c r="B480" s="13"/>
      <c r="C480" s="13"/>
    </row>
    <row r="481" spans="1:3" ht="13" x14ac:dyDescent="0.15">
      <c r="A481" s="10"/>
      <c r="B481" s="13"/>
      <c r="C481" s="13"/>
    </row>
    <row r="482" spans="1:3" ht="13" x14ac:dyDescent="0.15">
      <c r="A482" s="10"/>
      <c r="B482" s="13"/>
      <c r="C482" s="13"/>
    </row>
    <row r="483" spans="1:3" ht="13" x14ac:dyDescent="0.15">
      <c r="A483" s="10"/>
      <c r="B483" s="13"/>
      <c r="C483" s="13"/>
    </row>
    <row r="484" spans="1:3" ht="13" x14ac:dyDescent="0.15">
      <c r="A484" s="10"/>
      <c r="B484" s="13"/>
      <c r="C484" s="13"/>
    </row>
    <row r="485" spans="1:3" ht="13" x14ac:dyDescent="0.15">
      <c r="A485" s="10"/>
      <c r="B485" s="13"/>
      <c r="C485" s="13"/>
    </row>
    <row r="486" spans="1:3" ht="13" x14ac:dyDescent="0.15">
      <c r="A486" s="10"/>
      <c r="B486" s="13"/>
      <c r="C486" s="13"/>
    </row>
    <row r="487" spans="1:3" ht="13" x14ac:dyDescent="0.15">
      <c r="A487" s="10"/>
      <c r="B487" s="13"/>
      <c r="C487" s="13"/>
    </row>
    <row r="488" spans="1:3" ht="13" x14ac:dyDescent="0.15">
      <c r="A488" s="10"/>
      <c r="B488" s="13"/>
      <c r="C488" s="13"/>
    </row>
    <row r="489" spans="1:3" ht="13" x14ac:dyDescent="0.15">
      <c r="A489" s="10"/>
      <c r="B489" s="13"/>
      <c r="C489" s="13"/>
    </row>
    <row r="490" spans="1:3" ht="13" x14ac:dyDescent="0.15">
      <c r="A490" s="10"/>
      <c r="B490" s="13"/>
      <c r="C490" s="13"/>
    </row>
    <row r="491" spans="1:3" ht="13" x14ac:dyDescent="0.15">
      <c r="A491" s="10"/>
      <c r="B491" s="13"/>
      <c r="C491" s="13"/>
    </row>
    <row r="492" spans="1:3" ht="13" x14ac:dyDescent="0.15">
      <c r="A492" s="10"/>
      <c r="B492" s="13"/>
      <c r="C492" s="13"/>
    </row>
    <row r="493" spans="1:3" ht="13" x14ac:dyDescent="0.15">
      <c r="A493" s="10"/>
      <c r="B493" s="13"/>
      <c r="C493" s="13"/>
    </row>
    <row r="494" spans="1:3" ht="13" x14ac:dyDescent="0.15">
      <c r="A494" s="10"/>
      <c r="B494" s="13"/>
      <c r="C494" s="13"/>
    </row>
    <row r="495" spans="1:3" ht="13" x14ac:dyDescent="0.15">
      <c r="A495" s="10"/>
      <c r="B495" s="13"/>
      <c r="C495" s="13"/>
    </row>
    <row r="496" spans="1:3" ht="13" x14ac:dyDescent="0.15">
      <c r="A496" s="10"/>
      <c r="B496" s="13"/>
      <c r="C496" s="13"/>
    </row>
    <row r="497" spans="1:3" ht="13" x14ac:dyDescent="0.15">
      <c r="A497" s="10"/>
      <c r="B497" s="13"/>
      <c r="C497" s="13"/>
    </row>
    <row r="498" spans="1:3" ht="13" x14ac:dyDescent="0.15">
      <c r="A498" s="10"/>
      <c r="B498" s="13"/>
      <c r="C498" s="13"/>
    </row>
    <row r="499" spans="1:3" ht="13" x14ac:dyDescent="0.15">
      <c r="A499" s="10"/>
      <c r="B499" s="13"/>
      <c r="C499" s="13"/>
    </row>
    <row r="500" spans="1:3" ht="13" x14ac:dyDescent="0.15">
      <c r="A500" s="10"/>
      <c r="B500" s="13"/>
      <c r="C500" s="13"/>
    </row>
    <row r="501" spans="1:3" ht="13" x14ac:dyDescent="0.15">
      <c r="A501" s="10"/>
      <c r="B501" s="13"/>
      <c r="C501" s="13"/>
    </row>
    <row r="502" spans="1:3" ht="13" x14ac:dyDescent="0.15">
      <c r="A502" s="10"/>
      <c r="B502" s="13"/>
      <c r="C502" s="13"/>
    </row>
    <row r="503" spans="1:3" ht="13" x14ac:dyDescent="0.15">
      <c r="A503" s="10"/>
      <c r="B503" s="13"/>
      <c r="C503" s="13"/>
    </row>
    <row r="504" spans="1:3" ht="13" x14ac:dyDescent="0.15">
      <c r="A504" s="10"/>
      <c r="B504" s="13"/>
      <c r="C504" s="13"/>
    </row>
    <row r="505" spans="1:3" ht="13" x14ac:dyDescent="0.15">
      <c r="A505" s="10"/>
      <c r="B505" s="13"/>
      <c r="C505" s="13"/>
    </row>
    <row r="506" spans="1:3" ht="13" x14ac:dyDescent="0.15">
      <c r="A506" s="10"/>
      <c r="B506" s="13"/>
      <c r="C506" s="13"/>
    </row>
    <row r="507" spans="1:3" ht="13" x14ac:dyDescent="0.15">
      <c r="A507" s="10"/>
      <c r="B507" s="13"/>
      <c r="C507" s="13"/>
    </row>
    <row r="508" spans="1:3" ht="13" x14ac:dyDescent="0.15">
      <c r="A508" s="10"/>
      <c r="B508" s="13"/>
      <c r="C508" s="13"/>
    </row>
    <row r="509" spans="1:3" ht="13" x14ac:dyDescent="0.15">
      <c r="A509" s="10"/>
      <c r="B509" s="13"/>
      <c r="C509" s="13"/>
    </row>
    <row r="510" spans="1:3" ht="13" x14ac:dyDescent="0.15">
      <c r="A510" s="10"/>
      <c r="B510" s="13"/>
      <c r="C510" s="13"/>
    </row>
    <row r="511" spans="1:3" ht="13" x14ac:dyDescent="0.15">
      <c r="A511" s="10"/>
      <c r="B511" s="13"/>
      <c r="C511" s="13"/>
    </row>
    <row r="512" spans="1:3" ht="13" x14ac:dyDescent="0.15">
      <c r="A512" s="10"/>
      <c r="B512" s="13"/>
      <c r="C512" s="13"/>
    </row>
    <row r="513" spans="1:3" ht="13" x14ac:dyDescent="0.15">
      <c r="A513" s="10"/>
      <c r="B513" s="13"/>
      <c r="C513" s="13"/>
    </row>
    <row r="514" spans="1:3" ht="13" x14ac:dyDescent="0.15">
      <c r="A514" s="10"/>
      <c r="B514" s="13"/>
      <c r="C514" s="13"/>
    </row>
    <row r="515" spans="1:3" ht="13" x14ac:dyDescent="0.15">
      <c r="A515" s="10"/>
      <c r="B515" s="13"/>
      <c r="C515" s="13"/>
    </row>
    <row r="516" spans="1:3" ht="13" x14ac:dyDescent="0.15">
      <c r="A516" s="10"/>
      <c r="B516" s="13"/>
      <c r="C516" s="13"/>
    </row>
    <row r="517" spans="1:3" ht="13" x14ac:dyDescent="0.15">
      <c r="A517" s="10"/>
      <c r="B517" s="13"/>
      <c r="C517" s="13"/>
    </row>
    <row r="518" spans="1:3" ht="13" x14ac:dyDescent="0.15">
      <c r="A518" s="10"/>
      <c r="B518" s="13"/>
      <c r="C518" s="13"/>
    </row>
    <row r="519" spans="1:3" ht="13" x14ac:dyDescent="0.15">
      <c r="A519" s="10"/>
      <c r="B519" s="13"/>
      <c r="C519" s="13"/>
    </row>
    <row r="520" spans="1:3" ht="13" x14ac:dyDescent="0.15">
      <c r="A520" s="10"/>
      <c r="B520" s="13"/>
      <c r="C520" s="13"/>
    </row>
    <row r="521" spans="1:3" ht="13" x14ac:dyDescent="0.15">
      <c r="A521" s="10"/>
      <c r="B521" s="13"/>
      <c r="C521" s="13"/>
    </row>
    <row r="522" spans="1:3" ht="13" x14ac:dyDescent="0.15">
      <c r="A522" s="10"/>
      <c r="B522" s="13"/>
      <c r="C522" s="13"/>
    </row>
    <row r="523" spans="1:3" ht="13" x14ac:dyDescent="0.15">
      <c r="A523" s="10"/>
      <c r="B523" s="13"/>
      <c r="C523" s="13"/>
    </row>
    <row r="524" spans="1:3" ht="13" x14ac:dyDescent="0.15">
      <c r="A524" s="10"/>
      <c r="B524" s="13"/>
      <c r="C524" s="13"/>
    </row>
    <row r="525" spans="1:3" ht="13" x14ac:dyDescent="0.15">
      <c r="A525" s="10"/>
      <c r="B525" s="13"/>
      <c r="C525" s="13"/>
    </row>
    <row r="526" spans="1:3" ht="13" x14ac:dyDescent="0.15">
      <c r="A526" s="10"/>
      <c r="B526" s="13"/>
      <c r="C526" s="13"/>
    </row>
    <row r="527" spans="1:3" ht="13" x14ac:dyDescent="0.15">
      <c r="A527" s="10"/>
      <c r="B527" s="13"/>
      <c r="C527" s="13"/>
    </row>
    <row r="528" spans="1:3" ht="13" x14ac:dyDescent="0.15">
      <c r="A528" s="10"/>
      <c r="B528" s="13"/>
      <c r="C528" s="13"/>
    </row>
    <row r="529" spans="1:3" ht="13" x14ac:dyDescent="0.15">
      <c r="A529" s="10"/>
      <c r="B529" s="13"/>
      <c r="C529" s="13"/>
    </row>
    <row r="530" spans="1:3" ht="13" x14ac:dyDescent="0.15">
      <c r="A530" s="10"/>
      <c r="B530" s="13"/>
      <c r="C530" s="13"/>
    </row>
    <row r="531" spans="1:3" ht="13" x14ac:dyDescent="0.15">
      <c r="A531" s="10"/>
      <c r="B531" s="13"/>
      <c r="C531" s="13"/>
    </row>
    <row r="532" spans="1:3" ht="13" x14ac:dyDescent="0.15">
      <c r="A532" s="10"/>
      <c r="B532" s="13"/>
      <c r="C532" s="13"/>
    </row>
    <row r="533" spans="1:3" ht="13" x14ac:dyDescent="0.15">
      <c r="A533" s="10"/>
      <c r="B533" s="13"/>
      <c r="C533" s="13"/>
    </row>
    <row r="534" spans="1:3" ht="13" x14ac:dyDescent="0.15">
      <c r="A534" s="10"/>
      <c r="B534" s="13"/>
      <c r="C534" s="13"/>
    </row>
    <row r="535" spans="1:3" ht="13" x14ac:dyDescent="0.15">
      <c r="A535" s="10"/>
      <c r="B535" s="13"/>
      <c r="C535" s="13"/>
    </row>
    <row r="536" spans="1:3" ht="13" x14ac:dyDescent="0.15">
      <c r="A536" s="10"/>
      <c r="B536" s="13"/>
      <c r="C536" s="13"/>
    </row>
    <row r="537" spans="1:3" ht="13" x14ac:dyDescent="0.15">
      <c r="A537" s="10"/>
      <c r="B537" s="13"/>
      <c r="C537" s="13"/>
    </row>
    <row r="538" spans="1:3" ht="13" x14ac:dyDescent="0.15">
      <c r="A538" s="10"/>
      <c r="B538" s="13"/>
      <c r="C538" s="13"/>
    </row>
    <row r="539" spans="1:3" ht="13" x14ac:dyDescent="0.15">
      <c r="A539" s="10"/>
      <c r="B539" s="13"/>
      <c r="C539" s="13"/>
    </row>
    <row r="540" spans="1:3" ht="13" x14ac:dyDescent="0.15">
      <c r="A540" s="10"/>
      <c r="B540" s="13"/>
      <c r="C540" s="13"/>
    </row>
    <row r="541" spans="1:3" ht="13" x14ac:dyDescent="0.15">
      <c r="A541" s="10"/>
      <c r="B541" s="13"/>
      <c r="C541" s="13"/>
    </row>
    <row r="542" spans="1:3" ht="13" x14ac:dyDescent="0.15">
      <c r="A542" s="10"/>
      <c r="B542" s="13"/>
      <c r="C542" s="13"/>
    </row>
    <row r="543" spans="1:3" ht="13" x14ac:dyDescent="0.15">
      <c r="A543" s="10"/>
      <c r="B543" s="13"/>
      <c r="C543" s="13"/>
    </row>
    <row r="544" spans="1:3" ht="13" x14ac:dyDescent="0.15">
      <c r="A544" s="10"/>
      <c r="B544" s="13"/>
      <c r="C544" s="13"/>
    </row>
    <row r="545" spans="1:3" ht="13" x14ac:dyDescent="0.15">
      <c r="A545" s="10"/>
      <c r="B545" s="13"/>
      <c r="C545" s="13"/>
    </row>
    <row r="546" spans="1:3" ht="13" x14ac:dyDescent="0.15">
      <c r="A546" s="10"/>
      <c r="B546" s="13"/>
      <c r="C546" s="13"/>
    </row>
    <row r="547" spans="1:3" ht="13" x14ac:dyDescent="0.15">
      <c r="A547" s="10"/>
      <c r="B547" s="13"/>
      <c r="C547" s="13"/>
    </row>
    <row r="548" spans="1:3" ht="13" x14ac:dyDescent="0.15">
      <c r="A548" s="10"/>
      <c r="B548" s="13"/>
      <c r="C548" s="13"/>
    </row>
    <row r="549" spans="1:3" ht="13" x14ac:dyDescent="0.15">
      <c r="A549" s="10"/>
      <c r="B549" s="13"/>
      <c r="C549" s="13"/>
    </row>
    <row r="550" spans="1:3" ht="13" x14ac:dyDescent="0.15">
      <c r="A550" s="10"/>
      <c r="B550" s="13"/>
      <c r="C550" s="13"/>
    </row>
    <row r="551" spans="1:3" ht="13" x14ac:dyDescent="0.15">
      <c r="A551" s="10"/>
      <c r="B551" s="13"/>
      <c r="C551" s="13"/>
    </row>
    <row r="552" spans="1:3" ht="13" x14ac:dyDescent="0.15">
      <c r="A552" s="10"/>
      <c r="B552" s="13"/>
      <c r="C552" s="13"/>
    </row>
    <row r="553" spans="1:3" ht="13" x14ac:dyDescent="0.15">
      <c r="A553" s="10"/>
      <c r="B553" s="13"/>
      <c r="C553" s="13"/>
    </row>
    <row r="554" spans="1:3" ht="13" x14ac:dyDescent="0.15">
      <c r="A554" s="10"/>
      <c r="B554" s="13"/>
      <c r="C554" s="13"/>
    </row>
    <row r="555" spans="1:3" ht="13" x14ac:dyDescent="0.15">
      <c r="A555" s="10"/>
      <c r="B555" s="13"/>
      <c r="C555" s="13"/>
    </row>
    <row r="556" spans="1:3" ht="13" x14ac:dyDescent="0.15">
      <c r="A556" s="10"/>
      <c r="B556" s="13"/>
      <c r="C556" s="13"/>
    </row>
    <row r="557" spans="1:3" ht="13" x14ac:dyDescent="0.15">
      <c r="A557" s="10"/>
      <c r="B557" s="13"/>
      <c r="C557" s="13"/>
    </row>
    <row r="558" spans="1:3" ht="13" x14ac:dyDescent="0.15">
      <c r="A558" s="10"/>
      <c r="B558" s="13"/>
      <c r="C558" s="13"/>
    </row>
    <row r="559" spans="1:3" ht="13" x14ac:dyDescent="0.15">
      <c r="A559" s="10"/>
      <c r="B559" s="13"/>
      <c r="C559" s="13"/>
    </row>
    <row r="560" spans="1:3" ht="13" x14ac:dyDescent="0.15">
      <c r="A560" s="10"/>
      <c r="B560" s="13"/>
      <c r="C560" s="13"/>
    </row>
    <row r="561" spans="1:3" ht="13" x14ac:dyDescent="0.15">
      <c r="A561" s="10"/>
      <c r="B561" s="13"/>
      <c r="C561" s="13"/>
    </row>
    <row r="562" spans="1:3" ht="13" x14ac:dyDescent="0.15">
      <c r="A562" s="10"/>
      <c r="B562" s="13"/>
      <c r="C562" s="13"/>
    </row>
    <row r="563" spans="1:3" ht="13" x14ac:dyDescent="0.15">
      <c r="A563" s="10"/>
      <c r="B563" s="13"/>
      <c r="C563" s="13"/>
    </row>
    <row r="564" spans="1:3" ht="13" x14ac:dyDescent="0.15">
      <c r="A564" s="10"/>
      <c r="B564" s="13"/>
      <c r="C564" s="13"/>
    </row>
    <row r="565" spans="1:3" ht="13" x14ac:dyDescent="0.15">
      <c r="A565" s="10"/>
      <c r="B565" s="13"/>
      <c r="C565" s="13"/>
    </row>
    <row r="566" spans="1:3" ht="13" x14ac:dyDescent="0.15">
      <c r="A566" s="10"/>
      <c r="B566" s="13"/>
      <c r="C566" s="13"/>
    </row>
    <row r="567" spans="1:3" ht="13" x14ac:dyDescent="0.15">
      <c r="A567" s="10"/>
      <c r="B567" s="13"/>
      <c r="C567" s="13"/>
    </row>
    <row r="568" spans="1:3" ht="13" x14ac:dyDescent="0.15">
      <c r="A568" s="10"/>
      <c r="B568" s="13"/>
      <c r="C568" s="13"/>
    </row>
    <row r="569" spans="1:3" ht="13" x14ac:dyDescent="0.15">
      <c r="A569" s="10"/>
      <c r="B569" s="13"/>
      <c r="C569" s="13"/>
    </row>
    <row r="570" spans="1:3" ht="13" x14ac:dyDescent="0.15">
      <c r="A570" s="10"/>
      <c r="B570" s="13"/>
      <c r="C570" s="13"/>
    </row>
    <row r="571" spans="1:3" ht="13" x14ac:dyDescent="0.15">
      <c r="A571" s="10"/>
      <c r="B571" s="13"/>
      <c r="C571" s="13"/>
    </row>
    <row r="572" spans="1:3" ht="13" x14ac:dyDescent="0.15">
      <c r="A572" s="10"/>
      <c r="B572" s="13"/>
      <c r="C572" s="13"/>
    </row>
    <row r="573" spans="1:3" ht="13" x14ac:dyDescent="0.15">
      <c r="A573" s="10"/>
      <c r="B573" s="13"/>
      <c r="C573" s="13"/>
    </row>
    <row r="574" spans="1:3" ht="13" x14ac:dyDescent="0.15">
      <c r="A574" s="10"/>
      <c r="B574" s="13"/>
      <c r="C574" s="13"/>
    </row>
    <row r="575" spans="1:3" ht="13" x14ac:dyDescent="0.15">
      <c r="A575" s="10"/>
      <c r="B575" s="13"/>
      <c r="C575" s="13"/>
    </row>
    <row r="576" spans="1:3" ht="13" x14ac:dyDescent="0.15">
      <c r="A576" s="10"/>
      <c r="B576" s="13"/>
      <c r="C576" s="13"/>
    </row>
    <row r="577" spans="1:3" ht="13" x14ac:dyDescent="0.15">
      <c r="A577" s="10"/>
      <c r="B577" s="13"/>
      <c r="C577" s="13"/>
    </row>
    <row r="578" spans="1:3" ht="13" x14ac:dyDescent="0.15">
      <c r="A578" s="10"/>
      <c r="B578" s="13"/>
      <c r="C578" s="13"/>
    </row>
    <row r="579" spans="1:3" ht="13" x14ac:dyDescent="0.15">
      <c r="A579" s="10"/>
      <c r="B579" s="13"/>
      <c r="C579" s="13"/>
    </row>
    <row r="580" spans="1:3" ht="13" x14ac:dyDescent="0.15">
      <c r="A580" s="10"/>
      <c r="B580" s="13"/>
      <c r="C580" s="13"/>
    </row>
    <row r="581" spans="1:3" ht="13" x14ac:dyDescent="0.15">
      <c r="A581" s="10"/>
      <c r="B581" s="13"/>
      <c r="C581" s="13"/>
    </row>
    <row r="582" spans="1:3" ht="13" x14ac:dyDescent="0.15">
      <c r="A582" s="10"/>
      <c r="B582" s="13"/>
      <c r="C582" s="13"/>
    </row>
    <row r="583" spans="1:3" ht="13" x14ac:dyDescent="0.15">
      <c r="A583" s="10"/>
      <c r="B583" s="13"/>
      <c r="C583" s="13"/>
    </row>
    <row r="584" spans="1:3" ht="13" x14ac:dyDescent="0.15">
      <c r="A584" s="10"/>
      <c r="B584" s="13"/>
      <c r="C584" s="13"/>
    </row>
    <row r="585" spans="1:3" ht="13" x14ac:dyDescent="0.15">
      <c r="A585" s="10"/>
      <c r="B585" s="13"/>
      <c r="C585" s="13"/>
    </row>
    <row r="586" spans="1:3" ht="13" x14ac:dyDescent="0.15">
      <c r="A586" s="10"/>
      <c r="B586" s="13"/>
      <c r="C586" s="13"/>
    </row>
    <row r="587" spans="1:3" ht="13" x14ac:dyDescent="0.15">
      <c r="A587" s="10"/>
      <c r="B587" s="13"/>
      <c r="C587" s="13"/>
    </row>
    <row r="588" spans="1:3" ht="13" x14ac:dyDescent="0.15">
      <c r="A588" s="10"/>
      <c r="B588" s="13"/>
      <c r="C588" s="13"/>
    </row>
    <row r="589" spans="1:3" ht="13" x14ac:dyDescent="0.15">
      <c r="A589" s="10"/>
      <c r="B589" s="13"/>
      <c r="C589" s="13"/>
    </row>
    <row r="590" spans="1:3" ht="13" x14ac:dyDescent="0.15">
      <c r="A590" s="10"/>
      <c r="B590" s="13"/>
      <c r="C590" s="13"/>
    </row>
    <row r="591" spans="1:3" ht="13" x14ac:dyDescent="0.15">
      <c r="A591" s="10"/>
      <c r="B591" s="13"/>
      <c r="C591" s="13"/>
    </row>
    <row r="592" spans="1:3" ht="13" x14ac:dyDescent="0.15">
      <c r="A592" s="10"/>
      <c r="B592" s="13"/>
      <c r="C592" s="13"/>
    </row>
    <row r="593" spans="1:3" ht="13" x14ac:dyDescent="0.15">
      <c r="A593" s="10"/>
      <c r="B593" s="13"/>
      <c r="C593" s="13"/>
    </row>
    <row r="594" spans="1:3" ht="13" x14ac:dyDescent="0.15">
      <c r="A594" s="10"/>
      <c r="B594" s="13"/>
      <c r="C594" s="13"/>
    </row>
    <row r="595" spans="1:3" ht="13" x14ac:dyDescent="0.15">
      <c r="A595" s="10"/>
      <c r="B595" s="13"/>
      <c r="C595" s="13"/>
    </row>
    <row r="596" spans="1:3" ht="13" x14ac:dyDescent="0.15">
      <c r="A596" s="10"/>
      <c r="B596" s="13"/>
      <c r="C596" s="13"/>
    </row>
    <row r="597" spans="1:3" ht="13" x14ac:dyDescent="0.15">
      <c r="A597" s="10"/>
      <c r="B597" s="13"/>
      <c r="C597" s="13"/>
    </row>
    <row r="598" spans="1:3" ht="13" x14ac:dyDescent="0.15">
      <c r="A598" s="10"/>
      <c r="B598" s="13"/>
      <c r="C598" s="13"/>
    </row>
    <row r="599" spans="1:3" ht="13" x14ac:dyDescent="0.15">
      <c r="A599" s="10"/>
      <c r="B599" s="13"/>
      <c r="C599" s="13"/>
    </row>
    <row r="600" spans="1:3" ht="13" x14ac:dyDescent="0.15">
      <c r="A600" s="10"/>
      <c r="B600" s="13"/>
      <c r="C600" s="13"/>
    </row>
    <row r="601" spans="1:3" ht="13" x14ac:dyDescent="0.15">
      <c r="A601" s="10"/>
      <c r="B601" s="13"/>
      <c r="C601" s="13"/>
    </row>
    <row r="602" spans="1:3" ht="13" x14ac:dyDescent="0.15">
      <c r="A602" s="10"/>
      <c r="B602" s="13"/>
      <c r="C602" s="13"/>
    </row>
    <row r="603" spans="1:3" ht="13" x14ac:dyDescent="0.15">
      <c r="A603" s="10"/>
      <c r="B603" s="13"/>
      <c r="C603" s="13"/>
    </row>
    <row r="604" spans="1:3" ht="13" x14ac:dyDescent="0.15">
      <c r="A604" s="10"/>
      <c r="B604" s="13"/>
      <c r="C604" s="13"/>
    </row>
    <row r="605" spans="1:3" ht="13" x14ac:dyDescent="0.15">
      <c r="A605" s="10"/>
      <c r="B605" s="13"/>
      <c r="C605" s="13"/>
    </row>
    <row r="606" spans="1:3" ht="13" x14ac:dyDescent="0.15">
      <c r="A606" s="10"/>
      <c r="B606" s="13"/>
      <c r="C606" s="13"/>
    </row>
    <row r="607" spans="1:3" ht="13" x14ac:dyDescent="0.15">
      <c r="A607" s="10"/>
      <c r="B607" s="13"/>
      <c r="C607" s="13"/>
    </row>
    <row r="608" spans="1:3" ht="13" x14ac:dyDescent="0.15">
      <c r="A608" s="10"/>
      <c r="B608" s="13"/>
      <c r="C608" s="13"/>
    </row>
    <row r="609" spans="1:3" ht="13" x14ac:dyDescent="0.15">
      <c r="A609" s="10"/>
      <c r="B609" s="13"/>
      <c r="C609" s="13"/>
    </row>
    <row r="610" spans="1:3" ht="13" x14ac:dyDescent="0.15">
      <c r="A610" s="10"/>
      <c r="B610" s="13"/>
      <c r="C610" s="13"/>
    </row>
    <row r="611" spans="1:3" ht="13" x14ac:dyDescent="0.15">
      <c r="A611" s="10"/>
      <c r="B611" s="13"/>
      <c r="C611" s="13"/>
    </row>
    <row r="612" spans="1:3" ht="13" x14ac:dyDescent="0.15">
      <c r="A612" s="10"/>
      <c r="B612" s="13"/>
      <c r="C612" s="13"/>
    </row>
    <row r="613" spans="1:3" ht="13" x14ac:dyDescent="0.15">
      <c r="A613" s="10"/>
      <c r="B613" s="13"/>
      <c r="C613" s="13"/>
    </row>
    <row r="614" spans="1:3" ht="13" x14ac:dyDescent="0.15">
      <c r="A614" s="10"/>
      <c r="B614" s="13"/>
      <c r="C614" s="13"/>
    </row>
    <row r="615" spans="1:3" ht="13" x14ac:dyDescent="0.15">
      <c r="A615" s="10"/>
      <c r="B615" s="13"/>
      <c r="C615" s="13"/>
    </row>
    <row r="616" spans="1:3" ht="13" x14ac:dyDescent="0.15">
      <c r="A616" s="10"/>
      <c r="B616" s="13"/>
      <c r="C616" s="13"/>
    </row>
    <row r="617" spans="1:3" ht="13" x14ac:dyDescent="0.15">
      <c r="A617" s="10"/>
      <c r="B617" s="13"/>
      <c r="C617" s="13"/>
    </row>
    <row r="618" spans="1:3" ht="13" x14ac:dyDescent="0.15">
      <c r="A618" s="10"/>
      <c r="B618" s="13"/>
      <c r="C618" s="13"/>
    </row>
    <row r="619" spans="1:3" ht="13" x14ac:dyDescent="0.15">
      <c r="A619" s="10"/>
      <c r="B619" s="13"/>
      <c r="C619" s="13"/>
    </row>
    <row r="620" spans="1:3" ht="13" x14ac:dyDescent="0.15">
      <c r="A620" s="10"/>
      <c r="B620" s="13"/>
      <c r="C620" s="13"/>
    </row>
    <row r="621" spans="1:3" ht="13" x14ac:dyDescent="0.15">
      <c r="A621" s="10"/>
      <c r="B621" s="13"/>
      <c r="C621" s="13"/>
    </row>
    <row r="622" spans="1:3" ht="13" x14ac:dyDescent="0.15">
      <c r="A622" s="10"/>
      <c r="B622" s="13"/>
      <c r="C622" s="13"/>
    </row>
    <row r="623" spans="1:3" ht="13" x14ac:dyDescent="0.15">
      <c r="A623" s="10"/>
      <c r="B623" s="13"/>
      <c r="C623" s="13"/>
    </row>
    <row r="624" spans="1:3" ht="13" x14ac:dyDescent="0.15">
      <c r="A624" s="10"/>
      <c r="B624" s="13"/>
      <c r="C624" s="13"/>
    </row>
    <row r="625" spans="1:3" ht="13" x14ac:dyDescent="0.15">
      <c r="A625" s="10"/>
      <c r="B625" s="13"/>
      <c r="C625" s="13"/>
    </row>
    <row r="626" spans="1:3" ht="13" x14ac:dyDescent="0.15">
      <c r="A626" s="10"/>
      <c r="B626" s="13"/>
      <c r="C626" s="13"/>
    </row>
    <row r="627" spans="1:3" ht="13" x14ac:dyDescent="0.15">
      <c r="A627" s="10"/>
      <c r="B627" s="13"/>
      <c r="C627" s="13"/>
    </row>
    <row r="628" spans="1:3" ht="13" x14ac:dyDescent="0.15">
      <c r="A628" s="10"/>
      <c r="B628" s="13"/>
      <c r="C628" s="13"/>
    </row>
    <row r="629" spans="1:3" ht="13" x14ac:dyDescent="0.15">
      <c r="A629" s="10"/>
      <c r="B629" s="13"/>
      <c r="C629" s="13"/>
    </row>
    <row r="630" spans="1:3" ht="13" x14ac:dyDescent="0.15">
      <c r="A630" s="10"/>
      <c r="B630" s="13"/>
      <c r="C630" s="13"/>
    </row>
    <row r="631" spans="1:3" ht="13" x14ac:dyDescent="0.15">
      <c r="A631" s="10"/>
      <c r="B631" s="13"/>
      <c r="C631" s="13"/>
    </row>
    <row r="632" spans="1:3" ht="13" x14ac:dyDescent="0.15">
      <c r="A632" s="10"/>
      <c r="B632" s="13"/>
      <c r="C632" s="13"/>
    </row>
    <row r="633" spans="1:3" ht="13" x14ac:dyDescent="0.15">
      <c r="A633" s="10"/>
      <c r="B633" s="13"/>
      <c r="C633" s="13"/>
    </row>
    <row r="634" spans="1:3" ht="13" x14ac:dyDescent="0.15">
      <c r="A634" s="10"/>
      <c r="B634" s="13"/>
      <c r="C634" s="13"/>
    </row>
    <row r="635" spans="1:3" ht="13" x14ac:dyDescent="0.15">
      <c r="A635" s="10"/>
      <c r="B635" s="13"/>
      <c r="C635" s="13"/>
    </row>
    <row r="636" spans="1:3" ht="13" x14ac:dyDescent="0.15">
      <c r="A636" s="10"/>
      <c r="B636" s="13"/>
      <c r="C636" s="13"/>
    </row>
    <row r="637" spans="1:3" ht="13" x14ac:dyDescent="0.15">
      <c r="A637" s="10"/>
      <c r="B637" s="13"/>
      <c r="C637" s="13"/>
    </row>
    <row r="638" spans="1:3" ht="13" x14ac:dyDescent="0.15">
      <c r="A638" s="10"/>
      <c r="B638" s="13"/>
      <c r="C638" s="13"/>
    </row>
    <row r="639" spans="1:3" ht="13" x14ac:dyDescent="0.15">
      <c r="A639" s="10"/>
      <c r="B639" s="13"/>
      <c r="C639" s="13"/>
    </row>
    <row r="640" spans="1:3" ht="13" x14ac:dyDescent="0.15">
      <c r="A640" s="10"/>
      <c r="B640" s="13"/>
      <c r="C640" s="13"/>
    </row>
    <row r="641" spans="1:3" ht="13" x14ac:dyDescent="0.15">
      <c r="A641" s="10"/>
      <c r="B641" s="13"/>
      <c r="C641" s="13"/>
    </row>
    <row r="642" spans="1:3" ht="13" x14ac:dyDescent="0.15">
      <c r="A642" s="10"/>
      <c r="B642" s="13"/>
      <c r="C642" s="13"/>
    </row>
    <row r="643" spans="1:3" ht="13" x14ac:dyDescent="0.15">
      <c r="A643" s="10"/>
      <c r="B643" s="13"/>
      <c r="C643" s="13"/>
    </row>
    <row r="644" spans="1:3" ht="13" x14ac:dyDescent="0.15">
      <c r="A644" s="10"/>
      <c r="B644" s="13"/>
      <c r="C644" s="13"/>
    </row>
    <row r="645" spans="1:3" ht="13" x14ac:dyDescent="0.15">
      <c r="A645" s="10"/>
      <c r="B645" s="13"/>
      <c r="C645" s="13"/>
    </row>
    <row r="646" spans="1:3" ht="13" x14ac:dyDescent="0.15">
      <c r="A646" s="10"/>
      <c r="B646" s="13"/>
      <c r="C646" s="13"/>
    </row>
    <row r="647" spans="1:3" ht="13" x14ac:dyDescent="0.15">
      <c r="A647" s="10"/>
      <c r="B647" s="13"/>
      <c r="C647" s="13"/>
    </row>
    <row r="648" spans="1:3" ht="13" x14ac:dyDescent="0.15">
      <c r="A648" s="10"/>
      <c r="B648" s="13"/>
      <c r="C648" s="13"/>
    </row>
    <row r="649" spans="1:3" ht="13" x14ac:dyDescent="0.15">
      <c r="A649" s="10"/>
      <c r="B649" s="13"/>
      <c r="C649" s="13"/>
    </row>
    <row r="650" spans="1:3" ht="13" x14ac:dyDescent="0.15">
      <c r="A650" s="10"/>
      <c r="B650" s="13"/>
      <c r="C650" s="13"/>
    </row>
    <row r="651" spans="1:3" ht="13" x14ac:dyDescent="0.15">
      <c r="A651" s="10"/>
      <c r="B651" s="13"/>
      <c r="C651" s="13"/>
    </row>
    <row r="652" spans="1:3" ht="13" x14ac:dyDescent="0.15">
      <c r="A652" s="10"/>
      <c r="B652" s="13"/>
      <c r="C652" s="13"/>
    </row>
    <row r="653" spans="1:3" ht="13" x14ac:dyDescent="0.15">
      <c r="A653" s="10"/>
      <c r="B653" s="13"/>
      <c r="C653" s="13"/>
    </row>
    <row r="654" spans="1:3" ht="13" x14ac:dyDescent="0.15">
      <c r="A654" s="10"/>
      <c r="B654" s="13"/>
      <c r="C654" s="13"/>
    </row>
    <row r="655" spans="1:3" ht="13" x14ac:dyDescent="0.15">
      <c r="A655" s="10"/>
      <c r="B655" s="13"/>
      <c r="C655" s="13"/>
    </row>
    <row r="656" spans="1:3" ht="13" x14ac:dyDescent="0.15">
      <c r="A656" s="10"/>
      <c r="B656" s="13"/>
      <c r="C656" s="13"/>
    </row>
    <row r="657" spans="1:3" ht="13" x14ac:dyDescent="0.15">
      <c r="A657" s="10"/>
      <c r="B657" s="13"/>
      <c r="C657" s="13"/>
    </row>
    <row r="658" spans="1:3" ht="13" x14ac:dyDescent="0.15">
      <c r="A658" s="10"/>
      <c r="B658" s="13"/>
      <c r="C658" s="13"/>
    </row>
    <row r="659" spans="1:3" ht="13" x14ac:dyDescent="0.15">
      <c r="A659" s="10"/>
      <c r="B659" s="13"/>
      <c r="C659" s="13"/>
    </row>
    <row r="660" spans="1:3" ht="13" x14ac:dyDescent="0.15">
      <c r="A660" s="10"/>
      <c r="B660" s="13"/>
      <c r="C660" s="13"/>
    </row>
    <row r="661" spans="1:3" ht="13" x14ac:dyDescent="0.15">
      <c r="A661" s="10"/>
      <c r="B661" s="13"/>
      <c r="C661" s="13"/>
    </row>
    <row r="662" spans="1:3" ht="13" x14ac:dyDescent="0.15">
      <c r="A662" s="10"/>
      <c r="B662" s="13"/>
      <c r="C662" s="13"/>
    </row>
    <row r="663" spans="1:3" ht="13" x14ac:dyDescent="0.15">
      <c r="A663" s="10"/>
      <c r="B663" s="13"/>
      <c r="C663" s="13"/>
    </row>
    <row r="664" spans="1:3" ht="13" x14ac:dyDescent="0.15">
      <c r="A664" s="10"/>
      <c r="B664" s="13"/>
      <c r="C664" s="13"/>
    </row>
    <row r="665" spans="1:3" ht="13" x14ac:dyDescent="0.15">
      <c r="A665" s="10"/>
      <c r="B665" s="13"/>
      <c r="C665" s="13"/>
    </row>
    <row r="666" spans="1:3" ht="13" x14ac:dyDescent="0.15">
      <c r="A666" s="10"/>
      <c r="B666" s="13"/>
      <c r="C666" s="13"/>
    </row>
    <row r="667" spans="1:3" ht="13" x14ac:dyDescent="0.15">
      <c r="A667" s="10"/>
      <c r="B667" s="13"/>
      <c r="C667" s="13"/>
    </row>
    <row r="668" spans="1:3" ht="13" x14ac:dyDescent="0.15">
      <c r="A668" s="10"/>
      <c r="B668" s="13"/>
      <c r="C668" s="13"/>
    </row>
    <row r="669" spans="1:3" ht="13" x14ac:dyDescent="0.15">
      <c r="A669" s="10"/>
      <c r="B669" s="13"/>
      <c r="C669" s="13"/>
    </row>
    <row r="670" spans="1:3" ht="13" x14ac:dyDescent="0.15">
      <c r="A670" s="10"/>
      <c r="B670" s="13"/>
      <c r="C670" s="13"/>
    </row>
    <row r="671" spans="1:3" ht="13" x14ac:dyDescent="0.15">
      <c r="A671" s="10"/>
      <c r="B671" s="13"/>
      <c r="C671" s="13"/>
    </row>
    <row r="672" spans="1:3" ht="13" x14ac:dyDescent="0.15">
      <c r="A672" s="10"/>
      <c r="B672" s="13"/>
      <c r="C672" s="13"/>
    </row>
    <row r="673" spans="1:3" ht="13" x14ac:dyDescent="0.15">
      <c r="A673" s="10"/>
      <c r="B673" s="13"/>
      <c r="C673" s="13"/>
    </row>
    <row r="674" spans="1:3" ht="13" x14ac:dyDescent="0.15">
      <c r="A674" s="10"/>
      <c r="B674" s="13"/>
      <c r="C674" s="13"/>
    </row>
    <row r="675" spans="1:3" ht="13" x14ac:dyDescent="0.15">
      <c r="A675" s="10"/>
      <c r="B675" s="13"/>
      <c r="C675" s="13"/>
    </row>
    <row r="676" spans="1:3" ht="13" x14ac:dyDescent="0.15">
      <c r="A676" s="10"/>
      <c r="B676" s="13"/>
      <c r="C676" s="13"/>
    </row>
    <row r="677" spans="1:3" ht="13" x14ac:dyDescent="0.15">
      <c r="A677" s="10"/>
      <c r="B677" s="13"/>
      <c r="C677" s="13"/>
    </row>
    <row r="678" spans="1:3" ht="13" x14ac:dyDescent="0.15">
      <c r="A678" s="10"/>
      <c r="B678" s="13"/>
      <c r="C678" s="13"/>
    </row>
    <row r="679" spans="1:3" ht="13" x14ac:dyDescent="0.15">
      <c r="A679" s="10"/>
      <c r="B679" s="13"/>
      <c r="C679" s="13"/>
    </row>
    <row r="680" spans="1:3" ht="13" x14ac:dyDescent="0.15">
      <c r="A680" s="10"/>
      <c r="B680" s="13"/>
      <c r="C680" s="13"/>
    </row>
    <row r="681" spans="1:3" ht="13" x14ac:dyDescent="0.15">
      <c r="A681" s="10"/>
      <c r="B681" s="13"/>
      <c r="C681" s="13"/>
    </row>
    <row r="682" spans="1:3" ht="13" x14ac:dyDescent="0.15">
      <c r="A682" s="10"/>
      <c r="B682" s="13"/>
      <c r="C682" s="13"/>
    </row>
    <row r="683" spans="1:3" ht="13" x14ac:dyDescent="0.15">
      <c r="A683" s="10"/>
      <c r="B683" s="13"/>
      <c r="C683" s="13"/>
    </row>
    <row r="684" spans="1:3" ht="13" x14ac:dyDescent="0.15">
      <c r="A684" s="10"/>
      <c r="B684" s="13"/>
      <c r="C684" s="13"/>
    </row>
    <row r="685" spans="1:3" ht="13" x14ac:dyDescent="0.15">
      <c r="A685" s="10"/>
      <c r="B685" s="13"/>
      <c r="C685" s="13"/>
    </row>
    <row r="686" spans="1:3" ht="13" x14ac:dyDescent="0.15">
      <c r="A686" s="10"/>
      <c r="B686" s="13"/>
      <c r="C686" s="13"/>
    </row>
    <row r="687" spans="1:3" ht="13" x14ac:dyDescent="0.15">
      <c r="A687" s="10"/>
      <c r="B687" s="13"/>
      <c r="C687" s="13"/>
    </row>
    <row r="688" spans="1:3" ht="13" x14ac:dyDescent="0.15">
      <c r="A688" s="10"/>
      <c r="B688" s="13"/>
      <c r="C688" s="13"/>
    </row>
    <row r="689" spans="1:3" ht="13" x14ac:dyDescent="0.15">
      <c r="A689" s="10"/>
      <c r="B689" s="13"/>
      <c r="C689" s="13"/>
    </row>
    <row r="690" spans="1:3" ht="13" x14ac:dyDescent="0.15">
      <c r="A690" s="10"/>
      <c r="B690" s="13"/>
      <c r="C690" s="13"/>
    </row>
    <row r="691" spans="1:3" ht="13" x14ac:dyDescent="0.15">
      <c r="A691" s="10"/>
      <c r="B691" s="13"/>
      <c r="C691" s="13"/>
    </row>
    <row r="692" spans="1:3" ht="13" x14ac:dyDescent="0.15">
      <c r="A692" s="10"/>
      <c r="B692" s="13"/>
      <c r="C692" s="13"/>
    </row>
    <row r="693" spans="1:3" ht="13" x14ac:dyDescent="0.15">
      <c r="A693" s="10"/>
      <c r="B693" s="13"/>
      <c r="C693" s="13"/>
    </row>
    <row r="694" spans="1:3" ht="13" x14ac:dyDescent="0.15">
      <c r="A694" s="10"/>
      <c r="B694" s="13"/>
      <c r="C694" s="13"/>
    </row>
    <row r="695" spans="1:3" ht="13" x14ac:dyDescent="0.15">
      <c r="A695" s="10"/>
      <c r="B695" s="13"/>
      <c r="C695" s="13"/>
    </row>
    <row r="696" spans="1:3" ht="13" x14ac:dyDescent="0.15">
      <c r="A696" s="10"/>
      <c r="B696" s="13"/>
      <c r="C696" s="13"/>
    </row>
    <row r="697" spans="1:3" ht="13" x14ac:dyDescent="0.15">
      <c r="A697" s="10"/>
      <c r="B697" s="13"/>
      <c r="C697" s="13"/>
    </row>
    <row r="698" spans="1:3" ht="13" x14ac:dyDescent="0.15">
      <c r="A698" s="10"/>
      <c r="B698" s="13"/>
      <c r="C698" s="13"/>
    </row>
    <row r="699" spans="1:3" ht="13" x14ac:dyDescent="0.15">
      <c r="A699" s="10"/>
      <c r="B699" s="13"/>
      <c r="C699" s="13"/>
    </row>
    <row r="700" spans="1:3" ht="13" x14ac:dyDescent="0.15">
      <c r="A700" s="10"/>
      <c r="B700" s="13"/>
      <c r="C700" s="13"/>
    </row>
    <row r="701" spans="1:3" ht="13" x14ac:dyDescent="0.15">
      <c r="A701" s="10"/>
      <c r="B701" s="13"/>
      <c r="C701" s="13"/>
    </row>
    <row r="702" spans="1:3" ht="13" x14ac:dyDescent="0.15">
      <c r="A702" s="10"/>
      <c r="B702" s="13"/>
      <c r="C702" s="13"/>
    </row>
    <row r="703" spans="1:3" ht="13" x14ac:dyDescent="0.15">
      <c r="A703" s="10"/>
      <c r="B703" s="13"/>
      <c r="C703" s="13"/>
    </row>
    <row r="704" spans="1:3" ht="13" x14ac:dyDescent="0.15">
      <c r="A704" s="10"/>
      <c r="B704" s="13"/>
      <c r="C704" s="13"/>
    </row>
    <row r="705" spans="1:3" ht="13" x14ac:dyDescent="0.15">
      <c r="A705" s="10"/>
      <c r="B705" s="13"/>
      <c r="C705" s="13"/>
    </row>
    <row r="706" spans="1:3" ht="13" x14ac:dyDescent="0.15">
      <c r="A706" s="10"/>
      <c r="B706" s="13"/>
      <c r="C706" s="13"/>
    </row>
    <row r="707" spans="1:3" ht="13" x14ac:dyDescent="0.15">
      <c r="A707" s="10"/>
      <c r="B707" s="13"/>
      <c r="C707" s="13"/>
    </row>
    <row r="708" spans="1:3" ht="13" x14ac:dyDescent="0.15">
      <c r="A708" s="10"/>
      <c r="B708" s="13"/>
      <c r="C708" s="13"/>
    </row>
    <row r="709" spans="1:3" ht="13" x14ac:dyDescent="0.15">
      <c r="A709" s="10"/>
      <c r="B709" s="13"/>
      <c r="C709" s="13"/>
    </row>
    <row r="710" spans="1:3" ht="13" x14ac:dyDescent="0.15">
      <c r="A710" s="10"/>
      <c r="B710" s="13"/>
      <c r="C710" s="13"/>
    </row>
    <row r="711" spans="1:3" ht="13" x14ac:dyDescent="0.15">
      <c r="A711" s="10"/>
      <c r="B711" s="13"/>
      <c r="C711" s="13"/>
    </row>
    <row r="712" spans="1:3" ht="13" x14ac:dyDescent="0.15">
      <c r="A712" s="10"/>
      <c r="B712" s="13"/>
      <c r="C712" s="13"/>
    </row>
    <row r="713" spans="1:3" ht="13" x14ac:dyDescent="0.15">
      <c r="A713" s="10"/>
      <c r="B713" s="13"/>
      <c r="C713" s="13"/>
    </row>
    <row r="714" spans="1:3" ht="13" x14ac:dyDescent="0.15">
      <c r="A714" s="10"/>
      <c r="B714" s="13"/>
      <c r="C714" s="13"/>
    </row>
    <row r="715" spans="1:3" ht="13" x14ac:dyDescent="0.15">
      <c r="A715" s="10"/>
      <c r="B715" s="13"/>
      <c r="C715" s="13"/>
    </row>
    <row r="716" spans="1:3" ht="13" x14ac:dyDescent="0.15">
      <c r="A716" s="10"/>
      <c r="B716" s="13"/>
      <c r="C716" s="13"/>
    </row>
    <row r="717" spans="1:3" ht="13" x14ac:dyDescent="0.15">
      <c r="A717" s="10"/>
      <c r="B717" s="13"/>
      <c r="C717" s="13"/>
    </row>
    <row r="718" spans="1:3" ht="13" x14ac:dyDescent="0.15">
      <c r="A718" s="10"/>
      <c r="B718" s="13"/>
      <c r="C718" s="13"/>
    </row>
    <row r="719" spans="1:3" ht="13" x14ac:dyDescent="0.15">
      <c r="A719" s="10"/>
      <c r="B719" s="13"/>
      <c r="C719" s="13"/>
    </row>
    <row r="720" spans="1:3" ht="13" x14ac:dyDescent="0.15">
      <c r="A720" s="10"/>
      <c r="B720" s="13"/>
      <c r="C720" s="13"/>
    </row>
    <row r="721" spans="1:3" ht="13" x14ac:dyDescent="0.15">
      <c r="A721" s="10"/>
      <c r="B721" s="13"/>
      <c r="C721" s="13"/>
    </row>
    <row r="722" spans="1:3" ht="13" x14ac:dyDescent="0.15">
      <c r="A722" s="10"/>
      <c r="B722" s="13"/>
      <c r="C722" s="13"/>
    </row>
    <row r="723" spans="1:3" ht="13" x14ac:dyDescent="0.15">
      <c r="A723" s="10"/>
      <c r="B723" s="13"/>
      <c r="C723" s="13"/>
    </row>
    <row r="724" spans="1:3" ht="13" x14ac:dyDescent="0.15">
      <c r="A724" s="10"/>
      <c r="B724" s="13"/>
      <c r="C724" s="13"/>
    </row>
    <row r="725" spans="1:3" ht="13" x14ac:dyDescent="0.15">
      <c r="A725" s="10"/>
      <c r="B725" s="13"/>
      <c r="C725" s="13"/>
    </row>
    <row r="726" spans="1:3" ht="13" x14ac:dyDescent="0.15">
      <c r="A726" s="10"/>
      <c r="B726" s="13"/>
      <c r="C726" s="13"/>
    </row>
    <row r="727" spans="1:3" ht="13" x14ac:dyDescent="0.15">
      <c r="A727" s="10"/>
      <c r="B727" s="13"/>
      <c r="C727" s="13"/>
    </row>
    <row r="728" spans="1:3" ht="13" x14ac:dyDescent="0.15">
      <c r="A728" s="10"/>
      <c r="B728" s="13"/>
      <c r="C728" s="13"/>
    </row>
    <row r="729" spans="1:3" ht="13" x14ac:dyDescent="0.15">
      <c r="A729" s="10"/>
      <c r="B729" s="13"/>
      <c r="C729" s="13"/>
    </row>
    <row r="730" spans="1:3" ht="13" x14ac:dyDescent="0.15">
      <c r="A730" s="10"/>
      <c r="B730" s="13"/>
      <c r="C730" s="13"/>
    </row>
    <row r="731" spans="1:3" ht="13" x14ac:dyDescent="0.15">
      <c r="A731" s="10"/>
      <c r="B731" s="13"/>
      <c r="C731" s="13"/>
    </row>
    <row r="732" spans="1:3" ht="13" x14ac:dyDescent="0.15">
      <c r="A732" s="10"/>
      <c r="B732" s="13"/>
      <c r="C732" s="13"/>
    </row>
    <row r="733" spans="1:3" ht="13" x14ac:dyDescent="0.15">
      <c r="A733" s="10"/>
      <c r="B733" s="13"/>
      <c r="C733" s="13"/>
    </row>
    <row r="734" spans="1:3" ht="13" x14ac:dyDescent="0.15">
      <c r="A734" s="10"/>
      <c r="B734" s="13"/>
      <c r="C734" s="13"/>
    </row>
    <row r="735" spans="1:3" ht="13" x14ac:dyDescent="0.15">
      <c r="A735" s="10"/>
      <c r="B735" s="13"/>
      <c r="C735" s="13"/>
    </row>
    <row r="736" spans="1:3" ht="13" x14ac:dyDescent="0.15">
      <c r="A736" s="10"/>
      <c r="B736" s="13"/>
      <c r="C736" s="13"/>
    </row>
    <row r="737" spans="1:3" ht="13" x14ac:dyDescent="0.15">
      <c r="A737" s="10"/>
      <c r="B737" s="13"/>
      <c r="C737" s="13"/>
    </row>
    <row r="738" spans="1:3" ht="13" x14ac:dyDescent="0.15">
      <c r="A738" s="10"/>
      <c r="B738" s="13"/>
      <c r="C738" s="13"/>
    </row>
    <row r="739" spans="1:3" ht="13" x14ac:dyDescent="0.15">
      <c r="A739" s="10"/>
      <c r="B739" s="13"/>
      <c r="C739" s="13"/>
    </row>
    <row r="740" spans="1:3" ht="13" x14ac:dyDescent="0.15">
      <c r="A740" s="10"/>
      <c r="B740" s="13"/>
      <c r="C740" s="13"/>
    </row>
    <row r="741" spans="1:3" ht="13" x14ac:dyDescent="0.15">
      <c r="A741" s="10"/>
      <c r="B741" s="13"/>
      <c r="C741" s="13"/>
    </row>
    <row r="742" spans="1:3" ht="13" x14ac:dyDescent="0.15">
      <c r="A742" s="10"/>
      <c r="B742" s="13"/>
      <c r="C742" s="13"/>
    </row>
    <row r="743" spans="1:3" ht="13" x14ac:dyDescent="0.15">
      <c r="A743" s="10"/>
      <c r="B743" s="13"/>
      <c r="C743" s="13"/>
    </row>
    <row r="744" spans="1:3" ht="13" x14ac:dyDescent="0.15">
      <c r="A744" s="10"/>
      <c r="B744" s="13"/>
      <c r="C744" s="13"/>
    </row>
    <row r="745" spans="1:3" ht="13" x14ac:dyDescent="0.15">
      <c r="A745" s="10"/>
      <c r="B745" s="13"/>
      <c r="C745" s="13"/>
    </row>
    <row r="746" spans="1:3" ht="13" x14ac:dyDescent="0.15">
      <c r="A746" s="10"/>
      <c r="B746" s="13"/>
      <c r="C746" s="13"/>
    </row>
    <row r="747" spans="1:3" ht="13" x14ac:dyDescent="0.15">
      <c r="A747" s="10"/>
      <c r="B747" s="13"/>
      <c r="C747" s="13"/>
    </row>
    <row r="748" spans="1:3" ht="13" x14ac:dyDescent="0.15">
      <c r="A748" s="10"/>
      <c r="B748" s="13"/>
      <c r="C748" s="13"/>
    </row>
    <row r="749" spans="1:3" ht="13" x14ac:dyDescent="0.15">
      <c r="A749" s="10"/>
      <c r="B749" s="13"/>
      <c r="C749" s="13"/>
    </row>
    <row r="750" spans="1:3" ht="13" x14ac:dyDescent="0.15">
      <c r="A750" s="10"/>
      <c r="B750" s="13"/>
      <c r="C750" s="13"/>
    </row>
    <row r="751" spans="1:3" ht="13" x14ac:dyDescent="0.15">
      <c r="A751" s="10"/>
      <c r="B751" s="13"/>
      <c r="C751" s="13"/>
    </row>
    <row r="752" spans="1:3" ht="13" x14ac:dyDescent="0.15">
      <c r="A752" s="10"/>
      <c r="B752" s="13"/>
      <c r="C752" s="13"/>
    </row>
    <row r="753" spans="1:3" ht="13" x14ac:dyDescent="0.15">
      <c r="A753" s="10"/>
      <c r="B753" s="13"/>
      <c r="C753" s="13"/>
    </row>
    <row r="754" spans="1:3" ht="13" x14ac:dyDescent="0.15">
      <c r="A754" s="10"/>
      <c r="B754" s="13"/>
      <c r="C754" s="13"/>
    </row>
    <row r="755" spans="1:3" ht="13" x14ac:dyDescent="0.15">
      <c r="A755" s="10"/>
      <c r="B755" s="13"/>
      <c r="C755" s="13"/>
    </row>
    <row r="756" spans="1:3" ht="13" x14ac:dyDescent="0.15">
      <c r="A756" s="10"/>
      <c r="B756" s="13"/>
      <c r="C756" s="13"/>
    </row>
    <row r="757" spans="1:3" ht="13" x14ac:dyDescent="0.15">
      <c r="A757" s="10"/>
      <c r="B757" s="13"/>
      <c r="C757" s="13"/>
    </row>
    <row r="758" spans="1:3" ht="13" x14ac:dyDescent="0.15">
      <c r="A758" s="10"/>
      <c r="B758" s="13"/>
      <c r="C758" s="13"/>
    </row>
    <row r="759" spans="1:3" ht="13" x14ac:dyDescent="0.15">
      <c r="A759" s="10"/>
      <c r="B759" s="13"/>
      <c r="C759" s="13"/>
    </row>
    <row r="760" spans="1:3" ht="13" x14ac:dyDescent="0.15">
      <c r="A760" s="10"/>
      <c r="B760" s="13"/>
      <c r="C760" s="13"/>
    </row>
    <row r="761" spans="1:3" ht="13" x14ac:dyDescent="0.15">
      <c r="A761" s="10"/>
      <c r="B761" s="13"/>
      <c r="C761" s="13"/>
    </row>
    <row r="762" spans="1:3" ht="13" x14ac:dyDescent="0.15">
      <c r="A762" s="10"/>
      <c r="B762" s="13"/>
      <c r="C762" s="13"/>
    </row>
    <row r="763" spans="1:3" ht="13" x14ac:dyDescent="0.15">
      <c r="A763" s="10"/>
      <c r="B763" s="13"/>
      <c r="C763" s="13"/>
    </row>
    <row r="764" spans="1:3" ht="13" x14ac:dyDescent="0.15">
      <c r="A764" s="10"/>
      <c r="B764" s="13"/>
      <c r="C764" s="13"/>
    </row>
    <row r="765" spans="1:3" ht="13" x14ac:dyDescent="0.15">
      <c r="A765" s="10"/>
      <c r="B765" s="13"/>
      <c r="C765" s="13"/>
    </row>
    <row r="766" spans="1:3" ht="13" x14ac:dyDescent="0.15">
      <c r="A766" s="10"/>
      <c r="B766" s="13"/>
      <c r="C766" s="13"/>
    </row>
    <row r="767" spans="1:3" ht="13" x14ac:dyDescent="0.15">
      <c r="A767" s="10"/>
      <c r="B767" s="13"/>
      <c r="C767" s="13"/>
    </row>
    <row r="768" spans="1:3" ht="13" x14ac:dyDescent="0.15">
      <c r="A768" s="10"/>
      <c r="B768" s="13"/>
      <c r="C768" s="13"/>
    </row>
    <row r="769" spans="1:3" ht="13" x14ac:dyDescent="0.15">
      <c r="A769" s="10"/>
      <c r="B769" s="13"/>
      <c r="C769" s="13"/>
    </row>
    <row r="770" spans="1:3" ht="13" x14ac:dyDescent="0.15">
      <c r="A770" s="10"/>
      <c r="B770" s="13"/>
      <c r="C770" s="13"/>
    </row>
    <row r="771" spans="1:3" ht="13" x14ac:dyDescent="0.15">
      <c r="A771" s="10"/>
      <c r="B771" s="13"/>
      <c r="C771" s="13"/>
    </row>
    <row r="772" spans="1:3" ht="13" x14ac:dyDescent="0.15">
      <c r="A772" s="10"/>
      <c r="B772" s="13"/>
      <c r="C772" s="13"/>
    </row>
    <row r="773" spans="1:3" ht="13" x14ac:dyDescent="0.15">
      <c r="A773" s="10"/>
      <c r="B773" s="13"/>
      <c r="C773" s="13"/>
    </row>
    <row r="774" spans="1:3" ht="13" x14ac:dyDescent="0.15">
      <c r="A774" s="10"/>
      <c r="B774" s="13"/>
      <c r="C774" s="13"/>
    </row>
    <row r="775" spans="1:3" ht="13" x14ac:dyDescent="0.15">
      <c r="A775" s="10"/>
      <c r="B775" s="13"/>
      <c r="C775" s="13"/>
    </row>
    <row r="776" spans="1:3" ht="13" x14ac:dyDescent="0.15">
      <c r="A776" s="10"/>
      <c r="B776" s="13"/>
      <c r="C776" s="13"/>
    </row>
    <row r="777" spans="1:3" ht="13" x14ac:dyDescent="0.15">
      <c r="A777" s="10"/>
      <c r="B777" s="13"/>
      <c r="C777" s="13"/>
    </row>
    <row r="778" spans="1:3" ht="13" x14ac:dyDescent="0.15">
      <c r="A778" s="10"/>
      <c r="B778" s="13"/>
      <c r="C778" s="13"/>
    </row>
    <row r="779" spans="1:3" ht="13" x14ac:dyDescent="0.15">
      <c r="A779" s="10"/>
      <c r="B779" s="13"/>
      <c r="C779" s="13"/>
    </row>
    <row r="780" spans="1:3" ht="13" x14ac:dyDescent="0.15">
      <c r="A780" s="10"/>
      <c r="B780" s="13"/>
      <c r="C780" s="13"/>
    </row>
    <row r="781" spans="1:3" ht="13" x14ac:dyDescent="0.15">
      <c r="A781" s="10"/>
      <c r="B781" s="13"/>
      <c r="C781" s="13"/>
    </row>
    <row r="782" spans="1:3" ht="13" x14ac:dyDescent="0.15">
      <c r="A782" s="10"/>
      <c r="B782" s="13"/>
      <c r="C782" s="13"/>
    </row>
    <row r="783" spans="1:3" ht="13" x14ac:dyDescent="0.15">
      <c r="A783" s="10"/>
      <c r="B783" s="13"/>
      <c r="C783" s="13"/>
    </row>
    <row r="784" spans="1:3" ht="13" x14ac:dyDescent="0.15">
      <c r="A784" s="10"/>
      <c r="B784" s="13"/>
      <c r="C784" s="13"/>
    </row>
    <row r="785" spans="1:3" ht="13" x14ac:dyDescent="0.15">
      <c r="A785" s="10"/>
      <c r="B785" s="13"/>
      <c r="C785" s="13"/>
    </row>
    <row r="786" spans="1:3" ht="13" x14ac:dyDescent="0.15">
      <c r="A786" s="10"/>
      <c r="B786" s="13"/>
      <c r="C786" s="13"/>
    </row>
    <row r="787" spans="1:3" ht="13" x14ac:dyDescent="0.15">
      <c r="A787" s="10"/>
      <c r="B787" s="13"/>
      <c r="C787" s="13"/>
    </row>
    <row r="788" spans="1:3" ht="13" x14ac:dyDescent="0.15">
      <c r="A788" s="10"/>
      <c r="B788" s="13"/>
      <c r="C788" s="13"/>
    </row>
    <row r="789" spans="1:3" ht="13" x14ac:dyDescent="0.15">
      <c r="A789" s="10"/>
      <c r="B789" s="13"/>
      <c r="C789" s="13"/>
    </row>
    <row r="790" spans="1:3" ht="13" x14ac:dyDescent="0.15">
      <c r="A790" s="10"/>
      <c r="B790" s="13"/>
      <c r="C790" s="13"/>
    </row>
    <row r="791" spans="1:3" ht="13" x14ac:dyDescent="0.15">
      <c r="A791" s="10"/>
      <c r="B791" s="13"/>
      <c r="C791" s="13"/>
    </row>
    <row r="792" spans="1:3" ht="13" x14ac:dyDescent="0.15">
      <c r="A792" s="10"/>
      <c r="B792" s="13"/>
      <c r="C792" s="13"/>
    </row>
    <row r="793" spans="1:3" ht="13" x14ac:dyDescent="0.15">
      <c r="A793" s="10"/>
      <c r="B793" s="13"/>
      <c r="C793" s="13"/>
    </row>
    <row r="794" spans="1:3" ht="13" x14ac:dyDescent="0.15">
      <c r="A794" s="10"/>
      <c r="B794" s="13"/>
      <c r="C794" s="13"/>
    </row>
    <row r="795" spans="1:3" ht="13" x14ac:dyDescent="0.15">
      <c r="A795" s="10"/>
      <c r="B795" s="13"/>
      <c r="C795" s="13"/>
    </row>
    <row r="796" spans="1:3" ht="13" x14ac:dyDescent="0.15">
      <c r="A796" s="10"/>
      <c r="B796" s="13"/>
      <c r="C796" s="13"/>
    </row>
    <row r="797" spans="1:3" ht="13" x14ac:dyDescent="0.15">
      <c r="A797" s="10"/>
      <c r="B797" s="13"/>
      <c r="C797" s="13"/>
    </row>
    <row r="798" spans="1:3" ht="13" x14ac:dyDescent="0.15">
      <c r="A798" s="10"/>
      <c r="B798" s="13"/>
      <c r="C798" s="13"/>
    </row>
    <row r="799" spans="1:3" ht="13" x14ac:dyDescent="0.15">
      <c r="A799" s="10"/>
      <c r="B799" s="13"/>
      <c r="C799" s="13"/>
    </row>
    <row r="800" spans="1:3" ht="13" x14ac:dyDescent="0.15">
      <c r="A800" s="10"/>
      <c r="B800" s="13"/>
      <c r="C800" s="13"/>
    </row>
    <row r="801" spans="1:3" ht="13" x14ac:dyDescent="0.15">
      <c r="A801" s="10"/>
      <c r="B801" s="13"/>
      <c r="C801" s="13"/>
    </row>
    <row r="802" spans="1:3" ht="13" x14ac:dyDescent="0.15">
      <c r="A802" s="10"/>
      <c r="B802" s="13"/>
      <c r="C802" s="13"/>
    </row>
    <row r="803" spans="1:3" ht="13" x14ac:dyDescent="0.15">
      <c r="A803" s="10"/>
      <c r="B803" s="13"/>
      <c r="C803" s="13"/>
    </row>
    <row r="804" spans="1:3" ht="13" x14ac:dyDescent="0.15">
      <c r="A804" s="10"/>
      <c r="B804" s="13"/>
      <c r="C804" s="13"/>
    </row>
    <row r="805" spans="1:3" ht="13" x14ac:dyDescent="0.15">
      <c r="A805" s="10"/>
      <c r="B805" s="13"/>
      <c r="C805" s="13"/>
    </row>
    <row r="806" spans="1:3" ht="13" x14ac:dyDescent="0.15">
      <c r="A806" s="10"/>
      <c r="B806" s="13"/>
      <c r="C806" s="13"/>
    </row>
    <row r="807" spans="1:3" ht="13" x14ac:dyDescent="0.15">
      <c r="A807" s="10"/>
      <c r="B807" s="13"/>
      <c r="C807" s="13"/>
    </row>
    <row r="808" spans="1:3" ht="13" x14ac:dyDescent="0.15">
      <c r="A808" s="10"/>
      <c r="B808" s="13"/>
      <c r="C808" s="13"/>
    </row>
    <row r="809" spans="1:3" ht="13" x14ac:dyDescent="0.15">
      <c r="A809" s="10"/>
      <c r="B809" s="13"/>
      <c r="C809" s="13"/>
    </row>
    <row r="810" spans="1:3" ht="13" x14ac:dyDescent="0.15">
      <c r="A810" s="10"/>
      <c r="B810" s="13"/>
      <c r="C810" s="13"/>
    </row>
    <row r="811" spans="1:3" ht="13" x14ac:dyDescent="0.15">
      <c r="A811" s="10"/>
      <c r="B811" s="13"/>
      <c r="C811" s="13"/>
    </row>
    <row r="812" spans="1:3" ht="13" x14ac:dyDescent="0.15">
      <c r="A812" s="10"/>
      <c r="B812" s="13"/>
      <c r="C812" s="13"/>
    </row>
    <row r="813" spans="1:3" ht="13" x14ac:dyDescent="0.15">
      <c r="A813" s="10"/>
      <c r="B813" s="13"/>
      <c r="C813" s="13"/>
    </row>
    <row r="814" spans="1:3" ht="13" x14ac:dyDescent="0.15">
      <c r="A814" s="10"/>
      <c r="B814" s="13"/>
      <c r="C814" s="13"/>
    </row>
    <row r="815" spans="1:3" ht="13" x14ac:dyDescent="0.15">
      <c r="A815" s="10"/>
      <c r="B815" s="13"/>
      <c r="C815" s="13"/>
    </row>
    <row r="816" spans="1:3" ht="13" x14ac:dyDescent="0.15">
      <c r="A816" s="10"/>
      <c r="B816" s="13"/>
      <c r="C816" s="13"/>
    </row>
    <row r="817" spans="1:3" ht="13" x14ac:dyDescent="0.15">
      <c r="A817" s="10"/>
      <c r="B817" s="13"/>
      <c r="C817" s="13"/>
    </row>
    <row r="818" spans="1:3" ht="13" x14ac:dyDescent="0.15">
      <c r="A818" s="10"/>
      <c r="B818" s="13"/>
      <c r="C818" s="13"/>
    </row>
    <row r="819" spans="1:3" ht="13" x14ac:dyDescent="0.15">
      <c r="A819" s="10"/>
      <c r="B819" s="13"/>
      <c r="C819" s="13"/>
    </row>
    <row r="820" spans="1:3" ht="13" x14ac:dyDescent="0.15">
      <c r="A820" s="10"/>
      <c r="B820" s="13"/>
      <c r="C820" s="13"/>
    </row>
    <row r="821" spans="1:3" ht="13" x14ac:dyDescent="0.15">
      <c r="A821" s="10"/>
      <c r="B821" s="13"/>
      <c r="C821" s="13"/>
    </row>
    <row r="822" spans="1:3" ht="13" x14ac:dyDescent="0.15">
      <c r="A822" s="10"/>
      <c r="B822" s="13"/>
      <c r="C822" s="13"/>
    </row>
    <row r="823" spans="1:3" ht="13" x14ac:dyDescent="0.15">
      <c r="A823" s="10"/>
      <c r="B823" s="13"/>
      <c r="C823" s="13"/>
    </row>
    <row r="824" spans="1:3" ht="13" x14ac:dyDescent="0.15">
      <c r="A824" s="10"/>
      <c r="B824" s="13"/>
      <c r="C824" s="13"/>
    </row>
    <row r="825" spans="1:3" ht="13" x14ac:dyDescent="0.15">
      <c r="A825" s="10"/>
      <c r="B825" s="13"/>
      <c r="C825" s="13"/>
    </row>
    <row r="826" spans="1:3" ht="13" x14ac:dyDescent="0.15">
      <c r="A826" s="10"/>
      <c r="B826" s="13"/>
      <c r="C826" s="13"/>
    </row>
    <row r="827" spans="1:3" ht="13" x14ac:dyDescent="0.15">
      <c r="A827" s="10"/>
      <c r="B827" s="13"/>
      <c r="C827" s="13"/>
    </row>
    <row r="828" spans="1:3" ht="13" x14ac:dyDescent="0.15">
      <c r="A828" s="10"/>
      <c r="B828" s="13"/>
      <c r="C828" s="13"/>
    </row>
    <row r="829" spans="1:3" ht="13" x14ac:dyDescent="0.15">
      <c r="A829" s="10"/>
      <c r="B829" s="13"/>
      <c r="C829" s="13"/>
    </row>
    <row r="830" spans="1:3" ht="13" x14ac:dyDescent="0.15">
      <c r="A830" s="10"/>
      <c r="B830" s="13"/>
      <c r="C830" s="13"/>
    </row>
    <row r="831" spans="1:3" ht="13" x14ac:dyDescent="0.15">
      <c r="A831" s="10"/>
      <c r="B831" s="13"/>
      <c r="C831" s="13"/>
    </row>
    <row r="832" spans="1:3" ht="13" x14ac:dyDescent="0.15">
      <c r="A832" s="10"/>
      <c r="B832" s="13"/>
      <c r="C832" s="13"/>
    </row>
    <row r="833" spans="1:3" ht="13" x14ac:dyDescent="0.15">
      <c r="A833" s="10"/>
      <c r="B833" s="13"/>
      <c r="C833" s="13"/>
    </row>
    <row r="834" spans="1:3" ht="13" x14ac:dyDescent="0.15">
      <c r="A834" s="10"/>
      <c r="B834" s="13"/>
      <c r="C834" s="13"/>
    </row>
    <row r="835" spans="1:3" ht="13" x14ac:dyDescent="0.15">
      <c r="A835" s="10"/>
      <c r="B835" s="13"/>
      <c r="C835" s="13"/>
    </row>
    <row r="836" spans="1:3" ht="13" x14ac:dyDescent="0.15">
      <c r="A836" s="10"/>
      <c r="B836" s="13"/>
      <c r="C836" s="13"/>
    </row>
    <row r="837" spans="1:3" ht="13" x14ac:dyDescent="0.15">
      <c r="A837" s="10"/>
      <c r="B837" s="13"/>
      <c r="C837" s="13"/>
    </row>
    <row r="838" spans="1:3" ht="13" x14ac:dyDescent="0.15">
      <c r="A838" s="10"/>
      <c r="B838" s="13"/>
      <c r="C838" s="13"/>
    </row>
    <row r="839" spans="1:3" ht="13" x14ac:dyDescent="0.15">
      <c r="A839" s="10"/>
      <c r="B839" s="13"/>
      <c r="C839" s="13"/>
    </row>
    <row r="840" spans="1:3" ht="13" x14ac:dyDescent="0.15">
      <c r="A840" s="10"/>
      <c r="B840" s="13"/>
      <c r="C840" s="13"/>
    </row>
    <row r="841" spans="1:3" ht="13" x14ac:dyDescent="0.15">
      <c r="A841" s="10"/>
      <c r="B841" s="13"/>
      <c r="C841" s="13"/>
    </row>
    <row r="842" spans="1:3" ht="13" x14ac:dyDescent="0.15">
      <c r="A842" s="10"/>
      <c r="B842" s="13"/>
      <c r="C842" s="13"/>
    </row>
    <row r="843" spans="1:3" ht="13" x14ac:dyDescent="0.15">
      <c r="A843" s="10"/>
      <c r="B843" s="13"/>
      <c r="C843" s="13"/>
    </row>
    <row r="844" spans="1:3" ht="13" x14ac:dyDescent="0.15">
      <c r="A844" s="10"/>
      <c r="B844" s="13"/>
      <c r="C844" s="13"/>
    </row>
    <row r="845" spans="1:3" ht="13" x14ac:dyDescent="0.15">
      <c r="A845" s="10"/>
      <c r="B845" s="13"/>
      <c r="C845" s="13"/>
    </row>
    <row r="846" spans="1:3" ht="13" x14ac:dyDescent="0.15">
      <c r="A846" s="10"/>
      <c r="B846" s="13"/>
      <c r="C846" s="13"/>
    </row>
    <row r="847" spans="1:3" ht="13" x14ac:dyDescent="0.15">
      <c r="A847" s="10"/>
      <c r="B847" s="13"/>
      <c r="C847" s="13"/>
    </row>
    <row r="848" spans="1:3" ht="13" x14ac:dyDescent="0.15">
      <c r="A848" s="10"/>
      <c r="B848" s="13"/>
      <c r="C848" s="13"/>
    </row>
    <row r="849" spans="1:3" ht="13" x14ac:dyDescent="0.15">
      <c r="A849" s="10"/>
      <c r="B849" s="13"/>
      <c r="C849" s="13"/>
    </row>
    <row r="850" spans="1:3" ht="13" x14ac:dyDescent="0.15">
      <c r="A850" s="10"/>
      <c r="B850" s="13"/>
      <c r="C850" s="13"/>
    </row>
    <row r="851" spans="1:3" ht="13" x14ac:dyDescent="0.15">
      <c r="A851" s="10"/>
      <c r="B851" s="13"/>
      <c r="C851" s="13"/>
    </row>
    <row r="852" spans="1:3" ht="13" x14ac:dyDescent="0.15">
      <c r="A852" s="10"/>
      <c r="B852" s="13"/>
      <c r="C852" s="13"/>
    </row>
    <row r="853" spans="1:3" ht="13" x14ac:dyDescent="0.15">
      <c r="A853" s="10"/>
      <c r="B853" s="13"/>
      <c r="C853" s="13"/>
    </row>
    <row r="854" spans="1:3" ht="13" x14ac:dyDescent="0.15">
      <c r="A854" s="10"/>
      <c r="B854" s="13"/>
      <c r="C854" s="13"/>
    </row>
    <row r="855" spans="1:3" ht="13" x14ac:dyDescent="0.15">
      <c r="A855" s="10"/>
      <c r="B855" s="13"/>
      <c r="C855" s="13"/>
    </row>
    <row r="856" spans="1:3" ht="13" x14ac:dyDescent="0.15">
      <c r="A856" s="10"/>
      <c r="B856" s="13"/>
      <c r="C856" s="13"/>
    </row>
    <row r="857" spans="1:3" ht="13" x14ac:dyDescent="0.15">
      <c r="A857" s="10"/>
      <c r="B857" s="13"/>
      <c r="C857" s="13"/>
    </row>
    <row r="858" spans="1:3" ht="13" x14ac:dyDescent="0.15">
      <c r="A858" s="10"/>
      <c r="B858" s="13"/>
      <c r="C858" s="13"/>
    </row>
    <row r="859" spans="1:3" ht="13" x14ac:dyDescent="0.15">
      <c r="A859" s="10"/>
      <c r="B859" s="13"/>
      <c r="C859" s="13"/>
    </row>
    <row r="860" spans="1:3" ht="13" x14ac:dyDescent="0.15">
      <c r="A860" s="10"/>
      <c r="B860" s="13"/>
      <c r="C860" s="13"/>
    </row>
    <row r="861" spans="1:3" ht="13" x14ac:dyDescent="0.15">
      <c r="A861" s="10"/>
      <c r="B861" s="13"/>
      <c r="C861" s="13"/>
    </row>
    <row r="862" spans="1:3" ht="13" x14ac:dyDescent="0.15">
      <c r="A862" s="10"/>
      <c r="B862" s="13"/>
      <c r="C862" s="13"/>
    </row>
    <row r="863" spans="1:3" ht="13" x14ac:dyDescent="0.15">
      <c r="A863" s="10"/>
      <c r="B863" s="13"/>
      <c r="C863" s="13"/>
    </row>
    <row r="864" spans="1:3" ht="13" x14ac:dyDescent="0.15">
      <c r="A864" s="10"/>
      <c r="B864" s="13"/>
      <c r="C864" s="13"/>
    </row>
    <row r="865" spans="1:3" ht="13" x14ac:dyDescent="0.15">
      <c r="A865" s="10"/>
      <c r="B865" s="13"/>
      <c r="C865" s="13"/>
    </row>
    <row r="866" spans="1:3" ht="13" x14ac:dyDescent="0.15">
      <c r="A866" s="10"/>
      <c r="B866" s="13"/>
      <c r="C866" s="13"/>
    </row>
    <row r="867" spans="1:3" ht="13" x14ac:dyDescent="0.15">
      <c r="A867" s="10"/>
      <c r="B867" s="13"/>
      <c r="C867" s="13"/>
    </row>
    <row r="868" spans="1:3" ht="13" x14ac:dyDescent="0.15">
      <c r="A868" s="10"/>
      <c r="B868" s="13"/>
      <c r="C868" s="13"/>
    </row>
    <row r="869" spans="1:3" ht="13" x14ac:dyDescent="0.15">
      <c r="A869" s="10"/>
      <c r="B869" s="13"/>
      <c r="C869" s="13"/>
    </row>
    <row r="870" spans="1:3" ht="13" x14ac:dyDescent="0.15">
      <c r="A870" s="10"/>
      <c r="B870" s="13"/>
      <c r="C870" s="13"/>
    </row>
    <row r="871" spans="1:3" ht="13" x14ac:dyDescent="0.15">
      <c r="A871" s="10"/>
      <c r="B871" s="13"/>
      <c r="C871" s="13"/>
    </row>
    <row r="872" spans="1:3" ht="13" x14ac:dyDescent="0.15">
      <c r="A872" s="10"/>
      <c r="B872" s="13"/>
      <c r="C872" s="13"/>
    </row>
    <row r="873" spans="1:3" ht="13" x14ac:dyDescent="0.15">
      <c r="A873" s="10"/>
      <c r="B873" s="13"/>
      <c r="C873" s="13"/>
    </row>
    <row r="874" spans="1:3" ht="13" x14ac:dyDescent="0.15">
      <c r="A874" s="10"/>
      <c r="B874" s="13"/>
      <c r="C874" s="13"/>
    </row>
    <row r="875" spans="1:3" ht="13" x14ac:dyDescent="0.15">
      <c r="A875" s="10"/>
      <c r="B875" s="13"/>
      <c r="C875" s="13"/>
    </row>
    <row r="876" spans="1:3" ht="13" x14ac:dyDescent="0.15">
      <c r="A876" s="10"/>
      <c r="B876" s="13"/>
      <c r="C876" s="13"/>
    </row>
    <row r="877" spans="1:3" ht="13" x14ac:dyDescent="0.15">
      <c r="A877" s="10"/>
      <c r="B877" s="13"/>
      <c r="C877" s="13"/>
    </row>
    <row r="878" spans="1:3" ht="13" x14ac:dyDescent="0.15">
      <c r="A878" s="10"/>
      <c r="B878" s="13"/>
      <c r="C878" s="13"/>
    </row>
    <row r="879" spans="1:3" ht="13" x14ac:dyDescent="0.15">
      <c r="A879" s="10"/>
      <c r="B879" s="13"/>
      <c r="C879" s="13"/>
    </row>
    <row r="880" spans="1:3" ht="13" x14ac:dyDescent="0.15">
      <c r="A880" s="10"/>
      <c r="B880" s="13"/>
      <c r="C880" s="13"/>
    </row>
    <row r="881" spans="1:3" ht="13" x14ac:dyDescent="0.15">
      <c r="A881" s="10"/>
      <c r="B881" s="13"/>
      <c r="C881" s="13"/>
    </row>
    <row r="882" spans="1:3" ht="13" x14ac:dyDescent="0.15">
      <c r="A882" s="10"/>
      <c r="B882" s="13"/>
      <c r="C882" s="13"/>
    </row>
    <row r="883" spans="1:3" ht="13" x14ac:dyDescent="0.15">
      <c r="A883" s="10"/>
      <c r="B883" s="13"/>
      <c r="C883" s="13"/>
    </row>
    <row r="884" spans="1:3" ht="13" x14ac:dyDescent="0.15">
      <c r="A884" s="10"/>
      <c r="B884" s="13"/>
      <c r="C884" s="13"/>
    </row>
    <row r="885" spans="1:3" ht="13" x14ac:dyDescent="0.15">
      <c r="A885" s="10"/>
      <c r="B885" s="13"/>
      <c r="C885" s="13"/>
    </row>
    <row r="886" spans="1:3" ht="13" x14ac:dyDescent="0.15">
      <c r="A886" s="10"/>
      <c r="B886" s="13"/>
      <c r="C886" s="13"/>
    </row>
    <row r="887" spans="1:3" ht="13" x14ac:dyDescent="0.15">
      <c r="A887" s="10"/>
      <c r="B887" s="13"/>
      <c r="C887" s="13"/>
    </row>
    <row r="888" spans="1:3" ht="13" x14ac:dyDescent="0.15">
      <c r="A888" s="10"/>
      <c r="B888" s="13"/>
      <c r="C888" s="13"/>
    </row>
    <row r="889" spans="1:3" ht="13" x14ac:dyDescent="0.15">
      <c r="A889" s="10"/>
      <c r="B889" s="13"/>
      <c r="C889" s="13"/>
    </row>
    <row r="890" spans="1:3" ht="13" x14ac:dyDescent="0.15">
      <c r="A890" s="10"/>
      <c r="B890" s="13"/>
      <c r="C890" s="13"/>
    </row>
    <row r="891" spans="1:3" ht="13" x14ac:dyDescent="0.15">
      <c r="A891" s="10"/>
      <c r="B891" s="13"/>
      <c r="C891" s="13"/>
    </row>
    <row r="892" spans="1:3" ht="13" x14ac:dyDescent="0.15">
      <c r="A892" s="10"/>
      <c r="B892" s="13"/>
      <c r="C892" s="13"/>
    </row>
    <row r="893" spans="1:3" ht="13" x14ac:dyDescent="0.15">
      <c r="A893" s="10"/>
      <c r="B893" s="13"/>
      <c r="C893" s="13"/>
    </row>
    <row r="894" spans="1:3" ht="13" x14ac:dyDescent="0.15">
      <c r="A894" s="10"/>
      <c r="B894" s="13"/>
      <c r="C894" s="13"/>
    </row>
    <row r="895" spans="1:3" ht="13" x14ac:dyDescent="0.15">
      <c r="A895" s="10"/>
      <c r="B895" s="13"/>
      <c r="C895" s="13"/>
    </row>
    <row r="896" spans="1:3" ht="13" x14ac:dyDescent="0.15">
      <c r="A896" s="10"/>
      <c r="B896" s="13"/>
      <c r="C896" s="13"/>
    </row>
    <row r="897" spans="1:3" ht="13" x14ac:dyDescent="0.15">
      <c r="A897" s="10"/>
      <c r="B897" s="13"/>
      <c r="C897" s="13"/>
    </row>
    <row r="898" spans="1:3" ht="13" x14ac:dyDescent="0.15">
      <c r="A898" s="10"/>
      <c r="B898" s="13"/>
      <c r="C898" s="13"/>
    </row>
    <row r="899" spans="1:3" ht="13" x14ac:dyDescent="0.15">
      <c r="A899" s="10"/>
      <c r="B899" s="13"/>
      <c r="C899" s="13"/>
    </row>
    <row r="900" spans="1:3" ht="13" x14ac:dyDescent="0.15">
      <c r="A900" s="10"/>
      <c r="B900" s="13"/>
      <c r="C900" s="13"/>
    </row>
    <row r="901" spans="1:3" ht="13" x14ac:dyDescent="0.15">
      <c r="A901" s="10"/>
      <c r="B901" s="13"/>
      <c r="C901" s="13"/>
    </row>
    <row r="902" spans="1:3" ht="13" x14ac:dyDescent="0.15">
      <c r="A902" s="10"/>
      <c r="B902" s="13"/>
      <c r="C902" s="13"/>
    </row>
    <row r="903" spans="1:3" ht="13" x14ac:dyDescent="0.15">
      <c r="A903" s="10"/>
      <c r="B903" s="13"/>
      <c r="C903" s="13"/>
    </row>
    <row r="904" spans="1:3" ht="13" x14ac:dyDescent="0.15">
      <c r="A904" s="10"/>
      <c r="B904" s="13"/>
      <c r="C904" s="13"/>
    </row>
    <row r="905" spans="1:3" ht="13" x14ac:dyDescent="0.15">
      <c r="A905" s="10"/>
      <c r="B905" s="13"/>
      <c r="C905" s="13"/>
    </row>
    <row r="906" spans="1:3" ht="13" x14ac:dyDescent="0.15">
      <c r="A906" s="10"/>
      <c r="B906" s="13"/>
      <c r="C906" s="13"/>
    </row>
    <row r="907" spans="1:3" ht="13" x14ac:dyDescent="0.15">
      <c r="A907" s="10"/>
      <c r="B907" s="13"/>
      <c r="C907" s="13"/>
    </row>
    <row r="908" spans="1:3" ht="13" x14ac:dyDescent="0.15">
      <c r="A908" s="10"/>
      <c r="B908" s="13"/>
      <c r="C908" s="13"/>
    </row>
    <row r="909" spans="1:3" ht="13" x14ac:dyDescent="0.15">
      <c r="A909" s="10"/>
      <c r="B909" s="13"/>
      <c r="C909" s="13"/>
    </row>
    <row r="910" spans="1:3" ht="13" x14ac:dyDescent="0.15">
      <c r="A910" s="10"/>
      <c r="B910" s="13"/>
      <c r="C910" s="13"/>
    </row>
    <row r="911" spans="1:3" ht="13" x14ac:dyDescent="0.15">
      <c r="A911" s="10"/>
      <c r="B911" s="13"/>
      <c r="C911" s="13"/>
    </row>
    <row r="912" spans="1:3" ht="13" x14ac:dyDescent="0.15">
      <c r="A912" s="10"/>
      <c r="B912" s="13"/>
      <c r="C912" s="13"/>
    </row>
    <row r="913" spans="1:3" ht="13" x14ac:dyDescent="0.15">
      <c r="A913" s="10"/>
      <c r="B913" s="13"/>
      <c r="C913" s="13"/>
    </row>
    <row r="914" spans="1:3" ht="13" x14ac:dyDescent="0.15">
      <c r="A914" s="10"/>
      <c r="B914" s="13"/>
      <c r="C914" s="13"/>
    </row>
    <row r="915" spans="1:3" ht="13" x14ac:dyDescent="0.15">
      <c r="A915" s="10"/>
      <c r="B915" s="13"/>
      <c r="C915" s="13"/>
    </row>
    <row r="916" spans="1:3" ht="13" x14ac:dyDescent="0.15">
      <c r="A916" s="10"/>
      <c r="B916" s="13"/>
      <c r="C916" s="13"/>
    </row>
    <row r="917" spans="1:3" ht="13" x14ac:dyDescent="0.15">
      <c r="A917" s="10"/>
      <c r="B917" s="13"/>
      <c r="C917" s="13"/>
    </row>
    <row r="918" spans="1:3" ht="13" x14ac:dyDescent="0.15">
      <c r="A918" s="10"/>
      <c r="B918" s="13"/>
      <c r="C918" s="13"/>
    </row>
    <row r="919" spans="1:3" ht="13" x14ac:dyDescent="0.15">
      <c r="A919" s="10"/>
      <c r="B919" s="13"/>
      <c r="C919" s="13"/>
    </row>
    <row r="920" spans="1:3" ht="13" x14ac:dyDescent="0.15">
      <c r="A920" s="10"/>
      <c r="B920" s="13"/>
      <c r="C920" s="13"/>
    </row>
    <row r="921" spans="1:3" ht="13" x14ac:dyDescent="0.15">
      <c r="A921" s="10"/>
      <c r="B921" s="13"/>
      <c r="C921" s="13"/>
    </row>
    <row r="922" spans="1:3" ht="13" x14ac:dyDescent="0.15">
      <c r="A922" s="10"/>
      <c r="B922" s="13"/>
      <c r="C922" s="13"/>
    </row>
    <row r="923" spans="1:3" ht="13" x14ac:dyDescent="0.15">
      <c r="A923" s="10"/>
      <c r="B923" s="13"/>
      <c r="C923" s="13"/>
    </row>
    <row r="924" spans="1:3" ht="13" x14ac:dyDescent="0.15">
      <c r="A924" s="10"/>
      <c r="B924" s="13"/>
      <c r="C924" s="13"/>
    </row>
    <row r="925" spans="1:3" ht="13" x14ac:dyDescent="0.15">
      <c r="A925" s="10"/>
      <c r="B925" s="13"/>
      <c r="C925" s="13"/>
    </row>
    <row r="926" spans="1:3" ht="13" x14ac:dyDescent="0.15">
      <c r="A926" s="10"/>
      <c r="B926" s="13"/>
      <c r="C926" s="13"/>
    </row>
    <row r="927" spans="1:3" ht="13" x14ac:dyDescent="0.15">
      <c r="A927" s="10"/>
      <c r="B927" s="13"/>
      <c r="C927" s="13"/>
    </row>
    <row r="928" spans="1:3" ht="13" x14ac:dyDescent="0.15">
      <c r="A928" s="10"/>
      <c r="B928" s="13"/>
      <c r="C928" s="13"/>
    </row>
    <row r="929" spans="1:3" ht="13" x14ac:dyDescent="0.15">
      <c r="A929" s="10"/>
      <c r="B929" s="13"/>
      <c r="C929" s="13"/>
    </row>
    <row r="930" spans="1:3" ht="13" x14ac:dyDescent="0.15">
      <c r="A930" s="10"/>
      <c r="B930" s="13"/>
      <c r="C930" s="13"/>
    </row>
    <row r="931" spans="1:3" ht="13" x14ac:dyDescent="0.15">
      <c r="A931" s="10"/>
      <c r="B931" s="13"/>
      <c r="C931" s="13"/>
    </row>
    <row r="932" spans="1:3" ht="13" x14ac:dyDescent="0.15">
      <c r="A932" s="10"/>
      <c r="B932" s="13"/>
      <c r="C932" s="13"/>
    </row>
    <row r="933" spans="1:3" ht="13" x14ac:dyDescent="0.15">
      <c r="A933" s="10"/>
      <c r="B933" s="13"/>
      <c r="C933" s="13"/>
    </row>
    <row r="934" spans="1:3" ht="13" x14ac:dyDescent="0.15">
      <c r="A934" s="10"/>
      <c r="B934" s="13"/>
      <c r="C934" s="13"/>
    </row>
    <row r="935" spans="1:3" ht="13" x14ac:dyDescent="0.15">
      <c r="A935" s="10"/>
      <c r="B935" s="13"/>
      <c r="C935" s="13"/>
    </row>
    <row r="936" spans="1:3" ht="13" x14ac:dyDescent="0.15">
      <c r="A936" s="10"/>
      <c r="B936" s="13"/>
      <c r="C936" s="13"/>
    </row>
    <row r="937" spans="1:3" ht="13" x14ac:dyDescent="0.15">
      <c r="A937" s="10"/>
      <c r="B937" s="13"/>
      <c r="C937" s="13"/>
    </row>
    <row r="938" spans="1:3" ht="13" x14ac:dyDescent="0.15">
      <c r="A938" s="10"/>
      <c r="B938" s="13"/>
      <c r="C938" s="13"/>
    </row>
    <row r="939" spans="1:3" ht="13" x14ac:dyDescent="0.15">
      <c r="A939" s="10"/>
      <c r="B939" s="13"/>
      <c r="C939" s="13"/>
    </row>
    <row r="940" spans="1:3" ht="13" x14ac:dyDescent="0.15">
      <c r="A940" s="10"/>
      <c r="B940" s="13"/>
      <c r="C940" s="13"/>
    </row>
    <row r="941" spans="1:3" ht="13" x14ac:dyDescent="0.15">
      <c r="A941" s="10"/>
      <c r="B941" s="13"/>
      <c r="C941" s="13"/>
    </row>
    <row r="942" spans="1:3" ht="13" x14ac:dyDescent="0.15">
      <c r="A942" s="10"/>
      <c r="B942" s="13"/>
      <c r="C942" s="13"/>
    </row>
    <row r="943" spans="1:3" ht="13" x14ac:dyDescent="0.15">
      <c r="A943" s="10"/>
      <c r="B943" s="13"/>
      <c r="C943" s="13"/>
    </row>
    <row r="944" spans="1:3" ht="13" x14ac:dyDescent="0.15">
      <c r="A944" s="10"/>
      <c r="B944" s="13"/>
      <c r="C944" s="13"/>
    </row>
    <row r="945" spans="1:3" ht="13" x14ac:dyDescent="0.15">
      <c r="A945" s="10"/>
      <c r="B945" s="13"/>
      <c r="C945" s="13"/>
    </row>
    <row r="946" spans="1:3" ht="13" x14ac:dyDescent="0.15">
      <c r="A946" s="10"/>
      <c r="B946" s="13"/>
      <c r="C946" s="13"/>
    </row>
    <row r="947" spans="1:3" ht="13" x14ac:dyDescent="0.15">
      <c r="A947" s="10"/>
      <c r="B947" s="13"/>
      <c r="C947" s="13"/>
    </row>
    <row r="948" spans="1:3" ht="13" x14ac:dyDescent="0.15">
      <c r="A948" s="10"/>
      <c r="B948" s="13"/>
      <c r="C948" s="13"/>
    </row>
    <row r="949" spans="1:3" ht="13" x14ac:dyDescent="0.15">
      <c r="A949" s="10"/>
      <c r="B949" s="13"/>
      <c r="C949" s="13"/>
    </row>
    <row r="950" spans="1:3" ht="13" x14ac:dyDescent="0.15">
      <c r="A950" s="10"/>
      <c r="B950" s="13"/>
      <c r="C950" s="13"/>
    </row>
    <row r="951" spans="1:3" ht="13" x14ac:dyDescent="0.15">
      <c r="A951" s="10"/>
      <c r="B951" s="13"/>
      <c r="C951" s="13"/>
    </row>
    <row r="952" spans="1:3" ht="13" x14ac:dyDescent="0.15">
      <c r="A952" s="10"/>
      <c r="B952" s="13"/>
      <c r="C952" s="13"/>
    </row>
    <row r="953" spans="1:3" ht="13" x14ac:dyDescent="0.15">
      <c r="A953" s="10"/>
      <c r="B953" s="13"/>
      <c r="C953" s="13"/>
    </row>
    <row r="954" spans="1:3" ht="13" x14ac:dyDescent="0.15">
      <c r="A954" s="10"/>
      <c r="B954" s="13"/>
      <c r="C954" s="13"/>
    </row>
    <row r="955" spans="1:3" ht="13" x14ac:dyDescent="0.15">
      <c r="A955" s="10"/>
      <c r="B955" s="13"/>
      <c r="C955" s="13"/>
    </row>
    <row r="956" spans="1:3" ht="13" x14ac:dyDescent="0.15">
      <c r="A956" s="10"/>
      <c r="B956" s="13"/>
      <c r="C956" s="13"/>
    </row>
    <row r="957" spans="1:3" ht="13" x14ac:dyDescent="0.15">
      <c r="A957" s="10"/>
      <c r="B957" s="13"/>
      <c r="C957" s="13"/>
    </row>
    <row r="958" spans="1:3" ht="13" x14ac:dyDescent="0.15">
      <c r="A958" s="10"/>
      <c r="B958" s="13"/>
      <c r="C958" s="13"/>
    </row>
    <row r="959" spans="1:3" ht="13" x14ac:dyDescent="0.15">
      <c r="A959" s="10"/>
      <c r="B959" s="13"/>
      <c r="C959" s="13"/>
    </row>
    <row r="960" spans="1:3" ht="13" x14ac:dyDescent="0.15">
      <c r="A960" s="10"/>
      <c r="B960" s="13"/>
      <c r="C960" s="13"/>
    </row>
    <row r="961" spans="1:3" ht="13" x14ac:dyDescent="0.15">
      <c r="A961" s="10"/>
      <c r="B961" s="13"/>
      <c r="C961" s="13"/>
    </row>
    <row r="962" spans="1:3" ht="13" x14ac:dyDescent="0.15">
      <c r="A962" s="10"/>
      <c r="B962" s="13"/>
      <c r="C962" s="13"/>
    </row>
    <row r="963" spans="1:3" ht="13" x14ac:dyDescent="0.15">
      <c r="A963" s="10"/>
      <c r="B963" s="13"/>
      <c r="C963" s="13"/>
    </row>
    <row r="964" spans="1:3" ht="13" x14ac:dyDescent="0.15">
      <c r="A964" s="10"/>
      <c r="B964" s="13"/>
      <c r="C964" s="13"/>
    </row>
    <row r="965" spans="1:3" ht="13" x14ac:dyDescent="0.15">
      <c r="A965" s="10"/>
      <c r="B965" s="13"/>
      <c r="C965" s="13"/>
    </row>
    <row r="966" spans="1:3" ht="13" x14ac:dyDescent="0.15">
      <c r="A966" s="10"/>
      <c r="B966" s="13"/>
      <c r="C966" s="13"/>
    </row>
    <row r="967" spans="1:3" ht="13" x14ac:dyDescent="0.15">
      <c r="A967" s="10"/>
      <c r="B967" s="13"/>
      <c r="C967" s="13"/>
    </row>
    <row r="968" spans="1:3" ht="13" x14ac:dyDescent="0.15">
      <c r="A968" s="10"/>
      <c r="B968" s="13"/>
      <c r="C968" s="13"/>
    </row>
    <row r="969" spans="1:3" ht="13" x14ac:dyDescent="0.15">
      <c r="A969" s="10"/>
      <c r="B969" s="13"/>
      <c r="C969" s="13"/>
    </row>
    <row r="970" spans="1:3" ht="13" x14ac:dyDescent="0.15">
      <c r="A970" s="10"/>
      <c r="B970" s="13"/>
      <c r="C970" s="13"/>
    </row>
    <row r="971" spans="1:3" ht="13" x14ac:dyDescent="0.15">
      <c r="A971" s="10"/>
      <c r="B971" s="13"/>
      <c r="C971" s="13"/>
    </row>
    <row r="972" spans="1:3" ht="13" x14ac:dyDescent="0.15">
      <c r="A972" s="10"/>
      <c r="B972" s="13"/>
      <c r="C972" s="13"/>
    </row>
    <row r="973" spans="1:3" ht="13" x14ac:dyDescent="0.15">
      <c r="A973" s="10"/>
      <c r="B973" s="13"/>
      <c r="C973" s="13"/>
    </row>
    <row r="974" spans="1:3" ht="13" x14ac:dyDescent="0.15">
      <c r="A974" s="10"/>
      <c r="B974" s="13"/>
      <c r="C974" s="13"/>
    </row>
    <row r="975" spans="1:3" ht="13" x14ac:dyDescent="0.15">
      <c r="A975" s="10"/>
      <c r="B975" s="13"/>
      <c r="C975" s="13"/>
    </row>
    <row r="976" spans="1:3" ht="13" x14ac:dyDescent="0.15">
      <c r="A976" s="10"/>
      <c r="B976" s="13"/>
      <c r="C976" s="13"/>
    </row>
    <row r="977" spans="1:3" ht="13" x14ac:dyDescent="0.15">
      <c r="A977" s="10"/>
      <c r="B977" s="13"/>
      <c r="C977" s="13"/>
    </row>
    <row r="978" spans="1:3" ht="13" x14ac:dyDescent="0.15">
      <c r="A978" s="10"/>
      <c r="B978" s="13"/>
      <c r="C978" s="13"/>
    </row>
    <row r="979" spans="1:3" ht="13" x14ac:dyDescent="0.15">
      <c r="A979" s="10"/>
      <c r="B979" s="13"/>
      <c r="C979" s="13"/>
    </row>
    <row r="980" spans="1:3" ht="13" x14ac:dyDescent="0.15">
      <c r="A980" s="10"/>
      <c r="B980" s="13"/>
      <c r="C980" s="13"/>
    </row>
    <row r="981" spans="1:3" ht="13" x14ac:dyDescent="0.15">
      <c r="A981" s="10"/>
      <c r="B981" s="13"/>
      <c r="C981" s="13"/>
    </row>
    <row r="982" spans="1:3" ht="13" x14ac:dyDescent="0.15">
      <c r="A982" s="10"/>
      <c r="B982" s="13"/>
      <c r="C982" s="13"/>
    </row>
    <row r="983" spans="1:3" ht="13" x14ac:dyDescent="0.15">
      <c r="A983" s="10"/>
      <c r="B983" s="13"/>
      <c r="C983" s="13"/>
    </row>
    <row r="984" spans="1:3" ht="13" x14ac:dyDescent="0.15">
      <c r="A984" s="10"/>
      <c r="B984" s="13"/>
      <c r="C984" s="13"/>
    </row>
    <row r="985" spans="1:3" ht="13" x14ac:dyDescent="0.15">
      <c r="A985" s="10"/>
      <c r="B985" s="13"/>
      <c r="C985" s="13"/>
    </row>
    <row r="986" spans="1:3" ht="13" x14ac:dyDescent="0.15">
      <c r="A986" s="10"/>
      <c r="B986" s="13"/>
      <c r="C986" s="13"/>
    </row>
    <row r="987" spans="1:3" ht="13" x14ac:dyDescent="0.15">
      <c r="A987" s="10"/>
      <c r="B987" s="13"/>
      <c r="C987" s="13"/>
    </row>
    <row r="988" spans="1:3" ht="13" x14ac:dyDescent="0.15">
      <c r="A988" s="10"/>
      <c r="B988" s="13"/>
      <c r="C988" s="13"/>
    </row>
    <row r="989" spans="1:3" ht="13" x14ac:dyDescent="0.15">
      <c r="A989" s="10"/>
      <c r="B989" s="13"/>
      <c r="C989" s="13"/>
    </row>
    <row r="990" spans="1:3" ht="13" x14ac:dyDescent="0.15">
      <c r="A990" s="10"/>
      <c r="B990" s="13"/>
      <c r="C990" s="13"/>
    </row>
    <row r="991" spans="1:3" ht="13" x14ac:dyDescent="0.15">
      <c r="A991" s="10"/>
      <c r="B991" s="13"/>
      <c r="C991" s="13"/>
    </row>
    <row r="992" spans="1:3" ht="13" x14ac:dyDescent="0.15">
      <c r="A992" s="10"/>
      <c r="B992" s="13"/>
      <c r="C992" s="13"/>
    </row>
    <row r="993" spans="1:3" ht="13" x14ac:dyDescent="0.15">
      <c r="A993" s="10"/>
      <c r="B993" s="13"/>
      <c r="C993" s="13"/>
    </row>
    <row r="994" spans="1:3" ht="13" x14ac:dyDescent="0.15">
      <c r="A994" s="10"/>
      <c r="B994" s="13"/>
      <c r="C994" s="13"/>
    </row>
    <row r="995" spans="1:3" ht="13" x14ac:dyDescent="0.15">
      <c r="A995" s="10"/>
      <c r="B995" s="13"/>
      <c r="C995" s="13"/>
    </row>
    <row r="996" spans="1:3" ht="13" x14ac:dyDescent="0.15">
      <c r="A996" s="10"/>
      <c r="B996" s="13"/>
      <c r="C996" s="13"/>
    </row>
    <row r="997" spans="1:3" ht="13" x14ac:dyDescent="0.15">
      <c r="A997" s="10"/>
      <c r="B997" s="13"/>
      <c r="C997" s="13"/>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1:D997"/>
  <sheetViews>
    <sheetView workbookViewId="0"/>
  </sheetViews>
  <sheetFormatPr baseColWidth="10" defaultColWidth="12.6640625" defaultRowHeight="15.75" customHeight="1" x14ac:dyDescent="0.15"/>
  <cols>
    <col min="1" max="1" width="71.5" customWidth="1"/>
    <col min="2" max="4" width="37.6640625" customWidth="1"/>
  </cols>
  <sheetData>
    <row r="1" spans="1:4" ht="15.75" customHeight="1" x14ac:dyDescent="0.15">
      <c r="A1" s="1"/>
      <c r="B1" s="10" t="str">
        <f ca="1">IFERROR(__xludf.DUMMYFUNCTION("IMPORTRANGE(""https://docs.google.com/spreadsheets/u/0/d/1DTeUShR903oScgwuFGuA8V8JqIoXmME8W-T3lNP0oHM"", ""A9!B1:B22"")"),"McKinzie Novak")</f>
        <v>McKinzie Novak</v>
      </c>
      <c r="C1" s="10" t="str">
        <f ca="1">IFERROR(__xludf.DUMMYFUNCTION("IMPORTRANGE(""https://docs.google.com/spreadsheets/u/0/d/19yPRVnLV0A_2o92-w6L11RYWj24Qqnerv8i8p-ngiq4"", ""A9!B1:B22"")"),"Jackson Root")</f>
        <v>Jackson Root</v>
      </c>
      <c r="D1" s="2" t="s">
        <v>1</v>
      </c>
    </row>
    <row r="2" spans="1:4" ht="15.75" customHeight="1" x14ac:dyDescent="0.15">
      <c r="A2" s="3" t="s">
        <v>2</v>
      </c>
      <c r="B2" s="15" t="str">
        <f ca="1">IFERROR(__xludf.DUMMYFUNCTION("""COMPUTED_VALUE"""),"START: 6618
STOP: 8285
FORWARD")</f>
        <v>START: 6618
STOP: 8285
FORWARD</v>
      </c>
      <c r="C2" s="15" t="str">
        <f ca="1">IFERROR(__xludf.DUMMYFUNCTION("""COMPUTED_VALUE"""),"Forward  Stop: 8285")</f>
        <v>Forward  Stop: 8285</v>
      </c>
      <c r="D2" s="4"/>
    </row>
    <row r="3" spans="1:4" ht="15.75" customHeight="1" x14ac:dyDescent="0.15">
      <c r="A3" s="5" t="s">
        <v>3</v>
      </c>
      <c r="B3" s="17" t="str">
        <f ca="1">IFERROR(__xludf.DUMMYFUNCTION("""COMPUTED_VALUE"""),"DNAM: 9
Pham: 9
PhagesDB: 9")</f>
        <v>DNAM: 9
Pham: 9
PhagesDB: 9</v>
      </c>
      <c r="C3" s="17" t="str">
        <f ca="1">IFERROR(__xludf.DUMMYFUNCTION("""COMPUTED_VALUE"""),"Dna Master:#9   Pham:#9")</f>
        <v>Dna Master:#9   Pham:#9</v>
      </c>
      <c r="D3" s="6"/>
    </row>
    <row r="4" spans="1:4" ht="15.75" customHeight="1" x14ac:dyDescent="0.15">
      <c r="A4" s="5" t="s">
        <v>4</v>
      </c>
      <c r="B4" s="17" t="str">
        <f ca="1">IFERROR(__xludf.DUMMYFUNCTION("""COMPUTED_VALUE"""),"Pham#: 85493  2/27/25")</f>
        <v>Pham#: 85493  2/27/25</v>
      </c>
      <c r="C4" s="17" t="str">
        <f ca="1">IFERROR(__xludf.DUMMYFUNCTION("""COMPUTED_VALUE"""),"pham 85493 02/26/2025")</f>
        <v>pham 85493 02/26/2025</v>
      </c>
      <c r="D4" s="6"/>
    </row>
    <row r="5" spans="1:4" ht="15.75" customHeight="1" x14ac:dyDescent="0.15">
      <c r="A5" s="5" t="s">
        <v>5</v>
      </c>
      <c r="B5" s="17" t="str">
        <f ca="1">IFERROR(__xludf.DUMMYFUNCTION("""COMPUTED_VALUE"""),"Kovu #10, Edmundo #9, Waltz #10")</f>
        <v>Kovu #10, Edmundo #9, Waltz #10</v>
      </c>
      <c r="C5" s="17" t="str">
        <f ca="1">IFERROR(__xludf.DUMMYFUNCTION("""COMPUTED_VALUE"""),"Kovu 10, Edmundo 9")</f>
        <v>Kovu 10, Edmundo 9</v>
      </c>
      <c r="D5" s="6"/>
    </row>
    <row r="6" spans="1:4" ht="15.75" customHeight="1" x14ac:dyDescent="0.15">
      <c r="A6" s="5" t="s">
        <v>6</v>
      </c>
      <c r="B6" s="17" t="str">
        <f ca="1">IFERROR(__xludf.DUMMYFUNCTION("""COMPUTED_VALUE"""),"Glimmer calls: 6618
GeneMark calls: 6687")</f>
        <v>Glimmer calls: 6618
GeneMark calls: 6687</v>
      </c>
      <c r="C6" s="17" t="str">
        <f ca="1">IFERROR(__xludf.DUMMYFUNCTION("""COMPUTED_VALUE"""),"Glimmer called 6618, Genemark called 6687")</f>
        <v>Glimmer called 6618, Genemark called 6687</v>
      </c>
      <c r="D6" s="6"/>
    </row>
    <row r="7" spans="1:4" ht="15.75" customHeight="1" x14ac:dyDescent="0.15">
      <c r="A7" s="5" t="s">
        <v>7</v>
      </c>
      <c r="B7" s="17" t="str">
        <f ca="1">IFERROR(__xludf.DUMMYFUNCTION("""COMPUTED_VALUE"""),"Yes, the gene has good coding potential, but some coding potential is missed with genemarks preferred start.")</f>
        <v>Yes, the gene has good coding potential, but some coding potential is missed with genemarks preferred start.</v>
      </c>
      <c r="C7" s="17" t="str">
        <f ca="1">IFERROR(__xludf.DUMMYFUNCTION("""COMPUTED_VALUE"""),"great coding potential, No because there are two other starts")</f>
        <v>great coding potential, No because there are two other starts</v>
      </c>
      <c r="D7" s="6"/>
    </row>
    <row r="8" spans="1:4" ht="15.75" customHeight="1" x14ac:dyDescent="0.15">
      <c r="A8" s="5" t="s">
        <v>8</v>
      </c>
      <c r="B8" s="17" t="str">
        <f ca="1">IFERROR(__xludf.DUMMYFUNCTION("""COMPUTED_VALUE"""),"Yes, glimmers start codon is the longest possible ORF")</f>
        <v>Yes, glimmers start codon is the longest possible ORF</v>
      </c>
      <c r="C8" s="17" t="str">
        <f ca="1">IFERROR(__xludf.DUMMYFUNCTION("""COMPUTED_VALUE"""),"No because there is two other starts before the one Genemark calls, One really close and another further down(in the coding potential, there isa rise then a dip then it rises again, This start encompases the first rise and dip while the second start does "&amp;"not. ")</f>
        <v xml:space="preserve">No because there is two other starts before the one Genemark calls, One really close and another further down(in the coding potential, there isa rise then a dip then it rises again, This start encompases the first rise and dip while the second start does not. </v>
      </c>
      <c r="D8" s="6"/>
    </row>
    <row r="9" spans="1:4" ht="15.75" customHeight="1" x14ac:dyDescent="0.15">
      <c r="A9" s="5" t="s">
        <v>9</v>
      </c>
      <c r="B9" s="17" t="str">
        <f ca="1">IFERROR(__xludf.DUMMYFUNCTION("""COMPUTED_VALUE"""),"Glimmer creates a 19 BP overlap, but genemark creates a 50 BP gap")</f>
        <v>Glimmer creates a 19 BP overlap, but genemark creates a 50 BP gap</v>
      </c>
      <c r="C9" s="17" t="str">
        <f ca="1">IFERROR(__xludf.DUMMYFUNCTION("""COMPUTED_VALUE"""),"with genemark call: gap (50 bp); with Glimmer call: overlap (19 bp)")</f>
        <v>with genemark call: gap (50 bp); with Glimmer call: overlap (19 bp)</v>
      </c>
      <c r="D9" s="6"/>
    </row>
    <row r="10" spans="1:4" ht="15.75" customHeight="1" x14ac:dyDescent="0.15">
      <c r="A10" s="5" t="s">
        <v>10</v>
      </c>
      <c r="B10" s="17" t="str">
        <f ca="1">IFERROR(__xludf.DUMMYFUNCTION("""COMPUTED_VALUE"""),"6618: RBS: -4.614  Z: 1.976    6687: RBS: -3.818  Z: 2.346")</f>
        <v>6618: RBS: -4.614  Z: 1.976    6687: RBS: -3.818  Z: 2.346</v>
      </c>
      <c r="C10" s="17" t="str">
        <f ca="1">IFERROR(__xludf.DUMMYFUNCTION("""COMPUTED_VALUE"""),"Glimmer start: 1.976  Genemark: 2.346; theres another start before genemark's that also has a 2.346 z-score")</f>
        <v>Glimmer start: 1.976  Genemark: 2.346; theres another start before genemark's that also has a 2.346 z-score</v>
      </c>
      <c r="D10" s="6"/>
    </row>
    <row r="11" spans="1:4" ht="15.75" customHeight="1" x14ac:dyDescent="0.15">
      <c r="A11" s="5" t="s">
        <v>11</v>
      </c>
      <c r="B11" s="17" t="str">
        <f ca="1">IFERROR(__xludf.DUMMYFUNCTION("""COMPUTED_VALUE"""),"KOVU #10 %ID: 96.43 e-val: 0.0E0
Q: 24 T: 1
WALTZ #10 %ID: 84 e-val: 0.0E0
Q: 7 T: 4 ")</f>
        <v xml:space="preserve">KOVU #10 %ID: 96.43 e-val: 0.0E0
Q: 24 T: 1
WALTZ #10 %ID: 84 e-val: 0.0E0
Q: 7 T: 4 </v>
      </c>
      <c r="C11" s="17" t="str">
        <f ca="1">IFERROR(__xludf.DUMMYFUNCTION("""COMPUTED_VALUE"""),"e-value: 0.0e0; % identity: 96.43; query: 24-555; Target: 1-532")</f>
        <v>e-value: 0.0e0; % identity: 96.43; query: 24-555; Target: 1-532</v>
      </c>
      <c r="D11" s="6"/>
    </row>
    <row r="12" spans="1:4" ht="15.75" customHeight="1" x14ac:dyDescent="0.15">
      <c r="A12" s="5" t="s">
        <v>12</v>
      </c>
      <c r="B12" s="17" t="str">
        <f ca="1">IFERROR(__xludf.DUMMYFUNCTION("""COMPUTED_VALUE"""),"Every Phage with start #6 calls it except for Kovu? but the start is used 75% of the time and is only seen in 5 total phages")</f>
        <v>Every Phage with start #6 calls it except for Kovu? but the start is used 75% of the time and is only seen in 5 total phages</v>
      </c>
      <c r="C12" s="17" t="str">
        <f ca="1">IFERROR(__xludf.DUMMYFUNCTION("""COMPUTED_VALUE"""),"Start called by genemark is conserved, called 22.2% of the time when present ")</f>
        <v xml:space="preserve">Start called by genemark is conserved, called 22.2% of the time when present </v>
      </c>
      <c r="D12" s="6"/>
    </row>
    <row r="13" spans="1:4" ht="15.75" customHeight="1" x14ac:dyDescent="0.15">
      <c r="A13" s="5" t="s">
        <v>13</v>
      </c>
      <c r="B13" s="17" t="str">
        <f ca="1">IFERROR(__xludf.DUMMYFUNCTION("""COMPUTED_VALUE"""),"No, it catches the extra coding potential that Genemark misses and is retained in starterator
CHECK START")</f>
        <v>No, it catches the extra coding potential that Genemark misses and is retained in starterator
CHECK START</v>
      </c>
      <c r="C13" s="17" t="str">
        <f ca="1">IFERROR(__xludf.DUMMYFUNCTION("""COMPUTED_VALUE"""),"Yes, move to start 19 in starterator because both start 20 and 19 have similar z-scores, but start 19 covers more coding potential and shortens the gap the current start has")</f>
        <v>Yes, move to start 19 in starterator because both start 20 and 19 have similar z-scores, but start 19 covers more coding potential and shortens the gap the current start has</v>
      </c>
      <c r="D13" s="6"/>
    </row>
    <row r="14" spans="1:4" ht="15.75" customHeight="1" x14ac:dyDescent="0.15">
      <c r="A14" s="5" t="s">
        <v>14</v>
      </c>
      <c r="B14" s="17" t="str">
        <f ca="1">IFERROR(__xludf.DUMMYFUNCTION("""COMPUTED_VALUE"""),"Kovu #10 e-val: 0.0E0 
Waltz #10 e-val: 0.0E0")</f>
        <v>Kovu #10 e-val: 0.0E0 
Waltz #10 e-val: 0.0E0</v>
      </c>
      <c r="C14" s="17" t="str">
        <f ca="1">IFERROR(__xludf.DUMMYFUNCTION("""COMPUTED_VALUE"""),"Kovu_10: terminase large sub unit; Edmundo_ 9: terminase large sub unit")</f>
        <v>Kovu_10: terminase large sub unit; Edmundo_ 9: terminase large sub unit</v>
      </c>
      <c r="D14" s="6"/>
    </row>
    <row r="15" spans="1:4" ht="15.75" customHeight="1" x14ac:dyDescent="0.15">
      <c r="A15" s="5" t="s">
        <v>15</v>
      </c>
      <c r="B15" s="17" t="str">
        <f ca="1">IFERROR(__xludf.DUMMYFUNCTION("""COMPUTED_VALUE"""),"Kovu #10 (terminase large subunit), Edmundo #9 (terminase large subunit), Waltz #10 (terminase large subunit)")</f>
        <v>Kovu #10 (terminase large subunit), Edmundo #9 (terminase large subunit), Waltz #10 (terminase large subunit)</v>
      </c>
      <c r="C15" s="17" t="str">
        <f ca="1">IFERROR(__xludf.DUMMYFUNCTION("""COMPUTED_VALUE"""),"Terminase large sub unit")</f>
        <v>Terminase large sub unit</v>
      </c>
      <c r="D15" s="6"/>
    </row>
    <row r="16" spans="1:4" ht="15.75" customHeight="1" x14ac:dyDescent="0.15">
      <c r="A16" s="5" t="s">
        <v>16</v>
      </c>
      <c r="B16" s="17" t="str">
        <f ca="1">IFERROR(__xludf.DUMMYFUNCTION("""COMPUTED_VALUE"""),"Yes the genes between AP and Kovu have similar genetic environments. Adjacent genes include terminase small subunit (left) and an aligned yet unknown protein.")</f>
        <v>Yes the genes between AP and Kovu have similar genetic environments. Adjacent genes include terminase small subunit (left) and an aligned yet unknown protein.</v>
      </c>
      <c r="C16" s="17" t="str">
        <f ca="1">IFERROR(__xludf.DUMMYFUNCTION("""COMPUTED_VALUE"""),"Found in same genetic environment as Kovu")</f>
        <v>Found in same genetic environment as Kovu</v>
      </c>
      <c r="D16" s="6"/>
    </row>
    <row r="17" spans="1:4" ht="15.75" customHeight="1" x14ac:dyDescent="0.15">
      <c r="A17" s="5" t="s">
        <v>17</v>
      </c>
      <c r="B17" s="17" t="str">
        <f ca="1">IFERROR(__xludf.DUMMYFUNCTION("""COMPUTED_VALUE"""),"Gene 2 protein; DNA packaging, terminase, ATPase, nuclease, ATP binding, Magnesium binding, VIRAL PROTEIN; 1.69A {Shigel
PROB: 100%  align-T: 81%  align-Q: 73%")</f>
        <v>Gene 2 protein; DNA packaging, terminase, ATPase, nuclease, ATP binding, Magnesium binding, VIRAL PROTEIN; 1.69A {Shigel
PROB: 100%  align-T: 81%  align-Q: 73%</v>
      </c>
      <c r="C17" s="17" t="str">
        <f ca="1">IFERROR(__xludf.DUMMYFUNCTION("""COMPUTED_VALUE"""),"% aligned Q: 76.4%  % aligned T: 85.8%  Yes the function is in the target alignment")</f>
        <v>% aligned Q: 76.4%  % aligned T: 85.8%  Yes the function is in the target alignment</v>
      </c>
      <c r="D17" s="6"/>
    </row>
    <row r="18" spans="1:4" ht="15.75" customHeight="1" x14ac:dyDescent="0.15">
      <c r="A18" s="5" t="s">
        <v>18</v>
      </c>
      <c r="B18" s="17" t="str">
        <f ca="1">IFERROR(__xludf.DUMMYFUNCTION("""COMPUTED_VALUE"""),"The domain is included but cuts out the very first amino acid, so yes?")</f>
        <v>The domain is included but cuts out the very first amino acid, so yes?</v>
      </c>
      <c r="C18" s="17" t="str">
        <f ca="1">IFERROR(__xludf.DUMMYFUNCTION("""COMPUTED_VALUE"""),"no conserved domains")</f>
        <v>no conserved domains</v>
      </c>
      <c r="D18" s="6"/>
    </row>
    <row r="19" spans="1:4" ht="15.75" customHeight="1" x14ac:dyDescent="0.15">
      <c r="A19" s="5" t="s">
        <v>19</v>
      </c>
      <c r="B19" s="17" t="str">
        <f ca="1">IFERROR(__xludf.DUMMYFUNCTION("""COMPUTED_VALUE"""),"None")</f>
        <v>None</v>
      </c>
      <c r="C19" s="17" t="str">
        <f ca="1">IFERROR(__xludf.DUMMYFUNCTION("""COMPUTED_VALUE"""),"not transmembrane (inside)")</f>
        <v>not transmembrane (inside)</v>
      </c>
      <c r="D19" s="6"/>
    </row>
    <row r="20" spans="1:4" ht="15.75" customHeight="1" x14ac:dyDescent="0.15">
      <c r="A20" s="5" t="s">
        <v>20</v>
      </c>
      <c r="B20" s="17" t="str">
        <f ca="1">IFERROR(__xludf.DUMMYFUNCTION("""COMPUTED_VALUE"""),"Terminase large subunit - This is supported by alignments in phamerator, HHPred probabilities, and Blast results.")</f>
        <v>Terminase large subunit - This is supported by alignments in phamerator, HHPred probabilities, and Blast results.</v>
      </c>
      <c r="C20" s="17" t="str">
        <f ca="1">IFERROR(__xludf.DUMMYFUNCTION("""COMPUTED_VALUE"""),"terminase, large subunit    The function is conserved within the cluster and the pham and the % alignment is decent")</f>
        <v>terminase, large subunit    The function is conserved within the cluster and the pham and the % alignment is decent</v>
      </c>
      <c r="D20" s="6"/>
    </row>
    <row r="21" spans="1:4" x14ac:dyDescent="0.2">
      <c r="A21" s="7"/>
      <c r="B21" s="19"/>
      <c r="C21" s="19"/>
      <c r="D21" s="8"/>
    </row>
    <row r="22" spans="1:4" ht="15.75" customHeight="1" x14ac:dyDescent="0.15">
      <c r="A22" s="9" t="s">
        <v>21</v>
      </c>
      <c r="B22" s="19"/>
      <c r="C22" s="19"/>
      <c r="D22" s="8"/>
    </row>
    <row r="23" spans="1:4" ht="15.75" customHeight="1" x14ac:dyDescent="0.15">
      <c r="A23" s="10"/>
      <c r="B23" s="13"/>
      <c r="C23" s="13"/>
    </row>
    <row r="24" spans="1:4" ht="15.75" customHeight="1" x14ac:dyDescent="0.15">
      <c r="A24" s="10"/>
      <c r="B24" s="13"/>
      <c r="C24" s="13"/>
    </row>
    <row r="25" spans="1:4" ht="15.75" customHeight="1" x14ac:dyDescent="0.15">
      <c r="A25" s="10"/>
      <c r="B25" s="13"/>
      <c r="C25" s="13"/>
    </row>
    <row r="26" spans="1:4" ht="15.75" customHeight="1" x14ac:dyDescent="0.15">
      <c r="A26" s="10"/>
      <c r="B26" s="13"/>
      <c r="C26" s="13"/>
    </row>
    <row r="27" spans="1:4" ht="15.75" customHeight="1" x14ac:dyDescent="0.15">
      <c r="A27" s="10"/>
      <c r="B27" s="13"/>
      <c r="C27" s="13"/>
    </row>
    <row r="28" spans="1:4" ht="15.75" customHeight="1" x14ac:dyDescent="0.15">
      <c r="A28" s="10"/>
      <c r="B28" s="13"/>
      <c r="C28" s="13"/>
    </row>
    <row r="29" spans="1:4" ht="15.75" customHeight="1" x14ac:dyDescent="0.15">
      <c r="A29" s="10"/>
      <c r="B29" s="13"/>
      <c r="C29" s="13"/>
    </row>
    <row r="30" spans="1:4" ht="15.75" customHeight="1" x14ac:dyDescent="0.15">
      <c r="A30" s="10"/>
      <c r="B30" s="13"/>
      <c r="C30" s="13"/>
    </row>
    <row r="31" spans="1:4" ht="15.75" customHeight="1" x14ac:dyDescent="0.15">
      <c r="A31" s="10"/>
      <c r="B31" s="13"/>
      <c r="C31" s="13"/>
    </row>
    <row r="32" spans="1:4" ht="15.75" customHeight="1" x14ac:dyDescent="0.15">
      <c r="A32" s="10"/>
      <c r="B32" s="13"/>
      <c r="C32" s="13"/>
    </row>
    <row r="33" spans="1:3" ht="15.75" customHeight="1" x14ac:dyDescent="0.15">
      <c r="A33" s="10"/>
      <c r="B33" s="13"/>
      <c r="C33" s="13"/>
    </row>
    <row r="34" spans="1:3" ht="15.75" customHeight="1" x14ac:dyDescent="0.15">
      <c r="A34" s="10"/>
      <c r="B34" s="13"/>
      <c r="C34" s="13"/>
    </row>
    <row r="35" spans="1:3" ht="15.75" customHeight="1" x14ac:dyDescent="0.15">
      <c r="A35" s="10"/>
      <c r="B35" s="13"/>
      <c r="C35" s="13"/>
    </row>
    <row r="36" spans="1:3" ht="15.75" customHeight="1" x14ac:dyDescent="0.15">
      <c r="A36" s="10"/>
      <c r="B36" s="13"/>
      <c r="C36" s="13"/>
    </row>
    <row r="37" spans="1:3" ht="15.75" customHeight="1" x14ac:dyDescent="0.15">
      <c r="A37" s="10"/>
      <c r="B37" s="13"/>
      <c r="C37" s="13"/>
    </row>
    <row r="38" spans="1:3" ht="15.75" customHeight="1" x14ac:dyDescent="0.15">
      <c r="A38" s="10"/>
      <c r="B38" s="13"/>
      <c r="C38" s="13"/>
    </row>
    <row r="39" spans="1:3" ht="13" x14ac:dyDescent="0.15">
      <c r="A39" s="10"/>
      <c r="B39" s="13"/>
      <c r="C39" s="13"/>
    </row>
    <row r="40" spans="1:3" ht="13" x14ac:dyDescent="0.15">
      <c r="A40" s="10"/>
      <c r="B40" s="13"/>
      <c r="C40" s="13"/>
    </row>
    <row r="41" spans="1:3" ht="13" x14ac:dyDescent="0.15">
      <c r="A41" s="10"/>
      <c r="B41" s="13"/>
      <c r="C41" s="13"/>
    </row>
    <row r="42" spans="1:3" ht="13" x14ac:dyDescent="0.15">
      <c r="A42" s="10"/>
      <c r="B42" s="13"/>
      <c r="C42" s="13"/>
    </row>
    <row r="43" spans="1:3" ht="13" x14ac:dyDescent="0.15">
      <c r="A43" s="10"/>
      <c r="B43" s="13"/>
      <c r="C43" s="13"/>
    </row>
    <row r="44" spans="1:3" ht="13" x14ac:dyDescent="0.15">
      <c r="A44" s="10"/>
      <c r="B44" s="13"/>
      <c r="C44" s="13"/>
    </row>
    <row r="45" spans="1:3" ht="13" x14ac:dyDescent="0.15">
      <c r="A45" s="10"/>
      <c r="B45" s="13"/>
      <c r="C45" s="13"/>
    </row>
    <row r="46" spans="1:3" ht="13" x14ac:dyDescent="0.15">
      <c r="A46" s="10"/>
      <c r="B46" s="13"/>
      <c r="C46" s="13"/>
    </row>
    <row r="47" spans="1:3" ht="13" x14ac:dyDescent="0.15">
      <c r="A47" s="10"/>
      <c r="B47" s="13"/>
      <c r="C47" s="13"/>
    </row>
    <row r="48" spans="1:3" ht="13" x14ac:dyDescent="0.15">
      <c r="A48" s="10"/>
      <c r="B48" s="13"/>
      <c r="C48" s="13"/>
    </row>
    <row r="49" spans="1:3" ht="13" x14ac:dyDescent="0.15">
      <c r="A49" s="10"/>
      <c r="B49" s="13"/>
      <c r="C49" s="13"/>
    </row>
    <row r="50" spans="1:3" ht="13" x14ac:dyDescent="0.15">
      <c r="A50" s="10"/>
      <c r="B50" s="13"/>
      <c r="C50" s="13"/>
    </row>
    <row r="51" spans="1:3" ht="13" x14ac:dyDescent="0.15">
      <c r="A51" s="10"/>
      <c r="B51" s="13"/>
      <c r="C51" s="13"/>
    </row>
    <row r="52" spans="1:3" ht="13" x14ac:dyDescent="0.15">
      <c r="A52" s="10"/>
      <c r="B52" s="13"/>
      <c r="C52" s="13"/>
    </row>
    <row r="53" spans="1:3" ht="13" x14ac:dyDescent="0.15">
      <c r="A53" s="10"/>
      <c r="B53" s="13"/>
      <c r="C53" s="13"/>
    </row>
    <row r="54" spans="1:3" ht="13" x14ac:dyDescent="0.15">
      <c r="A54" s="10"/>
      <c r="B54" s="13"/>
      <c r="C54" s="13"/>
    </row>
    <row r="55" spans="1:3" ht="13" x14ac:dyDescent="0.15">
      <c r="A55" s="10"/>
      <c r="B55" s="13"/>
      <c r="C55" s="13"/>
    </row>
    <row r="56" spans="1:3" ht="13" x14ac:dyDescent="0.15">
      <c r="A56" s="10"/>
      <c r="B56" s="13"/>
      <c r="C56" s="13"/>
    </row>
    <row r="57" spans="1:3" ht="13" x14ac:dyDescent="0.15">
      <c r="A57" s="10"/>
      <c r="B57" s="13"/>
      <c r="C57" s="13"/>
    </row>
    <row r="58" spans="1:3" ht="13" x14ac:dyDescent="0.15">
      <c r="A58" s="10"/>
      <c r="B58" s="13"/>
      <c r="C58" s="13"/>
    </row>
    <row r="59" spans="1:3" ht="13" x14ac:dyDescent="0.15">
      <c r="A59" s="10"/>
      <c r="B59" s="13"/>
      <c r="C59" s="13"/>
    </row>
    <row r="60" spans="1:3" ht="13" x14ac:dyDescent="0.15">
      <c r="A60" s="10"/>
      <c r="B60" s="13"/>
      <c r="C60" s="13"/>
    </row>
    <row r="61" spans="1:3" ht="13" x14ac:dyDescent="0.15">
      <c r="A61" s="10"/>
      <c r="B61" s="13"/>
      <c r="C61" s="13"/>
    </row>
    <row r="62" spans="1:3" ht="13" x14ac:dyDescent="0.15">
      <c r="A62" s="10"/>
      <c r="B62" s="13"/>
      <c r="C62" s="13"/>
    </row>
    <row r="63" spans="1:3" ht="13" x14ac:dyDescent="0.15">
      <c r="A63" s="10"/>
      <c r="B63" s="13"/>
      <c r="C63" s="13"/>
    </row>
    <row r="64" spans="1:3" ht="13" x14ac:dyDescent="0.15">
      <c r="A64" s="10"/>
      <c r="B64" s="13"/>
      <c r="C64" s="13"/>
    </row>
    <row r="65" spans="1:3" ht="13" x14ac:dyDescent="0.15">
      <c r="A65" s="10"/>
      <c r="B65" s="13"/>
      <c r="C65" s="13"/>
    </row>
    <row r="66" spans="1:3" ht="13" x14ac:dyDescent="0.15">
      <c r="A66" s="10"/>
      <c r="B66" s="13"/>
      <c r="C66" s="13"/>
    </row>
    <row r="67" spans="1:3" ht="13" x14ac:dyDescent="0.15">
      <c r="A67" s="10"/>
      <c r="B67" s="13"/>
      <c r="C67" s="13"/>
    </row>
    <row r="68" spans="1:3" ht="13" x14ac:dyDescent="0.15">
      <c r="A68" s="10"/>
      <c r="B68" s="13"/>
      <c r="C68" s="13"/>
    </row>
    <row r="69" spans="1:3" ht="13" x14ac:dyDescent="0.15">
      <c r="A69" s="10"/>
      <c r="B69" s="13"/>
      <c r="C69" s="13"/>
    </row>
    <row r="70" spans="1:3" ht="13" x14ac:dyDescent="0.15">
      <c r="A70" s="10"/>
      <c r="B70" s="13"/>
      <c r="C70" s="13"/>
    </row>
    <row r="71" spans="1:3" ht="13" x14ac:dyDescent="0.15">
      <c r="A71" s="10"/>
      <c r="B71" s="13"/>
      <c r="C71" s="13"/>
    </row>
    <row r="72" spans="1:3" ht="13" x14ac:dyDescent="0.15">
      <c r="A72" s="10"/>
      <c r="B72" s="13"/>
      <c r="C72" s="13"/>
    </row>
    <row r="73" spans="1:3" ht="13" x14ac:dyDescent="0.15">
      <c r="A73" s="10"/>
      <c r="B73" s="13"/>
      <c r="C73" s="13"/>
    </row>
    <row r="74" spans="1:3" ht="13" x14ac:dyDescent="0.15">
      <c r="A74" s="10"/>
      <c r="B74" s="13"/>
      <c r="C74" s="13"/>
    </row>
    <row r="75" spans="1:3" ht="13" x14ac:dyDescent="0.15">
      <c r="A75" s="10"/>
      <c r="B75" s="13"/>
      <c r="C75" s="13"/>
    </row>
    <row r="76" spans="1:3" ht="13" x14ac:dyDescent="0.15">
      <c r="A76" s="10"/>
      <c r="B76" s="13"/>
      <c r="C76" s="13"/>
    </row>
    <row r="77" spans="1:3" ht="13" x14ac:dyDescent="0.15">
      <c r="A77" s="10"/>
      <c r="B77" s="13"/>
      <c r="C77" s="13"/>
    </row>
    <row r="78" spans="1:3" ht="13" x14ac:dyDescent="0.15">
      <c r="A78" s="10"/>
      <c r="B78" s="13"/>
      <c r="C78" s="13"/>
    </row>
    <row r="79" spans="1:3" ht="13" x14ac:dyDescent="0.15">
      <c r="A79" s="10"/>
      <c r="B79" s="13"/>
      <c r="C79" s="13"/>
    </row>
    <row r="80" spans="1:3" ht="13" x14ac:dyDescent="0.15">
      <c r="A80" s="10"/>
      <c r="B80" s="13"/>
      <c r="C80" s="13"/>
    </row>
    <row r="81" spans="1:3" ht="13" x14ac:dyDescent="0.15">
      <c r="A81" s="10"/>
      <c r="B81" s="13"/>
      <c r="C81" s="13"/>
    </row>
    <row r="82" spans="1:3" ht="13" x14ac:dyDescent="0.15">
      <c r="A82" s="10"/>
      <c r="B82" s="13"/>
      <c r="C82" s="13"/>
    </row>
    <row r="83" spans="1:3" ht="13" x14ac:dyDescent="0.15">
      <c r="A83" s="10"/>
      <c r="B83" s="13"/>
      <c r="C83" s="13"/>
    </row>
    <row r="84" spans="1:3" ht="13" x14ac:dyDescent="0.15">
      <c r="A84" s="10"/>
      <c r="B84" s="13"/>
      <c r="C84" s="13"/>
    </row>
    <row r="85" spans="1:3" ht="13" x14ac:dyDescent="0.15">
      <c r="A85" s="10"/>
      <c r="B85" s="13"/>
      <c r="C85" s="13"/>
    </row>
    <row r="86" spans="1:3" ht="13" x14ac:dyDescent="0.15">
      <c r="A86" s="10"/>
      <c r="B86" s="13"/>
      <c r="C86" s="13"/>
    </row>
    <row r="87" spans="1:3" ht="13" x14ac:dyDescent="0.15">
      <c r="A87" s="10"/>
      <c r="B87" s="13"/>
      <c r="C87" s="13"/>
    </row>
    <row r="88" spans="1:3" ht="13" x14ac:dyDescent="0.15">
      <c r="A88" s="10"/>
      <c r="B88" s="13"/>
      <c r="C88" s="13"/>
    </row>
    <row r="89" spans="1:3" ht="13" x14ac:dyDescent="0.15">
      <c r="A89" s="10"/>
      <c r="B89" s="13"/>
      <c r="C89" s="13"/>
    </row>
    <row r="90" spans="1:3" ht="13" x14ac:dyDescent="0.15">
      <c r="A90" s="10"/>
      <c r="B90" s="13"/>
      <c r="C90" s="13"/>
    </row>
    <row r="91" spans="1:3" ht="13" x14ac:dyDescent="0.15">
      <c r="A91" s="10"/>
      <c r="B91" s="13"/>
      <c r="C91" s="13"/>
    </row>
    <row r="92" spans="1:3" ht="13" x14ac:dyDescent="0.15">
      <c r="A92" s="10"/>
      <c r="B92" s="13"/>
      <c r="C92" s="13"/>
    </row>
    <row r="93" spans="1:3" ht="13" x14ac:dyDescent="0.15">
      <c r="A93" s="10"/>
      <c r="B93" s="13"/>
      <c r="C93" s="13"/>
    </row>
    <row r="94" spans="1:3" ht="13" x14ac:dyDescent="0.15">
      <c r="A94" s="10"/>
      <c r="B94" s="13"/>
      <c r="C94" s="13"/>
    </row>
    <row r="95" spans="1:3" ht="13" x14ac:dyDescent="0.15">
      <c r="A95" s="10"/>
      <c r="B95" s="13"/>
      <c r="C95" s="13"/>
    </row>
    <row r="96" spans="1:3" ht="13" x14ac:dyDescent="0.15">
      <c r="A96" s="10"/>
      <c r="B96" s="13"/>
      <c r="C96" s="13"/>
    </row>
    <row r="97" spans="1:3" ht="13" x14ac:dyDescent="0.15">
      <c r="A97" s="10"/>
      <c r="B97" s="13"/>
      <c r="C97" s="13"/>
    </row>
    <row r="98" spans="1:3" ht="13" x14ac:dyDescent="0.15">
      <c r="A98" s="10"/>
      <c r="B98" s="13"/>
      <c r="C98" s="13"/>
    </row>
    <row r="99" spans="1:3" ht="13" x14ac:dyDescent="0.15">
      <c r="A99" s="10"/>
      <c r="B99" s="13"/>
      <c r="C99" s="13"/>
    </row>
    <row r="100" spans="1:3" ht="13" x14ac:dyDescent="0.15">
      <c r="A100" s="10"/>
      <c r="B100" s="13"/>
      <c r="C100" s="13"/>
    </row>
    <row r="101" spans="1:3" ht="13" x14ac:dyDescent="0.15">
      <c r="A101" s="10"/>
      <c r="B101" s="13"/>
      <c r="C101" s="13"/>
    </row>
    <row r="102" spans="1:3" ht="13" x14ac:dyDescent="0.15">
      <c r="A102" s="10"/>
      <c r="B102" s="13"/>
      <c r="C102" s="13"/>
    </row>
    <row r="103" spans="1:3" ht="13" x14ac:dyDescent="0.15">
      <c r="A103" s="10"/>
      <c r="B103" s="13"/>
      <c r="C103" s="13"/>
    </row>
    <row r="104" spans="1:3" ht="13" x14ac:dyDescent="0.15">
      <c r="A104" s="10"/>
      <c r="B104" s="13"/>
      <c r="C104" s="13"/>
    </row>
    <row r="105" spans="1:3" ht="13" x14ac:dyDescent="0.15">
      <c r="A105" s="10"/>
      <c r="B105" s="13"/>
      <c r="C105" s="13"/>
    </row>
    <row r="106" spans="1:3" ht="13" x14ac:dyDescent="0.15">
      <c r="A106" s="10"/>
      <c r="B106" s="13"/>
      <c r="C106" s="13"/>
    </row>
    <row r="107" spans="1:3" ht="13" x14ac:dyDescent="0.15">
      <c r="A107" s="10"/>
      <c r="B107" s="13"/>
      <c r="C107" s="13"/>
    </row>
    <row r="108" spans="1:3" ht="13" x14ac:dyDescent="0.15">
      <c r="A108" s="10"/>
      <c r="B108" s="13"/>
      <c r="C108" s="13"/>
    </row>
    <row r="109" spans="1:3" ht="13" x14ac:dyDescent="0.15">
      <c r="A109" s="10"/>
      <c r="B109" s="13"/>
      <c r="C109" s="13"/>
    </row>
    <row r="110" spans="1:3" ht="13" x14ac:dyDescent="0.15">
      <c r="A110" s="10"/>
      <c r="B110" s="13"/>
      <c r="C110" s="13"/>
    </row>
    <row r="111" spans="1:3" ht="13" x14ac:dyDescent="0.15">
      <c r="A111" s="10"/>
      <c r="B111" s="13"/>
      <c r="C111" s="13"/>
    </row>
    <row r="112" spans="1:3" ht="13" x14ac:dyDescent="0.15">
      <c r="A112" s="10"/>
      <c r="B112" s="13"/>
      <c r="C112" s="13"/>
    </row>
    <row r="113" spans="1:3" ht="13" x14ac:dyDescent="0.15">
      <c r="A113" s="10"/>
      <c r="B113" s="13"/>
      <c r="C113" s="13"/>
    </row>
    <row r="114" spans="1:3" ht="13" x14ac:dyDescent="0.15">
      <c r="A114" s="10"/>
      <c r="B114" s="13"/>
      <c r="C114" s="13"/>
    </row>
    <row r="115" spans="1:3" ht="13" x14ac:dyDescent="0.15">
      <c r="A115" s="10"/>
      <c r="B115" s="13"/>
      <c r="C115" s="13"/>
    </row>
    <row r="116" spans="1:3" ht="13" x14ac:dyDescent="0.15">
      <c r="A116" s="10"/>
      <c r="B116" s="13"/>
      <c r="C116" s="13"/>
    </row>
    <row r="117" spans="1:3" ht="13" x14ac:dyDescent="0.15">
      <c r="A117" s="10"/>
      <c r="B117" s="13"/>
      <c r="C117" s="13"/>
    </row>
    <row r="118" spans="1:3" ht="13" x14ac:dyDescent="0.15">
      <c r="A118" s="10"/>
      <c r="B118" s="13"/>
      <c r="C118" s="13"/>
    </row>
    <row r="119" spans="1:3" ht="13" x14ac:dyDescent="0.15">
      <c r="A119" s="10"/>
      <c r="B119" s="13"/>
      <c r="C119" s="13"/>
    </row>
    <row r="120" spans="1:3" ht="13" x14ac:dyDescent="0.15">
      <c r="A120" s="10"/>
      <c r="B120" s="13"/>
      <c r="C120" s="13"/>
    </row>
    <row r="121" spans="1:3" ht="13" x14ac:dyDescent="0.15">
      <c r="A121" s="10"/>
      <c r="B121" s="13"/>
      <c r="C121" s="13"/>
    </row>
    <row r="122" spans="1:3" ht="13" x14ac:dyDescent="0.15">
      <c r="A122" s="10"/>
      <c r="B122" s="13"/>
      <c r="C122" s="13"/>
    </row>
    <row r="123" spans="1:3" ht="13" x14ac:dyDescent="0.15">
      <c r="A123" s="10"/>
      <c r="B123" s="13"/>
      <c r="C123" s="13"/>
    </row>
    <row r="124" spans="1:3" ht="13" x14ac:dyDescent="0.15">
      <c r="A124" s="10"/>
      <c r="B124" s="13"/>
      <c r="C124" s="13"/>
    </row>
    <row r="125" spans="1:3" ht="13" x14ac:dyDescent="0.15">
      <c r="A125" s="10"/>
      <c r="B125" s="13"/>
      <c r="C125" s="13"/>
    </row>
    <row r="126" spans="1:3" ht="13" x14ac:dyDescent="0.15">
      <c r="A126" s="10"/>
      <c r="B126" s="13"/>
      <c r="C126" s="13"/>
    </row>
    <row r="127" spans="1:3" ht="13" x14ac:dyDescent="0.15">
      <c r="A127" s="10"/>
      <c r="B127" s="13"/>
      <c r="C127" s="13"/>
    </row>
    <row r="128" spans="1:3" ht="13" x14ac:dyDescent="0.15">
      <c r="A128" s="10"/>
      <c r="B128" s="13"/>
      <c r="C128" s="13"/>
    </row>
    <row r="129" spans="1:3" ht="13" x14ac:dyDescent="0.15">
      <c r="A129" s="10"/>
      <c r="B129" s="13"/>
      <c r="C129" s="13"/>
    </row>
    <row r="130" spans="1:3" ht="13" x14ac:dyDescent="0.15">
      <c r="A130" s="10"/>
      <c r="B130" s="13"/>
      <c r="C130" s="13"/>
    </row>
    <row r="131" spans="1:3" ht="13" x14ac:dyDescent="0.15">
      <c r="A131" s="10"/>
      <c r="B131" s="13"/>
      <c r="C131" s="13"/>
    </row>
    <row r="132" spans="1:3" ht="13" x14ac:dyDescent="0.15">
      <c r="A132" s="10"/>
      <c r="B132" s="13"/>
      <c r="C132" s="13"/>
    </row>
    <row r="133" spans="1:3" ht="13" x14ac:dyDescent="0.15">
      <c r="A133" s="10"/>
      <c r="B133" s="13"/>
      <c r="C133" s="13"/>
    </row>
    <row r="134" spans="1:3" ht="13" x14ac:dyDescent="0.15">
      <c r="A134" s="10"/>
      <c r="B134" s="13"/>
      <c r="C134" s="13"/>
    </row>
    <row r="135" spans="1:3" ht="13" x14ac:dyDescent="0.15">
      <c r="A135" s="10"/>
      <c r="B135" s="13"/>
      <c r="C135" s="13"/>
    </row>
    <row r="136" spans="1:3" ht="13" x14ac:dyDescent="0.15">
      <c r="A136" s="10"/>
      <c r="B136" s="13"/>
      <c r="C136" s="13"/>
    </row>
    <row r="137" spans="1:3" ht="13" x14ac:dyDescent="0.15">
      <c r="A137" s="10"/>
      <c r="B137" s="13"/>
      <c r="C137" s="13"/>
    </row>
    <row r="138" spans="1:3" ht="13" x14ac:dyDescent="0.15">
      <c r="A138" s="10"/>
      <c r="B138" s="13"/>
      <c r="C138" s="13"/>
    </row>
    <row r="139" spans="1:3" ht="13" x14ac:dyDescent="0.15">
      <c r="A139" s="10"/>
      <c r="B139" s="13"/>
      <c r="C139" s="13"/>
    </row>
    <row r="140" spans="1:3" ht="13" x14ac:dyDescent="0.15">
      <c r="A140" s="10"/>
      <c r="B140" s="13"/>
      <c r="C140" s="13"/>
    </row>
    <row r="141" spans="1:3" ht="13" x14ac:dyDescent="0.15">
      <c r="A141" s="10"/>
      <c r="B141" s="13"/>
      <c r="C141" s="13"/>
    </row>
    <row r="142" spans="1:3" ht="13" x14ac:dyDescent="0.15">
      <c r="A142" s="10"/>
      <c r="B142" s="13"/>
      <c r="C142" s="13"/>
    </row>
    <row r="143" spans="1:3" ht="13" x14ac:dyDescent="0.15">
      <c r="A143" s="10"/>
      <c r="B143" s="13"/>
      <c r="C143" s="13"/>
    </row>
    <row r="144" spans="1:3" ht="13" x14ac:dyDescent="0.15">
      <c r="A144" s="10"/>
      <c r="B144" s="13"/>
      <c r="C144" s="13"/>
    </row>
    <row r="145" spans="1:3" ht="13" x14ac:dyDescent="0.15">
      <c r="A145" s="10"/>
      <c r="B145" s="13"/>
      <c r="C145" s="13"/>
    </row>
    <row r="146" spans="1:3" ht="13" x14ac:dyDescent="0.15">
      <c r="A146" s="10"/>
      <c r="B146" s="13"/>
      <c r="C146" s="13"/>
    </row>
    <row r="147" spans="1:3" ht="13" x14ac:dyDescent="0.15">
      <c r="A147" s="10"/>
      <c r="B147" s="13"/>
      <c r="C147" s="13"/>
    </row>
    <row r="148" spans="1:3" ht="13" x14ac:dyDescent="0.15">
      <c r="A148" s="10"/>
      <c r="B148" s="13"/>
      <c r="C148" s="13"/>
    </row>
    <row r="149" spans="1:3" ht="13" x14ac:dyDescent="0.15">
      <c r="A149" s="10"/>
      <c r="B149" s="13"/>
      <c r="C149" s="13"/>
    </row>
    <row r="150" spans="1:3" ht="13" x14ac:dyDescent="0.15">
      <c r="A150" s="10"/>
      <c r="B150" s="13"/>
      <c r="C150" s="13"/>
    </row>
    <row r="151" spans="1:3" ht="13" x14ac:dyDescent="0.15">
      <c r="A151" s="10"/>
      <c r="B151" s="13"/>
      <c r="C151" s="13"/>
    </row>
    <row r="152" spans="1:3" ht="13" x14ac:dyDescent="0.15">
      <c r="A152" s="10"/>
      <c r="B152" s="13"/>
      <c r="C152" s="13"/>
    </row>
    <row r="153" spans="1:3" ht="13" x14ac:dyDescent="0.15">
      <c r="A153" s="10"/>
      <c r="B153" s="13"/>
      <c r="C153" s="13"/>
    </row>
    <row r="154" spans="1:3" ht="13" x14ac:dyDescent="0.15">
      <c r="A154" s="10"/>
      <c r="B154" s="13"/>
      <c r="C154" s="13"/>
    </row>
    <row r="155" spans="1:3" ht="13" x14ac:dyDescent="0.15">
      <c r="A155" s="10"/>
      <c r="B155" s="13"/>
      <c r="C155" s="13"/>
    </row>
    <row r="156" spans="1:3" ht="13" x14ac:dyDescent="0.15">
      <c r="A156" s="10"/>
      <c r="B156" s="13"/>
      <c r="C156" s="13"/>
    </row>
    <row r="157" spans="1:3" ht="13" x14ac:dyDescent="0.15">
      <c r="A157" s="10"/>
      <c r="B157" s="13"/>
      <c r="C157" s="13"/>
    </row>
    <row r="158" spans="1:3" ht="13" x14ac:dyDescent="0.15">
      <c r="A158" s="10"/>
      <c r="B158" s="13"/>
      <c r="C158" s="13"/>
    </row>
    <row r="159" spans="1:3" ht="13" x14ac:dyDescent="0.15">
      <c r="A159" s="10"/>
      <c r="B159" s="13"/>
      <c r="C159" s="13"/>
    </row>
    <row r="160" spans="1:3" ht="13" x14ac:dyDescent="0.15">
      <c r="A160" s="10"/>
      <c r="B160" s="13"/>
      <c r="C160" s="13"/>
    </row>
    <row r="161" spans="1:3" ht="13" x14ac:dyDescent="0.15">
      <c r="A161" s="10"/>
      <c r="B161" s="13"/>
      <c r="C161" s="13"/>
    </row>
    <row r="162" spans="1:3" ht="13" x14ac:dyDescent="0.15">
      <c r="A162" s="10"/>
      <c r="B162" s="13"/>
      <c r="C162" s="13"/>
    </row>
    <row r="163" spans="1:3" ht="13" x14ac:dyDescent="0.15">
      <c r="A163" s="10"/>
      <c r="B163" s="13"/>
      <c r="C163" s="13"/>
    </row>
    <row r="164" spans="1:3" ht="13" x14ac:dyDescent="0.15">
      <c r="A164" s="10"/>
      <c r="B164" s="13"/>
      <c r="C164" s="13"/>
    </row>
    <row r="165" spans="1:3" ht="13" x14ac:dyDescent="0.15">
      <c r="A165" s="10"/>
      <c r="B165" s="13"/>
      <c r="C165" s="13"/>
    </row>
    <row r="166" spans="1:3" ht="13" x14ac:dyDescent="0.15">
      <c r="A166" s="10"/>
      <c r="B166" s="13"/>
      <c r="C166" s="13"/>
    </row>
    <row r="167" spans="1:3" ht="13" x14ac:dyDescent="0.15">
      <c r="A167" s="10"/>
      <c r="B167" s="13"/>
      <c r="C167" s="13"/>
    </row>
    <row r="168" spans="1:3" ht="13" x14ac:dyDescent="0.15">
      <c r="A168" s="10"/>
      <c r="B168" s="13"/>
      <c r="C168" s="13"/>
    </row>
    <row r="169" spans="1:3" ht="13" x14ac:dyDescent="0.15">
      <c r="A169" s="10"/>
      <c r="B169" s="13"/>
      <c r="C169" s="13"/>
    </row>
    <row r="170" spans="1:3" ht="13" x14ac:dyDescent="0.15">
      <c r="A170" s="10"/>
      <c r="B170" s="13"/>
      <c r="C170" s="13"/>
    </row>
    <row r="171" spans="1:3" ht="13" x14ac:dyDescent="0.15">
      <c r="A171" s="10"/>
      <c r="B171" s="13"/>
      <c r="C171" s="13"/>
    </row>
    <row r="172" spans="1:3" ht="13" x14ac:dyDescent="0.15">
      <c r="A172" s="10"/>
      <c r="B172" s="13"/>
      <c r="C172" s="13"/>
    </row>
    <row r="173" spans="1:3" ht="13" x14ac:dyDescent="0.15">
      <c r="A173" s="10"/>
      <c r="B173" s="13"/>
      <c r="C173" s="13"/>
    </row>
    <row r="174" spans="1:3" ht="13" x14ac:dyDescent="0.15">
      <c r="A174" s="10"/>
      <c r="B174" s="13"/>
      <c r="C174" s="13"/>
    </row>
    <row r="175" spans="1:3" ht="13" x14ac:dyDescent="0.15">
      <c r="A175" s="10"/>
      <c r="B175" s="13"/>
      <c r="C175" s="13"/>
    </row>
    <row r="176" spans="1:3" ht="13" x14ac:dyDescent="0.15">
      <c r="A176" s="10"/>
      <c r="B176" s="13"/>
      <c r="C176" s="13"/>
    </row>
    <row r="177" spans="1:3" ht="13" x14ac:dyDescent="0.15">
      <c r="A177" s="10"/>
      <c r="B177" s="13"/>
      <c r="C177" s="13"/>
    </row>
    <row r="178" spans="1:3" ht="13" x14ac:dyDescent="0.15">
      <c r="A178" s="10"/>
      <c r="B178" s="13"/>
      <c r="C178" s="13"/>
    </row>
    <row r="179" spans="1:3" ht="13" x14ac:dyDescent="0.15">
      <c r="A179" s="10"/>
      <c r="B179" s="13"/>
      <c r="C179" s="13"/>
    </row>
    <row r="180" spans="1:3" ht="13" x14ac:dyDescent="0.15">
      <c r="A180" s="10"/>
      <c r="B180" s="13"/>
      <c r="C180" s="13"/>
    </row>
    <row r="181" spans="1:3" ht="13" x14ac:dyDescent="0.15">
      <c r="A181" s="10"/>
      <c r="B181" s="13"/>
      <c r="C181" s="13"/>
    </row>
    <row r="182" spans="1:3" ht="13" x14ac:dyDescent="0.15">
      <c r="A182" s="10"/>
      <c r="B182" s="13"/>
      <c r="C182" s="13"/>
    </row>
    <row r="183" spans="1:3" ht="13" x14ac:dyDescent="0.15">
      <c r="A183" s="10"/>
      <c r="B183" s="13"/>
      <c r="C183" s="13"/>
    </row>
    <row r="184" spans="1:3" ht="13" x14ac:dyDescent="0.15">
      <c r="A184" s="10"/>
      <c r="B184" s="13"/>
      <c r="C184" s="13"/>
    </row>
    <row r="185" spans="1:3" ht="13" x14ac:dyDescent="0.15">
      <c r="A185" s="10"/>
      <c r="B185" s="13"/>
      <c r="C185" s="13"/>
    </row>
    <row r="186" spans="1:3" ht="13" x14ac:dyDescent="0.15">
      <c r="A186" s="10"/>
      <c r="B186" s="13"/>
      <c r="C186" s="13"/>
    </row>
    <row r="187" spans="1:3" ht="13" x14ac:dyDescent="0.15">
      <c r="A187" s="10"/>
      <c r="B187" s="13"/>
      <c r="C187" s="13"/>
    </row>
    <row r="188" spans="1:3" ht="13" x14ac:dyDescent="0.15">
      <c r="A188" s="10"/>
      <c r="B188" s="13"/>
      <c r="C188" s="13"/>
    </row>
    <row r="189" spans="1:3" ht="13" x14ac:dyDescent="0.15">
      <c r="A189" s="10"/>
      <c r="B189" s="13"/>
      <c r="C189" s="13"/>
    </row>
    <row r="190" spans="1:3" ht="13" x14ac:dyDescent="0.15">
      <c r="A190" s="10"/>
      <c r="B190" s="13"/>
      <c r="C190" s="13"/>
    </row>
    <row r="191" spans="1:3" ht="13" x14ac:dyDescent="0.15">
      <c r="A191" s="10"/>
      <c r="B191" s="13"/>
      <c r="C191" s="13"/>
    </row>
    <row r="192" spans="1:3" ht="13" x14ac:dyDescent="0.15">
      <c r="A192" s="10"/>
      <c r="B192" s="13"/>
      <c r="C192" s="13"/>
    </row>
    <row r="193" spans="1:3" ht="13" x14ac:dyDescent="0.15">
      <c r="A193" s="10"/>
      <c r="B193" s="13"/>
      <c r="C193" s="13"/>
    </row>
    <row r="194" spans="1:3" ht="13" x14ac:dyDescent="0.15">
      <c r="A194" s="10"/>
      <c r="B194" s="13"/>
      <c r="C194" s="13"/>
    </row>
    <row r="195" spans="1:3" ht="13" x14ac:dyDescent="0.15">
      <c r="A195" s="10"/>
      <c r="B195" s="13"/>
      <c r="C195" s="13"/>
    </row>
    <row r="196" spans="1:3" ht="13" x14ac:dyDescent="0.15">
      <c r="A196" s="10"/>
      <c r="B196" s="13"/>
      <c r="C196" s="13"/>
    </row>
    <row r="197" spans="1:3" ht="13" x14ac:dyDescent="0.15">
      <c r="A197" s="10"/>
      <c r="B197" s="13"/>
      <c r="C197" s="13"/>
    </row>
    <row r="198" spans="1:3" ht="13" x14ac:dyDescent="0.15">
      <c r="A198" s="10"/>
      <c r="B198" s="13"/>
      <c r="C198" s="13"/>
    </row>
    <row r="199" spans="1:3" ht="13" x14ac:dyDescent="0.15">
      <c r="A199" s="10"/>
      <c r="B199" s="13"/>
      <c r="C199" s="13"/>
    </row>
    <row r="200" spans="1:3" ht="13" x14ac:dyDescent="0.15">
      <c r="A200" s="10"/>
      <c r="B200" s="13"/>
      <c r="C200" s="13"/>
    </row>
    <row r="201" spans="1:3" ht="13" x14ac:dyDescent="0.15">
      <c r="A201" s="10"/>
      <c r="B201" s="13"/>
      <c r="C201" s="13"/>
    </row>
    <row r="202" spans="1:3" ht="13" x14ac:dyDescent="0.15">
      <c r="A202" s="10"/>
      <c r="B202" s="13"/>
      <c r="C202" s="13"/>
    </row>
    <row r="203" spans="1:3" ht="13" x14ac:dyDescent="0.15">
      <c r="A203" s="10"/>
      <c r="B203" s="13"/>
      <c r="C203" s="13"/>
    </row>
    <row r="204" spans="1:3" ht="13" x14ac:dyDescent="0.15">
      <c r="A204" s="10"/>
      <c r="B204" s="13"/>
      <c r="C204" s="13"/>
    </row>
    <row r="205" spans="1:3" ht="13" x14ac:dyDescent="0.15">
      <c r="A205" s="10"/>
      <c r="B205" s="13"/>
      <c r="C205" s="13"/>
    </row>
    <row r="206" spans="1:3" ht="13" x14ac:dyDescent="0.15">
      <c r="A206" s="10"/>
      <c r="B206" s="13"/>
      <c r="C206" s="13"/>
    </row>
    <row r="207" spans="1:3" ht="13" x14ac:dyDescent="0.15">
      <c r="A207" s="10"/>
      <c r="B207" s="13"/>
      <c r="C207" s="13"/>
    </row>
    <row r="208" spans="1:3" ht="13" x14ac:dyDescent="0.15">
      <c r="A208" s="10"/>
      <c r="B208" s="13"/>
      <c r="C208" s="13"/>
    </row>
    <row r="209" spans="1:3" ht="13" x14ac:dyDescent="0.15">
      <c r="A209" s="10"/>
      <c r="B209" s="13"/>
      <c r="C209" s="13"/>
    </row>
    <row r="210" spans="1:3" ht="13" x14ac:dyDescent="0.15">
      <c r="A210" s="10"/>
      <c r="B210" s="13"/>
      <c r="C210" s="13"/>
    </row>
    <row r="211" spans="1:3" ht="13" x14ac:dyDescent="0.15">
      <c r="A211" s="10"/>
      <c r="B211" s="13"/>
      <c r="C211" s="13"/>
    </row>
    <row r="212" spans="1:3" ht="13" x14ac:dyDescent="0.15">
      <c r="A212" s="10"/>
      <c r="B212" s="13"/>
      <c r="C212" s="13"/>
    </row>
    <row r="213" spans="1:3" ht="13" x14ac:dyDescent="0.15">
      <c r="A213" s="10"/>
      <c r="B213" s="13"/>
      <c r="C213" s="13"/>
    </row>
    <row r="214" spans="1:3" ht="13" x14ac:dyDescent="0.15">
      <c r="A214" s="10"/>
      <c r="B214" s="13"/>
      <c r="C214" s="13"/>
    </row>
    <row r="215" spans="1:3" ht="13" x14ac:dyDescent="0.15">
      <c r="A215" s="10"/>
      <c r="B215" s="13"/>
      <c r="C215" s="13"/>
    </row>
    <row r="216" spans="1:3" ht="13" x14ac:dyDescent="0.15">
      <c r="A216" s="10"/>
      <c r="B216" s="13"/>
      <c r="C216" s="13"/>
    </row>
    <row r="217" spans="1:3" ht="13" x14ac:dyDescent="0.15">
      <c r="A217" s="10"/>
      <c r="B217" s="13"/>
      <c r="C217" s="13"/>
    </row>
    <row r="218" spans="1:3" ht="13" x14ac:dyDescent="0.15">
      <c r="A218" s="10"/>
      <c r="B218" s="13"/>
      <c r="C218" s="13"/>
    </row>
    <row r="219" spans="1:3" ht="13" x14ac:dyDescent="0.15">
      <c r="A219" s="10"/>
      <c r="B219" s="13"/>
      <c r="C219" s="13"/>
    </row>
    <row r="220" spans="1:3" ht="13" x14ac:dyDescent="0.15">
      <c r="A220" s="10"/>
      <c r="B220" s="13"/>
      <c r="C220" s="13"/>
    </row>
    <row r="221" spans="1:3" ht="13" x14ac:dyDescent="0.15">
      <c r="A221" s="10"/>
      <c r="B221" s="13"/>
      <c r="C221" s="13"/>
    </row>
    <row r="222" spans="1:3" ht="13" x14ac:dyDescent="0.15">
      <c r="A222" s="10"/>
      <c r="B222" s="13"/>
      <c r="C222" s="13"/>
    </row>
    <row r="223" spans="1:3" ht="13" x14ac:dyDescent="0.15">
      <c r="A223" s="10"/>
      <c r="B223" s="13"/>
      <c r="C223" s="13"/>
    </row>
    <row r="224" spans="1:3" ht="13" x14ac:dyDescent="0.15">
      <c r="A224" s="10"/>
      <c r="B224" s="13"/>
      <c r="C224" s="13"/>
    </row>
    <row r="225" spans="1:3" ht="13" x14ac:dyDescent="0.15">
      <c r="A225" s="10"/>
      <c r="B225" s="13"/>
      <c r="C225" s="13"/>
    </row>
    <row r="226" spans="1:3" ht="13" x14ac:dyDescent="0.15">
      <c r="A226" s="10"/>
      <c r="B226" s="13"/>
      <c r="C226" s="13"/>
    </row>
    <row r="227" spans="1:3" ht="13" x14ac:dyDescent="0.15">
      <c r="A227" s="10"/>
      <c r="B227" s="13"/>
      <c r="C227" s="13"/>
    </row>
    <row r="228" spans="1:3" ht="13" x14ac:dyDescent="0.15">
      <c r="A228" s="10"/>
      <c r="B228" s="13"/>
      <c r="C228" s="13"/>
    </row>
    <row r="229" spans="1:3" ht="13" x14ac:dyDescent="0.15">
      <c r="A229" s="10"/>
      <c r="B229" s="13"/>
      <c r="C229" s="13"/>
    </row>
    <row r="230" spans="1:3" ht="13" x14ac:dyDescent="0.15">
      <c r="A230" s="10"/>
      <c r="B230" s="13"/>
      <c r="C230" s="13"/>
    </row>
    <row r="231" spans="1:3" ht="13" x14ac:dyDescent="0.15">
      <c r="A231" s="10"/>
      <c r="B231" s="13"/>
      <c r="C231" s="13"/>
    </row>
    <row r="232" spans="1:3" ht="13" x14ac:dyDescent="0.15">
      <c r="A232" s="10"/>
      <c r="B232" s="13"/>
      <c r="C232" s="13"/>
    </row>
    <row r="233" spans="1:3" ht="13" x14ac:dyDescent="0.15">
      <c r="A233" s="10"/>
      <c r="B233" s="13"/>
      <c r="C233" s="13"/>
    </row>
    <row r="234" spans="1:3" ht="13" x14ac:dyDescent="0.15">
      <c r="A234" s="10"/>
      <c r="B234" s="13"/>
      <c r="C234" s="13"/>
    </row>
    <row r="235" spans="1:3" ht="13" x14ac:dyDescent="0.15">
      <c r="A235" s="10"/>
      <c r="B235" s="13"/>
      <c r="C235" s="13"/>
    </row>
    <row r="236" spans="1:3" ht="13" x14ac:dyDescent="0.15">
      <c r="A236" s="10"/>
      <c r="B236" s="13"/>
      <c r="C236" s="13"/>
    </row>
    <row r="237" spans="1:3" ht="13" x14ac:dyDescent="0.15">
      <c r="A237" s="10"/>
      <c r="B237" s="13"/>
      <c r="C237" s="13"/>
    </row>
    <row r="238" spans="1:3" ht="13" x14ac:dyDescent="0.15">
      <c r="A238" s="10"/>
      <c r="B238" s="13"/>
      <c r="C238" s="13"/>
    </row>
    <row r="239" spans="1:3" ht="13" x14ac:dyDescent="0.15">
      <c r="A239" s="10"/>
      <c r="B239" s="13"/>
      <c r="C239" s="13"/>
    </row>
    <row r="240" spans="1:3" ht="13" x14ac:dyDescent="0.15">
      <c r="A240" s="10"/>
      <c r="B240" s="13"/>
      <c r="C240" s="13"/>
    </row>
    <row r="241" spans="1:3" ht="13" x14ac:dyDescent="0.15">
      <c r="A241" s="10"/>
      <c r="B241" s="13"/>
      <c r="C241" s="13"/>
    </row>
    <row r="242" spans="1:3" ht="13" x14ac:dyDescent="0.15">
      <c r="A242" s="10"/>
      <c r="B242" s="13"/>
      <c r="C242" s="13"/>
    </row>
    <row r="243" spans="1:3" ht="13" x14ac:dyDescent="0.15">
      <c r="A243" s="10"/>
      <c r="B243" s="13"/>
      <c r="C243" s="13"/>
    </row>
    <row r="244" spans="1:3" ht="13" x14ac:dyDescent="0.15">
      <c r="A244" s="10"/>
      <c r="B244" s="13"/>
      <c r="C244" s="13"/>
    </row>
    <row r="245" spans="1:3" ht="13" x14ac:dyDescent="0.15">
      <c r="A245" s="10"/>
      <c r="B245" s="13"/>
      <c r="C245" s="13"/>
    </row>
    <row r="246" spans="1:3" ht="13" x14ac:dyDescent="0.15">
      <c r="A246" s="10"/>
      <c r="B246" s="13"/>
      <c r="C246" s="13"/>
    </row>
    <row r="247" spans="1:3" ht="13" x14ac:dyDescent="0.15">
      <c r="A247" s="10"/>
      <c r="B247" s="13"/>
      <c r="C247" s="13"/>
    </row>
    <row r="248" spans="1:3" ht="13" x14ac:dyDescent="0.15">
      <c r="A248" s="10"/>
      <c r="B248" s="13"/>
      <c r="C248" s="13"/>
    </row>
    <row r="249" spans="1:3" ht="13" x14ac:dyDescent="0.15">
      <c r="A249" s="10"/>
      <c r="B249" s="13"/>
      <c r="C249" s="13"/>
    </row>
    <row r="250" spans="1:3" ht="13" x14ac:dyDescent="0.15">
      <c r="A250" s="10"/>
      <c r="B250" s="13"/>
      <c r="C250" s="13"/>
    </row>
    <row r="251" spans="1:3" ht="13" x14ac:dyDescent="0.15">
      <c r="A251" s="10"/>
      <c r="B251" s="13"/>
      <c r="C251" s="13"/>
    </row>
    <row r="252" spans="1:3" ht="13" x14ac:dyDescent="0.15">
      <c r="A252" s="10"/>
      <c r="B252" s="13"/>
      <c r="C252" s="13"/>
    </row>
    <row r="253" spans="1:3" ht="13" x14ac:dyDescent="0.15">
      <c r="A253" s="10"/>
      <c r="B253" s="13"/>
      <c r="C253" s="13"/>
    </row>
    <row r="254" spans="1:3" ht="13" x14ac:dyDescent="0.15">
      <c r="A254" s="10"/>
      <c r="B254" s="13"/>
      <c r="C254" s="13"/>
    </row>
    <row r="255" spans="1:3" ht="13" x14ac:dyDescent="0.15">
      <c r="A255" s="10"/>
      <c r="B255" s="13"/>
      <c r="C255" s="13"/>
    </row>
    <row r="256" spans="1:3" ht="13" x14ac:dyDescent="0.15">
      <c r="A256" s="10"/>
      <c r="B256" s="13"/>
      <c r="C256" s="13"/>
    </row>
    <row r="257" spans="1:3" ht="13" x14ac:dyDescent="0.15">
      <c r="A257" s="10"/>
      <c r="B257" s="13"/>
      <c r="C257" s="13"/>
    </row>
    <row r="258" spans="1:3" ht="13" x14ac:dyDescent="0.15">
      <c r="A258" s="10"/>
      <c r="B258" s="13"/>
      <c r="C258" s="13"/>
    </row>
    <row r="259" spans="1:3" ht="13" x14ac:dyDescent="0.15">
      <c r="A259" s="10"/>
      <c r="B259" s="13"/>
      <c r="C259" s="13"/>
    </row>
    <row r="260" spans="1:3" ht="13" x14ac:dyDescent="0.15">
      <c r="A260" s="10"/>
      <c r="B260" s="13"/>
      <c r="C260" s="13"/>
    </row>
    <row r="261" spans="1:3" ht="13" x14ac:dyDescent="0.15">
      <c r="A261" s="10"/>
      <c r="B261" s="13"/>
      <c r="C261" s="13"/>
    </row>
    <row r="262" spans="1:3" ht="13" x14ac:dyDescent="0.15">
      <c r="A262" s="10"/>
      <c r="B262" s="13"/>
      <c r="C262" s="13"/>
    </row>
    <row r="263" spans="1:3" ht="13" x14ac:dyDescent="0.15">
      <c r="A263" s="10"/>
      <c r="B263" s="13"/>
      <c r="C263" s="13"/>
    </row>
    <row r="264" spans="1:3" ht="13" x14ac:dyDescent="0.15">
      <c r="A264" s="10"/>
      <c r="B264" s="13"/>
      <c r="C264" s="13"/>
    </row>
    <row r="265" spans="1:3" ht="13" x14ac:dyDescent="0.15">
      <c r="A265" s="10"/>
      <c r="B265" s="13"/>
      <c r="C265" s="13"/>
    </row>
    <row r="266" spans="1:3" ht="13" x14ac:dyDescent="0.15">
      <c r="A266" s="10"/>
      <c r="B266" s="13"/>
      <c r="C266" s="13"/>
    </row>
    <row r="267" spans="1:3" ht="13" x14ac:dyDescent="0.15">
      <c r="A267" s="10"/>
      <c r="B267" s="13"/>
      <c r="C267" s="13"/>
    </row>
    <row r="268" spans="1:3" ht="13" x14ac:dyDescent="0.15">
      <c r="A268" s="10"/>
      <c r="B268" s="13"/>
      <c r="C268" s="13"/>
    </row>
    <row r="269" spans="1:3" ht="13" x14ac:dyDescent="0.15">
      <c r="A269" s="10"/>
      <c r="B269" s="13"/>
      <c r="C269" s="13"/>
    </row>
    <row r="270" spans="1:3" ht="13" x14ac:dyDescent="0.15">
      <c r="A270" s="10"/>
      <c r="B270" s="13"/>
      <c r="C270" s="13"/>
    </row>
    <row r="271" spans="1:3" ht="13" x14ac:dyDescent="0.15">
      <c r="A271" s="10"/>
      <c r="B271" s="13"/>
      <c r="C271" s="13"/>
    </row>
    <row r="272" spans="1:3" ht="13" x14ac:dyDescent="0.15">
      <c r="A272" s="10"/>
      <c r="B272" s="13"/>
      <c r="C272" s="13"/>
    </row>
    <row r="273" spans="1:3" ht="13" x14ac:dyDescent="0.15">
      <c r="A273" s="10"/>
      <c r="B273" s="13"/>
      <c r="C273" s="13"/>
    </row>
    <row r="274" spans="1:3" ht="13" x14ac:dyDescent="0.15">
      <c r="A274" s="10"/>
      <c r="B274" s="13"/>
      <c r="C274" s="13"/>
    </row>
    <row r="275" spans="1:3" ht="13" x14ac:dyDescent="0.15">
      <c r="A275" s="10"/>
      <c r="B275" s="13"/>
      <c r="C275" s="13"/>
    </row>
    <row r="276" spans="1:3" ht="13" x14ac:dyDescent="0.15">
      <c r="A276" s="10"/>
      <c r="B276" s="13"/>
      <c r="C276" s="13"/>
    </row>
    <row r="277" spans="1:3" ht="13" x14ac:dyDescent="0.15">
      <c r="A277" s="10"/>
      <c r="B277" s="13"/>
      <c r="C277" s="13"/>
    </row>
    <row r="278" spans="1:3" ht="13" x14ac:dyDescent="0.15">
      <c r="A278" s="10"/>
      <c r="B278" s="13"/>
      <c r="C278" s="13"/>
    </row>
    <row r="279" spans="1:3" ht="13" x14ac:dyDescent="0.15">
      <c r="A279" s="10"/>
      <c r="B279" s="13"/>
      <c r="C279" s="13"/>
    </row>
    <row r="280" spans="1:3" ht="13" x14ac:dyDescent="0.15">
      <c r="A280" s="10"/>
      <c r="B280" s="13"/>
      <c r="C280" s="13"/>
    </row>
    <row r="281" spans="1:3" ht="13" x14ac:dyDescent="0.15">
      <c r="A281" s="10"/>
      <c r="B281" s="13"/>
      <c r="C281" s="13"/>
    </row>
    <row r="282" spans="1:3" ht="13" x14ac:dyDescent="0.15">
      <c r="A282" s="10"/>
      <c r="B282" s="13"/>
      <c r="C282" s="13"/>
    </row>
    <row r="283" spans="1:3" ht="13" x14ac:dyDescent="0.15">
      <c r="A283" s="10"/>
      <c r="B283" s="13"/>
      <c r="C283" s="13"/>
    </row>
    <row r="284" spans="1:3" ht="13" x14ac:dyDescent="0.15">
      <c r="A284" s="10"/>
      <c r="B284" s="13"/>
      <c r="C284" s="13"/>
    </row>
    <row r="285" spans="1:3" ht="13" x14ac:dyDescent="0.15">
      <c r="A285" s="10"/>
      <c r="B285" s="13"/>
      <c r="C285" s="13"/>
    </row>
    <row r="286" spans="1:3" ht="13" x14ac:dyDescent="0.15">
      <c r="A286" s="10"/>
      <c r="B286" s="13"/>
      <c r="C286" s="13"/>
    </row>
    <row r="287" spans="1:3" ht="13" x14ac:dyDescent="0.15">
      <c r="A287" s="10"/>
      <c r="B287" s="13"/>
      <c r="C287" s="13"/>
    </row>
    <row r="288" spans="1:3" ht="13" x14ac:dyDescent="0.15">
      <c r="A288" s="10"/>
      <c r="B288" s="13"/>
      <c r="C288" s="13"/>
    </row>
    <row r="289" spans="1:3" ht="13" x14ac:dyDescent="0.15">
      <c r="A289" s="10"/>
      <c r="B289" s="13"/>
      <c r="C289" s="13"/>
    </row>
    <row r="290" spans="1:3" ht="13" x14ac:dyDescent="0.15">
      <c r="A290" s="10"/>
      <c r="B290" s="13"/>
      <c r="C290" s="13"/>
    </row>
    <row r="291" spans="1:3" ht="13" x14ac:dyDescent="0.15">
      <c r="A291" s="10"/>
      <c r="B291" s="13"/>
      <c r="C291" s="13"/>
    </row>
    <row r="292" spans="1:3" ht="13" x14ac:dyDescent="0.15">
      <c r="A292" s="10"/>
      <c r="B292" s="13"/>
      <c r="C292" s="13"/>
    </row>
    <row r="293" spans="1:3" ht="13" x14ac:dyDescent="0.15">
      <c r="A293" s="10"/>
      <c r="B293" s="13"/>
      <c r="C293" s="13"/>
    </row>
    <row r="294" spans="1:3" ht="13" x14ac:dyDescent="0.15">
      <c r="A294" s="10"/>
      <c r="B294" s="13"/>
      <c r="C294" s="13"/>
    </row>
    <row r="295" spans="1:3" ht="13" x14ac:dyDescent="0.15">
      <c r="A295" s="10"/>
      <c r="B295" s="13"/>
      <c r="C295" s="13"/>
    </row>
    <row r="296" spans="1:3" ht="13" x14ac:dyDescent="0.15">
      <c r="A296" s="10"/>
      <c r="B296" s="13"/>
      <c r="C296" s="13"/>
    </row>
    <row r="297" spans="1:3" ht="13" x14ac:dyDescent="0.15">
      <c r="A297" s="10"/>
      <c r="B297" s="13"/>
      <c r="C297" s="13"/>
    </row>
    <row r="298" spans="1:3" ht="13" x14ac:dyDescent="0.15">
      <c r="A298" s="10"/>
      <c r="B298" s="13"/>
      <c r="C298" s="13"/>
    </row>
    <row r="299" spans="1:3" ht="13" x14ac:dyDescent="0.15">
      <c r="A299" s="10"/>
      <c r="B299" s="13"/>
      <c r="C299" s="13"/>
    </row>
    <row r="300" spans="1:3" ht="13" x14ac:dyDescent="0.15">
      <c r="A300" s="10"/>
      <c r="B300" s="13"/>
      <c r="C300" s="13"/>
    </row>
    <row r="301" spans="1:3" ht="13" x14ac:dyDescent="0.15">
      <c r="A301" s="10"/>
      <c r="B301" s="13"/>
      <c r="C301" s="13"/>
    </row>
    <row r="302" spans="1:3" ht="13" x14ac:dyDescent="0.15">
      <c r="A302" s="10"/>
      <c r="B302" s="13"/>
      <c r="C302" s="13"/>
    </row>
    <row r="303" spans="1:3" ht="13" x14ac:dyDescent="0.15">
      <c r="A303" s="10"/>
      <c r="B303" s="13"/>
      <c r="C303" s="13"/>
    </row>
    <row r="304" spans="1:3" ht="13" x14ac:dyDescent="0.15">
      <c r="A304" s="10"/>
      <c r="B304" s="13"/>
      <c r="C304" s="13"/>
    </row>
    <row r="305" spans="1:3" ht="13" x14ac:dyDescent="0.15">
      <c r="A305" s="10"/>
      <c r="B305" s="13"/>
      <c r="C305" s="13"/>
    </row>
    <row r="306" spans="1:3" ht="13" x14ac:dyDescent="0.15">
      <c r="A306" s="10"/>
      <c r="B306" s="13"/>
      <c r="C306" s="13"/>
    </row>
    <row r="307" spans="1:3" ht="13" x14ac:dyDescent="0.15">
      <c r="A307" s="10"/>
      <c r="B307" s="13"/>
      <c r="C307" s="13"/>
    </row>
    <row r="308" spans="1:3" ht="13" x14ac:dyDescent="0.15">
      <c r="A308" s="10"/>
      <c r="B308" s="13"/>
      <c r="C308" s="13"/>
    </row>
    <row r="309" spans="1:3" ht="13" x14ac:dyDescent="0.15">
      <c r="A309" s="10"/>
      <c r="B309" s="13"/>
      <c r="C309" s="13"/>
    </row>
    <row r="310" spans="1:3" ht="13" x14ac:dyDescent="0.15">
      <c r="A310" s="10"/>
      <c r="B310" s="13"/>
      <c r="C310" s="13"/>
    </row>
    <row r="311" spans="1:3" ht="13" x14ac:dyDescent="0.15">
      <c r="A311" s="10"/>
      <c r="B311" s="13"/>
      <c r="C311" s="13"/>
    </row>
    <row r="312" spans="1:3" ht="13" x14ac:dyDescent="0.15">
      <c r="A312" s="10"/>
      <c r="B312" s="13"/>
      <c r="C312" s="13"/>
    </row>
    <row r="313" spans="1:3" ht="13" x14ac:dyDescent="0.15">
      <c r="A313" s="10"/>
      <c r="B313" s="13"/>
      <c r="C313" s="13"/>
    </row>
    <row r="314" spans="1:3" ht="13" x14ac:dyDescent="0.15">
      <c r="A314" s="10"/>
      <c r="B314" s="13"/>
      <c r="C314" s="13"/>
    </row>
    <row r="315" spans="1:3" ht="13" x14ac:dyDescent="0.15">
      <c r="A315" s="10"/>
      <c r="B315" s="13"/>
      <c r="C315" s="13"/>
    </row>
    <row r="316" spans="1:3" ht="13" x14ac:dyDescent="0.15">
      <c r="A316" s="10"/>
      <c r="B316" s="13"/>
      <c r="C316" s="13"/>
    </row>
    <row r="317" spans="1:3" ht="13" x14ac:dyDescent="0.15">
      <c r="A317" s="10"/>
      <c r="B317" s="13"/>
      <c r="C317" s="13"/>
    </row>
    <row r="318" spans="1:3" ht="13" x14ac:dyDescent="0.15">
      <c r="A318" s="10"/>
      <c r="B318" s="13"/>
      <c r="C318" s="13"/>
    </row>
    <row r="319" spans="1:3" ht="13" x14ac:dyDescent="0.15">
      <c r="A319" s="10"/>
      <c r="B319" s="13"/>
      <c r="C319" s="13"/>
    </row>
    <row r="320" spans="1:3" ht="13" x14ac:dyDescent="0.15">
      <c r="A320" s="10"/>
      <c r="B320" s="13"/>
      <c r="C320" s="13"/>
    </row>
    <row r="321" spans="1:3" ht="13" x14ac:dyDescent="0.15">
      <c r="A321" s="10"/>
      <c r="B321" s="13"/>
      <c r="C321" s="13"/>
    </row>
    <row r="322" spans="1:3" ht="13" x14ac:dyDescent="0.15">
      <c r="A322" s="10"/>
      <c r="B322" s="13"/>
      <c r="C322" s="13"/>
    </row>
    <row r="323" spans="1:3" ht="13" x14ac:dyDescent="0.15">
      <c r="A323" s="10"/>
      <c r="B323" s="13"/>
      <c r="C323" s="13"/>
    </row>
    <row r="324" spans="1:3" ht="13" x14ac:dyDescent="0.15">
      <c r="A324" s="10"/>
      <c r="B324" s="13"/>
      <c r="C324" s="13"/>
    </row>
    <row r="325" spans="1:3" ht="13" x14ac:dyDescent="0.15">
      <c r="A325" s="10"/>
      <c r="B325" s="13"/>
      <c r="C325" s="13"/>
    </row>
    <row r="326" spans="1:3" ht="13" x14ac:dyDescent="0.15">
      <c r="A326" s="10"/>
      <c r="B326" s="13"/>
      <c r="C326" s="13"/>
    </row>
    <row r="327" spans="1:3" ht="13" x14ac:dyDescent="0.15">
      <c r="A327" s="10"/>
      <c r="B327" s="13"/>
      <c r="C327" s="13"/>
    </row>
    <row r="328" spans="1:3" ht="13" x14ac:dyDescent="0.15">
      <c r="A328" s="10"/>
      <c r="B328" s="13"/>
      <c r="C328" s="13"/>
    </row>
    <row r="329" spans="1:3" ht="13" x14ac:dyDescent="0.15">
      <c r="A329" s="10"/>
      <c r="B329" s="13"/>
      <c r="C329" s="13"/>
    </row>
    <row r="330" spans="1:3" ht="13" x14ac:dyDescent="0.15">
      <c r="A330" s="10"/>
      <c r="B330" s="13"/>
      <c r="C330" s="13"/>
    </row>
    <row r="331" spans="1:3" ht="13" x14ac:dyDescent="0.15">
      <c r="A331" s="10"/>
      <c r="B331" s="13"/>
      <c r="C331" s="13"/>
    </row>
    <row r="332" spans="1:3" ht="13" x14ac:dyDescent="0.15">
      <c r="A332" s="10"/>
      <c r="B332" s="13"/>
      <c r="C332" s="13"/>
    </row>
    <row r="333" spans="1:3" ht="13" x14ac:dyDescent="0.15">
      <c r="A333" s="10"/>
      <c r="B333" s="13"/>
      <c r="C333" s="13"/>
    </row>
    <row r="334" spans="1:3" ht="13" x14ac:dyDescent="0.15">
      <c r="A334" s="10"/>
      <c r="B334" s="13"/>
      <c r="C334" s="13"/>
    </row>
    <row r="335" spans="1:3" ht="13" x14ac:dyDescent="0.15">
      <c r="A335" s="10"/>
      <c r="B335" s="13"/>
      <c r="C335" s="13"/>
    </row>
    <row r="336" spans="1:3" ht="13" x14ac:dyDescent="0.15">
      <c r="A336" s="10"/>
      <c r="B336" s="13"/>
      <c r="C336" s="13"/>
    </row>
    <row r="337" spans="1:3" ht="13" x14ac:dyDescent="0.15">
      <c r="A337" s="10"/>
      <c r="B337" s="13"/>
      <c r="C337" s="13"/>
    </row>
    <row r="338" spans="1:3" ht="13" x14ac:dyDescent="0.15">
      <c r="A338" s="10"/>
      <c r="B338" s="13"/>
      <c r="C338" s="13"/>
    </row>
    <row r="339" spans="1:3" ht="13" x14ac:dyDescent="0.15">
      <c r="A339" s="10"/>
      <c r="B339" s="13"/>
      <c r="C339" s="13"/>
    </row>
    <row r="340" spans="1:3" ht="13" x14ac:dyDescent="0.15">
      <c r="A340" s="10"/>
      <c r="B340" s="13"/>
      <c r="C340" s="13"/>
    </row>
    <row r="341" spans="1:3" ht="13" x14ac:dyDescent="0.15">
      <c r="A341" s="10"/>
      <c r="B341" s="13"/>
      <c r="C341" s="13"/>
    </row>
    <row r="342" spans="1:3" ht="13" x14ac:dyDescent="0.15">
      <c r="A342" s="10"/>
      <c r="B342" s="13"/>
      <c r="C342" s="13"/>
    </row>
    <row r="343" spans="1:3" ht="13" x14ac:dyDescent="0.15">
      <c r="A343" s="10"/>
      <c r="B343" s="13"/>
      <c r="C343" s="13"/>
    </row>
    <row r="344" spans="1:3" ht="13" x14ac:dyDescent="0.15">
      <c r="A344" s="10"/>
      <c r="B344" s="13"/>
      <c r="C344" s="13"/>
    </row>
    <row r="345" spans="1:3" ht="13" x14ac:dyDescent="0.15">
      <c r="A345" s="10"/>
      <c r="B345" s="13"/>
      <c r="C345" s="13"/>
    </row>
    <row r="346" spans="1:3" ht="13" x14ac:dyDescent="0.15">
      <c r="A346" s="10"/>
      <c r="B346" s="13"/>
      <c r="C346" s="13"/>
    </row>
    <row r="347" spans="1:3" ht="13" x14ac:dyDescent="0.15">
      <c r="A347" s="10"/>
      <c r="B347" s="13"/>
      <c r="C347" s="13"/>
    </row>
    <row r="348" spans="1:3" ht="13" x14ac:dyDescent="0.15">
      <c r="A348" s="10"/>
      <c r="B348" s="13"/>
      <c r="C348" s="13"/>
    </row>
    <row r="349" spans="1:3" ht="13" x14ac:dyDescent="0.15">
      <c r="A349" s="10"/>
      <c r="B349" s="13"/>
      <c r="C349" s="13"/>
    </row>
    <row r="350" spans="1:3" ht="13" x14ac:dyDescent="0.15">
      <c r="A350" s="10"/>
      <c r="B350" s="13"/>
      <c r="C350" s="13"/>
    </row>
    <row r="351" spans="1:3" ht="13" x14ac:dyDescent="0.15">
      <c r="A351" s="10"/>
      <c r="B351" s="13"/>
      <c r="C351" s="13"/>
    </row>
    <row r="352" spans="1:3" ht="13" x14ac:dyDescent="0.15">
      <c r="A352" s="10"/>
      <c r="B352" s="13"/>
      <c r="C352" s="13"/>
    </row>
    <row r="353" spans="1:3" ht="13" x14ac:dyDescent="0.15">
      <c r="A353" s="10"/>
      <c r="B353" s="13"/>
      <c r="C353" s="13"/>
    </row>
    <row r="354" spans="1:3" ht="13" x14ac:dyDescent="0.15">
      <c r="A354" s="10"/>
      <c r="B354" s="13"/>
      <c r="C354" s="13"/>
    </row>
    <row r="355" spans="1:3" ht="13" x14ac:dyDescent="0.15">
      <c r="A355" s="10"/>
      <c r="B355" s="13"/>
      <c r="C355" s="13"/>
    </row>
    <row r="356" spans="1:3" ht="13" x14ac:dyDescent="0.15">
      <c r="A356" s="10"/>
      <c r="B356" s="13"/>
      <c r="C356" s="13"/>
    </row>
    <row r="357" spans="1:3" ht="13" x14ac:dyDescent="0.15">
      <c r="A357" s="10"/>
      <c r="B357" s="13"/>
      <c r="C357" s="13"/>
    </row>
    <row r="358" spans="1:3" ht="13" x14ac:dyDescent="0.15">
      <c r="A358" s="10"/>
      <c r="B358" s="13"/>
      <c r="C358" s="13"/>
    </row>
    <row r="359" spans="1:3" ht="13" x14ac:dyDescent="0.15">
      <c r="A359" s="10"/>
      <c r="B359" s="13"/>
      <c r="C359" s="13"/>
    </row>
    <row r="360" spans="1:3" ht="13" x14ac:dyDescent="0.15">
      <c r="A360" s="10"/>
      <c r="B360" s="13"/>
      <c r="C360" s="13"/>
    </row>
    <row r="361" spans="1:3" ht="13" x14ac:dyDescent="0.15">
      <c r="A361" s="10"/>
      <c r="B361" s="13"/>
      <c r="C361" s="13"/>
    </row>
    <row r="362" spans="1:3" ht="13" x14ac:dyDescent="0.15">
      <c r="A362" s="10"/>
      <c r="B362" s="13"/>
      <c r="C362" s="13"/>
    </row>
    <row r="363" spans="1:3" ht="13" x14ac:dyDescent="0.15">
      <c r="A363" s="10"/>
      <c r="B363" s="13"/>
      <c r="C363" s="13"/>
    </row>
    <row r="364" spans="1:3" ht="13" x14ac:dyDescent="0.15">
      <c r="A364" s="10"/>
      <c r="B364" s="13"/>
      <c r="C364" s="13"/>
    </row>
    <row r="365" spans="1:3" ht="13" x14ac:dyDescent="0.15">
      <c r="A365" s="10"/>
      <c r="B365" s="13"/>
      <c r="C365" s="13"/>
    </row>
    <row r="366" spans="1:3" ht="13" x14ac:dyDescent="0.15">
      <c r="A366" s="10"/>
      <c r="B366" s="13"/>
      <c r="C366" s="13"/>
    </row>
    <row r="367" spans="1:3" ht="13" x14ac:dyDescent="0.15">
      <c r="A367" s="10"/>
      <c r="B367" s="13"/>
      <c r="C367" s="13"/>
    </row>
    <row r="368" spans="1:3" ht="13" x14ac:dyDescent="0.15">
      <c r="A368" s="10"/>
      <c r="B368" s="13"/>
      <c r="C368" s="13"/>
    </row>
    <row r="369" spans="1:3" ht="13" x14ac:dyDescent="0.15">
      <c r="A369" s="10"/>
      <c r="B369" s="13"/>
      <c r="C369" s="13"/>
    </row>
    <row r="370" spans="1:3" ht="13" x14ac:dyDescent="0.15">
      <c r="A370" s="10"/>
      <c r="B370" s="13"/>
      <c r="C370" s="13"/>
    </row>
    <row r="371" spans="1:3" ht="13" x14ac:dyDescent="0.15">
      <c r="A371" s="10"/>
      <c r="B371" s="13"/>
      <c r="C371" s="13"/>
    </row>
    <row r="372" spans="1:3" ht="13" x14ac:dyDescent="0.15">
      <c r="A372" s="10"/>
      <c r="B372" s="13"/>
      <c r="C372" s="13"/>
    </row>
    <row r="373" spans="1:3" ht="13" x14ac:dyDescent="0.15">
      <c r="A373" s="10"/>
      <c r="B373" s="13"/>
      <c r="C373" s="13"/>
    </row>
    <row r="374" spans="1:3" ht="13" x14ac:dyDescent="0.15">
      <c r="A374" s="10"/>
      <c r="B374" s="13"/>
      <c r="C374" s="13"/>
    </row>
    <row r="375" spans="1:3" ht="13" x14ac:dyDescent="0.15">
      <c r="A375" s="10"/>
      <c r="B375" s="13"/>
      <c r="C375" s="13"/>
    </row>
    <row r="376" spans="1:3" ht="13" x14ac:dyDescent="0.15">
      <c r="A376" s="10"/>
      <c r="B376" s="13"/>
      <c r="C376" s="13"/>
    </row>
    <row r="377" spans="1:3" ht="13" x14ac:dyDescent="0.15">
      <c r="A377" s="10"/>
      <c r="B377" s="13"/>
      <c r="C377" s="13"/>
    </row>
    <row r="378" spans="1:3" ht="13" x14ac:dyDescent="0.15">
      <c r="A378" s="10"/>
      <c r="B378" s="13"/>
      <c r="C378" s="13"/>
    </row>
    <row r="379" spans="1:3" ht="13" x14ac:dyDescent="0.15">
      <c r="A379" s="10"/>
      <c r="B379" s="13"/>
      <c r="C379" s="13"/>
    </row>
    <row r="380" spans="1:3" ht="13" x14ac:dyDescent="0.15">
      <c r="A380" s="10"/>
      <c r="B380" s="13"/>
      <c r="C380" s="13"/>
    </row>
    <row r="381" spans="1:3" ht="13" x14ac:dyDescent="0.15">
      <c r="A381" s="10"/>
      <c r="B381" s="13"/>
      <c r="C381" s="13"/>
    </row>
    <row r="382" spans="1:3" ht="13" x14ac:dyDescent="0.15">
      <c r="A382" s="10"/>
      <c r="B382" s="13"/>
      <c r="C382" s="13"/>
    </row>
    <row r="383" spans="1:3" ht="13" x14ac:dyDescent="0.15">
      <c r="A383" s="10"/>
      <c r="B383" s="13"/>
      <c r="C383" s="13"/>
    </row>
    <row r="384" spans="1:3" ht="13" x14ac:dyDescent="0.15">
      <c r="A384" s="10"/>
      <c r="B384" s="13"/>
      <c r="C384" s="13"/>
    </row>
    <row r="385" spans="1:3" ht="13" x14ac:dyDescent="0.15">
      <c r="A385" s="10"/>
      <c r="B385" s="13"/>
      <c r="C385" s="13"/>
    </row>
    <row r="386" spans="1:3" ht="13" x14ac:dyDescent="0.15">
      <c r="A386" s="10"/>
      <c r="B386" s="13"/>
      <c r="C386" s="13"/>
    </row>
    <row r="387" spans="1:3" ht="13" x14ac:dyDescent="0.15">
      <c r="A387" s="10"/>
      <c r="B387" s="13"/>
      <c r="C387" s="13"/>
    </row>
    <row r="388" spans="1:3" ht="13" x14ac:dyDescent="0.15">
      <c r="A388" s="10"/>
      <c r="B388" s="13"/>
      <c r="C388" s="13"/>
    </row>
    <row r="389" spans="1:3" ht="13" x14ac:dyDescent="0.15">
      <c r="A389" s="10"/>
      <c r="B389" s="13"/>
      <c r="C389" s="13"/>
    </row>
    <row r="390" spans="1:3" ht="13" x14ac:dyDescent="0.15">
      <c r="A390" s="10"/>
      <c r="B390" s="13"/>
      <c r="C390" s="13"/>
    </row>
    <row r="391" spans="1:3" ht="13" x14ac:dyDescent="0.15">
      <c r="A391" s="10"/>
      <c r="B391" s="13"/>
      <c r="C391" s="13"/>
    </row>
    <row r="392" spans="1:3" ht="13" x14ac:dyDescent="0.15">
      <c r="A392" s="10"/>
      <c r="B392" s="13"/>
      <c r="C392" s="13"/>
    </row>
    <row r="393" spans="1:3" ht="13" x14ac:dyDescent="0.15">
      <c r="A393" s="10"/>
      <c r="B393" s="13"/>
      <c r="C393" s="13"/>
    </row>
    <row r="394" spans="1:3" ht="13" x14ac:dyDescent="0.15">
      <c r="A394" s="10"/>
      <c r="B394" s="13"/>
      <c r="C394" s="13"/>
    </row>
    <row r="395" spans="1:3" ht="13" x14ac:dyDescent="0.15">
      <c r="A395" s="10"/>
      <c r="B395" s="13"/>
      <c r="C395" s="13"/>
    </row>
    <row r="396" spans="1:3" ht="13" x14ac:dyDescent="0.15">
      <c r="A396" s="10"/>
      <c r="B396" s="13"/>
      <c r="C396" s="13"/>
    </row>
    <row r="397" spans="1:3" ht="13" x14ac:dyDescent="0.15">
      <c r="A397" s="10"/>
      <c r="B397" s="13"/>
      <c r="C397" s="13"/>
    </row>
    <row r="398" spans="1:3" ht="13" x14ac:dyDescent="0.15">
      <c r="A398" s="10"/>
      <c r="B398" s="13"/>
      <c r="C398" s="13"/>
    </row>
    <row r="399" spans="1:3" ht="13" x14ac:dyDescent="0.15">
      <c r="A399" s="10"/>
      <c r="B399" s="13"/>
      <c r="C399" s="13"/>
    </row>
    <row r="400" spans="1:3" ht="13" x14ac:dyDescent="0.15">
      <c r="A400" s="10"/>
      <c r="B400" s="13"/>
      <c r="C400" s="13"/>
    </row>
    <row r="401" spans="1:3" ht="13" x14ac:dyDescent="0.15">
      <c r="A401" s="10"/>
      <c r="B401" s="13"/>
      <c r="C401" s="13"/>
    </row>
    <row r="402" spans="1:3" ht="13" x14ac:dyDescent="0.15">
      <c r="A402" s="10"/>
      <c r="B402" s="13"/>
      <c r="C402" s="13"/>
    </row>
    <row r="403" spans="1:3" ht="13" x14ac:dyDescent="0.15">
      <c r="A403" s="10"/>
      <c r="B403" s="13"/>
      <c r="C403" s="13"/>
    </row>
    <row r="404" spans="1:3" ht="13" x14ac:dyDescent="0.15">
      <c r="A404" s="10"/>
      <c r="B404" s="13"/>
      <c r="C404" s="13"/>
    </row>
    <row r="405" spans="1:3" ht="13" x14ac:dyDescent="0.15">
      <c r="A405" s="10"/>
      <c r="B405" s="13"/>
      <c r="C405" s="13"/>
    </row>
    <row r="406" spans="1:3" ht="13" x14ac:dyDescent="0.15">
      <c r="A406" s="10"/>
      <c r="B406" s="13"/>
      <c r="C406" s="13"/>
    </row>
    <row r="407" spans="1:3" ht="13" x14ac:dyDescent="0.15">
      <c r="A407" s="10"/>
      <c r="B407" s="13"/>
      <c r="C407" s="13"/>
    </row>
    <row r="408" spans="1:3" ht="13" x14ac:dyDescent="0.15">
      <c r="A408" s="10"/>
      <c r="B408" s="13"/>
      <c r="C408" s="13"/>
    </row>
    <row r="409" spans="1:3" ht="13" x14ac:dyDescent="0.15">
      <c r="A409" s="10"/>
      <c r="B409" s="13"/>
      <c r="C409" s="13"/>
    </row>
    <row r="410" spans="1:3" ht="13" x14ac:dyDescent="0.15">
      <c r="A410" s="10"/>
      <c r="B410" s="13"/>
      <c r="C410" s="13"/>
    </row>
    <row r="411" spans="1:3" ht="13" x14ac:dyDescent="0.15">
      <c r="A411" s="10"/>
      <c r="B411" s="13"/>
      <c r="C411" s="13"/>
    </row>
    <row r="412" spans="1:3" ht="13" x14ac:dyDescent="0.15">
      <c r="A412" s="10"/>
      <c r="B412" s="13"/>
      <c r="C412" s="13"/>
    </row>
    <row r="413" spans="1:3" ht="13" x14ac:dyDescent="0.15">
      <c r="A413" s="10"/>
      <c r="B413" s="13"/>
      <c r="C413" s="13"/>
    </row>
    <row r="414" spans="1:3" ht="13" x14ac:dyDescent="0.15">
      <c r="A414" s="10"/>
      <c r="B414" s="13"/>
      <c r="C414" s="13"/>
    </row>
    <row r="415" spans="1:3" ht="13" x14ac:dyDescent="0.15">
      <c r="A415" s="10"/>
      <c r="B415" s="13"/>
      <c r="C415" s="13"/>
    </row>
    <row r="416" spans="1:3" ht="13" x14ac:dyDescent="0.15">
      <c r="A416" s="10"/>
      <c r="B416" s="13"/>
      <c r="C416" s="13"/>
    </row>
    <row r="417" spans="1:3" ht="13" x14ac:dyDescent="0.15">
      <c r="A417" s="10"/>
      <c r="B417" s="13"/>
      <c r="C417" s="13"/>
    </row>
    <row r="418" spans="1:3" ht="13" x14ac:dyDescent="0.15">
      <c r="A418" s="10"/>
      <c r="B418" s="13"/>
      <c r="C418" s="13"/>
    </row>
    <row r="419" spans="1:3" ht="13" x14ac:dyDescent="0.15">
      <c r="A419" s="10"/>
      <c r="B419" s="13"/>
      <c r="C419" s="13"/>
    </row>
    <row r="420" spans="1:3" ht="13" x14ac:dyDescent="0.15">
      <c r="A420" s="10"/>
      <c r="B420" s="13"/>
      <c r="C420" s="13"/>
    </row>
    <row r="421" spans="1:3" ht="13" x14ac:dyDescent="0.15">
      <c r="A421" s="10"/>
      <c r="B421" s="13"/>
      <c r="C421" s="13"/>
    </row>
    <row r="422" spans="1:3" ht="13" x14ac:dyDescent="0.15">
      <c r="A422" s="10"/>
      <c r="B422" s="13"/>
      <c r="C422" s="13"/>
    </row>
    <row r="423" spans="1:3" ht="13" x14ac:dyDescent="0.15">
      <c r="A423" s="10"/>
      <c r="B423" s="13"/>
      <c r="C423" s="13"/>
    </row>
    <row r="424" spans="1:3" ht="13" x14ac:dyDescent="0.15">
      <c r="A424" s="10"/>
      <c r="B424" s="13"/>
      <c r="C424" s="13"/>
    </row>
    <row r="425" spans="1:3" ht="13" x14ac:dyDescent="0.15">
      <c r="A425" s="10"/>
      <c r="B425" s="13"/>
      <c r="C425" s="13"/>
    </row>
    <row r="426" spans="1:3" ht="13" x14ac:dyDescent="0.15">
      <c r="A426" s="10"/>
      <c r="B426" s="13"/>
      <c r="C426" s="13"/>
    </row>
    <row r="427" spans="1:3" ht="13" x14ac:dyDescent="0.15">
      <c r="A427" s="10"/>
      <c r="B427" s="13"/>
      <c r="C427" s="13"/>
    </row>
    <row r="428" spans="1:3" ht="13" x14ac:dyDescent="0.15">
      <c r="A428" s="10"/>
      <c r="B428" s="13"/>
      <c r="C428" s="13"/>
    </row>
    <row r="429" spans="1:3" ht="13" x14ac:dyDescent="0.15">
      <c r="A429" s="10"/>
      <c r="B429" s="13"/>
      <c r="C429" s="13"/>
    </row>
    <row r="430" spans="1:3" ht="13" x14ac:dyDescent="0.15">
      <c r="A430" s="10"/>
      <c r="B430" s="13"/>
      <c r="C430" s="13"/>
    </row>
    <row r="431" spans="1:3" ht="13" x14ac:dyDescent="0.15">
      <c r="A431" s="10"/>
      <c r="B431" s="13"/>
      <c r="C431" s="13"/>
    </row>
    <row r="432" spans="1:3" ht="13" x14ac:dyDescent="0.15">
      <c r="A432" s="10"/>
      <c r="B432" s="13"/>
      <c r="C432" s="13"/>
    </row>
    <row r="433" spans="1:3" ht="13" x14ac:dyDescent="0.15">
      <c r="A433" s="10"/>
      <c r="B433" s="13"/>
      <c r="C433" s="13"/>
    </row>
    <row r="434" spans="1:3" ht="13" x14ac:dyDescent="0.15">
      <c r="A434" s="10"/>
      <c r="B434" s="13"/>
      <c r="C434" s="13"/>
    </row>
    <row r="435" spans="1:3" ht="13" x14ac:dyDescent="0.15">
      <c r="A435" s="10"/>
      <c r="B435" s="13"/>
      <c r="C435" s="13"/>
    </row>
    <row r="436" spans="1:3" ht="13" x14ac:dyDescent="0.15">
      <c r="A436" s="10"/>
      <c r="B436" s="13"/>
      <c r="C436" s="13"/>
    </row>
    <row r="437" spans="1:3" ht="13" x14ac:dyDescent="0.15">
      <c r="A437" s="10"/>
      <c r="B437" s="13"/>
      <c r="C437" s="13"/>
    </row>
    <row r="438" spans="1:3" ht="13" x14ac:dyDescent="0.15">
      <c r="A438" s="10"/>
      <c r="B438" s="13"/>
      <c r="C438" s="13"/>
    </row>
    <row r="439" spans="1:3" ht="13" x14ac:dyDescent="0.15">
      <c r="A439" s="10"/>
      <c r="B439" s="13"/>
      <c r="C439" s="13"/>
    </row>
    <row r="440" spans="1:3" ht="13" x14ac:dyDescent="0.15">
      <c r="A440" s="10"/>
      <c r="B440" s="13"/>
      <c r="C440" s="13"/>
    </row>
    <row r="441" spans="1:3" ht="13" x14ac:dyDescent="0.15">
      <c r="A441" s="10"/>
      <c r="B441" s="13"/>
      <c r="C441" s="13"/>
    </row>
    <row r="442" spans="1:3" ht="13" x14ac:dyDescent="0.15">
      <c r="A442" s="10"/>
      <c r="B442" s="13"/>
      <c r="C442" s="13"/>
    </row>
    <row r="443" spans="1:3" ht="13" x14ac:dyDescent="0.15">
      <c r="A443" s="10"/>
      <c r="B443" s="13"/>
      <c r="C443" s="13"/>
    </row>
    <row r="444" spans="1:3" ht="13" x14ac:dyDescent="0.15">
      <c r="A444" s="10"/>
      <c r="B444" s="13"/>
      <c r="C444" s="13"/>
    </row>
    <row r="445" spans="1:3" ht="13" x14ac:dyDescent="0.15">
      <c r="A445" s="10"/>
      <c r="B445" s="13"/>
      <c r="C445" s="13"/>
    </row>
    <row r="446" spans="1:3" ht="13" x14ac:dyDescent="0.15">
      <c r="A446" s="10"/>
      <c r="B446" s="13"/>
      <c r="C446" s="13"/>
    </row>
    <row r="447" spans="1:3" ht="13" x14ac:dyDescent="0.15">
      <c r="A447" s="10"/>
      <c r="B447" s="13"/>
      <c r="C447" s="13"/>
    </row>
    <row r="448" spans="1:3" ht="13" x14ac:dyDescent="0.15">
      <c r="A448" s="10"/>
      <c r="B448" s="13"/>
      <c r="C448" s="13"/>
    </row>
    <row r="449" spans="1:3" ht="13" x14ac:dyDescent="0.15">
      <c r="A449" s="10"/>
      <c r="B449" s="13"/>
      <c r="C449" s="13"/>
    </row>
    <row r="450" spans="1:3" ht="13" x14ac:dyDescent="0.15">
      <c r="A450" s="10"/>
      <c r="B450" s="13"/>
      <c r="C450" s="13"/>
    </row>
    <row r="451" spans="1:3" ht="13" x14ac:dyDescent="0.15">
      <c r="A451" s="10"/>
      <c r="B451" s="13"/>
      <c r="C451" s="13"/>
    </row>
    <row r="452" spans="1:3" ht="13" x14ac:dyDescent="0.15">
      <c r="A452" s="10"/>
      <c r="B452" s="13"/>
      <c r="C452" s="13"/>
    </row>
    <row r="453" spans="1:3" ht="13" x14ac:dyDescent="0.15">
      <c r="A453" s="10"/>
      <c r="B453" s="13"/>
      <c r="C453" s="13"/>
    </row>
    <row r="454" spans="1:3" ht="13" x14ac:dyDescent="0.15">
      <c r="A454" s="10"/>
      <c r="B454" s="13"/>
      <c r="C454" s="13"/>
    </row>
    <row r="455" spans="1:3" ht="13" x14ac:dyDescent="0.15">
      <c r="A455" s="10"/>
      <c r="B455" s="13"/>
      <c r="C455" s="13"/>
    </row>
    <row r="456" spans="1:3" ht="13" x14ac:dyDescent="0.15">
      <c r="A456" s="10"/>
      <c r="B456" s="13"/>
      <c r="C456" s="13"/>
    </row>
    <row r="457" spans="1:3" ht="13" x14ac:dyDescent="0.15">
      <c r="A457" s="10"/>
      <c r="B457" s="13"/>
      <c r="C457" s="13"/>
    </row>
    <row r="458" spans="1:3" ht="13" x14ac:dyDescent="0.15">
      <c r="A458" s="10"/>
      <c r="B458" s="13"/>
      <c r="C458" s="13"/>
    </row>
    <row r="459" spans="1:3" ht="13" x14ac:dyDescent="0.15">
      <c r="A459" s="10"/>
      <c r="B459" s="13"/>
      <c r="C459" s="13"/>
    </row>
    <row r="460" spans="1:3" ht="13" x14ac:dyDescent="0.15">
      <c r="A460" s="10"/>
      <c r="B460" s="13"/>
      <c r="C460" s="13"/>
    </row>
    <row r="461" spans="1:3" ht="13" x14ac:dyDescent="0.15">
      <c r="A461" s="10"/>
      <c r="B461" s="13"/>
      <c r="C461" s="13"/>
    </row>
    <row r="462" spans="1:3" ht="13" x14ac:dyDescent="0.15">
      <c r="A462" s="10"/>
      <c r="B462" s="13"/>
      <c r="C462" s="13"/>
    </row>
    <row r="463" spans="1:3" ht="13" x14ac:dyDescent="0.15">
      <c r="A463" s="10"/>
      <c r="B463" s="13"/>
      <c r="C463" s="13"/>
    </row>
    <row r="464" spans="1:3" ht="13" x14ac:dyDescent="0.15">
      <c r="A464" s="10"/>
      <c r="B464" s="13"/>
      <c r="C464" s="13"/>
    </row>
    <row r="465" spans="1:3" ht="13" x14ac:dyDescent="0.15">
      <c r="A465" s="10"/>
      <c r="B465" s="13"/>
      <c r="C465" s="13"/>
    </row>
    <row r="466" spans="1:3" ht="13" x14ac:dyDescent="0.15">
      <c r="A466" s="10"/>
      <c r="B466" s="13"/>
      <c r="C466" s="13"/>
    </row>
    <row r="467" spans="1:3" ht="13" x14ac:dyDescent="0.15">
      <c r="A467" s="10"/>
      <c r="B467" s="13"/>
      <c r="C467" s="13"/>
    </row>
    <row r="468" spans="1:3" ht="13" x14ac:dyDescent="0.15">
      <c r="A468" s="10"/>
      <c r="B468" s="13"/>
      <c r="C468" s="13"/>
    </row>
    <row r="469" spans="1:3" ht="13" x14ac:dyDescent="0.15">
      <c r="A469" s="10"/>
      <c r="B469" s="13"/>
      <c r="C469" s="13"/>
    </row>
    <row r="470" spans="1:3" ht="13" x14ac:dyDescent="0.15">
      <c r="A470" s="10"/>
      <c r="B470" s="13"/>
      <c r="C470" s="13"/>
    </row>
    <row r="471" spans="1:3" ht="13" x14ac:dyDescent="0.15">
      <c r="A471" s="10"/>
      <c r="B471" s="13"/>
      <c r="C471" s="13"/>
    </row>
    <row r="472" spans="1:3" ht="13" x14ac:dyDescent="0.15">
      <c r="A472" s="10"/>
      <c r="B472" s="13"/>
      <c r="C472" s="13"/>
    </row>
    <row r="473" spans="1:3" ht="13" x14ac:dyDescent="0.15">
      <c r="A473" s="10"/>
      <c r="B473" s="13"/>
      <c r="C473" s="13"/>
    </row>
    <row r="474" spans="1:3" ht="13" x14ac:dyDescent="0.15">
      <c r="A474" s="10"/>
      <c r="B474" s="13"/>
      <c r="C474" s="13"/>
    </row>
    <row r="475" spans="1:3" ht="13" x14ac:dyDescent="0.15">
      <c r="A475" s="10"/>
      <c r="B475" s="13"/>
      <c r="C475" s="13"/>
    </row>
    <row r="476" spans="1:3" ht="13" x14ac:dyDescent="0.15">
      <c r="A476" s="10"/>
      <c r="B476" s="13"/>
      <c r="C476" s="13"/>
    </row>
    <row r="477" spans="1:3" ht="13" x14ac:dyDescent="0.15">
      <c r="A477" s="10"/>
      <c r="B477" s="13"/>
      <c r="C477" s="13"/>
    </row>
    <row r="478" spans="1:3" ht="13" x14ac:dyDescent="0.15">
      <c r="A478" s="10"/>
      <c r="B478" s="13"/>
      <c r="C478" s="13"/>
    </row>
    <row r="479" spans="1:3" ht="13" x14ac:dyDescent="0.15">
      <c r="A479" s="10"/>
      <c r="B479" s="13"/>
      <c r="C479" s="13"/>
    </row>
    <row r="480" spans="1:3" ht="13" x14ac:dyDescent="0.15">
      <c r="A480" s="10"/>
      <c r="B480" s="13"/>
      <c r="C480" s="13"/>
    </row>
    <row r="481" spans="1:3" ht="13" x14ac:dyDescent="0.15">
      <c r="A481" s="10"/>
      <c r="B481" s="13"/>
      <c r="C481" s="13"/>
    </row>
    <row r="482" spans="1:3" ht="13" x14ac:dyDescent="0.15">
      <c r="A482" s="10"/>
      <c r="B482" s="13"/>
      <c r="C482" s="13"/>
    </row>
    <row r="483" spans="1:3" ht="13" x14ac:dyDescent="0.15">
      <c r="A483" s="10"/>
      <c r="B483" s="13"/>
      <c r="C483" s="13"/>
    </row>
    <row r="484" spans="1:3" ht="13" x14ac:dyDescent="0.15">
      <c r="A484" s="10"/>
      <c r="B484" s="13"/>
      <c r="C484" s="13"/>
    </row>
    <row r="485" spans="1:3" ht="13" x14ac:dyDescent="0.15">
      <c r="A485" s="10"/>
      <c r="B485" s="13"/>
      <c r="C485" s="13"/>
    </row>
    <row r="486" spans="1:3" ht="13" x14ac:dyDescent="0.15">
      <c r="A486" s="10"/>
      <c r="B486" s="13"/>
      <c r="C486" s="13"/>
    </row>
    <row r="487" spans="1:3" ht="13" x14ac:dyDescent="0.15">
      <c r="A487" s="10"/>
      <c r="B487" s="13"/>
      <c r="C487" s="13"/>
    </row>
    <row r="488" spans="1:3" ht="13" x14ac:dyDescent="0.15">
      <c r="A488" s="10"/>
      <c r="B488" s="13"/>
      <c r="C488" s="13"/>
    </row>
    <row r="489" spans="1:3" ht="13" x14ac:dyDescent="0.15">
      <c r="A489" s="10"/>
      <c r="B489" s="13"/>
      <c r="C489" s="13"/>
    </row>
    <row r="490" spans="1:3" ht="13" x14ac:dyDescent="0.15">
      <c r="A490" s="10"/>
      <c r="B490" s="13"/>
      <c r="C490" s="13"/>
    </row>
    <row r="491" spans="1:3" ht="13" x14ac:dyDescent="0.15">
      <c r="A491" s="10"/>
      <c r="B491" s="13"/>
      <c r="C491" s="13"/>
    </row>
    <row r="492" spans="1:3" ht="13" x14ac:dyDescent="0.15">
      <c r="A492" s="10"/>
      <c r="B492" s="13"/>
      <c r="C492" s="13"/>
    </row>
    <row r="493" spans="1:3" ht="13" x14ac:dyDescent="0.15">
      <c r="A493" s="10"/>
      <c r="B493" s="13"/>
      <c r="C493" s="13"/>
    </row>
    <row r="494" spans="1:3" ht="13" x14ac:dyDescent="0.15">
      <c r="A494" s="10"/>
      <c r="B494" s="13"/>
      <c r="C494" s="13"/>
    </row>
    <row r="495" spans="1:3" ht="13" x14ac:dyDescent="0.15">
      <c r="A495" s="10"/>
      <c r="B495" s="13"/>
      <c r="C495" s="13"/>
    </row>
    <row r="496" spans="1:3" ht="13" x14ac:dyDescent="0.15">
      <c r="A496" s="10"/>
      <c r="B496" s="13"/>
      <c r="C496" s="13"/>
    </row>
    <row r="497" spans="1:3" ht="13" x14ac:dyDescent="0.15">
      <c r="A497" s="10"/>
      <c r="B497" s="13"/>
      <c r="C497" s="13"/>
    </row>
    <row r="498" spans="1:3" ht="13" x14ac:dyDescent="0.15">
      <c r="A498" s="10"/>
      <c r="B498" s="13"/>
      <c r="C498" s="13"/>
    </row>
    <row r="499" spans="1:3" ht="13" x14ac:dyDescent="0.15">
      <c r="A499" s="10"/>
      <c r="B499" s="13"/>
      <c r="C499" s="13"/>
    </row>
    <row r="500" spans="1:3" ht="13" x14ac:dyDescent="0.15">
      <c r="A500" s="10"/>
      <c r="B500" s="13"/>
      <c r="C500" s="13"/>
    </row>
    <row r="501" spans="1:3" ht="13" x14ac:dyDescent="0.15">
      <c r="A501" s="10"/>
      <c r="B501" s="13"/>
      <c r="C501" s="13"/>
    </row>
    <row r="502" spans="1:3" ht="13" x14ac:dyDescent="0.15">
      <c r="A502" s="10"/>
      <c r="B502" s="13"/>
      <c r="C502" s="13"/>
    </row>
    <row r="503" spans="1:3" ht="13" x14ac:dyDescent="0.15">
      <c r="A503" s="10"/>
      <c r="B503" s="13"/>
      <c r="C503" s="13"/>
    </row>
    <row r="504" spans="1:3" ht="13" x14ac:dyDescent="0.15">
      <c r="A504" s="10"/>
      <c r="B504" s="13"/>
      <c r="C504" s="13"/>
    </row>
    <row r="505" spans="1:3" ht="13" x14ac:dyDescent="0.15">
      <c r="A505" s="10"/>
      <c r="B505" s="13"/>
      <c r="C505" s="13"/>
    </row>
    <row r="506" spans="1:3" ht="13" x14ac:dyDescent="0.15">
      <c r="A506" s="10"/>
      <c r="B506" s="13"/>
      <c r="C506" s="13"/>
    </row>
    <row r="507" spans="1:3" ht="13" x14ac:dyDescent="0.15">
      <c r="A507" s="10"/>
      <c r="B507" s="13"/>
      <c r="C507" s="13"/>
    </row>
    <row r="508" spans="1:3" ht="13" x14ac:dyDescent="0.15">
      <c r="A508" s="10"/>
      <c r="B508" s="13"/>
      <c r="C508" s="13"/>
    </row>
    <row r="509" spans="1:3" ht="13" x14ac:dyDescent="0.15">
      <c r="A509" s="10"/>
      <c r="B509" s="13"/>
      <c r="C509" s="13"/>
    </row>
    <row r="510" spans="1:3" ht="13" x14ac:dyDescent="0.15">
      <c r="A510" s="10"/>
      <c r="B510" s="13"/>
      <c r="C510" s="13"/>
    </row>
    <row r="511" spans="1:3" ht="13" x14ac:dyDescent="0.15">
      <c r="A511" s="10"/>
      <c r="B511" s="13"/>
      <c r="C511" s="13"/>
    </row>
    <row r="512" spans="1:3" ht="13" x14ac:dyDescent="0.15">
      <c r="A512" s="10"/>
      <c r="B512" s="13"/>
      <c r="C512" s="13"/>
    </row>
    <row r="513" spans="1:3" ht="13" x14ac:dyDescent="0.15">
      <c r="A513" s="10"/>
      <c r="B513" s="13"/>
      <c r="C513" s="13"/>
    </row>
    <row r="514" spans="1:3" ht="13" x14ac:dyDescent="0.15">
      <c r="A514" s="10"/>
      <c r="B514" s="13"/>
      <c r="C514" s="13"/>
    </row>
    <row r="515" spans="1:3" ht="13" x14ac:dyDescent="0.15">
      <c r="A515" s="10"/>
      <c r="B515" s="13"/>
      <c r="C515" s="13"/>
    </row>
    <row r="516" spans="1:3" ht="13" x14ac:dyDescent="0.15">
      <c r="A516" s="10"/>
      <c r="B516" s="13"/>
      <c r="C516" s="13"/>
    </row>
    <row r="517" spans="1:3" ht="13" x14ac:dyDescent="0.15">
      <c r="A517" s="10"/>
      <c r="B517" s="13"/>
      <c r="C517" s="13"/>
    </row>
    <row r="518" spans="1:3" ht="13" x14ac:dyDescent="0.15">
      <c r="A518" s="10"/>
      <c r="B518" s="13"/>
      <c r="C518" s="13"/>
    </row>
    <row r="519" spans="1:3" ht="13" x14ac:dyDescent="0.15">
      <c r="A519" s="10"/>
      <c r="B519" s="13"/>
      <c r="C519" s="13"/>
    </row>
    <row r="520" spans="1:3" ht="13" x14ac:dyDescent="0.15">
      <c r="A520" s="10"/>
      <c r="B520" s="13"/>
      <c r="C520" s="13"/>
    </row>
    <row r="521" spans="1:3" ht="13" x14ac:dyDescent="0.15">
      <c r="A521" s="10"/>
      <c r="B521" s="13"/>
      <c r="C521" s="13"/>
    </row>
    <row r="522" spans="1:3" ht="13" x14ac:dyDescent="0.15">
      <c r="A522" s="10"/>
      <c r="B522" s="13"/>
      <c r="C522" s="13"/>
    </row>
    <row r="523" spans="1:3" ht="13" x14ac:dyDescent="0.15">
      <c r="A523" s="10"/>
      <c r="B523" s="13"/>
      <c r="C523" s="13"/>
    </row>
    <row r="524" spans="1:3" ht="13" x14ac:dyDescent="0.15">
      <c r="A524" s="10"/>
      <c r="B524" s="13"/>
      <c r="C524" s="13"/>
    </row>
    <row r="525" spans="1:3" ht="13" x14ac:dyDescent="0.15">
      <c r="A525" s="10"/>
      <c r="B525" s="13"/>
      <c r="C525" s="13"/>
    </row>
    <row r="526" spans="1:3" ht="13" x14ac:dyDescent="0.15">
      <c r="A526" s="10"/>
      <c r="B526" s="13"/>
      <c r="C526" s="13"/>
    </row>
    <row r="527" spans="1:3" ht="13" x14ac:dyDescent="0.15">
      <c r="A527" s="10"/>
      <c r="B527" s="13"/>
      <c r="C527" s="13"/>
    </row>
    <row r="528" spans="1:3" ht="13" x14ac:dyDescent="0.15">
      <c r="A528" s="10"/>
      <c r="B528" s="13"/>
      <c r="C528" s="13"/>
    </row>
    <row r="529" spans="1:3" ht="13" x14ac:dyDescent="0.15">
      <c r="A529" s="10"/>
      <c r="B529" s="13"/>
      <c r="C529" s="13"/>
    </row>
    <row r="530" spans="1:3" ht="13" x14ac:dyDescent="0.15">
      <c r="A530" s="10"/>
      <c r="B530" s="13"/>
      <c r="C530" s="13"/>
    </row>
    <row r="531" spans="1:3" ht="13" x14ac:dyDescent="0.15">
      <c r="A531" s="10"/>
      <c r="B531" s="13"/>
      <c r="C531" s="13"/>
    </row>
    <row r="532" spans="1:3" ht="13" x14ac:dyDescent="0.15">
      <c r="A532" s="10"/>
      <c r="B532" s="13"/>
      <c r="C532" s="13"/>
    </row>
    <row r="533" spans="1:3" ht="13" x14ac:dyDescent="0.15">
      <c r="A533" s="10"/>
      <c r="B533" s="13"/>
      <c r="C533" s="13"/>
    </row>
    <row r="534" spans="1:3" ht="13" x14ac:dyDescent="0.15">
      <c r="A534" s="10"/>
      <c r="B534" s="13"/>
      <c r="C534" s="13"/>
    </row>
    <row r="535" spans="1:3" ht="13" x14ac:dyDescent="0.15">
      <c r="A535" s="10"/>
      <c r="B535" s="13"/>
      <c r="C535" s="13"/>
    </row>
    <row r="536" spans="1:3" ht="13" x14ac:dyDescent="0.15">
      <c r="A536" s="10"/>
      <c r="B536" s="13"/>
      <c r="C536" s="13"/>
    </row>
    <row r="537" spans="1:3" ht="13" x14ac:dyDescent="0.15">
      <c r="A537" s="10"/>
      <c r="B537" s="13"/>
      <c r="C537" s="13"/>
    </row>
    <row r="538" spans="1:3" ht="13" x14ac:dyDescent="0.15">
      <c r="A538" s="10"/>
      <c r="B538" s="13"/>
      <c r="C538" s="13"/>
    </row>
    <row r="539" spans="1:3" ht="13" x14ac:dyDescent="0.15">
      <c r="A539" s="10"/>
      <c r="B539" s="13"/>
      <c r="C539" s="13"/>
    </row>
    <row r="540" spans="1:3" ht="13" x14ac:dyDescent="0.15">
      <c r="A540" s="10"/>
      <c r="B540" s="13"/>
      <c r="C540" s="13"/>
    </row>
    <row r="541" spans="1:3" ht="13" x14ac:dyDescent="0.15">
      <c r="A541" s="10"/>
      <c r="B541" s="13"/>
      <c r="C541" s="13"/>
    </row>
    <row r="542" spans="1:3" ht="13" x14ac:dyDescent="0.15">
      <c r="A542" s="10"/>
      <c r="B542" s="13"/>
      <c r="C542" s="13"/>
    </row>
    <row r="543" spans="1:3" ht="13" x14ac:dyDescent="0.15">
      <c r="A543" s="10"/>
      <c r="B543" s="13"/>
      <c r="C543" s="13"/>
    </row>
    <row r="544" spans="1:3" ht="13" x14ac:dyDescent="0.15">
      <c r="A544" s="10"/>
      <c r="B544" s="13"/>
      <c r="C544" s="13"/>
    </row>
    <row r="545" spans="1:3" ht="13" x14ac:dyDescent="0.15">
      <c r="A545" s="10"/>
      <c r="B545" s="13"/>
      <c r="C545" s="13"/>
    </row>
    <row r="546" spans="1:3" ht="13" x14ac:dyDescent="0.15">
      <c r="A546" s="10"/>
      <c r="B546" s="13"/>
      <c r="C546" s="13"/>
    </row>
    <row r="547" spans="1:3" ht="13" x14ac:dyDescent="0.15">
      <c r="A547" s="10"/>
      <c r="B547" s="13"/>
      <c r="C547" s="13"/>
    </row>
    <row r="548" spans="1:3" ht="13" x14ac:dyDescent="0.15">
      <c r="A548" s="10"/>
      <c r="B548" s="13"/>
      <c r="C548" s="13"/>
    </row>
    <row r="549" spans="1:3" ht="13" x14ac:dyDescent="0.15">
      <c r="A549" s="10"/>
      <c r="B549" s="13"/>
      <c r="C549" s="13"/>
    </row>
    <row r="550" spans="1:3" ht="13" x14ac:dyDescent="0.15">
      <c r="A550" s="10"/>
      <c r="B550" s="13"/>
      <c r="C550" s="13"/>
    </row>
    <row r="551" spans="1:3" ht="13" x14ac:dyDescent="0.15">
      <c r="A551" s="10"/>
      <c r="B551" s="13"/>
      <c r="C551" s="13"/>
    </row>
    <row r="552" spans="1:3" ht="13" x14ac:dyDescent="0.15">
      <c r="A552" s="10"/>
      <c r="B552" s="13"/>
      <c r="C552" s="13"/>
    </row>
    <row r="553" spans="1:3" ht="13" x14ac:dyDescent="0.15">
      <c r="A553" s="10"/>
      <c r="B553" s="13"/>
      <c r="C553" s="13"/>
    </row>
    <row r="554" spans="1:3" ht="13" x14ac:dyDescent="0.15">
      <c r="A554" s="10"/>
      <c r="B554" s="13"/>
      <c r="C554" s="13"/>
    </row>
    <row r="555" spans="1:3" ht="13" x14ac:dyDescent="0.15">
      <c r="A555" s="10"/>
      <c r="B555" s="13"/>
      <c r="C555" s="13"/>
    </row>
    <row r="556" spans="1:3" ht="13" x14ac:dyDescent="0.15">
      <c r="A556" s="10"/>
      <c r="B556" s="13"/>
      <c r="C556" s="13"/>
    </row>
    <row r="557" spans="1:3" ht="13" x14ac:dyDescent="0.15">
      <c r="A557" s="10"/>
      <c r="B557" s="13"/>
      <c r="C557" s="13"/>
    </row>
    <row r="558" spans="1:3" ht="13" x14ac:dyDescent="0.15">
      <c r="A558" s="10"/>
      <c r="B558" s="13"/>
      <c r="C558" s="13"/>
    </row>
    <row r="559" spans="1:3" ht="13" x14ac:dyDescent="0.15">
      <c r="A559" s="10"/>
      <c r="B559" s="13"/>
      <c r="C559" s="13"/>
    </row>
    <row r="560" spans="1:3" ht="13" x14ac:dyDescent="0.15">
      <c r="A560" s="10"/>
      <c r="B560" s="13"/>
      <c r="C560" s="13"/>
    </row>
    <row r="561" spans="1:3" ht="13" x14ac:dyDescent="0.15">
      <c r="A561" s="10"/>
      <c r="B561" s="13"/>
      <c r="C561" s="13"/>
    </row>
    <row r="562" spans="1:3" ht="13" x14ac:dyDescent="0.15">
      <c r="A562" s="10"/>
      <c r="B562" s="13"/>
      <c r="C562" s="13"/>
    </row>
    <row r="563" spans="1:3" ht="13" x14ac:dyDescent="0.15">
      <c r="A563" s="10"/>
      <c r="B563" s="13"/>
      <c r="C563" s="13"/>
    </row>
    <row r="564" spans="1:3" ht="13" x14ac:dyDescent="0.15">
      <c r="A564" s="10"/>
      <c r="B564" s="13"/>
      <c r="C564" s="13"/>
    </row>
    <row r="565" spans="1:3" ht="13" x14ac:dyDescent="0.15">
      <c r="A565" s="10"/>
      <c r="B565" s="13"/>
      <c r="C565" s="13"/>
    </row>
    <row r="566" spans="1:3" ht="13" x14ac:dyDescent="0.15">
      <c r="A566" s="10"/>
      <c r="B566" s="13"/>
      <c r="C566" s="13"/>
    </row>
    <row r="567" spans="1:3" ht="13" x14ac:dyDescent="0.15">
      <c r="A567" s="10"/>
      <c r="B567" s="13"/>
      <c r="C567" s="13"/>
    </row>
    <row r="568" spans="1:3" ht="13" x14ac:dyDescent="0.15">
      <c r="A568" s="10"/>
      <c r="B568" s="13"/>
      <c r="C568" s="13"/>
    </row>
    <row r="569" spans="1:3" ht="13" x14ac:dyDescent="0.15">
      <c r="A569" s="10"/>
      <c r="B569" s="13"/>
      <c r="C569" s="13"/>
    </row>
    <row r="570" spans="1:3" ht="13" x14ac:dyDescent="0.15">
      <c r="A570" s="10"/>
      <c r="B570" s="13"/>
      <c r="C570" s="13"/>
    </row>
    <row r="571" spans="1:3" ht="13" x14ac:dyDescent="0.15">
      <c r="A571" s="10"/>
      <c r="B571" s="13"/>
      <c r="C571" s="13"/>
    </row>
    <row r="572" spans="1:3" ht="13" x14ac:dyDescent="0.15">
      <c r="A572" s="10"/>
      <c r="B572" s="13"/>
      <c r="C572" s="13"/>
    </row>
    <row r="573" spans="1:3" ht="13" x14ac:dyDescent="0.15">
      <c r="A573" s="10"/>
      <c r="B573" s="13"/>
      <c r="C573" s="13"/>
    </row>
    <row r="574" spans="1:3" ht="13" x14ac:dyDescent="0.15">
      <c r="A574" s="10"/>
      <c r="B574" s="13"/>
      <c r="C574" s="13"/>
    </row>
    <row r="575" spans="1:3" ht="13" x14ac:dyDescent="0.15">
      <c r="A575" s="10"/>
      <c r="B575" s="13"/>
      <c r="C575" s="13"/>
    </row>
    <row r="576" spans="1:3" ht="13" x14ac:dyDescent="0.15">
      <c r="A576" s="10"/>
      <c r="B576" s="13"/>
      <c r="C576" s="13"/>
    </row>
    <row r="577" spans="1:3" ht="13" x14ac:dyDescent="0.15">
      <c r="A577" s="10"/>
      <c r="B577" s="13"/>
      <c r="C577" s="13"/>
    </row>
    <row r="578" spans="1:3" ht="13" x14ac:dyDescent="0.15">
      <c r="A578" s="10"/>
      <c r="B578" s="13"/>
      <c r="C578" s="13"/>
    </row>
    <row r="579" spans="1:3" ht="13" x14ac:dyDescent="0.15">
      <c r="A579" s="10"/>
      <c r="B579" s="13"/>
      <c r="C579" s="13"/>
    </row>
    <row r="580" spans="1:3" ht="13" x14ac:dyDescent="0.15">
      <c r="A580" s="10"/>
      <c r="B580" s="13"/>
      <c r="C580" s="13"/>
    </row>
    <row r="581" spans="1:3" ht="13" x14ac:dyDescent="0.15">
      <c r="A581" s="10"/>
      <c r="B581" s="13"/>
      <c r="C581" s="13"/>
    </row>
    <row r="582" spans="1:3" ht="13" x14ac:dyDescent="0.15">
      <c r="A582" s="10"/>
      <c r="B582" s="13"/>
      <c r="C582" s="13"/>
    </row>
    <row r="583" spans="1:3" ht="13" x14ac:dyDescent="0.15">
      <c r="A583" s="10"/>
      <c r="B583" s="13"/>
      <c r="C583" s="13"/>
    </row>
    <row r="584" spans="1:3" ht="13" x14ac:dyDescent="0.15">
      <c r="A584" s="10"/>
      <c r="B584" s="13"/>
      <c r="C584" s="13"/>
    </row>
    <row r="585" spans="1:3" ht="13" x14ac:dyDescent="0.15">
      <c r="A585" s="10"/>
      <c r="B585" s="13"/>
      <c r="C585" s="13"/>
    </row>
    <row r="586" spans="1:3" ht="13" x14ac:dyDescent="0.15">
      <c r="A586" s="10"/>
      <c r="B586" s="13"/>
      <c r="C586" s="13"/>
    </row>
    <row r="587" spans="1:3" ht="13" x14ac:dyDescent="0.15">
      <c r="A587" s="10"/>
      <c r="B587" s="13"/>
      <c r="C587" s="13"/>
    </row>
    <row r="588" spans="1:3" ht="13" x14ac:dyDescent="0.15">
      <c r="A588" s="10"/>
      <c r="B588" s="13"/>
      <c r="C588" s="13"/>
    </row>
    <row r="589" spans="1:3" ht="13" x14ac:dyDescent="0.15">
      <c r="A589" s="10"/>
      <c r="B589" s="13"/>
      <c r="C589" s="13"/>
    </row>
    <row r="590" spans="1:3" ht="13" x14ac:dyDescent="0.15">
      <c r="A590" s="10"/>
      <c r="B590" s="13"/>
      <c r="C590" s="13"/>
    </row>
    <row r="591" spans="1:3" ht="13" x14ac:dyDescent="0.15">
      <c r="A591" s="10"/>
      <c r="B591" s="13"/>
      <c r="C591" s="13"/>
    </row>
    <row r="592" spans="1:3" ht="13" x14ac:dyDescent="0.15">
      <c r="A592" s="10"/>
      <c r="B592" s="13"/>
      <c r="C592" s="13"/>
    </row>
    <row r="593" spans="1:3" ht="13" x14ac:dyDescent="0.15">
      <c r="A593" s="10"/>
      <c r="B593" s="13"/>
      <c r="C593" s="13"/>
    </row>
    <row r="594" spans="1:3" ht="13" x14ac:dyDescent="0.15">
      <c r="A594" s="10"/>
      <c r="B594" s="13"/>
      <c r="C594" s="13"/>
    </row>
    <row r="595" spans="1:3" ht="13" x14ac:dyDescent="0.15">
      <c r="A595" s="10"/>
      <c r="B595" s="13"/>
      <c r="C595" s="13"/>
    </row>
    <row r="596" spans="1:3" ht="13" x14ac:dyDescent="0.15">
      <c r="A596" s="10"/>
      <c r="B596" s="13"/>
      <c r="C596" s="13"/>
    </row>
    <row r="597" spans="1:3" ht="13" x14ac:dyDescent="0.15">
      <c r="A597" s="10"/>
      <c r="B597" s="13"/>
      <c r="C597" s="13"/>
    </row>
    <row r="598" spans="1:3" ht="13" x14ac:dyDescent="0.15">
      <c r="A598" s="10"/>
      <c r="B598" s="13"/>
      <c r="C598" s="13"/>
    </row>
    <row r="599" spans="1:3" ht="13" x14ac:dyDescent="0.15">
      <c r="A599" s="10"/>
      <c r="B599" s="13"/>
      <c r="C599" s="13"/>
    </row>
    <row r="600" spans="1:3" ht="13" x14ac:dyDescent="0.15">
      <c r="A600" s="10"/>
      <c r="B600" s="13"/>
      <c r="C600" s="13"/>
    </row>
    <row r="601" spans="1:3" ht="13" x14ac:dyDescent="0.15">
      <c r="A601" s="10"/>
      <c r="B601" s="13"/>
      <c r="C601" s="13"/>
    </row>
    <row r="602" spans="1:3" ht="13" x14ac:dyDescent="0.15">
      <c r="A602" s="10"/>
      <c r="B602" s="13"/>
      <c r="C602" s="13"/>
    </row>
    <row r="603" spans="1:3" ht="13" x14ac:dyDescent="0.15">
      <c r="A603" s="10"/>
      <c r="B603" s="13"/>
      <c r="C603" s="13"/>
    </row>
    <row r="604" spans="1:3" ht="13" x14ac:dyDescent="0.15">
      <c r="A604" s="10"/>
      <c r="B604" s="13"/>
      <c r="C604" s="13"/>
    </row>
    <row r="605" spans="1:3" ht="13" x14ac:dyDescent="0.15">
      <c r="A605" s="10"/>
      <c r="B605" s="13"/>
      <c r="C605" s="13"/>
    </row>
    <row r="606" spans="1:3" ht="13" x14ac:dyDescent="0.15">
      <c r="A606" s="10"/>
      <c r="B606" s="13"/>
      <c r="C606" s="13"/>
    </row>
    <row r="607" spans="1:3" ht="13" x14ac:dyDescent="0.15">
      <c r="A607" s="10"/>
      <c r="B607" s="13"/>
      <c r="C607" s="13"/>
    </row>
    <row r="608" spans="1:3" ht="13" x14ac:dyDescent="0.15">
      <c r="A608" s="10"/>
      <c r="B608" s="13"/>
      <c r="C608" s="13"/>
    </row>
    <row r="609" spans="1:3" ht="13" x14ac:dyDescent="0.15">
      <c r="A609" s="10"/>
      <c r="B609" s="13"/>
      <c r="C609" s="13"/>
    </row>
    <row r="610" spans="1:3" ht="13" x14ac:dyDescent="0.15">
      <c r="A610" s="10"/>
      <c r="B610" s="13"/>
      <c r="C610" s="13"/>
    </row>
    <row r="611" spans="1:3" ht="13" x14ac:dyDescent="0.15">
      <c r="A611" s="10"/>
      <c r="B611" s="13"/>
      <c r="C611" s="13"/>
    </row>
    <row r="612" spans="1:3" ht="13" x14ac:dyDescent="0.15">
      <c r="A612" s="10"/>
      <c r="B612" s="13"/>
      <c r="C612" s="13"/>
    </row>
    <row r="613" spans="1:3" ht="13" x14ac:dyDescent="0.15">
      <c r="A613" s="10"/>
      <c r="B613" s="13"/>
      <c r="C613" s="13"/>
    </row>
    <row r="614" spans="1:3" ht="13" x14ac:dyDescent="0.15">
      <c r="A614" s="10"/>
      <c r="B614" s="13"/>
      <c r="C614" s="13"/>
    </row>
    <row r="615" spans="1:3" ht="13" x14ac:dyDescent="0.15">
      <c r="A615" s="10"/>
      <c r="B615" s="13"/>
      <c r="C615" s="13"/>
    </row>
    <row r="616" spans="1:3" ht="13" x14ac:dyDescent="0.15">
      <c r="A616" s="10"/>
      <c r="B616" s="13"/>
      <c r="C616" s="13"/>
    </row>
    <row r="617" spans="1:3" ht="13" x14ac:dyDescent="0.15">
      <c r="A617" s="10"/>
      <c r="B617" s="13"/>
      <c r="C617" s="13"/>
    </row>
    <row r="618" spans="1:3" ht="13" x14ac:dyDescent="0.15">
      <c r="A618" s="10"/>
      <c r="B618" s="13"/>
      <c r="C618" s="13"/>
    </row>
    <row r="619" spans="1:3" ht="13" x14ac:dyDescent="0.15">
      <c r="A619" s="10"/>
      <c r="B619" s="13"/>
      <c r="C619" s="13"/>
    </row>
    <row r="620" spans="1:3" ht="13" x14ac:dyDescent="0.15">
      <c r="A620" s="10"/>
      <c r="B620" s="13"/>
      <c r="C620" s="13"/>
    </row>
    <row r="621" spans="1:3" ht="13" x14ac:dyDescent="0.15">
      <c r="A621" s="10"/>
      <c r="B621" s="13"/>
      <c r="C621" s="13"/>
    </row>
    <row r="622" spans="1:3" ht="13" x14ac:dyDescent="0.15">
      <c r="A622" s="10"/>
      <c r="B622" s="13"/>
      <c r="C622" s="13"/>
    </row>
    <row r="623" spans="1:3" ht="13" x14ac:dyDescent="0.15">
      <c r="A623" s="10"/>
      <c r="B623" s="13"/>
      <c r="C623" s="13"/>
    </row>
    <row r="624" spans="1:3" ht="13" x14ac:dyDescent="0.15">
      <c r="A624" s="10"/>
      <c r="B624" s="13"/>
      <c r="C624" s="13"/>
    </row>
    <row r="625" spans="1:3" ht="13" x14ac:dyDescent="0.15">
      <c r="A625" s="10"/>
      <c r="B625" s="13"/>
      <c r="C625" s="13"/>
    </row>
    <row r="626" spans="1:3" ht="13" x14ac:dyDescent="0.15">
      <c r="A626" s="10"/>
      <c r="B626" s="13"/>
      <c r="C626" s="13"/>
    </row>
    <row r="627" spans="1:3" ht="13" x14ac:dyDescent="0.15">
      <c r="A627" s="10"/>
      <c r="B627" s="13"/>
      <c r="C627" s="13"/>
    </row>
    <row r="628" spans="1:3" ht="13" x14ac:dyDescent="0.15">
      <c r="A628" s="10"/>
      <c r="B628" s="13"/>
      <c r="C628" s="13"/>
    </row>
    <row r="629" spans="1:3" ht="13" x14ac:dyDescent="0.15">
      <c r="A629" s="10"/>
      <c r="B629" s="13"/>
      <c r="C629" s="13"/>
    </row>
    <row r="630" spans="1:3" ht="13" x14ac:dyDescent="0.15">
      <c r="A630" s="10"/>
      <c r="B630" s="13"/>
      <c r="C630" s="13"/>
    </row>
    <row r="631" spans="1:3" ht="13" x14ac:dyDescent="0.15">
      <c r="A631" s="10"/>
      <c r="B631" s="13"/>
      <c r="C631" s="13"/>
    </row>
    <row r="632" spans="1:3" ht="13" x14ac:dyDescent="0.15">
      <c r="A632" s="10"/>
      <c r="B632" s="13"/>
      <c r="C632" s="13"/>
    </row>
    <row r="633" spans="1:3" ht="13" x14ac:dyDescent="0.15">
      <c r="A633" s="10"/>
      <c r="B633" s="13"/>
      <c r="C633" s="13"/>
    </row>
    <row r="634" spans="1:3" ht="13" x14ac:dyDescent="0.15">
      <c r="A634" s="10"/>
      <c r="B634" s="13"/>
      <c r="C634" s="13"/>
    </row>
    <row r="635" spans="1:3" ht="13" x14ac:dyDescent="0.15">
      <c r="A635" s="10"/>
      <c r="B635" s="13"/>
      <c r="C635" s="13"/>
    </row>
    <row r="636" spans="1:3" ht="13" x14ac:dyDescent="0.15">
      <c r="A636" s="10"/>
      <c r="B636" s="13"/>
      <c r="C636" s="13"/>
    </row>
    <row r="637" spans="1:3" ht="13" x14ac:dyDescent="0.15">
      <c r="A637" s="10"/>
      <c r="B637" s="13"/>
      <c r="C637" s="13"/>
    </row>
    <row r="638" spans="1:3" ht="13" x14ac:dyDescent="0.15">
      <c r="A638" s="10"/>
      <c r="B638" s="13"/>
      <c r="C638" s="13"/>
    </row>
    <row r="639" spans="1:3" ht="13" x14ac:dyDescent="0.15">
      <c r="A639" s="10"/>
      <c r="B639" s="13"/>
      <c r="C639" s="13"/>
    </row>
    <row r="640" spans="1:3" ht="13" x14ac:dyDescent="0.15">
      <c r="A640" s="10"/>
      <c r="B640" s="13"/>
      <c r="C640" s="13"/>
    </row>
    <row r="641" spans="1:3" ht="13" x14ac:dyDescent="0.15">
      <c r="A641" s="10"/>
      <c r="B641" s="13"/>
      <c r="C641" s="13"/>
    </row>
    <row r="642" spans="1:3" ht="13" x14ac:dyDescent="0.15">
      <c r="A642" s="10"/>
      <c r="B642" s="13"/>
      <c r="C642" s="13"/>
    </row>
    <row r="643" spans="1:3" ht="13" x14ac:dyDescent="0.15">
      <c r="A643" s="10"/>
      <c r="B643" s="13"/>
      <c r="C643" s="13"/>
    </row>
    <row r="644" spans="1:3" ht="13" x14ac:dyDescent="0.15">
      <c r="A644" s="10"/>
      <c r="B644" s="13"/>
      <c r="C644" s="13"/>
    </row>
    <row r="645" spans="1:3" ht="13" x14ac:dyDescent="0.15">
      <c r="A645" s="10"/>
      <c r="B645" s="13"/>
      <c r="C645" s="13"/>
    </row>
    <row r="646" spans="1:3" ht="13" x14ac:dyDescent="0.15">
      <c r="A646" s="10"/>
      <c r="B646" s="13"/>
      <c r="C646" s="13"/>
    </row>
    <row r="647" spans="1:3" ht="13" x14ac:dyDescent="0.15">
      <c r="A647" s="10"/>
      <c r="B647" s="13"/>
      <c r="C647" s="13"/>
    </row>
    <row r="648" spans="1:3" ht="13" x14ac:dyDescent="0.15">
      <c r="A648" s="10"/>
      <c r="B648" s="13"/>
      <c r="C648" s="13"/>
    </row>
    <row r="649" spans="1:3" ht="13" x14ac:dyDescent="0.15">
      <c r="A649" s="10"/>
      <c r="B649" s="13"/>
      <c r="C649" s="13"/>
    </row>
    <row r="650" spans="1:3" ht="13" x14ac:dyDescent="0.15">
      <c r="A650" s="10"/>
      <c r="B650" s="13"/>
      <c r="C650" s="13"/>
    </row>
    <row r="651" spans="1:3" ht="13" x14ac:dyDescent="0.15">
      <c r="A651" s="10"/>
      <c r="B651" s="13"/>
      <c r="C651" s="13"/>
    </row>
    <row r="652" spans="1:3" ht="13" x14ac:dyDescent="0.15">
      <c r="A652" s="10"/>
      <c r="B652" s="13"/>
      <c r="C652" s="13"/>
    </row>
    <row r="653" spans="1:3" ht="13" x14ac:dyDescent="0.15">
      <c r="A653" s="10"/>
      <c r="B653" s="13"/>
      <c r="C653" s="13"/>
    </row>
    <row r="654" spans="1:3" ht="13" x14ac:dyDescent="0.15">
      <c r="A654" s="10"/>
      <c r="B654" s="13"/>
      <c r="C654" s="13"/>
    </row>
    <row r="655" spans="1:3" ht="13" x14ac:dyDescent="0.15">
      <c r="A655" s="10"/>
      <c r="B655" s="13"/>
      <c r="C655" s="13"/>
    </row>
    <row r="656" spans="1:3" ht="13" x14ac:dyDescent="0.15">
      <c r="A656" s="10"/>
      <c r="B656" s="13"/>
      <c r="C656" s="13"/>
    </row>
    <row r="657" spans="1:3" ht="13" x14ac:dyDescent="0.15">
      <c r="A657" s="10"/>
      <c r="B657" s="13"/>
      <c r="C657" s="13"/>
    </row>
    <row r="658" spans="1:3" ht="13" x14ac:dyDescent="0.15">
      <c r="A658" s="10"/>
      <c r="B658" s="13"/>
      <c r="C658" s="13"/>
    </row>
    <row r="659" spans="1:3" ht="13" x14ac:dyDescent="0.15">
      <c r="A659" s="10"/>
      <c r="B659" s="13"/>
      <c r="C659" s="13"/>
    </row>
    <row r="660" spans="1:3" ht="13" x14ac:dyDescent="0.15">
      <c r="A660" s="10"/>
      <c r="B660" s="13"/>
      <c r="C660" s="13"/>
    </row>
    <row r="661" spans="1:3" ht="13" x14ac:dyDescent="0.15">
      <c r="A661" s="10"/>
      <c r="B661" s="13"/>
      <c r="C661" s="13"/>
    </row>
    <row r="662" spans="1:3" ht="13" x14ac:dyDescent="0.15">
      <c r="A662" s="10"/>
      <c r="B662" s="13"/>
      <c r="C662" s="13"/>
    </row>
    <row r="663" spans="1:3" ht="13" x14ac:dyDescent="0.15">
      <c r="A663" s="10"/>
      <c r="B663" s="13"/>
      <c r="C663" s="13"/>
    </row>
    <row r="664" spans="1:3" ht="13" x14ac:dyDescent="0.15">
      <c r="A664" s="10"/>
      <c r="B664" s="13"/>
      <c r="C664" s="13"/>
    </row>
    <row r="665" spans="1:3" ht="13" x14ac:dyDescent="0.15">
      <c r="A665" s="10"/>
      <c r="B665" s="13"/>
      <c r="C665" s="13"/>
    </row>
    <row r="666" spans="1:3" ht="13" x14ac:dyDescent="0.15">
      <c r="A666" s="10"/>
      <c r="B666" s="13"/>
      <c r="C666" s="13"/>
    </row>
    <row r="667" spans="1:3" ht="13" x14ac:dyDescent="0.15">
      <c r="A667" s="10"/>
      <c r="B667" s="13"/>
      <c r="C667" s="13"/>
    </row>
    <row r="668" spans="1:3" ht="13" x14ac:dyDescent="0.15">
      <c r="A668" s="10"/>
      <c r="B668" s="13"/>
      <c r="C668" s="13"/>
    </row>
    <row r="669" spans="1:3" ht="13" x14ac:dyDescent="0.15">
      <c r="A669" s="10"/>
      <c r="B669" s="13"/>
      <c r="C669" s="13"/>
    </row>
    <row r="670" spans="1:3" ht="13" x14ac:dyDescent="0.15">
      <c r="A670" s="10"/>
      <c r="B670" s="13"/>
      <c r="C670" s="13"/>
    </row>
    <row r="671" spans="1:3" ht="13" x14ac:dyDescent="0.15">
      <c r="A671" s="10"/>
      <c r="B671" s="13"/>
      <c r="C671" s="13"/>
    </row>
    <row r="672" spans="1:3" ht="13" x14ac:dyDescent="0.15">
      <c r="A672" s="10"/>
      <c r="B672" s="13"/>
      <c r="C672" s="13"/>
    </row>
    <row r="673" spans="1:3" ht="13" x14ac:dyDescent="0.15">
      <c r="A673" s="10"/>
      <c r="B673" s="13"/>
      <c r="C673" s="13"/>
    </row>
    <row r="674" spans="1:3" ht="13" x14ac:dyDescent="0.15">
      <c r="A674" s="10"/>
      <c r="B674" s="13"/>
      <c r="C674" s="13"/>
    </row>
    <row r="675" spans="1:3" ht="13" x14ac:dyDescent="0.15">
      <c r="A675" s="10"/>
      <c r="B675" s="13"/>
      <c r="C675" s="13"/>
    </row>
    <row r="676" spans="1:3" ht="13" x14ac:dyDescent="0.15">
      <c r="A676" s="10"/>
      <c r="B676" s="13"/>
      <c r="C676" s="13"/>
    </row>
    <row r="677" spans="1:3" ht="13" x14ac:dyDescent="0.15">
      <c r="A677" s="10"/>
      <c r="B677" s="13"/>
      <c r="C677" s="13"/>
    </row>
    <row r="678" spans="1:3" ht="13" x14ac:dyDescent="0.15">
      <c r="A678" s="10"/>
      <c r="B678" s="13"/>
      <c r="C678" s="13"/>
    </row>
    <row r="679" spans="1:3" ht="13" x14ac:dyDescent="0.15">
      <c r="A679" s="10"/>
      <c r="B679" s="13"/>
      <c r="C679" s="13"/>
    </row>
    <row r="680" spans="1:3" ht="13" x14ac:dyDescent="0.15">
      <c r="A680" s="10"/>
      <c r="B680" s="13"/>
      <c r="C680" s="13"/>
    </row>
    <row r="681" spans="1:3" ht="13" x14ac:dyDescent="0.15">
      <c r="A681" s="10"/>
      <c r="B681" s="13"/>
      <c r="C681" s="13"/>
    </row>
    <row r="682" spans="1:3" ht="13" x14ac:dyDescent="0.15">
      <c r="A682" s="10"/>
      <c r="B682" s="13"/>
      <c r="C682" s="13"/>
    </row>
    <row r="683" spans="1:3" ht="13" x14ac:dyDescent="0.15">
      <c r="A683" s="10"/>
      <c r="B683" s="13"/>
      <c r="C683" s="13"/>
    </row>
    <row r="684" spans="1:3" ht="13" x14ac:dyDescent="0.15">
      <c r="A684" s="10"/>
      <c r="B684" s="13"/>
      <c r="C684" s="13"/>
    </row>
    <row r="685" spans="1:3" ht="13" x14ac:dyDescent="0.15">
      <c r="A685" s="10"/>
      <c r="B685" s="13"/>
      <c r="C685" s="13"/>
    </row>
    <row r="686" spans="1:3" ht="13" x14ac:dyDescent="0.15">
      <c r="A686" s="10"/>
      <c r="B686" s="13"/>
      <c r="C686" s="13"/>
    </row>
    <row r="687" spans="1:3" ht="13" x14ac:dyDescent="0.15">
      <c r="A687" s="10"/>
      <c r="B687" s="13"/>
      <c r="C687" s="13"/>
    </row>
    <row r="688" spans="1:3" ht="13" x14ac:dyDescent="0.15">
      <c r="A688" s="10"/>
      <c r="B688" s="13"/>
      <c r="C688" s="13"/>
    </row>
    <row r="689" spans="1:3" ht="13" x14ac:dyDescent="0.15">
      <c r="A689" s="10"/>
      <c r="B689" s="13"/>
      <c r="C689" s="13"/>
    </row>
    <row r="690" spans="1:3" ht="13" x14ac:dyDescent="0.15">
      <c r="A690" s="10"/>
      <c r="B690" s="13"/>
      <c r="C690" s="13"/>
    </row>
    <row r="691" spans="1:3" ht="13" x14ac:dyDescent="0.15">
      <c r="A691" s="10"/>
      <c r="B691" s="13"/>
      <c r="C691" s="13"/>
    </row>
    <row r="692" spans="1:3" ht="13" x14ac:dyDescent="0.15">
      <c r="A692" s="10"/>
      <c r="B692" s="13"/>
      <c r="C692" s="13"/>
    </row>
    <row r="693" spans="1:3" ht="13" x14ac:dyDescent="0.15">
      <c r="A693" s="10"/>
      <c r="B693" s="13"/>
      <c r="C693" s="13"/>
    </row>
    <row r="694" spans="1:3" ht="13" x14ac:dyDescent="0.15">
      <c r="A694" s="10"/>
      <c r="B694" s="13"/>
      <c r="C694" s="13"/>
    </row>
    <row r="695" spans="1:3" ht="13" x14ac:dyDescent="0.15">
      <c r="A695" s="10"/>
      <c r="B695" s="13"/>
      <c r="C695" s="13"/>
    </row>
    <row r="696" spans="1:3" ht="13" x14ac:dyDescent="0.15">
      <c r="A696" s="10"/>
      <c r="B696" s="13"/>
      <c r="C696" s="13"/>
    </row>
    <row r="697" spans="1:3" ht="13" x14ac:dyDescent="0.15">
      <c r="A697" s="10"/>
      <c r="B697" s="13"/>
      <c r="C697" s="13"/>
    </row>
    <row r="698" spans="1:3" ht="13" x14ac:dyDescent="0.15">
      <c r="A698" s="10"/>
      <c r="B698" s="13"/>
      <c r="C698" s="13"/>
    </row>
    <row r="699" spans="1:3" ht="13" x14ac:dyDescent="0.15">
      <c r="A699" s="10"/>
      <c r="B699" s="13"/>
      <c r="C699" s="13"/>
    </row>
    <row r="700" spans="1:3" ht="13" x14ac:dyDescent="0.15">
      <c r="A700" s="10"/>
      <c r="B700" s="13"/>
      <c r="C700" s="13"/>
    </row>
    <row r="701" spans="1:3" ht="13" x14ac:dyDescent="0.15">
      <c r="A701" s="10"/>
      <c r="B701" s="13"/>
      <c r="C701" s="13"/>
    </row>
    <row r="702" spans="1:3" ht="13" x14ac:dyDescent="0.15">
      <c r="A702" s="10"/>
      <c r="B702" s="13"/>
      <c r="C702" s="13"/>
    </row>
    <row r="703" spans="1:3" ht="13" x14ac:dyDescent="0.15">
      <c r="A703" s="10"/>
      <c r="B703" s="13"/>
      <c r="C703" s="13"/>
    </row>
    <row r="704" spans="1:3" ht="13" x14ac:dyDescent="0.15">
      <c r="A704" s="10"/>
      <c r="B704" s="13"/>
      <c r="C704" s="13"/>
    </row>
    <row r="705" spans="1:3" ht="13" x14ac:dyDescent="0.15">
      <c r="A705" s="10"/>
      <c r="B705" s="13"/>
      <c r="C705" s="13"/>
    </row>
    <row r="706" spans="1:3" ht="13" x14ac:dyDescent="0.15">
      <c r="A706" s="10"/>
      <c r="B706" s="13"/>
      <c r="C706" s="13"/>
    </row>
    <row r="707" spans="1:3" ht="13" x14ac:dyDescent="0.15">
      <c r="A707" s="10"/>
      <c r="B707" s="13"/>
      <c r="C707" s="13"/>
    </row>
    <row r="708" spans="1:3" ht="13" x14ac:dyDescent="0.15">
      <c r="A708" s="10"/>
      <c r="B708" s="13"/>
      <c r="C708" s="13"/>
    </row>
    <row r="709" spans="1:3" ht="13" x14ac:dyDescent="0.15">
      <c r="A709" s="10"/>
      <c r="B709" s="13"/>
      <c r="C709" s="13"/>
    </row>
    <row r="710" spans="1:3" ht="13" x14ac:dyDescent="0.15">
      <c r="A710" s="10"/>
      <c r="B710" s="13"/>
      <c r="C710" s="13"/>
    </row>
    <row r="711" spans="1:3" ht="13" x14ac:dyDescent="0.15">
      <c r="A711" s="10"/>
      <c r="B711" s="13"/>
      <c r="C711" s="13"/>
    </row>
    <row r="712" spans="1:3" ht="13" x14ac:dyDescent="0.15">
      <c r="A712" s="10"/>
      <c r="B712" s="13"/>
      <c r="C712" s="13"/>
    </row>
    <row r="713" spans="1:3" ht="13" x14ac:dyDescent="0.15">
      <c r="A713" s="10"/>
      <c r="B713" s="13"/>
      <c r="C713" s="13"/>
    </row>
    <row r="714" spans="1:3" ht="13" x14ac:dyDescent="0.15">
      <c r="A714" s="10"/>
      <c r="B714" s="13"/>
      <c r="C714" s="13"/>
    </row>
    <row r="715" spans="1:3" ht="13" x14ac:dyDescent="0.15">
      <c r="A715" s="10"/>
      <c r="B715" s="13"/>
      <c r="C715" s="13"/>
    </row>
    <row r="716" spans="1:3" ht="13" x14ac:dyDescent="0.15">
      <c r="A716" s="10"/>
      <c r="B716" s="13"/>
      <c r="C716" s="13"/>
    </row>
    <row r="717" spans="1:3" ht="13" x14ac:dyDescent="0.15">
      <c r="A717" s="10"/>
      <c r="B717" s="13"/>
      <c r="C717" s="13"/>
    </row>
    <row r="718" spans="1:3" ht="13" x14ac:dyDescent="0.15">
      <c r="A718" s="10"/>
      <c r="B718" s="13"/>
      <c r="C718" s="13"/>
    </row>
    <row r="719" spans="1:3" ht="13" x14ac:dyDescent="0.15">
      <c r="A719" s="10"/>
      <c r="B719" s="13"/>
      <c r="C719" s="13"/>
    </row>
    <row r="720" spans="1:3" ht="13" x14ac:dyDescent="0.15">
      <c r="A720" s="10"/>
      <c r="B720" s="13"/>
      <c r="C720" s="13"/>
    </row>
    <row r="721" spans="1:3" ht="13" x14ac:dyDescent="0.15">
      <c r="A721" s="10"/>
      <c r="B721" s="13"/>
      <c r="C721" s="13"/>
    </row>
    <row r="722" spans="1:3" ht="13" x14ac:dyDescent="0.15">
      <c r="A722" s="10"/>
      <c r="B722" s="13"/>
      <c r="C722" s="13"/>
    </row>
    <row r="723" spans="1:3" ht="13" x14ac:dyDescent="0.15">
      <c r="A723" s="10"/>
      <c r="B723" s="13"/>
      <c r="C723" s="13"/>
    </row>
    <row r="724" spans="1:3" ht="13" x14ac:dyDescent="0.15">
      <c r="A724" s="10"/>
      <c r="B724" s="13"/>
      <c r="C724" s="13"/>
    </row>
    <row r="725" spans="1:3" ht="13" x14ac:dyDescent="0.15">
      <c r="A725" s="10"/>
      <c r="B725" s="13"/>
      <c r="C725" s="13"/>
    </row>
    <row r="726" spans="1:3" ht="13" x14ac:dyDescent="0.15">
      <c r="A726" s="10"/>
      <c r="B726" s="13"/>
      <c r="C726" s="13"/>
    </row>
    <row r="727" spans="1:3" ht="13" x14ac:dyDescent="0.15">
      <c r="A727" s="10"/>
      <c r="B727" s="13"/>
      <c r="C727" s="13"/>
    </row>
    <row r="728" spans="1:3" ht="13" x14ac:dyDescent="0.15">
      <c r="A728" s="10"/>
      <c r="B728" s="13"/>
      <c r="C728" s="13"/>
    </row>
    <row r="729" spans="1:3" ht="13" x14ac:dyDescent="0.15">
      <c r="A729" s="10"/>
      <c r="B729" s="13"/>
      <c r="C729" s="13"/>
    </row>
    <row r="730" spans="1:3" ht="13" x14ac:dyDescent="0.15">
      <c r="A730" s="10"/>
      <c r="B730" s="13"/>
      <c r="C730" s="13"/>
    </row>
    <row r="731" spans="1:3" ht="13" x14ac:dyDescent="0.15">
      <c r="A731" s="10"/>
      <c r="B731" s="13"/>
      <c r="C731" s="13"/>
    </row>
    <row r="732" spans="1:3" ht="13" x14ac:dyDescent="0.15">
      <c r="A732" s="10"/>
      <c r="B732" s="13"/>
      <c r="C732" s="13"/>
    </row>
    <row r="733" spans="1:3" ht="13" x14ac:dyDescent="0.15">
      <c r="A733" s="10"/>
      <c r="B733" s="13"/>
      <c r="C733" s="13"/>
    </row>
    <row r="734" spans="1:3" ht="13" x14ac:dyDescent="0.15">
      <c r="A734" s="10"/>
      <c r="B734" s="13"/>
      <c r="C734" s="13"/>
    </row>
    <row r="735" spans="1:3" ht="13" x14ac:dyDescent="0.15">
      <c r="A735" s="10"/>
      <c r="B735" s="13"/>
      <c r="C735" s="13"/>
    </row>
    <row r="736" spans="1:3" ht="13" x14ac:dyDescent="0.15">
      <c r="A736" s="10"/>
      <c r="B736" s="13"/>
      <c r="C736" s="13"/>
    </row>
    <row r="737" spans="1:3" ht="13" x14ac:dyDescent="0.15">
      <c r="A737" s="10"/>
      <c r="B737" s="13"/>
      <c r="C737" s="13"/>
    </row>
    <row r="738" spans="1:3" ht="13" x14ac:dyDescent="0.15">
      <c r="A738" s="10"/>
      <c r="B738" s="13"/>
      <c r="C738" s="13"/>
    </row>
    <row r="739" spans="1:3" ht="13" x14ac:dyDescent="0.15">
      <c r="A739" s="10"/>
      <c r="B739" s="13"/>
      <c r="C739" s="13"/>
    </row>
    <row r="740" spans="1:3" ht="13" x14ac:dyDescent="0.15">
      <c r="A740" s="10"/>
      <c r="B740" s="13"/>
      <c r="C740" s="13"/>
    </row>
    <row r="741" spans="1:3" ht="13" x14ac:dyDescent="0.15">
      <c r="A741" s="10"/>
      <c r="B741" s="13"/>
      <c r="C741" s="13"/>
    </row>
    <row r="742" spans="1:3" ht="13" x14ac:dyDescent="0.15">
      <c r="A742" s="10"/>
      <c r="B742" s="13"/>
      <c r="C742" s="13"/>
    </row>
    <row r="743" spans="1:3" ht="13" x14ac:dyDescent="0.15">
      <c r="A743" s="10"/>
      <c r="B743" s="13"/>
      <c r="C743" s="13"/>
    </row>
    <row r="744" spans="1:3" ht="13" x14ac:dyDescent="0.15">
      <c r="A744" s="10"/>
      <c r="B744" s="13"/>
      <c r="C744" s="13"/>
    </row>
    <row r="745" spans="1:3" ht="13" x14ac:dyDescent="0.15">
      <c r="A745" s="10"/>
      <c r="B745" s="13"/>
      <c r="C745" s="13"/>
    </row>
    <row r="746" spans="1:3" ht="13" x14ac:dyDescent="0.15">
      <c r="A746" s="10"/>
      <c r="B746" s="13"/>
      <c r="C746" s="13"/>
    </row>
    <row r="747" spans="1:3" ht="13" x14ac:dyDescent="0.15">
      <c r="A747" s="10"/>
      <c r="B747" s="13"/>
      <c r="C747" s="13"/>
    </row>
    <row r="748" spans="1:3" ht="13" x14ac:dyDescent="0.15">
      <c r="A748" s="10"/>
      <c r="B748" s="13"/>
      <c r="C748" s="13"/>
    </row>
    <row r="749" spans="1:3" ht="13" x14ac:dyDescent="0.15">
      <c r="A749" s="10"/>
      <c r="B749" s="13"/>
      <c r="C749" s="13"/>
    </row>
    <row r="750" spans="1:3" ht="13" x14ac:dyDescent="0.15">
      <c r="A750" s="10"/>
      <c r="B750" s="13"/>
      <c r="C750" s="13"/>
    </row>
    <row r="751" spans="1:3" ht="13" x14ac:dyDescent="0.15">
      <c r="A751" s="10"/>
      <c r="B751" s="13"/>
      <c r="C751" s="13"/>
    </row>
    <row r="752" spans="1:3" ht="13" x14ac:dyDescent="0.15">
      <c r="A752" s="10"/>
      <c r="B752" s="13"/>
      <c r="C752" s="13"/>
    </row>
    <row r="753" spans="1:3" ht="13" x14ac:dyDescent="0.15">
      <c r="A753" s="10"/>
      <c r="B753" s="13"/>
      <c r="C753" s="13"/>
    </row>
    <row r="754" spans="1:3" ht="13" x14ac:dyDescent="0.15">
      <c r="A754" s="10"/>
      <c r="B754" s="13"/>
      <c r="C754" s="13"/>
    </row>
    <row r="755" spans="1:3" ht="13" x14ac:dyDescent="0.15">
      <c r="A755" s="10"/>
      <c r="B755" s="13"/>
      <c r="C755" s="13"/>
    </row>
    <row r="756" spans="1:3" ht="13" x14ac:dyDescent="0.15">
      <c r="A756" s="10"/>
      <c r="B756" s="13"/>
      <c r="C756" s="13"/>
    </row>
    <row r="757" spans="1:3" ht="13" x14ac:dyDescent="0.15">
      <c r="A757" s="10"/>
      <c r="B757" s="13"/>
      <c r="C757" s="13"/>
    </row>
    <row r="758" spans="1:3" ht="13" x14ac:dyDescent="0.15">
      <c r="A758" s="10"/>
      <c r="B758" s="13"/>
      <c r="C758" s="13"/>
    </row>
    <row r="759" spans="1:3" ht="13" x14ac:dyDescent="0.15">
      <c r="A759" s="10"/>
      <c r="B759" s="13"/>
      <c r="C759" s="13"/>
    </row>
    <row r="760" spans="1:3" ht="13" x14ac:dyDescent="0.15">
      <c r="A760" s="10"/>
      <c r="B760" s="13"/>
      <c r="C760" s="13"/>
    </row>
    <row r="761" spans="1:3" ht="13" x14ac:dyDescent="0.15">
      <c r="A761" s="10"/>
      <c r="B761" s="13"/>
      <c r="C761" s="13"/>
    </row>
    <row r="762" spans="1:3" ht="13" x14ac:dyDescent="0.15">
      <c r="A762" s="10"/>
      <c r="B762" s="13"/>
      <c r="C762" s="13"/>
    </row>
    <row r="763" spans="1:3" ht="13" x14ac:dyDescent="0.15">
      <c r="A763" s="10"/>
      <c r="B763" s="13"/>
      <c r="C763" s="13"/>
    </row>
    <row r="764" spans="1:3" ht="13" x14ac:dyDescent="0.15">
      <c r="A764" s="10"/>
      <c r="B764" s="13"/>
      <c r="C764" s="13"/>
    </row>
    <row r="765" spans="1:3" ht="13" x14ac:dyDescent="0.15">
      <c r="A765" s="10"/>
      <c r="B765" s="13"/>
      <c r="C765" s="13"/>
    </row>
    <row r="766" spans="1:3" ht="13" x14ac:dyDescent="0.15">
      <c r="A766" s="10"/>
      <c r="B766" s="13"/>
      <c r="C766" s="13"/>
    </row>
    <row r="767" spans="1:3" ht="13" x14ac:dyDescent="0.15">
      <c r="A767" s="10"/>
      <c r="B767" s="13"/>
      <c r="C767" s="13"/>
    </row>
    <row r="768" spans="1:3" ht="13" x14ac:dyDescent="0.15">
      <c r="A768" s="10"/>
      <c r="B768" s="13"/>
      <c r="C768" s="13"/>
    </row>
    <row r="769" spans="1:3" ht="13" x14ac:dyDescent="0.15">
      <c r="A769" s="10"/>
      <c r="B769" s="13"/>
      <c r="C769" s="13"/>
    </row>
    <row r="770" spans="1:3" ht="13" x14ac:dyDescent="0.15">
      <c r="A770" s="10"/>
      <c r="B770" s="13"/>
      <c r="C770" s="13"/>
    </row>
    <row r="771" spans="1:3" ht="13" x14ac:dyDescent="0.15">
      <c r="A771" s="10"/>
      <c r="B771" s="13"/>
      <c r="C771" s="13"/>
    </row>
    <row r="772" spans="1:3" ht="13" x14ac:dyDescent="0.15">
      <c r="A772" s="10"/>
      <c r="B772" s="13"/>
      <c r="C772" s="13"/>
    </row>
    <row r="773" spans="1:3" ht="13" x14ac:dyDescent="0.15">
      <c r="A773" s="10"/>
      <c r="B773" s="13"/>
      <c r="C773" s="13"/>
    </row>
    <row r="774" spans="1:3" ht="13" x14ac:dyDescent="0.15">
      <c r="A774" s="10"/>
      <c r="B774" s="13"/>
      <c r="C774" s="13"/>
    </row>
    <row r="775" spans="1:3" ht="13" x14ac:dyDescent="0.15">
      <c r="A775" s="10"/>
      <c r="B775" s="13"/>
      <c r="C775" s="13"/>
    </row>
    <row r="776" spans="1:3" ht="13" x14ac:dyDescent="0.15">
      <c r="A776" s="10"/>
      <c r="B776" s="13"/>
      <c r="C776" s="13"/>
    </row>
    <row r="777" spans="1:3" ht="13" x14ac:dyDescent="0.15">
      <c r="A777" s="10"/>
      <c r="B777" s="13"/>
      <c r="C777" s="13"/>
    </row>
    <row r="778" spans="1:3" ht="13" x14ac:dyDescent="0.15">
      <c r="A778" s="10"/>
      <c r="B778" s="13"/>
      <c r="C778" s="13"/>
    </row>
    <row r="779" spans="1:3" ht="13" x14ac:dyDescent="0.15">
      <c r="A779" s="10"/>
      <c r="B779" s="13"/>
      <c r="C779" s="13"/>
    </row>
    <row r="780" spans="1:3" ht="13" x14ac:dyDescent="0.15">
      <c r="A780" s="10"/>
      <c r="B780" s="13"/>
      <c r="C780" s="13"/>
    </row>
    <row r="781" spans="1:3" ht="13" x14ac:dyDescent="0.15">
      <c r="A781" s="10"/>
      <c r="B781" s="13"/>
      <c r="C781" s="13"/>
    </row>
    <row r="782" spans="1:3" ht="13" x14ac:dyDescent="0.15">
      <c r="A782" s="10"/>
      <c r="B782" s="13"/>
      <c r="C782" s="13"/>
    </row>
    <row r="783" spans="1:3" ht="13" x14ac:dyDescent="0.15">
      <c r="A783" s="10"/>
      <c r="B783" s="13"/>
      <c r="C783" s="13"/>
    </row>
    <row r="784" spans="1:3" ht="13" x14ac:dyDescent="0.15">
      <c r="A784" s="10"/>
      <c r="B784" s="13"/>
      <c r="C784" s="13"/>
    </row>
    <row r="785" spans="1:3" ht="13" x14ac:dyDescent="0.15">
      <c r="A785" s="10"/>
      <c r="B785" s="13"/>
      <c r="C785" s="13"/>
    </row>
    <row r="786" spans="1:3" ht="13" x14ac:dyDescent="0.15">
      <c r="A786" s="10"/>
      <c r="B786" s="13"/>
      <c r="C786" s="13"/>
    </row>
    <row r="787" spans="1:3" ht="13" x14ac:dyDescent="0.15">
      <c r="A787" s="10"/>
      <c r="B787" s="13"/>
      <c r="C787" s="13"/>
    </row>
    <row r="788" spans="1:3" ht="13" x14ac:dyDescent="0.15">
      <c r="A788" s="10"/>
      <c r="B788" s="13"/>
      <c r="C788" s="13"/>
    </row>
    <row r="789" spans="1:3" ht="13" x14ac:dyDescent="0.15">
      <c r="A789" s="10"/>
      <c r="B789" s="13"/>
      <c r="C789" s="13"/>
    </row>
    <row r="790" spans="1:3" ht="13" x14ac:dyDescent="0.15">
      <c r="A790" s="10"/>
      <c r="B790" s="13"/>
      <c r="C790" s="13"/>
    </row>
    <row r="791" spans="1:3" ht="13" x14ac:dyDescent="0.15">
      <c r="A791" s="10"/>
      <c r="B791" s="13"/>
      <c r="C791" s="13"/>
    </row>
    <row r="792" spans="1:3" ht="13" x14ac:dyDescent="0.15">
      <c r="A792" s="10"/>
      <c r="B792" s="13"/>
      <c r="C792" s="13"/>
    </row>
    <row r="793" spans="1:3" ht="13" x14ac:dyDescent="0.15">
      <c r="A793" s="10"/>
      <c r="B793" s="13"/>
      <c r="C793" s="13"/>
    </row>
    <row r="794" spans="1:3" ht="13" x14ac:dyDescent="0.15">
      <c r="A794" s="10"/>
      <c r="B794" s="13"/>
      <c r="C794" s="13"/>
    </row>
    <row r="795" spans="1:3" ht="13" x14ac:dyDescent="0.15">
      <c r="A795" s="10"/>
      <c r="B795" s="13"/>
      <c r="C795" s="13"/>
    </row>
    <row r="796" spans="1:3" ht="13" x14ac:dyDescent="0.15">
      <c r="A796" s="10"/>
      <c r="B796" s="13"/>
      <c r="C796" s="13"/>
    </row>
    <row r="797" spans="1:3" ht="13" x14ac:dyDescent="0.15">
      <c r="A797" s="10"/>
      <c r="B797" s="13"/>
      <c r="C797" s="13"/>
    </row>
    <row r="798" spans="1:3" ht="13" x14ac:dyDescent="0.15">
      <c r="A798" s="10"/>
      <c r="B798" s="13"/>
      <c r="C798" s="13"/>
    </row>
    <row r="799" spans="1:3" ht="13" x14ac:dyDescent="0.15">
      <c r="A799" s="10"/>
      <c r="B799" s="13"/>
      <c r="C799" s="13"/>
    </row>
    <row r="800" spans="1:3" ht="13" x14ac:dyDescent="0.15">
      <c r="A800" s="10"/>
      <c r="B800" s="13"/>
      <c r="C800" s="13"/>
    </row>
    <row r="801" spans="1:3" ht="13" x14ac:dyDescent="0.15">
      <c r="A801" s="10"/>
      <c r="B801" s="13"/>
      <c r="C801" s="13"/>
    </row>
    <row r="802" spans="1:3" ht="13" x14ac:dyDescent="0.15">
      <c r="A802" s="10"/>
      <c r="B802" s="13"/>
      <c r="C802" s="13"/>
    </row>
    <row r="803" spans="1:3" ht="13" x14ac:dyDescent="0.15">
      <c r="A803" s="10"/>
      <c r="B803" s="13"/>
      <c r="C803" s="13"/>
    </row>
    <row r="804" spans="1:3" ht="13" x14ac:dyDescent="0.15">
      <c r="A804" s="10"/>
      <c r="B804" s="13"/>
      <c r="C804" s="13"/>
    </row>
    <row r="805" spans="1:3" ht="13" x14ac:dyDescent="0.15">
      <c r="A805" s="10"/>
      <c r="B805" s="13"/>
      <c r="C805" s="13"/>
    </row>
    <row r="806" spans="1:3" ht="13" x14ac:dyDescent="0.15">
      <c r="A806" s="10"/>
      <c r="B806" s="13"/>
      <c r="C806" s="13"/>
    </row>
    <row r="807" spans="1:3" ht="13" x14ac:dyDescent="0.15">
      <c r="A807" s="10"/>
      <c r="B807" s="13"/>
      <c r="C807" s="13"/>
    </row>
    <row r="808" spans="1:3" ht="13" x14ac:dyDescent="0.15">
      <c r="A808" s="10"/>
      <c r="B808" s="13"/>
      <c r="C808" s="13"/>
    </row>
    <row r="809" spans="1:3" ht="13" x14ac:dyDescent="0.15">
      <c r="A809" s="10"/>
      <c r="B809" s="13"/>
      <c r="C809" s="13"/>
    </row>
    <row r="810" spans="1:3" ht="13" x14ac:dyDescent="0.15">
      <c r="A810" s="10"/>
      <c r="B810" s="13"/>
      <c r="C810" s="13"/>
    </row>
    <row r="811" spans="1:3" ht="13" x14ac:dyDescent="0.15">
      <c r="A811" s="10"/>
      <c r="B811" s="13"/>
      <c r="C811" s="13"/>
    </row>
    <row r="812" spans="1:3" ht="13" x14ac:dyDescent="0.15">
      <c r="A812" s="10"/>
      <c r="B812" s="13"/>
      <c r="C812" s="13"/>
    </row>
    <row r="813" spans="1:3" ht="13" x14ac:dyDescent="0.15">
      <c r="A813" s="10"/>
      <c r="B813" s="13"/>
      <c r="C813" s="13"/>
    </row>
    <row r="814" spans="1:3" ht="13" x14ac:dyDescent="0.15">
      <c r="A814" s="10"/>
      <c r="B814" s="13"/>
      <c r="C814" s="13"/>
    </row>
    <row r="815" spans="1:3" ht="13" x14ac:dyDescent="0.15">
      <c r="A815" s="10"/>
      <c r="B815" s="13"/>
      <c r="C815" s="13"/>
    </row>
    <row r="816" spans="1:3" ht="13" x14ac:dyDescent="0.15">
      <c r="A816" s="10"/>
      <c r="B816" s="13"/>
      <c r="C816" s="13"/>
    </row>
    <row r="817" spans="1:3" ht="13" x14ac:dyDescent="0.15">
      <c r="A817" s="10"/>
      <c r="B817" s="13"/>
      <c r="C817" s="13"/>
    </row>
    <row r="818" spans="1:3" ht="13" x14ac:dyDescent="0.15">
      <c r="A818" s="10"/>
      <c r="B818" s="13"/>
      <c r="C818" s="13"/>
    </row>
    <row r="819" spans="1:3" ht="13" x14ac:dyDescent="0.15">
      <c r="A819" s="10"/>
      <c r="B819" s="13"/>
      <c r="C819" s="13"/>
    </row>
    <row r="820" spans="1:3" ht="13" x14ac:dyDescent="0.15">
      <c r="A820" s="10"/>
      <c r="B820" s="13"/>
      <c r="C820" s="13"/>
    </row>
    <row r="821" spans="1:3" ht="13" x14ac:dyDescent="0.15">
      <c r="A821" s="10"/>
      <c r="B821" s="13"/>
      <c r="C821" s="13"/>
    </row>
    <row r="822" spans="1:3" ht="13" x14ac:dyDescent="0.15">
      <c r="A822" s="10"/>
      <c r="B822" s="13"/>
      <c r="C822" s="13"/>
    </row>
    <row r="823" spans="1:3" ht="13" x14ac:dyDescent="0.15">
      <c r="A823" s="10"/>
      <c r="B823" s="13"/>
      <c r="C823" s="13"/>
    </row>
    <row r="824" spans="1:3" ht="13" x14ac:dyDescent="0.15">
      <c r="A824" s="10"/>
      <c r="B824" s="13"/>
      <c r="C824" s="13"/>
    </row>
    <row r="825" spans="1:3" ht="13" x14ac:dyDescent="0.15">
      <c r="A825" s="10"/>
      <c r="B825" s="13"/>
      <c r="C825" s="13"/>
    </row>
    <row r="826" spans="1:3" ht="13" x14ac:dyDescent="0.15">
      <c r="A826" s="10"/>
      <c r="B826" s="13"/>
      <c r="C826" s="13"/>
    </row>
    <row r="827" spans="1:3" ht="13" x14ac:dyDescent="0.15">
      <c r="A827" s="10"/>
      <c r="B827" s="13"/>
      <c r="C827" s="13"/>
    </row>
    <row r="828" spans="1:3" ht="13" x14ac:dyDescent="0.15">
      <c r="A828" s="10"/>
      <c r="B828" s="13"/>
      <c r="C828" s="13"/>
    </row>
    <row r="829" spans="1:3" ht="13" x14ac:dyDescent="0.15">
      <c r="A829" s="10"/>
      <c r="B829" s="13"/>
      <c r="C829" s="13"/>
    </row>
    <row r="830" spans="1:3" ht="13" x14ac:dyDescent="0.15">
      <c r="A830" s="10"/>
      <c r="B830" s="13"/>
      <c r="C830" s="13"/>
    </row>
    <row r="831" spans="1:3" ht="13" x14ac:dyDescent="0.15">
      <c r="A831" s="10"/>
      <c r="B831" s="13"/>
      <c r="C831" s="13"/>
    </row>
    <row r="832" spans="1:3" ht="13" x14ac:dyDescent="0.15">
      <c r="A832" s="10"/>
      <c r="B832" s="13"/>
      <c r="C832" s="13"/>
    </row>
    <row r="833" spans="1:3" ht="13" x14ac:dyDescent="0.15">
      <c r="A833" s="10"/>
      <c r="B833" s="13"/>
      <c r="C833" s="13"/>
    </row>
    <row r="834" spans="1:3" ht="13" x14ac:dyDescent="0.15">
      <c r="A834" s="10"/>
      <c r="B834" s="13"/>
      <c r="C834" s="13"/>
    </row>
    <row r="835" spans="1:3" ht="13" x14ac:dyDescent="0.15">
      <c r="A835" s="10"/>
      <c r="B835" s="13"/>
      <c r="C835" s="13"/>
    </row>
    <row r="836" spans="1:3" ht="13" x14ac:dyDescent="0.15">
      <c r="A836" s="10"/>
      <c r="B836" s="13"/>
      <c r="C836" s="13"/>
    </row>
    <row r="837" spans="1:3" ht="13" x14ac:dyDescent="0.15">
      <c r="A837" s="10"/>
      <c r="B837" s="13"/>
      <c r="C837" s="13"/>
    </row>
    <row r="838" spans="1:3" ht="13" x14ac:dyDescent="0.15">
      <c r="A838" s="10"/>
      <c r="B838" s="13"/>
      <c r="C838" s="13"/>
    </row>
    <row r="839" spans="1:3" ht="13" x14ac:dyDescent="0.15">
      <c r="A839" s="10"/>
      <c r="B839" s="13"/>
      <c r="C839" s="13"/>
    </row>
    <row r="840" spans="1:3" ht="13" x14ac:dyDescent="0.15">
      <c r="A840" s="10"/>
      <c r="B840" s="13"/>
      <c r="C840" s="13"/>
    </row>
    <row r="841" spans="1:3" ht="13" x14ac:dyDescent="0.15">
      <c r="A841" s="10"/>
      <c r="B841" s="13"/>
      <c r="C841" s="13"/>
    </row>
    <row r="842" spans="1:3" ht="13" x14ac:dyDescent="0.15">
      <c r="A842" s="10"/>
      <c r="B842" s="13"/>
      <c r="C842" s="13"/>
    </row>
    <row r="843" spans="1:3" ht="13" x14ac:dyDescent="0.15">
      <c r="A843" s="10"/>
      <c r="B843" s="13"/>
      <c r="C843" s="13"/>
    </row>
    <row r="844" spans="1:3" ht="13" x14ac:dyDescent="0.15">
      <c r="A844" s="10"/>
      <c r="B844" s="13"/>
      <c r="C844" s="13"/>
    </row>
    <row r="845" spans="1:3" ht="13" x14ac:dyDescent="0.15">
      <c r="A845" s="10"/>
      <c r="B845" s="13"/>
      <c r="C845" s="13"/>
    </row>
    <row r="846" spans="1:3" ht="13" x14ac:dyDescent="0.15">
      <c r="A846" s="10"/>
      <c r="B846" s="13"/>
      <c r="C846" s="13"/>
    </row>
    <row r="847" spans="1:3" ht="13" x14ac:dyDescent="0.15">
      <c r="A847" s="10"/>
      <c r="B847" s="13"/>
      <c r="C847" s="13"/>
    </row>
    <row r="848" spans="1:3" ht="13" x14ac:dyDescent="0.15">
      <c r="A848" s="10"/>
      <c r="B848" s="13"/>
      <c r="C848" s="13"/>
    </row>
    <row r="849" spans="1:3" ht="13" x14ac:dyDescent="0.15">
      <c r="A849" s="10"/>
      <c r="B849" s="13"/>
      <c r="C849" s="13"/>
    </row>
    <row r="850" spans="1:3" ht="13" x14ac:dyDescent="0.15">
      <c r="A850" s="10"/>
      <c r="B850" s="13"/>
      <c r="C850" s="13"/>
    </row>
    <row r="851" spans="1:3" ht="13" x14ac:dyDescent="0.15">
      <c r="A851" s="10"/>
      <c r="B851" s="13"/>
      <c r="C851" s="13"/>
    </row>
    <row r="852" spans="1:3" ht="13" x14ac:dyDescent="0.15">
      <c r="A852" s="10"/>
      <c r="B852" s="13"/>
      <c r="C852" s="13"/>
    </row>
    <row r="853" spans="1:3" ht="13" x14ac:dyDescent="0.15">
      <c r="A853" s="10"/>
      <c r="B853" s="13"/>
      <c r="C853" s="13"/>
    </row>
    <row r="854" spans="1:3" ht="13" x14ac:dyDescent="0.15">
      <c r="A854" s="10"/>
      <c r="B854" s="13"/>
      <c r="C854" s="13"/>
    </row>
    <row r="855" spans="1:3" ht="13" x14ac:dyDescent="0.15">
      <c r="A855" s="10"/>
      <c r="B855" s="13"/>
      <c r="C855" s="13"/>
    </row>
    <row r="856" spans="1:3" ht="13" x14ac:dyDescent="0.15">
      <c r="A856" s="10"/>
      <c r="B856" s="13"/>
      <c r="C856" s="13"/>
    </row>
    <row r="857" spans="1:3" ht="13" x14ac:dyDescent="0.15">
      <c r="A857" s="10"/>
      <c r="B857" s="13"/>
      <c r="C857" s="13"/>
    </row>
    <row r="858" spans="1:3" ht="13" x14ac:dyDescent="0.15">
      <c r="A858" s="10"/>
      <c r="B858" s="13"/>
      <c r="C858" s="13"/>
    </row>
    <row r="859" spans="1:3" ht="13" x14ac:dyDescent="0.15">
      <c r="A859" s="10"/>
      <c r="B859" s="13"/>
      <c r="C859" s="13"/>
    </row>
    <row r="860" spans="1:3" ht="13" x14ac:dyDescent="0.15">
      <c r="A860" s="10"/>
      <c r="B860" s="13"/>
      <c r="C860" s="13"/>
    </row>
    <row r="861" spans="1:3" ht="13" x14ac:dyDescent="0.15">
      <c r="A861" s="10"/>
      <c r="B861" s="13"/>
      <c r="C861" s="13"/>
    </row>
    <row r="862" spans="1:3" ht="13" x14ac:dyDescent="0.15">
      <c r="A862" s="10"/>
      <c r="B862" s="13"/>
      <c r="C862" s="13"/>
    </row>
    <row r="863" spans="1:3" ht="13" x14ac:dyDescent="0.15">
      <c r="A863" s="10"/>
      <c r="B863" s="13"/>
      <c r="C863" s="13"/>
    </row>
    <row r="864" spans="1:3" ht="13" x14ac:dyDescent="0.15">
      <c r="A864" s="10"/>
      <c r="B864" s="13"/>
      <c r="C864" s="13"/>
    </row>
    <row r="865" spans="1:3" ht="13" x14ac:dyDescent="0.15">
      <c r="A865" s="10"/>
      <c r="B865" s="13"/>
      <c r="C865" s="13"/>
    </row>
    <row r="866" spans="1:3" ht="13" x14ac:dyDescent="0.15">
      <c r="A866" s="10"/>
      <c r="B866" s="13"/>
      <c r="C866" s="13"/>
    </row>
    <row r="867" spans="1:3" ht="13" x14ac:dyDescent="0.15">
      <c r="A867" s="10"/>
      <c r="B867" s="13"/>
      <c r="C867" s="13"/>
    </row>
    <row r="868" spans="1:3" ht="13" x14ac:dyDescent="0.15">
      <c r="A868" s="10"/>
      <c r="B868" s="13"/>
      <c r="C868" s="13"/>
    </row>
    <row r="869" spans="1:3" ht="13" x14ac:dyDescent="0.15">
      <c r="A869" s="10"/>
      <c r="B869" s="13"/>
      <c r="C869" s="13"/>
    </row>
    <row r="870" spans="1:3" ht="13" x14ac:dyDescent="0.15">
      <c r="A870" s="10"/>
      <c r="B870" s="13"/>
      <c r="C870" s="13"/>
    </row>
    <row r="871" spans="1:3" ht="13" x14ac:dyDescent="0.15">
      <c r="A871" s="10"/>
      <c r="B871" s="13"/>
      <c r="C871" s="13"/>
    </row>
    <row r="872" spans="1:3" ht="13" x14ac:dyDescent="0.15">
      <c r="A872" s="10"/>
      <c r="B872" s="13"/>
      <c r="C872" s="13"/>
    </row>
    <row r="873" spans="1:3" ht="13" x14ac:dyDescent="0.15">
      <c r="A873" s="10"/>
      <c r="B873" s="13"/>
      <c r="C873" s="13"/>
    </row>
    <row r="874" spans="1:3" ht="13" x14ac:dyDescent="0.15">
      <c r="A874" s="10"/>
      <c r="B874" s="13"/>
      <c r="C874" s="13"/>
    </row>
    <row r="875" spans="1:3" ht="13" x14ac:dyDescent="0.15">
      <c r="A875" s="10"/>
      <c r="B875" s="13"/>
      <c r="C875" s="13"/>
    </row>
    <row r="876" spans="1:3" ht="13" x14ac:dyDescent="0.15">
      <c r="A876" s="10"/>
      <c r="B876" s="13"/>
      <c r="C876" s="13"/>
    </row>
    <row r="877" spans="1:3" ht="13" x14ac:dyDescent="0.15">
      <c r="A877" s="10"/>
      <c r="B877" s="13"/>
      <c r="C877" s="13"/>
    </row>
    <row r="878" spans="1:3" ht="13" x14ac:dyDescent="0.15">
      <c r="A878" s="10"/>
      <c r="B878" s="13"/>
      <c r="C878" s="13"/>
    </row>
    <row r="879" spans="1:3" ht="13" x14ac:dyDescent="0.15">
      <c r="A879" s="10"/>
      <c r="B879" s="13"/>
      <c r="C879" s="13"/>
    </row>
    <row r="880" spans="1:3" ht="13" x14ac:dyDescent="0.15">
      <c r="A880" s="10"/>
      <c r="B880" s="13"/>
      <c r="C880" s="13"/>
    </row>
    <row r="881" spans="1:3" ht="13" x14ac:dyDescent="0.15">
      <c r="A881" s="10"/>
      <c r="B881" s="13"/>
      <c r="C881" s="13"/>
    </row>
    <row r="882" spans="1:3" ht="13" x14ac:dyDescent="0.15">
      <c r="A882" s="10"/>
      <c r="B882" s="13"/>
      <c r="C882" s="13"/>
    </row>
    <row r="883" spans="1:3" ht="13" x14ac:dyDescent="0.15">
      <c r="A883" s="10"/>
      <c r="B883" s="13"/>
      <c r="C883" s="13"/>
    </row>
    <row r="884" spans="1:3" ht="13" x14ac:dyDescent="0.15">
      <c r="A884" s="10"/>
      <c r="B884" s="13"/>
      <c r="C884" s="13"/>
    </row>
    <row r="885" spans="1:3" ht="13" x14ac:dyDescent="0.15">
      <c r="A885" s="10"/>
      <c r="B885" s="13"/>
      <c r="C885" s="13"/>
    </row>
    <row r="886" spans="1:3" ht="13" x14ac:dyDescent="0.15">
      <c r="A886" s="10"/>
      <c r="B886" s="13"/>
      <c r="C886" s="13"/>
    </row>
    <row r="887" spans="1:3" ht="13" x14ac:dyDescent="0.15">
      <c r="A887" s="10"/>
      <c r="B887" s="13"/>
      <c r="C887" s="13"/>
    </row>
    <row r="888" spans="1:3" ht="13" x14ac:dyDescent="0.15">
      <c r="A888" s="10"/>
      <c r="B888" s="13"/>
      <c r="C888" s="13"/>
    </row>
    <row r="889" spans="1:3" ht="13" x14ac:dyDescent="0.15">
      <c r="A889" s="10"/>
      <c r="B889" s="13"/>
      <c r="C889" s="13"/>
    </row>
    <row r="890" spans="1:3" ht="13" x14ac:dyDescent="0.15">
      <c r="A890" s="10"/>
      <c r="B890" s="13"/>
      <c r="C890" s="13"/>
    </row>
    <row r="891" spans="1:3" ht="13" x14ac:dyDescent="0.15">
      <c r="A891" s="10"/>
      <c r="B891" s="13"/>
      <c r="C891" s="13"/>
    </row>
    <row r="892" spans="1:3" ht="13" x14ac:dyDescent="0.15">
      <c r="A892" s="10"/>
      <c r="B892" s="13"/>
      <c r="C892" s="13"/>
    </row>
    <row r="893" spans="1:3" ht="13" x14ac:dyDescent="0.15">
      <c r="A893" s="10"/>
      <c r="B893" s="13"/>
      <c r="C893" s="13"/>
    </row>
    <row r="894" spans="1:3" ht="13" x14ac:dyDescent="0.15">
      <c r="A894" s="10"/>
      <c r="B894" s="13"/>
      <c r="C894" s="13"/>
    </row>
    <row r="895" spans="1:3" ht="13" x14ac:dyDescent="0.15">
      <c r="A895" s="10"/>
      <c r="B895" s="13"/>
      <c r="C895" s="13"/>
    </row>
    <row r="896" spans="1:3" ht="13" x14ac:dyDescent="0.15">
      <c r="A896" s="10"/>
      <c r="B896" s="13"/>
      <c r="C896" s="13"/>
    </row>
    <row r="897" spans="1:3" ht="13" x14ac:dyDescent="0.15">
      <c r="A897" s="10"/>
      <c r="B897" s="13"/>
      <c r="C897" s="13"/>
    </row>
    <row r="898" spans="1:3" ht="13" x14ac:dyDescent="0.15">
      <c r="A898" s="10"/>
      <c r="B898" s="13"/>
      <c r="C898" s="13"/>
    </row>
    <row r="899" spans="1:3" ht="13" x14ac:dyDescent="0.15">
      <c r="A899" s="10"/>
      <c r="B899" s="13"/>
      <c r="C899" s="13"/>
    </row>
    <row r="900" spans="1:3" ht="13" x14ac:dyDescent="0.15">
      <c r="A900" s="10"/>
      <c r="B900" s="13"/>
      <c r="C900" s="13"/>
    </row>
    <row r="901" spans="1:3" ht="13" x14ac:dyDescent="0.15">
      <c r="A901" s="10"/>
      <c r="B901" s="13"/>
      <c r="C901" s="13"/>
    </row>
    <row r="902" spans="1:3" ht="13" x14ac:dyDescent="0.15">
      <c r="A902" s="10"/>
      <c r="B902" s="13"/>
      <c r="C902" s="13"/>
    </row>
    <row r="903" spans="1:3" ht="13" x14ac:dyDescent="0.15">
      <c r="A903" s="10"/>
      <c r="B903" s="13"/>
      <c r="C903" s="13"/>
    </row>
    <row r="904" spans="1:3" ht="13" x14ac:dyDescent="0.15">
      <c r="A904" s="10"/>
      <c r="B904" s="13"/>
      <c r="C904" s="13"/>
    </row>
    <row r="905" spans="1:3" ht="13" x14ac:dyDescent="0.15">
      <c r="A905" s="10"/>
      <c r="B905" s="13"/>
      <c r="C905" s="13"/>
    </row>
    <row r="906" spans="1:3" ht="13" x14ac:dyDescent="0.15">
      <c r="A906" s="10"/>
      <c r="B906" s="13"/>
      <c r="C906" s="13"/>
    </row>
    <row r="907" spans="1:3" ht="13" x14ac:dyDescent="0.15">
      <c r="A907" s="10"/>
      <c r="B907" s="13"/>
      <c r="C907" s="13"/>
    </row>
    <row r="908" spans="1:3" ht="13" x14ac:dyDescent="0.15">
      <c r="A908" s="10"/>
      <c r="B908" s="13"/>
      <c r="C908" s="13"/>
    </row>
    <row r="909" spans="1:3" ht="13" x14ac:dyDescent="0.15">
      <c r="A909" s="10"/>
      <c r="B909" s="13"/>
      <c r="C909" s="13"/>
    </row>
    <row r="910" spans="1:3" ht="13" x14ac:dyDescent="0.15">
      <c r="A910" s="10"/>
      <c r="B910" s="13"/>
      <c r="C910" s="13"/>
    </row>
    <row r="911" spans="1:3" ht="13" x14ac:dyDescent="0.15">
      <c r="A911" s="10"/>
      <c r="B911" s="13"/>
      <c r="C911" s="13"/>
    </row>
    <row r="912" spans="1:3" ht="13" x14ac:dyDescent="0.15">
      <c r="A912" s="10"/>
      <c r="B912" s="13"/>
      <c r="C912" s="13"/>
    </row>
    <row r="913" spans="1:3" ht="13" x14ac:dyDescent="0.15">
      <c r="A913" s="10"/>
      <c r="B913" s="13"/>
      <c r="C913" s="13"/>
    </row>
    <row r="914" spans="1:3" ht="13" x14ac:dyDescent="0.15">
      <c r="A914" s="10"/>
      <c r="B914" s="13"/>
      <c r="C914" s="13"/>
    </row>
    <row r="915" spans="1:3" ht="13" x14ac:dyDescent="0.15">
      <c r="A915" s="10"/>
      <c r="B915" s="13"/>
      <c r="C915" s="13"/>
    </row>
    <row r="916" spans="1:3" ht="13" x14ac:dyDescent="0.15">
      <c r="A916" s="10"/>
      <c r="B916" s="13"/>
      <c r="C916" s="13"/>
    </row>
    <row r="917" spans="1:3" ht="13" x14ac:dyDescent="0.15">
      <c r="A917" s="10"/>
      <c r="B917" s="13"/>
      <c r="C917" s="13"/>
    </row>
    <row r="918" spans="1:3" ht="13" x14ac:dyDescent="0.15">
      <c r="A918" s="10"/>
      <c r="B918" s="13"/>
      <c r="C918" s="13"/>
    </row>
    <row r="919" spans="1:3" ht="13" x14ac:dyDescent="0.15">
      <c r="A919" s="10"/>
      <c r="B919" s="13"/>
      <c r="C919" s="13"/>
    </row>
    <row r="920" spans="1:3" ht="13" x14ac:dyDescent="0.15">
      <c r="A920" s="10"/>
      <c r="B920" s="13"/>
      <c r="C920" s="13"/>
    </row>
    <row r="921" spans="1:3" ht="13" x14ac:dyDescent="0.15">
      <c r="A921" s="10"/>
      <c r="B921" s="13"/>
      <c r="C921" s="13"/>
    </row>
    <row r="922" spans="1:3" ht="13" x14ac:dyDescent="0.15">
      <c r="A922" s="10"/>
      <c r="B922" s="13"/>
      <c r="C922" s="13"/>
    </row>
    <row r="923" spans="1:3" ht="13" x14ac:dyDescent="0.15">
      <c r="A923" s="10"/>
      <c r="B923" s="13"/>
      <c r="C923" s="13"/>
    </row>
    <row r="924" spans="1:3" ht="13" x14ac:dyDescent="0.15">
      <c r="A924" s="10"/>
      <c r="B924" s="13"/>
      <c r="C924" s="13"/>
    </row>
    <row r="925" spans="1:3" ht="13" x14ac:dyDescent="0.15">
      <c r="A925" s="10"/>
      <c r="B925" s="13"/>
      <c r="C925" s="13"/>
    </row>
    <row r="926" spans="1:3" ht="13" x14ac:dyDescent="0.15">
      <c r="A926" s="10"/>
      <c r="B926" s="13"/>
      <c r="C926" s="13"/>
    </row>
    <row r="927" spans="1:3" ht="13" x14ac:dyDescent="0.15">
      <c r="A927" s="10"/>
      <c r="B927" s="13"/>
      <c r="C927" s="13"/>
    </row>
    <row r="928" spans="1:3" ht="13" x14ac:dyDescent="0.15">
      <c r="A928" s="10"/>
      <c r="B928" s="13"/>
      <c r="C928" s="13"/>
    </row>
    <row r="929" spans="1:3" ht="13" x14ac:dyDescent="0.15">
      <c r="A929" s="10"/>
      <c r="B929" s="13"/>
      <c r="C929" s="13"/>
    </row>
    <row r="930" spans="1:3" ht="13" x14ac:dyDescent="0.15">
      <c r="A930" s="10"/>
      <c r="B930" s="13"/>
      <c r="C930" s="13"/>
    </row>
    <row r="931" spans="1:3" ht="13" x14ac:dyDescent="0.15">
      <c r="A931" s="10"/>
      <c r="B931" s="13"/>
      <c r="C931" s="13"/>
    </row>
    <row r="932" spans="1:3" ht="13" x14ac:dyDescent="0.15">
      <c r="A932" s="10"/>
      <c r="B932" s="13"/>
      <c r="C932" s="13"/>
    </row>
    <row r="933" spans="1:3" ht="13" x14ac:dyDescent="0.15">
      <c r="A933" s="10"/>
      <c r="B933" s="13"/>
      <c r="C933" s="13"/>
    </row>
    <row r="934" spans="1:3" ht="13" x14ac:dyDescent="0.15">
      <c r="A934" s="10"/>
      <c r="B934" s="13"/>
      <c r="C934" s="13"/>
    </row>
    <row r="935" spans="1:3" ht="13" x14ac:dyDescent="0.15">
      <c r="A935" s="10"/>
      <c r="B935" s="13"/>
      <c r="C935" s="13"/>
    </row>
    <row r="936" spans="1:3" ht="13" x14ac:dyDescent="0.15">
      <c r="A936" s="10"/>
      <c r="B936" s="13"/>
      <c r="C936" s="13"/>
    </row>
    <row r="937" spans="1:3" ht="13" x14ac:dyDescent="0.15">
      <c r="A937" s="10"/>
      <c r="B937" s="13"/>
      <c r="C937" s="13"/>
    </row>
    <row r="938" spans="1:3" ht="13" x14ac:dyDescent="0.15">
      <c r="A938" s="10"/>
      <c r="B938" s="13"/>
      <c r="C938" s="13"/>
    </row>
    <row r="939" spans="1:3" ht="13" x14ac:dyDescent="0.15">
      <c r="A939" s="10"/>
      <c r="B939" s="13"/>
      <c r="C939" s="13"/>
    </row>
    <row r="940" spans="1:3" ht="13" x14ac:dyDescent="0.15">
      <c r="A940" s="10"/>
      <c r="B940" s="13"/>
      <c r="C940" s="13"/>
    </row>
    <row r="941" spans="1:3" ht="13" x14ac:dyDescent="0.15">
      <c r="A941" s="10"/>
      <c r="B941" s="13"/>
      <c r="C941" s="13"/>
    </row>
    <row r="942" spans="1:3" ht="13" x14ac:dyDescent="0.15">
      <c r="A942" s="10"/>
      <c r="B942" s="13"/>
      <c r="C942" s="13"/>
    </row>
    <row r="943" spans="1:3" ht="13" x14ac:dyDescent="0.15">
      <c r="A943" s="10"/>
      <c r="B943" s="13"/>
      <c r="C943" s="13"/>
    </row>
    <row r="944" spans="1:3" ht="13" x14ac:dyDescent="0.15">
      <c r="A944" s="10"/>
      <c r="B944" s="13"/>
      <c r="C944" s="13"/>
    </row>
    <row r="945" spans="1:3" ht="13" x14ac:dyDescent="0.15">
      <c r="A945" s="10"/>
      <c r="B945" s="13"/>
      <c r="C945" s="13"/>
    </row>
    <row r="946" spans="1:3" ht="13" x14ac:dyDescent="0.15">
      <c r="A946" s="10"/>
      <c r="B946" s="13"/>
      <c r="C946" s="13"/>
    </row>
    <row r="947" spans="1:3" ht="13" x14ac:dyDescent="0.15">
      <c r="A947" s="10"/>
      <c r="B947" s="13"/>
      <c r="C947" s="13"/>
    </row>
    <row r="948" spans="1:3" ht="13" x14ac:dyDescent="0.15">
      <c r="A948" s="10"/>
      <c r="B948" s="13"/>
      <c r="C948" s="13"/>
    </row>
    <row r="949" spans="1:3" ht="13" x14ac:dyDescent="0.15">
      <c r="A949" s="10"/>
      <c r="B949" s="13"/>
      <c r="C949" s="13"/>
    </row>
    <row r="950" spans="1:3" ht="13" x14ac:dyDescent="0.15">
      <c r="A950" s="10"/>
      <c r="B950" s="13"/>
      <c r="C950" s="13"/>
    </row>
    <row r="951" spans="1:3" ht="13" x14ac:dyDescent="0.15">
      <c r="A951" s="10"/>
      <c r="B951" s="13"/>
      <c r="C951" s="13"/>
    </row>
    <row r="952" spans="1:3" ht="13" x14ac:dyDescent="0.15">
      <c r="A952" s="10"/>
      <c r="B952" s="13"/>
      <c r="C952" s="13"/>
    </row>
    <row r="953" spans="1:3" ht="13" x14ac:dyDescent="0.15">
      <c r="A953" s="10"/>
      <c r="B953" s="13"/>
      <c r="C953" s="13"/>
    </row>
    <row r="954" spans="1:3" ht="13" x14ac:dyDescent="0.15">
      <c r="A954" s="10"/>
      <c r="B954" s="13"/>
      <c r="C954" s="13"/>
    </row>
    <row r="955" spans="1:3" ht="13" x14ac:dyDescent="0.15">
      <c r="A955" s="10"/>
      <c r="B955" s="13"/>
      <c r="C955" s="13"/>
    </row>
    <row r="956" spans="1:3" ht="13" x14ac:dyDescent="0.15">
      <c r="A956" s="10"/>
      <c r="B956" s="13"/>
      <c r="C956" s="13"/>
    </row>
    <row r="957" spans="1:3" ht="13" x14ac:dyDescent="0.15">
      <c r="A957" s="10"/>
      <c r="B957" s="13"/>
      <c r="C957" s="13"/>
    </row>
    <row r="958" spans="1:3" ht="13" x14ac:dyDescent="0.15">
      <c r="A958" s="10"/>
      <c r="B958" s="13"/>
      <c r="C958" s="13"/>
    </row>
    <row r="959" spans="1:3" ht="13" x14ac:dyDescent="0.15">
      <c r="A959" s="10"/>
      <c r="B959" s="13"/>
      <c r="C959" s="13"/>
    </row>
    <row r="960" spans="1:3" ht="13" x14ac:dyDescent="0.15">
      <c r="A960" s="10"/>
      <c r="B960" s="13"/>
      <c r="C960" s="13"/>
    </row>
    <row r="961" spans="1:3" ht="13" x14ac:dyDescent="0.15">
      <c r="A961" s="10"/>
      <c r="B961" s="13"/>
      <c r="C961" s="13"/>
    </row>
    <row r="962" spans="1:3" ht="13" x14ac:dyDescent="0.15">
      <c r="A962" s="10"/>
      <c r="B962" s="13"/>
      <c r="C962" s="13"/>
    </row>
    <row r="963" spans="1:3" ht="13" x14ac:dyDescent="0.15">
      <c r="A963" s="10"/>
      <c r="B963" s="13"/>
      <c r="C963" s="13"/>
    </row>
    <row r="964" spans="1:3" ht="13" x14ac:dyDescent="0.15">
      <c r="A964" s="10"/>
      <c r="B964" s="13"/>
      <c r="C964" s="13"/>
    </row>
    <row r="965" spans="1:3" ht="13" x14ac:dyDescent="0.15">
      <c r="A965" s="10"/>
      <c r="B965" s="13"/>
      <c r="C965" s="13"/>
    </row>
    <row r="966" spans="1:3" ht="13" x14ac:dyDescent="0.15">
      <c r="A966" s="10"/>
      <c r="B966" s="13"/>
      <c r="C966" s="13"/>
    </row>
    <row r="967" spans="1:3" ht="13" x14ac:dyDescent="0.15">
      <c r="A967" s="10"/>
      <c r="B967" s="13"/>
      <c r="C967" s="13"/>
    </row>
    <row r="968" spans="1:3" ht="13" x14ac:dyDescent="0.15">
      <c r="A968" s="10"/>
      <c r="B968" s="13"/>
      <c r="C968" s="13"/>
    </row>
    <row r="969" spans="1:3" ht="13" x14ac:dyDescent="0.15">
      <c r="A969" s="10"/>
      <c r="B969" s="13"/>
      <c r="C969" s="13"/>
    </row>
    <row r="970" spans="1:3" ht="13" x14ac:dyDescent="0.15">
      <c r="A970" s="10"/>
      <c r="B970" s="13"/>
      <c r="C970" s="13"/>
    </row>
    <row r="971" spans="1:3" ht="13" x14ac:dyDescent="0.15">
      <c r="A971" s="10"/>
      <c r="B971" s="13"/>
      <c r="C971" s="13"/>
    </row>
    <row r="972" spans="1:3" ht="13" x14ac:dyDescent="0.15">
      <c r="A972" s="10"/>
      <c r="B972" s="13"/>
      <c r="C972" s="13"/>
    </row>
    <row r="973" spans="1:3" ht="13" x14ac:dyDescent="0.15">
      <c r="A973" s="10"/>
      <c r="B973" s="13"/>
      <c r="C973" s="13"/>
    </row>
    <row r="974" spans="1:3" ht="13" x14ac:dyDescent="0.15">
      <c r="A974" s="10"/>
      <c r="B974" s="13"/>
      <c r="C974" s="13"/>
    </row>
    <row r="975" spans="1:3" ht="13" x14ac:dyDescent="0.15">
      <c r="A975" s="10"/>
      <c r="B975" s="13"/>
      <c r="C975" s="13"/>
    </row>
    <row r="976" spans="1:3" ht="13" x14ac:dyDescent="0.15">
      <c r="A976" s="10"/>
      <c r="B976" s="13"/>
      <c r="C976" s="13"/>
    </row>
    <row r="977" spans="1:3" ht="13" x14ac:dyDescent="0.15">
      <c r="A977" s="10"/>
      <c r="B977" s="13"/>
      <c r="C977" s="13"/>
    </row>
    <row r="978" spans="1:3" ht="13" x14ac:dyDescent="0.15">
      <c r="A978" s="10"/>
      <c r="B978" s="13"/>
      <c r="C978" s="13"/>
    </row>
    <row r="979" spans="1:3" ht="13" x14ac:dyDescent="0.15">
      <c r="A979" s="10"/>
      <c r="B979" s="13"/>
      <c r="C979" s="13"/>
    </row>
    <row r="980" spans="1:3" ht="13" x14ac:dyDescent="0.15">
      <c r="A980" s="10"/>
      <c r="B980" s="13"/>
      <c r="C980" s="13"/>
    </row>
    <row r="981" spans="1:3" ht="13" x14ac:dyDescent="0.15">
      <c r="A981" s="10"/>
      <c r="B981" s="13"/>
      <c r="C981" s="13"/>
    </row>
    <row r="982" spans="1:3" ht="13" x14ac:dyDescent="0.15">
      <c r="A982" s="10"/>
      <c r="B982" s="13"/>
      <c r="C982" s="13"/>
    </row>
    <row r="983" spans="1:3" ht="13" x14ac:dyDescent="0.15">
      <c r="A983" s="10"/>
      <c r="B983" s="13"/>
      <c r="C983" s="13"/>
    </row>
    <row r="984" spans="1:3" ht="13" x14ac:dyDescent="0.15">
      <c r="A984" s="10"/>
      <c r="B984" s="13"/>
      <c r="C984" s="13"/>
    </row>
    <row r="985" spans="1:3" ht="13" x14ac:dyDescent="0.15">
      <c r="A985" s="10"/>
      <c r="B985" s="13"/>
      <c r="C985" s="13"/>
    </row>
    <row r="986" spans="1:3" ht="13" x14ac:dyDescent="0.15">
      <c r="A986" s="10"/>
      <c r="B986" s="13"/>
      <c r="C986" s="13"/>
    </row>
    <row r="987" spans="1:3" ht="13" x14ac:dyDescent="0.15">
      <c r="A987" s="10"/>
      <c r="B987" s="13"/>
      <c r="C987" s="13"/>
    </row>
    <row r="988" spans="1:3" ht="13" x14ac:dyDescent="0.15">
      <c r="A988" s="10"/>
      <c r="B988" s="13"/>
      <c r="C988" s="13"/>
    </row>
    <row r="989" spans="1:3" ht="13" x14ac:dyDescent="0.15">
      <c r="A989" s="10"/>
      <c r="B989" s="13"/>
      <c r="C989" s="13"/>
    </row>
    <row r="990" spans="1:3" ht="13" x14ac:dyDescent="0.15">
      <c r="A990" s="10"/>
      <c r="B990" s="13"/>
      <c r="C990" s="13"/>
    </row>
    <row r="991" spans="1:3" ht="13" x14ac:dyDescent="0.15">
      <c r="A991" s="10"/>
      <c r="B991" s="13"/>
      <c r="C991" s="13"/>
    </row>
    <row r="992" spans="1:3" ht="13" x14ac:dyDescent="0.15">
      <c r="A992" s="10"/>
      <c r="B992" s="13"/>
      <c r="C992" s="13"/>
    </row>
    <row r="993" spans="1:3" ht="13" x14ac:dyDescent="0.15">
      <c r="A993" s="10"/>
      <c r="B993" s="13"/>
      <c r="C993" s="13"/>
    </row>
    <row r="994" spans="1:3" ht="13" x14ac:dyDescent="0.15">
      <c r="A994" s="10"/>
      <c r="B994" s="13"/>
      <c r="C994" s="13"/>
    </row>
    <row r="995" spans="1:3" ht="13" x14ac:dyDescent="0.15">
      <c r="A995" s="10"/>
      <c r="B995" s="13"/>
      <c r="C995" s="13"/>
    </row>
    <row r="996" spans="1:3" ht="13" x14ac:dyDescent="0.15">
      <c r="A996" s="10"/>
      <c r="B996" s="13"/>
      <c r="C996" s="13"/>
    </row>
    <row r="997" spans="1:3" ht="13" x14ac:dyDescent="0.15">
      <c r="A997" s="10"/>
      <c r="B997" s="13"/>
      <c r="C997" s="13"/>
    </row>
  </sheetData>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outlinePr summaryBelow="0" summaryRight="0"/>
  </sheetPr>
  <dimension ref="A1:D997"/>
  <sheetViews>
    <sheetView workbookViewId="0"/>
  </sheetViews>
  <sheetFormatPr baseColWidth="10" defaultColWidth="12.6640625" defaultRowHeight="15.75" customHeight="1" x14ac:dyDescent="0.15"/>
  <cols>
    <col min="1" max="1" width="71.5" customWidth="1"/>
    <col min="2" max="4" width="37.6640625" customWidth="1"/>
  </cols>
  <sheetData>
    <row r="1" spans="1:4" ht="15.75" customHeight="1" x14ac:dyDescent="0.15">
      <c r="A1" s="1"/>
      <c r="B1" s="10" t="str">
        <f ca="1">IFERROR(__xludf.DUMMYFUNCTION("IMPORTRANGE(""https://docs.google.com/spreadsheets/u/0/d/19yPRVnLV0A_2o92-w6L11RYWj24Qqnerv8i8p-ngiq4"", ""A90!B1:B22"")"),"Jackson Root")</f>
        <v>Jackson Root</v>
      </c>
      <c r="C1" s="10" t="str">
        <f ca="1">IFERROR(__xludf.DUMMYFUNCTION("IMPORTRANGE(""https://docs.google.com/spreadsheets/u/0/d/1QLAeYl5D81_Myo-agZdCgYFm7rliPzxg4xkt-QHL9OA"", ""A90!B1:B22"")"),"Rin Godfrey")</f>
        <v>Rin Godfrey</v>
      </c>
      <c r="D1" s="2" t="s">
        <v>1</v>
      </c>
    </row>
    <row r="2" spans="1:4" ht="15.75" customHeight="1" x14ac:dyDescent="0.15">
      <c r="A2" s="3" t="s">
        <v>2</v>
      </c>
      <c r="B2" s="15" t="str">
        <f ca="1">IFERROR(__xludf.DUMMYFUNCTION("""COMPUTED_VALUE"""),"Stop: 54322  For")</f>
        <v>Stop: 54322  For</v>
      </c>
      <c r="C2" s="15" t="str">
        <f ca="1">IFERROR(__xludf.DUMMYFUNCTION("""COMPUTED_VALUE"""),"Start: 53957
Stop: 54322 FOR")</f>
        <v>Start: 53957
Stop: 54322 FOR</v>
      </c>
      <c r="D2" s="4"/>
    </row>
    <row r="3" spans="1:4" ht="15.75" customHeight="1" x14ac:dyDescent="0.15">
      <c r="A3" s="5" t="s">
        <v>3</v>
      </c>
      <c r="B3" s="17" t="str">
        <f ca="1">IFERROR(__xludf.DUMMYFUNCTION("""COMPUTED_VALUE"""),"Pham: 90   DNA: 89")</f>
        <v>Pham: 90   DNA: 89</v>
      </c>
      <c r="C3" s="17" t="str">
        <f ca="1">IFERROR(__xludf.DUMMYFUNCTION("""COMPUTED_VALUE"""),"DNA Master: 89
Phamerator: 90")</f>
        <v>DNA Master: 89
Phamerator: 90</v>
      </c>
      <c r="D3" s="6"/>
    </row>
    <row r="4" spans="1:4" ht="15.75" customHeight="1" x14ac:dyDescent="0.15">
      <c r="A4" s="5" t="s">
        <v>4</v>
      </c>
      <c r="B4" s="17" t="str">
        <f ca="1">IFERROR(__xludf.DUMMYFUNCTION("""COMPUTED_VALUE"""),"pham 209850  03/17/25")</f>
        <v>pham 209850  03/17/25</v>
      </c>
      <c r="C4" s="17" t="str">
        <f ca="1">IFERROR(__xludf.DUMMYFUNCTION("""COMPUTED_VALUE"""),"209850 3/18/25")</f>
        <v>209850 3/18/25</v>
      </c>
      <c r="D4" s="6"/>
    </row>
    <row r="5" spans="1:4" ht="15.75" customHeight="1" x14ac:dyDescent="0.15">
      <c r="A5" s="5" t="s">
        <v>5</v>
      </c>
      <c r="B5" s="17" t="str">
        <f ca="1">IFERROR(__xludf.DUMMYFUNCTION("""COMPUTED_VALUE"""),"Orpham")</f>
        <v>Orpham</v>
      </c>
      <c r="C5" s="17" t="str">
        <f ca="1">IFERROR(__xludf.DUMMYFUNCTION("""COMPUTED_VALUE"""),"Orpham")</f>
        <v>Orpham</v>
      </c>
      <c r="D5" s="6"/>
    </row>
    <row r="6" spans="1:4" ht="15.75" customHeight="1" x14ac:dyDescent="0.15">
      <c r="A6" s="5" t="s">
        <v>6</v>
      </c>
      <c r="B6" s="17" t="str">
        <f ca="1">IFERROR(__xludf.DUMMYFUNCTION("""COMPUTED_VALUE"""),"Both call 53957")</f>
        <v>Both call 53957</v>
      </c>
      <c r="C6" s="17" t="str">
        <f ca="1">IFERROR(__xludf.DUMMYFUNCTION("""COMPUTED_VALUE"""),"Both called with a strength of 11.78")</f>
        <v>Both called with a strength of 11.78</v>
      </c>
      <c r="D6" s="6"/>
    </row>
    <row r="7" spans="1:4" ht="15.75" customHeight="1" x14ac:dyDescent="0.15">
      <c r="A7" s="5" t="s">
        <v>7</v>
      </c>
      <c r="B7" s="17" t="str">
        <f ca="1">IFERROR(__xludf.DUMMYFUNCTION("""COMPUTED_VALUE"""),"Yes theres coding potential within the current start, but theres more codinbg poential further up the genome, though its less good")</f>
        <v>Yes theres coding potential within the current start, but theres more codinbg poential further up the genome, though its less good</v>
      </c>
      <c r="C7" s="17" t="str">
        <f ca="1">IFERROR(__xludf.DUMMYFUNCTION("""COMPUTED_VALUE"""),"It is good but there is some missed coding potential at the beginning.")</f>
        <v>It is good but there is some missed coding potential at the beginning.</v>
      </c>
      <c r="D7" s="6"/>
    </row>
    <row r="8" spans="1:4" ht="15.75" customHeight="1" x14ac:dyDescent="0.15">
      <c r="A8" s="5" t="s">
        <v>8</v>
      </c>
      <c r="B8" s="17" t="str">
        <f ca="1">IFERROR(__xludf.DUMMYFUNCTION("""COMPUTED_VALUE"""),"no, theres more starts ahead of the current one called")</f>
        <v>no, theres more starts ahead of the current one called</v>
      </c>
      <c r="C8" s="17" t="str">
        <f ca="1">IFERROR(__xludf.DUMMYFUNCTION("""COMPUTED_VALUE"""),"There are longer ORF. There is many more starts to this gene bedor the previse gene start.")</f>
        <v>There are longer ORF. There is many more starts to this gene bedor the previse gene start.</v>
      </c>
      <c r="D8" s="6"/>
    </row>
    <row r="9" spans="1:4" ht="15.75" customHeight="1" x14ac:dyDescent="0.15">
      <c r="A9" s="5" t="s">
        <v>9</v>
      </c>
      <c r="B9" s="17" t="str">
        <f ca="1">IFERROR(__xludf.DUMMYFUNCTION("""COMPUTED_VALUE"""),"Gap with previous: 471 Bp gap; overlap with next: 1 Bp ")</f>
        <v xml:space="preserve">Gap with previous: 471 Bp gap; overlap with next: 1 Bp </v>
      </c>
      <c r="C9" s="17" t="str">
        <f ca="1">IFERROR(__xludf.DUMMYFUNCTION("""COMPUTED_VALUE"""),"Gap of 468 nucleotides between the previse gene.")</f>
        <v>Gap of 468 nucleotides between the previse gene.</v>
      </c>
      <c r="D9" s="6"/>
    </row>
    <row r="10" spans="1:4" ht="15.75" customHeight="1" x14ac:dyDescent="0.15">
      <c r="A10" s="5" t="s">
        <v>10</v>
      </c>
      <c r="B10" s="17" t="str">
        <f ca="1">IFERROR(__xludf.DUMMYFUNCTION("""COMPUTED_VALUE"""),"Current start has an ok RBS score (1.557), but at the very first start has a great BS of 3.121")</f>
        <v>Current start has an ok RBS score (1.557), but at the very first start has a great BS of 3.121</v>
      </c>
      <c r="C10" s="17" t="str">
        <f ca="1">IFERROR(__xludf.DUMMYFUNCTION("""COMPUTED_VALUE"""),"The one that is chosen is Raw score -4.759, Z-score 1.557, F-score -5.454 but there are better ones.
New one Raw-score -3.225, Z-score 2.270, F-score -5.526 with a new start of 53606.")</f>
        <v>The one that is chosen is Raw score -4.759, Z-score 1.557, F-score -5.454 but there are better ones.
New one Raw-score -3.225, Z-score 2.270, F-score -5.526 with a new start of 53606.</v>
      </c>
      <c r="D10" s="6"/>
    </row>
    <row r="11" spans="1:4" ht="15.75" customHeight="1" x14ac:dyDescent="0.15">
      <c r="A11" s="5" t="s">
        <v>11</v>
      </c>
      <c r="B11" s="17" t="str">
        <f ca="1">IFERROR(__xludf.DUMMYFUNCTION("""COMPUTED_VALUE"""),"Identity: 88.72%; E-val: 0.0e0; Q1:T1")</f>
        <v>Identity: 88.72%; E-val: 0.0e0; Q1:T1</v>
      </c>
      <c r="C11" s="17" t="str">
        <f ca="1">IFERROR(__xludf.DUMMYFUNCTION("""COMPUTED_VALUE"""),"Kovu_88, 59% identity, 1e-29
Q: 2 - 104
T: 169 - 273")</f>
        <v>Kovu_88, 59% identity, 1e-29
Q: 2 - 104
T: 169 - 273</v>
      </c>
      <c r="D11" s="6"/>
    </row>
    <row r="12" spans="1:4" ht="15.75" customHeight="1" x14ac:dyDescent="0.15">
      <c r="A12" s="5" t="s">
        <v>12</v>
      </c>
      <c r="B12" s="17" t="str">
        <f ca="1">IFERROR(__xludf.DUMMYFUNCTION("""COMPUTED_VALUE"""),"Orpham")</f>
        <v>Orpham</v>
      </c>
      <c r="C12" s="17" t="str">
        <f ca="1">IFERROR(__xludf.DUMMYFUNCTION("""COMPUTED_VALUE"""),"Orpham")</f>
        <v>Orpham</v>
      </c>
      <c r="D12" s="6"/>
    </row>
    <row r="13" spans="1:4" ht="15.75" customHeight="1" x14ac:dyDescent="0.15">
      <c r="A13" s="5" t="s">
        <v>13</v>
      </c>
      <c r="B13" s="17" t="str">
        <f ca="1">IFERROR(__xludf.DUMMYFUNCTION("""COMPUTED_VALUE"""),"Yes because theres still coding potential to be cauptureed that the current start does not cover, as well as teh RBS score being in favor of the start change rather than the current, and even thoough it is an orpham, Kovu still has a gene (88 in Phamerato"&amp;"r) in the same area of the DNA sequence, and the gene in Kovu spans the whole gap rather than just half, implying that the gene start shuld be moved.")</f>
        <v>Yes because theres still coding potential to be cauptureed that the current start does not cover, as well as teh RBS score being in favor of the start change rather than the current, and even thoough it is an orpham, Kovu still has a gene (88 in Phamerator) in the same area of the DNA sequence, and the gene in Kovu spans the whole gap rather than just half, implying that the gene start shuld be moved.</v>
      </c>
      <c r="C13" s="17" t="str">
        <f ca="1">IFERROR(__xludf.DUMMYFUNCTION("""COMPUTED_VALUE"""),"We should change the start of this gene.")</f>
        <v>We should change the start of this gene.</v>
      </c>
      <c r="D13" s="6"/>
    </row>
    <row r="14" spans="1:4" ht="15.75" customHeight="1" x14ac:dyDescent="0.15">
      <c r="A14" s="5" t="s">
        <v>14</v>
      </c>
      <c r="B14" s="17" t="str">
        <f ca="1">IFERROR(__xludf.DUMMYFUNCTION("""COMPUTED_VALUE"""),"Kovu_88: 1e-26; Wheelbite_84:1e-14")</f>
        <v>Kovu_88: 1e-26; Wheelbite_84:1e-14</v>
      </c>
      <c r="C14" s="17" t="str">
        <f ca="1">IFERROR(__xludf.DUMMYFUNCTION("""COMPUTED_VALUE"""),"Kovu_88, 1e-26 
Wheelbite_84, 1e-14 ")</f>
        <v xml:space="preserve">Kovu_88, 1e-26 
Wheelbite_84, 1e-14 </v>
      </c>
      <c r="D14" s="6"/>
    </row>
    <row r="15" spans="1:4" ht="15.75" customHeight="1" x14ac:dyDescent="0.15">
      <c r="A15" s="5" t="s">
        <v>15</v>
      </c>
      <c r="B15" s="17" t="str">
        <f ca="1">IFERROR(__xludf.DUMMYFUNCTION("""COMPUTED_VALUE"""),"RepA-like replication initiator and HTH DNA binding domain protein respectively")</f>
        <v>RepA-like replication initiator and HTH DNA binding domain protein respectively</v>
      </c>
      <c r="C15" s="17" t="str">
        <f ca="1">IFERROR(__xludf.DUMMYFUNCTION("""COMPUTED_VALUE"""),"Kovu_88, RepA-like replication initiator, 
Wheelbite_84, HTH DNA binding domain protein, ")</f>
        <v xml:space="preserve">Kovu_88, RepA-like replication initiator, 
Wheelbite_84, HTH DNA binding domain protein, </v>
      </c>
      <c r="D15" s="6"/>
    </row>
    <row r="16" spans="1:4" ht="15.75" customHeight="1" x14ac:dyDescent="0.15">
      <c r="A16" s="5" t="s">
        <v>16</v>
      </c>
      <c r="B16" s="17" t="str">
        <f ca="1">IFERROR(__xludf.DUMMYFUNCTION("""COMPUTED_VALUE"""),"Yes, though it is an orpham, the gene is found in a similar environment to another orpham gene (Kovu_88)")</f>
        <v>Yes, though it is an orpham, the gene is found in a similar environment to another orpham gene (Kovu_88)</v>
      </c>
      <c r="C16" s="17" t="str">
        <f ca="1">IFERROR(__xludf.DUMMYFUNCTION("""COMPUTED_VALUE"""),"It matches well with Kovu")</f>
        <v>It matches well with Kovu</v>
      </c>
      <c r="D16" s="6"/>
    </row>
    <row r="17" spans="1:4" ht="15.75" customHeight="1" x14ac:dyDescent="0.15">
      <c r="A17" s="5" t="s">
        <v>17</v>
      </c>
      <c r="B17" s="17" t="str">
        <f ca="1">IFERROR(__xludf.DUMMYFUNCTION("""COMPUTED_VALUE"""),"Dna repliation protien or possibly (from NCBI) helix-turn-helix domiain containing protien; Prob: 98.49%; %Q: 25.99%; %T: 26.57%, function domain not in alignment")</f>
        <v>Dna repliation protien or possibly (from NCBI) helix-turn-helix domiain containing protien; Prob: 98.49%; %Q: 25.99%; %T: 26.57%, function domain not in alignment</v>
      </c>
      <c r="C17" s="17" t="str">
        <f ca="1">IFERROR(__xludf.DUMMYFUNCTION("""COMPUTED_VALUE"""),"7PC1_A StbA; Plasmid conjugation, Plasmid partition, Helix-Turn-Helix, DNA BINDING PROTEIN; HET: MSE; 1.9A {Escherichia coli K-12}
Probability: 23.26%
Q: 38%
T: 64%
THere is no Functional domain to compare the target alignment")</f>
        <v>7PC1_A StbA; Plasmid conjugation, Plasmid partition, Helix-Turn-Helix, DNA BINDING PROTEIN; HET: MSE; 1.9A {Escherichia coli K-12}
Probability: 23.26%
Q: 38%
T: 64%
THere is no Functional domain to compare the target alignment</v>
      </c>
      <c r="D17" s="6"/>
    </row>
    <row r="18" spans="1:4" ht="15.75" customHeight="1" x14ac:dyDescent="0.15">
      <c r="A18" s="5" t="s">
        <v>18</v>
      </c>
      <c r="B18" s="17" t="str">
        <f ca="1">IFERROR(__xludf.DUMMYFUNCTION("""COMPUTED_VALUE"""),"Putative conserved domains have been detected")</f>
        <v>Putative conserved domains have been detected</v>
      </c>
      <c r="C18" s="17" t="str">
        <f ca="1">IFERROR(__xludf.DUMMYFUNCTION("""COMPUTED_VALUE"""),"none")</f>
        <v>none</v>
      </c>
      <c r="D18" s="6"/>
    </row>
    <row r="19" spans="1:4" ht="15.75" customHeight="1" x14ac:dyDescent="0.15">
      <c r="A19" s="5" t="s">
        <v>19</v>
      </c>
      <c r="B19" s="17" t="str">
        <f ca="1">IFERROR(__xludf.DUMMYFUNCTION("""COMPUTED_VALUE"""),"not a membrane protien, most likely inside the membrane")</f>
        <v>not a membrane protien, most likely inside the membrane</v>
      </c>
      <c r="C19" s="17" t="str">
        <f ca="1">IFERROR(__xludf.DUMMYFUNCTION("""COMPUTED_VALUE"""),"none")</f>
        <v>none</v>
      </c>
      <c r="D19" s="6"/>
    </row>
    <row r="20" spans="1:4" ht="15.75" customHeight="1" x14ac:dyDescent="0.15">
      <c r="A20" s="5" t="s">
        <v>20</v>
      </c>
      <c r="B20" s="17" t="str">
        <f ca="1">IFERROR(__xludf.DUMMYFUNCTION("""COMPUTED_VALUE"""),"helix-turn-helix DNA binding domain; because most of the NCBI hits were helix-turn-helix, and most of the HHpred hits were replication or Dna related, in the approved functions guide, there's ony one replication call and the gene didn't fit the qualificat"&amp;"ions, so after looking up helix, he qualifications for a helix-turn-helix DNA binding domain showed up and the gene match because though most of te genes that were hits were DNA related, there was also helix-turn helix tha showed up and therefore was call"&amp;"ed. ")</f>
        <v xml:space="preserve">helix-turn-helix DNA binding domain; because most of the NCBI hits were helix-turn-helix, and most of the HHpred hits were replication or Dna related, in the approved functions guide, there's ony one replication call and the gene didn't fit the qualifications, so after looking up helix, he qualifications for a helix-turn-helix DNA binding domain showed up and the gene match because though most of te genes that were hits were DNA related, there was also helix-turn helix tha showed up and therefore was called. </v>
      </c>
      <c r="C20" s="17" t="str">
        <f ca="1">IFERROR(__xludf.DUMMYFUNCTION("""COMPUTED_VALUE"""),"No function. there is not enough evidence to call a function for this Gene")</f>
        <v>No function. there is not enough evidence to call a function for this Gene</v>
      </c>
      <c r="D20" s="6"/>
    </row>
    <row r="21" spans="1:4" x14ac:dyDescent="0.2">
      <c r="A21" s="7"/>
      <c r="B21" s="19"/>
      <c r="C21" s="19"/>
      <c r="D21" s="8"/>
    </row>
    <row r="22" spans="1:4" ht="15.75" customHeight="1" x14ac:dyDescent="0.15">
      <c r="A22" s="9" t="s">
        <v>21</v>
      </c>
      <c r="B22" s="19" t="str">
        <f ca="1">IFERROR(__xludf.DUMMYFUNCTION("""COMPUTED_VALUE"""),"all protein function calls are based off the moved start rather than the called one by Glimmer and Genemark (Start moved to 53492)")</f>
        <v>all protein function calls are based off the moved start rather than the called one by Glimmer and Genemark (Start moved to 53492)</v>
      </c>
      <c r="C22" s="19"/>
      <c r="D22" s="8"/>
    </row>
    <row r="23" spans="1:4" ht="15.75" customHeight="1" x14ac:dyDescent="0.15">
      <c r="A23" s="10"/>
      <c r="B23" s="13"/>
      <c r="C23" s="13"/>
    </row>
    <row r="24" spans="1:4" ht="15.75" customHeight="1" x14ac:dyDescent="0.15">
      <c r="A24" s="10"/>
      <c r="B24" s="13"/>
      <c r="C24" s="13"/>
    </row>
    <row r="25" spans="1:4" ht="15.75" customHeight="1" x14ac:dyDescent="0.15">
      <c r="A25" s="10"/>
      <c r="B25" s="13"/>
      <c r="C25" s="13"/>
    </row>
    <row r="26" spans="1:4" ht="15.75" customHeight="1" x14ac:dyDescent="0.15">
      <c r="A26" s="10"/>
      <c r="B26" s="13"/>
      <c r="C26" s="13"/>
    </row>
    <row r="27" spans="1:4" ht="15.75" customHeight="1" x14ac:dyDescent="0.15">
      <c r="A27" s="10"/>
      <c r="B27" s="13"/>
      <c r="C27" s="13"/>
    </row>
    <row r="28" spans="1:4" ht="15.75" customHeight="1" x14ac:dyDescent="0.15">
      <c r="A28" s="10"/>
      <c r="B28" s="13"/>
      <c r="C28" s="13"/>
    </row>
    <row r="29" spans="1:4" ht="15.75" customHeight="1" x14ac:dyDescent="0.15">
      <c r="A29" s="10"/>
      <c r="B29" s="13"/>
      <c r="C29" s="13"/>
    </row>
    <row r="30" spans="1:4" ht="15.75" customHeight="1" x14ac:dyDescent="0.15">
      <c r="A30" s="10"/>
      <c r="B30" s="13"/>
      <c r="C30" s="13"/>
    </row>
    <row r="31" spans="1:4" ht="15.75" customHeight="1" x14ac:dyDescent="0.15">
      <c r="A31" s="10"/>
      <c r="B31" s="13"/>
      <c r="C31" s="13"/>
    </row>
    <row r="32" spans="1:4" ht="15.75" customHeight="1" x14ac:dyDescent="0.15">
      <c r="A32" s="10"/>
      <c r="B32" s="13"/>
      <c r="C32" s="13"/>
    </row>
    <row r="33" spans="1:3" ht="15.75" customHeight="1" x14ac:dyDescent="0.15">
      <c r="A33" s="10"/>
      <c r="B33" s="13"/>
      <c r="C33" s="13"/>
    </row>
    <row r="34" spans="1:3" ht="15.75" customHeight="1" x14ac:dyDescent="0.15">
      <c r="A34" s="10"/>
      <c r="B34" s="13"/>
      <c r="C34" s="13"/>
    </row>
    <row r="35" spans="1:3" ht="15.75" customHeight="1" x14ac:dyDescent="0.15">
      <c r="A35" s="10"/>
      <c r="B35" s="13"/>
      <c r="C35" s="13"/>
    </row>
    <row r="36" spans="1:3" ht="15.75" customHeight="1" x14ac:dyDescent="0.15">
      <c r="A36" s="10"/>
      <c r="B36" s="13"/>
      <c r="C36" s="13"/>
    </row>
    <row r="37" spans="1:3" ht="15.75" customHeight="1" x14ac:dyDescent="0.15">
      <c r="A37" s="10"/>
      <c r="B37" s="13"/>
      <c r="C37" s="13"/>
    </row>
    <row r="38" spans="1:3" ht="15.75" customHeight="1" x14ac:dyDescent="0.15">
      <c r="A38" s="10"/>
      <c r="B38" s="13"/>
      <c r="C38" s="13"/>
    </row>
    <row r="39" spans="1:3" ht="13" x14ac:dyDescent="0.15">
      <c r="A39" s="10"/>
      <c r="B39" s="13"/>
      <c r="C39" s="13"/>
    </row>
    <row r="40" spans="1:3" ht="13" x14ac:dyDescent="0.15">
      <c r="A40" s="10"/>
      <c r="B40" s="13"/>
      <c r="C40" s="13"/>
    </row>
    <row r="41" spans="1:3" ht="13" x14ac:dyDescent="0.15">
      <c r="A41" s="10"/>
      <c r="B41" s="13"/>
      <c r="C41" s="13"/>
    </row>
    <row r="42" spans="1:3" ht="13" x14ac:dyDescent="0.15">
      <c r="A42" s="10"/>
      <c r="B42" s="13"/>
      <c r="C42" s="13"/>
    </row>
    <row r="43" spans="1:3" ht="13" x14ac:dyDescent="0.15">
      <c r="A43" s="10"/>
      <c r="B43" s="13"/>
      <c r="C43" s="13"/>
    </row>
    <row r="44" spans="1:3" ht="13" x14ac:dyDescent="0.15">
      <c r="A44" s="10"/>
      <c r="B44" s="13"/>
      <c r="C44" s="13"/>
    </row>
    <row r="45" spans="1:3" ht="13" x14ac:dyDescent="0.15">
      <c r="A45" s="10"/>
      <c r="B45" s="13"/>
      <c r="C45" s="13"/>
    </row>
    <row r="46" spans="1:3" ht="13" x14ac:dyDescent="0.15">
      <c r="A46" s="10"/>
      <c r="B46" s="13"/>
      <c r="C46" s="13"/>
    </row>
    <row r="47" spans="1:3" ht="13" x14ac:dyDescent="0.15">
      <c r="A47" s="10"/>
      <c r="B47" s="13"/>
      <c r="C47" s="13"/>
    </row>
    <row r="48" spans="1:3" ht="13" x14ac:dyDescent="0.15">
      <c r="A48" s="10"/>
      <c r="B48" s="13"/>
      <c r="C48" s="13"/>
    </row>
    <row r="49" spans="1:3" ht="13" x14ac:dyDescent="0.15">
      <c r="A49" s="10"/>
      <c r="B49" s="13"/>
      <c r="C49" s="13"/>
    </row>
    <row r="50" spans="1:3" ht="13" x14ac:dyDescent="0.15">
      <c r="A50" s="10"/>
      <c r="B50" s="13"/>
      <c r="C50" s="13"/>
    </row>
    <row r="51" spans="1:3" ht="13" x14ac:dyDescent="0.15">
      <c r="A51" s="10"/>
      <c r="B51" s="13"/>
      <c r="C51" s="13"/>
    </row>
    <row r="52" spans="1:3" ht="13" x14ac:dyDescent="0.15">
      <c r="A52" s="10"/>
      <c r="B52" s="13"/>
      <c r="C52" s="13"/>
    </row>
    <row r="53" spans="1:3" ht="13" x14ac:dyDescent="0.15">
      <c r="A53" s="10"/>
      <c r="B53" s="13"/>
      <c r="C53" s="13"/>
    </row>
    <row r="54" spans="1:3" ht="13" x14ac:dyDescent="0.15">
      <c r="A54" s="10"/>
      <c r="B54" s="13"/>
      <c r="C54" s="13"/>
    </row>
    <row r="55" spans="1:3" ht="13" x14ac:dyDescent="0.15">
      <c r="A55" s="10"/>
      <c r="B55" s="13"/>
      <c r="C55" s="13"/>
    </row>
    <row r="56" spans="1:3" ht="13" x14ac:dyDescent="0.15">
      <c r="A56" s="10"/>
      <c r="B56" s="13"/>
      <c r="C56" s="13"/>
    </row>
    <row r="57" spans="1:3" ht="13" x14ac:dyDescent="0.15">
      <c r="A57" s="10"/>
      <c r="B57" s="13"/>
      <c r="C57" s="13"/>
    </row>
    <row r="58" spans="1:3" ht="13" x14ac:dyDescent="0.15">
      <c r="A58" s="10"/>
      <c r="B58" s="13"/>
      <c r="C58" s="13"/>
    </row>
    <row r="59" spans="1:3" ht="13" x14ac:dyDescent="0.15">
      <c r="A59" s="10"/>
      <c r="B59" s="13"/>
      <c r="C59" s="13"/>
    </row>
    <row r="60" spans="1:3" ht="13" x14ac:dyDescent="0.15">
      <c r="A60" s="10"/>
      <c r="B60" s="13"/>
      <c r="C60" s="13"/>
    </row>
    <row r="61" spans="1:3" ht="13" x14ac:dyDescent="0.15">
      <c r="A61" s="10"/>
      <c r="B61" s="13"/>
      <c r="C61" s="13"/>
    </row>
    <row r="62" spans="1:3" ht="13" x14ac:dyDescent="0.15">
      <c r="A62" s="10"/>
      <c r="B62" s="13"/>
      <c r="C62" s="13"/>
    </row>
    <row r="63" spans="1:3" ht="13" x14ac:dyDescent="0.15">
      <c r="A63" s="10"/>
      <c r="B63" s="13"/>
      <c r="C63" s="13"/>
    </row>
    <row r="64" spans="1:3" ht="13" x14ac:dyDescent="0.15">
      <c r="A64" s="10"/>
      <c r="B64" s="13"/>
      <c r="C64" s="13"/>
    </row>
    <row r="65" spans="1:3" ht="13" x14ac:dyDescent="0.15">
      <c r="A65" s="10"/>
      <c r="B65" s="13"/>
      <c r="C65" s="13"/>
    </row>
    <row r="66" spans="1:3" ht="13" x14ac:dyDescent="0.15">
      <c r="A66" s="10"/>
      <c r="B66" s="13"/>
      <c r="C66" s="13"/>
    </row>
    <row r="67" spans="1:3" ht="13" x14ac:dyDescent="0.15">
      <c r="A67" s="10"/>
      <c r="B67" s="13"/>
      <c r="C67" s="13"/>
    </row>
    <row r="68" spans="1:3" ht="13" x14ac:dyDescent="0.15">
      <c r="A68" s="10"/>
      <c r="B68" s="13"/>
      <c r="C68" s="13"/>
    </row>
    <row r="69" spans="1:3" ht="13" x14ac:dyDescent="0.15">
      <c r="A69" s="10"/>
      <c r="B69" s="13"/>
      <c r="C69" s="13"/>
    </row>
    <row r="70" spans="1:3" ht="13" x14ac:dyDescent="0.15">
      <c r="A70" s="10"/>
      <c r="B70" s="13"/>
      <c r="C70" s="13"/>
    </row>
    <row r="71" spans="1:3" ht="13" x14ac:dyDescent="0.15">
      <c r="A71" s="10"/>
      <c r="B71" s="13"/>
      <c r="C71" s="13"/>
    </row>
    <row r="72" spans="1:3" ht="13" x14ac:dyDescent="0.15">
      <c r="A72" s="10"/>
      <c r="B72" s="13"/>
      <c r="C72" s="13"/>
    </row>
    <row r="73" spans="1:3" ht="13" x14ac:dyDescent="0.15">
      <c r="A73" s="10"/>
      <c r="B73" s="13"/>
      <c r="C73" s="13"/>
    </row>
    <row r="74" spans="1:3" ht="13" x14ac:dyDescent="0.15">
      <c r="A74" s="10"/>
      <c r="B74" s="13"/>
      <c r="C74" s="13"/>
    </row>
    <row r="75" spans="1:3" ht="13" x14ac:dyDescent="0.15">
      <c r="A75" s="10"/>
      <c r="B75" s="13"/>
      <c r="C75" s="13"/>
    </row>
    <row r="76" spans="1:3" ht="13" x14ac:dyDescent="0.15">
      <c r="A76" s="10"/>
      <c r="B76" s="13"/>
      <c r="C76" s="13"/>
    </row>
    <row r="77" spans="1:3" ht="13" x14ac:dyDescent="0.15">
      <c r="A77" s="10"/>
      <c r="B77" s="13"/>
      <c r="C77" s="13"/>
    </row>
    <row r="78" spans="1:3" ht="13" x14ac:dyDescent="0.15">
      <c r="A78" s="10"/>
      <c r="B78" s="13"/>
      <c r="C78" s="13"/>
    </row>
    <row r="79" spans="1:3" ht="13" x14ac:dyDescent="0.15">
      <c r="A79" s="10"/>
      <c r="B79" s="13"/>
      <c r="C79" s="13"/>
    </row>
    <row r="80" spans="1:3" ht="13" x14ac:dyDescent="0.15">
      <c r="A80" s="10"/>
      <c r="B80" s="13"/>
      <c r="C80" s="13"/>
    </row>
    <row r="81" spans="1:3" ht="13" x14ac:dyDescent="0.15">
      <c r="A81" s="10"/>
      <c r="B81" s="13"/>
      <c r="C81" s="13"/>
    </row>
    <row r="82" spans="1:3" ht="13" x14ac:dyDescent="0.15">
      <c r="A82" s="10"/>
      <c r="B82" s="13"/>
      <c r="C82" s="13"/>
    </row>
    <row r="83" spans="1:3" ht="13" x14ac:dyDescent="0.15">
      <c r="A83" s="10"/>
      <c r="B83" s="13"/>
      <c r="C83" s="13"/>
    </row>
    <row r="84" spans="1:3" ht="13" x14ac:dyDescent="0.15">
      <c r="A84" s="10"/>
      <c r="B84" s="13"/>
      <c r="C84" s="13"/>
    </row>
    <row r="85" spans="1:3" ht="13" x14ac:dyDescent="0.15">
      <c r="A85" s="10"/>
      <c r="B85" s="13"/>
      <c r="C85" s="13"/>
    </row>
    <row r="86" spans="1:3" ht="13" x14ac:dyDescent="0.15">
      <c r="A86" s="10"/>
      <c r="B86" s="13"/>
      <c r="C86" s="13"/>
    </row>
    <row r="87" spans="1:3" ht="13" x14ac:dyDescent="0.15">
      <c r="A87" s="10"/>
      <c r="B87" s="13"/>
      <c r="C87" s="13"/>
    </row>
    <row r="88" spans="1:3" ht="13" x14ac:dyDescent="0.15">
      <c r="A88" s="10"/>
      <c r="B88" s="13"/>
      <c r="C88" s="13"/>
    </row>
    <row r="89" spans="1:3" ht="13" x14ac:dyDescent="0.15">
      <c r="A89" s="10"/>
      <c r="B89" s="13"/>
      <c r="C89" s="13"/>
    </row>
    <row r="90" spans="1:3" ht="13" x14ac:dyDescent="0.15">
      <c r="A90" s="10"/>
      <c r="B90" s="13"/>
      <c r="C90" s="13"/>
    </row>
    <row r="91" spans="1:3" ht="13" x14ac:dyDescent="0.15">
      <c r="A91" s="10"/>
      <c r="B91" s="13"/>
      <c r="C91" s="13"/>
    </row>
    <row r="92" spans="1:3" ht="13" x14ac:dyDescent="0.15">
      <c r="A92" s="10"/>
      <c r="B92" s="13"/>
      <c r="C92" s="13"/>
    </row>
    <row r="93" spans="1:3" ht="13" x14ac:dyDescent="0.15">
      <c r="A93" s="10"/>
      <c r="B93" s="13"/>
      <c r="C93" s="13"/>
    </row>
    <row r="94" spans="1:3" ht="13" x14ac:dyDescent="0.15">
      <c r="A94" s="10"/>
      <c r="B94" s="13"/>
      <c r="C94" s="13"/>
    </row>
    <row r="95" spans="1:3" ht="13" x14ac:dyDescent="0.15">
      <c r="A95" s="10"/>
      <c r="B95" s="13"/>
      <c r="C95" s="13"/>
    </row>
    <row r="96" spans="1:3" ht="13" x14ac:dyDescent="0.15">
      <c r="A96" s="10"/>
      <c r="B96" s="13"/>
      <c r="C96" s="13"/>
    </row>
    <row r="97" spans="1:3" ht="13" x14ac:dyDescent="0.15">
      <c r="A97" s="10"/>
      <c r="B97" s="13"/>
      <c r="C97" s="13"/>
    </row>
    <row r="98" spans="1:3" ht="13" x14ac:dyDescent="0.15">
      <c r="A98" s="10"/>
      <c r="B98" s="13"/>
      <c r="C98" s="13"/>
    </row>
    <row r="99" spans="1:3" ht="13" x14ac:dyDescent="0.15">
      <c r="A99" s="10"/>
      <c r="B99" s="13"/>
      <c r="C99" s="13"/>
    </row>
    <row r="100" spans="1:3" ht="13" x14ac:dyDescent="0.15">
      <c r="A100" s="10"/>
      <c r="B100" s="13"/>
      <c r="C100" s="13"/>
    </row>
    <row r="101" spans="1:3" ht="13" x14ac:dyDescent="0.15">
      <c r="A101" s="10"/>
      <c r="B101" s="13"/>
      <c r="C101" s="13"/>
    </row>
    <row r="102" spans="1:3" ht="13" x14ac:dyDescent="0.15">
      <c r="A102" s="10"/>
      <c r="B102" s="13"/>
      <c r="C102" s="13"/>
    </row>
    <row r="103" spans="1:3" ht="13" x14ac:dyDescent="0.15">
      <c r="A103" s="10"/>
      <c r="B103" s="13"/>
      <c r="C103" s="13"/>
    </row>
    <row r="104" spans="1:3" ht="13" x14ac:dyDescent="0.15">
      <c r="A104" s="10"/>
      <c r="B104" s="13"/>
      <c r="C104" s="13"/>
    </row>
    <row r="105" spans="1:3" ht="13" x14ac:dyDescent="0.15">
      <c r="A105" s="10"/>
      <c r="B105" s="13"/>
      <c r="C105" s="13"/>
    </row>
    <row r="106" spans="1:3" ht="13" x14ac:dyDescent="0.15">
      <c r="A106" s="10"/>
      <c r="B106" s="13"/>
      <c r="C106" s="13"/>
    </row>
    <row r="107" spans="1:3" ht="13" x14ac:dyDescent="0.15">
      <c r="A107" s="10"/>
      <c r="B107" s="13"/>
      <c r="C107" s="13"/>
    </row>
    <row r="108" spans="1:3" ht="13" x14ac:dyDescent="0.15">
      <c r="A108" s="10"/>
      <c r="B108" s="13"/>
      <c r="C108" s="13"/>
    </row>
    <row r="109" spans="1:3" ht="13" x14ac:dyDescent="0.15">
      <c r="A109" s="10"/>
      <c r="B109" s="13"/>
      <c r="C109" s="13"/>
    </row>
    <row r="110" spans="1:3" ht="13" x14ac:dyDescent="0.15">
      <c r="A110" s="10"/>
      <c r="B110" s="13"/>
      <c r="C110" s="13"/>
    </row>
    <row r="111" spans="1:3" ht="13" x14ac:dyDescent="0.15">
      <c r="A111" s="10"/>
      <c r="B111" s="13"/>
      <c r="C111" s="13"/>
    </row>
    <row r="112" spans="1:3" ht="13" x14ac:dyDescent="0.15">
      <c r="A112" s="10"/>
      <c r="B112" s="13"/>
      <c r="C112" s="13"/>
    </row>
    <row r="113" spans="1:3" ht="13" x14ac:dyDescent="0.15">
      <c r="A113" s="10"/>
      <c r="B113" s="13"/>
      <c r="C113" s="13"/>
    </row>
    <row r="114" spans="1:3" ht="13" x14ac:dyDescent="0.15">
      <c r="A114" s="10"/>
      <c r="B114" s="13"/>
      <c r="C114" s="13"/>
    </row>
    <row r="115" spans="1:3" ht="13" x14ac:dyDescent="0.15">
      <c r="A115" s="10"/>
      <c r="B115" s="13"/>
      <c r="C115" s="13"/>
    </row>
    <row r="116" spans="1:3" ht="13" x14ac:dyDescent="0.15">
      <c r="A116" s="10"/>
      <c r="B116" s="13"/>
      <c r="C116" s="13"/>
    </row>
    <row r="117" spans="1:3" ht="13" x14ac:dyDescent="0.15">
      <c r="A117" s="10"/>
      <c r="B117" s="13"/>
      <c r="C117" s="13"/>
    </row>
    <row r="118" spans="1:3" ht="13" x14ac:dyDescent="0.15">
      <c r="A118" s="10"/>
      <c r="B118" s="13"/>
      <c r="C118" s="13"/>
    </row>
    <row r="119" spans="1:3" ht="13" x14ac:dyDescent="0.15">
      <c r="A119" s="10"/>
      <c r="B119" s="13"/>
      <c r="C119" s="13"/>
    </row>
    <row r="120" spans="1:3" ht="13" x14ac:dyDescent="0.15">
      <c r="A120" s="10"/>
      <c r="B120" s="13"/>
      <c r="C120" s="13"/>
    </row>
    <row r="121" spans="1:3" ht="13" x14ac:dyDescent="0.15">
      <c r="A121" s="10"/>
      <c r="B121" s="13"/>
      <c r="C121" s="13"/>
    </row>
    <row r="122" spans="1:3" ht="13" x14ac:dyDescent="0.15">
      <c r="A122" s="10"/>
      <c r="B122" s="13"/>
      <c r="C122" s="13"/>
    </row>
    <row r="123" spans="1:3" ht="13" x14ac:dyDescent="0.15">
      <c r="A123" s="10"/>
      <c r="B123" s="13"/>
      <c r="C123" s="13"/>
    </row>
    <row r="124" spans="1:3" ht="13" x14ac:dyDescent="0.15">
      <c r="A124" s="10"/>
      <c r="B124" s="13"/>
      <c r="C124" s="13"/>
    </row>
    <row r="125" spans="1:3" ht="13" x14ac:dyDescent="0.15">
      <c r="A125" s="10"/>
      <c r="B125" s="13"/>
      <c r="C125" s="13"/>
    </row>
    <row r="126" spans="1:3" ht="13" x14ac:dyDescent="0.15">
      <c r="A126" s="10"/>
      <c r="B126" s="13"/>
      <c r="C126" s="13"/>
    </row>
    <row r="127" spans="1:3" ht="13" x14ac:dyDescent="0.15">
      <c r="A127" s="10"/>
      <c r="B127" s="13"/>
      <c r="C127" s="13"/>
    </row>
    <row r="128" spans="1:3" ht="13" x14ac:dyDescent="0.15">
      <c r="A128" s="10"/>
      <c r="B128" s="13"/>
      <c r="C128" s="13"/>
    </row>
    <row r="129" spans="1:3" ht="13" x14ac:dyDescent="0.15">
      <c r="A129" s="10"/>
      <c r="B129" s="13"/>
      <c r="C129" s="13"/>
    </row>
    <row r="130" spans="1:3" ht="13" x14ac:dyDescent="0.15">
      <c r="A130" s="10"/>
      <c r="B130" s="13"/>
      <c r="C130" s="13"/>
    </row>
    <row r="131" spans="1:3" ht="13" x14ac:dyDescent="0.15">
      <c r="A131" s="10"/>
      <c r="B131" s="13"/>
      <c r="C131" s="13"/>
    </row>
    <row r="132" spans="1:3" ht="13" x14ac:dyDescent="0.15">
      <c r="A132" s="10"/>
      <c r="B132" s="13"/>
      <c r="C132" s="13"/>
    </row>
    <row r="133" spans="1:3" ht="13" x14ac:dyDescent="0.15">
      <c r="A133" s="10"/>
      <c r="B133" s="13"/>
      <c r="C133" s="13"/>
    </row>
    <row r="134" spans="1:3" ht="13" x14ac:dyDescent="0.15">
      <c r="A134" s="10"/>
      <c r="B134" s="13"/>
      <c r="C134" s="13"/>
    </row>
    <row r="135" spans="1:3" ht="13" x14ac:dyDescent="0.15">
      <c r="A135" s="10"/>
      <c r="B135" s="13"/>
      <c r="C135" s="13"/>
    </row>
    <row r="136" spans="1:3" ht="13" x14ac:dyDescent="0.15">
      <c r="A136" s="10"/>
      <c r="B136" s="13"/>
      <c r="C136" s="13"/>
    </row>
    <row r="137" spans="1:3" ht="13" x14ac:dyDescent="0.15">
      <c r="A137" s="10"/>
      <c r="B137" s="13"/>
      <c r="C137" s="13"/>
    </row>
    <row r="138" spans="1:3" ht="13" x14ac:dyDescent="0.15">
      <c r="A138" s="10"/>
      <c r="B138" s="13"/>
      <c r="C138" s="13"/>
    </row>
    <row r="139" spans="1:3" ht="13" x14ac:dyDescent="0.15">
      <c r="A139" s="10"/>
      <c r="B139" s="13"/>
      <c r="C139" s="13"/>
    </row>
    <row r="140" spans="1:3" ht="13" x14ac:dyDescent="0.15">
      <c r="A140" s="10"/>
      <c r="B140" s="13"/>
      <c r="C140" s="13"/>
    </row>
    <row r="141" spans="1:3" ht="13" x14ac:dyDescent="0.15">
      <c r="A141" s="10"/>
      <c r="B141" s="13"/>
      <c r="C141" s="13"/>
    </row>
    <row r="142" spans="1:3" ht="13" x14ac:dyDescent="0.15">
      <c r="A142" s="10"/>
      <c r="B142" s="13"/>
      <c r="C142" s="13"/>
    </row>
    <row r="143" spans="1:3" ht="13" x14ac:dyDescent="0.15">
      <c r="A143" s="10"/>
      <c r="B143" s="13"/>
      <c r="C143" s="13"/>
    </row>
    <row r="144" spans="1:3" ht="13" x14ac:dyDescent="0.15">
      <c r="A144" s="10"/>
      <c r="B144" s="13"/>
      <c r="C144" s="13"/>
    </row>
    <row r="145" spans="1:3" ht="13" x14ac:dyDescent="0.15">
      <c r="A145" s="10"/>
      <c r="B145" s="13"/>
      <c r="C145" s="13"/>
    </row>
    <row r="146" spans="1:3" ht="13" x14ac:dyDescent="0.15">
      <c r="A146" s="10"/>
      <c r="B146" s="13"/>
      <c r="C146" s="13"/>
    </row>
    <row r="147" spans="1:3" ht="13" x14ac:dyDescent="0.15">
      <c r="A147" s="10"/>
      <c r="B147" s="13"/>
      <c r="C147" s="13"/>
    </row>
    <row r="148" spans="1:3" ht="13" x14ac:dyDescent="0.15">
      <c r="A148" s="10"/>
      <c r="B148" s="13"/>
      <c r="C148" s="13"/>
    </row>
    <row r="149" spans="1:3" ht="13" x14ac:dyDescent="0.15">
      <c r="A149" s="10"/>
      <c r="B149" s="13"/>
      <c r="C149" s="13"/>
    </row>
    <row r="150" spans="1:3" ht="13" x14ac:dyDescent="0.15">
      <c r="A150" s="10"/>
      <c r="B150" s="13"/>
      <c r="C150" s="13"/>
    </row>
    <row r="151" spans="1:3" ht="13" x14ac:dyDescent="0.15">
      <c r="A151" s="10"/>
      <c r="B151" s="13"/>
      <c r="C151" s="13"/>
    </row>
    <row r="152" spans="1:3" ht="13" x14ac:dyDescent="0.15">
      <c r="A152" s="10"/>
      <c r="B152" s="13"/>
      <c r="C152" s="13"/>
    </row>
    <row r="153" spans="1:3" ht="13" x14ac:dyDescent="0.15">
      <c r="A153" s="10"/>
      <c r="B153" s="13"/>
      <c r="C153" s="13"/>
    </row>
    <row r="154" spans="1:3" ht="13" x14ac:dyDescent="0.15">
      <c r="A154" s="10"/>
      <c r="B154" s="13"/>
      <c r="C154" s="13"/>
    </row>
    <row r="155" spans="1:3" ht="13" x14ac:dyDescent="0.15">
      <c r="A155" s="10"/>
      <c r="B155" s="13"/>
      <c r="C155" s="13"/>
    </row>
    <row r="156" spans="1:3" ht="13" x14ac:dyDescent="0.15">
      <c r="A156" s="10"/>
      <c r="B156" s="13"/>
      <c r="C156" s="13"/>
    </row>
    <row r="157" spans="1:3" ht="13" x14ac:dyDescent="0.15">
      <c r="A157" s="10"/>
      <c r="B157" s="13"/>
      <c r="C157" s="13"/>
    </row>
    <row r="158" spans="1:3" ht="13" x14ac:dyDescent="0.15">
      <c r="A158" s="10"/>
      <c r="B158" s="13"/>
      <c r="C158" s="13"/>
    </row>
    <row r="159" spans="1:3" ht="13" x14ac:dyDescent="0.15">
      <c r="A159" s="10"/>
      <c r="B159" s="13"/>
      <c r="C159" s="13"/>
    </row>
    <row r="160" spans="1:3" ht="13" x14ac:dyDescent="0.15">
      <c r="A160" s="10"/>
      <c r="B160" s="13"/>
      <c r="C160" s="13"/>
    </row>
    <row r="161" spans="1:3" ht="13" x14ac:dyDescent="0.15">
      <c r="A161" s="10"/>
      <c r="B161" s="13"/>
      <c r="C161" s="13"/>
    </row>
    <row r="162" spans="1:3" ht="13" x14ac:dyDescent="0.15">
      <c r="A162" s="10"/>
      <c r="B162" s="13"/>
      <c r="C162" s="13"/>
    </row>
    <row r="163" spans="1:3" ht="13" x14ac:dyDescent="0.15">
      <c r="A163" s="10"/>
      <c r="B163" s="13"/>
      <c r="C163" s="13"/>
    </row>
    <row r="164" spans="1:3" ht="13" x14ac:dyDescent="0.15">
      <c r="A164" s="10"/>
      <c r="B164" s="13"/>
      <c r="C164" s="13"/>
    </row>
    <row r="165" spans="1:3" ht="13" x14ac:dyDescent="0.15">
      <c r="A165" s="10"/>
      <c r="B165" s="13"/>
      <c r="C165" s="13"/>
    </row>
    <row r="166" spans="1:3" ht="13" x14ac:dyDescent="0.15">
      <c r="A166" s="10"/>
      <c r="B166" s="13"/>
      <c r="C166" s="13"/>
    </row>
    <row r="167" spans="1:3" ht="13" x14ac:dyDescent="0.15">
      <c r="A167" s="10"/>
      <c r="B167" s="13"/>
      <c r="C167" s="13"/>
    </row>
    <row r="168" spans="1:3" ht="13" x14ac:dyDescent="0.15">
      <c r="A168" s="10"/>
      <c r="B168" s="13"/>
      <c r="C168" s="13"/>
    </row>
    <row r="169" spans="1:3" ht="13" x14ac:dyDescent="0.15">
      <c r="A169" s="10"/>
      <c r="B169" s="13"/>
      <c r="C169" s="13"/>
    </row>
    <row r="170" spans="1:3" ht="13" x14ac:dyDescent="0.15">
      <c r="A170" s="10"/>
      <c r="B170" s="13"/>
      <c r="C170" s="13"/>
    </row>
    <row r="171" spans="1:3" ht="13" x14ac:dyDescent="0.15">
      <c r="A171" s="10"/>
      <c r="B171" s="13"/>
      <c r="C171" s="13"/>
    </row>
    <row r="172" spans="1:3" ht="13" x14ac:dyDescent="0.15">
      <c r="A172" s="10"/>
      <c r="B172" s="13"/>
      <c r="C172" s="13"/>
    </row>
    <row r="173" spans="1:3" ht="13" x14ac:dyDescent="0.15">
      <c r="A173" s="10"/>
      <c r="B173" s="13"/>
      <c r="C173" s="13"/>
    </row>
    <row r="174" spans="1:3" ht="13" x14ac:dyDescent="0.15">
      <c r="A174" s="10"/>
      <c r="B174" s="13"/>
      <c r="C174" s="13"/>
    </row>
    <row r="175" spans="1:3" ht="13" x14ac:dyDescent="0.15">
      <c r="A175" s="10"/>
      <c r="B175" s="13"/>
      <c r="C175" s="13"/>
    </row>
    <row r="176" spans="1:3" ht="13" x14ac:dyDescent="0.15">
      <c r="A176" s="10"/>
      <c r="B176" s="13"/>
      <c r="C176" s="13"/>
    </row>
    <row r="177" spans="1:3" ht="13" x14ac:dyDescent="0.15">
      <c r="A177" s="10"/>
      <c r="B177" s="13"/>
      <c r="C177" s="13"/>
    </row>
    <row r="178" spans="1:3" ht="13" x14ac:dyDescent="0.15">
      <c r="A178" s="10"/>
      <c r="B178" s="13"/>
      <c r="C178" s="13"/>
    </row>
    <row r="179" spans="1:3" ht="13" x14ac:dyDescent="0.15">
      <c r="A179" s="10"/>
      <c r="B179" s="13"/>
      <c r="C179" s="13"/>
    </row>
    <row r="180" spans="1:3" ht="13" x14ac:dyDescent="0.15">
      <c r="A180" s="10"/>
      <c r="B180" s="13"/>
      <c r="C180" s="13"/>
    </row>
    <row r="181" spans="1:3" ht="13" x14ac:dyDescent="0.15">
      <c r="A181" s="10"/>
      <c r="B181" s="13"/>
      <c r="C181" s="13"/>
    </row>
    <row r="182" spans="1:3" ht="13" x14ac:dyDescent="0.15">
      <c r="A182" s="10"/>
      <c r="B182" s="13"/>
      <c r="C182" s="13"/>
    </row>
    <row r="183" spans="1:3" ht="13" x14ac:dyDescent="0.15">
      <c r="A183" s="10"/>
      <c r="B183" s="13"/>
      <c r="C183" s="13"/>
    </row>
    <row r="184" spans="1:3" ht="13" x14ac:dyDescent="0.15">
      <c r="A184" s="10"/>
      <c r="B184" s="13"/>
      <c r="C184" s="13"/>
    </row>
    <row r="185" spans="1:3" ht="13" x14ac:dyDescent="0.15">
      <c r="A185" s="10"/>
      <c r="B185" s="13"/>
      <c r="C185" s="13"/>
    </row>
    <row r="186" spans="1:3" ht="13" x14ac:dyDescent="0.15">
      <c r="A186" s="10"/>
      <c r="B186" s="13"/>
      <c r="C186" s="13"/>
    </row>
    <row r="187" spans="1:3" ht="13" x14ac:dyDescent="0.15">
      <c r="A187" s="10"/>
      <c r="B187" s="13"/>
      <c r="C187" s="13"/>
    </row>
    <row r="188" spans="1:3" ht="13" x14ac:dyDescent="0.15">
      <c r="A188" s="10"/>
      <c r="B188" s="13"/>
      <c r="C188" s="13"/>
    </row>
    <row r="189" spans="1:3" ht="13" x14ac:dyDescent="0.15">
      <c r="A189" s="10"/>
      <c r="B189" s="13"/>
      <c r="C189" s="13"/>
    </row>
    <row r="190" spans="1:3" ht="13" x14ac:dyDescent="0.15">
      <c r="A190" s="10"/>
      <c r="B190" s="13"/>
      <c r="C190" s="13"/>
    </row>
    <row r="191" spans="1:3" ht="13" x14ac:dyDescent="0.15">
      <c r="A191" s="10"/>
      <c r="B191" s="13"/>
      <c r="C191" s="13"/>
    </row>
    <row r="192" spans="1:3" ht="13" x14ac:dyDescent="0.15">
      <c r="A192" s="10"/>
      <c r="B192" s="13"/>
      <c r="C192" s="13"/>
    </row>
    <row r="193" spans="1:3" ht="13" x14ac:dyDescent="0.15">
      <c r="A193" s="10"/>
      <c r="B193" s="13"/>
      <c r="C193" s="13"/>
    </row>
    <row r="194" spans="1:3" ht="13" x14ac:dyDescent="0.15">
      <c r="A194" s="10"/>
      <c r="B194" s="13"/>
      <c r="C194" s="13"/>
    </row>
    <row r="195" spans="1:3" ht="13" x14ac:dyDescent="0.15">
      <c r="A195" s="10"/>
      <c r="B195" s="13"/>
      <c r="C195" s="13"/>
    </row>
    <row r="196" spans="1:3" ht="13" x14ac:dyDescent="0.15">
      <c r="A196" s="10"/>
      <c r="B196" s="13"/>
      <c r="C196" s="13"/>
    </row>
    <row r="197" spans="1:3" ht="13" x14ac:dyDescent="0.15">
      <c r="A197" s="10"/>
      <c r="B197" s="13"/>
      <c r="C197" s="13"/>
    </row>
    <row r="198" spans="1:3" ht="13" x14ac:dyDescent="0.15">
      <c r="A198" s="10"/>
      <c r="B198" s="13"/>
      <c r="C198" s="13"/>
    </row>
    <row r="199" spans="1:3" ht="13" x14ac:dyDescent="0.15">
      <c r="A199" s="10"/>
      <c r="B199" s="13"/>
      <c r="C199" s="13"/>
    </row>
    <row r="200" spans="1:3" ht="13" x14ac:dyDescent="0.15">
      <c r="A200" s="10"/>
      <c r="B200" s="13"/>
      <c r="C200" s="13"/>
    </row>
    <row r="201" spans="1:3" ht="13" x14ac:dyDescent="0.15">
      <c r="A201" s="10"/>
      <c r="B201" s="13"/>
      <c r="C201" s="13"/>
    </row>
    <row r="202" spans="1:3" ht="13" x14ac:dyDescent="0.15">
      <c r="A202" s="10"/>
      <c r="B202" s="13"/>
      <c r="C202" s="13"/>
    </row>
    <row r="203" spans="1:3" ht="13" x14ac:dyDescent="0.15">
      <c r="A203" s="10"/>
      <c r="B203" s="13"/>
      <c r="C203" s="13"/>
    </row>
    <row r="204" spans="1:3" ht="13" x14ac:dyDescent="0.15">
      <c r="A204" s="10"/>
      <c r="B204" s="13"/>
      <c r="C204" s="13"/>
    </row>
    <row r="205" spans="1:3" ht="13" x14ac:dyDescent="0.15">
      <c r="A205" s="10"/>
      <c r="B205" s="13"/>
      <c r="C205" s="13"/>
    </row>
    <row r="206" spans="1:3" ht="13" x14ac:dyDescent="0.15">
      <c r="A206" s="10"/>
      <c r="B206" s="13"/>
      <c r="C206" s="13"/>
    </row>
    <row r="207" spans="1:3" ht="13" x14ac:dyDescent="0.15">
      <c r="A207" s="10"/>
      <c r="B207" s="13"/>
      <c r="C207" s="13"/>
    </row>
    <row r="208" spans="1:3" ht="13" x14ac:dyDescent="0.15">
      <c r="A208" s="10"/>
      <c r="B208" s="13"/>
      <c r="C208" s="13"/>
    </row>
    <row r="209" spans="1:3" ht="13" x14ac:dyDescent="0.15">
      <c r="A209" s="10"/>
      <c r="B209" s="13"/>
      <c r="C209" s="13"/>
    </row>
    <row r="210" spans="1:3" ht="13" x14ac:dyDescent="0.15">
      <c r="A210" s="10"/>
      <c r="B210" s="13"/>
      <c r="C210" s="13"/>
    </row>
    <row r="211" spans="1:3" ht="13" x14ac:dyDescent="0.15">
      <c r="A211" s="10"/>
      <c r="B211" s="13"/>
      <c r="C211" s="13"/>
    </row>
    <row r="212" spans="1:3" ht="13" x14ac:dyDescent="0.15">
      <c r="A212" s="10"/>
      <c r="B212" s="13"/>
      <c r="C212" s="13"/>
    </row>
    <row r="213" spans="1:3" ht="13" x14ac:dyDescent="0.15">
      <c r="A213" s="10"/>
      <c r="B213" s="13"/>
      <c r="C213" s="13"/>
    </row>
    <row r="214" spans="1:3" ht="13" x14ac:dyDescent="0.15">
      <c r="A214" s="10"/>
      <c r="B214" s="13"/>
      <c r="C214" s="13"/>
    </row>
    <row r="215" spans="1:3" ht="13" x14ac:dyDescent="0.15">
      <c r="A215" s="10"/>
      <c r="B215" s="13"/>
      <c r="C215" s="13"/>
    </row>
    <row r="216" spans="1:3" ht="13" x14ac:dyDescent="0.15">
      <c r="A216" s="10"/>
      <c r="B216" s="13"/>
      <c r="C216" s="13"/>
    </row>
    <row r="217" spans="1:3" ht="13" x14ac:dyDescent="0.15">
      <c r="A217" s="10"/>
      <c r="B217" s="13"/>
      <c r="C217" s="13"/>
    </row>
    <row r="218" spans="1:3" ht="13" x14ac:dyDescent="0.15">
      <c r="A218" s="10"/>
      <c r="B218" s="13"/>
      <c r="C218" s="13"/>
    </row>
    <row r="219" spans="1:3" ht="13" x14ac:dyDescent="0.15">
      <c r="A219" s="10"/>
      <c r="B219" s="13"/>
      <c r="C219" s="13"/>
    </row>
    <row r="220" spans="1:3" ht="13" x14ac:dyDescent="0.15">
      <c r="A220" s="10"/>
      <c r="B220" s="13"/>
      <c r="C220" s="13"/>
    </row>
    <row r="221" spans="1:3" ht="13" x14ac:dyDescent="0.15">
      <c r="A221" s="10"/>
      <c r="B221" s="13"/>
      <c r="C221" s="13"/>
    </row>
    <row r="222" spans="1:3" ht="13" x14ac:dyDescent="0.15">
      <c r="A222" s="10"/>
      <c r="B222" s="13"/>
      <c r="C222" s="13"/>
    </row>
    <row r="223" spans="1:3" ht="13" x14ac:dyDescent="0.15">
      <c r="A223" s="10"/>
      <c r="B223" s="13"/>
      <c r="C223" s="13"/>
    </row>
    <row r="224" spans="1:3" ht="13" x14ac:dyDescent="0.15">
      <c r="A224" s="10"/>
      <c r="B224" s="13"/>
      <c r="C224" s="13"/>
    </row>
    <row r="225" spans="1:3" ht="13" x14ac:dyDescent="0.15">
      <c r="A225" s="10"/>
      <c r="B225" s="13"/>
      <c r="C225" s="13"/>
    </row>
    <row r="226" spans="1:3" ht="13" x14ac:dyDescent="0.15">
      <c r="A226" s="10"/>
      <c r="B226" s="13"/>
      <c r="C226" s="13"/>
    </row>
    <row r="227" spans="1:3" ht="13" x14ac:dyDescent="0.15">
      <c r="A227" s="10"/>
      <c r="B227" s="13"/>
      <c r="C227" s="13"/>
    </row>
    <row r="228" spans="1:3" ht="13" x14ac:dyDescent="0.15">
      <c r="A228" s="10"/>
      <c r="B228" s="13"/>
      <c r="C228" s="13"/>
    </row>
    <row r="229" spans="1:3" ht="13" x14ac:dyDescent="0.15">
      <c r="A229" s="10"/>
      <c r="B229" s="13"/>
      <c r="C229" s="13"/>
    </row>
    <row r="230" spans="1:3" ht="13" x14ac:dyDescent="0.15">
      <c r="A230" s="10"/>
      <c r="B230" s="13"/>
      <c r="C230" s="13"/>
    </row>
    <row r="231" spans="1:3" ht="13" x14ac:dyDescent="0.15">
      <c r="A231" s="10"/>
      <c r="B231" s="13"/>
      <c r="C231" s="13"/>
    </row>
    <row r="232" spans="1:3" ht="13" x14ac:dyDescent="0.15">
      <c r="A232" s="10"/>
      <c r="B232" s="13"/>
      <c r="C232" s="13"/>
    </row>
    <row r="233" spans="1:3" ht="13" x14ac:dyDescent="0.15">
      <c r="A233" s="10"/>
      <c r="B233" s="13"/>
      <c r="C233" s="13"/>
    </row>
    <row r="234" spans="1:3" ht="13" x14ac:dyDescent="0.15">
      <c r="A234" s="10"/>
      <c r="B234" s="13"/>
      <c r="C234" s="13"/>
    </row>
    <row r="235" spans="1:3" ht="13" x14ac:dyDescent="0.15">
      <c r="A235" s="10"/>
      <c r="B235" s="13"/>
      <c r="C235" s="13"/>
    </row>
    <row r="236" spans="1:3" ht="13" x14ac:dyDescent="0.15">
      <c r="A236" s="10"/>
      <c r="B236" s="13"/>
      <c r="C236" s="13"/>
    </row>
    <row r="237" spans="1:3" ht="13" x14ac:dyDescent="0.15">
      <c r="A237" s="10"/>
      <c r="B237" s="13"/>
      <c r="C237" s="13"/>
    </row>
    <row r="238" spans="1:3" ht="13" x14ac:dyDescent="0.15">
      <c r="A238" s="10"/>
      <c r="B238" s="13"/>
      <c r="C238" s="13"/>
    </row>
    <row r="239" spans="1:3" ht="13" x14ac:dyDescent="0.15">
      <c r="A239" s="10"/>
      <c r="B239" s="13"/>
      <c r="C239" s="13"/>
    </row>
    <row r="240" spans="1:3" ht="13" x14ac:dyDescent="0.15">
      <c r="A240" s="10"/>
      <c r="B240" s="13"/>
      <c r="C240" s="13"/>
    </row>
    <row r="241" spans="1:3" ht="13" x14ac:dyDescent="0.15">
      <c r="A241" s="10"/>
      <c r="B241" s="13"/>
      <c r="C241" s="13"/>
    </row>
    <row r="242" spans="1:3" ht="13" x14ac:dyDescent="0.15">
      <c r="A242" s="10"/>
      <c r="B242" s="13"/>
      <c r="C242" s="13"/>
    </row>
    <row r="243" spans="1:3" ht="13" x14ac:dyDescent="0.15">
      <c r="A243" s="10"/>
      <c r="B243" s="13"/>
      <c r="C243" s="13"/>
    </row>
    <row r="244" spans="1:3" ht="13" x14ac:dyDescent="0.15">
      <c r="A244" s="10"/>
      <c r="B244" s="13"/>
      <c r="C244" s="13"/>
    </row>
    <row r="245" spans="1:3" ht="13" x14ac:dyDescent="0.15">
      <c r="A245" s="10"/>
      <c r="B245" s="13"/>
      <c r="C245" s="13"/>
    </row>
    <row r="246" spans="1:3" ht="13" x14ac:dyDescent="0.15">
      <c r="A246" s="10"/>
      <c r="B246" s="13"/>
      <c r="C246" s="13"/>
    </row>
    <row r="247" spans="1:3" ht="13" x14ac:dyDescent="0.15">
      <c r="A247" s="10"/>
      <c r="B247" s="13"/>
      <c r="C247" s="13"/>
    </row>
    <row r="248" spans="1:3" ht="13" x14ac:dyDescent="0.15">
      <c r="A248" s="10"/>
      <c r="B248" s="13"/>
      <c r="C248" s="13"/>
    </row>
    <row r="249" spans="1:3" ht="13" x14ac:dyDescent="0.15">
      <c r="A249" s="10"/>
      <c r="B249" s="13"/>
      <c r="C249" s="13"/>
    </row>
    <row r="250" spans="1:3" ht="13" x14ac:dyDescent="0.15">
      <c r="A250" s="10"/>
      <c r="B250" s="13"/>
      <c r="C250" s="13"/>
    </row>
    <row r="251" spans="1:3" ht="13" x14ac:dyDescent="0.15">
      <c r="A251" s="10"/>
      <c r="B251" s="13"/>
      <c r="C251" s="13"/>
    </row>
    <row r="252" spans="1:3" ht="13" x14ac:dyDescent="0.15">
      <c r="A252" s="10"/>
      <c r="B252" s="13"/>
      <c r="C252" s="13"/>
    </row>
    <row r="253" spans="1:3" ht="13" x14ac:dyDescent="0.15">
      <c r="A253" s="10"/>
      <c r="B253" s="13"/>
      <c r="C253" s="13"/>
    </row>
    <row r="254" spans="1:3" ht="13" x14ac:dyDescent="0.15">
      <c r="A254" s="10"/>
      <c r="B254" s="13"/>
      <c r="C254" s="13"/>
    </row>
    <row r="255" spans="1:3" ht="13" x14ac:dyDescent="0.15">
      <c r="A255" s="10"/>
      <c r="B255" s="13"/>
      <c r="C255" s="13"/>
    </row>
    <row r="256" spans="1:3" ht="13" x14ac:dyDescent="0.15">
      <c r="A256" s="10"/>
      <c r="B256" s="13"/>
      <c r="C256" s="13"/>
    </row>
    <row r="257" spans="1:3" ht="13" x14ac:dyDescent="0.15">
      <c r="A257" s="10"/>
      <c r="B257" s="13"/>
      <c r="C257" s="13"/>
    </row>
    <row r="258" spans="1:3" ht="13" x14ac:dyDescent="0.15">
      <c r="A258" s="10"/>
      <c r="B258" s="13"/>
      <c r="C258" s="13"/>
    </row>
    <row r="259" spans="1:3" ht="13" x14ac:dyDescent="0.15">
      <c r="A259" s="10"/>
      <c r="B259" s="13"/>
      <c r="C259" s="13"/>
    </row>
    <row r="260" spans="1:3" ht="13" x14ac:dyDescent="0.15">
      <c r="A260" s="10"/>
      <c r="B260" s="13"/>
      <c r="C260" s="13"/>
    </row>
    <row r="261" spans="1:3" ht="13" x14ac:dyDescent="0.15">
      <c r="A261" s="10"/>
      <c r="B261" s="13"/>
      <c r="C261" s="13"/>
    </row>
    <row r="262" spans="1:3" ht="13" x14ac:dyDescent="0.15">
      <c r="A262" s="10"/>
      <c r="B262" s="13"/>
      <c r="C262" s="13"/>
    </row>
    <row r="263" spans="1:3" ht="13" x14ac:dyDescent="0.15">
      <c r="A263" s="10"/>
      <c r="B263" s="13"/>
      <c r="C263" s="13"/>
    </row>
    <row r="264" spans="1:3" ht="13" x14ac:dyDescent="0.15">
      <c r="A264" s="10"/>
      <c r="B264" s="13"/>
      <c r="C264" s="13"/>
    </row>
    <row r="265" spans="1:3" ht="13" x14ac:dyDescent="0.15">
      <c r="A265" s="10"/>
      <c r="B265" s="13"/>
      <c r="C265" s="13"/>
    </row>
    <row r="266" spans="1:3" ht="13" x14ac:dyDescent="0.15">
      <c r="A266" s="10"/>
      <c r="B266" s="13"/>
      <c r="C266" s="13"/>
    </row>
    <row r="267" spans="1:3" ht="13" x14ac:dyDescent="0.15">
      <c r="A267" s="10"/>
      <c r="B267" s="13"/>
      <c r="C267" s="13"/>
    </row>
    <row r="268" spans="1:3" ht="13" x14ac:dyDescent="0.15">
      <c r="A268" s="10"/>
      <c r="B268" s="13"/>
      <c r="C268" s="13"/>
    </row>
    <row r="269" spans="1:3" ht="13" x14ac:dyDescent="0.15">
      <c r="A269" s="10"/>
      <c r="B269" s="13"/>
      <c r="C269" s="13"/>
    </row>
    <row r="270" spans="1:3" ht="13" x14ac:dyDescent="0.15">
      <c r="A270" s="10"/>
      <c r="B270" s="13"/>
      <c r="C270" s="13"/>
    </row>
    <row r="271" spans="1:3" ht="13" x14ac:dyDescent="0.15">
      <c r="A271" s="10"/>
      <c r="B271" s="13"/>
      <c r="C271" s="13"/>
    </row>
    <row r="272" spans="1:3" ht="13" x14ac:dyDescent="0.15">
      <c r="A272" s="10"/>
      <c r="B272" s="13"/>
      <c r="C272" s="13"/>
    </row>
    <row r="273" spans="1:3" ht="13" x14ac:dyDescent="0.15">
      <c r="A273" s="10"/>
      <c r="B273" s="13"/>
      <c r="C273" s="13"/>
    </row>
    <row r="274" spans="1:3" ht="13" x14ac:dyDescent="0.15">
      <c r="A274" s="10"/>
      <c r="B274" s="13"/>
      <c r="C274" s="13"/>
    </row>
    <row r="275" spans="1:3" ht="13" x14ac:dyDescent="0.15">
      <c r="A275" s="10"/>
      <c r="B275" s="13"/>
      <c r="C275" s="13"/>
    </row>
    <row r="276" spans="1:3" ht="13" x14ac:dyDescent="0.15">
      <c r="A276" s="10"/>
      <c r="B276" s="13"/>
      <c r="C276" s="13"/>
    </row>
    <row r="277" spans="1:3" ht="13" x14ac:dyDescent="0.15">
      <c r="A277" s="10"/>
      <c r="B277" s="13"/>
      <c r="C277" s="13"/>
    </row>
    <row r="278" spans="1:3" ht="13" x14ac:dyDescent="0.15">
      <c r="A278" s="10"/>
      <c r="B278" s="13"/>
      <c r="C278" s="13"/>
    </row>
    <row r="279" spans="1:3" ht="13" x14ac:dyDescent="0.15">
      <c r="A279" s="10"/>
      <c r="B279" s="13"/>
      <c r="C279" s="13"/>
    </row>
    <row r="280" spans="1:3" ht="13" x14ac:dyDescent="0.15">
      <c r="A280" s="10"/>
      <c r="B280" s="13"/>
      <c r="C280" s="13"/>
    </row>
    <row r="281" spans="1:3" ht="13" x14ac:dyDescent="0.15">
      <c r="A281" s="10"/>
      <c r="B281" s="13"/>
      <c r="C281" s="13"/>
    </row>
    <row r="282" spans="1:3" ht="13" x14ac:dyDescent="0.15">
      <c r="A282" s="10"/>
      <c r="B282" s="13"/>
      <c r="C282" s="13"/>
    </row>
    <row r="283" spans="1:3" ht="13" x14ac:dyDescent="0.15">
      <c r="A283" s="10"/>
      <c r="B283" s="13"/>
      <c r="C283" s="13"/>
    </row>
    <row r="284" spans="1:3" ht="13" x14ac:dyDescent="0.15">
      <c r="A284" s="10"/>
      <c r="B284" s="13"/>
      <c r="C284" s="13"/>
    </row>
    <row r="285" spans="1:3" ht="13" x14ac:dyDescent="0.15">
      <c r="A285" s="10"/>
      <c r="B285" s="13"/>
      <c r="C285" s="13"/>
    </row>
    <row r="286" spans="1:3" ht="13" x14ac:dyDescent="0.15">
      <c r="A286" s="10"/>
      <c r="B286" s="13"/>
      <c r="C286" s="13"/>
    </row>
    <row r="287" spans="1:3" ht="13" x14ac:dyDescent="0.15">
      <c r="A287" s="10"/>
      <c r="B287" s="13"/>
      <c r="C287" s="13"/>
    </row>
    <row r="288" spans="1:3" ht="13" x14ac:dyDescent="0.15">
      <c r="A288" s="10"/>
      <c r="B288" s="13"/>
      <c r="C288" s="13"/>
    </row>
    <row r="289" spans="1:3" ht="13" x14ac:dyDescent="0.15">
      <c r="A289" s="10"/>
      <c r="B289" s="13"/>
      <c r="C289" s="13"/>
    </row>
    <row r="290" spans="1:3" ht="13" x14ac:dyDescent="0.15">
      <c r="A290" s="10"/>
      <c r="B290" s="13"/>
      <c r="C290" s="13"/>
    </row>
    <row r="291" spans="1:3" ht="13" x14ac:dyDescent="0.15">
      <c r="A291" s="10"/>
      <c r="B291" s="13"/>
      <c r="C291" s="13"/>
    </row>
    <row r="292" spans="1:3" ht="13" x14ac:dyDescent="0.15">
      <c r="A292" s="10"/>
      <c r="B292" s="13"/>
      <c r="C292" s="13"/>
    </row>
    <row r="293" spans="1:3" ht="13" x14ac:dyDescent="0.15">
      <c r="A293" s="10"/>
      <c r="B293" s="13"/>
      <c r="C293" s="13"/>
    </row>
    <row r="294" spans="1:3" ht="13" x14ac:dyDescent="0.15">
      <c r="A294" s="10"/>
      <c r="B294" s="13"/>
      <c r="C294" s="13"/>
    </row>
    <row r="295" spans="1:3" ht="13" x14ac:dyDescent="0.15">
      <c r="A295" s="10"/>
      <c r="B295" s="13"/>
      <c r="C295" s="13"/>
    </row>
    <row r="296" spans="1:3" ht="13" x14ac:dyDescent="0.15">
      <c r="A296" s="10"/>
      <c r="B296" s="13"/>
      <c r="C296" s="13"/>
    </row>
    <row r="297" spans="1:3" ht="13" x14ac:dyDescent="0.15">
      <c r="A297" s="10"/>
      <c r="B297" s="13"/>
      <c r="C297" s="13"/>
    </row>
    <row r="298" spans="1:3" ht="13" x14ac:dyDescent="0.15">
      <c r="A298" s="10"/>
      <c r="B298" s="13"/>
      <c r="C298" s="13"/>
    </row>
    <row r="299" spans="1:3" ht="13" x14ac:dyDescent="0.15">
      <c r="A299" s="10"/>
      <c r="B299" s="13"/>
      <c r="C299" s="13"/>
    </row>
    <row r="300" spans="1:3" ht="13" x14ac:dyDescent="0.15">
      <c r="A300" s="10"/>
      <c r="B300" s="13"/>
      <c r="C300" s="13"/>
    </row>
    <row r="301" spans="1:3" ht="13" x14ac:dyDescent="0.15">
      <c r="A301" s="10"/>
      <c r="B301" s="13"/>
      <c r="C301" s="13"/>
    </row>
    <row r="302" spans="1:3" ht="13" x14ac:dyDescent="0.15">
      <c r="A302" s="10"/>
      <c r="B302" s="13"/>
      <c r="C302" s="13"/>
    </row>
    <row r="303" spans="1:3" ht="13" x14ac:dyDescent="0.15">
      <c r="A303" s="10"/>
      <c r="B303" s="13"/>
      <c r="C303" s="13"/>
    </row>
    <row r="304" spans="1:3" ht="13" x14ac:dyDescent="0.15">
      <c r="A304" s="10"/>
      <c r="B304" s="13"/>
      <c r="C304" s="13"/>
    </row>
    <row r="305" spans="1:3" ht="13" x14ac:dyDescent="0.15">
      <c r="A305" s="10"/>
      <c r="B305" s="13"/>
      <c r="C305" s="13"/>
    </row>
    <row r="306" spans="1:3" ht="13" x14ac:dyDescent="0.15">
      <c r="A306" s="10"/>
      <c r="B306" s="13"/>
      <c r="C306" s="13"/>
    </row>
    <row r="307" spans="1:3" ht="13" x14ac:dyDescent="0.15">
      <c r="A307" s="10"/>
      <c r="B307" s="13"/>
      <c r="C307" s="13"/>
    </row>
    <row r="308" spans="1:3" ht="13" x14ac:dyDescent="0.15">
      <c r="A308" s="10"/>
      <c r="B308" s="13"/>
      <c r="C308" s="13"/>
    </row>
    <row r="309" spans="1:3" ht="13" x14ac:dyDescent="0.15">
      <c r="A309" s="10"/>
      <c r="B309" s="13"/>
      <c r="C309" s="13"/>
    </row>
    <row r="310" spans="1:3" ht="13" x14ac:dyDescent="0.15">
      <c r="A310" s="10"/>
      <c r="B310" s="13"/>
      <c r="C310" s="13"/>
    </row>
    <row r="311" spans="1:3" ht="13" x14ac:dyDescent="0.15">
      <c r="A311" s="10"/>
      <c r="B311" s="13"/>
      <c r="C311" s="13"/>
    </row>
    <row r="312" spans="1:3" ht="13" x14ac:dyDescent="0.15">
      <c r="A312" s="10"/>
      <c r="B312" s="13"/>
      <c r="C312" s="13"/>
    </row>
    <row r="313" spans="1:3" ht="13" x14ac:dyDescent="0.15">
      <c r="A313" s="10"/>
      <c r="B313" s="13"/>
      <c r="C313" s="13"/>
    </row>
    <row r="314" spans="1:3" ht="13" x14ac:dyDescent="0.15">
      <c r="A314" s="10"/>
      <c r="B314" s="13"/>
      <c r="C314" s="13"/>
    </row>
    <row r="315" spans="1:3" ht="13" x14ac:dyDescent="0.15">
      <c r="A315" s="10"/>
      <c r="B315" s="13"/>
      <c r="C315" s="13"/>
    </row>
    <row r="316" spans="1:3" ht="13" x14ac:dyDescent="0.15">
      <c r="A316" s="10"/>
      <c r="B316" s="13"/>
      <c r="C316" s="13"/>
    </row>
    <row r="317" spans="1:3" ht="13" x14ac:dyDescent="0.15">
      <c r="A317" s="10"/>
      <c r="B317" s="13"/>
      <c r="C317" s="13"/>
    </row>
    <row r="318" spans="1:3" ht="13" x14ac:dyDescent="0.15">
      <c r="A318" s="10"/>
      <c r="B318" s="13"/>
      <c r="C318" s="13"/>
    </row>
    <row r="319" spans="1:3" ht="13" x14ac:dyDescent="0.15">
      <c r="A319" s="10"/>
      <c r="B319" s="13"/>
      <c r="C319" s="13"/>
    </row>
    <row r="320" spans="1:3" ht="13" x14ac:dyDescent="0.15">
      <c r="A320" s="10"/>
      <c r="B320" s="13"/>
      <c r="C320" s="13"/>
    </row>
    <row r="321" spans="1:3" ht="13" x14ac:dyDescent="0.15">
      <c r="A321" s="10"/>
      <c r="B321" s="13"/>
      <c r="C321" s="13"/>
    </row>
    <row r="322" spans="1:3" ht="13" x14ac:dyDescent="0.15">
      <c r="A322" s="10"/>
      <c r="B322" s="13"/>
      <c r="C322" s="13"/>
    </row>
    <row r="323" spans="1:3" ht="13" x14ac:dyDescent="0.15">
      <c r="A323" s="10"/>
      <c r="B323" s="13"/>
      <c r="C323" s="13"/>
    </row>
    <row r="324" spans="1:3" ht="13" x14ac:dyDescent="0.15">
      <c r="A324" s="10"/>
      <c r="B324" s="13"/>
      <c r="C324" s="13"/>
    </row>
    <row r="325" spans="1:3" ht="13" x14ac:dyDescent="0.15">
      <c r="A325" s="10"/>
      <c r="B325" s="13"/>
      <c r="C325" s="13"/>
    </row>
    <row r="326" spans="1:3" ht="13" x14ac:dyDescent="0.15">
      <c r="A326" s="10"/>
      <c r="B326" s="13"/>
      <c r="C326" s="13"/>
    </row>
    <row r="327" spans="1:3" ht="13" x14ac:dyDescent="0.15">
      <c r="A327" s="10"/>
      <c r="B327" s="13"/>
      <c r="C327" s="13"/>
    </row>
    <row r="328" spans="1:3" ht="13" x14ac:dyDescent="0.15">
      <c r="A328" s="10"/>
      <c r="B328" s="13"/>
      <c r="C328" s="13"/>
    </row>
    <row r="329" spans="1:3" ht="13" x14ac:dyDescent="0.15">
      <c r="A329" s="10"/>
      <c r="B329" s="13"/>
      <c r="C329" s="13"/>
    </row>
    <row r="330" spans="1:3" ht="13" x14ac:dyDescent="0.15">
      <c r="A330" s="10"/>
      <c r="B330" s="13"/>
      <c r="C330" s="13"/>
    </row>
    <row r="331" spans="1:3" ht="13" x14ac:dyDescent="0.15">
      <c r="A331" s="10"/>
      <c r="B331" s="13"/>
      <c r="C331" s="13"/>
    </row>
    <row r="332" spans="1:3" ht="13" x14ac:dyDescent="0.15">
      <c r="A332" s="10"/>
      <c r="B332" s="13"/>
      <c r="C332" s="13"/>
    </row>
    <row r="333" spans="1:3" ht="13" x14ac:dyDescent="0.15">
      <c r="A333" s="10"/>
      <c r="B333" s="13"/>
      <c r="C333" s="13"/>
    </row>
    <row r="334" spans="1:3" ht="13" x14ac:dyDescent="0.15">
      <c r="A334" s="10"/>
      <c r="B334" s="13"/>
      <c r="C334" s="13"/>
    </row>
    <row r="335" spans="1:3" ht="13" x14ac:dyDescent="0.15">
      <c r="A335" s="10"/>
      <c r="B335" s="13"/>
      <c r="C335" s="13"/>
    </row>
    <row r="336" spans="1:3" ht="13" x14ac:dyDescent="0.15">
      <c r="A336" s="10"/>
      <c r="B336" s="13"/>
      <c r="C336" s="13"/>
    </row>
    <row r="337" spans="1:3" ht="13" x14ac:dyDescent="0.15">
      <c r="A337" s="10"/>
      <c r="B337" s="13"/>
      <c r="C337" s="13"/>
    </row>
    <row r="338" spans="1:3" ht="13" x14ac:dyDescent="0.15">
      <c r="A338" s="10"/>
      <c r="B338" s="13"/>
      <c r="C338" s="13"/>
    </row>
    <row r="339" spans="1:3" ht="13" x14ac:dyDescent="0.15">
      <c r="A339" s="10"/>
      <c r="B339" s="13"/>
      <c r="C339" s="13"/>
    </row>
    <row r="340" spans="1:3" ht="13" x14ac:dyDescent="0.15">
      <c r="A340" s="10"/>
      <c r="B340" s="13"/>
      <c r="C340" s="13"/>
    </row>
    <row r="341" spans="1:3" ht="13" x14ac:dyDescent="0.15">
      <c r="A341" s="10"/>
      <c r="B341" s="13"/>
      <c r="C341" s="13"/>
    </row>
    <row r="342" spans="1:3" ht="13" x14ac:dyDescent="0.15">
      <c r="A342" s="10"/>
      <c r="B342" s="13"/>
      <c r="C342" s="13"/>
    </row>
    <row r="343" spans="1:3" ht="13" x14ac:dyDescent="0.15">
      <c r="A343" s="10"/>
      <c r="B343" s="13"/>
      <c r="C343" s="13"/>
    </row>
    <row r="344" spans="1:3" ht="13" x14ac:dyDescent="0.15">
      <c r="A344" s="10"/>
      <c r="B344" s="13"/>
      <c r="C344" s="13"/>
    </row>
    <row r="345" spans="1:3" ht="13" x14ac:dyDescent="0.15">
      <c r="A345" s="10"/>
      <c r="B345" s="13"/>
      <c r="C345" s="13"/>
    </row>
    <row r="346" spans="1:3" ht="13" x14ac:dyDescent="0.15">
      <c r="A346" s="10"/>
      <c r="B346" s="13"/>
      <c r="C346" s="13"/>
    </row>
    <row r="347" spans="1:3" ht="13" x14ac:dyDescent="0.15">
      <c r="A347" s="10"/>
      <c r="B347" s="13"/>
      <c r="C347" s="13"/>
    </row>
    <row r="348" spans="1:3" ht="13" x14ac:dyDescent="0.15">
      <c r="A348" s="10"/>
      <c r="B348" s="13"/>
      <c r="C348" s="13"/>
    </row>
    <row r="349" spans="1:3" ht="13" x14ac:dyDescent="0.15">
      <c r="A349" s="10"/>
      <c r="B349" s="13"/>
      <c r="C349" s="13"/>
    </row>
    <row r="350" spans="1:3" ht="13" x14ac:dyDescent="0.15">
      <c r="A350" s="10"/>
      <c r="B350" s="13"/>
      <c r="C350" s="13"/>
    </row>
    <row r="351" spans="1:3" ht="13" x14ac:dyDescent="0.15">
      <c r="A351" s="10"/>
      <c r="B351" s="13"/>
      <c r="C351" s="13"/>
    </row>
    <row r="352" spans="1:3" ht="13" x14ac:dyDescent="0.15">
      <c r="A352" s="10"/>
      <c r="B352" s="13"/>
      <c r="C352" s="13"/>
    </row>
    <row r="353" spans="1:3" ht="13" x14ac:dyDescent="0.15">
      <c r="A353" s="10"/>
      <c r="B353" s="13"/>
      <c r="C353" s="13"/>
    </row>
    <row r="354" spans="1:3" ht="13" x14ac:dyDescent="0.15">
      <c r="A354" s="10"/>
      <c r="B354" s="13"/>
      <c r="C354" s="13"/>
    </row>
    <row r="355" spans="1:3" ht="13" x14ac:dyDescent="0.15">
      <c r="A355" s="10"/>
      <c r="B355" s="13"/>
      <c r="C355" s="13"/>
    </row>
    <row r="356" spans="1:3" ht="13" x14ac:dyDescent="0.15">
      <c r="A356" s="10"/>
      <c r="B356" s="13"/>
      <c r="C356" s="13"/>
    </row>
    <row r="357" spans="1:3" ht="13" x14ac:dyDescent="0.15">
      <c r="A357" s="10"/>
      <c r="B357" s="13"/>
      <c r="C357" s="13"/>
    </row>
    <row r="358" spans="1:3" ht="13" x14ac:dyDescent="0.15">
      <c r="A358" s="10"/>
      <c r="B358" s="13"/>
      <c r="C358" s="13"/>
    </row>
    <row r="359" spans="1:3" ht="13" x14ac:dyDescent="0.15">
      <c r="A359" s="10"/>
      <c r="B359" s="13"/>
      <c r="C359" s="13"/>
    </row>
    <row r="360" spans="1:3" ht="13" x14ac:dyDescent="0.15">
      <c r="A360" s="10"/>
      <c r="B360" s="13"/>
      <c r="C360" s="13"/>
    </row>
    <row r="361" spans="1:3" ht="13" x14ac:dyDescent="0.15">
      <c r="A361" s="10"/>
      <c r="B361" s="13"/>
      <c r="C361" s="13"/>
    </row>
    <row r="362" spans="1:3" ht="13" x14ac:dyDescent="0.15">
      <c r="A362" s="10"/>
      <c r="B362" s="13"/>
      <c r="C362" s="13"/>
    </row>
    <row r="363" spans="1:3" ht="13" x14ac:dyDescent="0.15">
      <c r="A363" s="10"/>
      <c r="B363" s="13"/>
      <c r="C363" s="13"/>
    </row>
    <row r="364" spans="1:3" ht="13" x14ac:dyDescent="0.15">
      <c r="A364" s="10"/>
      <c r="B364" s="13"/>
      <c r="C364" s="13"/>
    </row>
    <row r="365" spans="1:3" ht="13" x14ac:dyDescent="0.15">
      <c r="A365" s="10"/>
      <c r="B365" s="13"/>
      <c r="C365" s="13"/>
    </row>
    <row r="366" spans="1:3" ht="13" x14ac:dyDescent="0.15">
      <c r="A366" s="10"/>
      <c r="B366" s="13"/>
      <c r="C366" s="13"/>
    </row>
    <row r="367" spans="1:3" ht="13" x14ac:dyDescent="0.15">
      <c r="A367" s="10"/>
      <c r="B367" s="13"/>
      <c r="C367" s="13"/>
    </row>
    <row r="368" spans="1:3" ht="13" x14ac:dyDescent="0.15">
      <c r="A368" s="10"/>
      <c r="B368" s="13"/>
      <c r="C368" s="13"/>
    </row>
    <row r="369" spans="1:3" ht="13" x14ac:dyDescent="0.15">
      <c r="A369" s="10"/>
      <c r="B369" s="13"/>
      <c r="C369" s="13"/>
    </row>
    <row r="370" spans="1:3" ht="13" x14ac:dyDescent="0.15">
      <c r="A370" s="10"/>
      <c r="B370" s="13"/>
      <c r="C370" s="13"/>
    </row>
    <row r="371" spans="1:3" ht="13" x14ac:dyDescent="0.15">
      <c r="A371" s="10"/>
      <c r="B371" s="13"/>
      <c r="C371" s="13"/>
    </row>
    <row r="372" spans="1:3" ht="13" x14ac:dyDescent="0.15">
      <c r="A372" s="10"/>
      <c r="B372" s="13"/>
      <c r="C372" s="13"/>
    </row>
    <row r="373" spans="1:3" ht="13" x14ac:dyDescent="0.15">
      <c r="A373" s="10"/>
      <c r="B373" s="13"/>
      <c r="C373" s="13"/>
    </row>
    <row r="374" spans="1:3" ht="13" x14ac:dyDescent="0.15">
      <c r="A374" s="10"/>
      <c r="B374" s="13"/>
      <c r="C374" s="13"/>
    </row>
    <row r="375" spans="1:3" ht="13" x14ac:dyDescent="0.15">
      <c r="A375" s="10"/>
      <c r="B375" s="13"/>
      <c r="C375" s="13"/>
    </row>
    <row r="376" spans="1:3" ht="13" x14ac:dyDescent="0.15">
      <c r="A376" s="10"/>
      <c r="B376" s="13"/>
      <c r="C376" s="13"/>
    </row>
    <row r="377" spans="1:3" ht="13" x14ac:dyDescent="0.15">
      <c r="A377" s="10"/>
      <c r="B377" s="13"/>
      <c r="C377" s="13"/>
    </row>
    <row r="378" spans="1:3" ht="13" x14ac:dyDescent="0.15">
      <c r="A378" s="10"/>
      <c r="B378" s="13"/>
      <c r="C378" s="13"/>
    </row>
    <row r="379" spans="1:3" ht="13" x14ac:dyDescent="0.15">
      <c r="A379" s="10"/>
      <c r="B379" s="13"/>
      <c r="C379" s="13"/>
    </row>
    <row r="380" spans="1:3" ht="13" x14ac:dyDescent="0.15">
      <c r="A380" s="10"/>
      <c r="B380" s="13"/>
      <c r="C380" s="13"/>
    </row>
    <row r="381" spans="1:3" ht="13" x14ac:dyDescent="0.15">
      <c r="A381" s="10"/>
      <c r="B381" s="13"/>
      <c r="C381" s="13"/>
    </row>
    <row r="382" spans="1:3" ht="13" x14ac:dyDescent="0.15">
      <c r="A382" s="10"/>
      <c r="B382" s="13"/>
      <c r="C382" s="13"/>
    </row>
    <row r="383" spans="1:3" ht="13" x14ac:dyDescent="0.15">
      <c r="A383" s="10"/>
      <c r="B383" s="13"/>
      <c r="C383" s="13"/>
    </row>
    <row r="384" spans="1:3" ht="13" x14ac:dyDescent="0.15">
      <c r="A384" s="10"/>
      <c r="B384" s="13"/>
      <c r="C384" s="13"/>
    </row>
    <row r="385" spans="1:3" ht="13" x14ac:dyDescent="0.15">
      <c r="A385" s="10"/>
      <c r="B385" s="13"/>
      <c r="C385" s="13"/>
    </row>
    <row r="386" spans="1:3" ht="13" x14ac:dyDescent="0.15">
      <c r="A386" s="10"/>
      <c r="B386" s="13"/>
      <c r="C386" s="13"/>
    </row>
    <row r="387" spans="1:3" ht="13" x14ac:dyDescent="0.15">
      <c r="A387" s="10"/>
      <c r="B387" s="13"/>
      <c r="C387" s="13"/>
    </row>
    <row r="388" spans="1:3" ht="13" x14ac:dyDescent="0.15">
      <c r="A388" s="10"/>
      <c r="B388" s="13"/>
      <c r="C388" s="13"/>
    </row>
    <row r="389" spans="1:3" ht="13" x14ac:dyDescent="0.15">
      <c r="A389" s="10"/>
      <c r="B389" s="13"/>
      <c r="C389" s="13"/>
    </row>
    <row r="390" spans="1:3" ht="13" x14ac:dyDescent="0.15">
      <c r="A390" s="10"/>
      <c r="B390" s="13"/>
      <c r="C390" s="13"/>
    </row>
    <row r="391" spans="1:3" ht="13" x14ac:dyDescent="0.15">
      <c r="A391" s="10"/>
      <c r="B391" s="13"/>
      <c r="C391" s="13"/>
    </row>
    <row r="392" spans="1:3" ht="13" x14ac:dyDescent="0.15">
      <c r="A392" s="10"/>
      <c r="B392" s="13"/>
      <c r="C392" s="13"/>
    </row>
    <row r="393" spans="1:3" ht="13" x14ac:dyDescent="0.15">
      <c r="A393" s="10"/>
      <c r="B393" s="13"/>
      <c r="C393" s="13"/>
    </row>
    <row r="394" spans="1:3" ht="13" x14ac:dyDescent="0.15">
      <c r="A394" s="10"/>
      <c r="B394" s="13"/>
      <c r="C394" s="13"/>
    </row>
    <row r="395" spans="1:3" ht="13" x14ac:dyDescent="0.15">
      <c r="A395" s="10"/>
      <c r="B395" s="13"/>
      <c r="C395" s="13"/>
    </row>
    <row r="396" spans="1:3" ht="13" x14ac:dyDescent="0.15">
      <c r="A396" s="10"/>
      <c r="B396" s="13"/>
      <c r="C396" s="13"/>
    </row>
    <row r="397" spans="1:3" ht="13" x14ac:dyDescent="0.15">
      <c r="A397" s="10"/>
      <c r="B397" s="13"/>
      <c r="C397" s="13"/>
    </row>
    <row r="398" spans="1:3" ht="13" x14ac:dyDescent="0.15">
      <c r="A398" s="10"/>
      <c r="B398" s="13"/>
      <c r="C398" s="13"/>
    </row>
    <row r="399" spans="1:3" ht="13" x14ac:dyDescent="0.15">
      <c r="A399" s="10"/>
      <c r="B399" s="13"/>
      <c r="C399" s="13"/>
    </row>
    <row r="400" spans="1:3" ht="13" x14ac:dyDescent="0.15">
      <c r="A400" s="10"/>
      <c r="B400" s="13"/>
      <c r="C400" s="13"/>
    </row>
    <row r="401" spans="1:3" ht="13" x14ac:dyDescent="0.15">
      <c r="A401" s="10"/>
      <c r="B401" s="13"/>
      <c r="C401" s="13"/>
    </row>
    <row r="402" spans="1:3" ht="13" x14ac:dyDescent="0.15">
      <c r="A402" s="10"/>
      <c r="B402" s="13"/>
      <c r="C402" s="13"/>
    </row>
    <row r="403" spans="1:3" ht="13" x14ac:dyDescent="0.15">
      <c r="A403" s="10"/>
      <c r="B403" s="13"/>
      <c r="C403" s="13"/>
    </row>
    <row r="404" spans="1:3" ht="13" x14ac:dyDescent="0.15">
      <c r="A404" s="10"/>
      <c r="B404" s="13"/>
      <c r="C404" s="13"/>
    </row>
    <row r="405" spans="1:3" ht="13" x14ac:dyDescent="0.15">
      <c r="A405" s="10"/>
      <c r="B405" s="13"/>
      <c r="C405" s="13"/>
    </row>
    <row r="406" spans="1:3" ht="13" x14ac:dyDescent="0.15">
      <c r="A406" s="10"/>
      <c r="B406" s="13"/>
      <c r="C406" s="13"/>
    </row>
    <row r="407" spans="1:3" ht="13" x14ac:dyDescent="0.15">
      <c r="A407" s="10"/>
      <c r="B407" s="13"/>
      <c r="C407" s="13"/>
    </row>
    <row r="408" spans="1:3" ht="13" x14ac:dyDescent="0.15">
      <c r="A408" s="10"/>
      <c r="B408" s="13"/>
      <c r="C408" s="13"/>
    </row>
    <row r="409" spans="1:3" ht="13" x14ac:dyDescent="0.15">
      <c r="A409" s="10"/>
      <c r="B409" s="13"/>
      <c r="C409" s="13"/>
    </row>
    <row r="410" spans="1:3" ht="13" x14ac:dyDescent="0.15">
      <c r="A410" s="10"/>
      <c r="B410" s="13"/>
      <c r="C410" s="13"/>
    </row>
    <row r="411" spans="1:3" ht="13" x14ac:dyDescent="0.15">
      <c r="A411" s="10"/>
      <c r="B411" s="13"/>
      <c r="C411" s="13"/>
    </row>
    <row r="412" spans="1:3" ht="13" x14ac:dyDescent="0.15">
      <c r="A412" s="10"/>
      <c r="B412" s="13"/>
      <c r="C412" s="13"/>
    </row>
    <row r="413" spans="1:3" ht="13" x14ac:dyDescent="0.15">
      <c r="A413" s="10"/>
      <c r="B413" s="13"/>
      <c r="C413" s="13"/>
    </row>
    <row r="414" spans="1:3" ht="13" x14ac:dyDescent="0.15">
      <c r="A414" s="10"/>
      <c r="B414" s="13"/>
      <c r="C414" s="13"/>
    </row>
    <row r="415" spans="1:3" ht="13" x14ac:dyDescent="0.15">
      <c r="A415" s="10"/>
      <c r="B415" s="13"/>
      <c r="C415" s="13"/>
    </row>
    <row r="416" spans="1:3" ht="13" x14ac:dyDescent="0.15">
      <c r="A416" s="10"/>
      <c r="B416" s="13"/>
      <c r="C416" s="13"/>
    </row>
    <row r="417" spans="1:3" ht="13" x14ac:dyDescent="0.15">
      <c r="A417" s="10"/>
      <c r="B417" s="13"/>
      <c r="C417" s="13"/>
    </row>
    <row r="418" spans="1:3" ht="13" x14ac:dyDescent="0.15">
      <c r="A418" s="10"/>
      <c r="B418" s="13"/>
      <c r="C418" s="13"/>
    </row>
    <row r="419" spans="1:3" ht="13" x14ac:dyDescent="0.15">
      <c r="A419" s="10"/>
      <c r="B419" s="13"/>
      <c r="C419" s="13"/>
    </row>
    <row r="420" spans="1:3" ht="13" x14ac:dyDescent="0.15">
      <c r="A420" s="10"/>
      <c r="B420" s="13"/>
      <c r="C420" s="13"/>
    </row>
    <row r="421" spans="1:3" ht="13" x14ac:dyDescent="0.15">
      <c r="A421" s="10"/>
      <c r="B421" s="13"/>
      <c r="C421" s="13"/>
    </row>
    <row r="422" spans="1:3" ht="13" x14ac:dyDescent="0.15">
      <c r="A422" s="10"/>
      <c r="B422" s="13"/>
      <c r="C422" s="13"/>
    </row>
    <row r="423" spans="1:3" ht="13" x14ac:dyDescent="0.15">
      <c r="A423" s="10"/>
      <c r="B423" s="13"/>
      <c r="C423" s="13"/>
    </row>
    <row r="424" spans="1:3" ht="13" x14ac:dyDescent="0.15">
      <c r="A424" s="10"/>
      <c r="B424" s="13"/>
      <c r="C424" s="13"/>
    </row>
    <row r="425" spans="1:3" ht="13" x14ac:dyDescent="0.15">
      <c r="A425" s="10"/>
      <c r="B425" s="13"/>
      <c r="C425" s="13"/>
    </row>
    <row r="426" spans="1:3" ht="13" x14ac:dyDescent="0.15">
      <c r="A426" s="10"/>
      <c r="B426" s="13"/>
      <c r="C426" s="13"/>
    </row>
    <row r="427" spans="1:3" ht="13" x14ac:dyDescent="0.15">
      <c r="A427" s="10"/>
      <c r="B427" s="13"/>
      <c r="C427" s="13"/>
    </row>
    <row r="428" spans="1:3" ht="13" x14ac:dyDescent="0.15">
      <c r="A428" s="10"/>
      <c r="B428" s="13"/>
      <c r="C428" s="13"/>
    </row>
    <row r="429" spans="1:3" ht="13" x14ac:dyDescent="0.15">
      <c r="A429" s="10"/>
      <c r="B429" s="13"/>
      <c r="C429" s="13"/>
    </row>
    <row r="430" spans="1:3" ht="13" x14ac:dyDescent="0.15">
      <c r="A430" s="10"/>
      <c r="B430" s="13"/>
      <c r="C430" s="13"/>
    </row>
    <row r="431" spans="1:3" ht="13" x14ac:dyDescent="0.15">
      <c r="A431" s="10"/>
      <c r="B431" s="13"/>
      <c r="C431" s="13"/>
    </row>
    <row r="432" spans="1:3" ht="13" x14ac:dyDescent="0.15">
      <c r="A432" s="10"/>
      <c r="B432" s="13"/>
      <c r="C432" s="13"/>
    </row>
    <row r="433" spans="1:3" ht="13" x14ac:dyDescent="0.15">
      <c r="A433" s="10"/>
      <c r="B433" s="13"/>
      <c r="C433" s="13"/>
    </row>
    <row r="434" spans="1:3" ht="13" x14ac:dyDescent="0.15">
      <c r="A434" s="10"/>
      <c r="B434" s="13"/>
      <c r="C434" s="13"/>
    </row>
    <row r="435" spans="1:3" ht="13" x14ac:dyDescent="0.15">
      <c r="A435" s="10"/>
      <c r="B435" s="13"/>
      <c r="C435" s="13"/>
    </row>
    <row r="436" spans="1:3" ht="13" x14ac:dyDescent="0.15">
      <c r="A436" s="10"/>
      <c r="B436" s="13"/>
      <c r="C436" s="13"/>
    </row>
    <row r="437" spans="1:3" ht="13" x14ac:dyDescent="0.15">
      <c r="A437" s="10"/>
      <c r="B437" s="13"/>
      <c r="C437" s="13"/>
    </row>
    <row r="438" spans="1:3" ht="13" x14ac:dyDescent="0.15">
      <c r="A438" s="10"/>
      <c r="B438" s="13"/>
      <c r="C438" s="13"/>
    </row>
    <row r="439" spans="1:3" ht="13" x14ac:dyDescent="0.15">
      <c r="A439" s="10"/>
      <c r="B439" s="13"/>
      <c r="C439" s="13"/>
    </row>
    <row r="440" spans="1:3" ht="13" x14ac:dyDescent="0.15">
      <c r="A440" s="10"/>
      <c r="B440" s="13"/>
      <c r="C440" s="13"/>
    </row>
    <row r="441" spans="1:3" ht="13" x14ac:dyDescent="0.15">
      <c r="A441" s="10"/>
      <c r="B441" s="13"/>
      <c r="C441" s="13"/>
    </row>
    <row r="442" spans="1:3" ht="13" x14ac:dyDescent="0.15">
      <c r="A442" s="10"/>
      <c r="B442" s="13"/>
      <c r="C442" s="13"/>
    </row>
    <row r="443" spans="1:3" ht="13" x14ac:dyDescent="0.15">
      <c r="A443" s="10"/>
      <c r="B443" s="13"/>
      <c r="C443" s="13"/>
    </row>
    <row r="444" spans="1:3" ht="13" x14ac:dyDescent="0.15">
      <c r="A444" s="10"/>
      <c r="B444" s="13"/>
      <c r="C444" s="13"/>
    </row>
    <row r="445" spans="1:3" ht="13" x14ac:dyDescent="0.15">
      <c r="A445" s="10"/>
      <c r="B445" s="13"/>
      <c r="C445" s="13"/>
    </row>
    <row r="446" spans="1:3" ht="13" x14ac:dyDescent="0.15">
      <c r="A446" s="10"/>
      <c r="B446" s="13"/>
      <c r="C446" s="13"/>
    </row>
    <row r="447" spans="1:3" ht="13" x14ac:dyDescent="0.15">
      <c r="A447" s="10"/>
      <c r="B447" s="13"/>
      <c r="C447" s="13"/>
    </row>
    <row r="448" spans="1:3" ht="13" x14ac:dyDescent="0.15">
      <c r="A448" s="10"/>
      <c r="B448" s="13"/>
      <c r="C448" s="13"/>
    </row>
    <row r="449" spans="1:3" ht="13" x14ac:dyDescent="0.15">
      <c r="A449" s="10"/>
      <c r="B449" s="13"/>
      <c r="C449" s="13"/>
    </row>
    <row r="450" spans="1:3" ht="13" x14ac:dyDescent="0.15">
      <c r="A450" s="10"/>
      <c r="B450" s="13"/>
      <c r="C450" s="13"/>
    </row>
    <row r="451" spans="1:3" ht="13" x14ac:dyDescent="0.15">
      <c r="A451" s="10"/>
      <c r="B451" s="13"/>
      <c r="C451" s="13"/>
    </row>
    <row r="452" spans="1:3" ht="13" x14ac:dyDescent="0.15">
      <c r="A452" s="10"/>
      <c r="B452" s="13"/>
      <c r="C452" s="13"/>
    </row>
    <row r="453" spans="1:3" ht="13" x14ac:dyDescent="0.15">
      <c r="A453" s="10"/>
      <c r="B453" s="13"/>
      <c r="C453" s="13"/>
    </row>
    <row r="454" spans="1:3" ht="13" x14ac:dyDescent="0.15">
      <c r="A454" s="10"/>
      <c r="B454" s="13"/>
      <c r="C454" s="13"/>
    </row>
    <row r="455" spans="1:3" ht="13" x14ac:dyDescent="0.15">
      <c r="A455" s="10"/>
      <c r="B455" s="13"/>
      <c r="C455" s="13"/>
    </row>
    <row r="456" spans="1:3" ht="13" x14ac:dyDescent="0.15">
      <c r="A456" s="10"/>
      <c r="B456" s="13"/>
      <c r="C456" s="13"/>
    </row>
    <row r="457" spans="1:3" ht="13" x14ac:dyDescent="0.15">
      <c r="A457" s="10"/>
      <c r="B457" s="13"/>
      <c r="C457" s="13"/>
    </row>
    <row r="458" spans="1:3" ht="13" x14ac:dyDescent="0.15">
      <c r="A458" s="10"/>
      <c r="B458" s="13"/>
      <c r="C458" s="13"/>
    </row>
    <row r="459" spans="1:3" ht="13" x14ac:dyDescent="0.15">
      <c r="A459" s="10"/>
      <c r="B459" s="13"/>
      <c r="C459" s="13"/>
    </row>
    <row r="460" spans="1:3" ht="13" x14ac:dyDescent="0.15">
      <c r="A460" s="10"/>
      <c r="B460" s="13"/>
      <c r="C460" s="13"/>
    </row>
    <row r="461" spans="1:3" ht="13" x14ac:dyDescent="0.15">
      <c r="A461" s="10"/>
      <c r="B461" s="13"/>
      <c r="C461" s="13"/>
    </row>
    <row r="462" spans="1:3" ht="13" x14ac:dyDescent="0.15">
      <c r="A462" s="10"/>
      <c r="B462" s="13"/>
      <c r="C462" s="13"/>
    </row>
    <row r="463" spans="1:3" ht="13" x14ac:dyDescent="0.15">
      <c r="A463" s="10"/>
      <c r="B463" s="13"/>
      <c r="C463" s="13"/>
    </row>
    <row r="464" spans="1:3" ht="13" x14ac:dyDescent="0.15">
      <c r="A464" s="10"/>
      <c r="B464" s="13"/>
      <c r="C464" s="13"/>
    </row>
    <row r="465" spans="1:3" ht="13" x14ac:dyDescent="0.15">
      <c r="A465" s="10"/>
      <c r="B465" s="13"/>
      <c r="C465" s="13"/>
    </row>
    <row r="466" spans="1:3" ht="13" x14ac:dyDescent="0.15">
      <c r="A466" s="10"/>
      <c r="B466" s="13"/>
      <c r="C466" s="13"/>
    </row>
    <row r="467" spans="1:3" ht="13" x14ac:dyDescent="0.15">
      <c r="A467" s="10"/>
      <c r="B467" s="13"/>
      <c r="C467" s="13"/>
    </row>
    <row r="468" spans="1:3" ht="13" x14ac:dyDescent="0.15">
      <c r="A468" s="10"/>
      <c r="B468" s="13"/>
      <c r="C468" s="13"/>
    </row>
    <row r="469" spans="1:3" ht="13" x14ac:dyDescent="0.15">
      <c r="A469" s="10"/>
      <c r="B469" s="13"/>
      <c r="C469" s="13"/>
    </row>
    <row r="470" spans="1:3" ht="13" x14ac:dyDescent="0.15">
      <c r="A470" s="10"/>
      <c r="B470" s="13"/>
      <c r="C470" s="13"/>
    </row>
    <row r="471" spans="1:3" ht="13" x14ac:dyDescent="0.15">
      <c r="A471" s="10"/>
      <c r="B471" s="13"/>
      <c r="C471" s="13"/>
    </row>
    <row r="472" spans="1:3" ht="13" x14ac:dyDescent="0.15">
      <c r="A472" s="10"/>
      <c r="B472" s="13"/>
      <c r="C472" s="13"/>
    </row>
    <row r="473" spans="1:3" ht="13" x14ac:dyDescent="0.15">
      <c r="A473" s="10"/>
      <c r="B473" s="13"/>
      <c r="C473" s="13"/>
    </row>
    <row r="474" spans="1:3" ht="13" x14ac:dyDescent="0.15">
      <c r="A474" s="10"/>
      <c r="B474" s="13"/>
      <c r="C474" s="13"/>
    </row>
    <row r="475" spans="1:3" ht="13" x14ac:dyDescent="0.15">
      <c r="A475" s="10"/>
      <c r="B475" s="13"/>
      <c r="C475" s="13"/>
    </row>
    <row r="476" spans="1:3" ht="13" x14ac:dyDescent="0.15">
      <c r="A476" s="10"/>
      <c r="B476" s="13"/>
      <c r="C476" s="13"/>
    </row>
    <row r="477" spans="1:3" ht="13" x14ac:dyDescent="0.15">
      <c r="A477" s="10"/>
      <c r="B477" s="13"/>
      <c r="C477" s="13"/>
    </row>
    <row r="478" spans="1:3" ht="13" x14ac:dyDescent="0.15">
      <c r="A478" s="10"/>
      <c r="B478" s="13"/>
      <c r="C478" s="13"/>
    </row>
    <row r="479" spans="1:3" ht="13" x14ac:dyDescent="0.15">
      <c r="A479" s="10"/>
      <c r="B479" s="13"/>
      <c r="C479" s="13"/>
    </row>
    <row r="480" spans="1:3" ht="13" x14ac:dyDescent="0.15">
      <c r="A480" s="10"/>
      <c r="B480" s="13"/>
      <c r="C480" s="13"/>
    </row>
    <row r="481" spans="1:3" ht="13" x14ac:dyDescent="0.15">
      <c r="A481" s="10"/>
      <c r="B481" s="13"/>
      <c r="C481" s="13"/>
    </row>
    <row r="482" spans="1:3" ht="13" x14ac:dyDescent="0.15">
      <c r="A482" s="10"/>
      <c r="B482" s="13"/>
      <c r="C482" s="13"/>
    </row>
    <row r="483" spans="1:3" ht="13" x14ac:dyDescent="0.15">
      <c r="A483" s="10"/>
      <c r="B483" s="13"/>
      <c r="C483" s="13"/>
    </row>
    <row r="484" spans="1:3" ht="13" x14ac:dyDescent="0.15">
      <c r="A484" s="10"/>
      <c r="B484" s="13"/>
      <c r="C484" s="13"/>
    </row>
    <row r="485" spans="1:3" ht="13" x14ac:dyDescent="0.15">
      <c r="A485" s="10"/>
      <c r="B485" s="13"/>
      <c r="C485" s="13"/>
    </row>
    <row r="486" spans="1:3" ht="13" x14ac:dyDescent="0.15">
      <c r="A486" s="10"/>
      <c r="B486" s="13"/>
      <c r="C486" s="13"/>
    </row>
    <row r="487" spans="1:3" ht="13" x14ac:dyDescent="0.15">
      <c r="A487" s="10"/>
      <c r="B487" s="13"/>
      <c r="C487" s="13"/>
    </row>
    <row r="488" spans="1:3" ht="13" x14ac:dyDescent="0.15">
      <c r="A488" s="10"/>
      <c r="B488" s="13"/>
      <c r="C488" s="13"/>
    </row>
    <row r="489" spans="1:3" ht="13" x14ac:dyDescent="0.15">
      <c r="A489" s="10"/>
      <c r="B489" s="13"/>
      <c r="C489" s="13"/>
    </row>
    <row r="490" spans="1:3" ht="13" x14ac:dyDescent="0.15">
      <c r="A490" s="10"/>
      <c r="B490" s="13"/>
      <c r="C490" s="13"/>
    </row>
    <row r="491" spans="1:3" ht="13" x14ac:dyDescent="0.15">
      <c r="A491" s="10"/>
      <c r="B491" s="13"/>
      <c r="C491" s="13"/>
    </row>
    <row r="492" spans="1:3" ht="13" x14ac:dyDescent="0.15">
      <c r="A492" s="10"/>
      <c r="B492" s="13"/>
      <c r="C492" s="13"/>
    </row>
    <row r="493" spans="1:3" ht="13" x14ac:dyDescent="0.15">
      <c r="A493" s="10"/>
      <c r="B493" s="13"/>
      <c r="C493" s="13"/>
    </row>
    <row r="494" spans="1:3" ht="13" x14ac:dyDescent="0.15">
      <c r="A494" s="10"/>
      <c r="B494" s="13"/>
      <c r="C494" s="13"/>
    </row>
    <row r="495" spans="1:3" ht="13" x14ac:dyDescent="0.15">
      <c r="A495" s="10"/>
      <c r="B495" s="13"/>
      <c r="C495" s="13"/>
    </row>
    <row r="496" spans="1:3" ht="13" x14ac:dyDescent="0.15">
      <c r="A496" s="10"/>
      <c r="B496" s="13"/>
      <c r="C496" s="13"/>
    </row>
    <row r="497" spans="1:3" ht="13" x14ac:dyDescent="0.15">
      <c r="A497" s="10"/>
      <c r="B497" s="13"/>
      <c r="C497" s="13"/>
    </row>
    <row r="498" spans="1:3" ht="13" x14ac:dyDescent="0.15">
      <c r="A498" s="10"/>
      <c r="B498" s="13"/>
      <c r="C498" s="13"/>
    </row>
    <row r="499" spans="1:3" ht="13" x14ac:dyDescent="0.15">
      <c r="A499" s="10"/>
      <c r="B499" s="13"/>
      <c r="C499" s="13"/>
    </row>
    <row r="500" spans="1:3" ht="13" x14ac:dyDescent="0.15">
      <c r="A500" s="10"/>
      <c r="B500" s="13"/>
      <c r="C500" s="13"/>
    </row>
    <row r="501" spans="1:3" ht="13" x14ac:dyDescent="0.15">
      <c r="A501" s="10"/>
      <c r="B501" s="13"/>
      <c r="C501" s="13"/>
    </row>
    <row r="502" spans="1:3" ht="13" x14ac:dyDescent="0.15">
      <c r="A502" s="10"/>
      <c r="B502" s="13"/>
      <c r="C502" s="13"/>
    </row>
    <row r="503" spans="1:3" ht="13" x14ac:dyDescent="0.15">
      <c r="A503" s="10"/>
      <c r="B503" s="13"/>
      <c r="C503" s="13"/>
    </row>
    <row r="504" spans="1:3" ht="13" x14ac:dyDescent="0.15">
      <c r="A504" s="10"/>
      <c r="B504" s="13"/>
      <c r="C504" s="13"/>
    </row>
    <row r="505" spans="1:3" ht="13" x14ac:dyDescent="0.15">
      <c r="A505" s="10"/>
      <c r="B505" s="13"/>
      <c r="C505" s="13"/>
    </row>
    <row r="506" spans="1:3" ht="13" x14ac:dyDescent="0.15">
      <c r="A506" s="10"/>
      <c r="B506" s="13"/>
      <c r="C506" s="13"/>
    </row>
    <row r="507" spans="1:3" ht="13" x14ac:dyDescent="0.15">
      <c r="A507" s="10"/>
      <c r="B507" s="13"/>
      <c r="C507" s="13"/>
    </row>
    <row r="508" spans="1:3" ht="13" x14ac:dyDescent="0.15">
      <c r="A508" s="10"/>
      <c r="B508" s="13"/>
      <c r="C508" s="13"/>
    </row>
    <row r="509" spans="1:3" ht="13" x14ac:dyDescent="0.15">
      <c r="A509" s="10"/>
      <c r="B509" s="13"/>
      <c r="C509" s="13"/>
    </row>
    <row r="510" spans="1:3" ht="13" x14ac:dyDescent="0.15">
      <c r="A510" s="10"/>
      <c r="B510" s="13"/>
      <c r="C510" s="13"/>
    </row>
    <row r="511" spans="1:3" ht="13" x14ac:dyDescent="0.15">
      <c r="A511" s="10"/>
      <c r="B511" s="13"/>
      <c r="C511" s="13"/>
    </row>
    <row r="512" spans="1:3" ht="13" x14ac:dyDescent="0.15">
      <c r="A512" s="10"/>
      <c r="B512" s="13"/>
      <c r="C512" s="13"/>
    </row>
    <row r="513" spans="1:3" ht="13" x14ac:dyDescent="0.15">
      <c r="A513" s="10"/>
      <c r="B513" s="13"/>
      <c r="C513" s="13"/>
    </row>
    <row r="514" spans="1:3" ht="13" x14ac:dyDescent="0.15">
      <c r="A514" s="10"/>
      <c r="B514" s="13"/>
      <c r="C514" s="13"/>
    </row>
    <row r="515" spans="1:3" ht="13" x14ac:dyDescent="0.15">
      <c r="A515" s="10"/>
      <c r="B515" s="13"/>
      <c r="C515" s="13"/>
    </row>
    <row r="516" spans="1:3" ht="13" x14ac:dyDescent="0.15">
      <c r="A516" s="10"/>
      <c r="B516" s="13"/>
      <c r="C516" s="13"/>
    </row>
    <row r="517" spans="1:3" ht="13" x14ac:dyDescent="0.15">
      <c r="A517" s="10"/>
      <c r="B517" s="13"/>
      <c r="C517" s="13"/>
    </row>
    <row r="518" spans="1:3" ht="13" x14ac:dyDescent="0.15">
      <c r="A518" s="10"/>
      <c r="B518" s="13"/>
      <c r="C518" s="13"/>
    </row>
    <row r="519" spans="1:3" ht="13" x14ac:dyDescent="0.15">
      <c r="A519" s="10"/>
      <c r="B519" s="13"/>
      <c r="C519" s="13"/>
    </row>
    <row r="520" spans="1:3" ht="13" x14ac:dyDescent="0.15">
      <c r="A520" s="10"/>
      <c r="B520" s="13"/>
      <c r="C520" s="13"/>
    </row>
    <row r="521" spans="1:3" ht="13" x14ac:dyDescent="0.15">
      <c r="A521" s="10"/>
      <c r="B521" s="13"/>
      <c r="C521" s="13"/>
    </row>
    <row r="522" spans="1:3" ht="13" x14ac:dyDescent="0.15">
      <c r="A522" s="10"/>
      <c r="B522" s="13"/>
      <c r="C522" s="13"/>
    </row>
    <row r="523" spans="1:3" ht="13" x14ac:dyDescent="0.15">
      <c r="A523" s="10"/>
      <c r="B523" s="13"/>
      <c r="C523" s="13"/>
    </row>
    <row r="524" spans="1:3" ht="13" x14ac:dyDescent="0.15">
      <c r="A524" s="10"/>
      <c r="B524" s="13"/>
      <c r="C524" s="13"/>
    </row>
    <row r="525" spans="1:3" ht="13" x14ac:dyDescent="0.15">
      <c r="A525" s="10"/>
      <c r="B525" s="13"/>
      <c r="C525" s="13"/>
    </row>
    <row r="526" spans="1:3" ht="13" x14ac:dyDescent="0.15">
      <c r="A526" s="10"/>
      <c r="B526" s="13"/>
      <c r="C526" s="13"/>
    </row>
    <row r="527" spans="1:3" ht="13" x14ac:dyDescent="0.15">
      <c r="A527" s="10"/>
      <c r="B527" s="13"/>
      <c r="C527" s="13"/>
    </row>
    <row r="528" spans="1:3" ht="13" x14ac:dyDescent="0.15">
      <c r="A528" s="10"/>
      <c r="B528" s="13"/>
      <c r="C528" s="13"/>
    </row>
    <row r="529" spans="1:3" ht="13" x14ac:dyDescent="0.15">
      <c r="A529" s="10"/>
      <c r="B529" s="13"/>
      <c r="C529" s="13"/>
    </row>
    <row r="530" spans="1:3" ht="13" x14ac:dyDescent="0.15">
      <c r="A530" s="10"/>
      <c r="B530" s="13"/>
      <c r="C530" s="13"/>
    </row>
    <row r="531" spans="1:3" ht="13" x14ac:dyDescent="0.15">
      <c r="A531" s="10"/>
      <c r="B531" s="13"/>
      <c r="C531" s="13"/>
    </row>
    <row r="532" spans="1:3" ht="13" x14ac:dyDescent="0.15">
      <c r="A532" s="10"/>
      <c r="B532" s="13"/>
      <c r="C532" s="13"/>
    </row>
    <row r="533" spans="1:3" ht="13" x14ac:dyDescent="0.15">
      <c r="A533" s="10"/>
      <c r="B533" s="13"/>
      <c r="C533" s="13"/>
    </row>
    <row r="534" spans="1:3" ht="13" x14ac:dyDescent="0.15">
      <c r="A534" s="10"/>
      <c r="B534" s="13"/>
      <c r="C534" s="13"/>
    </row>
    <row r="535" spans="1:3" ht="13" x14ac:dyDescent="0.15">
      <c r="A535" s="10"/>
      <c r="B535" s="13"/>
      <c r="C535" s="13"/>
    </row>
    <row r="536" spans="1:3" ht="13" x14ac:dyDescent="0.15">
      <c r="A536" s="10"/>
      <c r="B536" s="13"/>
      <c r="C536" s="13"/>
    </row>
    <row r="537" spans="1:3" ht="13" x14ac:dyDescent="0.15">
      <c r="A537" s="10"/>
      <c r="B537" s="13"/>
      <c r="C537" s="13"/>
    </row>
    <row r="538" spans="1:3" ht="13" x14ac:dyDescent="0.15">
      <c r="A538" s="10"/>
      <c r="B538" s="13"/>
      <c r="C538" s="13"/>
    </row>
    <row r="539" spans="1:3" ht="13" x14ac:dyDescent="0.15">
      <c r="A539" s="10"/>
      <c r="B539" s="13"/>
      <c r="C539" s="13"/>
    </row>
    <row r="540" spans="1:3" ht="13" x14ac:dyDescent="0.15">
      <c r="A540" s="10"/>
      <c r="B540" s="13"/>
      <c r="C540" s="13"/>
    </row>
    <row r="541" spans="1:3" ht="13" x14ac:dyDescent="0.15">
      <c r="A541" s="10"/>
      <c r="B541" s="13"/>
      <c r="C541" s="13"/>
    </row>
    <row r="542" spans="1:3" ht="13" x14ac:dyDescent="0.15">
      <c r="A542" s="10"/>
      <c r="B542" s="13"/>
      <c r="C542" s="13"/>
    </row>
    <row r="543" spans="1:3" ht="13" x14ac:dyDescent="0.15">
      <c r="A543" s="10"/>
      <c r="B543" s="13"/>
      <c r="C543" s="13"/>
    </row>
    <row r="544" spans="1:3" ht="13" x14ac:dyDescent="0.15">
      <c r="A544" s="10"/>
      <c r="B544" s="13"/>
      <c r="C544" s="13"/>
    </row>
    <row r="545" spans="1:3" ht="13" x14ac:dyDescent="0.15">
      <c r="A545" s="10"/>
      <c r="B545" s="13"/>
      <c r="C545" s="13"/>
    </row>
    <row r="546" spans="1:3" ht="13" x14ac:dyDescent="0.15">
      <c r="A546" s="10"/>
      <c r="B546" s="13"/>
      <c r="C546" s="13"/>
    </row>
    <row r="547" spans="1:3" ht="13" x14ac:dyDescent="0.15">
      <c r="A547" s="10"/>
      <c r="B547" s="13"/>
      <c r="C547" s="13"/>
    </row>
    <row r="548" spans="1:3" ht="13" x14ac:dyDescent="0.15">
      <c r="A548" s="10"/>
      <c r="B548" s="13"/>
      <c r="C548" s="13"/>
    </row>
    <row r="549" spans="1:3" ht="13" x14ac:dyDescent="0.15">
      <c r="A549" s="10"/>
      <c r="B549" s="13"/>
      <c r="C549" s="13"/>
    </row>
    <row r="550" spans="1:3" ht="13" x14ac:dyDescent="0.15">
      <c r="A550" s="10"/>
      <c r="B550" s="13"/>
      <c r="C550" s="13"/>
    </row>
    <row r="551" spans="1:3" ht="13" x14ac:dyDescent="0.15">
      <c r="A551" s="10"/>
      <c r="B551" s="13"/>
      <c r="C551" s="13"/>
    </row>
    <row r="552" spans="1:3" ht="13" x14ac:dyDescent="0.15">
      <c r="A552" s="10"/>
      <c r="B552" s="13"/>
      <c r="C552" s="13"/>
    </row>
    <row r="553" spans="1:3" ht="13" x14ac:dyDescent="0.15">
      <c r="A553" s="10"/>
      <c r="B553" s="13"/>
      <c r="C553" s="13"/>
    </row>
    <row r="554" spans="1:3" ht="13" x14ac:dyDescent="0.15">
      <c r="A554" s="10"/>
      <c r="B554" s="13"/>
      <c r="C554" s="13"/>
    </row>
    <row r="555" spans="1:3" ht="13" x14ac:dyDescent="0.15">
      <c r="A555" s="10"/>
      <c r="B555" s="13"/>
      <c r="C555" s="13"/>
    </row>
    <row r="556" spans="1:3" ht="13" x14ac:dyDescent="0.15">
      <c r="A556" s="10"/>
      <c r="B556" s="13"/>
      <c r="C556" s="13"/>
    </row>
    <row r="557" spans="1:3" ht="13" x14ac:dyDescent="0.15">
      <c r="A557" s="10"/>
      <c r="B557" s="13"/>
      <c r="C557" s="13"/>
    </row>
    <row r="558" spans="1:3" ht="13" x14ac:dyDescent="0.15">
      <c r="A558" s="10"/>
      <c r="B558" s="13"/>
      <c r="C558" s="13"/>
    </row>
    <row r="559" spans="1:3" ht="13" x14ac:dyDescent="0.15">
      <c r="A559" s="10"/>
      <c r="B559" s="13"/>
      <c r="C559" s="13"/>
    </row>
    <row r="560" spans="1:3" ht="13" x14ac:dyDescent="0.15">
      <c r="A560" s="10"/>
      <c r="B560" s="13"/>
      <c r="C560" s="13"/>
    </row>
    <row r="561" spans="1:3" ht="13" x14ac:dyDescent="0.15">
      <c r="A561" s="10"/>
      <c r="B561" s="13"/>
      <c r="C561" s="13"/>
    </row>
    <row r="562" spans="1:3" ht="13" x14ac:dyDescent="0.15">
      <c r="A562" s="10"/>
      <c r="B562" s="13"/>
      <c r="C562" s="13"/>
    </row>
    <row r="563" spans="1:3" ht="13" x14ac:dyDescent="0.15">
      <c r="A563" s="10"/>
      <c r="B563" s="13"/>
      <c r="C563" s="13"/>
    </row>
    <row r="564" spans="1:3" ht="13" x14ac:dyDescent="0.15">
      <c r="A564" s="10"/>
      <c r="B564" s="13"/>
      <c r="C564" s="13"/>
    </row>
    <row r="565" spans="1:3" ht="13" x14ac:dyDescent="0.15">
      <c r="A565" s="10"/>
      <c r="B565" s="13"/>
      <c r="C565" s="13"/>
    </row>
    <row r="566" spans="1:3" ht="13" x14ac:dyDescent="0.15">
      <c r="A566" s="10"/>
      <c r="B566" s="13"/>
      <c r="C566" s="13"/>
    </row>
    <row r="567" spans="1:3" ht="13" x14ac:dyDescent="0.15">
      <c r="A567" s="10"/>
      <c r="B567" s="13"/>
      <c r="C567" s="13"/>
    </row>
    <row r="568" spans="1:3" ht="13" x14ac:dyDescent="0.15">
      <c r="A568" s="10"/>
      <c r="B568" s="13"/>
      <c r="C568" s="13"/>
    </row>
    <row r="569" spans="1:3" ht="13" x14ac:dyDescent="0.15">
      <c r="A569" s="10"/>
      <c r="B569" s="13"/>
      <c r="C569" s="13"/>
    </row>
    <row r="570" spans="1:3" ht="13" x14ac:dyDescent="0.15">
      <c r="A570" s="10"/>
      <c r="B570" s="13"/>
      <c r="C570" s="13"/>
    </row>
    <row r="571" spans="1:3" ht="13" x14ac:dyDescent="0.15">
      <c r="A571" s="10"/>
      <c r="B571" s="13"/>
      <c r="C571" s="13"/>
    </row>
    <row r="572" spans="1:3" ht="13" x14ac:dyDescent="0.15">
      <c r="A572" s="10"/>
      <c r="B572" s="13"/>
      <c r="C572" s="13"/>
    </row>
    <row r="573" spans="1:3" ht="13" x14ac:dyDescent="0.15">
      <c r="A573" s="10"/>
      <c r="B573" s="13"/>
      <c r="C573" s="13"/>
    </row>
    <row r="574" spans="1:3" ht="13" x14ac:dyDescent="0.15">
      <c r="A574" s="10"/>
      <c r="B574" s="13"/>
      <c r="C574" s="13"/>
    </row>
    <row r="575" spans="1:3" ht="13" x14ac:dyDescent="0.15">
      <c r="A575" s="10"/>
      <c r="B575" s="13"/>
      <c r="C575" s="13"/>
    </row>
    <row r="576" spans="1:3" ht="13" x14ac:dyDescent="0.15">
      <c r="A576" s="10"/>
      <c r="B576" s="13"/>
      <c r="C576" s="13"/>
    </row>
    <row r="577" spans="1:3" ht="13" x14ac:dyDescent="0.15">
      <c r="A577" s="10"/>
      <c r="B577" s="13"/>
      <c r="C577" s="13"/>
    </row>
    <row r="578" spans="1:3" ht="13" x14ac:dyDescent="0.15">
      <c r="A578" s="10"/>
      <c r="B578" s="13"/>
      <c r="C578" s="13"/>
    </row>
    <row r="579" spans="1:3" ht="13" x14ac:dyDescent="0.15">
      <c r="A579" s="10"/>
      <c r="B579" s="13"/>
      <c r="C579" s="13"/>
    </row>
    <row r="580" spans="1:3" ht="13" x14ac:dyDescent="0.15">
      <c r="A580" s="10"/>
      <c r="B580" s="13"/>
      <c r="C580" s="13"/>
    </row>
    <row r="581" spans="1:3" ht="13" x14ac:dyDescent="0.15">
      <c r="A581" s="10"/>
      <c r="B581" s="13"/>
      <c r="C581" s="13"/>
    </row>
    <row r="582" spans="1:3" ht="13" x14ac:dyDescent="0.15">
      <c r="A582" s="10"/>
      <c r="B582" s="13"/>
      <c r="C582" s="13"/>
    </row>
    <row r="583" spans="1:3" ht="13" x14ac:dyDescent="0.15">
      <c r="A583" s="10"/>
      <c r="B583" s="13"/>
      <c r="C583" s="13"/>
    </row>
    <row r="584" spans="1:3" ht="13" x14ac:dyDescent="0.15">
      <c r="A584" s="10"/>
      <c r="B584" s="13"/>
      <c r="C584" s="13"/>
    </row>
    <row r="585" spans="1:3" ht="13" x14ac:dyDescent="0.15">
      <c r="A585" s="10"/>
      <c r="B585" s="13"/>
      <c r="C585" s="13"/>
    </row>
    <row r="586" spans="1:3" ht="13" x14ac:dyDescent="0.15">
      <c r="A586" s="10"/>
      <c r="B586" s="13"/>
      <c r="C586" s="13"/>
    </row>
    <row r="587" spans="1:3" ht="13" x14ac:dyDescent="0.15">
      <c r="A587" s="10"/>
      <c r="B587" s="13"/>
      <c r="C587" s="13"/>
    </row>
    <row r="588" spans="1:3" ht="13" x14ac:dyDescent="0.15">
      <c r="A588" s="10"/>
      <c r="B588" s="13"/>
      <c r="C588" s="13"/>
    </row>
    <row r="589" spans="1:3" ht="13" x14ac:dyDescent="0.15">
      <c r="A589" s="10"/>
      <c r="B589" s="13"/>
      <c r="C589" s="13"/>
    </row>
    <row r="590" spans="1:3" ht="13" x14ac:dyDescent="0.15">
      <c r="A590" s="10"/>
      <c r="B590" s="13"/>
      <c r="C590" s="13"/>
    </row>
    <row r="591" spans="1:3" ht="13" x14ac:dyDescent="0.15">
      <c r="A591" s="10"/>
      <c r="B591" s="13"/>
      <c r="C591" s="13"/>
    </row>
    <row r="592" spans="1:3" ht="13" x14ac:dyDescent="0.15">
      <c r="A592" s="10"/>
      <c r="B592" s="13"/>
      <c r="C592" s="13"/>
    </row>
    <row r="593" spans="1:3" ht="13" x14ac:dyDescent="0.15">
      <c r="A593" s="10"/>
      <c r="B593" s="13"/>
      <c r="C593" s="13"/>
    </row>
    <row r="594" spans="1:3" ht="13" x14ac:dyDescent="0.15">
      <c r="A594" s="10"/>
      <c r="B594" s="13"/>
      <c r="C594" s="13"/>
    </row>
    <row r="595" spans="1:3" ht="13" x14ac:dyDescent="0.15">
      <c r="A595" s="10"/>
      <c r="B595" s="13"/>
      <c r="C595" s="13"/>
    </row>
    <row r="596" spans="1:3" ht="13" x14ac:dyDescent="0.15">
      <c r="A596" s="10"/>
      <c r="B596" s="13"/>
      <c r="C596" s="13"/>
    </row>
    <row r="597" spans="1:3" ht="13" x14ac:dyDescent="0.15">
      <c r="A597" s="10"/>
      <c r="B597" s="13"/>
      <c r="C597" s="13"/>
    </row>
    <row r="598" spans="1:3" ht="13" x14ac:dyDescent="0.15">
      <c r="A598" s="10"/>
      <c r="B598" s="13"/>
      <c r="C598" s="13"/>
    </row>
    <row r="599" spans="1:3" ht="13" x14ac:dyDescent="0.15">
      <c r="A599" s="10"/>
      <c r="B599" s="13"/>
      <c r="C599" s="13"/>
    </row>
    <row r="600" spans="1:3" ht="13" x14ac:dyDescent="0.15">
      <c r="A600" s="10"/>
      <c r="B600" s="13"/>
      <c r="C600" s="13"/>
    </row>
    <row r="601" spans="1:3" ht="13" x14ac:dyDescent="0.15">
      <c r="A601" s="10"/>
      <c r="B601" s="13"/>
      <c r="C601" s="13"/>
    </row>
    <row r="602" spans="1:3" ht="13" x14ac:dyDescent="0.15">
      <c r="A602" s="10"/>
      <c r="B602" s="13"/>
      <c r="C602" s="13"/>
    </row>
    <row r="603" spans="1:3" ht="13" x14ac:dyDescent="0.15">
      <c r="A603" s="10"/>
      <c r="B603" s="13"/>
      <c r="C603" s="13"/>
    </row>
    <row r="604" spans="1:3" ht="13" x14ac:dyDescent="0.15">
      <c r="A604" s="10"/>
      <c r="B604" s="13"/>
      <c r="C604" s="13"/>
    </row>
    <row r="605" spans="1:3" ht="13" x14ac:dyDescent="0.15">
      <c r="A605" s="10"/>
      <c r="B605" s="13"/>
      <c r="C605" s="13"/>
    </row>
    <row r="606" spans="1:3" ht="13" x14ac:dyDescent="0.15">
      <c r="A606" s="10"/>
      <c r="B606" s="13"/>
      <c r="C606" s="13"/>
    </row>
    <row r="607" spans="1:3" ht="13" x14ac:dyDescent="0.15">
      <c r="A607" s="10"/>
      <c r="B607" s="13"/>
      <c r="C607" s="13"/>
    </row>
    <row r="608" spans="1:3" ht="13" x14ac:dyDescent="0.15">
      <c r="A608" s="10"/>
      <c r="B608" s="13"/>
      <c r="C608" s="13"/>
    </row>
    <row r="609" spans="1:3" ht="13" x14ac:dyDescent="0.15">
      <c r="A609" s="10"/>
      <c r="B609" s="13"/>
      <c r="C609" s="13"/>
    </row>
    <row r="610" spans="1:3" ht="13" x14ac:dyDescent="0.15">
      <c r="A610" s="10"/>
      <c r="B610" s="13"/>
      <c r="C610" s="13"/>
    </row>
    <row r="611" spans="1:3" ht="13" x14ac:dyDescent="0.15">
      <c r="A611" s="10"/>
      <c r="B611" s="13"/>
      <c r="C611" s="13"/>
    </row>
    <row r="612" spans="1:3" ht="13" x14ac:dyDescent="0.15">
      <c r="A612" s="10"/>
      <c r="B612" s="13"/>
      <c r="C612" s="13"/>
    </row>
    <row r="613" spans="1:3" ht="13" x14ac:dyDescent="0.15">
      <c r="A613" s="10"/>
      <c r="B613" s="13"/>
      <c r="C613" s="13"/>
    </row>
    <row r="614" spans="1:3" ht="13" x14ac:dyDescent="0.15">
      <c r="A614" s="10"/>
      <c r="B614" s="13"/>
      <c r="C614" s="13"/>
    </row>
    <row r="615" spans="1:3" ht="13" x14ac:dyDescent="0.15">
      <c r="A615" s="10"/>
      <c r="B615" s="13"/>
      <c r="C615" s="13"/>
    </row>
    <row r="616" spans="1:3" ht="13" x14ac:dyDescent="0.15">
      <c r="A616" s="10"/>
      <c r="B616" s="13"/>
      <c r="C616" s="13"/>
    </row>
    <row r="617" spans="1:3" ht="13" x14ac:dyDescent="0.15">
      <c r="A617" s="10"/>
      <c r="B617" s="13"/>
      <c r="C617" s="13"/>
    </row>
    <row r="618" spans="1:3" ht="13" x14ac:dyDescent="0.15">
      <c r="A618" s="10"/>
      <c r="B618" s="13"/>
      <c r="C618" s="13"/>
    </row>
    <row r="619" spans="1:3" ht="13" x14ac:dyDescent="0.15">
      <c r="A619" s="10"/>
      <c r="B619" s="13"/>
      <c r="C619" s="13"/>
    </row>
    <row r="620" spans="1:3" ht="13" x14ac:dyDescent="0.15">
      <c r="A620" s="10"/>
      <c r="B620" s="13"/>
      <c r="C620" s="13"/>
    </row>
    <row r="621" spans="1:3" ht="13" x14ac:dyDescent="0.15">
      <c r="A621" s="10"/>
      <c r="B621" s="13"/>
      <c r="C621" s="13"/>
    </row>
    <row r="622" spans="1:3" ht="13" x14ac:dyDescent="0.15">
      <c r="A622" s="10"/>
      <c r="B622" s="13"/>
      <c r="C622" s="13"/>
    </row>
    <row r="623" spans="1:3" ht="13" x14ac:dyDescent="0.15">
      <c r="A623" s="10"/>
      <c r="B623" s="13"/>
      <c r="C623" s="13"/>
    </row>
    <row r="624" spans="1:3" ht="13" x14ac:dyDescent="0.15">
      <c r="A624" s="10"/>
      <c r="B624" s="13"/>
      <c r="C624" s="13"/>
    </row>
    <row r="625" spans="1:3" ht="13" x14ac:dyDescent="0.15">
      <c r="A625" s="10"/>
      <c r="B625" s="13"/>
      <c r="C625" s="13"/>
    </row>
    <row r="626" spans="1:3" ht="13" x14ac:dyDescent="0.15">
      <c r="A626" s="10"/>
      <c r="B626" s="13"/>
      <c r="C626" s="13"/>
    </row>
    <row r="627" spans="1:3" ht="13" x14ac:dyDescent="0.15">
      <c r="A627" s="10"/>
      <c r="B627" s="13"/>
      <c r="C627" s="13"/>
    </row>
    <row r="628" spans="1:3" ht="13" x14ac:dyDescent="0.15">
      <c r="A628" s="10"/>
      <c r="B628" s="13"/>
      <c r="C628" s="13"/>
    </row>
    <row r="629" spans="1:3" ht="13" x14ac:dyDescent="0.15">
      <c r="A629" s="10"/>
      <c r="B629" s="13"/>
      <c r="C629" s="13"/>
    </row>
    <row r="630" spans="1:3" ht="13" x14ac:dyDescent="0.15">
      <c r="A630" s="10"/>
      <c r="B630" s="13"/>
      <c r="C630" s="13"/>
    </row>
    <row r="631" spans="1:3" ht="13" x14ac:dyDescent="0.15">
      <c r="A631" s="10"/>
      <c r="B631" s="13"/>
      <c r="C631" s="13"/>
    </row>
    <row r="632" spans="1:3" ht="13" x14ac:dyDescent="0.15">
      <c r="A632" s="10"/>
      <c r="B632" s="13"/>
      <c r="C632" s="13"/>
    </row>
    <row r="633" spans="1:3" ht="13" x14ac:dyDescent="0.15">
      <c r="A633" s="10"/>
      <c r="B633" s="13"/>
      <c r="C633" s="13"/>
    </row>
    <row r="634" spans="1:3" ht="13" x14ac:dyDescent="0.15">
      <c r="A634" s="10"/>
      <c r="B634" s="13"/>
      <c r="C634" s="13"/>
    </row>
    <row r="635" spans="1:3" ht="13" x14ac:dyDescent="0.15">
      <c r="A635" s="10"/>
      <c r="B635" s="13"/>
      <c r="C635" s="13"/>
    </row>
    <row r="636" spans="1:3" ht="13" x14ac:dyDescent="0.15">
      <c r="A636" s="10"/>
      <c r="B636" s="13"/>
      <c r="C636" s="13"/>
    </row>
    <row r="637" spans="1:3" ht="13" x14ac:dyDescent="0.15">
      <c r="A637" s="10"/>
      <c r="B637" s="13"/>
      <c r="C637" s="13"/>
    </row>
    <row r="638" spans="1:3" ht="13" x14ac:dyDescent="0.15">
      <c r="A638" s="10"/>
      <c r="B638" s="13"/>
      <c r="C638" s="13"/>
    </row>
    <row r="639" spans="1:3" ht="13" x14ac:dyDescent="0.15">
      <c r="A639" s="10"/>
      <c r="B639" s="13"/>
      <c r="C639" s="13"/>
    </row>
    <row r="640" spans="1:3" ht="13" x14ac:dyDescent="0.15">
      <c r="A640" s="10"/>
      <c r="B640" s="13"/>
      <c r="C640" s="13"/>
    </row>
    <row r="641" spans="1:3" ht="13" x14ac:dyDescent="0.15">
      <c r="A641" s="10"/>
      <c r="B641" s="13"/>
      <c r="C641" s="13"/>
    </row>
    <row r="642" spans="1:3" ht="13" x14ac:dyDescent="0.15">
      <c r="A642" s="10"/>
      <c r="B642" s="13"/>
      <c r="C642" s="13"/>
    </row>
    <row r="643" spans="1:3" ht="13" x14ac:dyDescent="0.15">
      <c r="A643" s="10"/>
      <c r="B643" s="13"/>
      <c r="C643" s="13"/>
    </row>
    <row r="644" spans="1:3" ht="13" x14ac:dyDescent="0.15">
      <c r="A644" s="10"/>
      <c r="B644" s="13"/>
      <c r="C644" s="13"/>
    </row>
    <row r="645" spans="1:3" ht="13" x14ac:dyDescent="0.15">
      <c r="A645" s="10"/>
      <c r="B645" s="13"/>
      <c r="C645" s="13"/>
    </row>
    <row r="646" spans="1:3" ht="13" x14ac:dyDescent="0.15">
      <c r="A646" s="10"/>
      <c r="B646" s="13"/>
      <c r="C646" s="13"/>
    </row>
    <row r="647" spans="1:3" ht="13" x14ac:dyDescent="0.15">
      <c r="A647" s="10"/>
      <c r="B647" s="13"/>
      <c r="C647" s="13"/>
    </row>
    <row r="648" spans="1:3" ht="13" x14ac:dyDescent="0.15">
      <c r="A648" s="10"/>
      <c r="B648" s="13"/>
      <c r="C648" s="13"/>
    </row>
    <row r="649" spans="1:3" ht="13" x14ac:dyDescent="0.15">
      <c r="A649" s="10"/>
      <c r="B649" s="13"/>
      <c r="C649" s="13"/>
    </row>
    <row r="650" spans="1:3" ht="13" x14ac:dyDescent="0.15">
      <c r="A650" s="10"/>
      <c r="B650" s="13"/>
      <c r="C650" s="13"/>
    </row>
    <row r="651" spans="1:3" ht="13" x14ac:dyDescent="0.15">
      <c r="A651" s="10"/>
      <c r="B651" s="13"/>
      <c r="C651" s="13"/>
    </row>
    <row r="652" spans="1:3" ht="13" x14ac:dyDescent="0.15">
      <c r="A652" s="10"/>
      <c r="B652" s="13"/>
      <c r="C652" s="13"/>
    </row>
    <row r="653" spans="1:3" ht="13" x14ac:dyDescent="0.15">
      <c r="A653" s="10"/>
      <c r="B653" s="13"/>
      <c r="C653" s="13"/>
    </row>
    <row r="654" spans="1:3" ht="13" x14ac:dyDescent="0.15">
      <c r="A654" s="10"/>
      <c r="B654" s="13"/>
      <c r="C654" s="13"/>
    </row>
    <row r="655" spans="1:3" ht="13" x14ac:dyDescent="0.15">
      <c r="A655" s="10"/>
      <c r="B655" s="13"/>
      <c r="C655" s="13"/>
    </row>
    <row r="656" spans="1:3" ht="13" x14ac:dyDescent="0.15">
      <c r="A656" s="10"/>
      <c r="B656" s="13"/>
      <c r="C656" s="13"/>
    </row>
    <row r="657" spans="1:3" ht="13" x14ac:dyDescent="0.15">
      <c r="A657" s="10"/>
      <c r="B657" s="13"/>
      <c r="C657" s="13"/>
    </row>
    <row r="658" spans="1:3" ht="13" x14ac:dyDescent="0.15">
      <c r="A658" s="10"/>
      <c r="B658" s="13"/>
      <c r="C658" s="13"/>
    </row>
    <row r="659" spans="1:3" ht="13" x14ac:dyDescent="0.15">
      <c r="A659" s="10"/>
      <c r="B659" s="13"/>
      <c r="C659" s="13"/>
    </row>
    <row r="660" spans="1:3" ht="13" x14ac:dyDescent="0.15">
      <c r="A660" s="10"/>
      <c r="B660" s="13"/>
      <c r="C660" s="13"/>
    </row>
    <row r="661" spans="1:3" ht="13" x14ac:dyDescent="0.15">
      <c r="A661" s="10"/>
      <c r="B661" s="13"/>
      <c r="C661" s="13"/>
    </row>
    <row r="662" spans="1:3" ht="13" x14ac:dyDescent="0.15">
      <c r="A662" s="10"/>
      <c r="B662" s="13"/>
      <c r="C662" s="13"/>
    </row>
    <row r="663" spans="1:3" ht="13" x14ac:dyDescent="0.15">
      <c r="A663" s="10"/>
      <c r="B663" s="13"/>
      <c r="C663" s="13"/>
    </row>
    <row r="664" spans="1:3" ht="13" x14ac:dyDescent="0.15">
      <c r="A664" s="10"/>
      <c r="B664" s="13"/>
      <c r="C664" s="13"/>
    </row>
    <row r="665" spans="1:3" ht="13" x14ac:dyDescent="0.15">
      <c r="A665" s="10"/>
      <c r="B665" s="13"/>
      <c r="C665" s="13"/>
    </row>
    <row r="666" spans="1:3" ht="13" x14ac:dyDescent="0.15">
      <c r="A666" s="10"/>
      <c r="B666" s="13"/>
      <c r="C666" s="13"/>
    </row>
    <row r="667" spans="1:3" ht="13" x14ac:dyDescent="0.15">
      <c r="A667" s="10"/>
      <c r="B667" s="13"/>
      <c r="C667" s="13"/>
    </row>
    <row r="668" spans="1:3" ht="13" x14ac:dyDescent="0.15">
      <c r="A668" s="10"/>
      <c r="B668" s="13"/>
      <c r="C668" s="13"/>
    </row>
    <row r="669" spans="1:3" ht="13" x14ac:dyDescent="0.15">
      <c r="A669" s="10"/>
      <c r="B669" s="13"/>
      <c r="C669" s="13"/>
    </row>
    <row r="670" spans="1:3" ht="13" x14ac:dyDescent="0.15">
      <c r="A670" s="10"/>
      <c r="B670" s="13"/>
      <c r="C670" s="13"/>
    </row>
    <row r="671" spans="1:3" ht="13" x14ac:dyDescent="0.15">
      <c r="A671" s="10"/>
      <c r="B671" s="13"/>
      <c r="C671" s="13"/>
    </row>
    <row r="672" spans="1:3" ht="13" x14ac:dyDescent="0.15">
      <c r="A672" s="10"/>
      <c r="B672" s="13"/>
      <c r="C672" s="13"/>
    </row>
    <row r="673" spans="1:3" ht="13" x14ac:dyDescent="0.15">
      <c r="A673" s="10"/>
      <c r="B673" s="13"/>
      <c r="C673" s="13"/>
    </row>
    <row r="674" spans="1:3" ht="13" x14ac:dyDescent="0.15">
      <c r="A674" s="10"/>
      <c r="B674" s="13"/>
      <c r="C674" s="13"/>
    </row>
    <row r="675" spans="1:3" ht="13" x14ac:dyDescent="0.15">
      <c r="A675" s="10"/>
      <c r="B675" s="13"/>
      <c r="C675" s="13"/>
    </row>
    <row r="676" spans="1:3" ht="13" x14ac:dyDescent="0.15">
      <c r="A676" s="10"/>
      <c r="B676" s="13"/>
      <c r="C676" s="13"/>
    </row>
    <row r="677" spans="1:3" ht="13" x14ac:dyDescent="0.15">
      <c r="A677" s="10"/>
      <c r="B677" s="13"/>
      <c r="C677" s="13"/>
    </row>
    <row r="678" spans="1:3" ht="13" x14ac:dyDescent="0.15">
      <c r="A678" s="10"/>
      <c r="B678" s="13"/>
      <c r="C678" s="13"/>
    </row>
    <row r="679" spans="1:3" ht="13" x14ac:dyDescent="0.15">
      <c r="A679" s="10"/>
      <c r="B679" s="13"/>
      <c r="C679" s="13"/>
    </row>
    <row r="680" spans="1:3" ht="13" x14ac:dyDescent="0.15">
      <c r="A680" s="10"/>
      <c r="B680" s="13"/>
      <c r="C680" s="13"/>
    </row>
    <row r="681" spans="1:3" ht="13" x14ac:dyDescent="0.15">
      <c r="A681" s="10"/>
      <c r="B681" s="13"/>
      <c r="C681" s="13"/>
    </row>
    <row r="682" spans="1:3" ht="13" x14ac:dyDescent="0.15">
      <c r="A682" s="10"/>
      <c r="B682" s="13"/>
      <c r="C682" s="13"/>
    </row>
    <row r="683" spans="1:3" ht="13" x14ac:dyDescent="0.15">
      <c r="A683" s="10"/>
      <c r="B683" s="13"/>
      <c r="C683" s="13"/>
    </row>
    <row r="684" spans="1:3" ht="13" x14ac:dyDescent="0.15">
      <c r="A684" s="10"/>
      <c r="B684" s="13"/>
      <c r="C684" s="13"/>
    </row>
    <row r="685" spans="1:3" ht="13" x14ac:dyDescent="0.15">
      <c r="A685" s="10"/>
      <c r="B685" s="13"/>
      <c r="C685" s="13"/>
    </row>
    <row r="686" spans="1:3" ht="13" x14ac:dyDescent="0.15">
      <c r="A686" s="10"/>
      <c r="B686" s="13"/>
      <c r="C686" s="13"/>
    </row>
    <row r="687" spans="1:3" ht="13" x14ac:dyDescent="0.15">
      <c r="A687" s="10"/>
      <c r="B687" s="13"/>
      <c r="C687" s="13"/>
    </row>
    <row r="688" spans="1:3" ht="13" x14ac:dyDescent="0.15">
      <c r="A688" s="10"/>
      <c r="B688" s="13"/>
      <c r="C688" s="13"/>
    </row>
    <row r="689" spans="1:3" ht="13" x14ac:dyDescent="0.15">
      <c r="A689" s="10"/>
      <c r="B689" s="13"/>
      <c r="C689" s="13"/>
    </row>
    <row r="690" spans="1:3" ht="13" x14ac:dyDescent="0.15">
      <c r="A690" s="10"/>
      <c r="B690" s="13"/>
      <c r="C690" s="13"/>
    </row>
    <row r="691" spans="1:3" ht="13" x14ac:dyDescent="0.15">
      <c r="A691" s="10"/>
      <c r="B691" s="13"/>
      <c r="C691" s="13"/>
    </row>
    <row r="692" spans="1:3" ht="13" x14ac:dyDescent="0.15">
      <c r="A692" s="10"/>
      <c r="B692" s="13"/>
      <c r="C692" s="13"/>
    </row>
    <row r="693" spans="1:3" ht="13" x14ac:dyDescent="0.15">
      <c r="A693" s="10"/>
      <c r="B693" s="13"/>
      <c r="C693" s="13"/>
    </row>
    <row r="694" spans="1:3" ht="13" x14ac:dyDescent="0.15">
      <c r="A694" s="10"/>
      <c r="B694" s="13"/>
      <c r="C694" s="13"/>
    </row>
    <row r="695" spans="1:3" ht="13" x14ac:dyDescent="0.15">
      <c r="A695" s="10"/>
      <c r="B695" s="13"/>
      <c r="C695" s="13"/>
    </row>
    <row r="696" spans="1:3" ht="13" x14ac:dyDescent="0.15">
      <c r="A696" s="10"/>
      <c r="B696" s="13"/>
      <c r="C696" s="13"/>
    </row>
    <row r="697" spans="1:3" ht="13" x14ac:dyDescent="0.15">
      <c r="A697" s="10"/>
      <c r="B697" s="13"/>
      <c r="C697" s="13"/>
    </row>
    <row r="698" spans="1:3" ht="13" x14ac:dyDescent="0.15">
      <c r="A698" s="10"/>
      <c r="B698" s="13"/>
      <c r="C698" s="13"/>
    </row>
    <row r="699" spans="1:3" ht="13" x14ac:dyDescent="0.15">
      <c r="A699" s="10"/>
      <c r="B699" s="13"/>
      <c r="C699" s="13"/>
    </row>
    <row r="700" spans="1:3" ht="13" x14ac:dyDescent="0.15">
      <c r="A700" s="10"/>
      <c r="B700" s="13"/>
      <c r="C700" s="13"/>
    </row>
    <row r="701" spans="1:3" ht="13" x14ac:dyDescent="0.15">
      <c r="A701" s="10"/>
      <c r="B701" s="13"/>
      <c r="C701" s="13"/>
    </row>
    <row r="702" spans="1:3" ht="13" x14ac:dyDescent="0.15">
      <c r="A702" s="10"/>
      <c r="B702" s="13"/>
      <c r="C702" s="13"/>
    </row>
    <row r="703" spans="1:3" ht="13" x14ac:dyDescent="0.15">
      <c r="A703" s="10"/>
      <c r="B703" s="13"/>
      <c r="C703" s="13"/>
    </row>
    <row r="704" spans="1:3" ht="13" x14ac:dyDescent="0.15">
      <c r="A704" s="10"/>
      <c r="B704" s="13"/>
      <c r="C704" s="13"/>
    </row>
    <row r="705" spans="1:3" ht="13" x14ac:dyDescent="0.15">
      <c r="A705" s="10"/>
      <c r="B705" s="13"/>
      <c r="C705" s="13"/>
    </row>
    <row r="706" spans="1:3" ht="13" x14ac:dyDescent="0.15">
      <c r="A706" s="10"/>
      <c r="B706" s="13"/>
      <c r="C706" s="13"/>
    </row>
    <row r="707" spans="1:3" ht="13" x14ac:dyDescent="0.15">
      <c r="A707" s="10"/>
      <c r="B707" s="13"/>
      <c r="C707" s="13"/>
    </row>
    <row r="708" spans="1:3" ht="13" x14ac:dyDescent="0.15">
      <c r="A708" s="10"/>
      <c r="B708" s="13"/>
      <c r="C708" s="13"/>
    </row>
    <row r="709" spans="1:3" ht="13" x14ac:dyDescent="0.15">
      <c r="A709" s="10"/>
      <c r="B709" s="13"/>
      <c r="C709" s="13"/>
    </row>
    <row r="710" spans="1:3" ht="13" x14ac:dyDescent="0.15">
      <c r="A710" s="10"/>
      <c r="B710" s="13"/>
      <c r="C710" s="13"/>
    </row>
    <row r="711" spans="1:3" ht="13" x14ac:dyDescent="0.15">
      <c r="A711" s="10"/>
      <c r="B711" s="13"/>
      <c r="C711" s="13"/>
    </row>
    <row r="712" spans="1:3" ht="13" x14ac:dyDescent="0.15">
      <c r="A712" s="10"/>
      <c r="B712" s="13"/>
      <c r="C712" s="13"/>
    </row>
    <row r="713" spans="1:3" ht="13" x14ac:dyDescent="0.15">
      <c r="A713" s="10"/>
      <c r="B713" s="13"/>
      <c r="C713" s="13"/>
    </row>
    <row r="714" spans="1:3" ht="13" x14ac:dyDescent="0.15">
      <c r="A714" s="10"/>
      <c r="B714" s="13"/>
      <c r="C714" s="13"/>
    </row>
    <row r="715" spans="1:3" ht="13" x14ac:dyDescent="0.15">
      <c r="A715" s="10"/>
      <c r="B715" s="13"/>
      <c r="C715" s="13"/>
    </row>
    <row r="716" spans="1:3" ht="13" x14ac:dyDescent="0.15">
      <c r="A716" s="10"/>
      <c r="B716" s="13"/>
      <c r="C716" s="13"/>
    </row>
    <row r="717" spans="1:3" ht="13" x14ac:dyDescent="0.15">
      <c r="A717" s="10"/>
      <c r="B717" s="13"/>
      <c r="C717" s="13"/>
    </row>
    <row r="718" spans="1:3" ht="13" x14ac:dyDescent="0.15">
      <c r="A718" s="10"/>
      <c r="B718" s="13"/>
      <c r="C718" s="13"/>
    </row>
    <row r="719" spans="1:3" ht="13" x14ac:dyDescent="0.15">
      <c r="A719" s="10"/>
      <c r="B719" s="13"/>
      <c r="C719" s="13"/>
    </row>
    <row r="720" spans="1:3" ht="13" x14ac:dyDescent="0.15">
      <c r="A720" s="10"/>
      <c r="B720" s="13"/>
      <c r="C720" s="13"/>
    </row>
    <row r="721" spans="1:3" ht="13" x14ac:dyDescent="0.15">
      <c r="A721" s="10"/>
      <c r="B721" s="13"/>
      <c r="C721" s="13"/>
    </row>
    <row r="722" spans="1:3" ht="13" x14ac:dyDescent="0.15">
      <c r="A722" s="10"/>
      <c r="B722" s="13"/>
      <c r="C722" s="13"/>
    </row>
    <row r="723" spans="1:3" ht="13" x14ac:dyDescent="0.15">
      <c r="A723" s="10"/>
      <c r="B723" s="13"/>
      <c r="C723" s="13"/>
    </row>
    <row r="724" spans="1:3" ht="13" x14ac:dyDescent="0.15">
      <c r="A724" s="10"/>
      <c r="B724" s="13"/>
      <c r="C724" s="13"/>
    </row>
    <row r="725" spans="1:3" ht="13" x14ac:dyDescent="0.15">
      <c r="A725" s="10"/>
      <c r="B725" s="13"/>
      <c r="C725" s="13"/>
    </row>
    <row r="726" spans="1:3" ht="13" x14ac:dyDescent="0.15">
      <c r="A726" s="10"/>
      <c r="B726" s="13"/>
      <c r="C726" s="13"/>
    </row>
    <row r="727" spans="1:3" ht="13" x14ac:dyDescent="0.15">
      <c r="A727" s="10"/>
      <c r="B727" s="13"/>
      <c r="C727" s="13"/>
    </row>
    <row r="728" spans="1:3" ht="13" x14ac:dyDescent="0.15">
      <c r="A728" s="10"/>
      <c r="B728" s="13"/>
      <c r="C728" s="13"/>
    </row>
    <row r="729" spans="1:3" ht="13" x14ac:dyDescent="0.15">
      <c r="A729" s="10"/>
      <c r="B729" s="13"/>
      <c r="C729" s="13"/>
    </row>
    <row r="730" spans="1:3" ht="13" x14ac:dyDescent="0.15">
      <c r="A730" s="10"/>
      <c r="B730" s="13"/>
      <c r="C730" s="13"/>
    </row>
    <row r="731" spans="1:3" ht="13" x14ac:dyDescent="0.15">
      <c r="A731" s="10"/>
      <c r="B731" s="13"/>
      <c r="C731" s="13"/>
    </row>
    <row r="732" spans="1:3" ht="13" x14ac:dyDescent="0.15">
      <c r="A732" s="10"/>
      <c r="B732" s="13"/>
      <c r="C732" s="13"/>
    </row>
    <row r="733" spans="1:3" ht="13" x14ac:dyDescent="0.15">
      <c r="A733" s="10"/>
      <c r="B733" s="13"/>
      <c r="C733" s="13"/>
    </row>
    <row r="734" spans="1:3" ht="13" x14ac:dyDescent="0.15">
      <c r="A734" s="10"/>
      <c r="B734" s="13"/>
      <c r="C734" s="13"/>
    </row>
    <row r="735" spans="1:3" ht="13" x14ac:dyDescent="0.15">
      <c r="A735" s="10"/>
      <c r="B735" s="13"/>
      <c r="C735" s="13"/>
    </row>
    <row r="736" spans="1:3" ht="13" x14ac:dyDescent="0.15">
      <c r="A736" s="10"/>
      <c r="B736" s="13"/>
      <c r="C736" s="13"/>
    </row>
    <row r="737" spans="1:3" ht="13" x14ac:dyDescent="0.15">
      <c r="A737" s="10"/>
      <c r="B737" s="13"/>
      <c r="C737" s="13"/>
    </row>
    <row r="738" spans="1:3" ht="13" x14ac:dyDescent="0.15">
      <c r="A738" s="10"/>
      <c r="B738" s="13"/>
      <c r="C738" s="13"/>
    </row>
    <row r="739" spans="1:3" ht="13" x14ac:dyDescent="0.15">
      <c r="A739" s="10"/>
      <c r="B739" s="13"/>
      <c r="C739" s="13"/>
    </row>
    <row r="740" spans="1:3" ht="13" x14ac:dyDescent="0.15">
      <c r="A740" s="10"/>
      <c r="B740" s="13"/>
      <c r="C740" s="13"/>
    </row>
    <row r="741" spans="1:3" ht="13" x14ac:dyDescent="0.15">
      <c r="A741" s="10"/>
      <c r="B741" s="13"/>
      <c r="C741" s="13"/>
    </row>
    <row r="742" spans="1:3" ht="13" x14ac:dyDescent="0.15">
      <c r="A742" s="10"/>
      <c r="B742" s="13"/>
      <c r="C742" s="13"/>
    </row>
    <row r="743" spans="1:3" ht="13" x14ac:dyDescent="0.15">
      <c r="A743" s="10"/>
      <c r="B743" s="13"/>
      <c r="C743" s="13"/>
    </row>
    <row r="744" spans="1:3" ht="13" x14ac:dyDescent="0.15">
      <c r="A744" s="10"/>
      <c r="B744" s="13"/>
      <c r="C744" s="13"/>
    </row>
    <row r="745" spans="1:3" ht="13" x14ac:dyDescent="0.15">
      <c r="A745" s="10"/>
      <c r="B745" s="13"/>
      <c r="C745" s="13"/>
    </row>
    <row r="746" spans="1:3" ht="13" x14ac:dyDescent="0.15">
      <c r="A746" s="10"/>
      <c r="B746" s="13"/>
      <c r="C746" s="13"/>
    </row>
    <row r="747" spans="1:3" ht="13" x14ac:dyDescent="0.15">
      <c r="A747" s="10"/>
      <c r="B747" s="13"/>
      <c r="C747" s="13"/>
    </row>
    <row r="748" spans="1:3" ht="13" x14ac:dyDescent="0.15">
      <c r="A748" s="10"/>
      <c r="B748" s="13"/>
      <c r="C748" s="13"/>
    </row>
    <row r="749" spans="1:3" ht="13" x14ac:dyDescent="0.15">
      <c r="A749" s="10"/>
      <c r="B749" s="13"/>
      <c r="C749" s="13"/>
    </row>
    <row r="750" spans="1:3" ht="13" x14ac:dyDescent="0.15">
      <c r="A750" s="10"/>
      <c r="B750" s="13"/>
      <c r="C750" s="13"/>
    </row>
    <row r="751" spans="1:3" ht="13" x14ac:dyDescent="0.15">
      <c r="A751" s="10"/>
      <c r="B751" s="13"/>
      <c r="C751" s="13"/>
    </row>
    <row r="752" spans="1:3" ht="13" x14ac:dyDescent="0.15">
      <c r="A752" s="10"/>
      <c r="B752" s="13"/>
      <c r="C752" s="13"/>
    </row>
    <row r="753" spans="1:3" ht="13" x14ac:dyDescent="0.15">
      <c r="A753" s="10"/>
      <c r="B753" s="13"/>
      <c r="C753" s="13"/>
    </row>
    <row r="754" spans="1:3" ht="13" x14ac:dyDescent="0.15">
      <c r="A754" s="10"/>
      <c r="B754" s="13"/>
      <c r="C754" s="13"/>
    </row>
    <row r="755" spans="1:3" ht="13" x14ac:dyDescent="0.15">
      <c r="A755" s="10"/>
      <c r="B755" s="13"/>
      <c r="C755" s="13"/>
    </row>
    <row r="756" spans="1:3" ht="13" x14ac:dyDescent="0.15">
      <c r="A756" s="10"/>
      <c r="B756" s="13"/>
      <c r="C756" s="13"/>
    </row>
    <row r="757" spans="1:3" ht="13" x14ac:dyDescent="0.15">
      <c r="A757" s="10"/>
      <c r="B757" s="13"/>
      <c r="C757" s="13"/>
    </row>
    <row r="758" spans="1:3" ht="13" x14ac:dyDescent="0.15">
      <c r="A758" s="10"/>
      <c r="B758" s="13"/>
      <c r="C758" s="13"/>
    </row>
    <row r="759" spans="1:3" ht="13" x14ac:dyDescent="0.15">
      <c r="A759" s="10"/>
      <c r="B759" s="13"/>
      <c r="C759" s="13"/>
    </row>
    <row r="760" spans="1:3" ht="13" x14ac:dyDescent="0.15">
      <c r="A760" s="10"/>
      <c r="B760" s="13"/>
      <c r="C760" s="13"/>
    </row>
    <row r="761" spans="1:3" ht="13" x14ac:dyDescent="0.15">
      <c r="A761" s="10"/>
      <c r="B761" s="13"/>
      <c r="C761" s="13"/>
    </row>
    <row r="762" spans="1:3" ht="13" x14ac:dyDescent="0.15">
      <c r="A762" s="10"/>
      <c r="B762" s="13"/>
      <c r="C762" s="13"/>
    </row>
    <row r="763" spans="1:3" ht="13" x14ac:dyDescent="0.15">
      <c r="A763" s="10"/>
      <c r="B763" s="13"/>
      <c r="C763" s="13"/>
    </row>
    <row r="764" spans="1:3" ht="13" x14ac:dyDescent="0.15">
      <c r="A764" s="10"/>
      <c r="B764" s="13"/>
      <c r="C764" s="13"/>
    </row>
    <row r="765" spans="1:3" ht="13" x14ac:dyDescent="0.15">
      <c r="A765" s="10"/>
      <c r="B765" s="13"/>
      <c r="C765" s="13"/>
    </row>
    <row r="766" spans="1:3" ht="13" x14ac:dyDescent="0.15">
      <c r="A766" s="10"/>
      <c r="B766" s="13"/>
      <c r="C766" s="13"/>
    </row>
    <row r="767" spans="1:3" ht="13" x14ac:dyDescent="0.15">
      <c r="A767" s="10"/>
      <c r="B767" s="13"/>
      <c r="C767" s="13"/>
    </row>
    <row r="768" spans="1:3" ht="13" x14ac:dyDescent="0.15">
      <c r="A768" s="10"/>
      <c r="B768" s="13"/>
      <c r="C768" s="13"/>
    </row>
    <row r="769" spans="1:3" ht="13" x14ac:dyDescent="0.15">
      <c r="A769" s="10"/>
      <c r="B769" s="13"/>
      <c r="C769" s="13"/>
    </row>
    <row r="770" spans="1:3" ht="13" x14ac:dyDescent="0.15">
      <c r="A770" s="10"/>
      <c r="B770" s="13"/>
      <c r="C770" s="13"/>
    </row>
    <row r="771" spans="1:3" ht="13" x14ac:dyDescent="0.15">
      <c r="A771" s="10"/>
      <c r="B771" s="13"/>
      <c r="C771" s="13"/>
    </row>
    <row r="772" spans="1:3" ht="13" x14ac:dyDescent="0.15">
      <c r="A772" s="10"/>
      <c r="B772" s="13"/>
      <c r="C772" s="13"/>
    </row>
    <row r="773" spans="1:3" ht="13" x14ac:dyDescent="0.15">
      <c r="A773" s="10"/>
      <c r="B773" s="13"/>
      <c r="C773" s="13"/>
    </row>
    <row r="774" spans="1:3" ht="13" x14ac:dyDescent="0.15">
      <c r="A774" s="10"/>
      <c r="B774" s="13"/>
      <c r="C774" s="13"/>
    </row>
    <row r="775" spans="1:3" ht="13" x14ac:dyDescent="0.15">
      <c r="A775" s="10"/>
      <c r="B775" s="13"/>
      <c r="C775" s="13"/>
    </row>
    <row r="776" spans="1:3" ht="13" x14ac:dyDescent="0.15">
      <c r="A776" s="10"/>
      <c r="B776" s="13"/>
      <c r="C776" s="13"/>
    </row>
    <row r="777" spans="1:3" ht="13" x14ac:dyDescent="0.15">
      <c r="A777" s="10"/>
      <c r="B777" s="13"/>
      <c r="C777" s="13"/>
    </row>
    <row r="778" spans="1:3" ht="13" x14ac:dyDescent="0.15">
      <c r="A778" s="10"/>
      <c r="B778" s="13"/>
      <c r="C778" s="13"/>
    </row>
    <row r="779" spans="1:3" ht="13" x14ac:dyDescent="0.15">
      <c r="A779" s="10"/>
      <c r="B779" s="13"/>
      <c r="C779" s="13"/>
    </row>
    <row r="780" spans="1:3" ht="13" x14ac:dyDescent="0.15">
      <c r="A780" s="10"/>
      <c r="B780" s="13"/>
      <c r="C780" s="13"/>
    </row>
    <row r="781" spans="1:3" ht="13" x14ac:dyDescent="0.15">
      <c r="A781" s="10"/>
      <c r="B781" s="13"/>
      <c r="C781" s="13"/>
    </row>
    <row r="782" spans="1:3" ht="13" x14ac:dyDescent="0.15">
      <c r="A782" s="10"/>
      <c r="B782" s="13"/>
      <c r="C782" s="13"/>
    </row>
    <row r="783" spans="1:3" ht="13" x14ac:dyDescent="0.15">
      <c r="A783" s="10"/>
      <c r="B783" s="13"/>
      <c r="C783" s="13"/>
    </row>
    <row r="784" spans="1:3" ht="13" x14ac:dyDescent="0.15">
      <c r="A784" s="10"/>
      <c r="B784" s="13"/>
      <c r="C784" s="13"/>
    </row>
    <row r="785" spans="1:3" ht="13" x14ac:dyDescent="0.15">
      <c r="A785" s="10"/>
      <c r="B785" s="13"/>
      <c r="C785" s="13"/>
    </row>
    <row r="786" spans="1:3" ht="13" x14ac:dyDescent="0.15">
      <c r="A786" s="10"/>
      <c r="B786" s="13"/>
      <c r="C786" s="13"/>
    </row>
    <row r="787" spans="1:3" ht="13" x14ac:dyDescent="0.15">
      <c r="A787" s="10"/>
      <c r="B787" s="13"/>
      <c r="C787" s="13"/>
    </row>
    <row r="788" spans="1:3" ht="13" x14ac:dyDescent="0.15">
      <c r="A788" s="10"/>
      <c r="B788" s="13"/>
      <c r="C788" s="13"/>
    </row>
    <row r="789" spans="1:3" ht="13" x14ac:dyDescent="0.15">
      <c r="A789" s="10"/>
      <c r="B789" s="13"/>
      <c r="C789" s="13"/>
    </row>
    <row r="790" spans="1:3" ht="13" x14ac:dyDescent="0.15">
      <c r="A790" s="10"/>
      <c r="B790" s="13"/>
      <c r="C790" s="13"/>
    </row>
    <row r="791" spans="1:3" ht="13" x14ac:dyDescent="0.15">
      <c r="A791" s="10"/>
      <c r="B791" s="13"/>
      <c r="C791" s="13"/>
    </row>
    <row r="792" spans="1:3" ht="13" x14ac:dyDescent="0.15">
      <c r="A792" s="10"/>
      <c r="B792" s="13"/>
      <c r="C792" s="13"/>
    </row>
    <row r="793" spans="1:3" ht="13" x14ac:dyDescent="0.15">
      <c r="A793" s="10"/>
      <c r="B793" s="13"/>
      <c r="C793" s="13"/>
    </row>
    <row r="794" spans="1:3" ht="13" x14ac:dyDescent="0.15">
      <c r="A794" s="10"/>
      <c r="B794" s="13"/>
      <c r="C794" s="13"/>
    </row>
    <row r="795" spans="1:3" ht="13" x14ac:dyDescent="0.15">
      <c r="A795" s="10"/>
      <c r="B795" s="13"/>
      <c r="C795" s="13"/>
    </row>
    <row r="796" spans="1:3" ht="13" x14ac:dyDescent="0.15">
      <c r="A796" s="10"/>
      <c r="B796" s="13"/>
      <c r="C796" s="13"/>
    </row>
    <row r="797" spans="1:3" ht="13" x14ac:dyDescent="0.15">
      <c r="A797" s="10"/>
      <c r="B797" s="13"/>
      <c r="C797" s="13"/>
    </row>
    <row r="798" spans="1:3" ht="13" x14ac:dyDescent="0.15">
      <c r="A798" s="10"/>
      <c r="B798" s="13"/>
      <c r="C798" s="13"/>
    </row>
    <row r="799" spans="1:3" ht="13" x14ac:dyDescent="0.15">
      <c r="A799" s="10"/>
      <c r="B799" s="13"/>
      <c r="C799" s="13"/>
    </row>
    <row r="800" spans="1:3" ht="13" x14ac:dyDescent="0.15">
      <c r="A800" s="10"/>
      <c r="B800" s="13"/>
      <c r="C800" s="13"/>
    </row>
    <row r="801" spans="1:3" ht="13" x14ac:dyDescent="0.15">
      <c r="A801" s="10"/>
      <c r="B801" s="13"/>
      <c r="C801" s="13"/>
    </row>
    <row r="802" spans="1:3" ht="13" x14ac:dyDescent="0.15">
      <c r="A802" s="10"/>
      <c r="B802" s="13"/>
      <c r="C802" s="13"/>
    </row>
    <row r="803" spans="1:3" ht="13" x14ac:dyDescent="0.15">
      <c r="A803" s="10"/>
      <c r="B803" s="13"/>
      <c r="C803" s="13"/>
    </row>
    <row r="804" spans="1:3" ht="13" x14ac:dyDescent="0.15">
      <c r="A804" s="10"/>
      <c r="B804" s="13"/>
      <c r="C804" s="13"/>
    </row>
    <row r="805" spans="1:3" ht="13" x14ac:dyDescent="0.15">
      <c r="A805" s="10"/>
      <c r="B805" s="13"/>
      <c r="C805" s="13"/>
    </row>
    <row r="806" spans="1:3" ht="13" x14ac:dyDescent="0.15">
      <c r="A806" s="10"/>
      <c r="B806" s="13"/>
      <c r="C806" s="13"/>
    </row>
    <row r="807" spans="1:3" ht="13" x14ac:dyDescent="0.15">
      <c r="A807" s="10"/>
      <c r="B807" s="13"/>
      <c r="C807" s="13"/>
    </row>
    <row r="808" spans="1:3" ht="13" x14ac:dyDescent="0.15">
      <c r="A808" s="10"/>
      <c r="B808" s="13"/>
      <c r="C808" s="13"/>
    </row>
    <row r="809" spans="1:3" ht="13" x14ac:dyDescent="0.15">
      <c r="A809" s="10"/>
      <c r="B809" s="13"/>
      <c r="C809" s="13"/>
    </row>
    <row r="810" spans="1:3" ht="13" x14ac:dyDescent="0.15">
      <c r="A810" s="10"/>
      <c r="B810" s="13"/>
      <c r="C810" s="13"/>
    </row>
    <row r="811" spans="1:3" ht="13" x14ac:dyDescent="0.15">
      <c r="A811" s="10"/>
      <c r="B811" s="13"/>
      <c r="C811" s="13"/>
    </row>
    <row r="812" spans="1:3" ht="13" x14ac:dyDescent="0.15">
      <c r="A812" s="10"/>
      <c r="B812" s="13"/>
      <c r="C812" s="13"/>
    </row>
    <row r="813" spans="1:3" ht="13" x14ac:dyDescent="0.15">
      <c r="A813" s="10"/>
      <c r="B813" s="13"/>
      <c r="C813" s="13"/>
    </row>
    <row r="814" spans="1:3" ht="13" x14ac:dyDescent="0.15">
      <c r="A814" s="10"/>
      <c r="B814" s="13"/>
      <c r="C814" s="13"/>
    </row>
    <row r="815" spans="1:3" ht="13" x14ac:dyDescent="0.15">
      <c r="A815" s="10"/>
      <c r="B815" s="13"/>
      <c r="C815" s="13"/>
    </row>
    <row r="816" spans="1:3" ht="13" x14ac:dyDescent="0.15">
      <c r="A816" s="10"/>
      <c r="B816" s="13"/>
      <c r="C816" s="13"/>
    </row>
    <row r="817" spans="1:3" ht="13" x14ac:dyDescent="0.15">
      <c r="A817" s="10"/>
      <c r="B817" s="13"/>
      <c r="C817" s="13"/>
    </row>
    <row r="818" spans="1:3" ht="13" x14ac:dyDescent="0.15">
      <c r="A818" s="10"/>
      <c r="B818" s="13"/>
      <c r="C818" s="13"/>
    </row>
    <row r="819" spans="1:3" ht="13" x14ac:dyDescent="0.15">
      <c r="A819" s="10"/>
      <c r="B819" s="13"/>
      <c r="C819" s="13"/>
    </row>
    <row r="820" spans="1:3" ht="13" x14ac:dyDescent="0.15">
      <c r="A820" s="10"/>
      <c r="B820" s="13"/>
      <c r="C820" s="13"/>
    </row>
    <row r="821" spans="1:3" ht="13" x14ac:dyDescent="0.15">
      <c r="A821" s="10"/>
      <c r="B821" s="13"/>
      <c r="C821" s="13"/>
    </row>
    <row r="822" spans="1:3" ht="13" x14ac:dyDescent="0.15">
      <c r="A822" s="10"/>
      <c r="B822" s="13"/>
      <c r="C822" s="13"/>
    </row>
    <row r="823" spans="1:3" ht="13" x14ac:dyDescent="0.15">
      <c r="A823" s="10"/>
      <c r="B823" s="13"/>
      <c r="C823" s="13"/>
    </row>
    <row r="824" spans="1:3" ht="13" x14ac:dyDescent="0.15">
      <c r="A824" s="10"/>
      <c r="B824" s="13"/>
      <c r="C824" s="13"/>
    </row>
    <row r="825" spans="1:3" ht="13" x14ac:dyDescent="0.15">
      <c r="A825" s="10"/>
      <c r="B825" s="13"/>
      <c r="C825" s="13"/>
    </row>
    <row r="826" spans="1:3" ht="13" x14ac:dyDescent="0.15">
      <c r="A826" s="10"/>
      <c r="B826" s="13"/>
      <c r="C826" s="13"/>
    </row>
    <row r="827" spans="1:3" ht="13" x14ac:dyDescent="0.15">
      <c r="A827" s="10"/>
      <c r="B827" s="13"/>
      <c r="C827" s="13"/>
    </row>
    <row r="828" spans="1:3" ht="13" x14ac:dyDescent="0.15">
      <c r="A828" s="10"/>
      <c r="B828" s="13"/>
      <c r="C828" s="13"/>
    </row>
    <row r="829" spans="1:3" ht="13" x14ac:dyDescent="0.15">
      <c r="A829" s="10"/>
      <c r="B829" s="13"/>
      <c r="C829" s="13"/>
    </row>
    <row r="830" spans="1:3" ht="13" x14ac:dyDescent="0.15">
      <c r="A830" s="10"/>
      <c r="B830" s="13"/>
      <c r="C830" s="13"/>
    </row>
    <row r="831" spans="1:3" ht="13" x14ac:dyDescent="0.15">
      <c r="A831" s="10"/>
      <c r="B831" s="13"/>
      <c r="C831" s="13"/>
    </row>
    <row r="832" spans="1:3" ht="13" x14ac:dyDescent="0.15">
      <c r="A832" s="10"/>
      <c r="B832" s="13"/>
      <c r="C832" s="13"/>
    </row>
    <row r="833" spans="1:3" ht="13" x14ac:dyDescent="0.15">
      <c r="A833" s="10"/>
      <c r="B833" s="13"/>
      <c r="C833" s="13"/>
    </row>
    <row r="834" spans="1:3" ht="13" x14ac:dyDescent="0.15">
      <c r="A834" s="10"/>
      <c r="B834" s="13"/>
      <c r="C834" s="13"/>
    </row>
    <row r="835" spans="1:3" ht="13" x14ac:dyDescent="0.15">
      <c r="A835" s="10"/>
      <c r="B835" s="13"/>
      <c r="C835" s="13"/>
    </row>
    <row r="836" spans="1:3" ht="13" x14ac:dyDescent="0.15">
      <c r="A836" s="10"/>
      <c r="B836" s="13"/>
      <c r="C836" s="13"/>
    </row>
    <row r="837" spans="1:3" ht="13" x14ac:dyDescent="0.15">
      <c r="A837" s="10"/>
      <c r="B837" s="13"/>
      <c r="C837" s="13"/>
    </row>
    <row r="838" spans="1:3" ht="13" x14ac:dyDescent="0.15">
      <c r="A838" s="10"/>
      <c r="B838" s="13"/>
      <c r="C838" s="13"/>
    </row>
    <row r="839" spans="1:3" ht="13" x14ac:dyDescent="0.15">
      <c r="A839" s="10"/>
      <c r="B839" s="13"/>
      <c r="C839" s="13"/>
    </row>
    <row r="840" spans="1:3" ht="13" x14ac:dyDescent="0.15">
      <c r="A840" s="10"/>
      <c r="B840" s="13"/>
      <c r="C840" s="13"/>
    </row>
    <row r="841" spans="1:3" ht="13" x14ac:dyDescent="0.15">
      <c r="A841" s="10"/>
      <c r="B841" s="13"/>
      <c r="C841" s="13"/>
    </row>
    <row r="842" spans="1:3" ht="13" x14ac:dyDescent="0.15">
      <c r="A842" s="10"/>
      <c r="B842" s="13"/>
      <c r="C842" s="13"/>
    </row>
    <row r="843" spans="1:3" ht="13" x14ac:dyDescent="0.15">
      <c r="A843" s="10"/>
      <c r="B843" s="13"/>
      <c r="C843" s="13"/>
    </row>
    <row r="844" spans="1:3" ht="13" x14ac:dyDescent="0.15">
      <c r="A844" s="10"/>
      <c r="B844" s="13"/>
      <c r="C844" s="13"/>
    </row>
    <row r="845" spans="1:3" ht="13" x14ac:dyDescent="0.15">
      <c r="A845" s="10"/>
      <c r="B845" s="13"/>
      <c r="C845" s="13"/>
    </row>
    <row r="846" spans="1:3" ht="13" x14ac:dyDescent="0.15">
      <c r="A846" s="10"/>
      <c r="B846" s="13"/>
      <c r="C846" s="13"/>
    </row>
    <row r="847" spans="1:3" ht="13" x14ac:dyDescent="0.15">
      <c r="A847" s="10"/>
      <c r="B847" s="13"/>
      <c r="C847" s="13"/>
    </row>
    <row r="848" spans="1:3" ht="13" x14ac:dyDescent="0.15">
      <c r="A848" s="10"/>
      <c r="B848" s="13"/>
      <c r="C848" s="13"/>
    </row>
    <row r="849" spans="1:3" ht="13" x14ac:dyDescent="0.15">
      <c r="A849" s="10"/>
      <c r="B849" s="13"/>
      <c r="C849" s="13"/>
    </row>
    <row r="850" spans="1:3" ht="13" x14ac:dyDescent="0.15">
      <c r="A850" s="10"/>
      <c r="B850" s="13"/>
      <c r="C850" s="13"/>
    </row>
    <row r="851" spans="1:3" ht="13" x14ac:dyDescent="0.15">
      <c r="A851" s="10"/>
      <c r="B851" s="13"/>
      <c r="C851" s="13"/>
    </row>
    <row r="852" spans="1:3" ht="13" x14ac:dyDescent="0.15">
      <c r="A852" s="10"/>
      <c r="B852" s="13"/>
      <c r="C852" s="13"/>
    </row>
    <row r="853" spans="1:3" ht="13" x14ac:dyDescent="0.15">
      <c r="A853" s="10"/>
      <c r="B853" s="13"/>
      <c r="C853" s="13"/>
    </row>
    <row r="854" spans="1:3" ht="13" x14ac:dyDescent="0.15">
      <c r="A854" s="10"/>
      <c r="B854" s="13"/>
      <c r="C854" s="13"/>
    </row>
    <row r="855" spans="1:3" ht="13" x14ac:dyDescent="0.15">
      <c r="A855" s="10"/>
      <c r="B855" s="13"/>
      <c r="C855" s="13"/>
    </row>
    <row r="856" spans="1:3" ht="13" x14ac:dyDescent="0.15">
      <c r="A856" s="10"/>
      <c r="B856" s="13"/>
      <c r="C856" s="13"/>
    </row>
    <row r="857" spans="1:3" ht="13" x14ac:dyDescent="0.15">
      <c r="A857" s="10"/>
      <c r="B857" s="13"/>
      <c r="C857" s="13"/>
    </row>
    <row r="858" spans="1:3" ht="13" x14ac:dyDescent="0.15">
      <c r="A858" s="10"/>
      <c r="B858" s="13"/>
      <c r="C858" s="13"/>
    </row>
    <row r="859" spans="1:3" ht="13" x14ac:dyDescent="0.15">
      <c r="A859" s="10"/>
      <c r="B859" s="13"/>
      <c r="C859" s="13"/>
    </row>
    <row r="860" spans="1:3" ht="13" x14ac:dyDescent="0.15">
      <c r="A860" s="10"/>
      <c r="B860" s="13"/>
      <c r="C860" s="13"/>
    </row>
    <row r="861" spans="1:3" ht="13" x14ac:dyDescent="0.15">
      <c r="A861" s="10"/>
      <c r="B861" s="13"/>
      <c r="C861" s="13"/>
    </row>
    <row r="862" spans="1:3" ht="13" x14ac:dyDescent="0.15">
      <c r="A862" s="10"/>
      <c r="B862" s="13"/>
      <c r="C862" s="13"/>
    </row>
    <row r="863" spans="1:3" ht="13" x14ac:dyDescent="0.15">
      <c r="A863" s="10"/>
      <c r="B863" s="13"/>
      <c r="C863" s="13"/>
    </row>
    <row r="864" spans="1:3" ht="13" x14ac:dyDescent="0.15">
      <c r="A864" s="10"/>
      <c r="B864" s="13"/>
      <c r="C864" s="13"/>
    </row>
    <row r="865" spans="1:3" ht="13" x14ac:dyDescent="0.15">
      <c r="A865" s="10"/>
      <c r="B865" s="13"/>
      <c r="C865" s="13"/>
    </row>
    <row r="866" spans="1:3" ht="13" x14ac:dyDescent="0.15">
      <c r="A866" s="10"/>
      <c r="B866" s="13"/>
      <c r="C866" s="13"/>
    </row>
    <row r="867" spans="1:3" ht="13" x14ac:dyDescent="0.15">
      <c r="A867" s="10"/>
      <c r="B867" s="13"/>
      <c r="C867" s="13"/>
    </row>
    <row r="868" spans="1:3" ht="13" x14ac:dyDescent="0.15">
      <c r="A868" s="10"/>
      <c r="B868" s="13"/>
      <c r="C868" s="13"/>
    </row>
    <row r="869" spans="1:3" ht="13" x14ac:dyDescent="0.15">
      <c r="A869" s="10"/>
      <c r="B869" s="13"/>
      <c r="C869" s="13"/>
    </row>
    <row r="870" spans="1:3" ht="13" x14ac:dyDescent="0.15">
      <c r="A870" s="10"/>
      <c r="B870" s="13"/>
      <c r="C870" s="13"/>
    </row>
    <row r="871" spans="1:3" ht="13" x14ac:dyDescent="0.15">
      <c r="A871" s="10"/>
      <c r="B871" s="13"/>
      <c r="C871" s="13"/>
    </row>
    <row r="872" spans="1:3" ht="13" x14ac:dyDescent="0.15">
      <c r="A872" s="10"/>
      <c r="B872" s="13"/>
      <c r="C872" s="13"/>
    </row>
    <row r="873" spans="1:3" ht="13" x14ac:dyDescent="0.15">
      <c r="A873" s="10"/>
      <c r="B873" s="13"/>
      <c r="C873" s="13"/>
    </row>
    <row r="874" spans="1:3" ht="13" x14ac:dyDescent="0.15">
      <c r="A874" s="10"/>
      <c r="B874" s="13"/>
      <c r="C874" s="13"/>
    </row>
    <row r="875" spans="1:3" ht="13" x14ac:dyDescent="0.15">
      <c r="A875" s="10"/>
      <c r="B875" s="13"/>
      <c r="C875" s="13"/>
    </row>
    <row r="876" spans="1:3" ht="13" x14ac:dyDescent="0.15">
      <c r="A876" s="10"/>
      <c r="B876" s="13"/>
      <c r="C876" s="13"/>
    </row>
    <row r="877" spans="1:3" ht="13" x14ac:dyDescent="0.15">
      <c r="A877" s="10"/>
      <c r="B877" s="13"/>
      <c r="C877" s="13"/>
    </row>
    <row r="878" spans="1:3" ht="13" x14ac:dyDescent="0.15">
      <c r="A878" s="10"/>
      <c r="B878" s="13"/>
      <c r="C878" s="13"/>
    </row>
    <row r="879" spans="1:3" ht="13" x14ac:dyDescent="0.15">
      <c r="A879" s="10"/>
      <c r="B879" s="13"/>
      <c r="C879" s="13"/>
    </row>
    <row r="880" spans="1:3" ht="13" x14ac:dyDescent="0.15">
      <c r="A880" s="10"/>
      <c r="B880" s="13"/>
      <c r="C880" s="13"/>
    </row>
    <row r="881" spans="1:3" ht="13" x14ac:dyDescent="0.15">
      <c r="A881" s="10"/>
      <c r="B881" s="13"/>
      <c r="C881" s="13"/>
    </row>
    <row r="882" spans="1:3" ht="13" x14ac:dyDescent="0.15">
      <c r="A882" s="10"/>
      <c r="B882" s="13"/>
      <c r="C882" s="13"/>
    </row>
    <row r="883" spans="1:3" ht="13" x14ac:dyDescent="0.15">
      <c r="A883" s="10"/>
      <c r="B883" s="13"/>
      <c r="C883" s="13"/>
    </row>
    <row r="884" spans="1:3" ht="13" x14ac:dyDescent="0.15">
      <c r="A884" s="10"/>
      <c r="B884" s="13"/>
      <c r="C884" s="13"/>
    </row>
    <row r="885" spans="1:3" ht="13" x14ac:dyDescent="0.15">
      <c r="A885" s="10"/>
      <c r="B885" s="13"/>
      <c r="C885" s="13"/>
    </row>
    <row r="886" spans="1:3" ht="13" x14ac:dyDescent="0.15">
      <c r="A886" s="10"/>
      <c r="B886" s="13"/>
      <c r="C886" s="13"/>
    </row>
    <row r="887" spans="1:3" ht="13" x14ac:dyDescent="0.15">
      <c r="A887" s="10"/>
      <c r="B887" s="13"/>
      <c r="C887" s="13"/>
    </row>
    <row r="888" spans="1:3" ht="13" x14ac:dyDescent="0.15">
      <c r="A888" s="10"/>
      <c r="B888" s="13"/>
      <c r="C888" s="13"/>
    </row>
    <row r="889" spans="1:3" ht="13" x14ac:dyDescent="0.15">
      <c r="A889" s="10"/>
      <c r="B889" s="13"/>
      <c r="C889" s="13"/>
    </row>
    <row r="890" spans="1:3" ht="13" x14ac:dyDescent="0.15">
      <c r="A890" s="10"/>
      <c r="B890" s="13"/>
      <c r="C890" s="13"/>
    </row>
    <row r="891" spans="1:3" ht="13" x14ac:dyDescent="0.15">
      <c r="A891" s="10"/>
      <c r="B891" s="13"/>
      <c r="C891" s="13"/>
    </row>
    <row r="892" spans="1:3" ht="13" x14ac:dyDescent="0.15">
      <c r="A892" s="10"/>
      <c r="B892" s="13"/>
      <c r="C892" s="13"/>
    </row>
    <row r="893" spans="1:3" ht="13" x14ac:dyDescent="0.15">
      <c r="A893" s="10"/>
      <c r="B893" s="13"/>
      <c r="C893" s="13"/>
    </row>
    <row r="894" spans="1:3" ht="13" x14ac:dyDescent="0.15">
      <c r="A894" s="10"/>
      <c r="B894" s="13"/>
      <c r="C894" s="13"/>
    </row>
    <row r="895" spans="1:3" ht="13" x14ac:dyDescent="0.15">
      <c r="A895" s="10"/>
      <c r="B895" s="13"/>
      <c r="C895" s="13"/>
    </row>
    <row r="896" spans="1:3" ht="13" x14ac:dyDescent="0.15">
      <c r="A896" s="10"/>
      <c r="B896" s="13"/>
      <c r="C896" s="13"/>
    </row>
    <row r="897" spans="1:3" ht="13" x14ac:dyDescent="0.15">
      <c r="A897" s="10"/>
      <c r="B897" s="13"/>
      <c r="C897" s="13"/>
    </row>
    <row r="898" spans="1:3" ht="13" x14ac:dyDescent="0.15">
      <c r="A898" s="10"/>
      <c r="B898" s="13"/>
      <c r="C898" s="13"/>
    </row>
    <row r="899" spans="1:3" ht="13" x14ac:dyDescent="0.15">
      <c r="A899" s="10"/>
      <c r="B899" s="13"/>
      <c r="C899" s="13"/>
    </row>
    <row r="900" spans="1:3" ht="13" x14ac:dyDescent="0.15">
      <c r="A900" s="10"/>
      <c r="B900" s="13"/>
      <c r="C900" s="13"/>
    </row>
    <row r="901" spans="1:3" ht="13" x14ac:dyDescent="0.15">
      <c r="A901" s="10"/>
      <c r="B901" s="13"/>
      <c r="C901" s="13"/>
    </row>
    <row r="902" spans="1:3" ht="13" x14ac:dyDescent="0.15">
      <c r="A902" s="10"/>
      <c r="B902" s="13"/>
      <c r="C902" s="13"/>
    </row>
    <row r="903" spans="1:3" ht="13" x14ac:dyDescent="0.15">
      <c r="A903" s="10"/>
      <c r="B903" s="13"/>
      <c r="C903" s="13"/>
    </row>
    <row r="904" spans="1:3" ht="13" x14ac:dyDescent="0.15">
      <c r="A904" s="10"/>
      <c r="B904" s="13"/>
      <c r="C904" s="13"/>
    </row>
    <row r="905" spans="1:3" ht="13" x14ac:dyDescent="0.15">
      <c r="A905" s="10"/>
      <c r="B905" s="13"/>
      <c r="C905" s="13"/>
    </row>
    <row r="906" spans="1:3" ht="13" x14ac:dyDescent="0.15">
      <c r="A906" s="10"/>
      <c r="B906" s="13"/>
      <c r="C906" s="13"/>
    </row>
    <row r="907" spans="1:3" ht="13" x14ac:dyDescent="0.15">
      <c r="A907" s="10"/>
      <c r="B907" s="13"/>
      <c r="C907" s="13"/>
    </row>
    <row r="908" spans="1:3" ht="13" x14ac:dyDescent="0.15">
      <c r="A908" s="10"/>
      <c r="B908" s="13"/>
      <c r="C908" s="13"/>
    </row>
    <row r="909" spans="1:3" ht="13" x14ac:dyDescent="0.15">
      <c r="A909" s="10"/>
      <c r="B909" s="13"/>
      <c r="C909" s="13"/>
    </row>
    <row r="910" spans="1:3" ht="13" x14ac:dyDescent="0.15">
      <c r="A910" s="10"/>
      <c r="B910" s="13"/>
      <c r="C910" s="13"/>
    </row>
    <row r="911" spans="1:3" ht="13" x14ac:dyDescent="0.15">
      <c r="A911" s="10"/>
      <c r="B911" s="13"/>
      <c r="C911" s="13"/>
    </row>
    <row r="912" spans="1:3" ht="13" x14ac:dyDescent="0.15">
      <c r="A912" s="10"/>
      <c r="B912" s="13"/>
      <c r="C912" s="13"/>
    </row>
    <row r="913" spans="1:3" ht="13" x14ac:dyDescent="0.15">
      <c r="A913" s="10"/>
      <c r="B913" s="13"/>
      <c r="C913" s="13"/>
    </row>
    <row r="914" spans="1:3" ht="13" x14ac:dyDescent="0.15">
      <c r="A914" s="10"/>
      <c r="B914" s="13"/>
      <c r="C914" s="13"/>
    </row>
    <row r="915" spans="1:3" ht="13" x14ac:dyDescent="0.15">
      <c r="A915" s="10"/>
      <c r="B915" s="13"/>
      <c r="C915" s="13"/>
    </row>
    <row r="916" spans="1:3" ht="13" x14ac:dyDescent="0.15">
      <c r="A916" s="10"/>
      <c r="B916" s="13"/>
      <c r="C916" s="13"/>
    </row>
    <row r="917" spans="1:3" ht="13" x14ac:dyDescent="0.15">
      <c r="A917" s="10"/>
      <c r="B917" s="13"/>
      <c r="C917" s="13"/>
    </row>
    <row r="918" spans="1:3" ht="13" x14ac:dyDescent="0.15">
      <c r="A918" s="10"/>
      <c r="B918" s="13"/>
      <c r="C918" s="13"/>
    </row>
    <row r="919" spans="1:3" ht="13" x14ac:dyDescent="0.15">
      <c r="A919" s="10"/>
      <c r="B919" s="13"/>
      <c r="C919" s="13"/>
    </row>
    <row r="920" spans="1:3" ht="13" x14ac:dyDescent="0.15">
      <c r="A920" s="10"/>
      <c r="B920" s="13"/>
      <c r="C920" s="13"/>
    </row>
    <row r="921" spans="1:3" ht="13" x14ac:dyDescent="0.15">
      <c r="A921" s="10"/>
      <c r="B921" s="13"/>
      <c r="C921" s="13"/>
    </row>
    <row r="922" spans="1:3" ht="13" x14ac:dyDescent="0.15">
      <c r="A922" s="10"/>
      <c r="B922" s="13"/>
      <c r="C922" s="13"/>
    </row>
    <row r="923" spans="1:3" ht="13" x14ac:dyDescent="0.15">
      <c r="A923" s="10"/>
      <c r="B923" s="13"/>
      <c r="C923" s="13"/>
    </row>
    <row r="924" spans="1:3" ht="13" x14ac:dyDescent="0.15">
      <c r="A924" s="10"/>
      <c r="B924" s="13"/>
      <c r="C924" s="13"/>
    </row>
    <row r="925" spans="1:3" ht="13" x14ac:dyDescent="0.15">
      <c r="A925" s="10"/>
      <c r="B925" s="13"/>
      <c r="C925" s="13"/>
    </row>
    <row r="926" spans="1:3" ht="13" x14ac:dyDescent="0.15">
      <c r="A926" s="10"/>
      <c r="B926" s="13"/>
      <c r="C926" s="13"/>
    </row>
    <row r="927" spans="1:3" ht="13" x14ac:dyDescent="0.15">
      <c r="A927" s="10"/>
      <c r="B927" s="13"/>
      <c r="C927" s="13"/>
    </row>
    <row r="928" spans="1:3" ht="13" x14ac:dyDescent="0.15">
      <c r="A928" s="10"/>
      <c r="B928" s="13"/>
      <c r="C928" s="13"/>
    </row>
    <row r="929" spans="1:3" ht="13" x14ac:dyDescent="0.15">
      <c r="A929" s="10"/>
      <c r="B929" s="13"/>
      <c r="C929" s="13"/>
    </row>
    <row r="930" spans="1:3" ht="13" x14ac:dyDescent="0.15">
      <c r="A930" s="10"/>
      <c r="B930" s="13"/>
      <c r="C930" s="13"/>
    </row>
    <row r="931" spans="1:3" ht="13" x14ac:dyDescent="0.15">
      <c r="A931" s="10"/>
      <c r="B931" s="13"/>
      <c r="C931" s="13"/>
    </row>
    <row r="932" spans="1:3" ht="13" x14ac:dyDescent="0.15">
      <c r="A932" s="10"/>
      <c r="B932" s="13"/>
      <c r="C932" s="13"/>
    </row>
    <row r="933" spans="1:3" ht="13" x14ac:dyDescent="0.15">
      <c r="A933" s="10"/>
      <c r="B933" s="13"/>
      <c r="C933" s="13"/>
    </row>
    <row r="934" spans="1:3" ht="13" x14ac:dyDescent="0.15">
      <c r="A934" s="10"/>
      <c r="B934" s="13"/>
      <c r="C934" s="13"/>
    </row>
    <row r="935" spans="1:3" ht="13" x14ac:dyDescent="0.15">
      <c r="A935" s="10"/>
      <c r="B935" s="13"/>
      <c r="C935" s="13"/>
    </row>
    <row r="936" spans="1:3" ht="13" x14ac:dyDescent="0.15">
      <c r="A936" s="10"/>
      <c r="B936" s="13"/>
      <c r="C936" s="13"/>
    </row>
    <row r="937" spans="1:3" ht="13" x14ac:dyDescent="0.15">
      <c r="A937" s="10"/>
      <c r="B937" s="13"/>
      <c r="C937" s="13"/>
    </row>
    <row r="938" spans="1:3" ht="13" x14ac:dyDescent="0.15">
      <c r="A938" s="10"/>
      <c r="B938" s="13"/>
      <c r="C938" s="13"/>
    </row>
    <row r="939" spans="1:3" ht="13" x14ac:dyDescent="0.15">
      <c r="A939" s="10"/>
      <c r="B939" s="13"/>
      <c r="C939" s="13"/>
    </row>
    <row r="940" spans="1:3" ht="13" x14ac:dyDescent="0.15">
      <c r="A940" s="10"/>
      <c r="B940" s="13"/>
      <c r="C940" s="13"/>
    </row>
    <row r="941" spans="1:3" ht="13" x14ac:dyDescent="0.15">
      <c r="A941" s="10"/>
      <c r="B941" s="13"/>
      <c r="C941" s="13"/>
    </row>
    <row r="942" spans="1:3" ht="13" x14ac:dyDescent="0.15">
      <c r="A942" s="10"/>
      <c r="B942" s="13"/>
      <c r="C942" s="13"/>
    </row>
    <row r="943" spans="1:3" ht="13" x14ac:dyDescent="0.15">
      <c r="A943" s="10"/>
      <c r="B943" s="13"/>
      <c r="C943" s="13"/>
    </row>
    <row r="944" spans="1:3" ht="13" x14ac:dyDescent="0.15">
      <c r="A944" s="10"/>
      <c r="B944" s="13"/>
      <c r="C944" s="13"/>
    </row>
    <row r="945" spans="1:3" ht="13" x14ac:dyDescent="0.15">
      <c r="A945" s="10"/>
      <c r="B945" s="13"/>
      <c r="C945" s="13"/>
    </row>
    <row r="946" spans="1:3" ht="13" x14ac:dyDescent="0.15">
      <c r="A946" s="10"/>
      <c r="B946" s="13"/>
      <c r="C946" s="13"/>
    </row>
    <row r="947" spans="1:3" ht="13" x14ac:dyDescent="0.15">
      <c r="A947" s="10"/>
      <c r="B947" s="13"/>
      <c r="C947" s="13"/>
    </row>
    <row r="948" spans="1:3" ht="13" x14ac:dyDescent="0.15">
      <c r="A948" s="10"/>
      <c r="B948" s="13"/>
      <c r="C948" s="13"/>
    </row>
    <row r="949" spans="1:3" ht="13" x14ac:dyDescent="0.15">
      <c r="A949" s="10"/>
      <c r="B949" s="13"/>
      <c r="C949" s="13"/>
    </row>
    <row r="950" spans="1:3" ht="13" x14ac:dyDescent="0.15">
      <c r="A950" s="10"/>
      <c r="B950" s="13"/>
      <c r="C950" s="13"/>
    </row>
    <row r="951" spans="1:3" ht="13" x14ac:dyDescent="0.15">
      <c r="A951" s="10"/>
      <c r="B951" s="13"/>
      <c r="C951" s="13"/>
    </row>
    <row r="952" spans="1:3" ht="13" x14ac:dyDescent="0.15">
      <c r="A952" s="10"/>
      <c r="B952" s="13"/>
      <c r="C952" s="13"/>
    </row>
    <row r="953" spans="1:3" ht="13" x14ac:dyDescent="0.15">
      <c r="A953" s="10"/>
      <c r="B953" s="13"/>
      <c r="C953" s="13"/>
    </row>
    <row r="954" spans="1:3" ht="13" x14ac:dyDescent="0.15">
      <c r="A954" s="10"/>
      <c r="B954" s="13"/>
      <c r="C954" s="13"/>
    </row>
    <row r="955" spans="1:3" ht="13" x14ac:dyDescent="0.15">
      <c r="A955" s="10"/>
      <c r="B955" s="13"/>
      <c r="C955" s="13"/>
    </row>
    <row r="956" spans="1:3" ht="13" x14ac:dyDescent="0.15">
      <c r="A956" s="10"/>
      <c r="B956" s="13"/>
      <c r="C956" s="13"/>
    </row>
    <row r="957" spans="1:3" ht="13" x14ac:dyDescent="0.15">
      <c r="A957" s="10"/>
      <c r="B957" s="13"/>
      <c r="C957" s="13"/>
    </row>
    <row r="958" spans="1:3" ht="13" x14ac:dyDescent="0.15">
      <c r="A958" s="10"/>
      <c r="B958" s="13"/>
      <c r="C958" s="13"/>
    </row>
    <row r="959" spans="1:3" ht="13" x14ac:dyDescent="0.15">
      <c r="A959" s="10"/>
      <c r="B959" s="13"/>
      <c r="C959" s="13"/>
    </row>
    <row r="960" spans="1:3" ht="13" x14ac:dyDescent="0.15">
      <c r="A960" s="10"/>
      <c r="B960" s="13"/>
      <c r="C960" s="13"/>
    </row>
    <row r="961" spans="1:3" ht="13" x14ac:dyDescent="0.15">
      <c r="A961" s="10"/>
      <c r="B961" s="13"/>
      <c r="C961" s="13"/>
    </row>
    <row r="962" spans="1:3" ht="13" x14ac:dyDescent="0.15">
      <c r="A962" s="10"/>
      <c r="B962" s="13"/>
      <c r="C962" s="13"/>
    </row>
    <row r="963" spans="1:3" ht="13" x14ac:dyDescent="0.15">
      <c r="A963" s="10"/>
      <c r="B963" s="13"/>
      <c r="C963" s="13"/>
    </row>
    <row r="964" spans="1:3" ht="13" x14ac:dyDescent="0.15">
      <c r="A964" s="10"/>
      <c r="B964" s="13"/>
      <c r="C964" s="13"/>
    </row>
    <row r="965" spans="1:3" ht="13" x14ac:dyDescent="0.15">
      <c r="A965" s="10"/>
      <c r="B965" s="13"/>
      <c r="C965" s="13"/>
    </row>
    <row r="966" spans="1:3" ht="13" x14ac:dyDescent="0.15">
      <c r="A966" s="10"/>
      <c r="B966" s="13"/>
      <c r="C966" s="13"/>
    </row>
    <row r="967" spans="1:3" ht="13" x14ac:dyDescent="0.15">
      <c r="A967" s="10"/>
      <c r="B967" s="13"/>
      <c r="C967" s="13"/>
    </row>
    <row r="968" spans="1:3" ht="13" x14ac:dyDescent="0.15">
      <c r="A968" s="10"/>
      <c r="B968" s="13"/>
      <c r="C968" s="13"/>
    </row>
    <row r="969" spans="1:3" ht="13" x14ac:dyDescent="0.15">
      <c r="A969" s="10"/>
      <c r="B969" s="13"/>
      <c r="C969" s="13"/>
    </row>
    <row r="970" spans="1:3" ht="13" x14ac:dyDescent="0.15">
      <c r="A970" s="10"/>
      <c r="B970" s="13"/>
      <c r="C970" s="13"/>
    </row>
    <row r="971" spans="1:3" ht="13" x14ac:dyDescent="0.15">
      <c r="A971" s="10"/>
      <c r="B971" s="13"/>
      <c r="C971" s="13"/>
    </row>
    <row r="972" spans="1:3" ht="13" x14ac:dyDescent="0.15">
      <c r="A972" s="10"/>
      <c r="B972" s="13"/>
      <c r="C972" s="13"/>
    </row>
    <row r="973" spans="1:3" ht="13" x14ac:dyDescent="0.15">
      <c r="A973" s="10"/>
      <c r="B973" s="13"/>
      <c r="C973" s="13"/>
    </row>
    <row r="974" spans="1:3" ht="13" x14ac:dyDescent="0.15">
      <c r="A974" s="10"/>
      <c r="B974" s="13"/>
      <c r="C974" s="13"/>
    </row>
    <row r="975" spans="1:3" ht="13" x14ac:dyDescent="0.15">
      <c r="A975" s="10"/>
      <c r="B975" s="13"/>
      <c r="C975" s="13"/>
    </row>
    <row r="976" spans="1:3" ht="13" x14ac:dyDescent="0.15">
      <c r="A976" s="10"/>
      <c r="B976" s="13"/>
      <c r="C976" s="13"/>
    </row>
    <row r="977" spans="1:3" ht="13" x14ac:dyDescent="0.15">
      <c r="A977" s="10"/>
      <c r="B977" s="13"/>
      <c r="C977" s="13"/>
    </row>
    <row r="978" spans="1:3" ht="13" x14ac:dyDescent="0.15">
      <c r="A978" s="10"/>
      <c r="B978" s="13"/>
      <c r="C978" s="13"/>
    </row>
    <row r="979" spans="1:3" ht="13" x14ac:dyDescent="0.15">
      <c r="A979" s="10"/>
      <c r="B979" s="13"/>
      <c r="C979" s="13"/>
    </row>
    <row r="980" spans="1:3" ht="13" x14ac:dyDescent="0.15">
      <c r="A980" s="10"/>
      <c r="B980" s="13"/>
      <c r="C980" s="13"/>
    </row>
    <row r="981" spans="1:3" ht="13" x14ac:dyDescent="0.15">
      <c r="A981" s="10"/>
      <c r="B981" s="13"/>
      <c r="C981" s="13"/>
    </row>
    <row r="982" spans="1:3" ht="13" x14ac:dyDescent="0.15">
      <c r="A982" s="10"/>
      <c r="B982" s="13"/>
      <c r="C982" s="13"/>
    </row>
    <row r="983" spans="1:3" ht="13" x14ac:dyDescent="0.15">
      <c r="A983" s="10"/>
      <c r="B983" s="13"/>
      <c r="C983" s="13"/>
    </row>
    <row r="984" spans="1:3" ht="13" x14ac:dyDescent="0.15">
      <c r="A984" s="10"/>
      <c r="B984" s="13"/>
      <c r="C984" s="13"/>
    </row>
    <row r="985" spans="1:3" ht="13" x14ac:dyDescent="0.15">
      <c r="A985" s="10"/>
      <c r="B985" s="13"/>
      <c r="C985" s="13"/>
    </row>
    <row r="986" spans="1:3" ht="13" x14ac:dyDescent="0.15">
      <c r="A986" s="10"/>
      <c r="B986" s="13"/>
      <c r="C986" s="13"/>
    </row>
    <row r="987" spans="1:3" ht="13" x14ac:dyDescent="0.15">
      <c r="A987" s="10"/>
      <c r="B987" s="13"/>
      <c r="C987" s="13"/>
    </row>
    <row r="988" spans="1:3" ht="13" x14ac:dyDescent="0.15">
      <c r="A988" s="10"/>
      <c r="B988" s="13"/>
      <c r="C988" s="13"/>
    </row>
    <row r="989" spans="1:3" ht="13" x14ac:dyDescent="0.15">
      <c r="A989" s="10"/>
      <c r="B989" s="13"/>
      <c r="C989" s="13"/>
    </row>
    <row r="990" spans="1:3" ht="13" x14ac:dyDescent="0.15">
      <c r="A990" s="10"/>
      <c r="B990" s="13"/>
      <c r="C990" s="13"/>
    </row>
    <row r="991" spans="1:3" ht="13" x14ac:dyDescent="0.15">
      <c r="A991" s="10"/>
      <c r="B991" s="13"/>
      <c r="C991" s="13"/>
    </row>
    <row r="992" spans="1:3" ht="13" x14ac:dyDescent="0.15">
      <c r="A992" s="10"/>
      <c r="B992" s="13"/>
      <c r="C992" s="13"/>
    </row>
    <row r="993" spans="1:3" ht="13" x14ac:dyDescent="0.15">
      <c r="A993" s="10"/>
      <c r="B993" s="13"/>
      <c r="C993" s="13"/>
    </row>
    <row r="994" spans="1:3" ht="13" x14ac:dyDescent="0.15">
      <c r="A994" s="10"/>
      <c r="B994" s="13"/>
      <c r="C994" s="13"/>
    </row>
    <row r="995" spans="1:3" ht="13" x14ac:dyDescent="0.15">
      <c r="A995" s="10"/>
      <c r="B995" s="13"/>
      <c r="C995" s="13"/>
    </row>
    <row r="996" spans="1:3" ht="13" x14ac:dyDescent="0.15">
      <c r="A996" s="10"/>
      <c r="B996" s="13"/>
      <c r="C996" s="13"/>
    </row>
    <row r="997" spans="1:3" ht="13" x14ac:dyDescent="0.15">
      <c r="A997" s="10"/>
      <c r="B997" s="13"/>
      <c r="C997" s="13"/>
    </row>
  </sheetData>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outlinePr summaryBelow="0" summaryRight="0"/>
  </sheetPr>
  <dimension ref="A1:D997"/>
  <sheetViews>
    <sheetView workbookViewId="0"/>
  </sheetViews>
  <sheetFormatPr baseColWidth="10" defaultColWidth="12.6640625" defaultRowHeight="15.75" customHeight="1" x14ac:dyDescent="0.15"/>
  <cols>
    <col min="1" max="1" width="71.5" customWidth="1"/>
    <col min="2" max="4" width="37.6640625" customWidth="1"/>
  </cols>
  <sheetData>
    <row r="1" spans="1:4" ht="15.75" customHeight="1" x14ac:dyDescent="0.15">
      <c r="A1" s="1"/>
      <c r="B1" s="10" t="str">
        <f ca="1">IFERROR(__xludf.DUMMYFUNCTION("IMPORTRANGE(""https://docs.google.com/spreadsheets/u/0/d/1Rfwd61p8X8kU1VBE4PFTeYG7-2eZzi6BYhKfon6XtRs"", ""A91!B1:B22"")"),"Korie Hall")</f>
        <v>Korie Hall</v>
      </c>
      <c r="C1" s="12" t="s">
        <v>0</v>
      </c>
      <c r="D1" s="2" t="s">
        <v>1</v>
      </c>
    </row>
    <row r="2" spans="1:4" ht="15.75" customHeight="1" x14ac:dyDescent="0.15">
      <c r="A2" s="3" t="s">
        <v>2</v>
      </c>
      <c r="B2" s="15" t="str">
        <f ca="1">IFERROR(__xludf.DUMMYFUNCTION("""COMPUTED_VALUE"""),"Start: 54319 / Stop: 54801")</f>
        <v>Start: 54319 / Stop: 54801</v>
      </c>
      <c r="C2" s="15"/>
      <c r="D2" s="4"/>
    </row>
    <row r="3" spans="1:4" ht="15.75" customHeight="1" x14ac:dyDescent="0.15">
      <c r="A3" s="5" t="s">
        <v>3</v>
      </c>
      <c r="B3" s="17" t="str">
        <f ca="1">IFERROR(__xludf.DUMMYFUNCTION("""COMPUTED_VALUE"""),"DNA Master: 90 / Phamerator: Gene 91")</f>
        <v>DNA Master: 90 / Phamerator: Gene 91</v>
      </c>
      <c r="C3" s="17"/>
      <c r="D3" s="6"/>
    </row>
    <row r="4" spans="1:4" ht="15.75" customHeight="1" x14ac:dyDescent="0.15">
      <c r="A4" s="5" t="s">
        <v>4</v>
      </c>
      <c r="B4" s="17">
        <f ca="1">IFERROR(__xludf.DUMMYFUNCTION("""COMPUTED_VALUE"""),87994)</f>
        <v>87994</v>
      </c>
      <c r="C4" s="17"/>
      <c r="D4" s="6"/>
    </row>
    <row r="5" spans="1:4" ht="15.75" customHeight="1" x14ac:dyDescent="0.15">
      <c r="A5" s="5" t="s">
        <v>5</v>
      </c>
      <c r="B5" s="17" t="str">
        <f ca="1">IFERROR(__xludf.DUMMYFUNCTION("""COMPUTED_VALUE"""),"Kovu_89")</f>
        <v>Kovu_89</v>
      </c>
      <c r="C5" s="17"/>
      <c r="D5" s="6"/>
    </row>
    <row r="6" spans="1:4" ht="15.75" customHeight="1" x14ac:dyDescent="0.15">
      <c r="A6" s="5" t="s">
        <v>6</v>
      </c>
      <c r="B6" s="17" t="str">
        <f ca="1">IFERROR(__xludf.DUMMYFUNCTION("""COMPUTED_VALUE"""),"Glimmer and GeneMark call @54319")</f>
        <v>Glimmer and GeneMark call @54319</v>
      </c>
      <c r="C6" s="17"/>
      <c r="D6" s="6"/>
    </row>
    <row r="7" spans="1:4" ht="15.75" customHeight="1" x14ac:dyDescent="0.15">
      <c r="A7" s="5" t="s">
        <v>7</v>
      </c>
      <c r="B7" s="17" t="str">
        <f ca="1">IFERROR(__xludf.DUMMYFUNCTION("""COMPUTED_VALUE"""),"Gene has solid coding potential and catches all potential ")</f>
        <v xml:space="preserve">Gene has solid coding potential and catches all potential </v>
      </c>
      <c r="C7" s="17"/>
      <c r="D7" s="6"/>
    </row>
    <row r="8" spans="1:4" ht="15.75" customHeight="1" x14ac:dyDescent="0.15">
      <c r="A8" s="5" t="s">
        <v>8</v>
      </c>
      <c r="B8" s="17" t="str">
        <f ca="1">IFERROR(__xludf.DUMMYFUNCTION("""COMPUTED_VALUE"""),"Yes")</f>
        <v>Yes</v>
      </c>
      <c r="C8" s="17"/>
      <c r="D8" s="6"/>
    </row>
    <row r="9" spans="1:4" ht="15.75" customHeight="1" x14ac:dyDescent="0.15">
      <c r="A9" s="5" t="s">
        <v>9</v>
      </c>
      <c r="B9" s="17" t="str">
        <f ca="1">IFERROR(__xludf.DUMMYFUNCTION("""COMPUTED_VALUE"""),"3 bp gap between geen 90 and gene 91")</f>
        <v>3 bp gap between geen 90 and gene 91</v>
      </c>
      <c r="C9" s="17"/>
      <c r="D9" s="6"/>
    </row>
    <row r="10" spans="1:4" ht="15.75" customHeight="1" x14ac:dyDescent="0.15">
      <c r="A10" s="5" t="s">
        <v>10</v>
      </c>
      <c r="B10" s="17" t="str">
        <f ca="1">IFERROR(__xludf.DUMMYFUNCTION("""COMPUTED_VALUE"""),"Z-score: 2.829 / Final score: -2.718")</f>
        <v>Z-score: 2.829 / Final score: -2.718</v>
      </c>
      <c r="C10" s="17"/>
      <c r="D10" s="6"/>
    </row>
    <row r="11" spans="1:4" ht="15.75" customHeight="1" x14ac:dyDescent="0.15">
      <c r="A11" s="5" t="s">
        <v>11</v>
      </c>
      <c r="B11" s="17" t="str">
        <f ca="1">IFERROR(__xludf.DUMMYFUNCTION("""COMPUTED_VALUE"""),"Wheelbite_85 - % identity: 62% / e-value: 7e-55 / q1:s1    Kovu_89 - % identity: 45% / e-value: 4e-32 / q1:s1")</f>
        <v>Wheelbite_85 - % identity: 62% / e-value: 7e-55 / q1:s1    Kovu_89 - % identity: 45% / e-value: 4e-32 / q1:s1</v>
      </c>
      <c r="C11" s="17"/>
      <c r="D11" s="6"/>
    </row>
    <row r="12" spans="1:4" ht="15.75" customHeight="1" x14ac:dyDescent="0.15">
      <c r="A12" s="5" t="s">
        <v>12</v>
      </c>
      <c r="B12" s="17" t="str">
        <f ca="1">IFERROR(__xludf.DUMMYFUNCTION("""COMPUTED_VALUE"""),"Found in 1 of 9 members in the pham / Conserved 100% of the time ")</f>
        <v xml:space="preserve">Found in 1 of 9 members in the pham / Conserved 100% of the time </v>
      </c>
      <c r="C12" s="17"/>
      <c r="D12" s="6"/>
    </row>
    <row r="13" spans="1:4" ht="15.75" customHeight="1" x14ac:dyDescent="0.15">
      <c r="A13" s="5" t="s">
        <v>13</v>
      </c>
      <c r="B13" s="17" t="str">
        <f ca="1">IFERROR(__xludf.DUMMYFUNCTION("""COMPUTED_VALUE"""),"Moving the start forward would lose some of the coding potential and cause a gap increase.")</f>
        <v>Moving the start forward would lose some of the coding potential and cause a gap increase.</v>
      </c>
      <c r="C13" s="17"/>
      <c r="D13" s="6"/>
    </row>
    <row r="14" spans="1:4" ht="15.75" customHeight="1" x14ac:dyDescent="0.15">
      <c r="A14" s="5" t="s">
        <v>14</v>
      </c>
      <c r="B14" s="17" t="str">
        <f ca="1">IFERROR(__xludf.DUMMYFUNCTION("""COMPUTED_VALUE"""),"Wheelbite_85 - e-value: 3e-45 / Kovu_89 - e-value: 9e-28")</f>
        <v>Wheelbite_85 - e-value: 3e-45 / Kovu_89 - e-value: 9e-28</v>
      </c>
      <c r="C14" s="17"/>
      <c r="D14" s="6"/>
    </row>
    <row r="15" spans="1:4" ht="15.75" customHeight="1" x14ac:dyDescent="0.15">
      <c r="A15" s="5" t="s">
        <v>15</v>
      </c>
      <c r="B15" s="17" t="str">
        <f ca="1">IFERROR(__xludf.DUMMYFUNCTION("""COMPUTED_VALUE"""),"Wheelbite_85 - Hypothetical protein / Kovu_89 - Helicase loader")</f>
        <v>Wheelbite_85 - Hypothetical protein / Kovu_89 - Helicase loader</v>
      </c>
      <c r="C15" s="17"/>
      <c r="D15" s="6"/>
    </row>
    <row r="16" spans="1:4" ht="15.75" customHeight="1" x14ac:dyDescent="0.15">
      <c r="A16" s="5" t="s">
        <v>16</v>
      </c>
      <c r="B16" s="17" t="str">
        <f ca="1">IFERROR(__xludf.DUMMYFUNCTION("""COMPUTED_VALUE"""),"Function lines up / adjacent to Kovu_89")</f>
        <v>Function lines up / adjacent to Kovu_89</v>
      </c>
      <c r="C16" s="17"/>
      <c r="D16" s="6"/>
    </row>
    <row r="17" spans="1:4" ht="15.75" customHeight="1" x14ac:dyDescent="0.15">
      <c r="A17" s="5" t="s">
        <v>17</v>
      </c>
      <c r="B17" s="17" t="str">
        <f ca="1">IFERROR(__xludf.DUMMYFUNCTION("""COMPUTED_VALUE"""),"Replisome organizer; helical bipartite natively unfolded protein, replication; helicase loader/inhibitor protein / Probability: 99% / % alignment of query: 43% / % alignment of target: 54%")</f>
        <v>Replisome organizer; helical bipartite natively unfolded protein, replication; helicase loader/inhibitor protein / Probability: 99% / % alignment of query: 43% / % alignment of target: 54%</v>
      </c>
      <c r="C17" s="17"/>
      <c r="D17" s="6"/>
    </row>
    <row r="18" spans="1:4" ht="15.75" customHeight="1" x14ac:dyDescent="0.15">
      <c r="A18" s="5" t="s">
        <v>18</v>
      </c>
      <c r="B18" s="17" t="str">
        <f ca="1">IFERROR(__xludf.DUMMYFUNCTION("""COMPUTED_VALUE"""),"No conserved domain identified")</f>
        <v>No conserved domain identified</v>
      </c>
      <c r="C18" s="17"/>
      <c r="D18" s="6"/>
    </row>
    <row r="19" spans="1:4" ht="15.75" customHeight="1" x14ac:dyDescent="0.15">
      <c r="A19" s="5" t="s">
        <v>19</v>
      </c>
      <c r="B19" s="17" t="str">
        <f ca="1">IFERROR(__xludf.DUMMYFUNCTION("""COMPUTED_VALUE"""),"No membrane protein identified")</f>
        <v>No membrane protein identified</v>
      </c>
      <c r="C19" s="17"/>
      <c r="D19" s="6"/>
    </row>
    <row r="20" spans="1:4" ht="15.75" customHeight="1" x14ac:dyDescent="0.15">
      <c r="A20" s="5" t="s">
        <v>20</v>
      </c>
      <c r="B20" s="17"/>
      <c r="C20" s="17"/>
      <c r="D20" s="6"/>
    </row>
    <row r="21" spans="1:4" x14ac:dyDescent="0.2">
      <c r="A21" s="7"/>
      <c r="B21" s="19"/>
      <c r="C21" s="19"/>
      <c r="D21" s="8"/>
    </row>
    <row r="22" spans="1:4" ht="15.75" customHeight="1" x14ac:dyDescent="0.15">
      <c r="A22" s="9" t="s">
        <v>21</v>
      </c>
      <c r="B22" s="19"/>
      <c r="C22" s="19"/>
      <c r="D22" s="8"/>
    </row>
    <row r="23" spans="1:4" ht="15.75" customHeight="1" x14ac:dyDescent="0.15">
      <c r="A23" s="10"/>
      <c r="B23" s="13"/>
      <c r="C23" s="13"/>
    </row>
    <row r="24" spans="1:4" ht="15.75" customHeight="1" x14ac:dyDescent="0.15">
      <c r="A24" s="10"/>
      <c r="B24" s="13"/>
      <c r="C24" s="13"/>
    </row>
    <row r="25" spans="1:4" ht="15.75" customHeight="1" x14ac:dyDescent="0.15">
      <c r="A25" s="10"/>
      <c r="B25" s="13"/>
      <c r="C25" s="13"/>
    </row>
    <row r="26" spans="1:4" ht="15.75" customHeight="1" x14ac:dyDescent="0.15">
      <c r="A26" s="10"/>
      <c r="B26" s="13"/>
      <c r="C26" s="13"/>
    </row>
    <row r="27" spans="1:4" ht="15.75" customHeight="1" x14ac:dyDescent="0.15">
      <c r="A27" s="10"/>
      <c r="B27" s="13"/>
      <c r="C27" s="13"/>
    </row>
    <row r="28" spans="1:4" ht="15.75" customHeight="1" x14ac:dyDescent="0.15">
      <c r="A28" s="10"/>
      <c r="B28" s="13"/>
      <c r="C28" s="13"/>
    </row>
    <row r="29" spans="1:4" ht="15.75" customHeight="1" x14ac:dyDescent="0.15">
      <c r="A29" s="10"/>
      <c r="B29" s="13"/>
      <c r="C29" s="13"/>
    </row>
    <row r="30" spans="1:4" ht="15.75" customHeight="1" x14ac:dyDescent="0.15">
      <c r="A30" s="10"/>
      <c r="B30" s="13"/>
      <c r="C30" s="13"/>
    </row>
    <row r="31" spans="1:4" ht="15.75" customHeight="1" x14ac:dyDescent="0.15">
      <c r="A31" s="10"/>
      <c r="B31" s="13"/>
      <c r="C31" s="13"/>
    </row>
    <row r="32" spans="1:4" ht="15.75" customHeight="1" x14ac:dyDescent="0.15">
      <c r="A32" s="10"/>
      <c r="B32" s="13"/>
      <c r="C32" s="13"/>
    </row>
    <row r="33" spans="1:3" ht="15.75" customHeight="1" x14ac:dyDescent="0.15">
      <c r="A33" s="10"/>
      <c r="B33" s="13"/>
      <c r="C33" s="13"/>
    </row>
    <row r="34" spans="1:3" ht="15.75" customHeight="1" x14ac:dyDescent="0.15">
      <c r="A34" s="10"/>
      <c r="B34" s="13"/>
      <c r="C34" s="13"/>
    </row>
    <row r="35" spans="1:3" ht="15.75" customHeight="1" x14ac:dyDescent="0.15">
      <c r="A35" s="10"/>
      <c r="B35" s="13"/>
      <c r="C35" s="13"/>
    </row>
    <row r="36" spans="1:3" ht="15.75" customHeight="1" x14ac:dyDescent="0.15">
      <c r="A36" s="10"/>
      <c r="B36" s="13"/>
      <c r="C36" s="13"/>
    </row>
    <row r="37" spans="1:3" ht="15.75" customHeight="1" x14ac:dyDescent="0.15">
      <c r="A37" s="10"/>
      <c r="B37" s="13"/>
      <c r="C37" s="13"/>
    </row>
    <row r="38" spans="1:3" ht="15.75" customHeight="1" x14ac:dyDescent="0.15">
      <c r="A38" s="10"/>
      <c r="B38" s="13"/>
      <c r="C38" s="13"/>
    </row>
    <row r="39" spans="1:3" ht="13" x14ac:dyDescent="0.15">
      <c r="A39" s="10"/>
      <c r="B39" s="13"/>
      <c r="C39" s="13"/>
    </row>
    <row r="40" spans="1:3" ht="13" x14ac:dyDescent="0.15">
      <c r="A40" s="10"/>
      <c r="B40" s="13"/>
      <c r="C40" s="13"/>
    </row>
    <row r="41" spans="1:3" ht="13" x14ac:dyDescent="0.15">
      <c r="A41" s="10"/>
      <c r="B41" s="13"/>
      <c r="C41" s="13"/>
    </row>
    <row r="42" spans="1:3" ht="13" x14ac:dyDescent="0.15">
      <c r="A42" s="10"/>
      <c r="B42" s="13"/>
      <c r="C42" s="13"/>
    </row>
    <row r="43" spans="1:3" ht="13" x14ac:dyDescent="0.15">
      <c r="A43" s="10"/>
      <c r="B43" s="13"/>
      <c r="C43" s="13"/>
    </row>
    <row r="44" spans="1:3" ht="13" x14ac:dyDescent="0.15">
      <c r="A44" s="10"/>
      <c r="B44" s="13"/>
      <c r="C44" s="13"/>
    </row>
    <row r="45" spans="1:3" ht="13" x14ac:dyDescent="0.15">
      <c r="A45" s="10"/>
      <c r="B45" s="13"/>
      <c r="C45" s="13"/>
    </row>
    <row r="46" spans="1:3" ht="13" x14ac:dyDescent="0.15">
      <c r="A46" s="10"/>
      <c r="B46" s="13"/>
      <c r="C46" s="13"/>
    </row>
    <row r="47" spans="1:3" ht="13" x14ac:dyDescent="0.15">
      <c r="A47" s="10"/>
      <c r="B47" s="13"/>
      <c r="C47" s="13"/>
    </row>
    <row r="48" spans="1:3" ht="13" x14ac:dyDescent="0.15">
      <c r="A48" s="10"/>
      <c r="B48" s="13"/>
      <c r="C48" s="13"/>
    </row>
    <row r="49" spans="1:3" ht="13" x14ac:dyDescent="0.15">
      <c r="A49" s="10"/>
      <c r="B49" s="13"/>
      <c r="C49" s="13"/>
    </row>
    <row r="50" spans="1:3" ht="13" x14ac:dyDescent="0.15">
      <c r="A50" s="10"/>
      <c r="B50" s="13"/>
      <c r="C50" s="13"/>
    </row>
    <row r="51" spans="1:3" ht="13" x14ac:dyDescent="0.15">
      <c r="A51" s="10"/>
      <c r="B51" s="13"/>
      <c r="C51" s="13"/>
    </row>
    <row r="52" spans="1:3" ht="13" x14ac:dyDescent="0.15">
      <c r="A52" s="10"/>
      <c r="B52" s="13"/>
      <c r="C52" s="13"/>
    </row>
    <row r="53" spans="1:3" ht="13" x14ac:dyDescent="0.15">
      <c r="A53" s="10"/>
      <c r="B53" s="13"/>
      <c r="C53" s="13"/>
    </row>
    <row r="54" spans="1:3" ht="13" x14ac:dyDescent="0.15">
      <c r="A54" s="10"/>
      <c r="B54" s="13"/>
      <c r="C54" s="13"/>
    </row>
    <row r="55" spans="1:3" ht="13" x14ac:dyDescent="0.15">
      <c r="A55" s="10"/>
      <c r="B55" s="13"/>
      <c r="C55" s="13"/>
    </row>
    <row r="56" spans="1:3" ht="13" x14ac:dyDescent="0.15">
      <c r="A56" s="10"/>
      <c r="B56" s="13"/>
      <c r="C56" s="13"/>
    </row>
    <row r="57" spans="1:3" ht="13" x14ac:dyDescent="0.15">
      <c r="A57" s="10"/>
      <c r="B57" s="13"/>
      <c r="C57" s="13"/>
    </row>
    <row r="58" spans="1:3" ht="13" x14ac:dyDescent="0.15">
      <c r="A58" s="10"/>
      <c r="B58" s="13"/>
      <c r="C58" s="13"/>
    </row>
    <row r="59" spans="1:3" ht="13" x14ac:dyDescent="0.15">
      <c r="A59" s="10"/>
      <c r="B59" s="13"/>
      <c r="C59" s="13"/>
    </row>
    <row r="60" spans="1:3" ht="13" x14ac:dyDescent="0.15">
      <c r="A60" s="10"/>
      <c r="B60" s="13"/>
      <c r="C60" s="13"/>
    </row>
    <row r="61" spans="1:3" ht="13" x14ac:dyDescent="0.15">
      <c r="A61" s="10"/>
      <c r="B61" s="13"/>
      <c r="C61" s="13"/>
    </row>
    <row r="62" spans="1:3" ht="13" x14ac:dyDescent="0.15">
      <c r="A62" s="10"/>
      <c r="B62" s="13"/>
      <c r="C62" s="13"/>
    </row>
    <row r="63" spans="1:3" ht="13" x14ac:dyDescent="0.15">
      <c r="A63" s="10"/>
      <c r="B63" s="13"/>
      <c r="C63" s="13"/>
    </row>
    <row r="64" spans="1:3" ht="13" x14ac:dyDescent="0.15">
      <c r="A64" s="10"/>
      <c r="B64" s="13"/>
      <c r="C64" s="13"/>
    </row>
    <row r="65" spans="1:3" ht="13" x14ac:dyDescent="0.15">
      <c r="A65" s="10"/>
      <c r="B65" s="13"/>
      <c r="C65" s="13"/>
    </row>
    <row r="66" spans="1:3" ht="13" x14ac:dyDescent="0.15">
      <c r="A66" s="10"/>
      <c r="B66" s="13"/>
      <c r="C66" s="13"/>
    </row>
    <row r="67" spans="1:3" ht="13" x14ac:dyDescent="0.15">
      <c r="A67" s="10"/>
      <c r="B67" s="13"/>
      <c r="C67" s="13"/>
    </row>
    <row r="68" spans="1:3" ht="13" x14ac:dyDescent="0.15">
      <c r="A68" s="10"/>
      <c r="B68" s="13"/>
      <c r="C68" s="13"/>
    </row>
    <row r="69" spans="1:3" ht="13" x14ac:dyDescent="0.15">
      <c r="A69" s="10"/>
      <c r="B69" s="13"/>
      <c r="C69" s="13"/>
    </row>
    <row r="70" spans="1:3" ht="13" x14ac:dyDescent="0.15">
      <c r="A70" s="10"/>
      <c r="B70" s="13"/>
      <c r="C70" s="13"/>
    </row>
    <row r="71" spans="1:3" ht="13" x14ac:dyDescent="0.15">
      <c r="A71" s="10"/>
      <c r="B71" s="13"/>
      <c r="C71" s="13"/>
    </row>
    <row r="72" spans="1:3" ht="13" x14ac:dyDescent="0.15">
      <c r="A72" s="10"/>
      <c r="B72" s="13"/>
      <c r="C72" s="13"/>
    </row>
    <row r="73" spans="1:3" ht="13" x14ac:dyDescent="0.15">
      <c r="A73" s="10"/>
      <c r="B73" s="13"/>
      <c r="C73" s="13"/>
    </row>
    <row r="74" spans="1:3" ht="13" x14ac:dyDescent="0.15">
      <c r="A74" s="10"/>
      <c r="B74" s="13"/>
      <c r="C74" s="13"/>
    </row>
    <row r="75" spans="1:3" ht="13" x14ac:dyDescent="0.15">
      <c r="A75" s="10"/>
      <c r="B75" s="13"/>
      <c r="C75" s="13"/>
    </row>
    <row r="76" spans="1:3" ht="13" x14ac:dyDescent="0.15">
      <c r="A76" s="10"/>
      <c r="B76" s="13"/>
      <c r="C76" s="13"/>
    </row>
    <row r="77" spans="1:3" ht="13" x14ac:dyDescent="0.15">
      <c r="A77" s="10"/>
      <c r="B77" s="13"/>
      <c r="C77" s="13"/>
    </row>
    <row r="78" spans="1:3" ht="13" x14ac:dyDescent="0.15">
      <c r="A78" s="10"/>
      <c r="B78" s="13"/>
      <c r="C78" s="13"/>
    </row>
    <row r="79" spans="1:3" ht="13" x14ac:dyDescent="0.15">
      <c r="A79" s="10"/>
      <c r="B79" s="13"/>
      <c r="C79" s="13"/>
    </row>
    <row r="80" spans="1:3" ht="13" x14ac:dyDescent="0.15">
      <c r="A80" s="10"/>
      <c r="B80" s="13"/>
      <c r="C80" s="13"/>
    </row>
    <row r="81" spans="1:3" ht="13" x14ac:dyDescent="0.15">
      <c r="A81" s="10"/>
      <c r="B81" s="13"/>
      <c r="C81" s="13"/>
    </row>
    <row r="82" spans="1:3" ht="13" x14ac:dyDescent="0.15">
      <c r="A82" s="10"/>
      <c r="B82" s="13"/>
      <c r="C82" s="13"/>
    </row>
    <row r="83" spans="1:3" ht="13" x14ac:dyDescent="0.15">
      <c r="A83" s="10"/>
      <c r="B83" s="13"/>
      <c r="C83" s="13"/>
    </row>
    <row r="84" spans="1:3" ht="13" x14ac:dyDescent="0.15">
      <c r="A84" s="10"/>
      <c r="B84" s="13"/>
      <c r="C84" s="13"/>
    </row>
    <row r="85" spans="1:3" ht="13" x14ac:dyDescent="0.15">
      <c r="A85" s="10"/>
      <c r="B85" s="13"/>
      <c r="C85" s="13"/>
    </row>
    <row r="86" spans="1:3" ht="13" x14ac:dyDescent="0.15">
      <c r="A86" s="10"/>
      <c r="B86" s="13"/>
      <c r="C86" s="13"/>
    </row>
    <row r="87" spans="1:3" ht="13" x14ac:dyDescent="0.15">
      <c r="A87" s="10"/>
      <c r="B87" s="13"/>
      <c r="C87" s="13"/>
    </row>
    <row r="88" spans="1:3" ht="13" x14ac:dyDescent="0.15">
      <c r="A88" s="10"/>
      <c r="B88" s="13"/>
      <c r="C88" s="13"/>
    </row>
    <row r="89" spans="1:3" ht="13" x14ac:dyDescent="0.15">
      <c r="A89" s="10"/>
      <c r="B89" s="13"/>
      <c r="C89" s="13"/>
    </row>
    <row r="90" spans="1:3" ht="13" x14ac:dyDescent="0.15">
      <c r="A90" s="10"/>
      <c r="B90" s="13"/>
      <c r="C90" s="13"/>
    </row>
    <row r="91" spans="1:3" ht="13" x14ac:dyDescent="0.15">
      <c r="A91" s="10"/>
      <c r="B91" s="13"/>
      <c r="C91" s="13"/>
    </row>
    <row r="92" spans="1:3" ht="13" x14ac:dyDescent="0.15">
      <c r="A92" s="10"/>
      <c r="B92" s="13"/>
      <c r="C92" s="13"/>
    </row>
    <row r="93" spans="1:3" ht="13" x14ac:dyDescent="0.15">
      <c r="A93" s="10"/>
      <c r="B93" s="13"/>
      <c r="C93" s="13"/>
    </row>
    <row r="94" spans="1:3" ht="13" x14ac:dyDescent="0.15">
      <c r="A94" s="10"/>
      <c r="B94" s="13"/>
      <c r="C94" s="13"/>
    </row>
    <row r="95" spans="1:3" ht="13" x14ac:dyDescent="0.15">
      <c r="A95" s="10"/>
      <c r="B95" s="13"/>
      <c r="C95" s="13"/>
    </row>
    <row r="96" spans="1:3" ht="13" x14ac:dyDescent="0.15">
      <c r="A96" s="10"/>
      <c r="B96" s="13"/>
      <c r="C96" s="13"/>
    </row>
    <row r="97" spans="1:3" ht="13" x14ac:dyDescent="0.15">
      <c r="A97" s="10"/>
      <c r="B97" s="13"/>
      <c r="C97" s="13"/>
    </row>
    <row r="98" spans="1:3" ht="13" x14ac:dyDescent="0.15">
      <c r="A98" s="10"/>
      <c r="B98" s="13"/>
      <c r="C98" s="13"/>
    </row>
    <row r="99" spans="1:3" ht="13" x14ac:dyDescent="0.15">
      <c r="A99" s="10"/>
      <c r="B99" s="13"/>
      <c r="C99" s="13"/>
    </row>
    <row r="100" spans="1:3" ht="13" x14ac:dyDescent="0.15">
      <c r="A100" s="10"/>
      <c r="B100" s="13"/>
      <c r="C100" s="13"/>
    </row>
    <row r="101" spans="1:3" ht="13" x14ac:dyDescent="0.15">
      <c r="A101" s="10"/>
      <c r="B101" s="13"/>
      <c r="C101" s="13"/>
    </row>
    <row r="102" spans="1:3" ht="13" x14ac:dyDescent="0.15">
      <c r="A102" s="10"/>
      <c r="B102" s="13"/>
      <c r="C102" s="13"/>
    </row>
    <row r="103" spans="1:3" ht="13" x14ac:dyDescent="0.15">
      <c r="A103" s="10"/>
      <c r="B103" s="13"/>
      <c r="C103" s="13"/>
    </row>
    <row r="104" spans="1:3" ht="13" x14ac:dyDescent="0.15">
      <c r="A104" s="10"/>
      <c r="B104" s="13"/>
      <c r="C104" s="13"/>
    </row>
    <row r="105" spans="1:3" ht="13" x14ac:dyDescent="0.15">
      <c r="A105" s="10"/>
      <c r="B105" s="13"/>
      <c r="C105" s="13"/>
    </row>
    <row r="106" spans="1:3" ht="13" x14ac:dyDescent="0.15">
      <c r="A106" s="10"/>
      <c r="B106" s="13"/>
      <c r="C106" s="13"/>
    </row>
    <row r="107" spans="1:3" ht="13" x14ac:dyDescent="0.15">
      <c r="A107" s="10"/>
      <c r="B107" s="13"/>
      <c r="C107" s="13"/>
    </row>
    <row r="108" spans="1:3" ht="13" x14ac:dyDescent="0.15">
      <c r="A108" s="10"/>
      <c r="B108" s="13"/>
      <c r="C108" s="13"/>
    </row>
    <row r="109" spans="1:3" ht="13" x14ac:dyDescent="0.15">
      <c r="A109" s="10"/>
      <c r="B109" s="13"/>
      <c r="C109" s="13"/>
    </row>
    <row r="110" spans="1:3" ht="13" x14ac:dyDescent="0.15">
      <c r="A110" s="10"/>
      <c r="B110" s="13"/>
      <c r="C110" s="13"/>
    </row>
    <row r="111" spans="1:3" ht="13" x14ac:dyDescent="0.15">
      <c r="A111" s="10"/>
      <c r="B111" s="13"/>
      <c r="C111" s="13"/>
    </row>
    <row r="112" spans="1:3" ht="13" x14ac:dyDescent="0.15">
      <c r="A112" s="10"/>
      <c r="B112" s="13"/>
      <c r="C112" s="13"/>
    </row>
    <row r="113" spans="1:3" ht="13" x14ac:dyDescent="0.15">
      <c r="A113" s="10"/>
      <c r="B113" s="13"/>
      <c r="C113" s="13"/>
    </row>
    <row r="114" spans="1:3" ht="13" x14ac:dyDescent="0.15">
      <c r="A114" s="10"/>
      <c r="B114" s="13"/>
      <c r="C114" s="13"/>
    </row>
    <row r="115" spans="1:3" ht="13" x14ac:dyDescent="0.15">
      <c r="A115" s="10"/>
      <c r="B115" s="13"/>
      <c r="C115" s="13"/>
    </row>
    <row r="116" spans="1:3" ht="13" x14ac:dyDescent="0.15">
      <c r="A116" s="10"/>
      <c r="B116" s="13"/>
      <c r="C116" s="13"/>
    </row>
    <row r="117" spans="1:3" ht="13" x14ac:dyDescent="0.15">
      <c r="A117" s="10"/>
      <c r="B117" s="13"/>
      <c r="C117" s="13"/>
    </row>
    <row r="118" spans="1:3" ht="13" x14ac:dyDescent="0.15">
      <c r="A118" s="10"/>
      <c r="B118" s="13"/>
      <c r="C118" s="13"/>
    </row>
    <row r="119" spans="1:3" ht="13" x14ac:dyDescent="0.15">
      <c r="A119" s="10"/>
      <c r="B119" s="13"/>
      <c r="C119" s="13"/>
    </row>
    <row r="120" spans="1:3" ht="13" x14ac:dyDescent="0.15">
      <c r="A120" s="10"/>
      <c r="B120" s="13"/>
      <c r="C120" s="13"/>
    </row>
    <row r="121" spans="1:3" ht="13" x14ac:dyDescent="0.15">
      <c r="A121" s="10"/>
      <c r="B121" s="13"/>
      <c r="C121" s="13"/>
    </row>
    <row r="122" spans="1:3" ht="13" x14ac:dyDescent="0.15">
      <c r="A122" s="10"/>
      <c r="B122" s="13"/>
      <c r="C122" s="13"/>
    </row>
    <row r="123" spans="1:3" ht="13" x14ac:dyDescent="0.15">
      <c r="A123" s="10"/>
      <c r="B123" s="13"/>
      <c r="C123" s="13"/>
    </row>
    <row r="124" spans="1:3" ht="13" x14ac:dyDescent="0.15">
      <c r="A124" s="10"/>
      <c r="B124" s="13"/>
      <c r="C124" s="13"/>
    </row>
    <row r="125" spans="1:3" ht="13" x14ac:dyDescent="0.15">
      <c r="A125" s="10"/>
      <c r="B125" s="13"/>
      <c r="C125" s="13"/>
    </row>
    <row r="126" spans="1:3" ht="13" x14ac:dyDescent="0.15">
      <c r="A126" s="10"/>
      <c r="B126" s="13"/>
      <c r="C126" s="13"/>
    </row>
    <row r="127" spans="1:3" ht="13" x14ac:dyDescent="0.15">
      <c r="A127" s="10"/>
      <c r="B127" s="13"/>
      <c r="C127" s="13"/>
    </row>
    <row r="128" spans="1:3" ht="13" x14ac:dyDescent="0.15">
      <c r="A128" s="10"/>
      <c r="B128" s="13"/>
      <c r="C128" s="13"/>
    </row>
    <row r="129" spans="1:3" ht="13" x14ac:dyDescent="0.15">
      <c r="A129" s="10"/>
      <c r="B129" s="13"/>
      <c r="C129" s="13"/>
    </row>
    <row r="130" spans="1:3" ht="13" x14ac:dyDescent="0.15">
      <c r="A130" s="10"/>
      <c r="B130" s="13"/>
      <c r="C130" s="13"/>
    </row>
    <row r="131" spans="1:3" ht="13" x14ac:dyDescent="0.15">
      <c r="A131" s="10"/>
      <c r="B131" s="13"/>
      <c r="C131" s="13"/>
    </row>
    <row r="132" spans="1:3" ht="13" x14ac:dyDescent="0.15">
      <c r="A132" s="10"/>
      <c r="B132" s="13"/>
      <c r="C132" s="13"/>
    </row>
    <row r="133" spans="1:3" ht="13" x14ac:dyDescent="0.15">
      <c r="A133" s="10"/>
      <c r="B133" s="13"/>
      <c r="C133" s="13"/>
    </row>
    <row r="134" spans="1:3" ht="13" x14ac:dyDescent="0.15">
      <c r="A134" s="10"/>
      <c r="B134" s="13"/>
      <c r="C134" s="13"/>
    </row>
    <row r="135" spans="1:3" ht="13" x14ac:dyDescent="0.15">
      <c r="A135" s="10"/>
      <c r="B135" s="13"/>
      <c r="C135" s="13"/>
    </row>
    <row r="136" spans="1:3" ht="13" x14ac:dyDescent="0.15">
      <c r="A136" s="10"/>
      <c r="B136" s="13"/>
      <c r="C136" s="13"/>
    </row>
    <row r="137" spans="1:3" ht="13" x14ac:dyDescent="0.15">
      <c r="A137" s="10"/>
      <c r="B137" s="13"/>
      <c r="C137" s="13"/>
    </row>
    <row r="138" spans="1:3" ht="13" x14ac:dyDescent="0.15">
      <c r="A138" s="10"/>
      <c r="B138" s="13"/>
      <c r="C138" s="13"/>
    </row>
    <row r="139" spans="1:3" ht="13" x14ac:dyDescent="0.15">
      <c r="A139" s="10"/>
      <c r="B139" s="13"/>
      <c r="C139" s="13"/>
    </row>
    <row r="140" spans="1:3" ht="13" x14ac:dyDescent="0.15">
      <c r="A140" s="10"/>
      <c r="B140" s="13"/>
      <c r="C140" s="13"/>
    </row>
    <row r="141" spans="1:3" ht="13" x14ac:dyDescent="0.15">
      <c r="A141" s="10"/>
      <c r="B141" s="13"/>
      <c r="C141" s="13"/>
    </row>
    <row r="142" spans="1:3" ht="13" x14ac:dyDescent="0.15">
      <c r="A142" s="10"/>
      <c r="B142" s="13"/>
      <c r="C142" s="13"/>
    </row>
    <row r="143" spans="1:3" ht="13" x14ac:dyDescent="0.15">
      <c r="A143" s="10"/>
      <c r="B143" s="13"/>
      <c r="C143" s="13"/>
    </row>
    <row r="144" spans="1:3" ht="13" x14ac:dyDescent="0.15">
      <c r="A144" s="10"/>
      <c r="B144" s="13"/>
      <c r="C144" s="13"/>
    </row>
    <row r="145" spans="1:3" ht="13" x14ac:dyDescent="0.15">
      <c r="A145" s="10"/>
      <c r="B145" s="13"/>
      <c r="C145" s="13"/>
    </row>
    <row r="146" spans="1:3" ht="13" x14ac:dyDescent="0.15">
      <c r="A146" s="10"/>
      <c r="B146" s="13"/>
      <c r="C146" s="13"/>
    </row>
    <row r="147" spans="1:3" ht="13" x14ac:dyDescent="0.15">
      <c r="A147" s="10"/>
      <c r="B147" s="13"/>
      <c r="C147" s="13"/>
    </row>
    <row r="148" spans="1:3" ht="13" x14ac:dyDescent="0.15">
      <c r="A148" s="10"/>
      <c r="B148" s="13"/>
      <c r="C148" s="13"/>
    </row>
    <row r="149" spans="1:3" ht="13" x14ac:dyDescent="0.15">
      <c r="A149" s="10"/>
      <c r="B149" s="13"/>
      <c r="C149" s="13"/>
    </row>
    <row r="150" spans="1:3" ht="13" x14ac:dyDescent="0.15">
      <c r="A150" s="10"/>
      <c r="B150" s="13"/>
      <c r="C150" s="13"/>
    </row>
    <row r="151" spans="1:3" ht="13" x14ac:dyDescent="0.15">
      <c r="A151" s="10"/>
      <c r="B151" s="13"/>
      <c r="C151" s="13"/>
    </row>
    <row r="152" spans="1:3" ht="13" x14ac:dyDescent="0.15">
      <c r="A152" s="10"/>
      <c r="B152" s="13"/>
      <c r="C152" s="13"/>
    </row>
    <row r="153" spans="1:3" ht="13" x14ac:dyDescent="0.15">
      <c r="A153" s="10"/>
      <c r="B153" s="13"/>
      <c r="C153" s="13"/>
    </row>
    <row r="154" spans="1:3" ht="13" x14ac:dyDescent="0.15">
      <c r="A154" s="10"/>
      <c r="B154" s="13"/>
      <c r="C154" s="13"/>
    </row>
    <row r="155" spans="1:3" ht="13" x14ac:dyDescent="0.15">
      <c r="A155" s="10"/>
      <c r="B155" s="13"/>
      <c r="C155" s="13"/>
    </row>
    <row r="156" spans="1:3" ht="13" x14ac:dyDescent="0.15">
      <c r="A156" s="10"/>
      <c r="B156" s="13"/>
      <c r="C156" s="13"/>
    </row>
    <row r="157" spans="1:3" ht="13" x14ac:dyDescent="0.15">
      <c r="A157" s="10"/>
      <c r="B157" s="13"/>
      <c r="C157" s="13"/>
    </row>
    <row r="158" spans="1:3" ht="13" x14ac:dyDescent="0.15">
      <c r="A158" s="10"/>
      <c r="B158" s="13"/>
      <c r="C158" s="13"/>
    </row>
    <row r="159" spans="1:3" ht="13" x14ac:dyDescent="0.15">
      <c r="A159" s="10"/>
      <c r="B159" s="13"/>
      <c r="C159" s="13"/>
    </row>
    <row r="160" spans="1:3" ht="13" x14ac:dyDescent="0.15">
      <c r="A160" s="10"/>
      <c r="B160" s="13"/>
      <c r="C160" s="13"/>
    </row>
    <row r="161" spans="1:3" ht="13" x14ac:dyDescent="0.15">
      <c r="A161" s="10"/>
      <c r="B161" s="13"/>
      <c r="C161" s="13"/>
    </row>
    <row r="162" spans="1:3" ht="13" x14ac:dyDescent="0.15">
      <c r="A162" s="10"/>
      <c r="B162" s="13"/>
      <c r="C162" s="13"/>
    </row>
    <row r="163" spans="1:3" ht="13" x14ac:dyDescent="0.15">
      <c r="A163" s="10"/>
      <c r="B163" s="13"/>
      <c r="C163" s="13"/>
    </row>
    <row r="164" spans="1:3" ht="13" x14ac:dyDescent="0.15">
      <c r="A164" s="10"/>
      <c r="B164" s="13"/>
      <c r="C164" s="13"/>
    </row>
    <row r="165" spans="1:3" ht="13" x14ac:dyDescent="0.15">
      <c r="A165" s="10"/>
      <c r="B165" s="13"/>
      <c r="C165" s="13"/>
    </row>
    <row r="166" spans="1:3" ht="13" x14ac:dyDescent="0.15">
      <c r="A166" s="10"/>
      <c r="B166" s="13"/>
      <c r="C166" s="13"/>
    </row>
    <row r="167" spans="1:3" ht="13" x14ac:dyDescent="0.15">
      <c r="A167" s="10"/>
      <c r="B167" s="13"/>
      <c r="C167" s="13"/>
    </row>
    <row r="168" spans="1:3" ht="13" x14ac:dyDescent="0.15">
      <c r="A168" s="10"/>
      <c r="B168" s="13"/>
      <c r="C168" s="13"/>
    </row>
    <row r="169" spans="1:3" ht="13" x14ac:dyDescent="0.15">
      <c r="A169" s="10"/>
      <c r="B169" s="13"/>
      <c r="C169" s="13"/>
    </row>
    <row r="170" spans="1:3" ht="13" x14ac:dyDescent="0.15">
      <c r="A170" s="10"/>
      <c r="B170" s="13"/>
      <c r="C170" s="13"/>
    </row>
    <row r="171" spans="1:3" ht="13" x14ac:dyDescent="0.15">
      <c r="A171" s="10"/>
      <c r="B171" s="13"/>
      <c r="C171" s="13"/>
    </row>
    <row r="172" spans="1:3" ht="13" x14ac:dyDescent="0.15">
      <c r="A172" s="10"/>
      <c r="B172" s="13"/>
      <c r="C172" s="13"/>
    </row>
    <row r="173" spans="1:3" ht="13" x14ac:dyDescent="0.15">
      <c r="A173" s="10"/>
      <c r="B173" s="13"/>
      <c r="C173" s="13"/>
    </row>
    <row r="174" spans="1:3" ht="13" x14ac:dyDescent="0.15">
      <c r="A174" s="10"/>
      <c r="B174" s="13"/>
      <c r="C174" s="13"/>
    </row>
    <row r="175" spans="1:3" ht="13" x14ac:dyDescent="0.15">
      <c r="A175" s="10"/>
      <c r="B175" s="13"/>
      <c r="C175" s="13"/>
    </row>
    <row r="176" spans="1:3" ht="13" x14ac:dyDescent="0.15">
      <c r="A176" s="10"/>
      <c r="B176" s="13"/>
      <c r="C176" s="13"/>
    </row>
    <row r="177" spans="1:3" ht="13" x14ac:dyDescent="0.15">
      <c r="A177" s="10"/>
      <c r="B177" s="13"/>
      <c r="C177" s="13"/>
    </row>
    <row r="178" spans="1:3" ht="13" x14ac:dyDescent="0.15">
      <c r="A178" s="10"/>
      <c r="B178" s="13"/>
      <c r="C178" s="13"/>
    </row>
    <row r="179" spans="1:3" ht="13" x14ac:dyDescent="0.15">
      <c r="A179" s="10"/>
      <c r="B179" s="13"/>
      <c r="C179" s="13"/>
    </row>
    <row r="180" spans="1:3" ht="13" x14ac:dyDescent="0.15">
      <c r="A180" s="10"/>
      <c r="B180" s="13"/>
      <c r="C180" s="13"/>
    </row>
    <row r="181" spans="1:3" ht="13" x14ac:dyDescent="0.15">
      <c r="A181" s="10"/>
      <c r="B181" s="13"/>
      <c r="C181" s="13"/>
    </row>
    <row r="182" spans="1:3" ht="13" x14ac:dyDescent="0.15">
      <c r="A182" s="10"/>
      <c r="B182" s="13"/>
      <c r="C182" s="13"/>
    </row>
    <row r="183" spans="1:3" ht="13" x14ac:dyDescent="0.15">
      <c r="A183" s="10"/>
      <c r="B183" s="13"/>
      <c r="C183" s="13"/>
    </row>
    <row r="184" spans="1:3" ht="13" x14ac:dyDescent="0.15">
      <c r="A184" s="10"/>
      <c r="B184" s="13"/>
      <c r="C184" s="13"/>
    </row>
    <row r="185" spans="1:3" ht="13" x14ac:dyDescent="0.15">
      <c r="A185" s="10"/>
      <c r="B185" s="13"/>
      <c r="C185" s="13"/>
    </row>
    <row r="186" spans="1:3" ht="13" x14ac:dyDescent="0.15">
      <c r="A186" s="10"/>
      <c r="B186" s="13"/>
      <c r="C186" s="13"/>
    </row>
    <row r="187" spans="1:3" ht="13" x14ac:dyDescent="0.15">
      <c r="A187" s="10"/>
      <c r="B187" s="13"/>
      <c r="C187" s="13"/>
    </row>
    <row r="188" spans="1:3" ht="13" x14ac:dyDescent="0.15">
      <c r="A188" s="10"/>
      <c r="B188" s="13"/>
      <c r="C188" s="13"/>
    </row>
    <row r="189" spans="1:3" ht="13" x14ac:dyDescent="0.15">
      <c r="A189" s="10"/>
      <c r="B189" s="13"/>
      <c r="C189" s="13"/>
    </row>
    <row r="190" spans="1:3" ht="13" x14ac:dyDescent="0.15">
      <c r="A190" s="10"/>
      <c r="B190" s="13"/>
      <c r="C190" s="13"/>
    </row>
    <row r="191" spans="1:3" ht="13" x14ac:dyDescent="0.15">
      <c r="A191" s="10"/>
      <c r="B191" s="13"/>
      <c r="C191" s="13"/>
    </row>
    <row r="192" spans="1:3" ht="13" x14ac:dyDescent="0.15">
      <c r="A192" s="10"/>
      <c r="B192" s="13"/>
      <c r="C192" s="13"/>
    </row>
    <row r="193" spans="1:3" ht="13" x14ac:dyDescent="0.15">
      <c r="A193" s="10"/>
      <c r="B193" s="13"/>
      <c r="C193" s="13"/>
    </row>
    <row r="194" spans="1:3" ht="13" x14ac:dyDescent="0.15">
      <c r="A194" s="10"/>
      <c r="B194" s="13"/>
      <c r="C194" s="13"/>
    </row>
    <row r="195" spans="1:3" ht="13" x14ac:dyDescent="0.15">
      <c r="A195" s="10"/>
      <c r="B195" s="13"/>
      <c r="C195" s="13"/>
    </row>
    <row r="196" spans="1:3" ht="13" x14ac:dyDescent="0.15">
      <c r="A196" s="10"/>
      <c r="B196" s="13"/>
      <c r="C196" s="13"/>
    </row>
    <row r="197" spans="1:3" ht="13" x14ac:dyDescent="0.15">
      <c r="A197" s="10"/>
      <c r="B197" s="13"/>
      <c r="C197" s="13"/>
    </row>
    <row r="198" spans="1:3" ht="13" x14ac:dyDescent="0.15">
      <c r="A198" s="10"/>
      <c r="B198" s="13"/>
      <c r="C198" s="13"/>
    </row>
    <row r="199" spans="1:3" ht="13" x14ac:dyDescent="0.15">
      <c r="A199" s="10"/>
      <c r="B199" s="13"/>
      <c r="C199" s="13"/>
    </row>
    <row r="200" spans="1:3" ht="13" x14ac:dyDescent="0.15">
      <c r="A200" s="10"/>
      <c r="B200" s="13"/>
      <c r="C200" s="13"/>
    </row>
    <row r="201" spans="1:3" ht="13" x14ac:dyDescent="0.15">
      <c r="A201" s="10"/>
      <c r="B201" s="13"/>
      <c r="C201" s="13"/>
    </row>
    <row r="202" spans="1:3" ht="13" x14ac:dyDescent="0.15">
      <c r="A202" s="10"/>
      <c r="B202" s="13"/>
      <c r="C202" s="13"/>
    </row>
    <row r="203" spans="1:3" ht="13" x14ac:dyDescent="0.15">
      <c r="A203" s="10"/>
      <c r="B203" s="13"/>
      <c r="C203" s="13"/>
    </row>
    <row r="204" spans="1:3" ht="13" x14ac:dyDescent="0.15">
      <c r="A204" s="10"/>
      <c r="B204" s="13"/>
      <c r="C204" s="13"/>
    </row>
    <row r="205" spans="1:3" ht="13" x14ac:dyDescent="0.15">
      <c r="A205" s="10"/>
      <c r="B205" s="13"/>
      <c r="C205" s="13"/>
    </row>
    <row r="206" spans="1:3" ht="13" x14ac:dyDescent="0.15">
      <c r="A206" s="10"/>
      <c r="B206" s="13"/>
      <c r="C206" s="13"/>
    </row>
    <row r="207" spans="1:3" ht="13" x14ac:dyDescent="0.15">
      <c r="A207" s="10"/>
      <c r="B207" s="13"/>
      <c r="C207" s="13"/>
    </row>
    <row r="208" spans="1:3" ht="13" x14ac:dyDescent="0.15">
      <c r="A208" s="10"/>
      <c r="B208" s="13"/>
      <c r="C208" s="13"/>
    </row>
    <row r="209" spans="1:3" ht="13" x14ac:dyDescent="0.15">
      <c r="A209" s="10"/>
      <c r="B209" s="13"/>
      <c r="C209" s="13"/>
    </row>
    <row r="210" spans="1:3" ht="13" x14ac:dyDescent="0.15">
      <c r="A210" s="10"/>
      <c r="B210" s="13"/>
      <c r="C210" s="13"/>
    </row>
    <row r="211" spans="1:3" ht="13" x14ac:dyDescent="0.15">
      <c r="A211" s="10"/>
      <c r="B211" s="13"/>
      <c r="C211" s="13"/>
    </row>
    <row r="212" spans="1:3" ht="13" x14ac:dyDescent="0.15">
      <c r="A212" s="10"/>
      <c r="B212" s="13"/>
      <c r="C212" s="13"/>
    </row>
    <row r="213" spans="1:3" ht="13" x14ac:dyDescent="0.15">
      <c r="A213" s="10"/>
      <c r="B213" s="13"/>
      <c r="C213" s="13"/>
    </row>
    <row r="214" spans="1:3" ht="13" x14ac:dyDescent="0.15">
      <c r="A214" s="10"/>
      <c r="B214" s="13"/>
      <c r="C214" s="13"/>
    </row>
    <row r="215" spans="1:3" ht="13" x14ac:dyDescent="0.15">
      <c r="A215" s="10"/>
      <c r="B215" s="13"/>
      <c r="C215" s="13"/>
    </row>
    <row r="216" spans="1:3" ht="13" x14ac:dyDescent="0.15">
      <c r="A216" s="10"/>
      <c r="B216" s="13"/>
      <c r="C216" s="13"/>
    </row>
    <row r="217" spans="1:3" ht="13" x14ac:dyDescent="0.15">
      <c r="A217" s="10"/>
      <c r="B217" s="13"/>
      <c r="C217" s="13"/>
    </row>
    <row r="218" spans="1:3" ht="13" x14ac:dyDescent="0.15">
      <c r="A218" s="10"/>
      <c r="B218" s="13"/>
      <c r="C218" s="13"/>
    </row>
    <row r="219" spans="1:3" ht="13" x14ac:dyDescent="0.15">
      <c r="A219" s="10"/>
      <c r="B219" s="13"/>
      <c r="C219" s="13"/>
    </row>
    <row r="220" spans="1:3" ht="13" x14ac:dyDescent="0.15">
      <c r="A220" s="10"/>
      <c r="B220" s="13"/>
      <c r="C220" s="13"/>
    </row>
    <row r="221" spans="1:3" ht="13" x14ac:dyDescent="0.15">
      <c r="A221" s="10"/>
      <c r="B221" s="13"/>
      <c r="C221" s="13"/>
    </row>
    <row r="222" spans="1:3" ht="13" x14ac:dyDescent="0.15">
      <c r="A222" s="10"/>
      <c r="B222" s="13"/>
      <c r="C222" s="13"/>
    </row>
    <row r="223" spans="1:3" ht="13" x14ac:dyDescent="0.15">
      <c r="A223" s="10"/>
      <c r="B223" s="13"/>
      <c r="C223" s="13"/>
    </row>
    <row r="224" spans="1:3" ht="13" x14ac:dyDescent="0.15">
      <c r="A224" s="10"/>
      <c r="B224" s="13"/>
      <c r="C224" s="13"/>
    </row>
    <row r="225" spans="1:3" ht="13" x14ac:dyDescent="0.15">
      <c r="A225" s="10"/>
      <c r="B225" s="13"/>
      <c r="C225" s="13"/>
    </row>
    <row r="226" spans="1:3" ht="13" x14ac:dyDescent="0.15">
      <c r="A226" s="10"/>
      <c r="B226" s="13"/>
      <c r="C226" s="13"/>
    </row>
    <row r="227" spans="1:3" ht="13" x14ac:dyDescent="0.15">
      <c r="A227" s="10"/>
      <c r="B227" s="13"/>
      <c r="C227" s="13"/>
    </row>
    <row r="228" spans="1:3" ht="13" x14ac:dyDescent="0.15">
      <c r="A228" s="10"/>
      <c r="B228" s="13"/>
      <c r="C228" s="13"/>
    </row>
    <row r="229" spans="1:3" ht="13" x14ac:dyDescent="0.15">
      <c r="A229" s="10"/>
      <c r="B229" s="13"/>
      <c r="C229" s="13"/>
    </row>
    <row r="230" spans="1:3" ht="13" x14ac:dyDescent="0.15">
      <c r="A230" s="10"/>
      <c r="B230" s="13"/>
      <c r="C230" s="13"/>
    </row>
    <row r="231" spans="1:3" ht="13" x14ac:dyDescent="0.15">
      <c r="A231" s="10"/>
      <c r="B231" s="13"/>
      <c r="C231" s="13"/>
    </row>
    <row r="232" spans="1:3" ht="13" x14ac:dyDescent="0.15">
      <c r="A232" s="10"/>
      <c r="B232" s="13"/>
      <c r="C232" s="13"/>
    </row>
    <row r="233" spans="1:3" ht="13" x14ac:dyDescent="0.15">
      <c r="A233" s="10"/>
      <c r="B233" s="13"/>
      <c r="C233" s="13"/>
    </row>
    <row r="234" spans="1:3" ht="13" x14ac:dyDescent="0.15">
      <c r="A234" s="10"/>
      <c r="B234" s="13"/>
      <c r="C234" s="13"/>
    </row>
    <row r="235" spans="1:3" ht="13" x14ac:dyDescent="0.15">
      <c r="A235" s="10"/>
      <c r="B235" s="13"/>
      <c r="C235" s="13"/>
    </row>
    <row r="236" spans="1:3" ht="13" x14ac:dyDescent="0.15">
      <c r="A236" s="10"/>
      <c r="B236" s="13"/>
      <c r="C236" s="13"/>
    </row>
    <row r="237" spans="1:3" ht="13" x14ac:dyDescent="0.15">
      <c r="A237" s="10"/>
      <c r="B237" s="13"/>
      <c r="C237" s="13"/>
    </row>
    <row r="238" spans="1:3" ht="13" x14ac:dyDescent="0.15">
      <c r="A238" s="10"/>
      <c r="B238" s="13"/>
      <c r="C238" s="13"/>
    </row>
    <row r="239" spans="1:3" ht="13" x14ac:dyDescent="0.15">
      <c r="A239" s="10"/>
      <c r="B239" s="13"/>
      <c r="C239" s="13"/>
    </row>
    <row r="240" spans="1:3" ht="13" x14ac:dyDescent="0.15">
      <c r="A240" s="10"/>
      <c r="B240" s="13"/>
      <c r="C240" s="13"/>
    </row>
    <row r="241" spans="1:3" ht="13" x14ac:dyDescent="0.15">
      <c r="A241" s="10"/>
      <c r="B241" s="13"/>
      <c r="C241" s="13"/>
    </row>
    <row r="242" spans="1:3" ht="13" x14ac:dyDescent="0.15">
      <c r="A242" s="10"/>
      <c r="B242" s="13"/>
      <c r="C242" s="13"/>
    </row>
    <row r="243" spans="1:3" ht="13" x14ac:dyDescent="0.15">
      <c r="A243" s="10"/>
      <c r="B243" s="13"/>
      <c r="C243" s="13"/>
    </row>
    <row r="244" spans="1:3" ht="13" x14ac:dyDescent="0.15">
      <c r="A244" s="10"/>
      <c r="B244" s="13"/>
      <c r="C244" s="13"/>
    </row>
    <row r="245" spans="1:3" ht="13" x14ac:dyDescent="0.15">
      <c r="A245" s="10"/>
      <c r="B245" s="13"/>
      <c r="C245" s="13"/>
    </row>
    <row r="246" spans="1:3" ht="13" x14ac:dyDescent="0.15">
      <c r="A246" s="10"/>
      <c r="B246" s="13"/>
      <c r="C246" s="13"/>
    </row>
    <row r="247" spans="1:3" ht="13" x14ac:dyDescent="0.15">
      <c r="A247" s="10"/>
      <c r="B247" s="13"/>
      <c r="C247" s="13"/>
    </row>
    <row r="248" spans="1:3" ht="13" x14ac:dyDescent="0.15">
      <c r="A248" s="10"/>
      <c r="B248" s="13"/>
      <c r="C248" s="13"/>
    </row>
    <row r="249" spans="1:3" ht="13" x14ac:dyDescent="0.15">
      <c r="A249" s="10"/>
      <c r="B249" s="13"/>
      <c r="C249" s="13"/>
    </row>
    <row r="250" spans="1:3" ht="13" x14ac:dyDescent="0.15">
      <c r="A250" s="10"/>
      <c r="B250" s="13"/>
      <c r="C250" s="13"/>
    </row>
    <row r="251" spans="1:3" ht="13" x14ac:dyDescent="0.15">
      <c r="A251" s="10"/>
      <c r="B251" s="13"/>
      <c r="C251" s="13"/>
    </row>
    <row r="252" spans="1:3" ht="13" x14ac:dyDescent="0.15">
      <c r="A252" s="10"/>
      <c r="B252" s="13"/>
      <c r="C252" s="13"/>
    </row>
    <row r="253" spans="1:3" ht="13" x14ac:dyDescent="0.15">
      <c r="A253" s="10"/>
      <c r="B253" s="13"/>
      <c r="C253" s="13"/>
    </row>
    <row r="254" spans="1:3" ht="13" x14ac:dyDescent="0.15">
      <c r="A254" s="10"/>
      <c r="B254" s="13"/>
      <c r="C254" s="13"/>
    </row>
    <row r="255" spans="1:3" ht="13" x14ac:dyDescent="0.15">
      <c r="A255" s="10"/>
      <c r="B255" s="13"/>
      <c r="C255" s="13"/>
    </row>
    <row r="256" spans="1:3" ht="13" x14ac:dyDescent="0.15">
      <c r="A256" s="10"/>
      <c r="B256" s="13"/>
      <c r="C256" s="13"/>
    </row>
    <row r="257" spans="1:3" ht="13" x14ac:dyDescent="0.15">
      <c r="A257" s="10"/>
      <c r="B257" s="13"/>
      <c r="C257" s="13"/>
    </row>
    <row r="258" spans="1:3" ht="13" x14ac:dyDescent="0.15">
      <c r="A258" s="10"/>
      <c r="B258" s="13"/>
      <c r="C258" s="13"/>
    </row>
    <row r="259" spans="1:3" ht="13" x14ac:dyDescent="0.15">
      <c r="A259" s="10"/>
      <c r="B259" s="13"/>
      <c r="C259" s="13"/>
    </row>
    <row r="260" spans="1:3" ht="13" x14ac:dyDescent="0.15">
      <c r="A260" s="10"/>
      <c r="B260" s="13"/>
      <c r="C260" s="13"/>
    </row>
    <row r="261" spans="1:3" ht="13" x14ac:dyDescent="0.15">
      <c r="A261" s="10"/>
      <c r="B261" s="13"/>
      <c r="C261" s="13"/>
    </row>
    <row r="262" spans="1:3" ht="13" x14ac:dyDescent="0.15">
      <c r="A262" s="10"/>
      <c r="B262" s="13"/>
      <c r="C262" s="13"/>
    </row>
    <row r="263" spans="1:3" ht="13" x14ac:dyDescent="0.15">
      <c r="A263" s="10"/>
      <c r="B263" s="13"/>
      <c r="C263" s="13"/>
    </row>
    <row r="264" spans="1:3" ht="13" x14ac:dyDescent="0.15">
      <c r="A264" s="10"/>
      <c r="B264" s="13"/>
      <c r="C264" s="13"/>
    </row>
    <row r="265" spans="1:3" ht="13" x14ac:dyDescent="0.15">
      <c r="A265" s="10"/>
      <c r="B265" s="13"/>
      <c r="C265" s="13"/>
    </row>
    <row r="266" spans="1:3" ht="13" x14ac:dyDescent="0.15">
      <c r="A266" s="10"/>
      <c r="B266" s="13"/>
      <c r="C266" s="13"/>
    </row>
    <row r="267" spans="1:3" ht="13" x14ac:dyDescent="0.15">
      <c r="A267" s="10"/>
      <c r="B267" s="13"/>
      <c r="C267" s="13"/>
    </row>
    <row r="268" spans="1:3" ht="13" x14ac:dyDescent="0.15">
      <c r="A268" s="10"/>
      <c r="B268" s="13"/>
      <c r="C268" s="13"/>
    </row>
    <row r="269" spans="1:3" ht="13" x14ac:dyDescent="0.15">
      <c r="A269" s="10"/>
      <c r="B269" s="13"/>
      <c r="C269" s="13"/>
    </row>
    <row r="270" spans="1:3" ht="13" x14ac:dyDescent="0.15">
      <c r="A270" s="10"/>
      <c r="B270" s="13"/>
      <c r="C270" s="13"/>
    </row>
    <row r="271" spans="1:3" ht="13" x14ac:dyDescent="0.15">
      <c r="A271" s="10"/>
      <c r="B271" s="13"/>
      <c r="C271" s="13"/>
    </row>
    <row r="272" spans="1:3" ht="13" x14ac:dyDescent="0.15">
      <c r="A272" s="10"/>
      <c r="B272" s="13"/>
      <c r="C272" s="13"/>
    </row>
    <row r="273" spans="1:3" ht="13" x14ac:dyDescent="0.15">
      <c r="A273" s="10"/>
      <c r="B273" s="13"/>
      <c r="C273" s="13"/>
    </row>
    <row r="274" spans="1:3" ht="13" x14ac:dyDescent="0.15">
      <c r="A274" s="10"/>
      <c r="B274" s="13"/>
      <c r="C274" s="13"/>
    </row>
    <row r="275" spans="1:3" ht="13" x14ac:dyDescent="0.15">
      <c r="A275" s="10"/>
      <c r="B275" s="13"/>
      <c r="C275" s="13"/>
    </row>
    <row r="276" spans="1:3" ht="13" x14ac:dyDescent="0.15">
      <c r="A276" s="10"/>
      <c r="B276" s="13"/>
      <c r="C276" s="13"/>
    </row>
    <row r="277" spans="1:3" ht="13" x14ac:dyDescent="0.15">
      <c r="A277" s="10"/>
      <c r="B277" s="13"/>
      <c r="C277" s="13"/>
    </row>
    <row r="278" spans="1:3" ht="13" x14ac:dyDescent="0.15">
      <c r="A278" s="10"/>
      <c r="B278" s="13"/>
      <c r="C278" s="13"/>
    </row>
    <row r="279" spans="1:3" ht="13" x14ac:dyDescent="0.15">
      <c r="A279" s="10"/>
      <c r="B279" s="13"/>
      <c r="C279" s="13"/>
    </row>
    <row r="280" spans="1:3" ht="13" x14ac:dyDescent="0.15">
      <c r="A280" s="10"/>
      <c r="B280" s="13"/>
      <c r="C280" s="13"/>
    </row>
    <row r="281" spans="1:3" ht="13" x14ac:dyDescent="0.15">
      <c r="A281" s="10"/>
      <c r="B281" s="13"/>
      <c r="C281" s="13"/>
    </row>
    <row r="282" spans="1:3" ht="13" x14ac:dyDescent="0.15">
      <c r="A282" s="10"/>
      <c r="B282" s="13"/>
      <c r="C282" s="13"/>
    </row>
    <row r="283" spans="1:3" ht="13" x14ac:dyDescent="0.15">
      <c r="A283" s="10"/>
      <c r="B283" s="13"/>
      <c r="C283" s="13"/>
    </row>
    <row r="284" spans="1:3" ht="13" x14ac:dyDescent="0.15">
      <c r="A284" s="10"/>
      <c r="B284" s="13"/>
      <c r="C284" s="13"/>
    </row>
    <row r="285" spans="1:3" ht="13" x14ac:dyDescent="0.15">
      <c r="A285" s="10"/>
      <c r="B285" s="13"/>
      <c r="C285" s="13"/>
    </row>
    <row r="286" spans="1:3" ht="13" x14ac:dyDescent="0.15">
      <c r="A286" s="10"/>
      <c r="B286" s="13"/>
      <c r="C286" s="13"/>
    </row>
    <row r="287" spans="1:3" ht="13" x14ac:dyDescent="0.15">
      <c r="A287" s="10"/>
      <c r="B287" s="13"/>
      <c r="C287" s="13"/>
    </row>
    <row r="288" spans="1:3" ht="13" x14ac:dyDescent="0.15">
      <c r="A288" s="10"/>
      <c r="B288" s="13"/>
      <c r="C288" s="13"/>
    </row>
    <row r="289" spans="1:3" ht="13" x14ac:dyDescent="0.15">
      <c r="A289" s="10"/>
      <c r="B289" s="13"/>
      <c r="C289" s="13"/>
    </row>
    <row r="290" spans="1:3" ht="13" x14ac:dyDescent="0.15">
      <c r="A290" s="10"/>
      <c r="B290" s="13"/>
      <c r="C290" s="13"/>
    </row>
    <row r="291" spans="1:3" ht="13" x14ac:dyDescent="0.15">
      <c r="A291" s="10"/>
      <c r="B291" s="13"/>
      <c r="C291" s="13"/>
    </row>
    <row r="292" spans="1:3" ht="13" x14ac:dyDescent="0.15">
      <c r="A292" s="10"/>
      <c r="B292" s="13"/>
      <c r="C292" s="13"/>
    </row>
    <row r="293" spans="1:3" ht="13" x14ac:dyDescent="0.15">
      <c r="A293" s="10"/>
      <c r="B293" s="13"/>
      <c r="C293" s="13"/>
    </row>
    <row r="294" spans="1:3" ht="13" x14ac:dyDescent="0.15">
      <c r="A294" s="10"/>
      <c r="B294" s="13"/>
      <c r="C294" s="13"/>
    </row>
    <row r="295" spans="1:3" ht="13" x14ac:dyDescent="0.15">
      <c r="A295" s="10"/>
      <c r="B295" s="13"/>
      <c r="C295" s="13"/>
    </row>
    <row r="296" spans="1:3" ht="13" x14ac:dyDescent="0.15">
      <c r="A296" s="10"/>
      <c r="B296" s="13"/>
      <c r="C296" s="13"/>
    </row>
    <row r="297" spans="1:3" ht="13" x14ac:dyDescent="0.15">
      <c r="A297" s="10"/>
      <c r="B297" s="13"/>
      <c r="C297" s="13"/>
    </row>
    <row r="298" spans="1:3" ht="13" x14ac:dyDescent="0.15">
      <c r="A298" s="10"/>
      <c r="B298" s="13"/>
      <c r="C298" s="13"/>
    </row>
    <row r="299" spans="1:3" ht="13" x14ac:dyDescent="0.15">
      <c r="A299" s="10"/>
      <c r="B299" s="13"/>
      <c r="C299" s="13"/>
    </row>
    <row r="300" spans="1:3" ht="13" x14ac:dyDescent="0.15">
      <c r="A300" s="10"/>
      <c r="B300" s="13"/>
      <c r="C300" s="13"/>
    </row>
    <row r="301" spans="1:3" ht="13" x14ac:dyDescent="0.15">
      <c r="A301" s="10"/>
      <c r="B301" s="13"/>
      <c r="C301" s="13"/>
    </row>
    <row r="302" spans="1:3" ht="13" x14ac:dyDescent="0.15">
      <c r="A302" s="10"/>
      <c r="B302" s="13"/>
      <c r="C302" s="13"/>
    </row>
    <row r="303" spans="1:3" ht="13" x14ac:dyDescent="0.15">
      <c r="A303" s="10"/>
      <c r="B303" s="13"/>
      <c r="C303" s="13"/>
    </row>
    <row r="304" spans="1:3" ht="13" x14ac:dyDescent="0.15">
      <c r="A304" s="10"/>
      <c r="B304" s="13"/>
      <c r="C304" s="13"/>
    </row>
    <row r="305" spans="1:3" ht="13" x14ac:dyDescent="0.15">
      <c r="A305" s="10"/>
      <c r="B305" s="13"/>
      <c r="C305" s="13"/>
    </row>
    <row r="306" spans="1:3" ht="13" x14ac:dyDescent="0.15">
      <c r="A306" s="10"/>
      <c r="B306" s="13"/>
      <c r="C306" s="13"/>
    </row>
    <row r="307" spans="1:3" ht="13" x14ac:dyDescent="0.15">
      <c r="A307" s="10"/>
      <c r="B307" s="13"/>
      <c r="C307" s="13"/>
    </row>
    <row r="308" spans="1:3" ht="13" x14ac:dyDescent="0.15">
      <c r="A308" s="10"/>
      <c r="B308" s="13"/>
      <c r="C308" s="13"/>
    </row>
    <row r="309" spans="1:3" ht="13" x14ac:dyDescent="0.15">
      <c r="A309" s="10"/>
      <c r="B309" s="13"/>
      <c r="C309" s="13"/>
    </row>
    <row r="310" spans="1:3" ht="13" x14ac:dyDescent="0.15">
      <c r="A310" s="10"/>
      <c r="B310" s="13"/>
      <c r="C310" s="13"/>
    </row>
    <row r="311" spans="1:3" ht="13" x14ac:dyDescent="0.15">
      <c r="A311" s="10"/>
      <c r="B311" s="13"/>
      <c r="C311" s="13"/>
    </row>
    <row r="312" spans="1:3" ht="13" x14ac:dyDescent="0.15">
      <c r="A312" s="10"/>
      <c r="B312" s="13"/>
      <c r="C312" s="13"/>
    </row>
    <row r="313" spans="1:3" ht="13" x14ac:dyDescent="0.15">
      <c r="A313" s="10"/>
      <c r="B313" s="13"/>
      <c r="C313" s="13"/>
    </row>
    <row r="314" spans="1:3" ht="13" x14ac:dyDescent="0.15">
      <c r="A314" s="10"/>
      <c r="B314" s="13"/>
      <c r="C314" s="13"/>
    </row>
    <row r="315" spans="1:3" ht="13" x14ac:dyDescent="0.15">
      <c r="A315" s="10"/>
      <c r="B315" s="13"/>
      <c r="C315" s="13"/>
    </row>
    <row r="316" spans="1:3" ht="13" x14ac:dyDescent="0.15">
      <c r="A316" s="10"/>
      <c r="B316" s="13"/>
      <c r="C316" s="13"/>
    </row>
    <row r="317" spans="1:3" ht="13" x14ac:dyDescent="0.15">
      <c r="A317" s="10"/>
      <c r="B317" s="13"/>
      <c r="C317" s="13"/>
    </row>
    <row r="318" spans="1:3" ht="13" x14ac:dyDescent="0.15">
      <c r="A318" s="10"/>
      <c r="B318" s="13"/>
      <c r="C318" s="13"/>
    </row>
    <row r="319" spans="1:3" ht="13" x14ac:dyDescent="0.15">
      <c r="A319" s="10"/>
      <c r="B319" s="13"/>
      <c r="C319" s="13"/>
    </row>
    <row r="320" spans="1:3" ht="13" x14ac:dyDescent="0.15">
      <c r="A320" s="10"/>
      <c r="B320" s="13"/>
      <c r="C320" s="13"/>
    </row>
    <row r="321" spans="1:3" ht="13" x14ac:dyDescent="0.15">
      <c r="A321" s="10"/>
      <c r="B321" s="13"/>
      <c r="C321" s="13"/>
    </row>
    <row r="322" spans="1:3" ht="13" x14ac:dyDescent="0.15">
      <c r="A322" s="10"/>
      <c r="B322" s="13"/>
      <c r="C322" s="13"/>
    </row>
    <row r="323" spans="1:3" ht="13" x14ac:dyDescent="0.15">
      <c r="A323" s="10"/>
      <c r="B323" s="13"/>
      <c r="C323" s="13"/>
    </row>
    <row r="324" spans="1:3" ht="13" x14ac:dyDescent="0.15">
      <c r="A324" s="10"/>
      <c r="B324" s="13"/>
      <c r="C324" s="13"/>
    </row>
    <row r="325" spans="1:3" ht="13" x14ac:dyDescent="0.15">
      <c r="A325" s="10"/>
      <c r="B325" s="13"/>
      <c r="C325" s="13"/>
    </row>
    <row r="326" spans="1:3" ht="13" x14ac:dyDescent="0.15">
      <c r="A326" s="10"/>
      <c r="B326" s="13"/>
      <c r="C326" s="13"/>
    </row>
    <row r="327" spans="1:3" ht="13" x14ac:dyDescent="0.15">
      <c r="A327" s="10"/>
      <c r="B327" s="13"/>
      <c r="C327" s="13"/>
    </row>
    <row r="328" spans="1:3" ht="13" x14ac:dyDescent="0.15">
      <c r="A328" s="10"/>
      <c r="B328" s="13"/>
      <c r="C328" s="13"/>
    </row>
    <row r="329" spans="1:3" ht="13" x14ac:dyDescent="0.15">
      <c r="A329" s="10"/>
      <c r="B329" s="13"/>
      <c r="C329" s="13"/>
    </row>
    <row r="330" spans="1:3" ht="13" x14ac:dyDescent="0.15">
      <c r="A330" s="10"/>
      <c r="B330" s="13"/>
      <c r="C330" s="13"/>
    </row>
    <row r="331" spans="1:3" ht="13" x14ac:dyDescent="0.15">
      <c r="A331" s="10"/>
      <c r="B331" s="13"/>
      <c r="C331" s="13"/>
    </row>
    <row r="332" spans="1:3" ht="13" x14ac:dyDescent="0.15">
      <c r="A332" s="10"/>
      <c r="B332" s="13"/>
      <c r="C332" s="13"/>
    </row>
    <row r="333" spans="1:3" ht="13" x14ac:dyDescent="0.15">
      <c r="A333" s="10"/>
      <c r="B333" s="13"/>
      <c r="C333" s="13"/>
    </row>
    <row r="334" spans="1:3" ht="13" x14ac:dyDescent="0.15">
      <c r="A334" s="10"/>
      <c r="B334" s="13"/>
      <c r="C334" s="13"/>
    </row>
    <row r="335" spans="1:3" ht="13" x14ac:dyDescent="0.15">
      <c r="A335" s="10"/>
      <c r="B335" s="13"/>
      <c r="C335" s="13"/>
    </row>
    <row r="336" spans="1:3" ht="13" x14ac:dyDescent="0.15">
      <c r="A336" s="10"/>
      <c r="B336" s="13"/>
      <c r="C336" s="13"/>
    </row>
    <row r="337" spans="1:3" ht="13" x14ac:dyDescent="0.15">
      <c r="A337" s="10"/>
      <c r="B337" s="13"/>
      <c r="C337" s="13"/>
    </row>
    <row r="338" spans="1:3" ht="13" x14ac:dyDescent="0.15">
      <c r="A338" s="10"/>
      <c r="B338" s="13"/>
      <c r="C338" s="13"/>
    </row>
    <row r="339" spans="1:3" ht="13" x14ac:dyDescent="0.15">
      <c r="A339" s="10"/>
      <c r="B339" s="13"/>
      <c r="C339" s="13"/>
    </row>
    <row r="340" spans="1:3" ht="13" x14ac:dyDescent="0.15">
      <c r="A340" s="10"/>
      <c r="B340" s="13"/>
      <c r="C340" s="13"/>
    </row>
    <row r="341" spans="1:3" ht="13" x14ac:dyDescent="0.15">
      <c r="A341" s="10"/>
      <c r="B341" s="13"/>
      <c r="C341" s="13"/>
    </row>
    <row r="342" spans="1:3" ht="13" x14ac:dyDescent="0.15">
      <c r="A342" s="10"/>
      <c r="B342" s="13"/>
      <c r="C342" s="13"/>
    </row>
    <row r="343" spans="1:3" ht="13" x14ac:dyDescent="0.15">
      <c r="A343" s="10"/>
      <c r="B343" s="13"/>
      <c r="C343" s="13"/>
    </row>
    <row r="344" spans="1:3" ht="13" x14ac:dyDescent="0.15">
      <c r="A344" s="10"/>
      <c r="B344" s="13"/>
      <c r="C344" s="13"/>
    </row>
    <row r="345" spans="1:3" ht="13" x14ac:dyDescent="0.15">
      <c r="A345" s="10"/>
      <c r="B345" s="13"/>
      <c r="C345" s="13"/>
    </row>
    <row r="346" spans="1:3" ht="13" x14ac:dyDescent="0.15">
      <c r="A346" s="10"/>
      <c r="B346" s="13"/>
      <c r="C346" s="13"/>
    </row>
    <row r="347" spans="1:3" ht="13" x14ac:dyDescent="0.15">
      <c r="A347" s="10"/>
      <c r="B347" s="13"/>
      <c r="C347" s="13"/>
    </row>
    <row r="348" spans="1:3" ht="13" x14ac:dyDescent="0.15">
      <c r="A348" s="10"/>
      <c r="B348" s="13"/>
      <c r="C348" s="13"/>
    </row>
    <row r="349" spans="1:3" ht="13" x14ac:dyDescent="0.15">
      <c r="A349" s="10"/>
      <c r="B349" s="13"/>
      <c r="C349" s="13"/>
    </row>
    <row r="350" spans="1:3" ht="13" x14ac:dyDescent="0.15">
      <c r="A350" s="10"/>
      <c r="B350" s="13"/>
      <c r="C350" s="13"/>
    </row>
    <row r="351" spans="1:3" ht="13" x14ac:dyDescent="0.15">
      <c r="A351" s="10"/>
      <c r="B351" s="13"/>
      <c r="C351" s="13"/>
    </row>
    <row r="352" spans="1:3" ht="13" x14ac:dyDescent="0.15">
      <c r="A352" s="10"/>
      <c r="B352" s="13"/>
      <c r="C352" s="13"/>
    </row>
    <row r="353" spans="1:3" ht="13" x14ac:dyDescent="0.15">
      <c r="A353" s="10"/>
      <c r="B353" s="13"/>
      <c r="C353" s="13"/>
    </row>
    <row r="354" spans="1:3" ht="13" x14ac:dyDescent="0.15">
      <c r="A354" s="10"/>
      <c r="B354" s="13"/>
      <c r="C354" s="13"/>
    </row>
    <row r="355" spans="1:3" ht="13" x14ac:dyDescent="0.15">
      <c r="A355" s="10"/>
      <c r="B355" s="13"/>
      <c r="C355" s="13"/>
    </row>
    <row r="356" spans="1:3" ht="13" x14ac:dyDescent="0.15">
      <c r="A356" s="10"/>
      <c r="B356" s="13"/>
      <c r="C356" s="13"/>
    </row>
    <row r="357" spans="1:3" ht="13" x14ac:dyDescent="0.15">
      <c r="A357" s="10"/>
      <c r="B357" s="13"/>
      <c r="C357" s="13"/>
    </row>
    <row r="358" spans="1:3" ht="13" x14ac:dyDescent="0.15">
      <c r="A358" s="10"/>
      <c r="B358" s="13"/>
      <c r="C358" s="13"/>
    </row>
    <row r="359" spans="1:3" ht="13" x14ac:dyDescent="0.15">
      <c r="A359" s="10"/>
      <c r="B359" s="13"/>
      <c r="C359" s="13"/>
    </row>
    <row r="360" spans="1:3" ht="13" x14ac:dyDescent="0.15">
      <c r="A360" s="10"/>
      <c r="B360" s="13"/>
      <c r="C360" s="13"/>
    </row>
    <row r="361" spans="1:3" ht="13" x14ac:dyDescent="0.15">
      <c r="A361" s="10"/>
      <c r="B361" s="13"/>
      <c r="C361" s="13"/>
    </row>
    <row r="362" spans="1:3" ht="13" x14ac:dyDescent="0.15">
      <c r="A362" s="10"/>
      <c r="B362" s="13"/>
      <c r="C362" s="13"/>
    </row>
    <row r="363" spans="1:3" ht="13" x14ac:dyDescent="0.15">
      <c r="A363" s="10"/>
      <c r="B363" s="13"/>
      <c r="C363" s="13"/>
    </row>
    <row r="364" spans="1:3" ht="13" x14ac:dyDescent="0.15">
      <c r="A364" s="10"/>
      <c r="B364" s="13"/>
      <c r="C364" s="13"/>
    </row>
    <row r="365" spans="1:3" ht="13" x14ac:dyDescent="0.15">
      <c r="A365" s="10"/>
      <c r="B365" s="13"/>
      <c r="C365" s="13"/>
    </row>
    <row r="366" spans="1:3" ht="13" x14ac:dyDescent="0.15">
      <c r="A366" s="10"/>
      <c r="B366" s="13"/>
      <c r="C366" s="13"/>
    </row>
    <row r="367" spans="1:3" ht="13" x14ac:dyDescent="0.15">
      <c r="A367" s="10"/>
      <c r="B367" s="13"/>
      <c r="C367" s="13"/>
    </row>
    <row r="368" spans="1:3" ht="13" x14ac:dyDescent="0.15">
      <c r="A368" s="10"/>
      <c r="B368" s="13"/>
      <c r="C368" s="13"/>
    </row>
    <row r="369" spans="1:3" ht="13" x14ac:dyDescent="0.15">
      <c r="A369" s="10"/>
      <c r="B369" s="13"/>
      <c r="C369" s="13"/>
    </row>
    <row r="370" spans="1:3" ht="13" x14ac:dyDescent="0.15">
      <c r="A370" s="10"/>
      <c r="B370" s="13"/>
      <c r="C370" s="13"/>
    </row>
    <row r="371" spans="1:3" ht="13" x14ac:dyDescent="0.15">
      <c r="A371" s="10"/>
      <c r="B371" s="13"/>
      <c r="C371" s="13"/>
    </row>
    <row r="372" spans="1:3" ht="13" x14ac:dyDescent="0.15">
      <c r="A372" s="10"/>
      <c r="B372" s="13"/>
      <c r="C372" s="13"/>
    </row>
    <row r="373" spans="1:3" ht="13" x14ac:dyDescent="0.15">
      <c r="A373" s="10"/>
      <c r="B373" s="13"/>
      <c r="C373" s="13"/>
    </row>
    <row r="374" spans="1:3" ht="13" x14ac:dyDescent="0.15">
      <c r="A374" s="10"/>
      <c r="B374" s="13"/>
      <c r="C374" s="13"/>
    </row>
    <row r="375" spans="1:3" ht="13" x14ac:dyDescent="0.15">
      <c r="A375" s="10"/>
      <c r="B375" s="13"/>
      <c r="C375" s="13"/>
    </row>
    <row r="376" spans="1:3" ht="13" x14ac:dyDescent="0.15">
      <c r="A376" s="10"/>
      <c r="B376" s="13"/>
      <c r="C376" s="13"/>
    </row>
    <row r="377" spans="1:3" ht="13" x14ac:dyDescent="0.15">
      <c r="A377" s="10"/>
      <c r="B377" s="13"/>
      <c r="C377" s="13"/>
    </row>
    <row r="378" spans="1:3" ht="13" x14ac:dyDescent="0.15">
      <c r="A378" s="10"/>
      <c r="B378" s="13"/>
      <c r="C378" s="13"/>
    </row>
    <row r="379" spans="1:3" ht="13" x14ac:dyDescent="0.15">
      <c r="A379" s="10"/>
      <c r="B379" s="13"/>
      <c r="C379" s="13"/>
    </row>
    <row r="380" spans="1:3" ht="13" x14ac:dyDescent="0.15">
      <c r="A380" s="10"/>
      <c r="B380" s="13"/>
      <c r="C380" s="13"/>
    </row>
    <row r="381" spans="1:3" ht="13" x14ac:dyDescent="0.15">
      <c r="A381" s="10"/>
      <c r="B381" s="13"/>
      <c r="C381" s="13"/>
    </row>
    <row r="382" spans="1:3" ht="13" x14ac:dyDescent="0.15">
      <c r="A382" s="10"/>
      <c r="B382" s="13"/>
      <c r="C382" s="13"/>
    </row>
    <row r="383" spans="1:3" ht="13" x14ac:dyDescent="0.15">
      <c r="A383" s="10"/>
      <c r="B383" s="13"/>
      <c r="C383" s="13"/>
    </row>
    <row r="384" spans="1:3" ht="13" x14ac:dyDescent="0.15">
      <c r="A384" s="10"/>
      <c r="B384" s="13"/>
      <c r="C384" s="13"/>
    </row>
    <row r="385" spans="1:3" ht="13" x14ac:dyDescent="0.15">
      <c r="A385" s="10"/>
      <c r="B385" s="13"/>
      <c r="C385" s="13"/>
    </row>
    <row r="386" spans="1:3" ht="13" x14ac:dyDescent="0.15">
      <c r="A386" s="10"/>
      <c r="B386" s="13"/>
      <c r="C386" s="13"/>
    </row>
    <row r="387" spans="1:3" ht="13" x14ac:dyDescent="0.15">
      <c r="A387" s="10"/>
      <c r="B387" s="13"/>
      <c r="C387" s="13"/>
    </row>
    <row r="388" spans="1:3" ht="13" x14ac:dyDescent="0.15">
      <c r="A388" s="10"/>
      <c r="B388" s="13"/>
      <c r="C388" s="13"/>
    </row>
    <row r="389" spans="1:3" ht="13" x14ac:dyDescent="0.15">
      <c r="A389" s="10"/>
      <c r="B389" s="13"/>
      <c r="C389" s="13"/>
    </row>
    <row r="390" spans="1:3" ht="13" x14ac:dyDescent="0.15">
      <c r="A390" s="10"/>
      <c r="B390" s="13"/>
      <c r="C390" s="13"/>
    </row>
    <row r="391" spans="1:3" ht="13" x14ac:dyDescent="0.15">
      <c r="A391" s="10"/>
      <c r="B391" s="13"/>
      <c r="C391" s="13"/>
    </row>
    <row r="392" spans="1:3" ht="13" x14ac:dyDescent="0.15">
      <c r="A392" s="10"/>
      <c r="B392" s="13"/>
      <c r="C392" s="13"/>
    </row>
    <row r="393" spans="1:3" ht="13" x14ac:dyDescent="0.15">
      <c r="A393" s="10"/>
      <c r="B393" s="13"/>
      <c r="C393" s="13"/>
    </row>
    <row r="394" spans="1:3" ht="13" x14ac:dyDescent="0.15">
      <c r="A394" s="10"/>
      <c r="B394" s="13"/>
      <c r="C394" s="13"/>
    </row>
    <row r="395" spans="1:3" ht="13" x14ac:dyDescent="0.15">
      <c r="A395" s="10"/>
      <c r="B395" s="13"/>
      <c r="C395" s="13"/>
    </row>
    <row r="396" spans="1:3" ht="13" x14ac:dyDescent="0.15">
      <c r="A396" s="10"/>
      <c r="B396" s="13"/>
      <c r="C396" s="13"/>
    </row>
    <row r="397" spans="1:3" ht="13" x14ac:dyDescent="0.15">
      <c r="A397" s="10"/>
      <c r="B397" s="13"/>
      <c r="C397" s="13"/>
    </row>
    <row r="398" spans="1:3" ht="13" x14ac:dyDescent="0.15">
      <c r="A398" s="10"/>
      <c r="B398" s="13"/>
      <c r="C398" s="13"/>
    </row>
    <row r="399" spans="1:3" ht="13" x14ac:dyDescent="0.15">
      <c r="A399" s="10"/>
      <c r="B399" s="13"/>
      <c r="C399" s="13"/>
    </row>
    <row r="400" spans="1:3" ht="13" x14ac:dyDescent="0.15">
      <c r="A400" s="10"/>
      <c r="B400" s="13"/>
      <c r="C400" s="13"/>
    </row>
    <row r="401" spans="1:3" ht="13" x14ac:dyDescent="0.15">
      <c r="A401" s="10"/>
      <c r="B401" s="13"/>
      <c r="C401" s="13"/>
    </row>
    <row r="402" spans="1:3" ht="13" x14ac:dyDescent="0.15">
      <c r="A402" s="10"/>
      <c r="B402" s="13"/>
      <c r="C402" s="13"/>
    </row>
    <row r="403" spans="1:3" ht="13" x14ac:dyDescent="0.15">
      <c r="A403" s="10"/>
      <c r="B403" s="13"/>
      <c r="C403" s="13"/>
    </row>
    <row r="404" spans="1:3" ht="13" x14ac:dyDescent="0.15">
      <c r="A404" s="10"/>
      <c r="B404" s="13"/>
      <c r="C404" s="13"/>
    </row>
    <row r="405" spans="1:3" ht="13" x14ac:dyDescent="0.15">
      <c r="A405" s="10"/>
      <c r="B405" s="13"/>
      <c r="C405" s="13"/>
    </row>
    <row r="406" spans="1:3" ht="13" x14ac:dyDescent="0.15">
      <c r="A406" s="10"/>
      <c r="B406" s="13"/>
      <c r="C406" s="13"/>
    </row>
    <row r="407" spans="1:3" ht="13" x14ac:dyDescent="0.15">
      <c r="A407" s="10"/>
      <c r="B407" s="13"/>
      <c r="C407" s="13"/>
    </row>
    <row r="408" spans="1:3" ht="13" x14ac:dyDescent="0.15">
      <c r="A408" s="10"/>
      <c r="B408" s="13"/>
      <c r="C408" s="13"/>
    </row>
    <row r="409" spans="1:3" ht="13" x14ac:dyDescent="0.15">
      <c r="A409" s="10"/>
      <c r="B409" s="13"/>
      <c r="C409" s="13"/>
    </row>
    <row r="410" spans="1:3" ht="13" x14ac:dyDescent="0.15">
      <c r="A410" s="10"/>
      <c r="B410" s="13"/>
      <c r="C410" s="13"/>
    </row>
    <row r="411" spans="1:3" ht="13" x14ac:dyDescent="0.15">
      <c r="A411" s="10"/>
      <c r="B411" s="13"/>
      <c r="C411" s="13"/>
    </row>
    <row r="412" spans="1:3" ht="13" x14ac:dyDescent="0.15">
      <c r="A412" s="10"/>
      <c r="B412" s="13"/>
      <c r="C412" s="13"/>
    </row>
    <row r="413" spans="1:3" ht="13" x14ac:dyDescent="0.15">
      <c r="A413" s="10"/>
      <c r="B413" s="13"/>
      <c r="C413" s="13"/>
    </row>
    <row r="414" spans="1:3" ht="13" x14ac:dyDescent="0.15">
      <c r="A414" s="10"/>
      <c r="B414" s="13"/>
      <c r="C414" s="13"/>
    </row>
    <row r="415" spans="1:3" ht="13" x14ac:dyDescent="0.15">
      <c r="A415" s="10"/>
      <c r="B415" s="13"/>
      <c r="C415" s="13"/>
    </row>
    <row r="416" spans="1:3" ht="13" x14ac:dyDescent="0.15">
      <c r="A416" s="10"/>
      <c r="B416" s="13"/>
      <c r="C416" s="13"/>
    </row>
    <row r="417" spans="1:3" ht="13" x14ac:dyDescent="0.15">
      <c r="A417" s="10"/>
      <c r="B417" s="13"/>
      <c r="C417" s="13"/>
    </row>
    <row r="418" spans="1:3" ht="13" x14ac:dyDescent="0.15">
      <c r="A418" s="10"/>
      <c r="B418" s="13"/>
      <c r="C418" s="13"/>
    </row>
    <row r="419" spans="1:3" ht="13" x14ac:dyDescent="0.15">
      <c r="A419" s="10"/>
      <c r="B419" s="13"/>
      <c r="C419" s="13"/>
    </row>
    <row r="420" spans="1:3" ht="13" x14ac:dyDescent="0.15">
      <c r="A420" s="10"/>
      <c r="B420" s="13"/>
      <c r="C420" s="13"/>
    </row>
    <row r="421" spans="1:3" ht="13" x14ac:dyDescent="0.15">
      <c r="A421" s="10"/>
      <c r="B421" s="13"/>
      <c r="C421" s="13"/>
    </row>
    <row r="422" spans="1:3" ht="13" x14ac:dyDescent="0.15">
      <c r="A422" s="10"/>
      <c r="B422" s="13"/>
      <c r="C422" s="13"/>
    </row>
    <row r="423" spans="1:3" ht="13" x14ac:dyDescent="0.15">
      <c r="A423" s="10"/>
      <c r="B423" s="13"/>
      <c r="C423" s="13"/>
    </row>
    <row r="424" spans="1:3" ht="13" x14ac:dyDescent="0.15">
      <c r="A424" s="10"/>
      <c r="B424" s="13"/>
      <c r="C424" s="13"/>
    </row>
    <row r="425" spans="1:3" ht="13" x14ac:dyDescent="0.15">
      <c r="A425" s="10"/>
      <c r="B425" s="13"/>
      <c r="C425" s="13"/>
    </row>
    <row r="426" spans="1:3" ht="13" x14ac:dyDescent="0.15">
      <c r="A426" s="10"/>
      <c r="B426" s="13"/>
      <c r="C426" s="13"/>
    </row>
    <row r="427" spans="1:3" ht="13" x14ac:dyDescent="0.15">
      <c r="A427" s="10"/>
      <c r="B427" s="13"/>
      <c r="C427" s="13"/>
    </row>
    <row r="428" spans="1:3" ht="13" x14ac:dyDescent="0.15">
      <c r="A428" s="10"/>
      <c r="B428" s="13"/>
      <c r="C428" s="13"/>
    </row>
    <row r="429" spans="1:3" ht="13" x14ac:dyDescent="0.15">
      <c r="A429" s="10"/>
      <c r="B429" s="13"/>
      <c r="C429" s="13"/>
    </row>
    <row r="430" spans="1:3" ht="13" x14ac:dyDescent="0.15">
      <c r="A430" s="10"/>
      <c r="B430" s="13"/>
      <c r="C430" s="13"/>
    </row>
    <row r="431" spans="1:3" ht="13" x14ac:dyDescent="0.15">
      <c r="A431" s="10"/>
      <c r="B431" s="13"/>
      <c r="C431" s="13"/>
    </row>
    <row r="432" spans="1:3" ht="13" x14ac:dyDescent="0.15">
      <c r="A432" s="10"/>
      <c r="B432" s="13"/>
      <c r="C432" s="13"/>
    </row>
    <row r="433" spans="1:3" ht="13" x14ac:dyDescent="0.15">
      <c r="A433" s="10"/>
      <c r="B433" s="13"/>
      <c r="C433" s="13"/>
    </row>
    <row r="434" spans="1:3" ht="13" x14ac:dyDescent="0.15">
      <c r="A434" s="10"/>
      <c r="B434" s="13"/>
      <c r="C434" s="13"/>
    </row>
    <row r="435" spans="1:3" ht="13" x14ac:dyDescent="0.15">
      <c r="A435" s="10"/>
      <c r="B435" s="13"/>
      <c r="C435" s="13"/>
    </row>
    <row r="436" spans="1:3" ht="13" x14ac:dyDescent="0.15">
      <c r="A436" s="10"/>
      <c r="B436" s="13"/>
      <c r="C436" s="13"/>
    </row>
    <row r="437" spans="1:3" ht="13" x14ac:dyDescent="0.15">
      <c r="A437" s="10"/>
      <c r="B437" s="13"/>
      <c r="C437" s="13"/>
    </row>
    <row r="438" spans="1:3" ht="13" x14ac:dyDescent="0.15">
      <c r="A438" s="10"/>
      <c r="B438" s="13"/>
      <c r="C438" s="13"/>
    </row>
    <row r="439" spans="1:3" ht="13" x14ac:dyDescent="0.15">
      <c r="A439" s="10"/>
      <c r="B439" s="13"/>
      <c r="C439" s="13"/>
    </row>
    <row r="440" spans="1:3" ht="13" x14ac:dyDescent="0.15">
      <c r="A440" s="10"/>
      <c r="B440" s="13"/>
      <c r="C440" s="13"/>
    </row>
    <row r="441" spans="1:3" ht="13" x14ac:dyDescent="0.15">
      <c r="A441" s="10"/>
      <c r="B441" s="13"/>
      <c r="C441" s="13"/>
    </row>
    <row r="442" spans="1:3" ht="13" x14ac:dyDescent="0.15">
      <c r="A442" s="10"/>
      <c r="B442" s="13"/>
      <c r="C442" s="13"/>
    </row>
    <row r="443" spans="1:3" ht="13" x14ac:dyDescent="0.15">
      <c r="A443" s="10"/>
      <c r="B443" s="13"/>
      <c r="C443" s="13"/>
    </row>
    <row r="444" spans="1:3" ht="13" x14ac:dyDescent="0.15">
      <c r="A444" s="10"/>
      <c r="B444" s="13"/>
      <c r="C444" s="13"/>
    </row>
    <row r="445" spans="1:3" ht="13" x14ac:dyDescent="0.15">
      <c r="A445" s="10"/>
      <c r="B445" s="13"/>
      <c r="C445" s="13"/>
    </row>
    <row r="446" spans="1:3" ht="13" x14ac:dyDescent="0.15">
      <c r="A446" s="10"/>
      <c r="B446" s="13"/>
      <c r="C446" s="13"/>
    </row>
    <row r="447" spans="1:3" ht="13" x14ac:dyDescent="0.15">
      <c r="A447" s="10"/>
      <c r="B447" s="13"/>
      <c r="C447" s="13"/>
    </row>
    <row r="448" spans="1:3" ht="13" x14ac:dyDescent="0.15">
      <c r="A448" s="10"/>
      <c r="B448" s="13"/>
      <c r="C448" s="13"/>
    </row>
    <row r="449" spans="1:3" ht="13" x14ac:dyDescent="0.15">
      <c r="A449" s="10"/>
      <c r="B449" s="13"/>
      <c r="C449" s="13"/>
    </row>
    <row r="450" spans="1:3" ht="13" x14ac:dyDescent="0.15">
      <c r="A450" s="10"/>
      <c r="B450" s="13"/>
      <c r="C450" s="13"/>
    </row>
    <row r="451" spans="1:3" ht="13" x14ac:dyDescent="0.15">
      <c r="A451" s="10"/>
      <c r="B451" s="13"/>
      <c r="C451" s="13"/>
    </row>
    <row r="452" spans="1:3" ht="13" x14ac:dyDescent="0.15">
      <c r="A452" s="10"/>
      <c r="B452" s="13"/>
      <c r="C452" s="13"/>
    </row>
    <row r="453" spans="1:3" ht="13" x14ac:dyDescent="0.15">
      <c r="A453" s="10"/>
      <c r="B453" s="13"/>
      <c r="C453" s="13"/>
    </row>
    <row r="454" spans="1:3" ht="13" x14ac:dyDescent="0.15">
      <c r="A454" s="10"/>
      <c r="B454" s="13"/>
      <c r="C454" s="13"/>
    </row>
    <row r="455" spans="1:3" ht="13" x14ac:dyDescent="0.15">
      <c r="A455" s="10"/>
      <c r="B455" s="13"/>
      <c r="C455" s="13"/>
    </row>
    <row r="456" spans="1:3" ht="13" x14ac:dyDescent="0.15">
      <c r="A456" s="10"/>
      <c r="B456" s="13"/>
      <c r="C456" s="13"/>
    </row>
    <row r="457" spans="1:3" ht="13" x14ac:dyDescent="0.15">
      <c r="A457" s="10"/>
      <c r="B457" s="13"/>
      <c r="C457" s="13"/>
    </row>
    <row r="458" spans="1:3" ht="13" x14ac:dyDescent="0.15">
      <c r="A458" s="10"/>
      <c r="B458" s="13"/>
      <c r="C458" s="13"/>
    </row>
    <row r="459" spans="1:3" ht="13" x14ac:dyDescent="0.15">
      <c r="A459" s="10"/>
      <c r="B459" s="13"/>
      <c r="C459" s="13"/>
    </row>
    <row r="460" spans="1:3" ht="13" x14ac:dyDescent="0.15">
      <c r="A460" s="10"/>
      <c r="B460" s="13"/>
      <c r="C460" s="13"/>
    </row>
    <row r="461" spans="1:3" ht="13" x14ac:dyDescent="0.15">
      <c r="A461" s="10"/>
      <c r="B461" s="13"/>
      <c r="C461" s="13"/>
    </row>
    <row r="462" spans="1:3" ht="13" x14ac:dyDescent="0.15">
      <c r="A462" s="10"/>
      <c r="B462" s="13"/>
      <c r="C462" s="13"/>
    </row>
    <row r="463" spans="1:3" ht="13" x14ac:dyDescent="0.15">
      <c r="A463" s="10"/>
      <c r="B463" s="13"/>
      <c r="C463" s="13"/>
    </row>
    <row r="464" spans="1:3" ht="13" x14ac:dyDescent="0.15">
      <c r="A464" s="10"/>
      <c r="B464" s="13"/>
      <c r="C464" s="13"/>
    </row>
    <row r="465" spans="1:3" ht="13" x14ac:dyDescent="0.15">
      <c r="A465" s="10"/>
      <c r="B465" s="13"/>
      <c r="C465" s="13"/>
    </row>
    <row r="466" spans="1:3" ht="13" x14ac:dyDescent="0.15">
      <c r="A466" s="10"/>
      <c r="B466" s="13"/>
      <c r="C466" s="13"/>
    </row>
    <row r="467" spans="1:3" ht="13" x14ac:dyDescent="0.15">
      <c r="A467" s="10"/>
      <c r="B467" s="13"/>
      <c r="C467" s="13"/>
    </row>
    <row r="468" spans="1:3" ht="13" x14ac:dyDescent="0.15">
      <c r="A468" s="10"/>
      <c r="B468" s="13"/>
      <c r="C468" s="13"/>
    </row>
    <row r="469" spans="1:3" ht="13" x14ac:dyDescent="0.15">
      <c r="A469" s="10"/>
      <c r="B469" s="13"/>
      <c r="C469" s="13"/>
    </row>
    <row r="470" spans="1:3" ht="13" x14ac:dyDescent="0.15">
      <c r="A470" s="10"/>
      <c r="B470" s="13"/>
      <c r="C470" s="13"/>
    </row>
    <row r="471" spans="1:3" ht="13" x14ac:dyDescent="0.15">
      <c r="A471" s="10"/>
      <c r="B471" s="13"/>
      <c r="C471" s="13"/>
    </row>
    <row r="472" spans="1:3" ht="13" x14ac:dyDescent="0.15">
      <c r="A472" s="10"/>
      <c r="B472" s="13"/>
      <c r="C472" s="13"/>
    </row>
    <row r="473" spans="1:3" ht="13" x14ac:dyDescent="0.15">
      <c r="A473" s="10"/>
      <c r="B473" s="13"/>
      <c r="C473" s="13"/>
    </row>
    <row r="474" spans="1:3" ht="13" x14ac:dyDescent="0.15">
      <c r="A474" s="10"/>
      <c r="B474" s="13"/>
      <c r="C474" s="13"/>
    </row>
    <row r="475" spans="1:3" ht="13" x14ac:dyDescent="0.15">
      <c r="A475" s="10"/>
      <c r="B475" s="13"/>
      <c r="C475" s="13"/>
    </row>
    <row r="476" spans="1:3" ht="13" x14ac:dyDescent="0.15">
      <c r="A476" s="10"/>
      <c r="B476" s="13"/>
      <c r="C476" s="13"/>
    </row>
    <row r="477" spans="1:3" ht="13" x14ac:dyDescent="0.15">
      <c r="A477" s="10"/>
      <c r="B477" s="13"/>
      <c r="C477" s="13"/>
    </row>
    <row r="478" spans="1:3" ht="13" x14ac:dyDescent="0.15">
      <c r="A478" s="10"/>
      <c r="B478" s="13"/>
      <c r="C478" s="13"/>
    </row>
    <row r="479" spans="1:3" ht="13" x14ac:dyDescent="0.15">
      <c r="A479" s="10"/>
      <c r="B479" s="13"/>
      <c r="C479" s="13"/>
    </row>
    <row r="480" spans="1:3" ht="13" x14ac:dyDescent="0.15">
      <c r="A480" s="10"/>
      <c r="B480" s="13"/>
      <c r="C480" s="13"/>
    </row>
    <row r="481" spans="1:3" ht="13" x14ac:dyDescent="0.15">
      <c r="A481" s="10"/>
      <c r="B481" s="13"/>
      <c r="C481" s="13"/>
    </row>
    <row r="482" spans="1:3" ht="13" x14ac:dyDescent="0.15">
      <c r="A482" s="10"/>
      <c r="B482" s="13"/>
      <c r="C482" s="13"/>
    </row>
    <row r="483" spans="1:3" ht="13" x14ac:dyDescent="0.15">
      <c r="A483" s="10"/>
      <c r="B483" s="13"/>
      <c r="C483" s="13"/>
    </row>
    <row r="484" spans="1:3" ht="13" x14ac:dyDescent="0.15">
      <c r="A484" s="10"/>
      <c r="B484" s="13"/>
      <c r="C484" s="13"/>
    </row>
    <row r="485" spans="1:3" ht="13" x14ac:dyDescent="0.15">
      <c r="A485" s="10"/>
      <c r="B485" s="13"/>
      <c r="C485" s="13"/>
    </row>
    <row r="486" spans="1:3" ht="13" x14ac:dyDescent="0.15">
      <c r="A486" s="10"/>
      <c r="B486" s="13"/>
      <c r="C486" s="13"/>
    </row>
    <row r="487" spans="1:3" ht="13" x14ac:dyDescent="0.15">
      <c r="A487" s="10"/>
      <c r="B487" s="13"/>
      <c r="C487" s="13"/>
    </row>
    <row r="488" spans="1:3" ht="13" x14ac:dyDescent="0.15">
      <c r="A488" s="10"/>
      <c r="B488" s="13"/>
      <c r="C488" s="13"/>
    </row>
    <row r="489" spans="1:3" ht="13" x14ac:dyDescent="0.15">
      <c r="A489" s="10"/>
      <c r="B489" s="13"/>
      <c r="C489" s="13"/>
    </row>
    <row r="490" spans="1:3" ht="13" x14ac:dyDescent="0.15">
      <c r="A490" s="10"/>
      <c r="B490" s="13"/>
      <c r="C490" s="13"/>
    </row>
    <row r="491" spans="1:3" ht="13" x14ac:dyDescent="0.15">
      <c r="A491" s="10"/>
      <c r="B491" s="13"/>
      <c r="C491" s="13"/>
    </row>
    <row r="492" spans="1:3" ht="13" x14ac:dyDescent="0.15">
      <c r="A492" s="10"/>
      <c r="B492" s="13"/>
      <c r="C492" s="13"/>
    </row>
    <row r="493" spans="1:3" ht="13" x14ac:dyDescent="0.15">
      <c r="A493" s="10"/>
      <c r="B493" s="13"/>
      <c r="C493" s="13"/>
    </row>
    <row r="494" spans="1:3" ht="13" x14ac:dyDescent="0.15">
      <c r="A494" s="10"/>
      <c r="B494" s="13"/>
      <c r="C494" s="13"/>
    </row>
    <row r="495" spans="1:3" ht="13" x14ac:dyDescent="0.15">
      <c r="A495" s="10"/>
      <c r="B495" s="13"/>
      <c r="C495" s="13"/>
    </row>
    <row r="496" spans="1:3" ht="13" x14ac:dyDescent="0.15">
      <c r="A496" s="10"/>
      <c r="B496" s="13"/>
      <c r="C496" s="13"/>
    </row>
    <row r="497" spans="1:3" ht="13" x14ac:dyDescent="0.15">
      <c r="A497" s="10"/>
      <c r="B497" s="13"/>
      <c r="C497" s="13"/>
    </row>
    <row r="498" spans="1:3" ht="13" x14ac:dyDescent="0.15">
      <c r="A498" s="10"/>
      <c r="B498" s="13"/>
      <c r="C498" s="13"/>
    </row>
    <row r="499" spans="1:3" ht="13" x14ac:dyDescent="0.15">
      <c r="A499" s="10"/>
      <c r="B499" s="13"/>
      <c r="C499" s="13"/>
    </row>
    <row r="500" spans="1:3" ht="13" x14ac:dyDescent="0.15">
      <c r="A500" s="10"/>
      <c r="B500" s="13"/>
      <c r="C500" s="13"/>
    </row>
    <row r="501" spans="1:3" ht="13" x14ac:dyDescent="0.15">
      <c r="A501" s="10"/>
      <c r="B501" s="13"/>
      <c r="C501" s="13"/>
    </row>
    <row r="502" spans="1:3" ht="13" x14ac:dyDescent="0.15">
      <c r="A502" s="10"/>
      <c r="B502" s="13"/>
      <c r="C502" s="13"/>
    </row>
    <row r="503" spans="1:3" ht="13" x14ac:dyDescent="0.15">
      <c r="A503" s="10"/>
      <c r="B503" s="13"/>
      <c r="C503" s="13"/>
    </row>
    <row r="504" spans="1:3" ht="13" x14ac:dyDescent="0.15">
      <c r="A504" s="10"/>
      <c r="B504" s="13"/>
      <c r="C504" s="13"/>
    </row>
    <row r="505" spans="1:3" ht="13" x14ac:dyDescent="0.15">
      <c r="A505" s="10"/>
      <c r="B505" s="13"/>
      <c r="C505" s="13"/>
    </row>
    <row r="506" spans="1:3" ht="13" x14ac:dyDescent="0.15">
      <c r="A506" s="10"/>
      <c r="B506" s="13"/>
      <c r="C506" s="13"/>
    </row>
    <row r="507" spans="1:3" ht="13" x14ac:dyDescent="0.15">
      <c r="A507" s="10"/>
      <c r="B507" s="13"/>
      <c r="C507" s="13"/>
    </row>
    <row r="508" spans="1:3" ht="13" x14ac:dyDescent="0.15">
      <c r="A508" s="10"/>
      <c r="B508" s="13"/>
      <c r="C508" s="13"/>
    </row>
    <row r="509" spans="1:3" ht="13" x14ac:dyDescent="0.15">
      <c r="A509" s="10"/>
      <c r="B509" s="13"/>
      <c r="C509" s="13"/>
    </row>
    <row r="510" spans="1:3" ht="13" x14ac:dyDescent="0.15">
      <c r="A510" s="10"/>
      <c r="B510" s="13"/>
      <c r="C510" s="13"/>
    </row>
    <row r="511" spans="1:3" ht="13" x14ac:dyDescent="0.15">
      <c r="A511" s="10"/>
      <c r="B511" s="13"/>
      <c r="C511" s="13"/>
    </row>
    <row r="512" spans="1:3" ht="13" x14ac:dyDescent="0.15">
      <c r="A512" s="10"/>
      <c r="B512" s="13"/>
      <c r="C512" s="13"/>
    </row>
    <row r="513" spans="1:3" ht="13" x14ac:dyDescent="0.15">
      <c r="A513" s="10"/>
      <c r="B513" s="13"/>
      <c r="C513" s="13"/>
    </row>
    <row r="514" spans="1:3" ht="13" x14ac:dyDescent="0.15">
      <c r="A514" s="10"/>
      <c r="B514" s="13"/>
      <c r="C514" s="13"/>
    </row>
    <row r="515" spans="1:3" ht="13" x14ac:dyDescent="0.15">
      <c r="A515" s="10"/>
      <c r="B515" s="13"/>
      <c r="C515" s="13"/>
    </row>
    <row r="516" spans="1:3" ht="13" x14ac:dyDescent="0.15">
      <c r="A516" s="10"/>
      <c r="B516" s="13"/>
      <c r="C516" s="13"/>
    </row>
    <row r="517" spans="1:3" ht="13" x14ac:dyDescent="0.15">
      <c r="A517" s="10"/>
      <c r="B517" s="13"/>
      <c r="C517" s="13"/>
    </row>
    <row r="518" spans="1:3" ht="13" x14ac:dyDescent="0.15">
      <c r="A518" s="10"/>
      <c r="B518" s="13"/>
      <c r="C518" s="13"/>
    </row>
    <row r="519" spans="1:3" ht="13" x14ac:dyDescent="0.15">
      <c r="A519" s="10"/>
      <c r="B519" s="13"/>
      <c r="C519" s="13"/>
    </row>
    <row r="520" spans="1:3" ht="13" x14ac:dyDescent="0.15">
      <c r="A520" s="10"/>
      <c r="B520" s="13"/>
      <c r="C520" s="13"/>
    </row>
    <row r="521" spans="1:3" ht="13" x14ac:dyDescent="0.15">
      <c r="A521" s="10"/>
      <c r="B521" s="13"/>
      <c r="C521" s="13"/>
    </row>
    <row r="522" spans="1:3" ht="13" x14ac:dyDescent="0.15">
      <c r="A522" s="10"/>
      <c r="B522" s="13"/>
      <c r="C522" s="13"/>
    </row>
    <row r="523" spans="1:3" ht="13" x14ac:dyDescent="0.15">
      <c r="A523" s="10"/>
      <c r="B523" s="13"/>
      <c r="C523" s="13"/>
    </row>
    <row r="524" spans="1:3" ht="13" x14ac:dyDescent="0.15">
      <c r="A524" s="10"/>
      <c r="B524" s="13"/>
      <c r="C524" s="13"/>
    </row>
    <row r="525" spans="1:3" ht="13" x14ac:dyDescent="0.15">
      <c r="A525" s="10"/>
      <c r="B525" s="13"/>
      <c r="C525" s="13"/>
    </row>
    <row r="526" spans="1:3" ht="13" x14ac:dyDescent="0.15">
      <c r="A526" s="10"/>
      <c r="B526" s="13"/>
      <c r="C526" s="13"/>
    </row>
    <row r="527" spans="1:3" ht="13" x14ac:dyDescent="0.15">
      <c r="A527" s="10"/>
      <c r="B527" s="13"/>
      <c r="C527" s="13"/>
    </row>
    <row r="528" spans="1:3" ht="13" x14ac:dyDescent="0.15">
      <c r="A528" s="10"/>
      <c r="B528" s="13"/>
      <c r="C528" s="13"/>
    </row>
    <row r="529" spans="1:3" ht="13" x14ac:dyDescent="0.15">
      <c r="A529" s="10"/>
      <c r="B529" s="13"/>
      <c r="C529" s="13"/>
    </row>
    <row r="530" spans="1:3" ht="13" x14ac:dyDescent="0.15">
      <c r="A530" s="10"/>
      <c r="B530" s="13"/>
      <c r="C530" s="13"/>
    </row>
    <row r="531" spans="1:3" ht="13" x14ac:dyDescent="0.15">
      <c r="A531" s="10"/>
      <c r="B531" s="13"/>
      <c r="C531" s="13"/>
    </row>
    <row r="532" spans="1:3" ht="13" x14ac:dyDescent="0.15">
      <c r="A532" s="10"/>
      <c r="B532" s="13"/>
      <c r="C532" s="13"/>
    </row>
    <row r="533" spans="1:3" ht="13" x14ac:dyDescent="0.15">
      <c r="A533" s="10"/>
      <c r="B533" s="13"/>
      <c r="C533" s="13"/>
    </row>
    <row r="534" spans="1:3" ht="13" x14ac:dyDescent="0.15">
      <c r="A534" s="10"/>
      <c r="B534" s="13"/>
      <c r="C534" s="13"/>
    </row>
    <row r="535" spans="1:3" ht="13" x14ac:dyDescent="0.15">
      <c r="A535" s="10"/>
      <c r="B535" s="13"/>
      <c r="C535" s="13"/>
    </row>
    <row r="536" spans="1:3" ht="13" x14ac:dyDescent="0.15">
      <c r="A536" s="10"/>
      <c r="B536" s="13"/>
      <c r="C536" s="13"/>
    </row>
    <row r="537" spans="1:3" ht="13" x14ac:dyDescent="0.15">
      <c r="A537" s="10"/>
      <c r="B537" s="13"/>
      <c r="C537" s="13"/>
    </row>
    <row r="538" spans="1:3" ht="13" x14ac:dyDescent="0.15">
      <c r="A538" s="10"/>
      <c r="B538" s="13"/>
      <c r="C538" s="13"/>
    </row>
    <row r="539" spans="1:3" ht="13" x14ac:dyDescent="0.15">
      <c r="A539" s="10"/>
      <c r="B539" s="13"/>
      <c r="C539" s="13"/>
    </row>
    <row r="540" spans="1:3" ht="13" x14ac:dyDescent="0.15">
      <c r="A540" s="10"/>
      <c r="B540" s="13"/>
      <c r="C540" s="13"/>
    </row>
    <row r="541" spans="1:3" ht="13" x14ac:dyDescent="0.15">
      <c r="A541" s="10"/>
      <c r="B541" s="13"/>
      <c r="C541" s="13"/>
    </row>
    <row r="542" spans="1:3" ht="13" x14ac:dyDescent="0.15">
      <c r="A542" s="10"/>
      <c r="B542" s="13"/>
      <c r="C542" s="13"/>
    </row>
    <row r="543" spans="1:3" ht="13" x14ac:dyDescent="0.15">
      <c r="A543" s="10"/>
      <c r="B543" s="13"/>
      <c r="C543" s="13"/>
    </row>
    <row r="544" spans="1:3" ht="13" x14ac:dyDescent="0.15">
      <c r="A544" s="10"/>
      <c r="B544" s="13"/>
      <c r="C544" s="13"/>
    </row>
    <row r="545" spans="1:3" ht="13" x14ac:dyDescent="0.15">
      <c r="A545" s="10"/>
      <c r="B545" s="13"/>
      <c r="C545" s="13"/>
    </row>
    <row r="546" spans="1:3" ht="13" x14ac:dyDescent="0.15">
      <c r="A546" s="10"/>
      <c r="B546" s="13"/>
      <c r="C546" s="13"/>
    </row>
    <row r="547" spans="1:3" ht="13" x14ac:dyDescent="0.15">
      <c r="A547" s="10"/>
      <c r="B547" s="13"/>
      <c r="C547" s="13"/>
    </row>
    <row r="548" spans="1:3" ht="13" x14ac:dyDescent="0.15">
      <c r="A548" s="10"/>
      <c r="B548" s="13"/>
      <c r="C548" s="13"/>
    </row>
    <row r="549" spans="1:3" ht="13" x14ac:dyDescent="0.15">
      <c r="A549" s="10"/>
      <c r="B549" s="13"/>
      <c r="C549" s="13"/>
    </row>
    <row r="550" spans="1:3" ht="13" x14ac:dyDescent="0.15">
      <c r="A550" s="10"/>
      <c r="B550" s="13"/>
      <c r="C550" s="13"/>
    </row>
    <row r="551" spans="1:3" ht="13" x14ac:dyDescent="0.15">
      <c r="A551" s="10"/>
      <c r="B551" s="13"/>
      <c r="C551" s="13"/>
    </row>
    <row r="552" spans="1:3" ht="13" x14ac:dyDescent="0.15">
      <c r="A552" s="10"/>
      <c r="B552" s="13"/>
      <c r="C552" s="13"/>
    </row>
    <row r="553" spans="1:3" ht="13" x14ac:dyDescent="0.15">
      <c r="A553" s="10"/>
      <c r="B553" s="13"/>
      <c r="C553" s="13"/>
    </row>
    <row r="554" spans="1:3" ht="13" x14ac:dyDescent="0.15">
      <c r="A554" s="10"/>
      <c r="B554" s="13"/>
      <c r="C554" s="13"/>
    </row>
    <row r="555" spans="1:3" ht="13" x14ac:dyDescent="0.15">
      <c r="A555" s="10"/>
      <c r="B555" s="13"/>
      <c r="C555" s="13"/>
    </row>
    <row r="556" spans="1:3" ht="13" x14ac:dyDescent="0.15">
      <c r="A556" s="10"/>
      <c r="B556" s="13"/>
      <c r="C556" s="13"/>
    </row>
    <row r="557" spans="1:3" ht="13" x14ac:dyDescent="0.15">
      <c r="A557" s="10"/>
      <c r="B557" s="13"/>
      <c r="C557" s="13"/>
    </row>
    <row r="558" spans="1:3" ht="13" x14ac:dyDescent="0.15">
      <c r="A558" s="10"/>
      <c r="B558" s="13"/>
      <c r="C558" s="13"/>
    </row>
    <row r="559" spans="1:3" ht="13" x14ac:dyDescent="0.15">
      <c r="A559" s="10"/>
      <c r="B559" s="13"/>
      <c r="C559" s="13"/>
    </row>
    <row r="560" spans="1:3" ht="13" x14ac:dyDescent="0.15">
      <c r="A560" s="10"/>
      <c r="B560" s="13"/>
      <c r="C560" s="13"/>
    </row>
    <row r="561" spans="1:3" ht="13" x14ac:dyDescent="0.15">
      <c r="A561" s="10"/>
      <c r="B561" s="13"/>
      <c r="C561" s="13"/>
    </row>
    <row r="562" spans="1:3" ht="13" x14ac:dyDescent="0.15">
      <c r="A562" s="10"/>
      <c r="B562" s="13"/>
      <c r="C562" s="13"/>
    </row>
    <row r="563" spans="1:3" ht="13" x14ac:dyDescent="0.15">
      <c r="A563" s="10"/>
      <c r="B563" s="13"/>
      <c r="C563" s="13"/>
    </row>
    <row r="564" spans="1:3" ht="13" x14ac:dyDescent="0.15">
      <c r="A564" s="10"/>
      <c r="B564" s="13"/>
      <c r="C564" s="13"/>
    </row>
    <row r="565" spans="1:3" ht="13" x14ac:dyDescent="0.15">
      <c r="A565" s="10"/>
      <c r="B565" s="13"/>
      <c r="C565" s="13"/>
    </row>
    <row r="566" spans="1:3" ht="13" x14ac:dyDescent="0.15">
      <c r="A566" s="10"/>
      <c r="B566" s="13"/>
      <c r="C566" s="13"/>
    </row>
    <row r="567" spans="1:3" ht="13" x14ac:dyDescent="0.15">
      <c r="A567" s="10"/>
      <c r="B567" s="13"/>
      <c r="C567" s="13"/>
    </row>
    <row r="568" spans="1:3" ht="13" x14ac:dyDescent="0.15">
      <c r="A568" s="10"/>
      <c r="B568" s="13"/>
      <c r="C568" s="13"/>
    </row>
    <row r="569" spans="1:3" ht="13" x14ac:dyDescent="0.15">
      <c r="A569" s="10"/>
      <c r="B569" s="13"/>
      <c r="C569" s="13"/>
    </row>
    <row r="570" spans="1:3" ht="13" x14ac:dyDescent="0.15">
      <c r="A570" s="10"/>
      <c r="B570" s="13"/>
      <c r="C570" s="13"/>
    </row>
    <row r="571" spans="1:3" ht="13" x14ac:dyDescent="0.15">
      <c r="A571" s="10"/>
      <c r="B571" s="13"/>
      <c r="C571" s="13"/>
    </row>
    <row r="572" spans="1:3" ht="13" x14ac:dyDescent="0.15">
      <c r="A572" s="10"/>
      <c r="B572" s="13"/>
      <c r="C572" s="13"/>
    </row>
    <row r="573" spans="1:3" ht="13" x14ac:dyDescent="0.15">
      <c r="A573" s="10"/>
      <c r="B573" s="13"/>
      <c r="C573" s="13"/>
    </row>
    <row r="574" spans="1:3" ht="13" x14ac:dyDescent="0.15">
      <c r="A574" s="10"/>
      <c r="B574" s="13"/>
      <c r="C574" s="13"/>
    </row>
    <row r="575" spans="1:3" ht="13" x14ac:dyDescent="0.15">
      <c r="A575" s="10"/>
      <c r="B575" s="13"/>
      <c r="C575" s="13"/>
    </row>
    <row r="576" spans="1:3" ht="13" x14ac:dyDescent="0.15">
      <c r="A576" s="10"/>
      <c r="B576" s="13"/>
      <c r="C576" s="13"/>
    </row>
    <row r="577" spans="1:3" ht="13" x14ac:dyDescent="0.15">
      <c r="A577" s="10"/>
      <c r="B577" s="13"/>
      <c r="C577" s="13"/>
    </row>
    <row r="578" spans="1:3" ht="13" x14ac:dyDescent="0.15">
      <c r="A578" s="10"/>
      <c r="B578" s="13"/>
      <c r="C578" s="13"/>
    </row>
    <row r="579" spans="1:3" ht="13" x14ac:dyDescent="0.15">
      <c r="A579" s="10"/>
      <c r="B579" s="13"/>
      <c r="C579" s="13"/>
    </row>
    <row r="580" spans="1:3" ht="13" x14ac:dyDescent="0.15">
      <c r="A580" s="10"/>
      <c r="B580" s="13"/>
      <c r="C580" s="13"/>
    </row>
    <row r="581" spans="1:3" ht="13" x14ac:dyDescent="0.15">
      <c r="A581" s="10"/>
      <c r="B581" s="13"/>
      <c r="C581" s="13"/>
    </row>
    <row r="582" spans="1:3" ht="13" x14ac:dyDescent="0.15">
      <c r="A582" s="10"/>
      <c r="B582" s="13"/>
      <c r="C582" s="13"/>
    </row>
    <row r="583" spans="1:3" ht="13" x14ac:dyDescent="0.15">
      <c r="A583" s="10"/>
      <c r="B583" s="13"/>
      <c r="C583" s="13"/>
    </row>
    <row r="584" spans="1:3" ht="13" x14ac:dyDescent="0.15">
      <c r="A584" s="10"/>
      <c r="B584" s="13"/>
      <c r="C584" s="13"/>
    </row>
    <row r="585" spans="1:3" ht="13" x14ac:dyDescent="0.15">
      <c r="A585" s="10"/>
      <c r="B585" s="13"/>
      <c r="C585" s="13"/>
    </row>
    <row r="586" spans="1:3" ht="13" x14ac:dyDescent="0.15">
      <c r="A586" s="10"/>
      <c r="B586" s="13"/>
      <c r="C586" s="13"/>
    </row>
    <row r="587" spans="1:3" ht="13" x14ac:dyDescent="0.15">
      <c r="A587" s="10"/>
      <c r="B587" s="13"/>
      <c r="C587" s="13"/>
    </row>
    <row r="588" spans="1:3" ht="13" x14ac:dyDescent="0.15">
      <c r="A588" s="10"/>
      <c r="B588" s="13"/>
      <c r="C588" s="13"/>
    </row>
    <row r="589" spans="1:3" ht="13" x14ac:dyDescent="0.15">
      <c r="A589" s="10"/>
      <c r="B589" s="13"/>
      <c r="C589" s="13"/>
    </row>
    <row r="590" spans="1:3" ht="13" x14ac:dyDescent="0.15">
      <c r="A590" s="10"/>
      <c r="B590" s="13"/>
      <c r="C590" s="13"/>
    </row>
    <row r="591" spans="1:3" ht="13" x14ac:dyDescent="0.15">
      <c r="A591" s="10"/>
      <c r="B591" s="13"/>
      <c r="C591" s="13"/>
    </row>
    <row r="592" spans="1:3" ht="13" x14ac:dyDescent="0.15">
      <c r="A592" s="10"/>
      <c r="B592" s="13"/>
      <c r="C592" s="13"/>
    </row>
    <row r="593" spans="1:3" ht="13" x14ac:dyDescent="0.15">
      <c r="A593" s="10"/>
      <c r="B593" s="13"/>
      <c r="C593" s="13"/>
    </row>
    <row r="594" spans="1:3" ht="13" x14ac:dyDescent="0.15">
      <c r="A594" s="10"/>
      <c r="B594" s="13"/>
      <c r="C594" s="13"/>
    </row>
    <row r="595" spans="1:3" ht="13" x14ac:dyDescent="0.15">
      <c r="A595" s="10"/>
      <c r="B595" s="13"/>
      <c r="C595" s="13"/>
    </row>
    <row r="596" spans="1:3" ht="13" x14ac:dyDescent="0.15">
      <c r="A596" s="10"/>
      <c r="B596" s="13"/>
      <c r="C596" s="13"/>
    </row>
    <row r="597" spans="1:3" ht="13" x14ac:dyDescent="0.15">
      <c r="A597" s="10"/>
      <c r="B597" s="13"/>
      <c r="C597" s="13"/>
    </row>
    <row r="598" spans="1:3" ht="13" x14ac:dyDescent="0.15">
      <c r="A598" s="10"/>
      <c r="B598" s="13"/>
      <c r="C598" s="13"/>
    </row>
    <row r="599" spans="1:3" ht="13" x14ac:dyDescent="0.15">
      <c r="A599" s="10"/>
      <c r="B599" s="13"/>
      <c r="C599" s="13"/>
    </row>
    <row r="600" spans="1:3" ht="13" x14ac:dyDescent="0.15">
      <c r="A600" s="10"/>
      <c r="B600" s="13"/>
      <c r="C600" s="13"/>
    </row>
    <row r="601" spans="1:3" ht="13" x14ac:dyDescent="0.15">
      <c r="A601" s="10"/>
      <c r="B601" s="13"/>
      <c r="C601" s="13"/>
    </row>
    <row r="602" spans="1:3" ht="13" x14ac:dyDescent="0.15">
      <c r="A602" s="10"/>
      <c r="B602" s="13"/>
      <c r="C602" s="13"/>
    </row>
    <row r="603" spans="1:3" ht="13" x14ac:dyDescent="0.15">
      <c r="A603" s="10"/>
      <c r="B603" s="13"/>
      <c r="C603" s="13"/>
    </row>
    <row r="604" spans="1:3" ht="13" x14ac:dyDescent="0.15">
      <c r="A604" s="10"/>
      <c r="B604" s="13"/>
      <c r="C604" s="13"/>
    </row>
    <row r="605" spans="1:3" ht="13" x14ac:dyDescent="0.15">
      <c r="A605" s="10"/>
      <c r="B605" s="13"/>
      <c r="C605" s="13"/>
    </row>
    <row r="606" spans="1:3" ht="13" x14ac:dyDescent="0.15">
      <c r="A606" s="10"/>
      <c r="B606" s="13"/>
      <c r="C606" s="13"/>
    </row>
    <row r="607" spans="1:3" ht="13" x14ac:dyDescent="0.15">
      <c r="A607" s="10"/>
      <c r="B607" s="13"/>
      <c r="C607" s="13"/>
    </row>
    <row r="608" spans="1:3" ht="13" x14ac:dyDescent="0.15">
      <c r="A608" s="10"/>
      <c r="B608" s="13"/>
      <c r="C608" s="13"/>
    </row>
    <row r="609" spans="1:3" ht="13" x14ac:dyDescent="0.15">
      <c r="A609" s="10"/>
      <c r="B609" s="13"/>
      <c r="C609" s="13"/>
    </row>
    <row r="610" spans="1:3" ht="13" x14ac:dyDescent="0.15">
      <c r="A610" s="10"/>
      <c r="B610" s="13"/>
      <c r="C610" s="13"/>
    </row>
    <row r="611" spans="1:3" ht="13" x14ac:dyDescent="0.15">
      <c r="A611" s="10"/>
      <c r="B611" s="13"/>
      <c r="C611" s="13"/>
    </row>
    <row r="612" spans="1:3" ht="13" x14ac:dyDescent="0.15">
      <c r="A612" s="10"/>
      <c r="B612" s="13"/>
      <c r="C612" s="13"/>
    </row>
    <row r="613" spans="1:3" ht="13" x14ac:dyDescent="0.15">
      <c r="A613" s="10"/>
      <c r="B613" s="13"/>
      <c r="C613" s="13"/>
    </row>
    <row r="614" spans="1:3" ht="13" x14ac:dyDescent="0.15">
      <c r="A614" s="10"/>
      <c r="B614" s="13"/>
      <c r="C614" s="13"/>
    </row>
    <row r="615" spans="1:3" ht="13" x14ac:dyDescent="0.15">
      <c r="A615" s="10"/>
      <c r="B615" s="13"/>
      <c r="C615" s="13"/>
    </row>
    <row r="616" spans="1:3" ht="13" x14ac:dyDescent="0.15">
      <c r="A616" s="10"/>
      <c r="B616" s="13"/>
      <c r="C616" s="13"/>
    </row>
    <row r="617" spans="1:3" ht="13" x14ac:dyDescent="0.15">
      <c r="A617" s="10"/>
      <c r="B617" s="13"/>
      <c r="C617" s="13"/>
    </row>
    <row r="618" spans="1:3" ht="13" x14ac:dyDescent="0.15">
      <c r="A618" s="10"/>
      <c r="B618" s="13"/>
      <c r="C618" s="13"/>
    </row>
    <row r="619" spans="1:3" ht="13" x14ac:dyDescent="0.15">
      <c r="A619" s="10"/>
      <c r="B619" s="13"/>
      <c r="C619" s="13"/>
    </row>
    <row r="620" spans="1:3" ht="13" x14ac:dyDescent="0.15">
      <c r="A620" s="10"/>
      <c r="B620" s="13"/>
      <c r="C620" s="13"/>
    </row>
    <row r="621" spans="1:3" ht="13" x14ac:dyDescent="0.15">
      <c r="A621" s="10"/>
      <c r="B621" s="13"/>
      <c r="C621" s="13"/>
    </row>
    <row r="622" spans="1:3" ht="13" x14ac:dyDescent="0.15">
      <c r="A622" s="10"/>
      <c r="B622" s="13"/>
      <c r="C622" s="13"/>
    </row>
    <row r="623" spans="1:3" ht="13" x14ac:dyDescent="0.15">
      <c r="A623" s="10"/>
      <c r="B623" s="13"/>
      <c r="C623" s="13"/>
    </row>
    <row r="624" spans="1:3" ht="13" x14ac:dyDescent="0.15">
      <c r="A624" s="10"/>
      <c r="B624" s="13"/>
      <c r="C624" s="13"/>
    </row>
    <row r="625" spans="1:3" ht="13" x14ac:dyDescent="0.15">
      <c r="A625" s="10"/>
      <c r="B625" s="13"/>
      <c r="C625" s="13"/>
    </row>
    <row r="626" spans="1:3" ht="13" x14ac:dyDescent="0.15">
      <c r="A626" s="10"/>
      <c r="B626" s="13"/>
      <c r="C626" s="13"/>
    </row>
    <row r="627" spans="1:3" ht="13" x14ac:dyDescent="0.15">
      <c r="A627" s="10"/>
      <c r="B627" s="13"/>
      <c r="C627" s="13"/>
    </row>
    <row r="628" spans="1:3" ht="13" x14ac:dyDescent="0.15">
      <c r="A628" s="10"/>
      <c r="B628" s="13"/>
      <c r="C628" s="13"/>
    </row>
    <row r="629" spans="1:3" ht="13" x14ac:dyDescent="0.15">
      <c r="A629" s="10"/>
      <c r="B629" s="13"/>
      <c r="C629" s="13"/>
    </row>
    <row r="630" spans="1:3" ht="13" x14ac:dyDescent="0.15">
      <c r="A630" s="10"/>
      <c r="B630" s="13"/>
      <c r="C630" s="13"/>
    </row>
    <row r="631" spans="1:3" ht="13" x14ac:dyDescent="0.15">
      <c r="A631" s="10"/>
      <c r="B631" s="13"/>
      <c r="C631" s="13"/>
    </row>
    <row r="632" spans="1:3" ht="13" x14ac:dyDescent="0.15">
      <c r="A632" s="10"/>
      <c r="B632" s="13"/>
      <c r="C632" s="13"/>
    </row>
    <row r="633" spans="1:3" ht="13" x14ac:dyDescent="0.15">
      <c r="A633" s="10"/>
      <c r="B633" s="13"/>
      <c r="C633" s="13"/>
    </row>
    <row r="634" spans="1:3" ht="13" x14ac:dyDescent="0.15">
      <c r="A634" s="10"/>
      <c r="B634" s="13"/>
      <c r="C634" s="13"/>
    </row>
    <row r="635" spans="1:3" ht="13" x14ac:dyDescent="0.15">
      <c r="A635" s="10"/>
      <c r="B635" s="13"/>
      <c r="C635" s="13"/>
    </row>
    <row r="636" spans="1:3" ht="13" x14ac:dyDescent="0.15">
      <c r="A636" s="10"/>
      <c r="B636" s="13"/>
      <c r="C636" s="13"/>
    </row>
    <row r="637" spans="1:3" ht="13" x14ac:dyDescent="0.15">
      <c r="A637" s="10"/>
      <c r="B637" s="13"/>
      <c r="C637" s="13"/>
    </row>
    <row r="638" spans="1:3" ht="13" x14ac:dyDescent="0.15">
      <c r="A638" s="10"/>
      <c r="B638" s="13"/>
      <c r="C638" s="13"/>
    </row>
    <row r="639" spans="1:3" ht="13" x14ac:dyDescent="0.15">
      <c r="A639" s="10"/>
      <c r="B639" s="13"/>
      <c r="C639" s="13"/>
    </row>
    <row r="640" spans="1:3" ht="13" x14ac:dyDescent="0.15">
      <c r="A640" s="10"/>
      <c r="B640" s="13"/>
      <c r="C640" s="13"/>
    </row>
    <row r="641" spans="1:3" ht="13" x14ac:dyDescent="0.15">
      <c r="A641" s="10"/>
      <c r="B641" s="13"/>
      <c r="C641" s="13"/>
    </row>
    <row r="642" spans="1:3" ht="13" x14ac:dyDescent="0.15">
      <c r="A642" s="10"/>
      <c r="B642" s="13"/>
      <c r="C642" s="13"/>
    </row>
    <row r="643" spans="1:3" ht="13" x14ac:dyDescent="0.15">
      <c r="A643" s="10"/>
      <c r="B643" s="13"/>
      <c r="C643" s="13"/>
    </row>
    <row r="644" spans="1:3" ht="13" x14ac:dyDescent="0.15">
      <c r="A644" s="10"/>
      <c r="B644" s="13"/>
      <c r="C644" s="13"/>
    </row>
    <row r="645" spans="1:3" ht="13" x14ac:dyDescent="0.15">
      <c r="A645" s="10"/>
      <c r="B645" s="13"/>
      <c r="C645" s="13"/>
    </row>
    <row r="646" spans="1:3" ht="13" x14ac:dyDescent="0.15">
      <c r="A646" s="10"/>
      <c r="B646" s="13"/>
      <c r="C646" s="13"/>
    </row>
    <row r="647" spans="1:3" ht="13" x14ac:dyDescent="0.15">
      <c r="A647" s="10"/>
      <c r="B647" s="13"/>
      <c r="C647" s="13"/>
    </row>
    <row r="648" spans="1:3" ht="13" x14ac:dyDescent="0.15">
      <c r="A648" s="10"/>
      <c r="B648" s="13"/>
      <c r="C648" s="13"/>
    </row>
    <row r="649" spans="1:3" ht="13" x14ac:dyDescent="0.15">
      <c r="A649" s="10"/>
      <c r="B649" s="13"/>
      <c r="C649" s="13"/>
    </row>
    <row r="650" spans="1:3" ht="13" x14ac:dyDescent="0.15">
      <c r="A650" s="10"/>
      <c r="B650" s="13"/>
      <c r="C650" s="13"/>
    </row>
    <row r="651" spans="1:3" ht="13" x14ac:dyDescent="0.15">
      <c r="A651" s="10"/>
      <c r="B651" s="13"/>
      <c r="C651" s="13"/>
    </row>
    <row r="652" spans="1:3" ht="13" x14ac:dyDescent="0.15">
      <c r="A652" s="10"/>
      <c r="B652" s="13"/>
      <c r="C652" s="13"/>
    </row>
    <row r="653" spans="1:3" ht="13" x14ac:dyDescent="0.15">
      <c r="A653" s="10"/>
      <c r="B653" s="13"/>
      <c r="C653" s="13"/>
    </row>
    <row r="654" spans="1:3" ht="13" x14ac:dyDescent="0.15">
      <c r="A654" s="10"/>
      <c r="B654" s="13"/>
      <c r="C654" s="13"/>
    </row>
    <row r="655" spans="1:3" ht="13" x14ac:dyDescent="0.15">
      <c r="A655" s="10"/>
      <c r="B655" s="13"/>
      <c r="C655" s="13"/>
    </row>
    <row r="656" spans="1:3" ht="13" x14ac:dyDescent="0.15">
      <c r="A656" s="10"/>
      <c r="B656" s="13"/>
      <c r="C656" s="13"/>
    </row>
    <row r="657" spans="1:3" ht="13" x14ac:dyDescent="0.15">
      <c r="A657" s="10"/>
      <c r="B657" s="13"/>
      <c r="C657" s="13"/>
    </row>
    <row r="658" spans="1:3" ht="13" x14ac:dyDescent="0.15">
      <c r="A658" s="10"/>
      <c r="B658" s="13"/>
      <c r="C658" s="13"/>
    </row>
    <row r="659" spans="1:3" ht="13" x14ac:dyDescent="0.15">
      <c r="A659" s="10"/>
      <c r="B659" s="13"/>
      <c r="C659" s="13"/>
    </row>
    <row r="660" spans="1:3" ht="13" x14ac:dyDescent="0.15">
      <c r="A660" s="10"/>
      <c r="B660" s="13"/>
      <c r="C660" s="13"/>
    </row>
    <row r="661" spans="1:3" ht="13" x14ac:dyDescent="0.15">
      <c r="A661" s="10"/>
      <c r="B661" s="13"/>
      <c r="C661" s="13"/>
    </row>
    <row r="662" spans="1:3" ht="13" x14ac:dyDescent="0.15">
      <c r="A662" s="10"/>
      <c r="B662" s="13"/>
      <c r="C662" s="13"/>
    </row>
    <row r="663" spans="1:3" ht="13" x14ac:dyDescent="0.15">
      <c r="A663" s="10"/>
      <c r="B663" s="13"/>
      <c r="C663" s="13"/>
    </row>
    <row r="664" spans="1:3" ht="13" x14ac:dyDescent="0.15">
      <c r="A664" s="10"/>
      <c r="B664" s="13"/>
      <c r="C664" s="13"/>
    </row>
    <row r="665" spans="1:3" ht="13" x14ac:dyDescent="0.15">
      <c r="A665" s="10"/>
      <c r="B665" s="13"/>
      <c r="C665" s="13"/>
    </row>
    <row r="666" spans="1:3" ht="13" x14ac:dyDescent="0.15">
      <c r="A666" s="10"/>
      <c r="B666" s="13"/>
      <c r="C666" s="13"/>
    </row>
    <row r="667" spans="1:3" ht="13" x14ac:dyDescent="0.15">
      <c r="A667" s="10"/>
      <c r="B667" s="13"/>
      <c r="C667" s="13"/>
    </row>
    <row r="668" spans="1:3" ht="13" x14ac:dyDescent="0.15">
      <c r="A668" s="10"/>
      <c r="B668" s="13"/>
      <c r="C668" s="13"/>
    </row>
    <row r="669" spans="1:3" ht="13" x14ac:dyDescent="0.15">
      <c r="A669" s="10"/>
      <c r="B669" s="13"/>
      <c r="C669" s="13"/>
    </row>
    <row r="670" spans="1:3" ht="13" x14ac:dyDescent="0.15">
      <c r="A670" s="10"/>
      <c r="B670" s="13"/>
      <c r="C670" s="13"/>
    </row>
    <row r="671" spans="1:3" ht="13" x14ac:dyDescent="0.15">
      <c r="A671" s="10"/>
      <c r="B671" s="13"/>
      <c r="C671" s="13"/>
    </row>
    <row r="672" spans="1:3" ht="13" x14ac:dyDescent="0.15">
      <c r="A672" s="10"/>
      <c r="B672" s="13"/>
      <c r="C672" s="13"/>
    </row>
    <row r="673" spans="1:3" ht="13" x14ac:dyDescent="0.15">
      <c r="A673" s="10"/>
      <c r="B673" s="13"/>
      <c r="C673" s="13"/>
    </row>
    <row r="674" spans="1:3" ht="13" x14ac:dyDescent="0.15">
      <c r="A674" s="10"/>
      <c r="B674" s="13"/>
      <c r="C674" s="13"/>
    </row>
    <row r="675" spans="1:3" ht="13" x14ac:dyDescent="0.15">
      <c r="A675" s="10"/>
      <c r="B675" s="13"/>
      <c r="C675" s="13"/>
    </row>
    <row r="676" spans="1:3" ht="13" x14ac:dyDescent="0.15">
      <c r="A676" s="10"/>
      <c r="B676" s="13"/>
      <c r="C676" s="13"/>
    </row>
    <row r="677" spans="1:3" ht="13" x14ac:dyDescent="0.15">
      <c r="A677" s="10"/>
      <c r="B677" s="13"/>
      <c r="C677" s="13"/>
    </row>
    <row r="678" spans="1:3" ht="13" x14ac:dyDescent="0.15">
      <c r="A678" s="10"/>
      <c r="B678" s="13"/>
      <c r="C678" s="13"/>
    </row>
    <row r="679" spans="1:3" ht="13" x14ac:dyDescent="0.15">
      <c r="A679" s="10"/>
      <c r="B679" s="13"/>
      <c r="C679" s="13"/>
    </row>
    <row r="680" spans="1:3" ht="13" x14ac:dyDescent="0.15">
      <c r="A680" s="10"/>
      <c r="B680" s="13"/>
      <c r="C680" s="13"/>
    </row>
    <row r="681" spans="1:3" ht="13" x14ac:dyDescent="0.15">
      <c r="A681" s="10"/>
      <c r="B681" s="13"/>
      <c r="C681" s="13"/>
    </row>
    <row r="682" spans="1:3" ht="13" x14ac:dyDescent="0.15">
      <c r="A682" s="10"/>
      <c r="B682" s="13"/>
      <c r="C682" s="13"/>
    </row>
    <row r="683" spans="1:3" ht="13" x14ac:dyDescent="0.15">
      <c r="A683" s="10"/>
      <c r="B683" s="13"/>
      <c r="C683" s="13"/>
    </row>
    <row r="684" spans="1:3" ht="13" x14ac:dyDescent="0.15">
      <c r="A684" s="10"/>
      <c r="B684" s="13"/>
      <c r="C684" s="13"/>
    </row>
    <row r="685" spans="1:3" ht="13" x14ac:dyDescent="0.15">
      <c r="A685" s="10"/>
      <c r="B685" s="13"/>
      <c r="C685" s="13"/>
    </row>
    <row r="686" spans="1:3" ht="13" x14ac:dyDescent="0.15">
      <c r="A686" s="10"/>
      <c r="B686" s="13"/>
      <c r="C686" s="13"/>
    </row>
    <row r="687" spans="1:3" ht="13" x14ac:dyDescent="0.15">
      <c r="A687" s="10"/>
      <c r="B687" s="13"/>
      <c r="C687" s="13"/>
    </row>
    <row r="688" spans="1:3" ht="13" x14ac:dyDescent="0.15">
      <c r="A688" s="10"/>
      <c r="B688" s="13"/>
      <c r="C688" s="13"/>
    </row>
    <row r="689" spans="1:3" ht="13" x14ac:dyDescent="0.15">
      <c r="A689" s="10"/>
      <c r="B689" s="13"/>
      <c r="C689" s="13"/>
    </row>
    <row r="690" spans="1:3" ht="13" x14ac:dyDescent="0.15">
      <c r="A690" s="10"/>
      <c r="B690" s="13"/>
      <c r="C690" s="13"/>
    </row>
    <row r="691" spans="1:3" ht="13" x14ac:dyDescent="0.15">
      <c r="A691" s="10"/>
      <c r="B691" s="13"/>
      <c r="C691" s="13"/>
    </row>
    <row r="692" spans="1:3" ht="13" x14ac:dyDescent="0.15">
      <c r="A692" s="10"/>
      <c r="B692" s="13"/>
      <c r="C692" s="13"/>
    </row>
    <row r="693" spans="1:3" ht="13" x14ac:dyDescent="0.15">
      <c r="A693" s="10"/>
      <c r="B693" s="13"/>
      <c r="C693" s="13"/>
    </row>
    <row r="694" spans="1:3" ht="13" x14ac:dyDescent="0.15">
      <c r="A694" s="10"/>
      <c r="B694" s="13"/>
      <c r="C694" s="13"/>
    </row>
    <row r="695" spans="1:3" ht="13" x14ac:dyDescent="0.15">
      <c r="A695" s="10"/>
      <c r="B695" s="13"/>
      <c r="C695" s="13"/>
    </row>
    <row r="696" spans="1:3" ht="13" x14ac:dyDescent="0.15">
      <c r="A696" s="10"/>
      <c r="B696" s="13"/>
      <c r="C696" s="13"/>
    </row>
    <row r="697" spans="1:3" ht="13" x14ac:dyDescent="0.15">
      <c r="A697" s="10"/>
      <c r="B697" s="13"/>
      <c r="C697" s="13"/>
    </row>
    <row r="698" spans="1:3" ht="13" x14ac:dyDescent="0.15">
      <c r="A698" s="10"/>
      <c r="B698" s="13"/>
      <c r="C698" s="13"/>
    </row>
    <row r="699" spans="1:3" ht="13" x14ac:dyDescent="0.15">
      <c r="A699" s="10"/>
      <c r="B699" s="13"/>
      <c r="C699" s="13"/>
    </row>
    <row r="700" spans="1:3" ht="13" x14ac:dyDescent="0.15">
      <c r="A700" s="10"/>
      <c r="B700" s="13"/>
      <c r="C700" s="13"/>
    </row>
    <row r="701" spans="1:3" ht="13" x14ac:dyDescent="0.15">
      <c r="A701" s="10"/>
      <c r="B701" s="13"/>
      <c r="C701" s="13"/>
    </row>
    <row r="702" spans="1:3" ht="13" x14ac:dyDescent="0.15">
      <c r="A702" s="10"/>
      <c r="B702" s="13"/>
      <c r="C702" s="13"/>
    </row>
    <row r="703" spans="1:3" ht="13" x14ac:dyDescent="0.15">
      <c r="A703" s="10"/>
      <c r="B703" s="13"/>
      <c r="C703" s="13"/>
    </row>
    <row r="704" spans="1:3" ht="13" x14ac:dyDescent="0.15">
      <c r="A704" s="10"/>
      <c r="B704" s="13"/>
      <c r="C704" s="13"/>
    </row>
    <row r="705" spans="1:3" ht="13" x14ac:dyDescent="0.15">
      <c r="A705" s="10"/>
      <c r="B705" s="13"/>
      <c r="C705" s="13"/>
    </row>
    <row r="706" spans="1:3" ht="13" x14ac:dyDescent="0.15">
      <c r="A706" s="10"/>
      <c r="B706" s="13"/>
      <c r="C706" s="13"/>
    </row>
    <row r="707" spans="1:3" ht="13" x14ac:dyDescent="0.15">
      <c r="A707" s="10"/>
      <c r="B707" s="13"/>
      <c r="C707" s="13"/>
    </row>
    <row r="708" spans="1:3" ht="13" x14ac:dyDescent="0.15">
      <c r="A708" s="10"/>
      <c r="B708" s="13"/>
      <c r="C708" s="13"/>
    </row>
    <row r="709" spans="1:3" ht="13" x14ac:dyDescent="0.15">
      <c r="A709" s="10"/>
      <c r="B709" s="13"/>
      <c r="C709" s="13"/>
    </row>
    <row r="710" spans="1:3" ht="13" x14ac:dyDescent="0.15">
      <c r="A710" s="10"/>
      <c r="B710" s="13"/>
      <c r="C710" s="13"/>
    </row>
    <row r="711" spans="1:3" ht="13" x14ac:dyDescent="0.15">
      <c r="A711" s="10"/>
      <c r="B711" s="13"/>
      <c r="C711" s="13"/>
    </row>
    <row r="712" spans="1:3" ht="13" x14ac:dyDescent="0.15">
      <c r="A712" s="10"/>
      <c r="B712" s="13"/>
      <c r="C712" s="13"/>
    </row>
    <row r="713" spans="1:3" ht="13" x14ac:dyDescent="0.15">
      <c r="A713" s="10"/>
      <c r="B713" s="13"/>
      <c r="C713" s="13"/>
    </row>
    <row r="714" spans="1:3" ht="13" x14ac:dyDescent="0.15">
      <c r="A714" s="10"/>
      <c r="B714" s="13"/>
      <c r="C714" s="13"/>
    </row>
    <row r="715" spans="1:3" ht="13" x14ac:dyDescent="0.15">
      <c r="A715" s="10"/>
      <c r="B715" s="13"/>
      <c r="C715" s="13"/>
    </row>
    <row r="716" spans="1:3" ht="13" x14ac:dyDescent="0.15">
      <c r="A716" s="10"/>
      <c r="B716" s="13"/>
      <c r="C716" s="13"/>
    </row>
    <row r="717" spans="1:3" ht="13" x14ac:dyDescent="0.15">
      <c r="A717" s="10"/>
      <c r="B717" s="13"/>
      <c r="C717" s="13"/>
    </row>
    <row r="718" spans="1:3" ht="13" x14ac:dyDescent="0.15">
      <c r="A718" s="10"/>
      <c r="B718" s="13"/>
      <c r="C718" s="13"/>
    </row>
    <row r="719" spans="1:3" ht="13" x14ac:dyDescent="0.15">
      <c r="A719" s="10"/>
      <c r="B719" s="13"/>
      <c r="C719" s="13"/>
    </row>
    <row r="720" spans="1:3" ht="13" x14ac:dyDescent="0.15">
      <c r="A720" s="10"/>
      <c r="B720" s="13"/>
      <c r="C720" s="13"/>
    </row>
    <row r="721" spans="1:3" ht="13" x14ac:dyDescent="0.15">
      <c r="A721" s="10"/>
      <c r="B721" s="13"/>
      <c r="C721" s="13"/>
    </row>
    <row r="722" spans="1:3" ht="13" x14ac:dyDescent="0.15">
      <c r="A722" s="10"/>
      <c r="B722" s="13"/>
      <c r="C722" s="13"/>
    </row>
    <row r="723" spans="1:3" ht="13" x14ac:dyDescent="0.15">
      <c r="A723" s="10"/>
      <c r="B723" s="13"/>
      <c r="C723" s="13"/>
    </row>
    <row r="724" spans="1:3" ht="13" x14ac:dyDescent="0.15">
      <c r="A724" s="10"/>
      <c r="B724" s="13"/>
      <c r="C724" s="13"/>
    </row>
    <row r="725" spans="1:3" ht="13" x14ac:dyDescent="0.15">
      <c r="A725" s="10"/>
      <c r="B725" s="13"/>
      <c r="C725" s="13"/>
    </row>
    <row r="726" spans="1:3" ht="13" x14ac:dyDescent="0.15">
      <c r="A726" s="10"/>
      <c r="B726" s="13"/>
      <c r="C726" s="13"/>
    </row>
    <row r="727" spans="1:3" ht="13" x14ac:dyDescent="0.15">
      <c r="A727" s="10"/>
      <c r="B727" s="13"/>
      <c r="C727" s="13"/>
    </row>
    <row r="728" spans="1:3" ht="13" x14ac:dyDescent="0.15">
      <c r="A728" s="10"/>
      <c r="B728" s="13"/>
      <c r="C728" s="13"/>
    </row>
    <row r="729" spans="1:3" ht="13" x14ac:dyDescent="0.15">
      <c r="A729" s="10"/>
      <c r="B729" s="13"/>
      <c r="C729" s="13"/>
    </row>
    <row r="730" spans="1:3" ht="13" x14ac:dyDescent="0.15">
      <c r="A730" s="10"/>
      <c r="B730" s="13"/>
      <c r="C730" s="13"/>
    </row>
    <row r="731" spans="1:3" ht="13" x14ac:dyDescent="0.15">
      <c r="A731" s="10"/>
      <c r="B731" s="13"/>
      <c r="C731" s="13"/>
    </row>
    <row r="732" spans="1:3" ht="13" x14ac:dyDescent="0.15">
      <c r="A732" s="10"/>
      <c r="B732" s="13"/>
      <c r="C732" s="13"/>
    </row>
    <row r="733" spans="1:3" ht="13" x14ac:dyDescent="0.15">
      <c r="A733" s="10"/>
      <c r="B733" s="13"/>
      <c r="C733" s="13"/>
    </row>
    <row r="734" spans="1:3" ht="13" x14ac:dyDescent="0.15">
      <c r="A734" s="10"/>
      <c r="B734" s="13"/>
      <c r="C734" s="13"/>
    </row>
    <row r="735" spans="1:3" ht="13" x14ac:dyDescent="0.15">
      <c r="A735" s="10"/>
      <c r="B735" s="13"/>
      <c r="C735" s="13"/>
    </row>
    <row r="736" spans="1:3" ht="13" x14ac:dyDescent="0.15">
      <c r="A736" s="10"/>
      <c r="B736" s="13"/>
      <c r="C736" s="13"/>
    </row>
    <row r="737" spans="1:3" ht="13" x14ac:dyDescent="0.15">
      <c r="A737" s="10"/>
      <c r="B737" s="13"/>
      <c r="C737" s="13"/>
    </row>
    <row r="738" spans="1:3" ht="13" x14ac:dyDescent="0.15">
      <c r="A738" s="10"/>
      <c r="B738" s="13"/>
      <c r="C738" s="13"/>
    </row>
    <row r="739" spans="1:3" ht="13" x14ac:dyDescent="0.15">
      <c r="A739" s="10"/>
      <c r="B739" s="13"/>
      <c r="C739" s="13"/>
    </row>
    <row r="740" spans="1:3" ht="13" x14ac:dyDescent="0.15">
      <c r="A740" s="10"/>
      <c r="B740" s="13"/>
      <c r="C740" s="13"/>
    </row>
    <row r="741" spans="1:3" ht="13" x14ac:dyDescent="0.15">
      <c r="A741" s="10"/>
      <c r="B741" s="13"/>
      <c r="C741" s="13"/>
    </row>
    <row r="742" spans="1:3" ht="13" x14ac:dyDescent="0.15">
      <c r="A742" s="10"/>
      <c r="B742" s="13"/>
      <c r="C742" s="13"/>
    </row>
    <row r="743" spans="1:3" ht="13" x14ac:dyDescent="0.15">
      <c r="A743" s="10"/>
      <c r="B743" s="13"/>
      <c r="C743" s="13"/>
    </row>
    <row r="744" spans="1:3" ht="13" x14ac:dyDescent="0.15">
      <c r="A744" s="10"/>
      <c r="B744" s="13"/>
      <c r="C744" s="13"/>
    </row>
    <row r="745" spans="1:3" ht="13" x14ac:dyDescent="0.15">
      <c r="A745" s="10"/>
      <c r="B745" s="13"/>
      <c r="C745" s="13"/>
    </row>
    <row r="746" spans="1:3" ht="13" x14ac:dyDescent="0.15">
      <c r="A746" s="10"/>
      <c r="B746" s="13"/>
      <c r="C746" s="13"/>
    </row>
    <row r="747" spans="1:3" ht="13" x14ac:dyDescent="0.15">
      <c r="A747" s="10"/>
      <c r="B747" s="13"/>
      <c r="C747" s="13"/>
    </row>
    <row r="748" spans="1:3" ht="13" x14ac:dyDescent="0.15">
      <c r="A748" s="10"/>
      <c r="B748" s="13"/>
      <c r="C748" s="13"/>
    </row>
    <row r="749" spans="1:3" ht="13" x14ac:dyDescent="0.15">
      <c r="A749" s="10"/>
      <c r="B749" s="13"/>
      <c r="C749" s="13"/>
    </row>
    <row r="750" spans="1:3" ht="13" x14ac:dyDescent="0.15">
      <c r="A750" s="10"/>
      <c r="B750" s="13"/>
      <c r="C750" s="13"/>
    </row>
    <row r="751" spans="1:3" ht="13" x14ac:dyDescent="0.15">
      <c r="A751" s="10"/>
      <c r="B751" s="13"/>
      <c r="C751" s="13"/>
    </row>
    <row r="752" spans="1:3" ht="13" x14ac:dyDescent="0.15">
      <c r="A752" s="10"/>
      <c r="B752" s="13"/>
      <c r="C752" s="13"/>
    </row>
    <row r="753" spans="1:3" ht="13" x14ac:dyDescent="0.15">
      <c r="A753" s="10"/>
      <c r="B753" s="13"/>
      <c r="C753" s="13"/>
    </row>
    <row r="754" spans="1:3" ht="13" x14ac:dyDescent="0.15">
      <c r="A754" s="10"/>
      <c r="B754" s="13"/>
      <c r="C754" s="13"/>
    </row>
    <row r="755" spans="1:3" ht="13" x14ac:dyDescent="0.15">
      <c r="A755" s="10"/>
      <c r="B755" s="13"/>
      <c r="C755" s="13"/>
    </row>
    <row r="756" spans="1:3" ht="13" x14ac:dyDescent="0.15">
      <c r="A756" s="10"/>
      <c r="B756" s="13"/>
      <c r="C756" s="13"/>
    </row>
    <row r="757" spans="1:3" ht="13" x14ac:dyDescent="0.15">
      <c r="A757" s="10"/>
      <c r="B757" s="13"/>
      <c r="C757" s="13"/>
    </row>
    <row r="758" spans="1:3" ht="13" x14ac:dyDescent="0.15">
      <c r="A758" s="10"/>
      <c r="B758" s="13"/>
      <c r="C758" s="13"/>
    </row>
    <row r="759" spans="1:3" ht="13" x14ac:dyDescent="0.15">
      <c r="A759" s="10"/>
      <c r="B759" s="13"/>
      <c r="C759" s="13"/>
    </row>
    <row r="760" spans="1:3" ht="13" x14ac:dyDescent="0.15">
      <c r="A760" s="10"/>
      <c r="B760" s="13"/>
      <c r="C760" s="13"/>
    </row>
    <row r="761" spans="1:3" ht="13" x14ac:dyDescent="0.15">
      <c r="A761" s="10"/>
      <c r="B761" s="13"/>
      <c r="C761" s="13"/>
    </row>
    <row r="762" spans="1:3" ht="13" x14ac:dyDescent="0.15">
      <c r="A762" s="10"/>
      <c r="B762" s="13"/>
      <c r="C762" s="13"/>
    </row>
    <row r="763" spans="1:3" ht="13" x14ac:dyDescent="0.15">
      <c r="A763" s="10"/>
      <c r="B763" s="13"/>
      <c r="C763" s="13"/>
    </row>
    <row r="764" spans="1:3" ht="13" x14ac:dyDescent="0.15">
      <c r="A764" s="10"/>
      <c r="B764" s="13"/>
      <c r="C764" s="13"/>
    </row>
    <row r="765" spans="1:3" ht="13" x14ac:dyDescent="0.15">
      <c r="A765" s="10"/>
      <c r="B765" s="13"/>
      <c r="C765" s="13"/>
    </row>
    <row r="766" spans="1:3" ht="13" x14ac:dyDescent="0.15">
      <c r="A766" s="10"/>
      <c r="B766" s="13"/>
      <c r="C766" s="13"/>
    </row>
    <row r="767" spans="1:3" ht="13" x14ac:dyDescent="0.15">
      <c r="A767" s="10"/>
      <c r="B767" s="13"/>
      <c r="C767" s="13"/>
    </row>
    <row r="768" spans="1:3" ht="13" x14ac:dyDescent="0.15">
      <c r="A768" s="10"/>
      <c r="B768" s="13"/>
      <c r="C768" s="13"/>
    </row>
    <row r="769" spans="1:3" ht="13" x14ac:dyDescent="0.15">
      <c r="A769" s="10"/>
      <c r="B769" s="13"/>
      <c r="C769" s="13"/>
    </row>
    <row r="770" spans="1:3" ht="13" x14ac:dyDescent="0.15">
      <c r="A770" s="10"/>
      <c r="B770" s="13"/>
      <c r="C770" s="13"/>
    </row>
    <row r="771" spans="1:3" ht="13" x14ac:dyDescent="0.15">
      <c r="A771" s="10"/>
      <c r="B771" s="13"/>
      <c r="C771" s="13"/>
    </row>
    <row r="772" spans="1:3" ht="13" x14ac:dyDescent="0.15">
      <c r="A772" s="10"/>
      <c r="B772" s="13"/>
      <c r="C772" s="13"/>
    </row>
    <row r="773" spans="1:3" ht="13" x14ac:dyDescent="0.15">
      <c r="A773" s="10"/>
      <c r="B773" s="13"/>
      <c r="C773" s="13"/>
    </row>
    <row r="774" spans="1:3" ht="13" x14ac:dyDescent="0.15">
      <c r="A774" s="10"/>
      <c r="B774" s="13"/>
      <c r="C774" s="13"/>
    </row>
    <row r="775" spans="1:3" ht="13" x14ac:dyDescent="0.15">
      <c r="A775" s="10"/>
      <c r="B775" s="13"/>
      <c r="C775" s="13"/>
    </row>
    <row r="776" spans="1:3" ht="13" x14ac:dyDescent="0.15">
      <c r="A776" s="10"/>
      <c r="B776" s="13"/>
      <c r="C776" s="13"/>
    </row>
    <row r="777" spans="1:3" ht="13" x14ac:dyDescent="0.15">
      <c r="A777" s="10"/>
      <c r="B777" s="13"/>
      <c r="C777" s="13"/>
    </row>
    <row r="778" spans="1:3" ht="13" x14ac:dyDescent="0.15">
      <c r="A778" s="10"/>
      <c r="B778" s="13"/>
      <c r="C778" s="13"/>
    </row>
    <row r="779" spans="1:3" ht="13" x14ac:dyDescent="0.15">
      <c r="A779" s="10"/>
      <c r="B779" s="13"/>
      <c r="C779" s="13"/>
    </row>
    <row r="780" spans="1:3" ht="13" x14ac:dyDescent="0.15">
      <c r="A780" s="10"/>
      <c r="B780" s="13"/>
      <c r="C780" s="13"/>
    </row>
    <row r="781" spans="1:3" ht="13" x14ac:dyDescent="0.15">
      <c r="A781" s="10"/>
      <c r="B781" s="13"/>
      <c r="C781" s="13"/>
    </row>
    <row r="782" spans="1:3" ht="13" x14ac:dyDescent="0.15">
      <c r="A782" s="10"/>
      <c r="B782" s="13"/>
      <c r="C782" s="13"/>
    </row>
    <row r="783" spans="1:3" ht="13" x14ac:dyDescent="0.15">
      <c r="A783" s="10"/>
      <c r="B783" s="13"/>
      <c r="C783" s="13"/>
    </row>
    <row r="784" spans="1:3" ht="13" x14ac:dyDescent="0.15">
      <c r="A784" s="10"/>
      <c r="B784" s="13"/>
      <c r="C784" s="13"/>
    </row>
    <row r="785" spans="1:3" ht="13" x14ac:dyDescent="0.15">
      <c r="A785" s="10"/>
      <c r="B785" s="13"/>
      <c r="C785" s="13"/>
    </row>
    <row r="786" spans="1:3" ht="13" x14ac:dyDescent="0.15">
      <c r="A786" s="10"/>
      <c r="B786" s="13"/>
      <c r="C786" s="13"/>
    </row>
    <row r="787" spans="1:3" ht="13" x14ac:dyDescent="0.15">
      <c r="A787" s="10"/>
      <c r="B787" s="13"/>
      <c r="C787" s="13"/>
    </row>
    <row r="788" spans="1:3" ht="13" x14ac:dyDescent="0.15">
      <c r="A788" s="10"/>
      <c r="B788" s="13"/>
      <c r="C788" s="13"/>
    </row>
    <row r="789" spans="1:3" ht="13" x14ac:dyDescent="0.15">
      <c r="A789" s="10"/>
      <c r="B789" s="13"/>
      <c r="C789" s="13"/>
    </row>
    <row r="790" spans="1:3" ht="13" x14ac:dyDescent="0.15">
      <c r="A790" s="10"/>
      <c r="B790" s="13"/>
      <c r="C790" s="13"/>
    </row>
    <row r="791" spans="1:3" ht="13" x14ac:dyDescent="0.15">
      <c r="A791" s="10"/>
      <c r="B791" s="13"/>
      <c r="C791" s="13"/>
    </row>
    <row r="792" spans="1:3" ht="13" x14ac:dyDescent="0.15">
      <c r="A792" s="10"/>
      <c r="B792" s="13"/>
      <c r="C792" s="13"/>
    </row>
    <row r="793" spans="1:3" ht="13" x14ac:dyDescent="0.15">
      <c r="A793" s="10"/>
      <c r="B793" s="13"/>
      <c r="C793" s="13"/>
    </row>
    <row r="794" spans="1:3" ht="13" x14ac:dyDescent="0.15">
      <c r="A794" s="10"/>
      <c r="B794" s="13"/>
      <c r="C794" s="13"/>
    </row>
    <row r="795" spans="1:3" ht="13" x14ac:dyDescent="0.15">
      <c r="A795" s="10"/>
      <c r="B795" s="13"/>
      <c r="C795" s="13"/>
    </row>
    <row r="796" spans="1:3" ht="13" x14ac:dyDescent="0.15">
      <c r="A796" s="10"/>
      <c r="B796" s="13"/>
      <c r="C796" s="13"/>
    </row>
    <row r="797" spans="1:3" ht="13" x14ac:dyDescent="0.15">
      <c r="A797" s="10"/>
      <c r="B797" s="13"/>
      <c r="C797" s="13"/>
    </row>
    <row r="798" spans="1:3" ht="13" x14ac:dyDescent="0.15">
      <c r="A798" s="10"/>
      <c r="B798" s="13"/>
      <c r="C798" s="13"/>
    </row>
    <row r="799" spans="1:3" ht="13" x14ac:dyDescent="0.15">
      <c r="A799" s="10"/>
      <c r="B799" s="13"/>
      <c r="C799" s="13"/>
    </row>
    <row r="800" spans="1:3" ht="13" x14ac:dyDescent="0.15">
      <c r="A800" s="10"/>
      <c r="B800" s="13"/>
      <c r="C800" s="13"/>
    </row>
    <row r="801" spans="1:3" ht="13" x14ac:dyDescent="0.15">
      <c r="A801" s="10"/>
      <c r="B801" s="13"/>
      <c r="C801" s="13"/>
    </row>
    <row r="802" spans="1:3" ht="13" x14ac:dyDescent="0.15">
      <c r="A802" s="10"/>
      <c r="B802" s="13"/>
      <c r="C802" s="13"/>
    </row>
    <row r="803" spans="1:3" ht="13" x14ac:dyDescent="0.15">
      <c r="A803" s="10"/>
      <c r="B803" s="13"/>
      <c r="C803" s="13"/>
    </row>
    <row r="804" spans="1:3" ht="13" x14ac:dyDescent="0.15">
      <c r="A804" s="10"/>
      <c r="B804" s="13"/>
      <c r="C804" s="13"/>
    </row>
    <row r="805" spans="1:3" ht="13" x14ac:dyDescent="0.15">
      <c r="A805" s="10"/>
      <c r="B805" s="13"/>
      <c r="C805" s="13"/>
    </row>
    <row r="806" spans="1:3" ht="13" x14ac:dyDescent="0.15">
      <c r="A806" s="10"/>
      <c r="B806" s="13"/>
      <c r="C806" s="13"/>
    </row>
    <row r="807" spans="1:3" ht="13" x14ac:dyDescent="0.15">
      <c r="A807" s="10"/>
      <c r="B807" s="13"/>
      <c r="C807" s="13"/>
    </row>
    <row r="808" spans="1:3" ht="13" x14ac:dyDescent="0.15">
      <c r="A808" s="10"/>
      <c r="B808" s="13"/>
      <c r="C808" s="13"/>
    </row>
    <row r="809" spans="1:3" ht="13" x14ac:dyDescent="0.15">
      <c r="A809" s="10"/>
      <c r="B809" s="13"/>
      <c r="C809" s="13"/>
    </row>
    <row r="810" spans="1:3" ht="13" x14ac:dyDescent="0.15">
      <c r="A810" s="10"/>
      <c r="B810" s="13"/>
      <c r="C810" s="13"/>
    </row>
    <row r="811" spans="1:3" ht="13" x14ac:dyDescent="0.15">
      <c r="A811" s="10"/>
      <c r="B811" s="13"/>
      <c r="C811" s="13"/>
    </row>
    <row r="812" spans="1:3" ht="13" x14ac:dyDescent="0.15">
      <c r="A812" s="10"/>
      <c r="B812" s="13"/>
      <c r="C812" s="13"/>
    </row>
    <row r="813" spans="1:3" ht="13" x14ac:dyDescent="0.15">
      <c r="A813" s="10"/>
      <c r="B813" s="13"/>
      <c r="C813" s="13"/>
    </row>
    <row r="814" spans="1:3" ht="13" x14ac:dyDescent="0.15">
      <c r="A814" s="10"/>
      <c r="B814" s="13"/>
      <c r="C814" s="13"/>
    </row>
    <row r="815" spans="1:3" ht="13" x14ac:dyDescent="0.15">
      <c r="A815" s="10"/>
      <c r="B815" s="13"/>
      <c r="C815" s="13"/>
    </row>
    <row r="816" spans="1:3" ht="13" x14ac:dyDescent="0.15">
      <c r="A816" s="10"/>
      <c r="B816" s="13"/>
      <c r="C816" s="13"/>
    </row>
    <row r="817" spans="1:3" ht="13" x14ac:dyDescent="0.15">
      <c r="A817" s="10"/>
      <c r="B817" s="13"/>
      <c r="C817" s="13"/>
    </row>
    <row r="818" spans="1:3" ht="13" x14ac:dyDescent="0.15">
      <c r="A818" s="10"/>
      <c r="B818" s="13"/>
      <c r="C818" s="13"/>
    </row>
    <row r="819" spans="1:3" ht="13" x14ac:dyDescent="0.15">
      <c r="A819" s="10"/>
      <c r="B819" s="13"/>
      <c r="C819" s="13"/>
    </row>
    <row r="820" spans="1:3" ht="13" x14ac:dyDescent="0.15">
      <c r="A820" s="10"/>
      <c r="B820" s="13"/>
      <c r="C820" s="13"/>
    </row>
    <row r="821" spans="1:3" ht="13" x14ac:dyDescent="0.15">
      <c r="A821" s="10"/>
      <c r="B821" s="13"/>
      <c r="C821" s="13"/>
    </row>
    <row r="822" spans="1:3" ht="13" x14ac:dyDescent="0.15">
      <c r="A822" s="10"/>
      <c r="B822" s="13"/>
      <c r="C822" s="13"/>
    </row>
    <row r="823" spans="1:3" ht="13" x14ac:dyDescent="0.15">
      <c r="A823" s="10"/>
      <c r="B823" s="13"/>
      <c r="C823" s="13"/>
    </row>
    <row r="824" spans="1:3" ht="13" x14ac:dyDescent="0.15">
      <c r="A824" s="10"/>
      <c r="B824" s="13"/>
      <c r="C824" s="13"/>
    </row>
    <row r="825" spans="1:3" ht="13" x14ac:dyDescent="0.15">
      <c r="A825" s="10"/>
      <c r="B825" s="13"/>
      <c r="C825" s="13"/>
    </row>
    <row r="826" spans="1:3" ht="13" x14ac:dyDescent="0.15">
      <c r="A826" s="10"/>
      <c r="B826" s="13"/>
      <c r="C826" s="13"/>
    </row>
    <row r="827" spans="1:3" ht="13" x14ac:dyDescent="0.15">
      <c r="A827" s="10"/>
      <c r="B827" s="13"/>
      <c r="C827" s="13"/>
    </row>
    <row r="828" spans="1:3" ht="13" x14ac:dyDescent="0.15">
      <c r="A828" s="10"/>
      <c r="B828" s="13"/>
      <c r="C828" s="13"/>
    </row>
    <row r="829" spans="1:3" ht="13" x14ac:dyDescent="0.15">
      <c r="A829" s="10"/>
      <c r="B829" s="13"/>
      <c r="C829" s="13"/>
    </row>
    <row r="830" spans="1:3" ht="13" x14ac:dyDescent="0.15">
      <c r="A830" s="10"/>
      <c r="B830" s="13"/>
      <c r="C830" s="13"/>
    </row>
    <row r="831" spans="1:3" ht="13" x14ac:dyDescent="0.15">
      <c r="A831" s="10"/>
      <c r="B831" s="13"/>
      <c r="C831" s="13"/>
    </row>
    <row r="832" spans="1:3" ht="13" x14ac:dyDescent="0.15">
      <c r="A832" s="10"/>
      <c r="B832" s="13"/>
      <c r="C832" s="13"/>
    </row>
    <row r="833" spans="1:3" ht="13" x14ac:dyDescent="0.15">
      <c r="A833" s="10"/>
      <c r="B833" s="13"/>
      <c r="C833" s="13"/>
    </row>
    <row r="834" spans="1:3" ht="13" x14ac:dyDescent="0.15">
      <c r="A834" s="10"/>
      <c r="B834" s="13"/>
      <c r="C834" s="13"/>
    </row>
    <row r="835" spans="1:3" ht="13" x14ac:dyDescent="0.15">
      <c r="A835" s="10"/>
      <c r="B835" s="13"/>
      <c r="C835" s="13"/>
    </row>
    <row r="836" spans="1:3" ht="13" x14ac:dyDescent="0.15">
      <c r="A836" s="10"/>
      <c r="B836" s="13"/>
      <c r="C836" s="13"/>
    </row>
    <row r="837" spans="1:3" ht="13" x14ac:dyDescent="0.15">
      <c r="A837" s="10"/>
      <c r="B837" s="13"/>
      <c r="C837" s="13"/>
    </row>
    <row r="838" spans="1:3" ht="13" x14ac:dyDescent="0.15">
      <c r="A838" s="10"/>
      <c r="B838" s="13"/>
      <c r="C838" s="13"/>
    </row>
    <row r="839" spans="1:3" ht="13" x14ac:dyDescent="0.15">
      <c r="A839" s="10"/>
      <c r="B839" s="13"/>
      <c r="C839" s="13"/>
    </row>
    <row r="840" spans="1:3" ht="13" x14ac:dyDescent="0.15">
      <c r="A840" s="10"/>
      <c r="B840" s="13"/>
      <c r="C840" s="13"/>
    </row>
    <row r="841" spans="1:3" ht="13" x14ac:dyDescent="0.15">
      <c r="A841" s="10"/>
      <c r="B841" s="13"/>
      <c r="C841" s="13"/>
    </row>
    <row r="842" spans="1:3" ht="13" x14ac:dyDescent="0.15">
      <c r="A842" s="10"/>
      <c r="B842" s="13"/>
      <c r="C842" s="13"/>
    </row>
    <row r="843" spans="1:3" ht="13" x14ac:dyDescent="0.15">
      <c r="A843" s="10"/>
      <c r="B843" s="13"/>
      <c r="C843" s="13"/>
    </row>
    <row r="844" spans="1:3" ht="13" x14ac:dyDescent="0.15">
      <c r="A844" s="10"/>
      <c r="B844" s="13"/>
      <c r="C844" s="13"/>
    </row>
    <row r="845" spans="1:3" ht="13" x14ac:dyDescent="0.15">
      <c r="A845" s="10"/>
      <c r="B845" s="13"/>
      <c r="C845" s="13"/>
    </row>
    <row r="846" spans="1:3" ht="13" x14ac:dyDescent="0.15">
      <c r="A846" s="10"/>
      <c r="B846" s="13"/>
      <c r="C846" s="13"/>
    </row>
    <row r="847" spans="1:3" ht="13" x14ac:dyDescent="0.15">
      <c r="A847" s="10"/>
      <c r="B847" s="13"/>
      <c r="C847" s="13"/>
    </row>
    <row r="848" spans="1:3" ht="13" x14ac:dyDescent="0.15">
      <c r="A848" s="10"/>
      <c r="B848" s="13"/>
      <c r="C848" s="13"/>
    </row>
    <row r="849" spans="1:3" ht="13" x14ac:dyDescent="0.15">
      <c r="A849" s="10"/>
      <c r="B849" s="13"/>
      <c r="C849" s="13"/>
    </row>
    <row r="850" spans="1:3" ht="13" x14ac:dyDescent="0.15">
      <c r="A850" s="10"/>
      <c r="B850" s="13"/>
      <c r="C850" s="13"/>
    </row>
    <row r="851" spans="1:3" ht="13" x14ac:dyDescent="0.15">
      <c r="A851" s="10"/>
      <c r="B851" s="13"/>
      <c r="C851" s="13"/>
    </row>
    <row r="852" spans="1:3" ht="13" x14ac:dyDescent="0.15">
      <c r="A852" s="10"/>
      <c r="B852" s="13"/>
      <c r="C852" s="13"/>
    </row>
    <row r="853" spans="1:3" ht="13" x14ac:dyDescent="0.15">
      <c r="A853" s="10"/>
      <c r="B853" s="13"/>
      <c r="C853" s="13"/>
    </row>
    <row r="854" spans="1:3" ht="13" x14ac:dyDescent="0.15">
      <c r="A854" s="10"/>
      <c r="B854" s="13"/>
      <c r="C854" s="13"/>
    </row>
    <row r="855" spans="1:3" ht="13" x14ac:dyDescent="0.15">
      <c r="A855" s="10"/>
      <c r="B855" s="13"/>
      <c r="C855" s="13"/>
    </row>
    <row r="856" spans="1:3" ht="13" x14ac:dyDescent="0.15">
      <c r="A856" s="10"/>
      <c r="B856" s="13"/>
      <c r="C856" s="13"/>
    </row>
    <row r="857" spans="1:3" ht="13" x14ac:dyDescent="0.15">
      <c r="A857" s="10"/>
      <c r="B857" s="13"/>
      <c r="C857" s="13"/>
    </row>
    <row r="858" spans="1:3" ht="13" x14ac:dyDescent="0.15">
      <c r="A858" s="10"/>
      <c r="B858" s="13"/>
      <c r="C858" s="13"/>
    </row>
    <row r="859" spans="1:3" ht="13" x14ac:dyDescent="0.15">
      <c r="A859" s="10"/>
      <c r="B859" s="13"/>
      <c r="C859" s="13"/>
    </row>
    <row r="860" spans="1:3" ht="13" x14ac:dyDescent="0.15">
      <c r="A860" s="10"/>
      <c r="B860" s="13"/>
      <c r="C860" s="13"/>
    </row>
    <row r="861" spans="1:3" ht="13" x14ac:dyDescent="0.15">
      <c r="A861" s="10"/>
      <c r="B861" s="13"/>
      <c r="C861" s="13"/>
    </row>
    <row r="862" spans="1:3" ht="13" x14ac:dyDescent="0.15">
      <c r="A862" s="10"/>
      <c r="B862" s="13"/>
      <c r="C862" s="13"/>
    </row>
    <row r="863" spans="1:3" ht="13" x14ac:dyDescent="0.15">
      <c r="A863" s="10"/>
      <c r="B863" s="13"/>
      <c r="C863" s="13"/>
    </row>
    <row r="864" spans="1:3" ht="13" x14ac:dyDescent="0.15">
      <c r="A864" s="10"/>
      <c r="B864" s="13"/>
      <c r="C864" s="13"/>
    </row>
    <row r="865" spans="1:3" ht="13" x14ac:dyDescent="0.15">
      <c r="A865" s="10"/>
      <c r="B865" s="13"/>
      <c r="C865" s="13"/>
    </row>
    <row r="866" spans="1:3" ht="13" x14ac:dyDescent="0.15">
      <c r="A866" s="10"/>
      <c r="B866" s="13"/>
      <c r="C866" s="13"/>
    </row>
    <row r="867" spans="1:3" ht="13" x14ac:dyDescent="0.15">
      <c r="A867" s="10"/>
      <c r="B867" s="13"/>
      <c r="C867" s="13"/>
    </row>
    <row r="868" spans="1:3" ht="13" x14ac:dyDescent="0.15">
      <c r="A868" s="10"/>
      <c r="B868" s="13"/>
      <c r="C868" s="13"/>
    </row>
    <row r="869" spans="1:3" ht="13" x14ac:dyDescent="0.15">
      <c r="A869" s="10"/>
      <c r="B869" s="13"/>
      <c r="C869" s="13"/>
    </row>
    <row r="870" spans="1:3" ht="13" x14ac:dyDescent="0.15">
      <c r="A870" s="10"/>
      <c r="B870" s="13"/>
      <c r="C870" s="13"/>
    </row>
    <row r="871" spans="1:3" ht="13" x14ac:dyDescent="0.15">
      <c r="A871" s="10"/>
      <c r="B871" s="13"/>
      <c r="C871" s="13"/>
    </row>
    <row r="872" spans="1:3" ht="13" x14ac:dyDescent="0.15">
      <c r="A872" s="10"/>
      <c r="B872" s="13"/>
      <c r="C872" s="13"/>
    </row>
    <row r="873" spans="1:3" ht="13" x14ac:dyDescent="0.15">
      <c r="A873" s="10"/>
      <c r="B873" s="13"/>
      <c r="C873" s="13"/>
    </row>
    <row r="874" spans="1:3" ht="13" x14ac:dyDescent="0.15">
      <c r="A874" s="10"/>
      <c r="B874" s="13"/>
      <c r="C874" s="13"/>
    </row>
    <row r="875" spans="1:3" ht="13" x14ac:dyDescent="0.15">
      <c r="A875" s="10"/>
      <c r="B875" s="13"/>
      <c r="C875" s="13"/>
    </row>
    <row r="876" spans="1:3" ht="13" x14ac:dyDescent="0.15">
      <c r="A876" s="10"/>
      <c r="B876" s="13"/>
      <c r="C876" s="13"/>
    </row>
    <row r="877" spans="1:3" ht="13" x14ac:dyDescent="0.15">
      <c r="A877" s="10"/>
      <c r="B877" s="13"/>
      <c r="C877" s="13"/>
    </row>
    <row r="878" spans="1:3" ht="13" x14ac:dyDescent="0.15">
      <c r="A878" s="10"/>
      <c r="B878" s="13"/>
      <c r="C878" s="13"/>
    </row>
    <row r="879" spans="1:3" ht="13" x14ac:dyDescent="0.15">
      <c r="A879" s="10"/>
      <c r="B879" s="13"/>
      <c r="C879" s="13"/>
    </row>
    <row r="880" spans="1:3" ht="13" x14ac:dyDescent="0.15">
      <c r="A880" s="10"/>
      <c r="B880" s="13"/>
      <c r="C880" s="13"/>
    </row>
    <row r="881" spans="1:3" ht="13" x14ac:dyDescent="0.15">
      <c r="A881" s="10"/>
      <c r="B881" s="13"/>
      <c r="C881" s="13"/>
    </row>
    <row r="882" spans="1:3" ht="13" x14ac:dyDescent="0.15">
      <c r="A882" s="10"/>
      <c r="B882" s="13"/>
      <c r="C882" s="13"/>
    </row>
    <row r="883" spans="1:3" ht="13" x14ac:dyDescent="0.15">
      <c r="A883" s="10"/>
      <c r="B883" s="13"/>
      <c r="C883" s="13"/>
    </row>
    <row r="884" spans="1:3" ht="13" x14ac:dyDescent="0.15">
      <c r="A884" s="10"/>
      <c r="B884" s="13"/>
      <c r="C884" s="13"/>
    </row>
    <row r="885" spans="1:3" ht="13" x14ac:dyDescent="0.15">
      <c r="A885" s="10"/>
      <c r="B885" s="13"/>
      <c r="C885" s="13"/>
    </row>
    <row r="886" spans="1:3" ht="13" x14ac:dyDescent="0.15">
      <c r="A886" s="10"/>
      <c r="B886" s="13"/>
      <c r="C886" s="13"/>
    </row>
    <row r="887" spans="1:3" ht="13" x14ac:dyDescent="0.15">
      <c r="A887" s="10"/>
      <c r="B887" s="13"/>
      <c r="C887" s="13"/>
    </row>
    <row r="888" spans="1:3" ht="13" x14ac:dyDescent="0.15">
      <c r="A888" s="10"/>
      <c r="B888" s="13"/>
      <c r="C888" s="13"/>
    </row>
    <row r="889" spans="1:3" ht="13" x14ac:dyDescent="0.15">
      <c r="A889" s="10"/>
      <c r="B889" s="13"/>
      <c r="C889" s="13"/>
    </row>
    <row r="890" spans="1:3" ht="13" x14ac:dyDescent="0.15">
      <c r="A890" s="10"/>
      <c r="B890" s="13"/>
      <c r="C890" s="13"/>
    </row>
    <row r="891" spans="1:3" ht="13" x14ac:dyDescent="0.15">
      <c r="A891" s="10"/>
      <c r="B891" s="13"/>
      <c r="C891" s="13"/>
    </row>
    <row r="892" spans="1:3" ht="13" x14ac:dyDescent="0.15">
      <c r="A892" s="10"/>
      <c r="B892" s="13"/>
      <c r="C892" s="13"/>
    </row>
    <row r="893" spans="1:3" ht="13" x14ac:dyDescent="0.15">
      <c r="A893" s="10"/>
      <c r="B893" s="13"/>
      <c r="C893" s="13"/>
    </row>
    <row r="894" spans="1:3" ht="13" x14ac:dyDescent="0.15">
      <c r="A894" s="10"/>
      <c r="B894" s="13"/>
      <c r="C894" s="13"/>
    </row>
    <row r="895" spans="1:3" ht="13" x14ac:dyDescent="0.15">
      <c r="A895" s="10"/>
      <c r="B895" s="13"/>
      <c r="C895" s="13"/>
    </row>
    <row r="896" spans="1:3" ht="13" x14ac:dyDescent="0.15">
      <c r="A896" s="10"/>
      <c r="B896" s="13"/>
      <c r="C896" s="13"/>
    </row>
    <row r="897" spans="1:3" ht="13" x14ac:dyDescent="0.15">
      <c r="A897" s="10"/>
      <c r="B897" s="13"/>
      <c r="C897" s="13"/>
    </row>
    <row r="898" spans="1:3" ht="13" x14ac:dyDescent="0.15">
      <c r="A898" s="10"/>
      <c r="B898" s="13"/>
      <c r="C898" s="13"/>
    </row>
    <row r="899" spans="1:3" ht="13" x14ac:dyDescent="0.15">
      <c r="A899" s="10"/>
      <c r="B899" s="13"/>
      <c r="C899" s="13"/>
    </row>
    <row r="900" spans="1:3" ht="13" x14ac:dyDescent="0.15">
      <c r="A900" s="10"/>
      <c r="B900" s="13"/>
      <c r="C900" s="13"/>
    </row>
    <row r="901" spans="1:3" ht="13" x14ac:dyDescent="0.15">
      <c r="A901" s="10"/>
      <c r="B901" s="13"/>
      <c r="C901" s="13"/>
    </row>
    <row r="902" spans="1:3" ht="13" x14ac:dyDescent="0.15">
      <c r="A902" s="10"/>
      <c r="B902" s="13"/>
      <c r="C902" s="13"/>
    </row>
    <row r="903" spans="1:3" ht="13" x14ac:dyDescent="0.15">
      <c r="A903" s="10"/>
      <c r="B903" s="13"/>
      <c r="C903" s="13"/>
    </row>
    <row r="904" spans="1:3" ht="13" x14ac:dyDescent="0.15">
      <c r="A904" s="10"/>
      <c r="B904" s="13"/>
      <c r="C904" s="13"/>
    </row>
    <row r="905" spans="1:3" ht="13" x14ac:dyDescent="0.15">
      <c r="A905" s="10"/>
      <c r="B905" s="13"/>
      <c r="C905" s="13"/>
    </row>
    <row r="906" spans="1:3" ht="13" x14ac:dyDescent="0.15">
      <c r="A906" s="10"/>
      <c r="B906" s="13"/>
      <c r="C906" s="13"/>
    </row>
    <row r="907" spans="1:3" ht="13" x14ac:dyDescent="0.15">
      <c r="A907" s="10"/>
      <c r="B907" s="13"/>
      <c r="C907" s="13"/>
    </row>
    <row r="908" spans="1:3" ht="13" x14ac:dyDescent="0.15">
      <c r="A908" s="10"/>
      <c r="B908" s="13"/>
      <c r="C908" s="13"/>
    </row>
    <row r="909" spans="1:3" ht="13" x14ac:dyDescent="0.15">
      <c r="A909" s="10"/>
      <c r="B909" s="13"/>
      <c r="C909" s="13"/>
    </row>
    <row r="910" spans="1:3" ht="13" x14ac:dyDescent="0.15">
      <c r="A910" s="10"/>
      <c r="B910" s="13"/>
      <c r="C910" s="13"/>
    </row>
    <row r="911" spans="1:3" ht="13" x14ac:dyDescent="0.15">
      <c r="A911" s="10"/>
      <c r="B911" s="13"/>
      <c r="C911" s="13"/>
    </row>
    <row r="912" spans="1:3" ht="13" x14ac:dyDescent="0.15">
      <c r="A912" s="10"/>
      <c r="B912" s="13"/>
      <c r="C912" s="13"/>
    </row>
    <row r="913" spans="1:3" ht="13" x14ac:dyDescent="0.15">
      <c r="A913" s="10"/>
      <c r="B913" s="13"/>
      <c r="C913" s="13"/>
    </row>
    <row r="914" spans="1:3" ht="13" x14ac:dyDescent="0.15">
      <c r="A914" s="10"/>
      <c r="B914" s="13"/>
      <c r="C914" s="13"/>
    </row>
    <row r="915" spans="1:3" ht="13" x14ac:dyDescent="0.15">
      <c r="A915" s="10"/>
      <c r="B915" s="13"/>
      <c r="C915" s="13"/>
    </row>
    <row r="916" spans="1:3" ht="13" x14ac:dyDescent="0.15">
      <c r="A916" s="10"/>
      <c r="B916" s="13"/>
      <c r="C916" s="13"/>
    </row>
    <row r="917" spans="1:3" ht="13" x14ac:dyDescent="0.15">
      <c r="A917" s="10"/>
      <c r="B917" s="13"/>
      <c r="C917" s="13"/>
    </row>
    <row r="918" spans="1:3" ht="13" x14ac:dyDescent="0.15">
      <c r="A918" s="10"/>
      <c r="B918" s="13"/>
      <c r="C918" s="13"/>
    </row>
    <row r="919" spans="1:3" ht="13" x14ac:dyDescent="0.15">
      <c r="A919" s="10"/>
      <c r="B919" s="13"/>
      <c r="C919" s="13"/>
    </row>
    <row r="920" spans="1:3" ht="13" x14ac:dyDescent="0.15">
      <c r="A920" s="10"/>
      <c r="B920" s="13"/>
      <c r="C920" s="13"/>
    </row>
    <row r="921" spans="1:3" ht="13" x14ac:dyDescent="0.15">
      <c r="A921" s="10"/>
      <c r="B921" s="13"/>
      <c r="C921" s="13"/>
    </row>
    <row r="922" spans="1:3" ht="13" x14ac:dyDescent="0.15">
      <c r="A922" s="10"/>
      <c r="B922" s="13"/>
      <c r="C922" s="13"/>
    </row>
    <row r="923" spans="1:3" ht="13" x14ac:dyDescent="0.15">
      <c r="A923" s="10"/>
      <c r="B923" s="13"/>
      <c r="C923" s="13"/>
    </row>
    <row r="924" spans="1:3" ht="13" x14ac:dyDescent="0.15">
      <c r="A924" s="10"/>
      <c r="B924" s="13"/>
      <c r="C924" s="13"/>
    </row>
    <row r="925" spans="1:3" ht="13" x14ac:dyDescent="0.15">
      <c r="A925" s="10"/>
      <c r="B925" s="13"/>
      <c r="C925" s="13"/>
    </row>
    <row r="926" spans="1:3" ht="13" x14ac:dyDescent="0.15">
      <c r="A926" s="10"/>
      <c r="B926" s="13"/>
      <c r="C926" s="13"/>
    </row>
    <row r="927" spans="1:3" ht="13" x14ac:dyDescent="0.15">
      <c r="A927" s="10"/>
      <c r="B927" s="13"/>
      <c r="C927" s="13"/>
    </row>
    <row r="928" spans="1:3" ht="13" x14ac:dyDescent="0.15">
      <c r="A928" s="10"/>
      <c r="B928" s="13"/>
      <c r="C928" s="13"/>
    </row>
    <row r="929" spans="1:3" ht="13" x14ac:dyDescent="0.15">
      <c r="A929" s="10"/>
      <c r="B929" s="13"/>
      <c r="C929" s="13"/>
    </row>
    <row r="930" spans="1:3" ht="13" x14ac:dyDescent="0.15">
      <c r="A930" s="10"/>
      <c r="B930" s="13"/>
      <c r="C930" s="13"/>
    </row>
    <row r="931" spans="1:3" ht="13" x14ac:dyDescent="0.15">
      <c r="A931" s="10"/>
      <c r="B931" s="13"/>
      <c r="C931" s="13"/>
    </row>
    <row r="932" spans="1:3" ht="13" x14ac:dyDescent="0.15">
      <c r="A932" s="10"/>
      <c r="B932" s="13"/>
      <c r="C932" s="13"/>
    </row>
    <row r="933" spans="1:3" ht="13" x14ac:dyDescent="0.15">
      <c r="A933" s="10"/>
      <c r="B933" s="13"/>
      <c r="C933" s="13"/>
    </row>
    <row r="934" spans="1:3" ht="13" x14ac:dyDescent="0.15">
      <c r="A934" s="10"/>
      <c r="B934" s="13"/>
      <c r="C934" s="13"/>
    </row>
    <row r="935" spans="1:3" ht="13" x14ac:dyDescent="0.15">
      <c r="A935" s="10"/>
      <c r="B935" s="13"/>
      <c r="C935" s="13"/>
    </row>
    <row r="936" spans="1:3" ht="13" x14ac:dyDescent="0.15">
      <c r="A936" s="10"/>
      <c r="B936" s="13"/>
      <c r="C936" s="13"/>
    </row>
    <row r="937" spans="1:3" ht="13" x14ac:dyDescent="0.15">
      <c r="A937" s="10"/>
      <c r="B937" s="13"/>
      <c r="C937" s="13"/>
    </row>
    <row r="938" spans="1:3" ht="13" x14ac:dyDescent="0.15">
      <c r="A938" s="10"/>
      <c r="B938" s="13"/>
      <c r="C938" s="13"/>
    </row>
    <row r="939" spans="1:3" ht="13" x14ac:dyDescent="0.15">
      <c r="A939" s="10"/>
      <c r="B939" s="13"/>
      <c r="C939" s="13"/>
    </row>
    <row r="940" spans="1:3" ht="13" x14ac:dyDescent="0.15">
      <c r="A940" s="10"/>
      <c r="B940" s="13"/>
      <c r="C940" s="13"/>
    </row>
    <row r="941" spans="1:3" ht="13" x14ac:dyDescent="0.15">
      <c r="A941" s="10"/>
      <c r="B941" s="13"/>
      <c r="C941" s="13"/>
    </row>
    <row r="942" spans="1:3" ht="13" x14ac:dyDescent="0.15">
      <c r="A942" s="10"/>
      <c r="B942" s="13"/>
      <c r="C942" s="13"/>
    </row>
    <row r="943" spans="1:3" ht="13" x14ac:dyDescent="0.15">
      <c r="A943" s="10"/>
      <c r="B943" s="13"/>
      <c r="C943" s="13"/>
    </row>
    <row r="944" spans="1:3" ht="13" x14ac:dyDescent="0.15">
      <c r="A944" s="10"/>
      <c r="B944" s="13"/>
      <c r="C944" s="13"/>
    </row>
    <row r="945" spans="1:3" ht="13" x14ac:dyDescent="0.15">
      <c r="A945" s="10"/>
      <c r="B945" s="13"/>
      <c r="C945" s="13"/>
    </row>
    <row r="946" spans="1:3" ht="13" x14ac:dyDescent="0.15">
      <c r="A946" s="10"/>
      <c r="B946" s="13"/>
      <c r="C946" s="13"/>
    </row>
    <row r="947" spans="1:3" ht="13" x14ac:dyDescent="0.15">
      <c r="A947" s="10"/>
      <c r="B947" s="13"/>
      <c r="C947" s="13"/>
    </row>
    <row r="948" spans="1:3" ht="13" x14ac:dyDescent="0.15">
      <c r="A948" s="10"/>
      <c r="B948" s="13"/>
      <c r="C948" s="13"/>
    </row>
    <row r="949" spans="1:3" ht="13" x14ac:dyDescent="0.15">
      <c r="A949" s="10"/>
      <c r="B949" s="13"/>
      <c r="C949" s="13"/>
    </row>
    <row r="950" spans="1:3" ht="13" x14ac:dyDescent="0.15">
      <c r="A950" s="10"/>
      <c r="B950" s="13"/>
      <c r="C950" s="13"/>
    </row>
    <row r="951" spans="1:3" ht="13" x14ac:dyDescent="0.15">
      <c r="A951" s="10"/>
      <c r="B951" s="13"/>
      <c r="C951" s="13"/>
    </row>
    <row r="952" spans="1:3" ht="13" x14ac:dyDescent="0.15">
      <c r="A952" s="10"/>
      <c r="B952" s="13"/>
      <c r="C952" s="13"/>
    </row>
    <row r="953" spans="1:3" ht="13" x14ac:dyDescent="0.15">
      <c r="A953" s="10"/>
      <c r="B953" s="13"/>
      <c r="C953" s="13"/>
    </row>
    <row r="954" spans="1:3" ht="13" x14ac:dyDescent="0.15">
      <c r="A954" s="10"/>
      <c r="B954" s="13"/>
      <c r="C954" s="13"/>
    </row>
    <row r="955" spans="1:3" ht="13" x14ac:dyDescent="0.15">
      <c r="A955" s="10"/>
      <c r="B955" s="13"/>
      <c r="C955" s="13"/>
    </row>
    <row r="956" spans="1:3" ht="13" x14ac:dyDescent="0.15">
      <c r="A956" s="10"/>
      <c r="B956" s="13"/>
      <c r="C956" s="13"/>
    </row>
    <row r="957" spans="1:3" ht="13" x14ac:dyDescent="0.15">
      <c r="A957" s="10"/>
      <c r="B957" s="13"/>
      <c r="C957" s="13"/>
    </row>
    <row r="958" spans="1:3" ht="13" x14ac:dyDescent="0.15">
      <c r="A958" s="10"/>
      <c r="B958" s="13"/>
      <c r="C958" s="13"/>
    </row>
    <row r="959" spans="1:3" ht="13" x14ac:dyDescent="0.15">
      <c r="A959" s="10"/>
      <c r="B959" s="13"/>
      <c r="C959" s="13"/>
    </row>
    <row r="960" spans="1:3" ht="13" x14ac:dyDescent="0.15">
      <c r="A960" s="10"/>
      <c r="B960" s="13"/>
      <c r="C960" s="13"/>
    </row>
    <row r="961" spans="1:3" ht="13" x14ac:dyDescent="0.15">
      <c r="A961" s="10"/>
      <c r="B961" s="13"/>
      <c r="C961" s="13"/>
    </row>
    <row r="962" spans="1:3" ht="13" x14ac:dyDescent="0.15">
      <c r="A962" s="10"/>
      <c r="B962" s="13"/>
      <c r="C962" s="13"/>
    </row>
    <row r="963" spans="1:3" ht="13" x14ac:dyDescent="0.15">
      <c r="A963" s="10"/>
      <c r="B963" s="13"/>
      <c r="C963" s="13"/>
    </row>
    <row r="964" spans="1:3" ht="13" x14ac:dyDescent="0.15">
      <c r="A964" s="10"/>
      <c r="B964" s="13"/>
      <c r="C964" s="13"/>
    </row>
    <row r="965" spans="1:3" ht="13" x14ac:dyDescent="0.15">
      <c r="A965" s="10"/>
      <c r="B965" s="13"/>
      <c r="C965" s="13"/>
    </row>
    <row r="966" spans="1:3" ht="13" x14ac:dyDescent="0.15">
      <c r="A966" s="10"/>
      <c r="B966" s="13"/>
      <c r="C966" s="13"/>
    </row>
    <row r="967" spans="1:3" ht="13" x14ac:dyDescent="0.15">
      <c r="A967" s="10"/>
      <c r="B967" s="13"/>
      <c r="C967" s="13"/>
    </row>
    <row r="968" spans="1:3" ht="13" x14ac:dyDescent="0.15">
      <c r="A968" s="10"/>
      <c r="B968" s="13"/>
      <c r="C968" s="13"/>
    </row>
    <row r="969" spans="1:3" ht="13" x14ac:dyDescent="0.15">
      <c r="A969" s="10"/>
      <c r="B969" s="13"/>
      <c r="C969" s="13"/>
    </row>
    <row r="970" spans="1:3" ht="13" x14ac:dyDescent="0.15">
      <c r="A970" s="10"/>
      <c r="B970" s="13"/>
      <c r="C970" s="13"/>
    </row>
    <row r="971" spans="1:3" ht="13" x14ac:dyDescent="0.15">
      <c r="A971" s="10"/>
      <c r="B971" s="13"/>
      <c r="C971" s="13"/>
    </row>
    <row r="972" spans="1:3" ht="13" x14ac:dyDescent="0.15">
      <c r="A972" s="10"/>
      <c r="B972" s="13"/>
      <c r="C972" s="13"/>
    </row>
    <row r="973" spans="1:3" ht="13" x14ac:dyDescent="0.15">
      <c r="A973" s="10"/>
      <c r="B973" s="13"/>
      <c r="C973" s="13"/>
    </row>
    <row r="974" spans="1:3" ht="13" x14ac:dyDescent="0.15">
      <c r="A974" s="10"/>
      <c r="B974" s="13"/>
      <c r="C974" s="13"/>
    </row>
    <row r="975" spans="1:3" ht="13" x14ac:dyDescent="0.15">
      <c r="A975" s="10"/>
      <c r="B975" s="13"/>
      <c r="C975" s="13"/>
    </row>
    <row r="976" spans="1:3" ht="13" x14ac:dyDescent="0.15">
      <c r="A976" s="10"/>
      <c r="B976" s="13"/>
      <c r="C976" s="13"/>
    </row>
    <row r="977" spans="1:3" ht="13" x14ac:dyDescent="0.15">
      <c r="A977" s="10"/>
      <c r="B977" s="13"/>
      <c r="C977" s="13"/>
    </row>
    <row r="978" spans="1:3" ht="13" x14ac:dyDescent="0.15">
      <c r="A978" s="10"/>
      <c r="B978" s="13"/>
      <c r="C978" s="13"/>
    </row>
    <row r="979" spans="1:3" ht="13" x14ac:dyDescent="0.15">
      <c r="A979" s="10"/>
      <c r="B979" s="13"/>
      <c r="C979" s="13"/>
    </row>
    <row r="980" spans="1:3" ht="13" x14ac:dyDescent="0.15">
      <c r="A980" s="10"/>
      <c r="B980" s="13"/>
      <c r="C980" s="13"/>
    </row>
    <row r="981" spans="1:3" ht="13" x14ac:dyDescent="0.15">
      <c r="A981" s="10"/>
      <c r="B981" s="13"/>
      <c r="C981" s="13"/>
    </row>
    <row r="982" spans="1:3" ht="13" x14ac:dyDescent="0.15">
      <c r="A982" s="10"/>
      <c r="B982" s="13"/>
      <c r="C982" s="13"/>
    </row>
    <row r="983" spans="1:3" ht="13" x14ac:dyDescent="0.15">
      <c r="A983" s="10"/>
      <c r="B983" s="13"/>
      <c r="C983" s="13"/>
    </row>
    <row r="984" spans="1:3" ht="13" x14ac:dyDescent="0.15">
      <c r="A984" s="10"/>
      <c r="B984" s="13"/>
      <c r="C984" s="13"/>
    </row>
    <row r="985" spans="1:3" ht="13" x14ac:dyDescent="0.15">
      <c r="A985" s="10"/>
      <c r="B985" s="13"/>
      <c r="C985" s="13"/>
    </row>
    <row r="986" spans="1:3" ht="13" x14ac:dyDescent="0.15">
      <c r="A986" s="10"/>
      <c r="B986" s="13"/>
      <c r="C986" s="13"/>
    </row>
    <row r="987" spans="1:3" ht="13" x14ac:dyDescent="0.15">
      <c r="A987" s="10"/>
      <c r="B987" s="13"/>
      <c r="C987" s="13"/>
    </row>
    <row r="988" spans="1:3" ht="13" x14ac:dyDescent="0.15">
      <c r="A988" s="10"/>
      <c r="B988" s="13"/>
      <c r="C988" s="13"/>
    </row>
    <row r="989" spans="1:3" ht="13" x14ac:dyDescent="0.15">
      <c r="A989" s="10"/>
      <c r="B989" s="13"/>
      <c r="C989" s="13"/>
    </row>
    <row r="990" spans="1:3" ht="13" x14ac:dyDescent="0.15">
      <c r="A990" s="10"/>
      <c r="B990" s="13"/>
      <c r="C990" s="13"/>
    </row>
    <row r="991" spans="1:3" ht="13" x14ac:dyDescent="0.15">
      <c r="A991" s="10"/>
      <c r="B991" s="13"/>
      <c r="C991" s="13"/>
    </row>
    <row r="992" spans="1:3" ht="13" x14ac:dyDescent="0.15">
      <c r="A992" s="10"/>
      <c r="B992" s="13"/>
      <c r="C992" s="13"/>
    </row>
    <row r="993" spans="1:3" ht="13" x14ac:dyDescent="0.15">
      <c r="A993" s="10"/>
      <c r="B993" s="13"/>
      <c r="C993" s="13"/>
    </row>
    <row r="994" spans="1:3" ht="13" x14ac:dyDescent="0.15">
      <c r="A994" s="10"/>
      <c r="B994" s="13"/>
      <c r="C994" s="13"/>
    </row>
    <row r="995" spans="1:3" ht="13" x14ac:dyDescent="0.15">
      <c r="A995" s="10"/>
      <c r="B995" s="13"/>
      <c r="C995" s="13"/>
    </row>
    <row r="996" spans="1:3" ht="13" x14ac:dyDescent="0.15">
      <c r="A996" s="10"/>
      <c r="B996" s="13"/>
      <c r="C996" s="13"/>
    </row>
    <row r="997" spans="1:3" ht="13" x14ac:dyDescent="0.15">
      <c r="A997" s="10"/>
      <c r="B997" s="13"/>
      <c r="C997" s="13"/>
    </row>
  </sheetData>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outlinePr summaryBelow="0" summaryRight="0"/>
  </sheetPr>
  <dimension ref="A1:D997"/>
  <sheetViews>
    <sheetView workbookViewId="0"/>
  </sheetViews>
  <sheetFormatPr baseColWidth="10" defaultColWidth="12.6640625" defaultRowHeight="15.75" customHeight="1" x14ac:dyDescent="0.15"/>
  <cols>
    <col min="1" max="1" width="71.5" customWidth="1"/>
    <col min="2" max="4" width="37.6640625" customWidth="1"/>
  </cols>
  <sheetData>
    <row r="1" spans="1:4" ht="15.75" customHeight="1" x14ac:dyDescent="0.15">
      <c r="A1" s="1"/>
      <c r="B1" s="12" t="str">
        <f ca="1">IFERROR(__xludf.DUMMYFUNCTION("IMPORTRANGE(""https://docs.google.com/spreadsheets/d/1Eq2M_a4_TeZImjU1FJcBSaIp6Xib8-RIHm3cQ24mbRI"", ""A92!B1:B22"")
"),"Zachary Edwards")</f>
        <v>Zachary Edwards</v>
      </c>
      <c r="C1" s="10" t="str">
        <f ca="1">IFERROR(__xludf.DUMMYFUNCTION("IMPORTRANGE(""https://docs.google.com/spreadsheets/u/0/d/1Rfwd61p8X8kU1VBE4PFTeYG7-2eZzi6BYhKfon6XtRs"", ""A92!B1:B22"")"),"Korie Hall")</f>
        <v>Korie Hall</v>
      </c>
      <c r="D1" s="2" t="s">
        <v>1</v>
      </c>
    </row>
    <row r="2" spans="1:4" ht="15.75" customHeight="1" x14ac:dyDescent="0.15">
      <c r="A2" s="3" t="s">
        <v>2</v>
      </c>
      <c r="B2" s="15" t="str">
        <f ca="1">IFERROR(__xludf.DUMMYFUNCTION("""COMPUTED_VALUE"""),"PHAM Start:54798 Stop:55154
DNAM Start:54798 Stop:55154
FOR")</f>
        <v>PHAM Start:54798 Stop:55154
DNAM Start:54798 Stop:55154
FOR</v>
      </c>
      <c r="C2" s="15" t="str">
        <f ca="1">IFERROR(__xludf.DUMMYFUNCTION("""COMPUTED_VALUE"""),"Start: 54798 / Stop: 55154")</f>
        <v>Start: 54798 / Stop: 55154</v>
      </c>
      <c r="D2" s="4"/>
    </row>
    <row r="3" spans="1:4" ht="15.75" customHeight="1" x14ac:dyDescent="0.15">
      <c r="A3" s="5" t="s">
        <v>3</v>
      </c>
      <c r="B3" s="17" t="str">
        <f ca="1">IFERROR(__xludf.DUMMYFUNCTION("""COMPUTED_VALUE"""),"PHAM: Gene 92
DNAM: Gene 91")</f>
        <v>PHAM: Gene 92
DNAM: Gene 91</v>
      </c>
      <c r="C3" s="17" t="str">
        <f ca="1">IFERROR(__xludf.DUMMYFUNCTION("""COMPUTED_VALUE"""),"DNA Master: Gene 91 / Phamerator: Gene 92")</f>
        <v>DNA Master: Gene 91 / Phamerator: Gene 92</v>
      </c>
      <c r="D3" s="6"/>
    </row>
    <row r="4" spans="1:4" ht="15.75" customHeight="1" x14ac:dyDescent="0.15">
      <c r="A4" s="5" t="s">
        <v>4</v>
      </c>
      <c r="B4" s="17" t="str">
        <f ca="1">IFERROR(__xludf.DUMMYFUNCTION("""COMPUTED_VALUE"""),"176806 3/19/25")</f>
        <v>176806 3/19/25</v>
      </c>
      <c r="C4" s="17">
        <f ca="1">IFERROR(__xludf.DUMMYFUNCTION("""COMPUTED_VALUE"""),176806)</f>
        <v>176806</v>
      </c>
      <c r="D4" s="6"/>
    </row>
    <row r="5" spans="1:4" ht="15.75" customHeight="1" x14ac:dyDescent="0.15">
      <c r="A5" s="5" t="s">
        <v>5</v>
      </c>
      <c r="B5" s="17" t="str">
        <f ca="1">IFERROR(__xludf.DUMMYFUNCTION("""COMPUTED_VALUE"""),"Kovu_90")</f>
        <v>Kovu_90</v>
      </c>
      <c r="C5" s="17"/>
      <c r="D5" s="6"/>
    </row>
    <row r="6" spans="1:4" ht="15.75" customHeight="1" x14ac:dyDescent="0.15">
      <c r="A6" s="5" t="s">
        <v>6</v>
      </c>
      <c r="B6" s="17" t="str">
        <f ca="1">IFERROR(__xludf.DUMMYFUNCTION("""COMPUTED_VALUE"""),"Both Call it a gene")</f>
        <v>Both Call it a gene</v>
      </c>
      <c r="C6" s="17" t="str">
        <f ca="1">IFERROR(__xludf.DUMMYFUNCTION("""COMPUTED_VALUE"""),"Both Glimmer and GeneMark call the gene")</f>
        <v>Both Glimmer and GeneMark call the gene</v>
      </c>
      <c r="D6" s="6"/>
    </row>
    <row r="7" spans="1:4" ht="15.75" customHeight="1" x14ac:dyDescent="0.15">
      <c r="A7" s="5" t="s">
        <v>7</v>
      </c>
      <c r="B7" s="17" t="str">
        <f ca="1">IFERROR(__xludf.DUMMYFUNCTION("""COMPUTED_VALUE"""),"Yes")</f>
        <v>Yes</v>
      </c>
      <c r="C7" s="17" t="str">
        <f ca="1">IFERROR(__xludf.DUMMYFUNCTION("""COMPUTED_VALUE"""),"Gene accounts for all coding potential.")</f>
        <v>Gene accounts for all coding potential.</v>
      </c>
      <c r="D7" s="6"/>
    </row>
    <row r="8" spans="1:4" ht="15.75" customHeight="1" x14ac:dyDescent="0.15">
      <c r="A8" s="5" t="s">
        <v>8</v>
      </c>
      <c r="B8" s="17" t="str">
        <f ca="1">IFERROR(__xludf.DUMMYFUNCTION("""COMPUTED_VALUE"""),"Yes")</f>
        <v>Yes</v>
      </c>
      <c r="C8" s="17" t="str">
        <f ca="1">IFERROR(__xludf.DUMMYFUNCTION("""COMPUTED_VALUE"""),"Longest possible ORF.")</f>
        <v>Longest possible ORF.</v>
      </c>
      <c r="D8" s="6"/>
    </row>
    <row r="9" spans="1:4" ht="15.75" customHeight="1" x14ac:dyDescent="0.15">
      <c r="A9" s="5" t="s">
        <v>9</v>
      </c>
      <c r="B9" s="17" t="str">
        <f ca="1">IFERROR(__xludf.DUMMYFUNCTION("""COMPUTED_VALUE"""),"3 Nt overlap")</f>
        <v>3 Nt overlap</v>
      </c>
      <c r="C9" s="17" t="str">
        <f ca="1">IFERROR(__xludf.DUMMYFUNCTION("""COMPUTED_VALUE"""),"3 bp overlap between gene 91 and gene 92")</f>
        <v>3 bp overlap between gene 91 and gene 92</v>
      </c>
      <c r="D9" s="6"/>
    </row>
    <row r="10" spans="1:4" ht="15.75" customHeight="1" x14ac:dyDescent="0.15">
      <c r="A10" s="5" t="s">
        <v>10</v>
      </c>
      <c r="B10" s="17" t="str">
        <f ca="1">IFERROR(__xludf.DUMMYFUNCTION("""COMPUTED_VALUE"""),"Current: 1.978 (54798)
Others: 2.009(55041) 2.807(55113)")</f>
        <v>Current: 1.978 (54798)
Others: 2.009(55041) 2.807(55113)</v>
      </c>
      <c r="C10" s="17" t="str">
        <f ca="1">IFERROR(__xludf.DUMMYFUNCTION("""COMPUTED_VALUE"""),"Z-score: 1.978 / Final score: -5.377")</f>
        <v>Z-score: 1.978 / Final score: -5.377</v>
      </c>
      <c r="D10" s="6"/>
    </row>
    <row r="11" spans="1:4" ht="15.75" customHeight="1" x14ac:dyDescent="0.15">
      <c r="A11" s="5" t="s">
        <v>11</v>
      </c>
      <c r="B11" s="17" t="str">
        <f ca="1">IFERROR(__xludf.DUMMYFUNCTION("""COMPUTED_VALUE"""),"Kovu_90
E: 0
%ID: 80
14:11")</f>
        <v>Kovu_90
E: 0
%ID: 80
14:11</v>
      </c>
      <c r="C11" s="17" t="str">
        <f ca="1">IFERROR(__xludf.DUMMYFUNCTION("""COMPUTED_VALUE"""),"Kovu_90 - % identity: 76% / e-value: 5e-55 / q2:q3")</f>
        <v>Kovu_90 - % identity: 76% / e-value: 5e-55 / q2:q3</v>
      </c>
      <c r="D11" s="6"/>
    </row>
    <row r="12" spans="1:4" ht="15.75" customHeight="1" x14ac:dyDescent="0.15">
      <c r="A12" s="5" t="s">
        <v>12</v>
      </c>
      <c r="B12" s="17" t="str">
        <f ca="1">IFERROR(__xludf.DUMMYFUNCTION("""COMPUTED_VALUE"""),"9 of 9 call current start")</f>
        <v>9 of 9 call current start</v>
      </c>
      <c r="C12" s="17" t="str">
        <f ca="1">IFERROR(__xludf.DUMMYFUNCTION("""COMPUTED_VALUE"""),"Found in 9 of 9 members in the pham / Called 100% of the time ")</f>
        <v xml:space="preserve">Found in 9 of 9 members in the pham / Called 100% of the time </v>
      </c>
      <c r="D12" s="6"/>
    </row>
    <row r="13" spans="1:4" ht="15.75" customHeight="1" x14ac:dyDescent="0.15">
      <c r="A13" s="5" t="s">
        <v>13</v>
      </c>
      <c r="B13" s="17" t="str">
        <f ca="1">IFERROR(__xludf.DUMMYFUNCTION("""COMPUTED_VALUE"""),"No although the z is below 2 moving lets some coding go and its an almost 2")</f>
        <v>No although the z is below 2 moving lets some coding go and its an almost 2</v>
      </c>
      <c r="C13" s="17" t="str">
        <f ca="1">IFERROR(__xludf.DUMMYFUNCTION("""COMPUTED_VALUE"""),"Start should remain as is. No signifigant overalp and catches all coding potential. Called in the rest of the pham. ")</f>
        <v xml:space="preserve">Start should remain as is. No signifigant overalp and catches all coding potential. Called in the rest of the pham. </v>
      </c>
      <c r="D13" s="6"/>
    </row>
    <row r="14" spans="1:4" ht="15.75" customHeight="1" x14ac:dyDescent="0.15">
      <c r="A14" s="5" t="s">
        <v>14</v>
      </c>
      <c r="B14" s="17" t="str">
        <f ca="1">IFERROR(__xludf.DUMMYFUNCTION("""COMPUTED_VALUE"""),"Kovu_90 E:5e-55")</f>
        <v>Kovu_90 E:5e-55</v>
      </c>
      <c r="C14" s="17" t="str">
        <f ca="1">IFERROR(__xludf.DUMMYFUNCTION("""COMPUTED_VALUE"""),"Kovu_90 - e-value: 2e-47")</f>
        <v>Kovu_90 - e-value: 2e-47</v>
      </c>
      <c r="D14" s="6"/>
    </row>
    <row r="15" spans="1:4" ht="15.75" customHeight="1" x14ac:dyDescent="0.15">
      <c r="A15" s="5" t="s">
        <v>15</v>
      </c>
      <c r="B15" s="17" t="str">
        <f ca="1">IFERROR(__xludf.DUMMYFUNCTION("""COMPUTED_VALUE"""),"HNH Endonuclease")</f>
        <v>HNH Endonuclease</v>
      </c>
      <c r="C15" s="17" t="str">
        <f ca="1">IFERROR(__xludf.DUMMYFUNCTION("""COMPUTED_VALUE"""),"HNH Endonuclease")</f>
        <v>HNH Endonuclease</v>
      </c>
      <c r="D15" s="6"/>
    </row>
    <row r="16" spans="1:4" ht="15.75" customHeight="1" x14ac:dyDescent="0.15">
      <c r="A16" s="5" t="s">
        <v>16</v>
      </c>
      <c r="B16" s="17" t="str">
        <f ca="1">IFERROR(__xludf.DUMMYFUNCTION("""COMPUTED_VALUE"""),"In the same genetic environemtn as Kovu")</f>
        <v>In the same genetic environemtn as Kovu</v>
      </c>
      <c r="C16" s="17" t="str">
        <f ca="1">IFERROR(__xludf.DUMMYFUNCTION("""COMPUTED_VALUE"""),"Function of gene is to expected / adjacent to Kovu_90")</f>
        <v>Function of gene is to expected / adjacent to Kovu_90</v>
      </c>
      <c r="D16" s="6"/>
    </row>
    <row r="17" spans="1:4" ht="15.75" customHeight="1" x14ac:dyDescent="0.15">
      <c r="A17" s="5" t="s">
        <v>17</v>
      </c>
      <c r="B17" s="17" t="str">
        <f ca="1">IFERROR(__xludf.DUMMYFUNCTION("""COMPUTED_VALUE"""),"5H0M_A HNH endonuclease; Thermophilic bacteriophage, HNH Endonuclease, DNA nicking, HYDROLASE; 1.52A {Geobacillus virus E2}
Probability: 97.93%
Align T: 53.39%
Align Q: 48.46%")</f>
        <v>5H0M_A HNH endonuclease; Thermophilic bacteriophage, HNH Endonuclease, DNA nicking, HYDROLASE; 1.52A {Geobacillus virus E2}
Probability: 97.93%
Align T: 53.39%
Align Q: 48.46%</v>
      </c>
      <c r="C17" s="17" t="str">
        <f ca="1">IFERROR(__xludf.DUMMYFUNCTION("""COMPUTED_VALUE"""),"HNH Endonuclease; Thermophilic bacteriophage, HNH Endonuclease. DNA nicking, HYDROLASE / Probability -  98% / % alignment of query - 53% / % alignment of target - 48%")</f>
        <v>HNH Endonuclease; Thermophilic bacteriophage, HNH Endonuclease. DNA nicking, HYDROLASE / Probability -  98% / % alignment of query - 53% / % alignment of target - 48%</v>
      </c>
      <c r="D17" s="6"/>
    </row>
    <row r="18" spans="1:4" ht="15.75" customHeight="1" x14ac:dyDescent="0.15">
      <c r="A18" s="5" t="s">
        <v>18</v>
      </c>
      <c r="B18" s="17" t="str">
        <f ca="1">IFERROR(__xludf.DUMMYFUNCTION("""COMPUTED_VALUE"""),"DUF")</f>
        <v>DUF</v>
      </c>
      <c r="C18" s="17" t="str">
        <f ca="1">IFERROR(__xludf.DUMMYFUNCTION("""COMPUTED_VALUE"""),"No conserved domain identified")</f>
        <v>No conserved domain identified</v>
      </c>
      <c r="D18" s="6"/>
    </row>
    <row r="19" spans="1:4" ht="15.75" customHeight="1" x14ac:dyDescent="0.15">
      <c r="A19" s="5" t="s">
        <v>19</v>
      </c>
      <c r="B19" s="17" t="str">
        <f ca="1">IFERROR(__xludf.DUMMYFUNCTION("""COMPUTED_VALUE"""),"No")</f>
        <v>No</v>
      </c>
      <c r="C19" s="17" t="str">
        <f ca="1">IFERROR(__xludf.DUMMYFUNCTION("""COMPUTED_VALUE"""),"No membrane protein identified")</f>
        <v>No membrane protein identified</v>
      </c>
      <c r="D19" s="6"/>
    </row>
    <row r="20" spans="1:4" ht="15.75" customHeight="1" x14ac:dyDescent="0.15">
      <c r="A20" s="5" t="s">
        <v>20</v>
      </c>
      <c r="B20" s="17" t="str">
        <f ca="1">IFERROR(__xludf.DUMMYFUNCTION("""COMPUTED_VALUE"""),"HNH Endonuclease whole Phamily is this.")</f>
        <v>HNH Endonuclease whole Phamily is this.</v>
      </c>
      <c r="C20" s="17" t="str">
        <f ca="1">IFERROR(__xludf.DUMMYFUNCTION("""COMPUTED_VALUE"""),"HNH Endonuclease ( Rationale: Decent blast hits; the most reliable being a HNH Endonulease. All members in the pham serve the same or similar function [ only difference being a domian protein ] )")</f>
        <v>HNH Endonuclease ( Rationale: Decent blast hits; the most reliable being a HNH Endonulease. All members in the pham serve the same or similar function [ only difference being a domian protein ] )</v>
      </c>
      <c r="D20" s="6"/>
    </row>
    <row r="21" spans="1:4" x14ac:dyDescent="0.2">
      <c r="A21" s="7"/>
      <c r="B21" s="19"/>
      <c r="C21" s="19"/>
      <c r="D21" s="8"/>
    </row>
    <row r="22" spans="1:4" ht="15.75" customHeight="1" x14ac:dyDescent="0.15">
      <c r="A22" s="9" t="s">
        <v>21</v>
      </c>
      <c r="B22" s="19"/>
      <c r="C22" s="19"/>
      <c r="D22" s="8"/>
    </row>
    <row r="23" spans="1:4" ht="15.75" customHeight="1" x14ac:dyDescent="0.15">
      <c r="A23" s="10"/>
      <c r="B23" s="13"/>
      <c r="C23" s="13"/>
    </row>
    <row r="24" spans="1:4" ht="15.75" customHeight="1" x14ac:dyDescent="0.15">
      <c r="A24" s="10"/>
      <c r="B24" s="13"/>
      <c r="C24" s="13"/>
    </row>
    <row r="25" spans="1:4" ht="15.75" customHeight="1" x14ac:dyDescent="0.15">
      <c r="A25" s="10"/>
      <c r="B25" s="13"/>
      <c r="C25" s="13"/>
    </row>
    <row r="26" spans="1:4" ht="15.75" customHeight="1" x14ac:dyDescent="0.15">
      <c r="A26" s="10"/>
      <c r="B26" s="13"/>
      <c r="C26" s="13"/>
    </row>
    <row r="27" spans="1:4" ht="15.75" customHeight="1" x14ac:dyDescent="0.15">
      <c r="A27" s="10"/>
      <c r="B27" s="13"/>
      <c r="C27" s="13"/>
    </row>
    <row r="28" spans="1:4" ht="15.75" customHeight="1" x14ac:dyDescent="0.15">
      <c r="A28" s="10"/>
      <c r="B28" s="13"/>
      <c r="C28" s="13"/>
    </row>
    <row r="29" spans="1:4" ht="15.75" customHeight="1" x14ac:dyDescent="0.15">
      <c r="A29" s="10"/>
      <c r="B29" s="13"/>
      <c r="C29" s="13"/>
    </row>
    <row r="30" spans="1:4" ht="15.75" customHeight="1" x14ac:dyDescent="0.15">
      <c r="A30" s="10"/>
      <c r="B30" s="13"/>
      <c r="C30" s="13"/>
    </row>
    <row r="31" spans="1:4" ht="15.75" customHeight="1" x14ac:dyDescent="0.15">
      <c r="A31" s="10"/>
      <c r="B31" s="13"/>
      <c r="C31" s="13"/>
    </row>
    <row r="32" spans="1:4" ht="15.75" customHeight="1" x14ac:dyDescent="0.15">
      <c r="A32" s="10"/>
      <c r="B32" s="13"/>
      <c r="C32" s="13"/>
    </row>
    <row r="33" spans="1:3" ht="15.75" customHeight="1" x14ac:dyDescent="0.15">
      <c r="A33" s="10"/>
      <c r="B33" s="13"/>
      <c r="C33" s="13"/>
    </row>
    <row r="34" spans="1:3" ht="15.75" customHeight="1" x14ac:dyDescent="0.15">
      <c r="A34" s="10"/>
      <c r="B34" s="13"/>
      <c r="C34" s="13"/>
    </row>
    <row r="35" spans="1:3" ht="15.75" customHeight="1" x14ac:dyDescent="0.15">
      <c r="A35" s="10"/>
      <c r="B35" s="13"/>
      <c r="C35" s="13"/>
    </row>
    <row r="36" spans="1:3" ht="15.75" customHeight="1" x14ac:dyDescent="0.15">
      <c r="A36" s="10"/>
      <c r="B36" s="13"/>
      <c r="C36" s="13"/>
    </row>
    <row r="37" spans="1:3" ht="15.75" customHeight="1" x14ac:dyDescent="0.15">
      <c r="A37" s="10"/>
      <c r="B37" s="13"/>
      <c r="C37" s="13"/>
    </row>
    <row r="38" spans="1:3" ht="15.75" customHeight="1" x14ac:dyDescent="0.15">
      <c r="A38" s="10"/>
      <c r="B38" s="13"/>
      <c r="C38" s="13"/>
    </row>
    <row r="39" spans="1:3" ht="13" x14ac:dyDescent="0.15">
      <c r="A39" s="10"/>
      <c r="B39" s="13"/>
      <c r="C39" s="13"/>
    </row>
    <row r="40" spans="1:3" ht="13" x14ac:dyDescent="0.15">
      <c r="A40" s="10"/>
      <c r="B40" s="13"/>
      <c r="C40" s="13"/>
    </row>
    <row r="41" spans="1:3" ht="13" x14ac:dyDescent="0.15">
      <c r="A41" s="10"/>
      <c r="B41" s="13"/>
      <c r="C41" s="13"/>
    </row>
    <row r="42" spans="1:3" ht="13" x14ac:dyDescent="0.15">
      <c r="A42" s="10"/>
      <c r="B42" s="13"/>
      <c r="C42" s="13"/>
    </row>
    <row r="43" spans="1:3" ht="13" x14ac:dyDescent="0.15">
      <c r="A43" s="10"/>
      <c r="B43" s="13"/>
      <c r="C43" s="13"/>
    </row>
    <row r="44" spans="1:3" ht="13" x14ac:dyDescent="0.15">
      <c r="A44" s="10"/>
      <c r="B44" s="13"/>
      <c r="C44" s="13"/>
    </row>
    <row r="45" spans="1:3" ht="13" x14ac:dyDescent="0.15">
      <c r="A45" s="10"/>
      <c r="B45" s="13"/>
      <c r="C45" s="13"/>
    </row>
    <row r="46" spans="1:3" ht="13" x14ac:dyDescent="0.15">
      <c r="A46" s="10"/>
      <c r="B46" s="13"/>
      <c r="C46" s="13"/>
    </row>
    <row r="47" spans="1:3" ht="13" x14ac:dyDescent="0.15">
      <c r="A47" s="10"/>
      <c r="B47" s="13"/>
      <c r="C47" s="13"/>
    </row>
    <row r="48" spans="1:3" ht="13" x14ac:dyDescent="0.15">
      <c r="A48" s="10"/>
      <c r="B48" s="13"/>
      <c r="C48" s="13"/>
    </row>
    <row r="49" spans="1:3" ht="13" x14ac:dyDescent="0.15">
      <c r="A49" s="10"/>
      <c r="B49" s="13"/>
      <c r="C49" s="13"/>
    </row>
    <row r="50" spans="1:3" ht="13" x14ac:dyDescent="0.15">
      <c r="A50" s="10"/>
      <c r="B50" s="13"/>
      <c r="C50" s="13"/>
    </row>
    <row r="51" spans="1:3" ht="13" x14ac:dyDescent="0.15">
      <c r="A51" s="10"/>
      <c r="B51" s="13"/>
      <c r="C51" s="13"/>
    </row>
    <row r="52" spans="1:3" ht="13" x14ac:dyDescent="0.15">
      <c r="A52" s="10"/>
      <c r="B52" s="13"/>
      <c r="C52" s="13"/>
    </row>
    <row r="53" spans="1:3" ht="13" x14ac:dyDescent="0.15">
      <c r="A53" s="10"/>
      <c r="B53" s="13"/>
      <c r="C53" s="13"/>
    </row>
    <row r="54" spans="1:3" ht="13" x14ac:dyDescent="0.15">
      <c r="A54" s="10"/>
      <c r="B54" s="13"/>
      <c r="C54" s="13"/>
    </row>
    <row r="55" spans="1:3" ht="13" x14ac:dyDescent="0.15">
      <c r="A55" s="10"/>
      <c r="B55" s="13"/>
      <c r="C55" s="13"/>
    </row>
    <row r="56" spans="1:3" ht="13" x14ac:dyDescent="0.15">
      <c r="A56" s="10"/>
      <c r="B56" s="13"/>
      <c r="C56" s="13"/>
    </row>
    <row r="57" spans="1:3" ht="13" x14ac:dyDescent="0.15">
      <c r="A57" s="10"/>
      <c r="B57" s="13"/>
      <c r="C57" s="13"/>
    </row>
    <row r="58" spans="1:3" ht="13" x14ac:dyDescent="0.15">
      <c r="A58" s="10"/>
      <c r="B58" s="13"/>
      <c r="C58" s="13"/>
    </row>
    <row r="59" spans="1:3" ht="13" x14ac:dyDescent="0.15">
      <c r="A59" s="10"/>
      <c r="B59" s="13"/>
      <c r="C59" s="13"/>
    </row>
    <row r="60" spans="1:3" ht="13" x14ac:dyDescent="0.15">
      <c r="A60" s="10"/>
      <c r="B60" s="13"/>
      <c r="C60" s="13"/>
    </row>
    <row r="61" spans="1:3" ht="13" x14ac:dyDescent="0.15">
      <c r="A61" s="10"/>
      <c r="B61" s="13"/>
      <c r="C61" s="13"/>
    </row>
    <row r="62" spans="1:3" ht="13" x14ac:dyDescent="0.15">
      <c r="A62" s="10"/>
      <c r="B62" s="13"/>
      <c r="C62" s="13"/>
    </row>
    <row r="63" spans="1:3" ht="13" x14ac:dyDescent="0.15">
      <c r="A63" s="10"/>
      <c r="B63" s="13"/>
      <c r="C63" s="13"/>
    </row>
    <row r="64" spans="1:3" ht="13" x14ac:dyDescent="0.15">
      <c r="A64" s="10"/>
      <c r="B64" s="13"/>
      <c r="C64" s="13"/>
    </row>
    <row r="65" spans="1:3" ht="13" x14ac:dyDescent="0.15">
      <c r="A65" s="10"/>
      <c r="B65" s="13"/>
      <c r="C65" s="13"/>
    </row>
    <row r="66" spans="1:3" ht="13" x14ac:dyDescent="0.15">
      <c r="A66" s="10"/>
      <c r="B66" s="13"/>
      <c r="C66" s="13"/>
    </row>
    <row r="67" spans="1:3" ht="13" x14ac:dyDescent="0.15">
      <c r="A67" s="10"/>
      <c r="B67" s="13"/>
      <c r="C67" s="13"/>
    </row>
    <row r="68" spans="1:3" ht="13" x14ac:dyDescent="0.15">
      <c r="A68" s="10"/>
      <c r="B68" s="13"/>
      <c r="C68" s="13"/>
    </row>
    <row r="69" spans="1:3" ht="13" x14ac:dyDescent="0.15">
      <c r="A69" s="10"/>
      <c r="B69" s="13"/>
      <c r="C69" s="13"/>
    </row>
    <row r="70" spans="1:3" ht="13" x14ac:dyDescent="0.15">
      <c r="A70" s="10"/>
      <c r="B70" s="13"/>
      <c r="C70" s="13"/>
    </row>
    <row r="71" spans="1:3" ht="13" x14ac:dyDescent="0.15">
      <c r="A71" s="10"/>
      <c r="B71" s="13"/>
      <c r="C71" s="13"/>
    </row>
    <row r="72" spans="1:3" ht="13" x14ac:dyDescent="0.15">
      <c r="A72" s="10"/>
      <c r="B72" s="13"/>
      <c r="C72" s="13"/>
    </row>
    <row r="73" spans="1:3" ht="13" x14ac:dyDescent="0.15">
      <c r="A73" s="10"/>
      <c r="B73" s="13"/>
      <c r="C73" s="13"/>
    </row>
    <row r="74" spans="1:3" ht="13" x14ac:dyDescent="0.15">
      <c r="A74" s="10"/>
      <c r="B74" s="13"/>
      <c r="C74" s="13"/>
    </row>
    <row r="75" spans="1:3" ht="13" x14ac:dyDescent="0.15">
      <c r="A75" s="10"/>
      <c r="B75" s="13"/>
      <c r="C75" s="13"/>
    </row>
    <row r="76" spans="1:3" ht="13" x14ac:dyDescent="0.15">
      <c r="A76" s="10"/>
      <c r="B76" s="13"/>
      <c r="C76" s="13"/>
    </row>
    <row r="77" spans="1:3" ht="13" x14ac:dyDescent="0.15">
      <c r="A77" s="10"/>
      <c r="B77" s="13"/>
      <c r="C77" s="13"/>
    </row>
    <row r="78" spans="1:3" ht="13" x14ac:dyDescent="0.15">
      <c r="A78" s="10"/>
      <c r="B78" s="13"/>
      <c r="C78" s="13"/>
    </row>
    <row r="79" spans="1:3" ht="13" x14ac:dyDescent="0.15">
      <c r="A79" s="10"/>
      <c r="B79" s="13"/>
      <c r="C79" s="13"/>
    </row>
    <row r="80" spans="1:3" ht="13" x14ac:dyDescent="0.15">
      <c r="A80" s="10"/>
      <c r="B80" s="13"/>
      <c r="C80" s="13"/>
    </row>
    <row r="81" spans="1:3" ht="13" x14ac:dyDescent="0.15">
      <c r="A81" s="10"/>
      <c r="B81" s="13"/>
      <c r="C81" s="13"/>
    </row>
    <row r="82" spans="1:3" ht="13" x14ac:dyDescent="0.15">
      <c r="A82" s="10"/>
      <c r="B82" s="13"/>
      <c r="C82" s="13"/>
    </row>
    <row r="83" spans="1:3" ht="13" x14ac:dyDescent="0.15">
      <c r="A83" s="10"/>
      <c r="B83" s="13"/>
      <c r="C83" s="13"/>
    </row>
    <row r="84" spans="1:3" ht="13" x14ac:dyDescent="0.15">
      <c r="A84" s="10"/>
      <c r="B84" s="13"/>
      <c r="C84" s="13"/>
    </row>
    <row r="85" spans="1:3" ht="13" x14ac:dyDescent="0.15">
      <c r="A85" s="10"/>
      <c r="B85" s="13"/>
      <c r="C85" s="13"/>
    </row>
    <row r="86" spans="1:3" ht="13" x14ac:dyDescent="0.15">
      <c r="A86" s="10"/>
      <c r="B86" s="13"/>
      <c r="C86" s="13"/>
    </row>
    <row r="87" spans="1:3" ht="13" x14ac:dyDescent="0.15">
      <c r="A87" s="10"/>
      <c r="B87" s="13"/>
      <c r="C87" s="13"/>
    </row>
    <row r="88" spans="1:3" ht="13" x14ac:dyDescent="0.15">
      <c r="A88" s="10"/>
      <c r="B88" s="13"/>
      <c r="C88" s="13"/>
    </row>
    <row r="89" spans="1:3" ht="13" x14ac:dyDescent="0.15">
      <c r="A89" s="10"/>
      <c r="B89" s="13"/>
      <c r="C89" s="13"/>
    </row>
    <row r="90" spans="1:3" ht="13" x14ac:dyDescent="0.15">
      <c r="A90" s="10"/>
      <c r="B90" s="13"/>
      <c r="C90" s="13"/>
    </row>
    <row r="91" spans="1:3" ht="13" x14ac:dyDescent="0.15">
      <c r="A91" s="10"/>
      <c r="B91" s="13"/>
      <c r="C91" s="13"/>
    </row>
    <row r="92" spans="1:3" ht="13" x14ac:dyDescent="0.15">
      <c r="A92" s="10"/>
      <c r="B92" s="13"/>
      <c r="C92" s="13"/>
    </row>
    <row r="93" spans="1:3" ht="13" x14ac:dyDescent="0.15">
      <c r="A93" s="10"/>
      <c r="B93" s="13"/>
      <c r="C93" s="13"/>
    </row>
    <row r="94" spans="1:3" ht="13" x14ac:dyDescent="0.15">
      <c r="A94" s="10"/>
      <c r="B94" s="13"/>
      <c r="C94" s="13"/>
    </row>
    <row r="95" spans="1:3" ht="13" x14ac:dyDescent="0.15">
      <c r="A95" s="10"/>
      <c r="B95" s="13"/>
      <c r="C95" s="13"/>
    </row>
    <row r="96" spans="1:3" ht="13" x14ac:dyDescent="0.15">
      <c r="A96" s="10"/>
      <c r="B96" s="13"/>
      <c r="C96" s="13"/>
    </row>
    <row r="97" spans="1:3" ht="13" x14ac:dyDescent="0.15">
      <c r="A97" s="10"/>
      <c r="B97" s="13"/>
      <c r="C97" s="13"/>
    </row>
    <row r="98" spans="1:3" ht="13" x14ac:dyDescent="0.15">
      <c r="A98" s="10"/>
      <c r="B98" s="13"/>
      <c r="C98" s="13"/>
    </row>
    <row r="99" spans="1:3" ht="13" x14ac:dyDescent="0.15">
      <c r="A99" s="10"/>
      <c r="B99" s="13"/>
      <c r="C99" s="13"/>
    </row>
    <row r="100" spans="1:3" ht="13" x14ac:dyDescent="0.15">
      <c r="A100" s="10"/>
      <c r="B100" s="13"/>
      <c r="C100" s="13"/>
    </row>
    <row r="101" spans="1:3" ht="13" x14ac:dyDescent="0.15">
      <c r="A101" s="10"/>
      <c r="B101" s="13"/>
      <c r="C101" s="13"/>
    </row>
    <row r="102" spans="1:3" ht="13" x14ac:dyDescent="0.15">
      <c r="A102" s="10"/>
      <c r="B102" s="13"/>
      <c r="C102" s="13"/>
    </row>
    <row r="103" spans="1:3" ht="13" x14ac:dyDescent="0.15">
      <c r="A103" s="10"/>
      <c r="B103" s="13"/>
      <c r="C103" s="13"/>
    </row>
    <row r="104" spans="1:3" ht="13" x14ac:dyDescent="0.15">
      <c r="A104" s="10"/>
      <c r="B104" s="13"/>
      <c r="C104" s="13"/>
    </row>
    <row r="105" spans="1:3" ht="13" x14ac:dyDescent="0.15">
      <c r="A105" s="10"/>
      <c r="B105" s="13"/>
      <c r="C105" s="13"/>
    </row>
    <row r="106" spans="1:3" ht="13" x14ac:dyDescent="0.15">
      <c r="A106" s="10"/>
      <c r="B106" s="13"/>
      <c r="C106" s="13"/>
    </row>
    <row r="107" spans="1:3" ht="13" x14ac:dyDescent="0.15">
      <c r="A107" s="10"/>
      <c r="B107" s="13"/>
      <c r="C107" s="13"/>
    </row>
    <row r="108" spans="1:3" ht="13" x14ac:dyDescent="0.15">
      <c r="A108" s="10"/>
      <c r="B108" s="13"/>
      <c r="C108" s="13"/>
    </row>
    <row r="109" spans="1:3" ht="13" x14ac:dyDescent="0.15">
      <c r="A109" s="10"/>
      <c r="B109" s="13"/>
      <c r="C109" s="13"/>
    </row>
    <row r="110" spans="1:3" ht="13" x14ac:dyDescent="0.15">
      <c r="A110" s="10"/>
      <c r="B110" s="13"/>
      <c r="C110" s="13"/>
    </row>
    <row r="111" spans="1:3" ht="13" x14ac:dyDescent="0.15">
      <c r="A111" s="10"/>
      <c r="B111" s="13"/>
      <c r="C111" s="13"/>
    </row>
    <row r="112" spans="1:3" ht="13" x14ac:dyDescent="0.15">
      <c r="A112" s="10"/>
      <c r="B112" s="13"/>
      <c r="C112" s="13"/>
    </row>
    <row r="113" spans="1:3" ht="13" x14ac:dyDescent="0.15">
      <c r="A113" s="10"/>
      <c r="B113" s="13"/>
      <c r="C113" s="13"/>
    </row>
    <row r="114" spans="1:3" ht="13" x14ac:dyDescent="0.15">
      <c r="A114" s="10"/>
      <c r="B114" s="13"/>
      <c r="C114" s="13"/>
    </row>
    <row r="115" spans="1:3" ht="13" x14ac:dyDescent="0.15">
      <c r="A115" s="10"/>
      <c r="B115" s="13"/>
      <c r="C115" s="13"/>
    </row>
    <row r="116" spans="1:3" ht="13" x14ac:dyDescent="0.15">
      <c r="A116" s="10"/>
      <c r="B116" s="13"/>
      <c r="C116" s="13"/>
    </row>
    <row r="117" spans="1:3" ht="13" x14ac:dyDescent="0.15">
      <c r="A117" s="10"/>
      <c r="B117" s="13"/>
      <c r="C117" s="13"/>
    </row>
    <row r="118" spans="1:3" ht="13" x14ac:dyDescent="0.15">
      <c r="A118" s="10"/>
      <c r="B118" s="13"/>
      <c r="C118" s="13"/>
    </row>
    <row r="119" spans="1:3" ht="13" x14ac:dyDescent="0.15">
      <c r="A119" s="10"/>
      <c r="B119" s="13"/>
      <c r="C119" s="13"/>
    </row>
    <row r="120" spans="1:3" ht="13" x14ac:dyDescent="0.15">
      <c r="A120" s="10"/>
      <c r="B120" s="13"/>
      <c r="C120" s="13"/>
    </row>
    <row r="121" spans="1:3" ht="13" x14ac:dyDescent="0.15">
      <c r="A121" s="10"/>
      <c r="B121" s="13"/>
      <c r="C121" s="13"/>
    </row>
    <row r="122" spans="1:3" ht="13" x14ac:dyDescent="0.15">
      <c r="A122" s="10"/>
      <c r="B122" s="13"/>
      <c r="C122" s="13"/>
    </row>
    <row r="123" spans="1:3" ht="13" x14ac:dyDescent="0.15">
      <c r="A123" s="10"/>
      <c r="B123" s="13"/>
      <c r="C123" s="13"/>
    </row>
    <row r="124" spans="1:3" ht="13" x14ac:dyDescent="0.15">
      <c r="A124" s="10"/>
      <c r="B124" s="13"/>
      <c r="C124" s="13"/>
    </row>
    <row r="125" spans="1:3" ht="13" x14ac:dyDescent="0.15">
      <c r="A125" s="10"/>
      <c r="B125" s="13"/>
      <c r="C125" s="13"/>
    </row>
    <row r="126" spans="1:3" ht="13" x14ac:dyDescent="0.15">
      <c r="A126" s="10"/>
      <c r="B126" s="13"/>
      <c r="C126" s="13"/>
    </row>
    <row r="127" spans="1:3" ht="13" x14ac:dyDescent="0.15">
      <c r="A127" s="10"/>
      <c r="B127" s="13"/>
      <c r="C127" s="13"/>
    </row>
    <row r="128" spans="1:3" ht="13" x14ac:dyDescent="0.15">
      <c r="A128" s="10"/>
      <c r="B128" s="13"/>
      <c r="C128" s="13"/>
    </row>
    <row r="129" spans="1:3" ht="13" x14ac:dyDescent="0.15">
      <c r="A129" s="10"/>
      <c r="B129" s="13"/>
      <c r="C129" s="13"/>
    </row>
    <row r="130" spans="1:3" ht="13" x14ac:dyDescent="0.15">
      <c r="A130" s="10"/>
      <c r="B130" s="13"/>
      <c r="C130" s="13"/>
    </row>
    <row r="131" spans="1:3" ht="13" x14ac:dyDescent="0.15">
      <c r="A131" s="10"/>
      <c r="B131" s="13"/>
      <c r="C131" s="13"/>
    </row>
    <row r="132" spans="1:3" ht="13" x14ac:dyDescent="0.15">
      <c r="A132" s="10"/>
      <c r="B132" s="13"/>
      <c r="C132" s="13"/>
    </row>
    <row r="133" spans="1:3" ht="13" x14ac:dyDescent="0.15">
      <c r="A133" s="10"/>
      <c r="B133" s="13"/>
      <c r="C133" s="13"/>
    </row>
    <row r="134" spans="1:3" ht="13" x14ac:dyDescent="0.15">
      <c r="A134" s="10"/>
      <c r="B134" s="13"/>
      <c r="C134" s="13"/>
    </row>
    <row r="135" spans="1:3" ht="13" x14ac:dyDescent="0.15">
      <c r="A135" s="10"/>
      <c r="B135" s="13"/>
      <c r="C135" s="13"/>
    </row>
    <row r="136" spans="1:3" ht="13" x14ac:dyDescent="0.15">
      <c r="A136" s="10"/>
      <c r="B136" s="13"/>
      <c r="C136" s="13"/>
    </row>
    <row r="137" spans="1:3" ht="13" x14ac:dyDescent="0.15">
      <c r="A137" s="10"/>
      <c r="B137" s="13"/>
      <c r="C137" s="13"/>
    </row>
    <row r="138" spans="1:3" ht="13" x14ac:dyDescent="0.15">
      <c r="A138" s="10"/>
      <c r="B138" s="13"/>
      <c r="C138" s="13"/>
    </row>
    <row r="139" spans="1:3" ht="13" x14ac:dyDescent="0.15">
      <c r="A139" s="10"/>
      <c r="B139" s="13"/>
      <c r="C139" s="13"/>
    </row>
    <row r="140" spans="1:3" ht="13" x14ac:dyDescent="0.15">
      <c r="A140" s="10"/>
      <c r="B140" s="13"/>
      <c r="C140" s="13"/>
    </row>
    <row r="141" spans="1:3" ht="13" x14ac:dyDescent="0.15">
      <c r="A141" s="10"/>
      <c r="B141" s="13"/>
      <c r="C141" s="13"/>
    </row>
    <row r="142" spans="1:3" ht="13" x14ac:dyDescent="0.15">
      <c r="A142" s="10"/>
      <c r="B142" s="13"/>
      <c r="C142" s="13"/>
    </row>
    <row r="143" spans="1:3" ht="13" x14ac:dyDescent="0.15">
      <c r="A143" s="10"/>
      <c r="B143" s="13"/>
      <c r="C143" s="13"/>
    </row>
    <row r="144" spans="1:3" ht="13" x14ac:dyDescent="0.15">
      <c r="A144" s="10"/>
      <c r="B144" s="13"/>
      <c r="C144" s="13"/>
    </row>
    <row r="145" spans="1:3" ht="13" x14ac:dyDescent="0.15">
      <c r="A145" s="10"/>
      <c r="B145" s="13"/>
      <c r="C145" s="13"/>
    </row>
    <row r="146" spans="1:3" ht="13" x14ac:dyDescent="0.15">
      <c r="A146" s="10"/>
      <c r="B146" s="13"/>
      <c r="C146" s="13"/>
    </row>
    <row r="147" spans="1:3" ht="13" x14ac:dyDescent="0.15">
      <c r="A147" s="10"/>
      <c r="B147" s="13"/>
      <c r="C147" s="13"/>
    </row>
    <row r="148" spans="1:3" ht="13" x14ac:dyDescent="0.15">
      <c r="A148" s="10"/>
      <c r="B148" s="13"/>
      <c r="C148" s="13"/>
    </row>
    <row r="149" spans="1:3" ht="13" x14ac:dyDescent="0.15">
      <c r="A149" s="10"/>
      <c r="B149" s="13"/>
      <c r="C149" s="13"/>
    </row>
    <row r="150" spans="1:3" ht="13" x14ac:dyDescent="0.15">
      <c r="A150" s="10"/>
      <c r="B150" s="13"/>
      <c r="C150" s="13"/>
    </row>
    <row r="151" spans="1:3" ht="13" x14ac:dyDescent="0.15">
      <c r="A151" s="10"/>
      <c r="B151" s="13"/>
      <c r="C151" s="13"/>
    </row>
    <row r="152" spans="1:3" ht="13" x14ac:dyDescent="0.15">
      <c r="A152" s="10"/>
      <c r="B152" s="13"/>
      <c r="C152" s="13"/>
    </row>
    <row r="153" spans="1:3" ht="13" x14ac:dyDescent="0.15">
      <c r="A153" s="10"/>
      <c r="B153" s="13"/>
      <c r="C153" s="13"/>
    </row>
    <row r="154" spans="1:3" ht="13" x14ac:dyDescent="0.15">
      <c r="A154" s="10"/>
      <c r="B154" s="13"/>
      <c r="C154" s="13"/>
    </row>
    <row r="155" spans="1:3" ht="13" x14ac:dyDescent="0.15">
      <c r="A155" s="10"/>
      <c r="B155" s="13"/>
      <c r="C155" s="13"/>
    </row>
    <row r="156" spans="1:3" ht="13" x14ac:dyDescent="0.15">
      <c r="A156" s="10"/>
      <c r="B156" s="13"/>
      <c r="C156" s="13"/>
    </row>
    <row r="157" spans="1:3" ht="13" x14ac:dyDescent="0.15">
      <c r="A157" s="10"/>
      <c r="B157" s="13"/>
      <c r="C157" s="13"/>
    </row>
    <row r="158" spans="1:3" ht="13" x14ac:dyDescent="0.15">
      <c r="A158" s="10"/>
      <c r="B158" s="13"/>
      <c r="C158" s="13"/>
    </row>
    <row r="159" spans="1:3" ht="13" x14ac:dyDescent="0.15">
      <c r="A159" s="10"/>
      <c r="B159" s="13"/>
      <c r="C159" s="13"/>
    </row>
    <row r="160" spans="1:3" ht="13" x14ac:dyDescent="0.15">
      <c r="A160" s="10"/>
      <c r="B160" s="13"/>
      <c r="C160" s="13"/>
    </row>
    <row r="161" spans="1:3" ht="13" x14ac:dyDescent="0.15">
      <c r="A161" s="10"/>
      <c r="B161" s="13"/>
      <c r="C161" s="13"/>
    </row>
    <row r="162" spans="1:3" ht="13" x14ac:dyDescent="0.15">
      <c r="A162" s="10"/>
      <c r="B162" s="13"/>
      <c r="C162" s="13"/>
    </row>
    <row r="163" spans="1:3" ht="13" x14ac:dyDescent="0.15">
      <c r="A163" s="10"/>
      <c r="B163" s="13"/>
      <c r="C163" s="13"/>
    </row>
    <row r="164" spans="1:3" ht="13" x14ac:dyDescent="0.15">
      <c r="A164" s="10"/>
      <c r="B164" s="13"/>
      <c r="C164" s="13"/>
    </row>
    <row r="165" spans="1:3" ht="13" x14ac:dyDescent="0.15">
      <c r="A165" s="10"/>
      <c r="B165" s="13"/>
      <c r="C165" s="13"/>
    </row>
    <row r="166" spans="1:3" ht="13" x14ac:dyDescent="0.15">
      <c r="A166" s="10"/>
      <c r="B166" s="13"/>
      <c r="C166" s="13"/>
    </row>
    <row r="167" spans="1:3" ht="13" x14ac:dyDescent="0.15">
      <c r="A167" s="10"/>
      <c r="B167" s="13"/>
      <c r="C167" s="13"/>
    </row>
    <row r="168" spans="1:3" ht="13" x14ac:dyDescent="0.15">
      <c r="A168" s="10"/>
      <c r="B168" s="13"/>
      <c r="C168" s="13"/>
    </row>
    <row r="169" spans="1:3" ht="13" x14ac:dyDescent="0.15">
      <c r="A169" s="10"/>
      <c r="B169" s="13"/>
      <c r="C169" s="13"/>
    </row>
    <row r="170" spans="1:3" ht="13" x14ac:dyDescent="0.15">
      <c r="A170" s="10"/>
      <c r="B170" s="13"/>
      <c r="C170" s="13"/>
    </row>
    <row r="171" spans="1:3" ht="13" x14ac:dyDescent="0.15">
      <c r="A171" s="10"/>
      <c r="B171" s="13"/>
      <c r="C171" s="13"/>
    </row>
    <row r="172" spans="1:3" ht="13" x14ac:dyDescent="0.15">
      <c r="A172" s="10"/>
      <c r="B172" s="13"/>
      <c r="C172" s="13"/>
    </row>
    <row r="173" spans="1:3" ht="13" x14ac:dyDescent="0.15">
      <c r="A173" s="10"/>
      <c r="B173" s="13"/>
      <c r="C173" s="13"/>
    </row>
    <row r="174" spans="1:3" ht="13" x14ac:dyDescent="0.15">
      <c r="A174" s="10"/>
      <c r="B174" s="13"/>
      <c r="C174" s="13"/>
    </row>
    <row r="175" spans="1:3" ht="13" x14ac:dyDescent="0.15">
      <c r="A175" s="10"/>
      <c r="B175" s="13"/>
      <c r="C175" s="13"/>
    </row>
    <row r="176" spans="1:3" ht="13" x14ac:dyDescent="0.15">
      <c r="A176" s="10"/>
      <c r="B176" s="13"/>
      <c r="C176" s="13"/>
    </row>
    <row r="177" spans="1:3" ht="13" x14ac:dyDescent="0.15">
      <c r="A177" s="10"/>
      <c r="B177" s="13"/>
      <c r="C177" s="13"/>
    </row>
    <row r="178" spans="1:3" ht="13" x14ac:dyDescent="0.15">
      <c r="A178" s="10"/>
      <c r="B178" s="13"/>
      <c r="C178" s="13"/>
    </row>
    <row r="179" spans="1:3" ht="13" x14ac:dyDescent="0.15">
      <c r="A179" s="10"/>
      <c r="B179" s="13"/>
      <c r="C179" s="13"/>
    </row>
    <row r="180" spans="1:3" ht="13" x14ac:dyDescent="0.15">
      <c r="A180" s="10"/>
      <c r="B180" s="13"/>
      <c r="C180" s="13"/>
    </row>
    <row r="181" spans="1:3" ht="13" x14ac:dyDescent="0.15">
      <c r="A181" s="10"/>
      <c r="B181" s="13"/>
      <c r="C181" s="13"/>
    </row>
    <row r="182" spans="1:3" ht="13" x14ac:dyDescent="0.15">
      <c r="A182" s="10"/>
      <c r="B182" s="13"/>
      <c r="C182" s="13"/>
    </row>
    <row r="183" spans="1:3" ht="13" x14ac:dyDescent="0.15">
      <c r="A183" s="10"/>
      <c r="B183" s="13"/>
      <c r="C183" s="13"/>
    </row>
    <row r="184" spans="1:3" ht="13" x14ac:dyDescent="0.15">
      <c r="A184" s="10"/>
      <c r="B184" s="13"/>
      <c r="C184" s="13"/>
    </row>
    <row r="185" spans="1:3" ht="13" x14ac:dyDescent="0.15">
      <c r="A185" s="10"/>
      <c r="B185" s="13"/>
      <c r="C185" s="13"/>
    </row>
    <row r="186" spans="1:3" ht="13" x14ac:dyDescent="0.15">
      <c r="A186" s="10"/>
      <c r="B186" s="13"/>
      <c r="C186" s="13"/>
    </row>
    <row r="187" spans="1:3" ht="13" x14ac:dyDescent="0.15">
      <c r="A187" s="10"/>
      <c r="B187" s="13"/>
      <c r="C187" s="13"/>
    </row>
    <row r="188" spans="1:3" ht="13" x14ac:dyDescent="0.15">
      <c r="A188" s="10"/>
      <c r="B188" s="13"/>
      <c r="C188" s="13"/>
    </row>
    <row r="189" spans="1:3" ht="13" x14ac:dyDescent="0.15">
      <c r="A189" s="10"/>
      <c r="B189" s="13"/>
      <c r="C189" s="13"/>
    </row>
    <row r="190" spans="1:3" ht="13" x14ac:dyDescent="0.15">
      <c r="A190" s="10"/>
      <c r="B190" s="13"/>
      <c r="C190" s="13"/>
    </row>
    <row r="191" spans="1:3" ht="13" x14ac:dyDescent="0.15">
      <c r="A191" s="10"/>
      <c r="B191" s="13"/>
      <c r="C191" s="13"/>
    </row>
    <row r="192" spans="1:3" ht="13" x14ac:dyDescent="0.15">
      <c r="A192" s="10"/>
      <c r="B192" s="13"/>
      <c r="C192" s="13"/>
    </row>
    <row r="193" spans="1:3" ht="13" x14ac:dyDescent="0.15">
      <c r="A193" s="10"/>
      <c r="B193" s="13"/>
      <c r="C193" s="13"/>
    </row>
    <row r="194" spans="1:3" ht="13" x14ac:dyDescent="0.15">
      <c r="A194" s="10"/>
      <c r="B194" s="13"/>
      <c r="C194" s="13"/>
    </row>
    <row r="195" spans="1:3" ht="13" x14ac:dyDescent="0.15">
      <c r="A195" s="10"/>
      <c r="B195" s="13"/>
      <c r="C195" s="13"/>
    </row>
    <row r="196" spans="1:3" ht="13" x14ac:dyDescent="0.15">
      <c r="A196" s="10"/>
      <c r="B196" s="13"/>
      <c r="C196" s="13"/>
    </row>
    <row r="197" spans="1:3" ht="13" x14ac:dyDescent="0.15">
      <c r="A197" s="10"/>
      <c r="B197" s="13"/>
      <c r="C197" s="13"/>
    </row>
    <row r="198" spans="1:3" ht="13" x14ac:dyDescent="0.15">
      <c r="A198" s="10"/>
      <c r="B198" s="13"/>
      <c r="C198" s="13"/>
    </row>
    <row r="199" spans="1:3" ht="13" x14ac:dyDescent="0.15">
      <c r="A199" s="10"/>
      <c r="B199" s="13"/>
      <c r="C199" s="13"/>
    </row>
    <row r="200" spans="1:3" ht="13" x14ac:dyDescent="0.15">
      <c r="A200" s="10"/>
      <c r="B200" s="13"/>
      <c r="C200" s="13"/>
    </row>
    <row r="201" spans="1:3" ht="13" x14ac:dyDescent="0.15">
      <c r="A201" s="10"/>
      <c r="B201" s="13"/>
      <c r="C201" s="13"/>
    </row>
    <row r="202" spans="1:3" ht="13" x14ac:dyDescent="0.15">
      <c r="A202" s="10"/>
      <c r="B202" s="13"/>
      <c r="C202" s="13"/>
    </row>
    <row r="203" spans="1:3" ht="13" x14ac:dyDescent="0.15">
      <c r="A203" s="10"/>
      <c r="B203" s="13"/>
      <c r="C203" s="13"/>
    </row>
    <row r="204" spans="1:3" ht="13" x14ac:dyDescent="0.15">
      <c r="A204" s="10"/>
      <c r="B204" s="13"/>
      <c r="C204" s="13"/>
    </row>
    <row r="205" spans="1:3" ht="13" x14ac:dyDescent="0.15">
      <c r="A205" s="10"/>
      <c r="B205" s="13"/>
      <c r="C205" s="13"/>
    </row>
    <row r="206" spans="1:3" ht="13" x14ac:dyDescent="0.15">
      <c r="A206" s="10"/>
      <c r="B206" s="13"/>
      <c r="C206" s="13"/>
    </row>
    <row r="207" spans="1:3" ht="13" x14ac:dyDescent="0.15">
      <c r="A207" s="10"/>
      <c r="B207" s="13"/>
      <c r="C207" s="13"/>
    </row>
    <row r="208" spans="1:3" ht="13" x14ac:dyDescent="0.15">
      <c r="A208" s="10"/>
      <c r="B208" s="13"/>
      <c r="C208" s="13"/>
    </row>
    <row r="209" spans="1:3" ht="13" x14ac:dyDescent="0.15">
      <c r="A209" s="10"/>
      <c r="B209" s="13"/>
      <c r="C209" s="13"/>
    </row>
    <row r="210" spans="1:3" ht="13" x14ac:dyDescent="0.15">
      <c r="A210" s="10"/>
      <c r="B210" s="13"/>
      <c r="C210" s="13"/>
    </row>
    <row r="211" spans="1:3" ht="13" x14ac:dyDescent="0.15">
      <c r="A211" s="10"/>
      <c r="B211" s="13"/>
      <c r="C211" s="13"/>
    </row>
    <row r="212" spans="1:3" ht="13" x14ac:dyDescent="0.15">
      <c r="A212" s="10"/>
      <c r="B212" s="13"/>
      <c r="C212" s="13"/>
    </row>
    <row r="213" spans="1:3" ht="13" x14ac:dyDescent="0.15">
      <c r="A213" s="10"/>
      <c r="B213" s="13"/>
      <c r="C213" s="13"/>
    </row>
    <row r="214" spans="1:3" ht="13" x14ac:dyDescent="0.15">
      <c r="A214" s="10"/>
      <c r="B214" s="13"/>
      <c r="C214" s="13"/>
    </row>
    <row r="215" spans="1:3" ht="13" x14ac:dyDescent="0.15">
      <c r="A215" s="10"/>
      <c r="B215" s="13"/>
      <c r="C215" s="13"/>
    </row>
    <row r="216" spans="1:3" ht="13" x14ac:dyDescent="0.15">
      <c r="A216" s="10"/>
      <c r="B216" s="13"/>
      <c r="C216" s="13"/>
    </row>
    <row r="217" spans="1:3" ht="13" x14ac:dyDescent="0.15">
      <c r="A217" s="10"/>
      <c r="B217" s="13"/>
      <c r="C217" s="13"/>
    </row>
    <row r="218" spans="1:3" ht="13" x14ac:dyDescent="0.15">
      <c r="A218" s="10"/>
      <c r="B218" s="13"/>
      <c r="C218" s="13"/>
    </row>
    <row r="219" spans="1:3" ht="13" x14ac:dyDescent="0.15">
      <c r="A219" s="10"/>
      <c r="B219" s="13"/>
      <c r="C219" s="13"/>
    </row>
    <row r="220" spans="1:3" ht="13" x14ac:dyDescent="0.15">
      <c r="A220" s="10"/>
      <c r="B220" s="13"/>
      <c r="C220" s="13"/>
    </row>
    <row r="221" spans="1:3" ht="13" x14ac:dyDescent="0.15">
      <c r="A221" s="10"/>
      <c r="B221" s="13"/>
      <c r="C221" s="13"/>
    </row>
    <row r="222" spans="1:3" ht="13" x14ac:dyDescent="0.15">
      <c r="A222" s="10"/>
      <c r="B222" s="13"/>
      <c r="C222" s="13"/>
    </row>
    <row r="223" spans="1:3" ht="13" x14ac:dyDescent="0.15">
      <c r="A223" s="10"/>
      <c r="B223" s="13"/>
      <c r="C223" s="13"/>
    </row>
    <row r="224" spans="1:3" ht="13" x14ac:dyDescent="0.15">
      <c r="A224" s="10"/>
      <c r="B224" s="13"/>
      <c r="C224" s="13"/>
    </row>
    <row r="225" spans="1:3" ht="13" x14ac:dyDescent="0.15">
      <c r="A225" s="10"/>
      <c r="B225" s="13"/>
      <c r="C225" s="13"/>
    </row>
    <row r="226" spans="1:3" ht="13" x14ac:dyDescent="0.15">
      <c r="A226" s="10"/>
      <c r="B226" s="13"/>
      <c r="C226" s="13"/>
    </row>
    <row r="227" spans="1:3" ht="13" x14ac:dyDescent="0.15">
      <c r="A227" s="10"/>
      <c r="B227" s="13"/>
      <c r="C227" s="13"/>
    </row>
    <row r="228" spans="1:3" ht="13" x14ac:dyDescent="0.15">
      <c r="A228" s="10"/>
      <c r="B228" s="13"/>
      <c r="C228" s="13"/>
    </row>
    <row r="229" spans="1:3" ht="13" x14ac:dyDescent="0.15">
      <c r="A229" s="10"/>
      <c r="B229" s="13"/>
      <c r="C229" s="13"/>
    </row>
    <row r="230" spans="1:3" ht="13" x14ac:dyDescent="0.15">
      <c r="A230" s="10"/>
      <c r="B230" s="13"/>
      <c r="C230" s="13"/>
    </row>
    <row r="231" spans="1:3" ht="13" x14ac:dyDescent="0.15">
      <c r="A231" s="10"/>
      <c r="B231" s="13"/>
      <c r="C231" s="13"/>
    </row>
    <row r="232" spans="1:3" ht="13" x14ac:dyDescent="0.15">
      <c r="A232" s="10"/>
      <c r="B232" s="13"/>
      <c r="C232" s="13"/>
    </row>
    <row r="233" spans="1:3" ht="13" x14ac:dyDescent="0.15">
      <c r="A233" s="10"/>
      <c r="B233" s="13"/>
      <c r="C233" s="13"/>
    </row>
    <row r="234" spans="1:3" ht="13" x14ac:dyDescent="0.15">
      <c r="A234" s="10"/>
      <c r="B234" s="13"/>
      <c r="C234" s="13"/>
    </row>
    <row r="235" spans="1:3" ht="13" x14ac:dyDescent="0.15">
      <c r="A235" s="10"/>
      <c r="B235" s="13"/>
      <c r="C235" s="13"/>
    </row>
    <row r="236" spans="1:3" ht="13" x14ac:dyDescent="0.15">
      <c r="A236" s="10"/>
      <c r="B236" s="13"/>
      <c r="C236" s="13"/>
    </row>
    <row r="237" spans="1:3" ht="13" x14ac:dyDescent="0.15">
      <c r="A237" s="10"/>
      <c r="B237" s="13"/>
      <c r="C237" s="13"/>
    </row>
    <row r="238" spans="1:3" ht="13" x14ac:dyDescent="0.15">
      <c r="A238" s="10"/>
      <c r="B238" s="13"/>
      <c r="C238" s="13"/>
    </row>
    <row r="239" spans="1:3" ht="13" x14ac:dyDescent="0.15">
      <c r="A239" s="10"/>
      <c r="B239" s="13"/>
      <c r="C239" s="13"/>
    </row>
    <row r="240" spans="1:3" ht="13" x14ac:dyDescent="0.15">
      <c r="A240" s="10"/>
      <c r="B240" s="13"/>
      <c r="C240" s="13"/>
    </row>
    <row r="241" spans="1:3" ht="13" x14ac:dyDescent="0.15">
      <c r="A241" s="10"/>
      <c r="B241" s="13"/>
      <c r="C241" s="13"/>
    </row>
    <row r="242" spans="1:3" ht="13" x14ac:dyDescent="0.15">
      <c r="A242" s="10"/>
      <c r="B242" s="13"/>
      <c r="C242" s="13"/>
    </row>
    <row r="243" spans="1:3" ht="13" x14ac:dyDescent="0.15">
      <c r="A243" s="10"/>
      <c r="B243" s="13"/>
      <c r="C243" s="13"/>
    </row>
    <row r="244" spans="1:3" ht="13" x14ac:dyDescent="0.15">
      <c r="A244" s="10"/>
      <c r="B244" s="13"/>
      <c r="C244" s="13"/>
    </row>
    <row r="245" spans="1:3" ht="13" x14ac:dyDescent="0.15">
      <c r="A245" s="10"/>
      <c r="B245" s="13"/>
      <c r="C245" s="13"/>
    </row>
    <row r="246" spans="1:3" ht="13" x14ac:dyDescent="0.15">
      <c r="A246" s="10"/>
      <c r="B246" s="13"/>
      <c r="C246" s="13"/>
    </row>
    <row r="247" spans="1:3" ht="13" x14ac:dyDescent="0.15">
      <c r="A247" s="10"/>
      <c r="B247" s="13"/>
      <c r="C247" s="13"/>
    </row>
    <row r="248" spans="1:3" ht="13" x14ac:dyDescent="0.15">
      <c r="A248" s="10"/>
      <c r="B248" s="13"/>
      <c r="C248" s="13"/>
    </row>
    <row r="249" spans="1:3" ht="13" x14ac:dyDescent="0.15">
      <c r="A249" s="10"/>
      <c r="B249" s="13"/>
      <c r="C249" s="13"/>
    </row>
    <row r="250" spans="1:3" ht="13" x14ac:dyDescent="0.15">
      <c r="A250" s="10"/>
      <c r="B250" s="13"/>
      <c r="C250" s="13"/>
    </row>
    <row r="251" spans="1:3" ht="13" x14ac:dyDescent="0.15">
      <c r="A251" s="10"/>
      <c r="B251" s="13"/>
      <c r="C251" s="13"/>
    </row>
    <row r="252" spans="1:3" ht="13" x14ac:dyDescent="0.15">
      <c r="A252" s="10"/>
      <c r="B252" s="13"/>
      <c r="C252" s="13"/>
    </row>
    <row r="253" spans="1:3" ht="13" x14ac:dyDescent="0.15">
      <c r="A253" s="10"/>
      <c r="B253" s="13"/>
      <c r="C253" s="13"/>
    </row>
    <row r="254" spans="1:3" ht="13" x14ac:dyDescent="0.15">
      <c r="A254" s="10"/>
      <c r="B254" s="13"/>
      <c r="C254" s="13"/>
    </row>
    <row r="255" spans="1:3" ht="13" x14ac:dyDescent="0.15">
      <c r="A255" s="10"/>
      <c r="B255" s="13"/>
      <c r="C255" s="13"/>
    </row>
    <row r="256" spans="1:3" ht="13" x14ac:dyDescent="0.15">
      <c r="A256" s="10"/>
      <c r="B256" s="13"/>
      <c r="C256" s="13"/>
    </row>
    <row r="257" spans="1:3" ht="13" x14ac:dyDescent="0.15">
      <c r="A257" s="10"/>
      <c r="B257" s="13"/>
      <c r="C257" s="13"/>
    </row>
    <row r="258" spans="1:3" ht="13" x14ac:dyDescent="0.15">
      <c r="A258" s="10"/>
      <c r="B258" s="13"/>
      <c r="C258" s="13"/>
    </row>
    <row r="259" spans="1:3" ht="13" x14ac:dyDescent="0.15">
      <c r="A259" s="10"/>
      <c r="B259" s="13"/>
      <c r="C259" s="13"/>
    </row>
    <row r="260" spans="1:3" ht="13" x14ac:dyDescent="0.15">
      <c r="A260" s="10"/>
      <c r="B260" s="13"/>
      <c r="C260" s="13"/>
    </row>
    <row r="261" spans="1:3" ht="13" x14ac:dyDescent="0.15">
      <c r="A261" s="10"/>
      <c r="B261" s="13"/>
      <c r="C261" s="13"/>
    </row>
    <row r="262" spans="1:3" ht="13" x14ac:dyDescent="0.15">
      <c r="A262" s="10"/>
      <c r="B262" s="13"/>
      <c r="C262" s="13"/>
    </row>
    <row r="263" spans="1:3" ht="13" x14ac:dyDescent="0.15">
      <c r="A263" s="10"/>
      <c r="B263" s="13"/>
      <c r="C263" s="13"/>
    </row>
    <row r="264" spans="1:3" ht="13" x14ac:dyDescent="0.15">
      <c r="A264" s="10"/>
      <c r="B264" s="13"/>
      <c r="C264" s="13"/>
    </row>
    <row r="265" spans="1:3" ht="13" x14ac:dyDescent="0.15">
      <c r="A265" s="10"/>
      <c r="B265" s="13"/>
      <c r="C265" s="13"/>
    </row>
    <row r="266" spans="1:3" ht="13" x14ac:dyDescent="0.15">
      <c r="A266" s="10"/>
      <c r="B266" s="13"/>
      <c r="C266" s="13"/>
    </row>
    <row r="267" spans="1:3" ht="13" x14ac:dyDescent="0.15">
      <c r="A267" s="10"/>
      <c r="B267" s="13"/>
      <c r="C267" s="13"/>
    </row>
    <row r="268" spans="1:3" ht="13" x14ac:dyDescent="0.15">
      <c r="A268" s="10"/>
      <c r="B268" s="13"/>
      <c r="C268" s="13"/>
    </row>
    <row r="269" spans="1:3" ht="13" x14ac:dyDescent="0.15">
      <c r="A269" s="10"/>
      <c r="B269" s="13"/>
      <c r="C269" s="13"/>
    </row>
    <row r="270" spans="1:3" ht="13" x14ac:dyDescent="0.15">
      <c r="A270" s="10"/>
      <c r="B270" s="13"/>
      <c r="C270" s="13"/>
    </row>
    <row r="271" spans="1:3" ht="13" x14ac:dyDescent="0.15">
      <c r="A271" s="10"/>
      <c r="B271" s="13"/>
      <c r="C271" s="13"/>
    </row>
    <row r="272" spans="1:3" ht="13" x14ac:dyDescent="0.15">
      <c r="A272" s="10"/>
      <c r="B272" s="13"/>
      <c r="C272" s="13"/>
    </row>
    <row r="273" spans="1:3" ht="13" x14ac:dyDescent="0.15">
      <c r="A273" s="10"/>
      <c r="B273" s="13"/>
      <c r="C273" s="13"/>
    </row>
    <row r="274" spans="1:3" ht="13" x14ac:dyDescent="0.15">
      <c r="A274" s="10"/>
      <c r="B274" s="13"/>
      <c r="C274" s="13"/>
    </row>
    <row r="275" spans="1:3" ht="13" x14ac:dyDescent="0.15">
      <c r="A275" s="10"/>
      <c r="B275" s="13"/>
      <c r="C275" s="13"/>
    </row>
    <row r="276" spans="1:3" ht="13" x14ac:dyDescent="0.15">
      <c r="A276" s="10"/>
      <c r="B276" s="13"/>
      <c r="C276" s="13"/>
    </row>
    <row r="277" spans="1:3" ht="13" x14ac:dyDescent="0.15">
      <c r="A277" s="10"/>
      <c r="B277" s="13"/>
      <c r="C277" s="13"/>
    </row>
    <row r="278" spans="1:3" ht="13" x14ac:dyDescent="0.15">
      <c r="A278" s="10"/>
      <c r="B278" s="13"/>
      <c r="C278" s="13"/>
    </row>
    <row r="279" spans="1:3" ht="13" x14ac:dyDescent="0.15">
      <c r="A279" s="10"/>
      <c r="B279" s="13"/>
      <c r="C279" s="13"/>
    </row>
    <row r="280" spans="1:3" ht="13" x14ac:dyDescent="0.15">
      <c r="A280" s="10"/>
      <c r="B280" s="13"/>
      <c r="C280" s="13"/>
    </row>
    <row r="281" spans="1:3" ht="13" x14ac:dyDescent="0.15">
      <c r="A281" s="10"/>
      <c r="B281" s="13"/>
      <c r="C281" s="13"/>
    </row>
    <row r="282" spans="1:3" ht="13" x14ac:dyDescent="0.15">
      <c r="A282" s="10"/>
      <c r="B282" s="13"/>
      <c r="C282" s="13"/>
    </row>
    <row r="283" spans="1:3" ht="13" x14ac:dyDescent="0.15">
      <c r="A283" s="10"/>
      <c r="B283" s="13"/>
      <c r="C283" s="13"/>
    </row>
    <row r="284" spans="1:3" ht="13" x14ac:dyDescent="0.15">
      <c r="A284" s="10"/>
      <c r="B284" s="13"/>
      <c r="C284" s="13"/>
    </row>
    <row r="285" spans="1:3" ht="13" x14ac:dyDescent="0.15">
      <c r="A285" s="10"/>
      <c r="B285" s="13"/>
      <c r="C285" s="13"/>
    </row>
    <row r="286" spans="1:3" ht="13" x14ac:dyDescent="0.15">
      <c r="A286" s="10"/>
      <c r="B286" s="13"/>
      <c r="C286" s="13"/>
    </row>
    <row r="287" spans="1:3" ht="13" x14ac:dyDescent="0.15">
      <c r="A287" s="10"/>
      <c r="B287" s="13"/>
      <c r="C287" s="13"/>
    </row>
    <row r="288" spans="1:3" ht="13" x14ac:dyDescent="0.15">
      <c r="A288" s="10"/>
      <c r="B288" s="13"/>
      <c r="C288" s="13"/>
    </row>
    <row r="289" spans="1:3" ht="13" x14ac:dyDescent="0.15">
      <c r="A289" s="10"/>
      <c r="B289" s="13"/>
      <c r="C289" s="13"/>
    </row>
    <row r="290" spans="1:3" ht="13" x14ac:dyDescent="0.15">
      <c r="A290" s="10"/>
      <c r="B290" s="13"/>
      <c r="C290" s="13"/>
    </row>
    <row r="291" spans="1:3" ht="13" x14ac:dyDescent="0.15">
      <c r="A291" s="10"/>
      <c r="B291" s="13"/>
      <c r="C291" s="13"/>
    </row>
    <row r="292" spans="1:3" ht="13" x14ac:dyDescent="0.15">
      <c r="A292" s="10"/>
      <c r="B292" s="13"/>
      <c r="C292" s="13"/>
    </row>
    <row r="293" spans="1:3" ht="13" x14ac:dyDescent="0.15">
      <c r="A293" s="10"/>
      <c r="B293" s="13"/>
      <c r="C293" s="13"/>
    </row>
    <row r="294" spans="1:3" ht="13" x14ac:dyDescent="0.15">
      <c r="A294" s="10"/>
      <c r="B294" s="13"/>
      <c r="C294" s="13"/>
    </row>
    <row r="295" spans="1:3" ht="13" x14ac:dyDescent="0.15">
      <c r="A295" s="10"/>
      <c r="B295" s="13"/>
      <c r="C295" s="13"/>
    </row>
    <row r="296" spans="1:3" ht="13" x14ac:dyDescent="0.15">
      <c r="A296" s="10"/>
      <c r="B296" s="13"/>
      <c r="C296" s="13"/>
    </row>
    <row r="297" spans="1:3" ht="13" x14ac:dyDescent="0.15">
      <c r="A297" s="10"/>
      <c r="B297" s="13"/>
      <c r="C297" s="13"/>
    </row>
    <row r="298" spans="1:3" ht="13" x14ac:dyDescent="0.15">
      <c r="A298" s="10"/>
      <c r="B298" s="13"/>
      <c r="C298" s="13"/>
    </row>
    <row r="299" spans="1:3" ht="13" x14ac:dyDescent="0.15">
      <c r="A299" s="10"/>
      <c r="B299" s="13"/>
      <c r="C299" s="13"/>
    </row>
    <row r="300" spans="1:3" ht="13" x14ac:dyDescent="0.15">
      <c r="A300" s="10"/>
      <c r="B300" s="13"/>
      <c r="C300" s="13"/>
    </row>
    <row r="301" spans="1:3" ht="13" x14ac:dyDescent="0.15">
      <c r="A301" s="10"/>
      <c r="B301" s="13"/>
      <c r="C301" s="13"/>
    </row>
    <row r="302" spans="1:3" ht="13" x14ac:dyDescent="0.15">
      <c r="A302" s="10"/>
      <c r="B302" s="13"/>
      <c r="C302" s="13"/>
    </row>
    <row r="303" spans="1:3" ht="13" x14ac:dyDescent="0.15">
      <c r="A303" s="10"/>
      <c r="B303" s="13"/>
      <c r="C303" s="13"/>
    </row>
    <row r="304" spans="1:3" ht="13" x14ac:dyDescent="0.15">
      <c r="A304" s="10"/>
      <c r="B304" s="13"/>
      <c r="C304" s="13"/>
    </row>
    <row r="305" spans="1:3" ht="13" x14ac:dyDescent="0.15">
      <c r="A305" s="10"/>
      <c r="B305" s="13"/>
      <c r="C305" s="13"/>
    </row>
    <row r="306" spans="1:3" ht="13" x14ac:dyDescent="0.15">
      <c r="A306" s="10"/>
      <c r="B306" s="13"/>
      <c r="C306" s="13"/>
    </row>
    <row r="307" spans="1:3" ht="13" x14ac:dyDescent="0.15">
      <c r="A307" s="10"/>
      <c r="B307" s="13"/>
      <c r="C307" s="13"/>
    </row>
    <row r="308" spans="1:3" ht="13" x14ac:dyDescent="0.15">
      <c r="A308" s="10"/>
      <c r="B308" s="13"/>
      <c r="C308" s="13"/>
    </row>
    <row r="309" spans="1:3" ht="13" x14ac:dyDescent="0.15">
      <c r="A309" s="10"/>
      <c r="B309" s="13"/>
      <c r="C309" s="13"/>
    </row>
    <row r="310" spans="1:3" ht="13" x14ac:dyDescent="0.15">
      <c r="A310" s="10"/>
      <c r="B310" s="13"/>
      <c r="C310" s="13"/>
    </row>
    <row r="311" spans="1:3" ht="13" x14ac:dyDescent="0.15">
      <c r="A311" s="10"/>
      <c r="B311" s="13"/>
      <c r="C311" s="13"/>
    </row>
    <row r="312" spans="1:3" ht="13" x14ac:dyDescent="0.15">
      <c r="A312" s="10"/>
      <c r="B312" s="13"/>
      <c r="C312" s="13"/>
    </row>
    <row r="313" spans="1:3" ht="13" x14ac:dyDescent="0.15">
      <c r="A313" s="10"/>
      <c r="B313" s="13"/>
      <c r="C313" s="13"/>
    </row>
    <row r="314" spans="1:3" ht="13" x14ac:dyDescent="0.15">
      <c r="A314" s="10"/>
      <c r="B314" s="13"/>
      <c r="C314" s="13"/>
    </row>
    <row r="315" spans="1:3" ht="13" x14ac:dyDescent="0.15">
      <c r="A315" s="10"/>
      <c r="B315" s="13"/>
      <c r="C315" s="13"/>
    </row>
    <row r="316" spans="1:3" ht="13" x14ac:dyDescent="0.15">
      <c r="A316" s="10"/>
      <c r="B316" s="13"/>
      <c r="C316" s="13"/>
    </row>
    <row r="317" spans="1:3" ht="13" x14ac:dyDescent="0.15">
      <c r="A317" s="10"/>
      <c r="B317" s="13"/>
      <c r="C317" s="13"/>
    </row>
    <row r="318" spans="1:3" ht="13" x14ac:dyDescent="0.15">
      <c r="A318" s="10"/>
      <c r="B318" s="13"/>
      <c r="C318" s="13"/>
    </row>
    <row r="319" spans="1:3" ht="13" x14ac:dyDescent="0.15">
      <c r="A319" s="10"/>
      <c r="B319" s="13"/>
      <c r="C319" s="13"/>
    </row>
    <row r="320" spans="1:3" ht="13" x14ac:dyDescent="0.15">
      <c r="A320" s="10"/>
      <c r="B320" s="13"/>
      <c r="C320" s="13"/>
    </row>
    <row r="321" spans="1:3" ht="13" x14ac:dyDescent="0.15">
      <c r="A321" s="10"/>
      <c r="B321" s="13"/>
      <c r="C321" s="13"/>
    </row>
    <row r="322" spans="1:3" ht="13" x14ac:dyDescent="0.15">
      <c r="A322" s="10"/>
      <c r="B322" s="13"/>
      <c r="C322" s="13"/>
    </row>
    <row r="323" spans="1:3" ht="13" x14ac:dyDescent="0.15">
      <c r="A323" s="10"/>
      <c r="B323" s="13"/>
      <c r="C323" s="13"/>
    </row>
    <row r="324" spans="1:3" ht="13" x14ac:dyDescent="0.15">
      <c r="A324" s="10"/>
      <c r="B324" s="13"/>
      <c r="C324" s="13"/>
    </row>
    <row r="325" spans="1:3" ht="13" x14ac:dyDescent="0.15">
      <c r="A325" s="10"/>
      <c r="B325" s="13"/>
      <c r="C325" s="13"/>
    </row>
    <row r="326" spans="1:3" ht="13" x14ac:dyDescent="0.15">
      <c r="A326" s="10"/>
      <c r="B326" s="13"/>
      <c r="C326" s="13"/>
    </row>
    <row r="327" spans="1:3" ht="13" x14ac:dyDescent="0.15">
      <c r="A327" s="10"/>
      <c r="B327" s="13"/>
      <c r="C327" s="13"/>
    </row>
    <row r="328" spans="1:3" ht="13" x14ac:dyDescent="0.15">
      <c r="A328" s="10"/>
      <c r="B328" s="13"/>
      <c r="C328" s="13"/>
    </row>
    <row r="329" spans="1:3" ht="13" x14ac:dyDescent="0.15">
      <c r="A329" s="10"/>
      <c r="B329" s="13"/>
      <c r="C329" s="13"/>
    </row>
    <row r="330" spans="1:3" ht="13" x14ac:dyDescent="0.15">
      <c r="A330" s="10"/>
      <c r="B330" s="13"/>
      <c r="C330" s="13"/>
    </row>
    <row r="331" spans="1:3" ht="13" x14ac:dyDescent="0.15">
      <c r="A331" s="10"/>
      <c r="B331" s="13"/>
      <c r="C331" s="13"/>
    </row>
    <row r="332" spans="1:3" ht="13" x14ac:dyDescent="0.15">
      <c r="A332" s="10"/>
      <c r="B332" s="13"/>
      <c r="C332" s="13"/>
    </row>
    <row r="333" spans="1:3" ht="13" x14ac:dyDescent="0.15">
      <c r="A333" s="10"/>
      <c r="B333" s="13"/>
      <c r="C333" s="13"/>
    </row>
    <row r="334" spans="1:3" ht="13" x14ac:dyDescent="0.15">
      <c r="A334" s="10"/>
      <c r="B334" s="13"/>
      <c r="C334" s="13"/>
    </row>
    <row r="335" spans="1:3" ht="13" x14ac:dyDescent="0.15">
      <c r="A335" s="10"/>
      <c r="B335" s="13"/>
      <c r="C335" s="13"/>
    </row>
    <row r="336" spans="1:3" ht="13" x14ac:dyDescent="0.15">
      <c r="A336" s="10"/>
      <c r="B336" s="13"/>
      <c r="C336" s="13"/>
    </row>
    <row r="337" spans="1:3" ht="13" x14ac:dyDescent="0.15">
      <c r="A337" s="10"/>
      <c r="B337" s="13"/>
      <c r="C337" s="13"/>
    </row>
    <row r="338" spans="1:3" ht="13" x14ac:dyDescent="0.15">
      <c r="A338" s="10"/>
      <c r="B338" s="13"/>
      <c r="C338" s="13"/>
    </row>
    <row r="339" spans="1:3" ht="13" x14ac:dyDescent="0.15">
      <c r="A339" s="10"/>
      <c r="B339" s="13"/>
      <c r="C339" s="13"/>
    </row>
    <row r="340" spans="1:3" ht="13" x14ac:dyDescent="0.15">
      <c r="A340" s="10"/>
      <c r="B340" s="13"/>
      <c r="C340" s="13"/>
    </row>
    <row r="341" spans="1:3" ht="13" x14ac:dyDescent="0.15">
      <c r="A341" s="10"/>
      <c r="B341" s="13"/>
      <c r="C341" s="13"/>
    </row>
    <row r="342" spans="1:3" ht="13" x14ac:dyDescent="0.15">
      <c r="A342" s="10"/>
      <c r="B342" s="13"/>
      <c r="C342" s="13"/>
    </row>
    <row r="343" spans="1:3" ht="13" x14ac:dyDescent="0.15">
      <c r="A343" s="10"/>
      <c r="B343" s="13"/>
      <c r="C343" s="13"/>
    </row>
    <row r="344" spans="1:3" ht="13" x14ac:dyDescent="0.15">
      <c r="A344" s="10"/>
      <c r="B344" s="13"/>
      <c r="C344" s="13"/>
    </row>
    <row r="345" spans="1:3" ht="13" x14ac:dyDescent="0.15">
      <c r="A345" s="10"/>
      <c r="B345" s="13"/>
      <c r="C345" s="13"/>
    </row>
    <row r="346" spans="1:3" ht="13" x14ac:dyDescent="0.15">
      <c r="A346" s="10"/>
      <c r="B346" s="13"/>
      <c r="C346" s="13"/>
    </row>
    <row r="347" spans="1:3" ht="13" x14ac:dyDescent="0.15">
      <c r="A347" s="10"/>
      <c r="B347" s="13"/>
      <c r="C347" s="13"/>
    </row>
    <row r="348" spans="1:3" ht="13" x14ac:dyDescent="0.15">
      <c r="A348" s="10"/>
      <c r="B348" s="13"/>
      <c r="C348" s="13"/>
    </row>
    <row r="349" spans="1:3" ht="13" x14ac:dyDescent="0.15">
      <c r="A349" s="10"/>
      <c r="B349" s="13"/>
      <c r="C349" s="13"/>
    </row>
    <row r="350" spans="1:3" ht="13" x14ac:dyDescent="0.15">
      <c r="A350" s="10"/>
      <c r="B350" s="13"/>
      <c r="C350" s="13"/>
    </row>
    <row r="351" spans="1:3" ht="13" x14ac:dyDescent="0.15">
      <c r="A351" s="10"/>
      <c r="B351" s="13"/>
      <c r="C351" s="13"/>
    </row>
    <row r="352" spans="1:3" ht="13" x14ac:dyDescent="0.15">
      <c r="A352" s="10"/>
      <c r="B352" s="13"/>
      <c r="C352" s="13"/>
    </row>
    <row r="353" spans="1:3" ht="13" x14ac:dyDescent="0.15">
      <c r="A353" s="10"/>
      <c r="B353" s="13"/>
      <c r="C353" s="13"/>
    </row>
    <row r="354" spans="1:3" ht="13" x14ac:dyDescent="0.15">
      <c r="A354" s="10"/>
      <c r="B354" s="13"/>
      <c r="C354" s="13"/>
    </row>
    <row r="355" spans="1:3" ht="13" x14ac:dyDescent="0.15">
      <c r="A355" s="10"/>
      <c r="B355" s="13"/>
      <c r="C355" s="13"/>
    </row>
    <row r="356" spans="1:3" ht="13" x14ac:dyDescent="0.15">
      <c r="A356" s="10"/>
      <c r="B356" s="13"/>
      <c r="C356" s="13"/>
    </row>
    <row r="357" spans="1:3" ht="13" x14ac:dyDescent="0.15">
      <c r="A357" s="10"/>
      <c r="B357" s="13"/>
      <c r="C357" s="13"/>
    </row>
    <row r="358" spans="1:3" ht="13" x14ac:dyDescent="0.15">
      <c r="A358" s="10"/>
      <c r="B358" s="13"/>
      <c r="C358" s="13"/>
    </row>
    <row r="359" spans="1:3" ht="13" x14ac:dyDescent="0.15">
      <c r="A359" s="10"/>
      <c r="B359" s="13"/>
      <c r="C359" s="13"/>
    </row>
    <row r="360" spans="1:3" ht="13" x14ac:dyDescent="0.15">
      <c r="A360" s="10"/>
      <c r="B360" s="13"/>
      <c r="C360" s="13"/>
    </row>
    <row r="361" spans="1:3" ht="13" x14ac:dyDescent="0.15">
      <c r="A361" s="10"/>
      <c r="B361" s="13"/>
      <c r="C361" s="13"/>
    </row>
    <row r="362" spans="1:3" ht="13" x14ac:dyDescent="0.15">
      <c r="A362" s="10"/>
      <c r="B362" s="13"/>
      <c r="C362" s="13"/>
    </row>
    <row r="363" spans="1:3" ht="13" x14ac:dyDescent="0.15">
      <c r="A363" s="10"/>
      <c r="B363" s="13"/>
      <c r="C363" s="13"/>
    </row>
    <row r="364" spans="1:3" ht="13" x14ac:dyDescent="0.15">
      <c r="A364" s="10"/>
      <c r="B364" s="13"/>
      <c r="C364" s="13"/>
    </row>
    <row r="365" spans="1:3" ht="13" x14ac:dyDescent="0.15">
      <c r="A365" s="10"/>
      <c r="B365" s="13"/>
      <c r="C365" s="13"/>
    </row>
    <row r="366" spans="1:3" ht="13" x14ac:dyDescent="0.15">
      <c r="A366" s="10"/>
      <c r="B366" s="13"/>
      <c r="C366" s="13"/>
    </row>
    <row r="367" spans="1:3" ht="13" x14ac:dyDescent="0.15">
      <c r="A367" s="10"/>
      <c r="B367" s="13"/>
      <c r="C367" s="13"/>
    </row>
    <row r="368" spans="1:3" ht="13" x14ac:dyDescent="0.15">
      <c r="A368" s="10"/>
      <c r="B368" s="13"/>
      <c r="C368" s="13"/>
    </row>
    <row r="369" spans="1:3" ht="13" x14ac:dyDescent="0.15">
      <c r="A369" s="10"/>
      <c r="B369" s="13"/>
      <c r="C369" s="13"/>
    </row>
    <row r="370" spans="1:3" ht="13" x14ac:dyDescent="0.15">
      <c r="A370" s="10"/>
      <c r="B370" s="13"/>
      <c r="C370" s="13"/>
    </row>
    <row r="371" spans="1:3" ht="13" x14ac:dyDescent="0.15">
      <c r="A371" s="10"/>
      <c r="B371" s="13"/>
      <c r="C371" s="13"/>
    </row>
    <row r="372" spans="1:3" ht="13" x14ac:dyDescent="0.15">
      <c r="A372" s="10"/>
      <c r="B372" s="13"/>
      <c r="C372" s="13"/>
    </row>
    <row r="373" spans="1:3" ht="13" x14ac:dyDescent="0.15">
      <c r="A373" s="10"/>
      <c r="B373" s="13"/>
      <c r="C373" s="13"/>
    </row>
    <row r="374" spans="1:3" ht="13" x14ac:dyDescent="0.15">
      <c r="A374" s="10"/>
      <c r="B374" s="13"/>
      <c r="C374" s="13"/>
    </row>
    <row r="375" spans="1:3" ht="13" x14ac:dyDescent="0.15">
      <c r="A375" s="10"/>
      <c r="B375" s="13"/>
      <c r="C375" s="13"/>
    </row>
    <row r="376" spans="1:3" ht="13" x14ac:dyDescent="0.15">
      <c r="A376" s="10"/>
      <c r="B376" s="13"/>
      <c r="C376" s="13"/>
    </row>
    <row r="377" spans="1:3" ht="13" x14ac:dyDescent="0.15">
      <c r="A377" s="10"/>
      <c r="B377" s="13"/>
      <c r="C377" s="13"/>
    </row>
    <row r="378" spans="1:3" ht="13" x14ac:dyDescent="0.15">
      <c r="A378" s="10"/>
      <c r="B378" s="13"/>
      <c r="C378" s="13"/>
    </row>
    <row r="379" spans="1:3" ht="13" x14ac:dyDescent="0.15">
      <c r="A379" s="10"/>
      <c r="B379" s="13"/>
      <c r="C379" s="13"/>
    </row>
    <row r="380" spans="1:3" ht="13" x14ac:dyDescent="0.15">
      <c r="A380" s="10"/>
      <c r="B380" s="13"/>
      <c r="C380" s="13"/>
    </row>
    <row r="381" spans="1:3" ht="13" x14ac:dyDescent="0.15">
      <c r="A381" s="10"/>
      <c r="B381" s="13"/>
      <c r="C381" s="13"/>
    </row>
    <row r="382" spans="1:3" ht="13" x14ac:dyDescent="0.15">
      <c r="A382" s="10"/>
      <c r="B382" s="13"/>
      <c r="C382" s="13"/>
    </row>
    <row r="383" spans="1:3" ht="13" x14ac:dyDescent="0.15">
      <c r="A383" s="10"/>
      <c r="B383" s="13"/>
      <c r="C383" s="13"/>
    </row>
    <row r="384" spans="1:3" ht="13" x14ac:dyDescent="0.15">
      <c r="A384" s="10"/>
      <c r="B384" s="13"/>
      <c r="C384" s="13"/>
    </row>
    <row r="385" spans="1:3" ht="13" x14ac:dyDescent="0.15">
      <c r="A385" s="10"/>
      <c r="B385" s="13"/>
      <c r="C385" s="13"/>
    </row>
    <row r="386" spans="1:3" ht="13" x14ac:dyDescent="0.15">
      <c r="A386" s="10"/>
      <c r="B386" s="13"/>
      <c r="C386" s="13"/>
    </row>
    <row r="387" spans="1:3" ht="13" x14ac:dyDescent="0.15">
      <c r="A387" s="10"/>
      <c r="B387" s="13"/>
      <c r="C387" s="13"/>
    </row>
    <row r="388" spans="1:3" ht="13" x14ac:dyDescent="0.15">
      <c r="A388" s="10"/>
      <c r="B388" s="13"/>
      <c r="C388" s="13"/>
    </row>
    <row r="389" spans="1:3" ht="13" x14ac:dyDescent="0.15">
      <c r="A389" s="10"/>
      <c r="B389" s="13"/>
      <c r="C389" s="13"/>
    </row>
    <row r="390" spans="1:3" ht="13" x14ac:dyDescent="0.15">
      <c r="A390" s="10"/>
      <c r="B390" s="13"/>
      <c r="C390" s="13"/>
    </row>
    <row r="391" spans="1:3" ht="13" x14ac:dyDescent="0.15">
      <c r="A391" s="10"/>
      <c r="B391" s="13"/>
      <c r="C391" s="13"/>
    </row>
    <row r="392" spans="1:3" ht="13" x14ac:dyDescent="0.15">
      <c r="A392" s="10"/>
      <c r="B392" s="13"/>
      <c r="C392" s="13"/>
    </row>
    <row r="393" spans="1:3" ht="13" x14ac:dyDescent="0.15">
      <c r="A393" s="10"/>
      <c r="B393" s="13"/>
      <c r="C393" s="13"/>
    </row>
    <row r="394" spans="1:3" ht="13" x14ac:dyDescent="0.15">
      <c r="A394" s="10"/>
      <c r="B394" s="13"/>
      <c r="C394" s="13"/>
    </row>
    <row r="395" spans="1:3" ht="13" x14ac:dyDescent="0.15">
      <c r="A395" s="10"/>
      <c r="B395" s="13"/>
      <c r="C395" s="13"/>
    </row>
    <row r="396" spans="1:3" ht="13" x14ac:dyDescent="0.15">
      <c r="A396" s="10"/>
      <c r="B396" s="13"/>
      <c r="C396" s="13"/>
    </row>
    <row r="397" spans="1:3" ht="13" x14ac:dyDescent="0.15">
      <c r="A397" s="10"/>
      <c r="B397" s="13"/>
      <c r="C397" s="13"/>
    </row>
    <row r="398" spans="1:3" ht="13" x14ac:dyDescent="0.15">
      <c r="A398" s="10"/>
      <c r="B398" s="13"/>
      <c r="C398" s="13"/>
    </row>
    <row r="399" spans="1:3" ht="13" x14ac:dyDescent="0.15">
      <c r="A399" s="10"/>
      <c r="B399" s="13"/>
      <c r="C399" s="13"/>
    </row>
    <row r="400" spans="1:3" ht="13" x14ac:dyDescent="0.15">
      <c r="A400" s="10"/>
      <c r="B400" s="13"/>
      <c r="C400" s="13"/>
    </row>
    <row r="401" spans="1:3" ht="13" x14ac:dyDescent="0.15">
      <c r="A401" s="10"/>
      <c r="B401" s="13"/>
      <c r="C401" s="13"/>
    </row>
    <row r="402" spans="1:3" ht="13" x14ac:dyDescent="0.15">
      <c r="A402" s="10"/>
      <c r="B402" s="13"/>
      <c r="C402" s="13"/>
    </row>
    <row r="403" spans="1:3" ht="13" x14ac:dyDescent="0.15">
      <c r="A403" s="10"/>
      <c r="B403" s="13"/>
      <c r="C403" s="13"/>
    </row>
    <row r="404" spans="1:3" ht="13" x14ac:dyDescent="0.15">
      <c r="A404" s="10"/>
      <c r="B404" s="13"/>
      <c r="C404" s="13"/>
    </row>
    <row r="405" spans="1:3" ht="13" x14ac:dyDescent="0.15">
      <c r="A405" s="10"/>
      <c r="B405" s="13"/>
      <c r="C405" s="13"/>
    </row>
    <row r="406" spans="1:3" ht="13" x14ac:dyDescent="0.15">
      <c r="A406" s="10"/>
      <c r="B406" s="13"/>
      <c r="C406" s="13"/>
    </row>
    <row r="407" spans="1:3" ht="13" x14ac:dyDescent="0.15">
      <c r="A407" s="10"/>
      <c r="B407" s="13"/>
      <c r="C407" s="13"/>
    </row>
    <row r="408" spans="1:3" ht="13" x14ac:dyDescent="0.15">
      <c r="A408" s="10"/>
      <c r="B408" s="13"/>
      <c r="C408" s="13"/>
    </row>
    <row r="409" spans="1:3" ht="13" x14ac:dyDescent="0.15">
      <c r="A409" s="10"/>
      <c r="B409" s="13"/>
      <c r="C409" s="13"/>
    </row>
    <row r="410" spans="1:3" ht="13" x14ac:dyDescent="0.15">
      <c r="A410" s="10"/>
      <c r="B410" s="13"/>
      <c r="C410" s="13"/>
    </row>
    <row r="411" spans="1:3" ht="13" x14ac:dyDescent="0.15">
      <c r="A411" s="10"/>
      <c r="B411" s="13"/>
      <c r="C411" s="13"/>
    </row>
    <row r="412" spans="1:3" ht="13" x14ac:dyDescent="0.15">
      <c r="A412" s="10"/>
      <c r="B412" s="13"/>
      <c r="C412" s="13"/>
    </row>
    <row r="413" spans="1:3" ht="13" x14ac:dyDescent="0.15">
      <c r="A413" s="10"/>
      <c r="B413" s="13"/>
      <c r="C413" s="13"/>
    </row>
    <row r="414" spans="1:3" ht="13" x14ac:dyDescent="0.15">
      <c r="A414" s="10"/>
      <c r="B414" s="13"/>
      <c r="C414" s="13"/>
    </row>
    <row r="415" spans="1:3" ht="13" x14ac:dyDescent="0.15">
      <c r="A415" s="10"/>
      <c r="B415" s="13"/>
      <c r="C415" s="13"/>
    </row>
    <row r="416" spans="1:3" ht="13" x14ac:dyDescent="0.15">
      <c r="A416" s="10"/>
      <c r="B416" s="13"/>
      <c r="C416" s="13"/>
    </row>
    <row r="417" spans="1:3" ht="13" x14ac:dyDescent="0.15">
      <c r="A417" s="10"/>
      <c r="B417" s="13"/>
      <c r="C417" s="13"/>
    </row>
    <row r="418" spans="1:3" ht="13" x14ac:dyDescent="0.15">
      <c r="A418" s="10"/>
      <c r="B418" s="13"/>
      <c r="C418" s="13"/>
    </row>
    <row r="419" spans="1:3" ht="13" x14ac:dyDescent="0.15">
      <c r="A419" s="10"/>
      <c r="B419" s="13"/>
      <c r="C419" s="13"/>
    </row>
    <row r="420" spans="1:3" ht="13" x14ac:dyDescent="0.15">
      <c r="A420" s="10"/>
      <c r="B420" s="13"/>
      <c r="C420" s="13"/>
    </row>
    <row r="421" spans="1:3" ht="13" x14ac:dyDescent="0.15">
      <c r="A421" s="10"/>
      <c r="B421" s="13"/>
      <c r="C421" s="13"/>
    </row>
    <row r="422" spans="1:3" ht="13" x14ac:dyDescent="0.15">
      <c r="A422" s="10"/>
      <c r="B422" s="13"/>
      <c r="C422" s="13"/>
    </row>
    <row r="423" spans="1:3" ht="13" x14ac:dyDescent="0.15">
      <c r="A423" s="10"/>
      <c r="B423" s="13"/>
      <c r="C423" s="13"/>
    </row>
    <row r="424" spans="1:3" ht="13" x14ac:dyDescent="0.15">
      <c r="A424" s="10"/>
      <c r="B424" s="13"/>
      <c r="C424" s="13"/>
    </row>
    <row r="425" spans="1:3" ht="13" x14ac:dyDescent="0.15">
      <c r="A425" s="10"/>
      <c r="B425" s="13"/>
      <c r="C425" s="13"/>
    </row>
    <row r="426" spans="1:3" ht="13" x14ac:dyDescent="0.15">
      <c r="A426" s="10"/>
      <c r="B426" s="13"/>
      <c r="C426" s="13"/>
    </row>
    <row r="427" spans="1:3" ht="13" x14ac:dyDescent="0.15">
      <c r="A427" s="10"/>
      <c r="B427" s="13"/>
      <c r="C427" s="13"/>
    </row>
    <row r="428" spans="1:3" ht="13" x14ac:dyDescent="0.15">
      <c r="A428" s="10"/>
      <c r="B428" s="13"/>
      <c r="C428" s="13"/>
    </row>
    <row r="429" spans="1:3" ht="13" x14ac:dyDescent="0.15">
      <c r="A429" s="10"/>
      <c r="B429" s="13"/>
      <c r="C429" s="13"/>
    </row>
    <row r="430" spans="1:3" ht="13" x14ac:dyDescent="0.15">
      <c r="A430" s="10"/>
      <c r="B430" s="13"/>
      <c r="C430" s="13"/>
    </row>
    <row r="431" spans="1:3" ht="13" x14ac:dyDescent="0.15">
      <c r="A431" s="10"/>
      <c r="B431" s="13"/>
      <c r="C431" s="13"/>
    </row>
    <row r="432" spans="1:3" ht="13" x14ac:dyDescent="0.15">
      <c r="A432" s="10"/>
      <c r="B432" s="13"/>
      <c r="C432" s="13"/>
    </row>
    <row r="433" spans="1:3" ht="13" x14ac:dyDescent="0.15">
      <c r="A433" s="10"/>
      <c r="B433" s="13"/>
      <c r="C433" s="13"/>
    </row>
    <row r="434" spans="1:3" ht="13" x14ac:dyDescent="0.15">
      <c r="A434" s="10"/>
      <c r="B434" s="13"/>
      <c r="C434" s="13"/>
    </row>
    <row r="435" spans="1:3" ht="13" x14ac:dyDescent="0.15">
      <c r="A435" s="10"/>
      <c r="B435" s="13"/>
      <c r="C435" s="13"/>
    </row>
    <row r="436" spans="1:3" ht="13" x14ac:dyDescent="0.15">
      <c r="A436" s="10"/>
      <c r="B436" s="13"/>
      <c r="C436" s="13"/>
    </row>
    <row r="437" spans="1:3" ht="13" x14ac:dyDescent="0.15">
      <c r="A437" s="10"/>
      <c r="B437" s="13"/>
      <c r="C437" s="13"/>
    </row>
    <row r="438" spans="1:3" ht="13" x14ac:dyDescent="0.15">
      <c r="A438" s="10"/>
      <c r="B438" s="13"/>
      <c r="C438" s="13"/>
    </row>
    <row r="439" spans="1:3" ht="13" x14ac:dyDescent="0.15">
      <c r="A439" s="10"/>
      <c r="B439" s="13"/>
      <c r="C439" s="13"/>
    </row>
    <row r="440" spans="1:3" ht="13" x14ac:dyDescent="0.15">
      <c r="A440" s="10"/>
      <c r="B440" s="13"/>
      <c r="C440" s="13"/>
    </row>
    <row r="441" spans="1:3" ht="13" x14ac:dyDescent="0.15">
      <c r="A441" s="10"/>
      <c r="B441" s="13"/>
      <c r="C441" s="13"/>
    </row>
    <row r="442" spans="1:3" ht="13" x14ac:dyDescent="0.15">
      <c r="A442" s="10"/>
      <c r="B442" s="13"/>
      <c r="C442" s="13"/>
    </row>
    <row r="443" spans="1:3" ht="13" x14ac:dyDescent="0.15">
      <c r="A443" s="10"/>
      <c r="B443" s="13"/>
      <c r="C443" s="13"/>
    </row>
    <row r="444" spans="1:3" ht="13" x14ac:dyDescent="0.15">
      <c r="A444" s="10"/>
      <c r="B444" s="13"/>
      <c r="C444" s="13"/>
    </row>
    <row r="445" spans="1:3" ht="13" x14ac:dyDescent="0.15">
      <c r="A445" s="10"/>
      <c r="B445" s="13"/>
      <c r="C445" s="13"/>
    </row>
    <row r="446" spans="1:3" ht="13" x14ac:dyDescent="0.15">
      <c r="A446" s="10"/>
      <c r="B446" s="13"/>
      <c r="C446" s="13"/>
    </row>
    <row r="447" spans="1:3" ht="13" x14ac:dyDescent="0.15">
      <c r="A447" s="10"/>
      <c r="B447" s="13"/>
      <c r="C447" s="13"/>
    </row>
    <row r="448" spans="1:3" ht="13" x14ac:dyDescent="0.15">
      <c r="A448" s="10"/>
      <c r="B448" s="13"/>
      <c r="C448" s="13"/>
    </row>
    <row r="449" spans="1:3" ht="13" x14ac:dyDescent="0.15">
      <c r="A449" s="10"/>
      <c r="B449" s="13"/>
      <c r="C449" s="13"/>
    </row>
    <row r="450" spans="1:3" ht="13" x14ac:dyDescent="0.15">
      <c r="A450" s="10"/>
      <c r="B450" s="13"/>
      <c r="C450" s="13"/>
    </row>
    <row r="451" spans="1:3" ht="13" x14ac:dyDescent="0.15">
      <c r="A451" s="10"/>
      <c r="B451" s="13"/>
      <c r="C451" s="13"/>
    </row>
    <row r="452" spans="1:3" ht="13" x14ac:dyDescent="0.15">
      <c r="A452" s="10"/>
      <c r="B452" s="13"/>
      <c r="C452" s="13"/>
    </row>
    <row r="453" spans="1:3" ht="13" x14ac:dyDescent="0.15">
      <c r="A453" s="10"/>
      <c r="B453" s="13"/>
      <c r="C453" s="13"/>
    </row>
    <row r="454" spans="1:3" ht="13" x14ac:dyDescent="0.15">
      <c r="A454" s="10"/>
      <c r="B454" s="13"/>
      <c r="C454" s="13"/>
    </row>
    <row r="455" spans="1:3" ht="13" x14ac:dyDescent="0.15">
      <c r="A455" s="10"/>
      <c r="B455" s="13"/>
      <c r="C455" s="13"/>
    </row>
    <row r="456" spans="1:3" ht="13" x14ac:dyDescent="0.15">
      <c r="A456" s="10"/>
      <c r="B456" s="13"/>
      <c r="C456" s="13"/>
    </row>
    <row r="457" spans="1:3" ht="13" x14ac:dyDescent="0.15">
      <c r="A457" s="10"/>
      <c r="B457" s="13"/>
      <c r="C457" s="13"/>
    </row>
    <row r="458" spans="1:3" ht="13" x14ac:dyDescent="0.15">
      <c r="A458" s="10"/>
      <c r="B458" s="13"/>
      <c r="C458" s="13"/>
    </row>
    <row r="459" spans="1:3" ht="13" x14ac:dyDescent="0.15">
      <c r="A459" s="10"/>
      <c r="B459" s="13"/>
      <c r="C459" s="13"/>
    </row>
    <row r="460" spans="1:3" ht="13" x14ac:dyDescent="0.15">
      <c r="A460" s="10"/>
      <c r="B460" s="13"/>
      <c r="C460" s="13"/>
    </row>
    <row r="461" spans="1:3" ht="13" x14ac:dyDescent="0.15">
      <c r="A461" s="10"/>
      <c r="B461" s="13"/>
      <c r="C461" s="13"/>
    </row>
    <row r="462" spans="1:3" ht="13" x14ac:dyDescent="0.15">
      <c r="A462" s="10"/>
      <c r="B462" s="13"/>
      <c r="C462" s="13"/>
    </row>
    <row r="463" spans="1:3" ht="13" x14ac:dyDescent="0.15">
      <c r="A463" s="10"/>
      <c r="B463" s="13"/>
      <c r="C463" s="13"/>
    </row>
    <row r="464" spans="1:3" ht="13" x14ac:dyDescent="0.15">
      <c r="A464" s="10"/>
      <c r="B464" s="13"/>
      <c r="C464" s="13"/>
    </row>
    <row r="465" spans="1:3" ht="13" x14ac:dyDescent="0.15">
      <c r="A465" s="10"/>
      <c r="B465" s="13"/>
      <c r="C465" s="13"/>
    </row>
    <row r="466" spans="1:3" ht="13" x14ac:dyDescent="0.15">
      <c r="A466" s="10"/>
      <c r="B466" s="13"/>
      <c r="C466" s="13"/>
    </row>
    <row r="467" spans="1:3" ht="13" x14ac:dyDescent="0.15">
      <c r="A467" s="10"/>
      <c r="B467" s="13"/>
      <c r="C467" s="13"/>
    </row>
    <row r="468" spans="1:3" ht="13" x14ac:dyDescent="0.15">
      <c r="A468" s="10"/>
      <c r="B468" s="13"/>
      <c r="C468" s="13"/>
    </row>
    <row r="469" spans="1:3" ht="13" x14ac:dyDescent="0.15">
      <c r="A469" s="10"/>
      <c r="B469" s="13"/>
      <c r="C469" s="13"/>
    </row>
    <row r="470" spans="1:3" ht="13" x14ac:dyDescent="0.15">
      <c r="A470" s="10"/>
      <c r="B470" s="13"/>
      <c r="C470" s="13"/>
    </row>
    <row r="471" spans="1:3" ht="13" x14ac:dyDescent="0.15">
      <c r="A471" s="10"/>
      <c r="B471" s="13"/>
      <c r="C471" s="13"/>
    </row>
    <row r="472" spans="1:3" ht="13" x14ac:dyDescent="0.15">
      <c r="A472" s="10"/>
      <c r="B472" s="13"/>
      <c r="C472" s="13"/>
    </row>
    <row r="473" spans="1:3" ht="13" x14ac:dyDescent="0.15">
      <c r="A473" s="10"/>
      <c r="B473" s="13"/>
      <c r="C473" s="13"/>
    </row>
    <row r="474" spans="1:3" ht="13" x14ac:dyDescent="0.15">
      <c r="A474" s="10"/>
      <c r="B474" s="13"/>
      <c r="C474" s="13"/>
    </row>
    <row r="475" spans="1:3" ht="13" x14ac:dyDescent="0.15">
      <c r="A475" s="10"/>
      <c r="B475" s="13"/>
      <c r="C475" s="13"/>
    </row>
    <row r="476" spans="1:3" ht="13" x14ac:dyDescent="0.15">
      <c r="A476" s="10"/>
      <c r="B476" s="13"/>
      <c r="C476" s="13"/>
    </row>
    <row r="477" spans="1:3" ht="13" x14ac:dyDescent="0.15">
      <c r="A477" s="10"/>
      <c r="B477" s="13"/>
      <c r="C477" s="13"/>
    </row>
    <row r="478" spans="1:3" ht="13" x14ac:dyDescent="0.15">
      <c r="A478" s="10"/>
      <c r="B478" s="13"/>
      <c r="C478" s="13"/>
    </row>
    <row r="479" spans="1:3" ht="13" x14ac:dyDescent="0.15">
      <c r="A479" s="10"/>
      <c r="B479" s="13"/>
      <c r="C479" s="13"/>
    </row>
    <row r="480" spans="1:3" ht="13" x14ac:dyDescent="0.15">
      <c r="A480" s="10"/>
      <c r="B480" s="13"/>
      <c r="C480" s="13"/>
    </row>
    <row r="481" spans="1:3" ht="13" x14ac:dyDescent="0.15">
      <c r="A481" s="10"/>
      <c r="B481" s="13"/>
      <c r="C481" s="13"/>
    </row>
    <row r="482" spans="1:3" ht="13" x14ac:dyDescent="0.15">
      <c r="A482" s="10"/>
      <c r="B482" s="13"/>
      <c r="C482" s="13"/>
    </row>
    <row r="483" spans="1:3" ht="13" x14ac:dyDescent="0.15">
      <c r="A483" s="10"/>
      <c r="B483" s="13"/>
      <c r="C483" s="13"/>
    </row>
    <row r="484" spans="1:3" ht="13" x14ac:dyDescent="0.15">
      <c r="A484" s="10"/>
      <c r="B484" s="13"/>
      <c r="C484" s="13"/>
    </row>
    <row r="485" spans="1:3" ht="13" x14ac:dyDescent="0.15">
      <c r="A485" s="10"/>
      <c r="B485" s="13"/>
      <c r="C485" s="13"/>
    </row>
    <row r="486" spans="1:3" ht="13" x14ac:dyDescent="0.15">
      <c r="A486" s="10"/>
      <c r="B486" s="13"/>
      <c r="C486" s="13"/>
    </row>
    <row r="487" spans="1:3" ht="13" x14ac:dyDescent="0.15">
      <c r="A487" s="10"/>
      <c r="B487" s="13"/>
      <c r="C487" s="13"/>
    </row>
    <row r="488" spans="1:3" ht="13" x14ac:dyDescent="0.15">
      <c r="A488" s="10"/>
      <c r="B488" s="13"/>
      <c r="C488" s="13"/>
    </row>
    <row r="489" spans="1:3" ht="13" x14ac:dyDescent="0.15">
      <c r="A489" s="10"/>
      <c r="B489" s="13"/>
      <c r="C489" s="13"/>
    </row>
    <row r="490" spans="1:3" ht="13" x14ac:dyDescent="0.15">
      <c r="A490" s="10"/>
      <c r="B490" s="13"/>
      <c r="C490" s="13"/>
    </row>
    <row r="491" spans="1:3" ht="13" x14ac:dyDescent="0.15">
      <c r="A491" s="10"/>
      <c r="B491" s="13"/>
      <c r="C491" s="13"/>
    </row>
    <row r="492" spans="1:3" ht="13" x14ac:dyDescent="0.15">
      <c r="A492" s="10"/>
      <c r="B492" s="13"/>
      <c r="C492" s="13"/>
    </row>
    <row r="493" spans="1:3" ht="13" x14ac:dyDescent="0.15">
      <c r="A493" s="10"/>
      <c r="B493" s="13"/>
      <c r="C493" s="13"/>
    </row>
    <row r="494" spans="1:3" ht="13" x14ac:dyDescent="0.15">
      <c r="A494" s="10"/>
      <c r="B494" s="13"/>
      <c r="C494" s="13"/>
    </row>
    <row r="495" spans="1:3" ht="13" x14ac:dyDescent="0.15">
      <c r="A495" s="10"/>
      <c r="B495" s="13"/>
      <c r="C495" s="13"/>
    </row>
    <row r="496" spans="1:3" ht="13" x14ac:dyDescent="0.15">
      <c r="A496" s="10"/>
      <c r="B496" s="13"/>
      <c r="C496" s="13"/>
    </row>
    <row r="497" spans="1:3" ht="13" x14ac:dyDescent="0.15">
      <c r="A497" s="10"/>
      <c r="B497" s="13"/>
      <c r="C497" s="13"/>
    </row>
    <row r="498" spans="1:3" ht="13" x14ac:dyDescent="0.15">
      <c r="A498" s="10"/>
      <c r="B498" s="13"/>
      <c r="C498" s="13"/>
    </row>
    <row r="499" spans="1:3" ht="13" x14ac:dyDescent="0.15">
      <c r="A499" s="10"/>
      <c r="B499" s="13"/>
      <c r="C499" s="13"/>
    </row>
    <row r="500" spans="1:3" ht="13" x14ac:dyDescent="0.15">
      <c r="A500" s="10"/>
      <c r="B500" s="13"/>
      <c r="C500" s="13"/>
    </row>
    <row r="501" spans="1:3" ht="13" x14ac:dyDescent="0.15">
      <c r="A501" s="10"/>
      <c r="B501" s="13"/>
      <c r="C501" s="13"/>
    </row>
    <row r="502" spans="1:3" ht="13" x14ac:dyDescent="0.15">
      <c r="A502" s="10"/>
      <c r="B502" s="13"/>
      <c r="C502" s="13"/>
    </row>
    <row r="503" spans="1:3" ht="13" x14ac:dyDescent="0.15">
      <c r="A503" s="10"/>
      <c r="B503" s="13"/>
      <c r="C503" s="13"/>
    </row>
    <row r="504" spans="1:3" ht="13" x14ac:dyDescent="0.15">
      <c r="A504" s="10"/>
      <c r="B504" s="13"/>
      <c r="C504" s="13"/>
    </row>
    <row r="505" spans="1:3" ht="13" x14ac:dyDescent="0.15">
      <c r="A505" s="10"/>
      <c r="B505" s="13"/>
      <c r="C505" s="13"/>
    </row>
    <row r="506" spans="1:3" ht="13" x14ac:dyDescent="0.15">
      <c r="A506" s="10"/>
      <c r="B506" s="13"/>
      <c r="C506" s="13"/>
    </row>
    <row r="507" spans="1:3" ht="13" x14ac:dyDescent="0.15">
      <c r="A507" s="10"/>
      <c r="B507" s="13"/>
      <c r="C507" s="13"/>
    </row>
    <row r="508" spans="1:3" ht="13" x14ac:dyDescent="0.15">
      <c r="A508" s="10"/>
      <c r="B508" s="13"/>
      <c r="C508" s="13"/>
    </row>
    <row r="509" spans="1:3" ht="13" x14ac:dyDescent="0.15">
      <c r="A509" s="10"/>
      <c r="B509" s="13"/>
      <c r="C509" s="13"/>
    </row>
    <row r="510" spans="1:3" ht="13" x14ac:dyDescent="0.15">
      <c r="A510" s="10"/>
      <c r="B510" s="13"/>
      <c r="C510" s="13"/>
    </row>
    <row r="511" spans="1:3" ht="13" x14ac:dyDescent="0.15">
      <c r="A511" s="10"/>
      <c r="B511" s="13"/>
      <c r="C511" s="13"/>
    </row>
    <row r="512" spans="1:3" ht="13" x14ac:dyDescent="0.15">
      <c r="A512" s="10"/>
      <c r="B512" s="13"/>
      <c r="C512" s="13"/>
    </row>
    <row r="513" spans="1:3" ht="13" x14ac:dyDescent="0.15">
      <c r="A513" s="10"/>
      <c r="B513" s="13"/>
      <c r="C513" s="13"/>
    </row>
    <row r="514" spans="1:3" ht="13" x14ac:dyDescent="0.15">
      <c r="A514" s="10"/>
      <c r="B514" s="13"/>
      <c r="C514" s="13"/>
    </row>
    <row r="515" spans="1:3" ht="13" x14ac:dyDescent="0.15">
      <c r="A515" s="10"/>
      <c r="B515" s="13"/>
      <c r="C515" s="13"/>
    </row>
    <row r="516" spans="1:3" ht="13" x14ac:dyDescent="0.15">
      <c r="A516" s="10"/>
      <c r="B516" s="13"/>
      <c r="C516" s="13"/>
    </row>
    <row r="517" spans="1:3" ht="13" x14ac:dyDescent="0.15">
      <c r="A517" s="10"/>
      <c r="B517" s="13"/>
      <c r="C517" s="13"/>
    </row>
    <row r="518" spans="1:3" ht="13" x14ac:dyDescent="0.15">
      <c r="A518" s="10"/>
      <c r="B518" s="13"/>
      <c r="C518" s="13"/>
    </row>
    <row r="519" spans="1:3" ht="13" x14ac:dyDescent="0.15">
      <c r="A519" s="10"/>
      <c r="B519" s="13"/>
      <c r="C519" s="13"/>
    </row>
    <row r="520" spans="1:3" ht="13" x14ac:dyDescent="0.15">
      <c r="A520" s="10"/>
      <c r="B520" s="13"/>
      <c r="C520" s="13"/>
    </row>
    <row r="521" spans="1:3" ht="13" x14ac:dyDescent="0.15">
      <c r="A521" s="10"/>
      <c r="B521" s="13"/>
      <c r="C521" s="13"/>
    </row>
    <row r="522" spans="1:3" ht="13" x14ac:dyDescent="0.15">
      <c r="A522" s="10"/>
      <c r="B522" s="13"/>
      <c r="C522" s="13"/>
    </row>
    <row r="523" spans="1:3" ht="13" x14ac:dyDescent="0.15">
      <c r="A523" s="10"/>
      <c r="B523" s="13"/>
      <c r="C523" s="13"/>
    </row>
    <row r="524" spans="1:3" ht="13" x14ac:dyDescent="0.15">
      <c r="A524" s="10"/>
      <c r="B524" s="13"/>
      <c r="C524" s="13"/>
    </row>
    <row r="525" spans="1:3" ht="13" x14ac:dyDescent="0.15">
      <c r="A525" s="10"/>
      <c r="B525" s="13"/>
      <c r="C525" s="13"/>
    </row>
    <row r="526" spans="1:3" ht="13" x14ac:dyDescent="0.15">
      <c r="A526" s="10"/>
      <c r="B526" s="13"/>
      <c r="C526" s="13"/>
    </row>
    <row r="527" spans="1:3" ht="13" x14ac:dyDescent="0.15">
      <c r="A527" s="10"/>
      <c r="B527" s="13"/>
      <c r="C527" s="13"/>
    </row>
    <row r="528" spans="1:3" ht="13" x14ac:dyDescent="0.15">
      <c r="A528" s="10"/>
      <c r="B528" s="13"/>
      <c r="C528" s="13"/>
    </row>
    <row r="529" spans="1:3" ht="13" x14ac:dyDescent="0.15">
      <c r="A529" s="10"/>
      <c r="B529" s="13"/>
      <c r="C529" s="13"/>
    </row>
    <row r="530" spans="1:3" ht="13" x14ac:dyDescent="0.15">
      <c r="A530" s="10"/>
      <c r="B530" s="13"/>
      <c r="C530" s="13"/>
    </row>
    <row r="531" spans="1:3" ht="13" x14ac:dyDescent="0.15">
      <c r="A531" s="10"/>
      <c r="B531" s="13"/>
      <c r="C531" s="13"/>
    </row>
    <row r="532" spans="1:3" ht="13" x14ac:dyDescent="0.15">
      <c r="A532" s="10"/>
      <c r="B532" s="13"/>
      <c r="C532" s="13"/>
    </row>
    <row r="533" spans="1:3" ht="13" x14ac:dyDescent="0.15">
      <c r="A533" s="10"/>
      <c r="B533" s="13"/>
      <c r="C533" s="13"/>
    </row>
    <row r="534" spans="1:3" ht="13" x14ac:dyDescent="0.15">
      <c r="A534" s="10"/>
      <c r="B534" s="13"/>
      <c r="C534" s="13"/>
    </row>
    <row r="535" spans="1:3" ht="13" x14ac:dyDescent="0.15">
      <c r="A535" s="10"/>
      <c r="B535" s="13"/>
      <c r="C535" s="13"/>
    </row>
    <row r="536" spans="1:3" ht="13" x14ac:dyDescent="0.15">
      <c r="A536" s="10"/>
      <c r="B536" s="13"/>
      <c r="C536" s="13"/>
    </row>
    <row r="537" spans="1:3" ht="13" x14ac:dyDescent="0.15">
      <c r="A537" s="10"/>
      <c r="B537" s="13"/>
      <c r="C537" s="13"/>
    </row>
    <row r="538" spans="1:3" ht="13" x14ac:dyDescent="0.15">
      <c r="A538" s="10"/>
      <c r="B538" s="13"/>
      <c r="C538" s="13"/>
    </row>
    <row r="539" spans="1:3" ht="13" x14ac:dyDescent="0.15">
      <c r="A539" s="10"/>
      <c r="B539" s="13"/>
      <c r="C539" s="13"/>
    </row>
    <row r="540" spans="1:3" ht="13" x14ac:dyDescent="0.15">
      <c r="A540" s="10"/>
      <c r="B540" s="13"/>
      <c r="C540" s="13"/>
    </row>
    <row r="541" spans="1:3" ht="13" x14ac:dyDescent="0.15">
      <c r="A541" s="10"/>
      <c r="B541" s="13"/>
      <c r="C541" s="13"/>
    </row>
    <row r="542" spans="1:3" ht="13" x14ac:dyDescent="0.15">
      <c r="A542" s="10"/>
      <c r="B542" s="13"/>
      <c r="C542" s="13"/>
    </row>
    <row r="543" spans="1:3" ht="13" x14ac:dyDescent="0.15">
      <c r="A543" s="10"/>
      <c r="B543" s="13"/>
      <c r="C543" s="13"/>
    </row>
    <row r="544" spans="1:3" ht="13" x14ac:dyDescent="0.15">
      <c r="A544" s="10"/>
      <c r="B544" s="13"/>
      <c r="C544" s="13"/>
    </row>
    <row r="545" spans="1:3" ht="13" x14ac:dyDescent="0.15">
      <c r="A545" s="10"/>
      <c r="B545" s="13"/>
      <c r="C545" s="13"/>
    </row>
    <row r="546" spans="1:3" ht="13" x14ac:dyDescent="0.15">
      <c r="A546" s="10"/>
      <c r="B546" s="13"/>
      <c r="C546" s="13"/>
    </row>
    <row r="547" spans="1:3" ht="13" x14ac:dyDescent="0.15">
      <c r="A547" s="10"/>
      <c r="B547" s="13"/>
      <c r="C547" s="13"/>
    </row>
    <row r="548" spans="1:3" ht="13" x14ac:dyDescent="0.15">
      <c r="A548" s="10"/>
      <c r="B548" s="13"/>
      <c r="C548" s="13"/>
    </row>
    <row r="549" spans="1:3" ht="13" x14ac:dyDescent="0.15">
      <c r="A549" s="10"/>
      <c r="B549" s="13"/>
      <c r="C549" s="13"/>
    </row>
    <row r="550" spans="1:3" ht="13" x14ac:dyDescent="0.15">
      <c r="A550" s="10"/>
      <c r="B550" s="13"/>
      <c r="C550" s="13"/>
    </row>
    <row r="551" spans="1:3" ht="13" x14ac:dyDescent="0.15">
      <c r="A551" s="10"/>
      <c r="B551" s="13"/>
      <c r="C551" s="13"/>
    </row>
    <row r="552" spans="1:3" ht="13" x14ac:dyDescent="0.15">
      <c r="A552" s="10"/>
      <c r="B552" s="13"/>
      <c r="C552" s="13"/>
    </row>
    <row r="553" spans="1:3" ht="13" x14ac:dyDescent="0.15">
      <c r="A553" s="10"/>
      <c r="B553" s="13"/>
      <c r="C553" s="13"/>
    </row>
    <row r="554" spans="1:3" ht="13" x14ac:dyDescent="0.15">
      <c r="A554" s="10"/>
      <c r="B554" s="13"/>
      <c r="C554" s="13"/>
    </row>
    <row r="555" spans="1:3" ht="13" x14ac:dyDescent="0.15">
      <c r="A555" s="10"/>
      <c r="B555" s="13"/>
      <c r="C555" s="13"/>
    </row>
    <row r="556" spans="1:3" ht="13" x14ac:dyDescent="0.15">
      <c r="A556" s="10"/>
      <c r="B556" s="13"/>
      <c r="C556" s="13"/>
    </row>
    <row r="557" spans="1:3" ht="13" x14ac:dyDescent="0.15">
      <c r="A557" s="10"/>
      <c r="B557" s="13"/>
      <c r="C557" s="13"/>
    </row>
    <row r="558" spans="1:3" ht="13" x14ac:dyDescent="0.15">
      <c r="A558" s="10"/>
      <c r="B558" s="13"/>
      <c r="C558" s="13"/>
    </row>
    <row r="559" spans="1:3" ht="13" x14ac:dyDescent="0.15">
      <c r="A559" s="10"/>
      <c r="B559" s="13"/>
      <c r="C559" s="13"/>
    </row>
    <row r="560" spans="1:3" ht="13" x14ac:dyDescent="0.15">
      <c r="A560" s="10"/>
      <c r="B560" s="13"/>
      <c r="C560" s="13"/>
    </row>
    <row r="561" spans="1:3" ht="13" x14ac:dyDescent="0.15">
      <c r="A561" s="10"/>
      <c r="B561" s="13"/>
      <c r="C561" s="13"/>
    </row>
    <row r="562" spans="1:3" ht="13" x14ac:dyDescent="0.15">
      <c r="A562" s="10"/>
      <c r="B562" s="13"/>
      <c r="C562" s="13"/>
    </row>
    <row r="563" spans="1:3" ht="13" x14ac:dyDescent="0.15">
      <c r="A563" s="10"/>
      <c r="B563" s="13"/>
      <c r="C563" s="13"/>
    </row>
    <row r="564" spans="1:3" ht="13" x14ac:dyDescent="0.15">
      <c r="A564" s="10"/>
      <c r="B564" s="13"/>
      <c r="C564" s="13"/>
    </row>
    <row r="565" spans="1:3" ht="13" x14ac:dyDescent="0.15">
      <c r="A565" s="10"/>
      <c r="B565" s="13"/>
      <c r="C565" s="13"/>
    </row>
    <row r="566" spans="1:3" ht="13" x14ac:dyDescent="0.15">
      <c r="A566" s="10"/>
      <c r="B566" s="13"/>
      <c r="C566" s="13"/>
    </row>
    <row r="567" spans="1:3" ht="13" x14ac:dyDescent="0.15">
      <c r="A567" s="10"/>
      <c r="B567" s="13"/>
      <c r="C567" s="13"/>
    </row>
    <row r="568" spans="1:3" ht="13" x14ac:dyDescent="0.15">
      <c r="A568" s="10"/>
      <c r="B568" s="13"/>
      <c r="C568" s="13"/>
    </row>
    <row r="569" spans="1:3" ht="13" x14ac:dyDescent="0.15">
      <c r="A569" s="10"/>
      <c r="B569" s="13"/>
      <c r="C569" s="13"/>
    </row>
    <row r="570" spans="1:3" ht="13" x14ac:dyDescent="0.15">
      <c r="A570" s="10"/>
      <c r="B570" s="13"/>
      <c r="C570" s="13"/>
    </row>
    <row r="571" spans="1:3" ht="13" x14ac:dyDescent="0.15">
      <c r="A571" s="10"/>
      <c r="B571" s="13"/>
      <c r="C571" s="13"/>
    </row>
    <row r="572" spans="1:3" ht="13" x14ac:dyDescent="0.15">
      <c r="A572" s="10"/>
      <c r="B572" s="13"/>
      <c r="C572" s="13"/>
    </row>
    <row r="573" spans="1:3" ht="13" x14ac:dyDescent="0.15">
      <c r="A573" s="10"/>
      <c r="B573" s="13"/>
      <c r="C573" s="13"/>
    </row>
    <row r="574" spans="1:3" ht="13" x14ac:dyDescent="0.15">
      <c r="A574" s="10"/>
      <c r="B574" s="13"/>
      <c r="C574" s="13"/>
    </row>
    <row r="575" spans="1:3" ht="13" x14ac:dyDescent="0.15">
      <c r="A575" s="10"/>
      <c r="B575" s="13"/>
      <c r="C575" s="13"/>
    </row>
    <row r="576" spans="1:3" ht="13" x14ac:dyDescent="0.15">
      <c r="A576" s="10"/>
      <c r="B576" s="13"/>
      <c r="C576" s="13"/>
    </row>
    <row r="577" spans="1:3" ht="13" x14ac:dyDescent="0.15">
      <c r="A577" s="10"/>
      <c r="B577" s="13"/>
      <c r="C577" s="13"/>
    </row>
    <row r="578" spans="1:3" ht="13" x14ac:dyDescent="0.15">
      <c r="A578" s="10"/>
      <c r="B578" s="13"/>
      <c r="C578" s="13"/>
    </row>
    <row r="579" spans="1:3" ht="13" x14ac:dyDescent="0.15">
      <c r="A579" s="10"/>
      <c r="B579" s="13"/>
      <c r="C579" s="13"/>
    </row>
    <row r="580" spans="1:3" ht="13" x14ac:dyDescent="0.15">
      <c r="A580" s="10"/>
      <c r="B580" s="13"/>
      <c r="C580" s="13"/>
    </row>
    <row r="581" spans="1:3" ht="13" x14ac:dyDescent="0.15">
      <c r="A581" s="10"/>
      <c r="B581" s="13"/>
      <c r="C581" s="13"/>
    </row>
    <row r="582" spans="1:3" ht="13" x14ac:dyDescent="0.15">
      <c r="A582" s="10"/>
      <c r="B582" s="13"/>
      <c r="C582" s="13"/>
    </row>
    <row r="583" spans="1:3" ht="13" x14ac:dyDescent="0.15">
      <c r="A583" s="10"/>
      <c r="B583" s="13"/>
      <c r="C583" s="13"/>
    </row>
    <row r="584" spans="1:3" ht="13" x14ac:dyDescent="0.15">
      <c r="A584" s="10"/>
      <c r="B584" s="13"/>
      <c r="C584" s="13"/>
    </row>
    <row r="585" spans="1:3" ht="13" x14ac:dyDescent="0.15">
      <c r="A585" s="10"/>
      <c r="B585" s="13"/>
      <c r="C585" s="13"/>
    </row>
    <row r="586" spans="1:3" ht="13" x14ac:dyDescent="0.15">
      <c r="A586" s="10"/>
      <c r="B586" s="13"/>
      <c r="C586" s="13"/>
    </row>
    <row r="587" spans="1:3" ht="13" x14ac:dyDescent="0.15">
      <c r="A587" s="10"/>
      <c r="B587" s="13"/>
      <c r="C587" s="13"/>
    </row>
    <row r="588" spans="1:3" ht="13" x14ac:dyDescent="0.15">
      <c r="A588" s="10"/>
      <c r="B588" s="13"/>
      <c r="C588" s="13"/>
    </row>
    <row r="589" spans="1:3" ht="13" x14ac:dyDescent="0.15">
      <c r="A589" s="10"/>
      <c r="B589" s="13"/>
      <c r="C589" s="13"/>
    </row>
    <row r="590" spans="1:3" ht="13" x14ac:dyDescent="0.15">
      <c r="A590" s="10"/>
      <c r="B590" s="13"/>
      <c r="C590" s="13"/>
    </row>
    <row r="591" spans="1:3" ht="13" x14ac:dyDescent="0.15">
      <c r="A591" s="10"/>
      <c r="B591" s="13"/>
      <c r="C591" s="13"/>
    </row>
    <row r="592" spans="1:3" ht="13" x14ac:dyDescent="0.15">
      <c r="A592" s="10"/>
      <c r="B592" s="13"/>
      <c r="C592" s="13"/>
    </row>
    <row r="593" spans="1:3" ht="13" x14ac:dyDescent="0.15">
      <c r="A593" s="10"/>
      <c r="B593" s="13"/>
      <c r="C593" s="13"/>
    </row>
    <row r="594" spans="1:3" ht="13" x14ac:dyDescent="0.15">
      <c r="A594" s="10"/>
      <c r="B594" s="13"/>
      <c r="C594" s="13"/>
    </row>
    <row r="595" spans="1:3" ht="13" x14ac:dyDescent="0.15">
      <c r="A595" s="10"/>
      <c r="B595" s="13"/>
      <c r="C595" s="13"/>
    </row>
    <row r="596" spans="1:3" ht="13" x14ac:dyDescent="0.15">
      <c r="A596" s="10"/>
      <c r="B596" s="13"/>
      <c r="C596" s="13"/>
    </row>
    <row r="597" spans="1:3" ht="13" x14ac:dyDescent="0.15">
      <c r="A597" s="10"/>
      <c r="B597" s="13"/>
      <c r="C597" s="13"/>
    </row>
    <row r="598" spans="1:3" ht="13" x14ac:dyDescent="0.15">
      <c r="A598" s="10"/>
      <c r="B598" s="13"/>
      <c r="C598" s="13"/>
    </row>
    <row r="599" spans="1:3" ht="13" x14ac:dyDescent="0.15">
      <c r="A599" s="10"/>
      <c r="B599" s="13"/>
      <c r="C599" s="13"/>
    </row>
    <row r="600" spans="1:3" ht="13" x14ac:dyDescent="0.15">
      <c r="A600" s="10"/>
      <c r="B600" s="13"/>
      <c r="C600" s="13"/>
    </row>
    <row r="601" spans="1:3" ht="13" x14ac:dyDescent="0.15">
      <c r="A601" s="10"/>
      <c r="B601" s="13"/>
      <c r="C601" s="13"/>
    </row>
    <row r="602" spans="1:3" ht="13" x14ac:dyDescent="0.15">
      <c r="A602" s="10"/>
      <c r="B602" s="13"/>
      <c r="C602" s="13"/>
    </row>
    <row r="603" spans="1:3" ht="13" x14ac:dyDescent="0.15">
      <c r="A603" s="10"/>
      <c r="B603" s="13"/>
      <c r="C603" s="13"/>
    </row>
    <row r="604" spans="1:3" ht="13" x14ac:dyDescent="0.15">
      <c r="A604" s="10"/>
      <c r="B604" s="13"/>
      <c r="C604" s="13"/>
    </row>
    <row r="605" spans="1:3" ht="13" x14ac:dyDescent="0.15">
      <c r="A605" s="10"/>
      <c r="B605" s="13"/>
      <c r="C605" s="13"/>
    </row>
    <row r="606" spans="1:3" ht="13" x14ac:dyDescent="0.15">
      <c r="A606" s="10"/>
      <c r="B606" s="13"/>
      <c r="C606" s="13"/>
    </row>
    <row r="607" spans="1:3" ht="13" x14ac:dyDescent="0.15">
      <c r="A607" s="10"/>
      <c r="B607" s="13"/>
      <c r="C607" s="13"/>
    </row>
    <row r="608" spans="1:3" ht="13" x14ac:dyDescent="0.15">
      <c r="A608" s="10"/>
      <c r="B608" s="13"/>
      <c r="C608" s="13"/>
    </row>
    <row r="609" spans="1:3" ht="13" x14ac:dyDescent="0.15">
      <c r="A609" s="10"/>
      <c r="B609" s="13"/>
      <c r="C609" s="13"/>
    </row>
    <row r="610" spans="1:3" ht="13" x14ac:dyDescent="0.15">
      <c r="A610" s="10"/>
      <c r="B610" s="13"/>
      <c r="C610" s="13"/>
    </row>
    <row r="611" spans="1:3" ht="13" x14ac:dyDescent="0.15">
      <c r="A611" s="10"/>
      <c r="B611" s="13"/>
      <c r="C611" s="13"/>
    </row>
    <row r="612" spans="1:3" ht="13" x14ac:dyDescent="0.15">
      <c r="A612" s="10"/>
      <c r="B612" s="13"/>
      <c r="C612" s="13"/>
    </row>
    <row r="613" spans="1:3" ht="13" x14ac:dyDescent="0.15">
      <c r="A613" s="10"/>
      <c r="B613" s="13"/>
      <c r="C613" s="13"/>
    </row>
    <row r="614" spans="1:3" ht="13" x14ac:dyDescent="0.15">
      <c r="A614" s="10"/>
      <c r="B614" s="13"/>
      <c r="C614" s="13"/>
    </row>
    <row r="615" spans="1:3" ht="13" x14ac:dyDescent="0.15">
      <c r="A615" s="10"/>
      <c r="B615" s="13"/>
      <c r="C615" s="13"/>
    </row>
    <row r="616" spans="1:3" ht="13" x14ac:dyDescent="0.15">
      <c r="A616" s="10"/>
      <c r="B616" s="13"/>
      <c r="C616" s="13"/>
    </row>
    <row r="617" spans="1:3" ht="13" x14ac:dyDescent="0.15">
      <c r="A617" s="10"/>
      <c r="B617" s="13"/>
      <c r="C617" s="13"/>
    </row>
    <row r="618" spans="1:3" ht="13" x14ac:dyDescent="0.15">
      <c r="A618" s="10"/>
      <c r="B618" s="13"/>
      <c r="C618" s="13"/>
    </row>
    <row r="619" spans="1:3" ht="13" x14ac:dyDescent="0.15">
      <c r="A619" s="10"/>
      <c r="B619" s="13"/>
      <c r="C619" s="13"/>
    </row>
    <row r="620" spans="1:3" ht="13" x14ac:dyDescent="0.15">
      <c r="A620" s="10"/>
      <c r="B620" s="13"/>
      <c r="C620" s="13"/>
    </row>
    <row r="621" spans="1:3" ht="13" x14ac:dyDescent="0.15">
      <c r="A621" s="10"/>
      <c r="B621" s="13"/>
      <c r="C621" s="13"/>
    </row>
    <row r="622" spans="1:3" ht="13" x14ac:dyDescent="0.15">
      <c r="A622" s="10"/>
      <c r="B622" s="13"/>
      <c r="C622" s="13"/>
    </row>
    <row r="623" spans="1:3" ht="13" x14ac:dyDescent="0.15">
      <c r="A623" s="10"/>
      <c r="B623" s="13"/>
      <c r="C623" s="13"/>
    </row>
    <row r="624" spans="1:3" ht="13" x14ac:dyDescent="0.15">
      <c r="A624" s="10"/>
      <c r="B624" s="13"/>
      <c r="C624" s="13"/>
    </row>
    <row r="625" spans="1:3" ht="13" x14ac:dyDescent="0.15">
      <c r="A625" s="10"/>
      <c r="B625" s="13"/>
      <c r="C625" s="13"/>
    </row>
    <row r="626" spans="1:3" ht="13" x14ac:dyDescent="0.15">
      <c r="A626" s="10"/>
      <c r="B626" s="13"/>
      <c r="C626" s="13"/>
    </row>
    <row r="627" spans="1:3" ht="13" x14ac:dyDescent="0.15">
      <c r="A627" s="10"/>
      <c r="B627" s="13"/>
      <c r="C627" s="13"/>
    </row>
    <row r="628" spans="1:3" ht="13" x14ac:dyDescent="0.15">
      <c r="A628" s="10"/>
      <c r="B628" s="13"/>
      <c r="C628" s="13"/>
    </row>
    <row r="629" spans="1:3" ht="13" x14ac:dyDescent="0.15">
      <c r="A629" s="10"/>
      <c r="B629" s="13"/>
      <c r="C629" s="13"/>
    </row>
    <row r="630" spans="1:3" ht="13" x14ac:dyDescent="0.15">
      <c r="A630" s="10"/>
      <c r="B630" s="13"/>
      <c r="C630" s="13"/>
    </row>
    <row r="631" spans="1:3" ht="13" x14ac:dyDescent="0.15">
      <c r="A631" s="10"/>
      <c r="B631" s="13"/>
      <c r="C631" s="13"/>
    </row>
    <row r="632" spans="1:3" ht="13" x14ac:dyDescent="0.15">
      <c r="A632" s="10"/>
      <c r="B632" s="13"/>
      <c r="C632" s="13"/>
    </row>
    <row r="633" spans="1:3" ht="13" x14ac:dyDescent="0.15">
      <c r="A633" s="10"/>
      <c r="B633" s="13"/>
      <c r="C633" s="13"/>
    </row>
    <row r="634" spans="1:3" ht="13" x14ac:dyDescent="0.15">
      <c r="A634" s="10"/>
      <c r="B634" s="13"/>
      <c r="C634" s="13"/>
    </row>
    <row r="635" spans="1:3" ht="13" x14ac:dyDescent="0.15">
      <c r="A635" s="10"/>
      <c r="B635" s="13"/>
      <c r="C635" s="13"/>
    </row>
    <row r="636" spans="1:3" ht="13" x14ac:dyDescent="0.15">
      <c r="A636" s="10"/>
      <c r="B636" s="13"/>
      <c r="C636" s="13"/>
    </row>
    <row r="637" spans="1:3" ht="13" x14ac:dyDescent="0.15">
      <c r="A637" s="10"/>
      <c r="B637" s="13"/>
      <c r="C637" s="13"/>
    </row>
    <row r="638" spans="1:3" ht="13" x14ac:dyDescent="0.15">
      <c r="A638" s="10"/>
      <c r="B638" s="13"/>
      <c r="C638" s="13"/>
    </row>
    <row r="639" spans="1:3" ht="13" x14ac:dyDescent="0.15">
      <c r="A639" s="10"/>
      <c r="B639" s="13"/>
      <c r="C639" s="13"/>
    </row>
    <row r="640" spans="1:3" ht="13" x14ac:dyDescent="0.15">
      <c r="A640" s="10"/>
      <c r="B640" s="13"/>
      <c r="C640" s="13"/>
    </row>
    <row r="641" spans="1:3" ht="13" x14ac:dyDescent="0.15">
      <c r="A641" s="10"/>
      <c r="B641" s="13"/>
      <c r="C641" s="13"/>
    </row>
    <row r="642" spans="1:3" ht="13" x14ac:dyDescent="0.15">
      <c r="A642" s="10"/>
      <c r="B642" s="13"/>
      <c r="C642" s="13"/>
    </row>
    <row r="643" spans="1:3" ht="13" x14ac:dyDescent="0.15">
      <c r="A643" s="10"/>
      <c r="B643" s="13"/>
      <c r="C643" s="13"/>
    </row>
    <row r="644" spans="1:3" ht="13" x14ac:dyDescent="0.15">
      <c r="A644" s="10"/>
      <c r="B644" s="13"/>
      <c r="C644" s="13"/>
    </row>
    <row r="645" spans="1:3" ht="13" x14ac:dyDescent="0.15">
      <c r="A645" s="10"/>
      <c r="B645" s="13"/>
      <c r="C645" s="13"/>
    </row>
    <row r="646" spans="1:3" ht="13" x14ac:dyDescent="0.15">
      <c r="A646" s="10"/>
      <c r="B646" s="13"/>
      <c r="C646" s="13"/>
    </row>
    <row r="647" spans="1:3" ht="13" x14ac:dyDescent="0.15">
      <c r="A647" s="10"/>
      <c r="B647" s="13"/>
      <c r="C647" s="13"/>
    </row>
    <row r="648" spans="1:3" ht="13" x14ac:dyDescent="0.15">
      <c r="A648" s="10"/>
      <c r="B648" s="13"/>
      <c r="C648" s="13"/>
    </row>
    <row r="649" spans="1:3" ht="13" x14ac:dyDescent="0.15">
      <c r="A649" s="10"/>
      <c r="B649" s="13"/>
      <c r="C649" s="13"/>
    </row>
    <row r="650" spans="1:3" ht="13" x14ac:dyDescent="0.15">
      <c r="A650" s="10"/>
      <c r="B650" s="13"/>
      <c r="C650" s="13"/>
    </row>
    <row r="651" spans="1:3" ht="13" x14ac:dyDescent="0.15">
      <c r="A651" s="10"/>
      <c r="B651" s="13"/>
      <c r="C651" s="13"/>
    </row>
    <row r="652" spans="1:3" ht="13" x14ac:dyDescent="0.15">
      <c r="A652" s="10"/>
      <c r="B652" s="13"/>
      <c r="C652" s="13"/>
    </row>
    <row r="653" spans="1:3" ht="13" x14ac:dyDescent="0.15">
      <c r="A653" s="10"/>
      <c r="B653" s="13"/>
      <c r="C653" s="13"/>
    </row>
    <row r="654" spans="1:3" ht="13" x14ac:dyDescent="0.15">
      <c r="A654" s="10"/>
      <c r="B654" s="13"/>
      <c r="C654" s="13"/>
    </row>
    <row r="655" spans="1:3" ht="13" x14ac:dyDescent="0.15">
      <c r="A655" s="10"/>
      <c r="B655" s="13"/>
      <c r="C655" s="13"/>
    </row>
    <row r="656" spans="1:3" ht="13" x14ac:dyDescent="0.15">
      <c r="A656" s="10"/>
      <c r="B656" s="13"/>
      <c r="C656" s="13"/>
    </row>
    <row r="657" spans="1:3" ht="13" x14ac:dyDescent="0.15">
      <c r="A657" s="10"/>
      <c r="B657" s="13"/>
      <c r="C657" s="13"/>
    </row>
    <row r="658" spans="1:3" ht="13" x14ac:dyDescent="0.15">
      <c r="A658" s="10"/>
      <c r="B658" s="13"/>
      <c r="C658" s="13"/>
    </row>
    <row r="659" spans="1:3" ht="13" x14ac:dyDescent="0.15">
      <c r="A659" s="10"/>
      <c r="B659" s="13"/>
      <c r="C659" s="13"/>
    </row>
    <row r="660" spans="1:3" ht="13" x14ac:dyDescent="0.15">
      <c r="A660" s="10"/>
      <c r="B660" s="13"/>
      <c r="C660" s="13"/>
    </row>
    <row r="661" spans="1:3" ht="13" x14ac:dyDescent="0.15">
      <c r="A661" s="10"/>
      <c r="B661" s="13"/>
      <c r="C661" s="13"/>
    </row>
    <row r="662" spans="1:3" ht="13" x14ac:dyDescent="0.15">
      <c r="A662" s="10"/>
      <c r="B662" s="13"/>
      <c r="C662" s="13"/>
    </row>
    <row r="663" spans="1:3" ht="13" x14ac:dyDescent="0.15">
      <c r="A663" s="10"/>
      <c r="B663" s="13"/>
      <c r="C663" s="13"/>
    </row>
    <row r="664" spans="1:3" ht="13" x14ac:dyDescent="0.15">
      <c r="A664" s="10"/>
      <c r="B664" s="13"/>
      <c r="C664" s="13"/>
    </row>
    <row r="665" spans="1:3" ht="13" x14ac:dyDescent="0.15">
      <c r="A665" s="10"/>
      <c r="B665" s="13"/>
      <c r="C665" s="13"/>
    </row>
    <row r="666" spans="1:3" ht="13" x14ac:dyDescent="0.15">
      <c r="A666" s="10"/>
      <c r="B666" s="13"/>
      <c r="C666" s="13"/>
    </row>
    <row r="667" spans="1:3" ht="13" x14ac:dyDescent="0.15">
      <c r="A667" s="10"/>
      <c r="B667" s="13"/>
      <c r="C667" s="13"/>
    </row>
    <row r="668" spans="1:3" ht="13" x14ac:dyDescent="0.15">
      <c r="A668" s="10"/>
      <c r="B668" s="13"/>
      <c r="C668" s="13"/>
    </row>
    <row r="669" spans="1:3" ht="13" x14ac:dyDescent="0.15">
      <c r="A669" s="10"/>
      <c r="B669" s="13"/>
      <c r="C669" s="13"/>
    </row>
    <row r="670" spans="1:3" ht="13" x14ac:dyDescent="0.15">
      <c r="A670" s="10"/>
      <c r="B670" s="13"/>
      <c r="C670" s="13"/>
    </row>
    <row r="671" spans="1:3" ht="13" x14ac:dyDescent="0.15">
      <c r="A671" s="10"/>
      <c r="B671" s="13"/>
      <c r="C671" s="13"/>
    </row>
    <row r="672" spans="1:3" ht="13" x14ac:dyDescent="0.15">
      <c r="A672" s="10"/>
      <c r="B672" s="13"/>
      <c r="C672" s="13"/>
    </row>
    <row r="673" spans="1:3" ht="13" x14ac:dyDescent="0.15">
      <c r="A673" s="10"/>
      <c r="B673" s="13"/>
      <c r="C673" s="13"/>
    </row>
    <row r="674" spans="1:3" ht="13" x14ac:dyDescent="0.15">
      <c r="A674" s="10"/>
      <c r="B674" s="13"/>
      <c r="C674" s="13"/>
    </row>
    <row r="675" spans="1:3" ht="13" x14ac:dyDescent="0.15">
      <c r="A675" s="10"/>
      <c r="B675" s="13"/>
      <c r="C675" s="13"/>
    </row>
    <row r="676" spans="1:3" ht="13" x14ac:dyDescent="0.15">
      <c r="A676" s="10"/>
      <c r="B676" s="13"/>
      <c r="C676" s="13"/>
    </row>
    <row r="677" spans="1:3" ht="13" x14ac:dyDescent="0.15">
      <c r="A677" s="10"/>
      <c r="B677" s="13"/>
      <c r="C677" s="13"/>
    </row>
    <row r="678" spans="1:3" ht="13" x14ac:dyDescent="0.15">
      <c r="A678" s="10"/>
      <c r="B678" s="13"/>
      <c r="C678" s="13"/>
    </row>
    <row r="679" spans="1:3" ht="13" x14ac:dyDescent="0.15">
      <c r="A679" s="10"/>
      <c r="B679" s="13"/>
      <c r="C679" s="13"/>
    </row>
    <row r="680" spans="1:3" ht="13" x14ac:dyDescent="0.15">
      <c r="A680" s="10"/>
      <c r="B680" s="13"/>
      <c r="C680" s="13"/>
    </row>
    <row r="681" spans="1:3" ht="13" x14ac:dyDescent="0.15">
      <c r="A681" s="10"/>
      <c r="B681" s="13"/>
      <c r="C681" s="13"/>
    </row>
    <row r="682" spans="1:3" ht="13" x14ac:dyDescent="0.15">
      <c r="A682" s="10"/>
      <c r="B682" s="13"/>
      <c r="C682" s="13"/>
    </row>
    <row r="683" spans="1:3" ht="13" x14ac:dyDescent="0.15">
      <c r="A683" s="10"/>
      <c r="B683" s="13"/>
      <c r="C683" s="13"/>
    </row>
    <row r="684" spans="1:3" ht="13" x14ac:dyDescent="0.15">
      <c r="A684" s="10"/>
      <c r="B684" s="13"/>
      <c r="C684" s="13"/>
    </row>
    <row r="685" spans="1:3" ht="13" x14ac:dyDescent="0.15">
      <c r="A685" s="10"/>
      <c r="B685" s="13"/>
      <c r="C685" s="13"/>
    </row>
    <row r="686" spans="1:3" ht="13" x14ac:dyDescent="0.15">
      <c r="A686" s="10"/>
      <c r="B686" s="13"/>
      <c r="C686" s="13"/>
    </row>
    <row r="687" spans="1:3" ht="13" x14ac:dyDescent="0.15">
      <c r="A687" s="10"/>
      <c r="B687" s="13"/>
      <c r="C687" s="13"/>
    </row>
    <row r="688" spans="1:3" ht="13" x14ac:dyDescent="0.15">
      <c r="A688" s="10"/>
      <c r="B688" s="13"/>
      <c r="C688" s="13"/>
    </row>
    <row r="689" spans="1:3" ht="13" x14ac:dyDescent="0.15">
      <c r="A689" s="10"/>
      <c r="B689" s="13"/>
      <c r="C689" s="13"/>
    </row>
    <row r="690" spans="1:3" ht="13" x14ac:dyDescent="0.15">
      <c r="A690" s="10"/>
      <c r="B690" s="13"/>
      <c r="C690" s="13"/>
    </row>
    <row r="691" spans="1:3" ht="13" x14ac:dyDescent="0.15">
      <c r="A691" s="10"/>
      <c r="B691" s="13"/>
      <c r="C691" s="13"/>
    </row>
    <row r="692" spans="1:3" ht="13" x14ac:dyDescent="0.15">
      <c r="A692" s="10"/>
      <c r="B692" s="13"/>
      <c r="C692" s="13"/>
    </row>
    <row r="693" spans="1:3" ht="13" x14ac:dyDescent="0.15">
      <c r="A693" s="10"/>
      <c r="B693" s="13"/>
      <c r="C693" s="13"/>
    </row>
    <row r="694" spans="1:3" ht="13" x14ac:dyDescent="0.15">
      <c r="A694" s="10"/>
      <c r="B694" s="13"/>
      <c r="C694" s="13"/>
    </row>
    <row r="695" spans="1:3" ht="13" x14ac:dyDescent="0.15">
      <c r="A695" s="10"/>
      <c r="B695" s="13"/>
      <c r="C695" s="13"/>
    </row>
    <row r="696" spans="1:3" ht="13" x14ac:dyDescent="0.15">
      <c r="A696" s="10"/>
      <c r="B696" s="13"/>
      <c r="C696" s="13"/>
    </row>
    <row r="697" spans="1:3" ht="13" x14ac:dyDescent="0.15">
      <c r="A697" s="10"/>
      <c r="B697" s="13"/>
      <c r="C697" s="13"/>
    </row>
    <row r="698" spans="1:3" ht="13" x14ac:dyDescent="0.15">
      <c r="A698" s="10"/>
      <c r="B698" s="13"/>
      <c r="C698" s="13"/>
    </row>
    <row r="699" spans="1:3" ht="13" x14ac:dyDescent="0.15">
      <c r="A699" s="10"/>
      <c r="B699" s="13"/>
      <c r="C699" s="13"/>
    </row>
    <row r="700" spans="1:3" ht="13" x14ac:dyDescent="0.15">
      <c r="A700" s="10"/>
      <c r="B700" s="13"/>
      <c r="C700" s="13"/>
    </row>
    <row r="701" spans="1:3" ht="13" x14ac:dyDescent="0.15">
      <c r="A701" s="10"/>
      <c r="B701" s="13"/>
      <c r="C701" s="13"/>
    </row>
    <row r="702" spans="1:3" ht="13" x14ac:dyDescent="0.15">
      <c r="A702" s="10"/>
      <c r="B702" s="13"/>
      <c r="C702" s="13"/>
    </row>
    <row r="703" spans="1:3" ht="13" x14ac:dyDescent="0.15">
      <c r="A703" s="10"/>
      <c r="B703" s="13"/>
      <c r="C703" s="13"/>
    </row>
    <row r="704" spans="1:3" ht="13" x14ac:dyDescent="0.15">
      <c r="A704" s="10"/>
      <c r="B704" s="13"/>
      <c r="C704" s="13"/>
    </row>
    <row r="705" spans="1:3" ht="13" x14ac:dyDescent="0.15">
      <c r="A705" s="10"/>
      <c r="B705" s="13"/>
      <c r="C705" s="13"/>
    </row>
    <row r="706" spans="1:3" ht="13" x14ac:dyDescent="0.15">
      <c r="A706" s="10"/>
      <c r="B706" s="13"/>
      <c r="C706" s="13"/>
    </row>
    <row r="707" spans="1:3" ht="13" x14ac:dyDescent="0.15">
      <c r="A707" s="10"/>
      <c r="B707" s="13"/>
      <c r="C707" s="13"/>
    </row>
    <row r="708" spans="1:3" ht="13" x14ac:dyDescent="0.15">
      <c r="A708" s="10"/>
      <c r="B708" s="13"/>
      <c r="C708" s="13"/>
    </row>
    <row r="709" spans="1:3" ht="13" x14ac:dyDescent="0.15">
      <c r="A709" s="10"/>
      <c r="B709" s="13"/>
      <c r="C709" s="13"/>
    </row>
    <row r="710" spans="1:3" ht="13" x14ac:dyDescent="0.15">
      <c r="A710" s="10"/>
      <c r="B710" s="13"/>
      <c r="C710" s="13"/>
    </row>
    <row r="711" spans="1:3" ht="13" x14ac:dyDescent="0.15">
      <c r="A711" s="10"/>
      <c r="B711" s="13"/>
      <c r="C711" s="13"/>
    </row>
    <row r="712" spans="1:3" ht="13" x14ac:dyDescent="0.15">
      <c r="A712" s="10"/>
      <c r="B712" s="13"/>
      <c r="C712" s="13"/>
    </row>
    <row r="713" spans="1:3" ht="13" x14ac:dyDescent="0.15">
      <c r="A713" s="10"/>
      <c r="B713" s="13"/>
      <c r="C713" s="13"/>
    </row>
    <row r="714" spans="1:3" ht="13" x14ac:dyDescent="0.15">
      <c r="A714" s="10"/>
      <c r="B714" s="13"/>
      <c r="C714" s="13"/>
    </row>
    <row r="715" spans="1:3" ht="13" x14ac:dyDescent="0.15">
      <c r="A715" s="10"/>
      <c r="B715" s="13"/>
      <c r="C715" s="13"/>
    </row>
    <row r="716" spans="1:3" ht="13" x14ac:dyDescent="0.15">
      <c r="A716" s="10"/>
      <c r="B716" s="13"/>
      <c r="C716" s="13"/>
    </row>
    <row r="717" spans="1:3" ht="13" x14ac:dyDescent="0.15">
      <c r="A717" s="10"/>
      <c r="B717" s="13"/>
      <c r="C717" s="13"/>
    </row>
    <row r="718" spans="1:3" ht="13" x14ac:dyDescent="0.15">
      <c r="A718" s="10"/>
      <c r="B718" s="13"/>
      <c r="C718" s="13"/>
    </row>
    <row r="719" spans="1:3" ht="13" x14ac:dyDescent="0.15">
      <c r="A719" s="10"/>
      <c r="B719" s="13"/>
      <c r="C719" s="13"/>
    </row>
    <row r="720" spans="1:3" ht="13" x14ac:dyDescent="0.15">
      <c r="A720" s="10"/>
      <c r="B720" s="13"/>
      <c r="C720" s="13"/>
    </row>
    <row r="721" spans="1:3" ht="13" x14ac:dyDescent="0.15">
      <c r="A721" s="10"/>
      <c r="B721" s="13"/>
      <c r="C721" s="13"/>
    </row>
    <row r="722" spans="1:3" ht="13" x14ac:dyDescent="0.15">
      <c r="A722" s="10"/>
      <c r="B722" s="13"/>
      <c r="C722" s="13"/>
    </row>
    <row r="723" spans="1:3" ht="13" x14ac:dyDescent="0.15">
      <c r="A723" s="10"/>
      <c r="B723" s="13"/>
      <c r="C723" s="13"/>
    </row>
    <row r="724" spans="1:3" ht="13" x14ac:dyDescent="0.15">
      <c r="A724" s="10"/>
      <c r="B724" s="13"/>
      <c r="C724" s="13"/>
    </row>
    <row r="725" spans="1:3" ht="13" x14ac:dyDescent="0.15">
      <c r="A725" s="10"/>
      <c r="B725" s="13"/>
      <c r="C725" s="13"/>
    </row>
    <row r="726" spans="1:3" ht="13" x14ac:dyDescent="0.15">
      <c r="A726" s="10"/>
      <c r="B726" s="13"/>
      <c r="C726" s="13"/>
    </row>
    <row r="727" spans="1:3" ht="13" x14ac:dyDescent="0.15">
      <c r="A727" s="10"/>
      <c r="B727" s="13"/>
      <c r="C727" s="13"/>
    </row>
    <row r="728" spans="1:3" ht="13" x14ac:dyDescent="0.15">
      <c r="A728" s="10"/>
      <c r="B728" s="13"/>
      <c r="C728" s="13"/>
    </row>
    <row r="729" spans="1:3" ht="13" x14ac:dyDescent="0.15">
      <c r="A729" s="10"/>
      <c r="B729" s="13"/>
      <c r="C729" s="13"/>
    </row>
    <row r="730" spans="1:3" ht="13" x14ac:dyDescent="0.15">
      <c r="A730" s="10"/>
      <c r="B730" s="13"/>
      <c r="C730" s="13"/>
    </row>
    <row r="731" spans="1:3" ht="13" x14ac:dyDescent="0.15">
      <c r="A731" s="10"/>
      <c r="B731" s="13"/>
      <c r="C731" s="13"/>
    </row>
    <row r="732" spans="1:3" ht="13" x14ac:dyDescent="0.15">
      <c r="A732" s="10"/>
      <c r="B732" s="13"/>
      <c r="C732" s="13"/>
    </row>
    <row r="733" spans="1:3" ht="13" x14ac:dyDescent="0.15">
      <c r="A733" s="10"/>
      <c r="B733" s="13"/>
      <c r="C733" s="13"/>
    </row>
    <row r="734" spans="1:3" ht="13" x14ac:dyDescent="0.15">
      <c r="A734" s="10"/>
      <c r="B734" s="13"/>
      <c r="C734" s="13"/>
    </row>
    <row r="735" spans="1:3" ht="13" x14ac:dyDescent="0.15">
      <c r="A735" s="10"/>
      <c r="B735" s="13"/>
      <c r="C735" s="13"/>
    </row>
    <row r="736" spans="1:3" ht="13" x14ac:dyDescent="0.15">
      <c r="A736" s="10"/>
      <c r="B736" s="13"/>
      <c r="C736" s="13"/>
    </row>
    <row r="737" spans="1:3" ht="13" x14ac:dyDescent="0.15">
      <c r="A737" s="10"/>
      <c r="B737" s="13"/>
      <c r="C737" s="13"/>
    </row>
    <row r="738" spans="1:3" ht="13" x14ac:dyDescent="0.15">
      <c r="A738" s="10"/>
      <c r="B738" s="13"/>
      <c r="C738" s="13"/>
    </row>
    <row r="739" spans="1:3" ht="13" x14ac:dyDescent="0.15">
      <c r="A739" s="10"/>
      <c r="B739" s="13"/>
      <c r="C739" s="13"/>
    </row>
    <row r="740" spans="1:3" ht="13" x14ac:dyDescent="0.15">
      <c r="A740" s="10"/>
      <c r="B740" s="13"/>
      <c r="C740" s="13"/>
    </row>
    <row r="741" spans="1:3" ht="13" x14ac:dyDescent="0.15">
      <c r="A741" s="10"/>
      <c r="B741" s="13"/>
      <c r="C741" s="13"/>
    </row>
    <row r="742" spans="1:3" ht="13" x14ac:dyDescent="0.15">
      <c r="A742" s="10"/>
      <c r="B742" s="13"/>
      <c r="C742" s="13"/>
    </row>
    <row r="743" spans="1:3" ht="13" x14ac:dyDescent="0.15">
      <c r="A743" s="10"/>
      <c r="B743" s="13"/>
      <c r="C743" s="13"/>
    </row>
    <row r="744" spans="1:3" ht="13" x14ac:dyDescent="0.15">
      <c r="A744" s="10"/>
      <c r="B744" s="13"/>
      <c r="C744" s="13"/>
    </row>
    <row r="745" spans="1:3" ht="13" x14ac:dyDescent="0.15">
      <c r="A745" s="10"/>
      <c r="B745" s="13"/>
      <c r="C745" s="13"/>
    </row>
    <row r="746" spans="1:3" ht="13" x14ac:dyDescent="0.15">
      <c r="A746" s="10"/>
      <c r="B746" s="13"/>
      <c r="C746" s="13"/>
    </row>
    <row r="747" spans="1:3" ht="13" x14ac:dyDescent="0.15">
      <c r="A747" s="10"/>
      <c r="B747" s="13"/>
      <c r="C747" s="13"/>
    </row>
    <row r="748" spans="1:3" ht="13" x14ac:dyDescent="0.15">
      <c r="A748" s="10"/>
      <c r="B748" s="13"/>
      <c r="C748" s="13"/>
    </row>
    <row r="749" spans="1:3" ht="13" x14ac:dyDescent="0.15">
      <c r="A749" s="10"/>
      <c r="B749" s="13"/>
      <c r="C749" s="13"/>
    </row>
    <row r="750" spans="1:3" ht="13" x14ac:dyDescent="0.15">
      <c r="A750" s="10"/>
      <c r="B750" s="13"/>
      <c r="C750" s="13"/>
    </row>
    <row r="751" spans="1:3" ht="13" x14ac:dyDescent="0.15">
      <c r="A751" s="10"/>
      <c r="B751" s="13"/>
      <c r="C751" s="13"/>
    </row>
    <row r="752" spans="1:3" ht="13" x14ac:dyDescent="0.15">
      <c r="A752" s="10"/>
      <c r="B752" s="13"/>
      <c r="C752" s="13"/>
    </row>
    <row r="753" spans="1:3" ht="13" x14ac:dyDescent="0.15">
      <c r="A753" s="10"/>
      <c r="B753" s="13"/>
      <c r="C753" s="13"/>
    </row>
    <row r="754" spans="1:3" ht="13" x14ac:dyDescent="0.15">
      <c r="A754" s="10"/>
      <c r="B754" s="13"/>
      <c r="C754" s="13"/>
    </row>
    <row r="755" spans="1:3" ht="13" x14ac:dyDescent="0.15">
      <c r="A755" s="10"/>
      <c r="B755" s="13"/>
      <c r="C755" s="13"/>
    </row>
    <row r="756" spans="1:3" ht="13" x14ac:dyDescent="0.15">
      <c r="A756" s="10"/>
      <c r="B756" s="13"/>
      <c r="C756" s="13"/>
    </row>
    <row r="757" spans="1:3" ht="13" x14ac:dyDescent="0.15">
      <c r="A757" s="10"/>
      <c r="B757" s="13"/>
      <c r="C757" s="13"/>
    </row>
    <row r="758" spans="1:3" ht="13" x14ac:dyDescent="0.15">
      <c r="A758" s="10"/>
      <c r="B758" s="13"/>
      <c r="C758" s="13"/>
    </row>
    <row r="759" spans="1:3" ht="13" x14ac:dyDescent="0.15">
      <c r="A759" s="10"/>
      <c r="B759" s="13"/>
      <c r="C759" s="13"/>
    </row>
    <row r="760" spans="1:3" ht="13" x14ac:dyDescent="0.15">
      <c r="A760" s="10"/>
      <c r="B760" s="13"/>
      <c r="C760" s="13"/>
    </row>
    <row r="761" spans="1:3" ht="13" x14ac:dyDescent="0.15">
      <c r="A761" s="10"/>
      <c r="B761" s="13"/>
      <c r="C761" s="13"/>
    </row>
    <row r="762" spans="1:3" ht="13" x14ac:dyDescent="0.15">
      <c r="A762" s="10"/>
      <c r="B762" s="13"/>
      <c r="C762" s="13"/>
    </row>
    <row r="763" spans="1:3" ht="13" x14ac:dyDescent="0.15">
      <c r="A763" s="10"/>
      <c r="B763" s="13"/>
      <c r="C763" s="13"/>
    </row>
    <row r="764" spans="1:3" ht="13" x14ac:dyDescent="0.15">
      <c r="A764" s="10"/>
      <c r="B764" s="13"/>
      <c r="C764" s="13"/>
    </row>
    <row r="765" spans="1:3" ht="13" x14ac:dyDescent="0.15">
      <c r="A765" s="10"/>
      <c r="B765" s="13"/>
      <c r="C765" s="13"/>
    </row>
    <row r="766" spans="1:3" ht="13" x14ac:dyDescent="0.15">
      <c r="A766" s="10"/>
      <c r="B766" s="13"/>
      <c r="C766" s="13"/>
    </row>
    <row r="767" spans="1:3" ht="13" x14ac:dyDescent="0.15">
      <c r="A767" s="10"/>
      <c r="B767" s="13"/>
      <c r="C767" s="13"/>
    </row>
    <row r="768" spans="1:3" ht="13" x14ac:dyDescent="0.15">
      <c r="A768" s="10"/>
      <c r="B768" s="13"/>
      <c r="C768" s="13"/>
    </row>
    <row r="769" spans="1:3" ht="13" x14ac:dyDescent="0.15">
      <c r="A769" s="10"/>
      <c r="B769" s="13"/>
      <c r="C769" s="13"/>
    </row>
    <row r="770" spans="1:3" ht="13" x14ac:dyDescent="0.15">
      <c r="A770" s="10"/>
      <c r="B770" s="13"/>
      <c r="C770" s="13"/>
    </row>
    <row r="771" spans="1:3" ht="13" x14ac:dyDescent="0.15">
      <c r="A771" s="10"/>
      <c r="B771" s="13"/>
      <c r="C771" s="13"/>
    </row>
    <row r="772" spans="1:3" ht="13" x14ac:dyDescent="0.15">
      <c r="A772" s="10"/>
      <c r="B772" s="13"/>
      <c r="C772" s="13"/>
    </row>
    <row r="773" spans="1:3" ht="13" x14ac:dyDescent="0.15">
      <c r="A773" s="10"/>
      <c r="B773" s="13"/>
      <c r="C773" s="13"/>
    </row>
    <row r="774" spans="1:3" ht="13" x14ac:dyDescent="0.15">
      <c r="A774" s="10"/>
      <c r="B774" s="13"/>
      <c r="C774" s="13"/>
    </row>
    <row r="775" spans="1:3" ht="13" x14ac:dyDescent="0.15">
      <c r="A775" s="10"/>
      <c r="B775" s="13"/>
      <c r="C775" s="13"/>
    </row>
    <row r="776" spans="1:3" ht="13" x14ac:dyDescent="0.15">
      <c r="A776" s="10"/>
      <c r="B776" s="13"/>
      <c r="C776" s="13"/>
    </row>
    <row r="777" spans="1:3" ht="13" x14ac:dyDescent="0.15">
      <c r="A777" s="10"/>
      <c r="B777" s="13"/>
      <c r="C777" s="13"/>
    </row>
    <row r="778" spans="1:3" ht="13" x14ac:dyDescent="0.15">
      <c r="A778" s="10"/>
      <c r="B778" s="13"/>
      <c r="C778" s="13"/>
    </row>
    <row r="779" spans="1:3" ht="13" x14ac:dyDescent="0.15">
      <c r="A779" s="10"/>
      <c r="B779" s="13"/>
      <c r="C779" s="13"/>
    </row>
    <row r="780" spans="1:3" ht="13" x14ac:dyDescent="0.15">
      <c r="A780" s="10"/>
      <c r="B780" s="13"/>
      <c r="C780" s="13"/>
    </row>
    <row r="781" spans="1:3" ht="13" x14ac:dyDescent="0.15">
      <c r="A781" s="10"/>
      <c r="B781" s="13"/>
      <c r="C781" s="13"/>
    </row>
    <row r="782" spans="1:3" ht="13" x14ac:dyDescent="0.15">
      <c r="A782" s="10"/>
      <c r="B782" s="13"/>
      <c r="C782" s="13"/>
    </row>
    <row r="783" spans="1:3" ht="13" x14ac:dyDescent="0.15">
      <c r="A783" s="10"/>
      <c r="B783" s="13"/>
      <c r="C783" s="13"/>
    </row>
    <row r="784" spans="1:3" ht="13" x14ac:dyDescent="0.15">
      <c r="A784" s="10"/>
      <c r="B784" s="13"/>
      <c r="C784" s="13"/>
    </row>
    <row r="785" spans="1:3" ht="13" x14ac:dyDescent="0.15">
      <c r="A785" s="10"/>
      <c r="B785" s="13"/>
      <c r="C785" s="13"/>
    </row>
    <row r="786" spans="1:3" ht="13" x14ac:dyDescent="0.15">
      <c r="A786" s="10"/>
      <c r="B786" s="13"/>
      <c r="C786" s="13"/>
    </row>
    <row r="787" spans="1:3" ht="13" x14ac:dyDescent="0.15">
      <c r="A787" s="10"/>
      <c r="B787" s="13"/>
      <c r="C787" s="13"/>
    </row>
    <row r="788" spans="1:3" ht="13" x14ac:dyDescent="0.15">
      <c r="A788" s="10"/>
      <c r="B788" s="13"/>
      <c r="C788" s="13"/>
    </row>
    <row r="789" spans="1:3" ht="13" x14ac:dyDescent="0.15">
      <c r="A789" s="10"/>
      <c r="B789" s="13"/>
      <c r="C789" s="13"/>
    </row>
    <row r="790" spans="1:3" ht="13" x14ac:dyDescent="0.15">
      <c r="A790" s="10"/>
      <c r="B790" s="13"/>
      <c r="C790" s="13"/>
    </row>
    <row r="791" spans="1:3" ht="13" x14ac:dyDescent="0.15">
      <c r="A791" s="10"/>
      <c r="B791" s="13"/>
      <c r="C791" s="13"/>
    </row>
    <row r="792" spans="1:3" ht="13" x14ac:dyDescent="0.15">
      <c r="A792" s="10"/>
      <c r="B792" s="13"/>
      <c r="C792" s="13"/>
    </row>
    <row r="793" spans="1:3" ht="13" x14ac:dyDescent="0.15">
      <c r="A793" s="10"/>
      <c r="B793" s="13"/>
      <c r="C793" s="13"/>
    </row>
    <row r="794" spans="1:3" ht="13" x14ac:dyDescent="0.15">
      <c r="A794" s="10"/>
      <c r="B794" s="13"/>
      <c r="C794" s="13"/>
    </row>
    <row r="795" spans="1:3" ht="13" x14ac:dyDescent="0.15">
      <c r="A795" s="10"/>
      <c r="B795" s="13"/>
      <c r="C795" s="13"/>
    </row>
    <row r="796" spans="1:3" ht="13" x14ac:dyDescent="0.15">
      <c r="A796" s="10"/>
      <c r="B796" s="13"/>
      <c r="C796" s="13"/>
    </row>
    <row r="797" spans="1:3" ht="13" x14ac:dyDescent="0.15">
      <c r="A797" s="10"/>
      <c r="B797" s="13"/>
      <c r="C797" s="13"/>
    </row>
    <row r="798" spans="1:3" ht="13" x14ac:dyDescent="0.15">
      <c r="A798" s="10"/>
      <c r="B798" s="13"/>
      <c r="C798" s="13"/>
    </row>
    <row r="799" spans="1:3" ht="13" x14ac:dyDescent="0.15">
      <c r="A799" s="10"/>
      <c r="B799" s="13"/>
      <c r="C799" s="13"/>
    </row>
    <row r="800" spans="1:3" ht="13" x14ac:dyDescent="0.15">
      <c r="A800" s="10"/>
      <c r="B800" s="13"/>
      <c r="C800" s="13"/>
    </row>
    <row r="801" spans="1:3" ht="13" x14ac:dyDescent="0.15">
      <c r="A801" s="10"/>
      <c r="B801" s="13"/>
      <c r="C801" s="13"/>
    </row>
    <row r="802" spans="1:3" ht="13" x14ac:dyDescent="0.15">
      <c r="A802" s="10"/>
      <c r="B802" s="13"/>
      <c r="C802" s="13"/>
    </row>
    <row r="803" spans="1:3" ht="13" x14ac:dyDescent="0.15">
      <c r="A803" s="10"/>
      <c r="B803" s="13"/>
      <c r="C803" s="13"/>
    </row>
    <row r="804" spans="1:3" ht="13" x14ac:dyDescent="0.15">
      <c r="A804" s="10"/>
      <c r="B804" s="13"/>
      <c r="C804" s="13"/>
    </row>
    <row r="805" spans="1:3" ht="13" x14ac:dyDescent="0.15">
      <c r="A805" s="10"/>
      <c r="B805" s="13"/>
      <c r="C805" s="13"/>
    </row>
    <row r="806" spans="1:3" ht="13" x14ac:dyDescent="0.15">
      <c r="A806" s="10"/>
      <c r="B806" s="13"/>
      <c r="C806" s="13"/>
    </row>
    <row r="807" spans="1:3" ht="13" x14ac:dyDescent="0.15">
      <c r="A807" s="10"/>
      <c r="B807" s="13"/>
      <c r="C807" s="13"/>
    </row>
    <row r="808" spans="1:3" ht="13" x14ac:dyDescent="0.15">
      <c r="A808" s="10"/>
      <c r="B808" s="13"/>
      <c r="C808" s="13"/>
    </row>
    <row r="809" spans="1:3" ht="13" x14ac:dyDescent="0.15">
      <c r="A809" s="10"/>
      <c r="B809" s="13"/>
      <c r="C809" s="13"/>
    </row>
    <row r="810" spans="1:3" ht="13" x14ac:dyDescent="0.15">
      <c r="A810" s="10"/>
      <c r="B810" s="13"/>
      <c r="C810" s="13"/>
    </row>
    <row r="811" spans="1:3" ht="13" x14ac:dyDescent="0.15">
      <c r="A811" s="10"/>
      <c r="B811" s="13"/>
      <c r="C811" s="13"/>
    </row>
    <row r="812" spans="1:3" ht="13" x14ac:dyDescent="0.15">
      <c r="A812" s="10"/>
      <c r="B812" s="13"/>
      <c r="C812" s="13"/>
    </row>
    <row r="813" spans="1:3" ht="13" x14ac:dyDescent="0.15">
      <c r="A813" s="10"/>
      <c r="B813" s="13"/>
      <c r="C813" s="13"/>
    </row>
    <row r="814" spans="1:3" ht="13" x14ac:dyDescent="0.15">
      <c r="A814" s="10"/>
      <c r="B814" s="13"/>
      <c r="C814" s="13"/>
    </row>
    <row r="815" spans="1:3" ht="13" x14ac:dyDescent="0.15">
      <c r="A815" s="10"/>
      <c r="B815" s="13"/>
      <c r="C815" s="13"/>
    </row>
    <row r="816" spans="1:3" ht="13" x14ac:dyDescent="0.15">
      <c r="A816" s="10"/>
      <c r="B816" s="13"/>
      <c r="C816" s="13"/>
    </row>
    <row r="817" spans="1:3" ht="13" x14ac:dyDescent="0.15">
      <c r="A817" s="10"/>
      <c r="B817" s="13"/>
      <c r="C817" s="13"/>
    </row>
    <row r="818" spans="1:3" ht="13" x14ac:dyDescent="0.15">
      <c r="A818" s="10"/>
      <c r="B818" s="13"/>
      <c r="C818" s="13"/>
    </row>
    <row r="819" spans="1:3" ht="13" x14ac:dyDescent="0.15">
      <c r="A819" s="10"/>
      <c r="B819" s="13"/>
      <c r="C819" s="13"/>
    </row>
    <row r="820" spans="1:3" ht="13" x14ac:dyDescent="0.15">
      <c r="A820" s="10"/>
      <c r="B820" s="13"/>
      <c r="C820" s="13"/>
    </row>
    <row r="821" spans="1:3" ht="13" x14ac:dyDescent="0.15">
      <c r="A821" s="10"/>
      <c r="B821" s="13"/>
      <c r="C821" s="13"/>
    </row>
    <row r="822" spans="1:3" ht="13" x14ac:dyDescent="0.15">
      <c r="A822" s="10"/>
      <c r="B822" s="13"/>
      <c r="C822" s="13"/>
    </row>
    <row r="823" spans="1:3" ht="13" x14ac:dyDescent="0.15">
      <c r="A823" s="10"/>
      <c r="B823" s="13"/>
      <c r="C823" s="13"/>
    </row>
    <row r="824" spans="1:3" ht="13" x14ac:dyDescent="0.15">
      <c r="A824" s="10"/>
      <c r="B824" s="13"/>
      <c r="C824" s="13"/>
    </row>
    <row r="825" spans="1:3" ht="13" x14ac:dyDescent="0.15">
      <c r="A825" s="10"/>
      <c r="B825" s="13"/>
      <c r="C825" s="13"/>
    </row>
    <row r="826" spans="1:3" ht="13" x14ac:dyDescent="0.15">
      <c r="A826" s="10"/>
      <c r="B826" s="13"/>
      <c r="C826" s="13"/>
    </row>
    <row r="827" spans="1:3" ht="13" x14ac:dyDescent="0.15">
      <c r="A827" s="10"/>
      <c r="B827" s="13"/>
      <c r="C827" s="13"/>
    </row>
    <row r="828" spans="1:3" ht="13" x14ac:dyDescent="0.15">
      <c r="A828" s="10"/>
      <c r="B828" s="13"/>
      <c r="C828" s="13"/>
    </row>
    <row r="829" spans="1:3" ht="13" x14ac:dyDescent="0.15">
      <c r="A829" s="10"/>
      <c r="B829" s="13"/>
      <c r="C829" s="13"/>
    </row>
    <row r="830" spans="1:3" ht="13" x14ac:dyDescent="0.15">
      <c r="A830" s="10"/>
      <c r="B830" s="13"/>
      <c r="C830" s="13"/>
    </row>
    <row r="831" spans="1:3" ht="13" x14ac:dyDescent="0.15">
      <c r="A831" s="10"/>
      <c r="B831" s="13"/>
      <c r="C831" s="13"/>
    </row>
    <row r="832" spans="1:3" ht="13" x14ac:dyDescent="0.15">
      <c r="A832" s="10"/>
      <c r="B832" s="13"/>
      <c r="C832" s="13"/>
    </row>
    <row r="833" spans="1:3" ht="13" x14ac:dyDescent="0.15">
      <c r="A833" s="10"/>
      <c r="B833" s="13"/>
      <c r="C833" s="13"/>
    </row>
    <row r="834" spans="1:3" ht="13" x14ac:dyDescent="0.15">
      <c r="A834" s="10"/>
      <c r="B834" s="13"/>
      <c r="C834" s="13"/>
    </row>
    <row r="835" spans="1:3" ht="13" x14ac:dyDescent="0.15">
      <c r="A835" s="10"/>
      <c r="B835" s="13"/>
      <c r="C835" s="13"/>
    </row>
    <row r="836" spans="1:3" ht="13" x14ac:dyDescent="0.15">
      <c r="A836" s="10"/>
      <c r="B836" s="13"/>
      <c r="C836" s="13"/>
    </row>
    <row r="837" spans="1:3" ht="13" x14ac:dyDescent="0.15">
      <c r="A837" s="10"/>
      <c r="B837" s="13"/>
      <c r="C837" s="13"/>
    </row>
    <row r="838" spans="1:3" ht="13" x14ac:dyDescent="0.15">
      <c r="A838" s="10"/>
      <c r="B838" s="13"/>
      <c r="C838" s="13"/>
    </row>
    <row r="839" spans="1:3" ht="13" x14ac:dyDescent="0.15">
      <c r="A839" s="10"/>
      <c r="B839" s="13"/>
      <c r="C839" s="13"/>
    </row>
    <row r="840" spans="1:3" ht="13" x14ac:dyDescent="0.15">
      <c r="A840" s="10"/>
      <c r="B840" s="13"/>
      <c r="C840" s="13"/>
    </row>
    <row r="841" spans="1:3" ht="13" x14ac:dyDescent="0.15">
      <c r="A841" s="10"/>
      <c r="B841" s="13"/>
      <c r="C841" s="13"/>
    </row>
    <row r="842" spans="1:3" ht="13" x14ac:dyDescent="0.15">
      <c r="A842" s="10"/>
      <c r="B842" s="13"/>
      <c r="C842" s="13"/>
    </row>
    <row r="843" spans="1:3" ht="13" x14ac:dyDescent="0.15">
      <c r="A843" s="10"/>
      <c r="B843" s="13"/>
      <c r="C843" s="13"/>
    </row>
    <row r="844" spans="1:3" ht="13" x14ac:dyDescent="0.15">
      <c r="A844" s="10"/>
      <c r="B844" s="13"/>
      <c r="C844" s="13"/>
    </row>
    <row r="845" spans="1:3" ht="13" x14ac:dyDescent="0.15">
      <c r="A845" s="10"/>
      <c r="B845" s="13"/>
      <c r="C845" s="13"/>
    </row>
    <row r="846" spans="1:3" ht="13" x14ac:dyDescent="0.15">
      <c r="A846" s="10"/>
      <c r="B846" s="13"/>
      <c r="C846" s="13"/>
    </row>
    <row r="847" spans="1:3" ht="13" x14ac:dyDescent="0.15">
      <c r="A847" s="10"/>
      <c r="B847" s="13"/>
      <c r="C847" s="13"/>
    </row>
    <row r="848" spans="1:3" ht="13" x14ac:dyDescent="0.15">
      <c r="A848" s="10"/>
      <c r="B848" s="13"/>
      <c r="C848" s="13"/>
    </row>
    <row r="849" spans="1:3" ht="13" x14ac:dyDescent="0.15">
      <c r="A849" s="10"/>
      <c r="B849" s="13"/>
      <c r="C849" s="13"/>
    </row>
    <row r="850" spans="1:3" ht="13" x14ac:dyDescent="0.15">
      <c r="A850" s="10"/>
      <c r="B850" s="13"/>
      <c r="C850" s="13"/>
    </row>
    <row r="851" spans="1:3" ht="13" x14ac:dyDescent="0.15">
      <c r="A851" s="10"/>
      <c r="B851" s="13"/>
      <c r="C851" s="13"/>
    </row>
    <row r="852" spans="1:3" ht="13" x14ac:dyDescent="0.15">
      <c r="A852" s="10"/>
      <c r="B852" s="13"/>
      <c r="C852" s="13"/>
    </row>
    <row r="853" spans="1:3" ht="13" x14ac:dyDescent="0.15">
      <c r="A853" s="10"/>
      <c r="B853" s="13"/>
      <c r="C853" s="13"/>
    </row>
    <row r="854" spans="1:3" ht="13" x14ac:dyDescent="0.15">
      <c r="A854" s="10"/>
      <c r="B854" s="13"/>
      <c r="C854" s="13"/>
    </row>
    <row r="855" spans="1:3" ht="13" x14ac:dyDescent="0.15">
      <c r="A855" s="10"/>
      <c r="B855" s="13"/>
      <c r="C855" s="13"/>
    </row>
    <row r="856" spans="1:3" ht="13" x14ac:dyDescent="0.15">
      <c r="A856" s="10"/>
      <c r="B856" s="13"/>
      <c r="C856" s="13"/>
    </row>
    <row r="857" spans="1:3" ht="13" x14ac:dyDescent="0.15">
      <c r="A857" s="10"/>
      <c r="B857" s="13"/>
      <c r="C857" s="13"/>
    </row>
    <row r="858" spans="1:3" ht="13" x14ac:dyDescent="0.15">
      <c r="A858" s="10"/>
      <c r="B858" s="13"/>
      <c r="C858" s="13"/>
    </row>
    <row r="859" spans="1:3" ht="13" x14ac:dyDescent="0.15">
      <c r="A859" s="10"/>
      <c r="B859" s="13"/>
      <c r="C859" s="13"/>
    </row>
    <row r="860" spans="1:3" ht="13" x14ac:dyDescent="0.15">
      <c r="A860" s="10"/>
      <c r="B860" s="13"/>
      <c r="C860" s="13"/>
    </row>
    <row r="861" spans="1:3" ht="13" x14ac:dyDescent="0.15">
      <c r="A861" s="10"/>
      <c r="B861" s="13"/>
      <c r="C861" s="13"/>
    </row>
    <row r="862" spans="1:3" ht="13" x14ac:dyDescent="0.15">
      <c r="A862" s="10"/>
      <c r="B862" s="13"/>
      <c r="C862" s="13"/>
    </row>
    <row r="863" spans="1:3" ht="13" x14ac:dyDescent="0.15">
      <c r="A863" s="10"/>
      <c r="B863" s="13"/>
      <c r="C863" s="13"/>
    </row>
    <row r="864" spans="1:3" ht="13" x14ac:dyDescent="0.15">
      <c r="A864" s="10"/>
      <c r="B864" s="13"/>
      <c r="C864" s="13"/>
    </row>
    <row r="865" spans="1:3" ht="13" x14ac:dyDescent="0.15">
      <c r="A865" s="10"/>
      <c r="B865" s="13"/>
      <c r="C865" s="13"/>
    </row>
    <row r="866" spans="1:3" ht="13" x14ac:dyDescent="0.15">
      <c r="A866" s="10"/>
      <c r="B866" s="13"/>
      <c r="C866" s="13"/>
    </row>
    <row r="867" spans="1:3" ht="13" x14ac:dyDescent="0.15">
      <c r="A867" s="10"/>
      <c r="B867" s="13"/>
      <c r="C867" s="13"/>
    </row>
    <row r="868" spans="1:3" ht="13" x14ac:dyDescent="0.15">
      <c r="A868" s="10"/>
      <c r="B868" s="13"/>
      <c r="C868" s="13"/>
    </row>
    <row r="869" spans="1:3" ht="13" x14ac:dyDescent="0.15">
      <c r="A869" s="10"/>
      <c r="B869" s="13"/>
      <c r="C869" s="13"/>
    </row>
    <row r="870" spans="1:3" ht="13" x14ac:dyDescent="0.15">
      <c r="A870" s="10"/>
      <c r="B870" s="13"/>
      <c r="C870" s="13"/>
    </row>
    <row r="871" spans="1:3" ht="13" x14ac:dyDescent="0.15">
      <c r="A871" s="10"/>
      <c r="B871" s="13"/>
      <c r="C871" s="13"/>
    </row>
    <row r="872" spans="1:3" ht="13" x14ac:dyDescent="0.15">
      <c r="A872" s="10"/>
      <c r="B872" s="13"/>
      <c r="C872" s="13"/>
    </row>
    <row r="873" spans="1:3" ht="13" x14ac:dyDescent="0.15">
      <c r="A873" s="10"/>
      <c r="B873" s="13"/>
      <c r="C873" s="13"/>
    </row>
    <row r="874" spans="1:3" ht="13" x14ac:dyDescent="0.15">
      <c r="A874" s="10"/>
      <c r="B874" s="13"/>
      <c r="C874" s="13"/>
    </row>
    <row r="875" spans="1:3" ht="13" x14ac:dyDescent="0.15">
      <c r="A875" s="10"/>
      <c r="B875" s="13"/>
      <c r="C875" s="13"/>
    </row>
    <row r="876" spans="1:3" ht="13" x14ac:dyDescent="0.15">
      <c r="A876" s="10"/>
      <c r="B876" s="13"/>
      <c r="C876" s="13"/>
    </row>
    <row r="877" spans="1:3" ht="13" x14ac:dyDescent="0.15">
      <c r="A877" s="10"/>
      <c r="B877" s="13"/>
      <c r="C877" s="13"/>
    </row>
    <row r="878" spans="1:3" ht="13" x14ac:dyDescent="0.15">
      <c r="A878" s="10"/>
      <c r="B878" s="13"/>
      <c r="C878" s="13"/>
    </row>
    <row r="879" spans="1:3" ht="13" x14ac:dyDescent="0.15">
      <c r="A879" s="10"/>
      <c r="B879" s="13"/>
      <c r="C879" s="13"/>
    </row>
    <row r="880" spans="1:3" ht="13" x14ac:dyDescent="0.15">
      <c r="A880" s="10"/>
      <c r="B880" s="13"/>
      <c r="C880" s="13"/>
    </row>
    <row r="881" spans="1:3" ht="13" x14ac:dyDescent="0.15">
      <c r="A881" s="10"/>
      <c r="B881" s="13"/>
      <c r="C881" s="13"/>
    </row>
    <row r="882" spans="1:3" ht="13" x14ac:dyDescent="0.15">
      <c r="A882" s="10"/>
      <c r="B882" s="13"/>
      <c r="C882" s="13"/>
    </row>
    <row r="883" spans="1:3" ht="13" x14ac:dyDescent="0.15">
      <c r="A883" s="10"/>
      <c r="B883" s="13"/>
      <c r="C883" s="13"/>
    </row>
    <row r="884" spans="1:3" ht="13" x14ac:dyDescent="0.15">
      <c r="A884" s="10"/>
      <c r="B884" s="13"/>
      <c r="C884" s="13"/>
    </row>
    <row r="885" spans="1:3" ht="13" x14ac:dyDescent="0.15">
      <c r="A885" s="10"/>
      <c r="B885" s="13"/>
      <c r="C885" s="13"/>
    </row>
    <row r="886" spans="1:3" ht="13" x14ac:dyDescent="0.15">
      <c r="A886" s="10"/>
      <c r="B886" s="13"/>
      <c r="C886" s="13"/>
    </row>
    <row r="887" spans="1:3" ht="13" x14ac:dyDescent="0.15">
      <c r="A887" s="10"/>
      <c r="B887" s="13"/>
      <c r="C887" s="13"/>
    </row>
    <row r="888" spans="1:3" ht="13" x14ac:dyDescent="0.15">
      <c r="A888" s="10"/>
      <c r="B888" s="13"/>
      <c r="C888" s="13"/>
    </row>
    <row r="889" spans="1:3" ht="13" x14ac:dyDescent="0.15">
      <c r="A889" s="10"/>
      <c r="B889" s="13"/>
      <c r="C889" s="13"/>
    </row>
    <row r="890" spans="1:3" ht="13" x14ac:dyDescent="0.15">
      <c r="A890" s="10"/>
      <c r="B890" s="13"/>
      <c r="C890" s="13"/>
    </row>
    <row r="891" spans="1:3" ht="13" x14ac:dyDescent="0.15">
      <c r="A891" s="10"/>
      <c r="B891" s="13"/>
      <c r="C891" s="13"/>
    </row>
    <row r="892" spans="1:3" ht="13" x14ac:dyDescent="0.15">
      <c r="A892" s="10"/>
      <c r="B892" s="13"/>
      <c r="C892" s="13"/>
    </row>
    <row r="893" spans="1:3" ht="13" x14ac:dyDescent="0.15">
      <c r="A893" s="10"/>
      <c r="B893" s="13"/>
      <c r="C893" s="13"/>
    </row>
    <row r="894" spans="1:3" ht="13" x14ac:dyDescent="0.15">
      <c r="A894" s="10"/>
      <c r="B894" s="13"/>
      <c r="C894" s="13"/>
    </row>
    <row r="895" spans="1:3" ht="13" x14ac:dyDescent="0.15">
      <c r="A895" s="10"/>
      <c r="B895" s="13"/>
      <c r="C895" s="13"/>
    </row>
    <row r="896" spans="1:3" ht="13" x14ac:dyDescent="0.15">
      <c r="A896" s="10"/>
      <c r="B896" s="13"/>
      <c r="C896" s="13"/>
    </row>
    <row r="897" spans="1:3" ht="13" x14ac:dyDescent="0.15">
      <c r="A897" s="10"/>
      <c r="B897" s="13"/>
      <c r="C897" s="13"/>
    </row>
    <row r="898" spans="1:3" ht="13" x14ac:dyDescent="0.15">
      <c r="A898" s="10"/>
      <c r="B898" s="13"/>
      <c r="C898" s="13"/>
    </row>
    <row r="899" spans="1:3" ht="13" x14ac:dyDescent="0.15">
      <c r="A899" s="10"/>
      <c r="B899" s="13"/>
      <c r="C899" s="13"/>
    </row>
    <row r="900" spans="1:3" ht="13" x14ac:dyDescent="0.15">
      <c r="A900" s="10"/>
      <c r="B900" s="13"/>
      <c r="C900" s="13"/>
    </row>
    <row r="901" spans="1:3" ht="13" x14ac:dyDescent="0.15">
      <c r="A901" s="10"/>
      <c r="B901" s="13"/>
      <c r="C901" s="13"/>
    </row>
    <row r="902" spans="1:3" ht="13" x14ac:dyDescent="0.15">
      <c r="A902" s="10"/>
      <c r="B902" s="13"/>
      <c r="C902" s="13"/>
    </row>
    <row r="903" spans="1:3" ht="13" x14ac:dyDescent="0.15">
      <c r="A903" s="10"/>
      <c r="B903" s="13"/>
      <c r="C903" s="13"/>
    </row>
    <row r="904" spans="1:3" ht="13" x14ac:dyDescent="0.15">
      <c r="A904" s="10"/>
      <c r="B904" s="13"/>
      <c r="C904" s="13"/>
    </row>
    <row r="905" spans="1:3" ht="13" x14ac:dyDescent="0.15">
      <c r="A905" s="10"/>
      <c r="B905" s="13"/>
      <c r="C905" s="13"/>
    </row>
    <row r="906" spans="1:3" ht="13" x14ac:dyDescent="0.15">
      <c r="A906" s="10"/>
      <c r="B906" s="13"/>
      <c r="C906" s="13"/>
    </row>
    <row r="907" spans="1:3" ht="13" x14ac:dyDescent="0.15">
      <c r="A907" s="10"/>
      <c r="B907" s="13"/>
      <c r="C907" s="13"/>
    </row>
    <row r="908" spans="1:3" ht="13" x14ac:dyDescent="0.15">
      <c r="A908" s="10"/>
      <c r="B908" s="13"/>
      <c r="C908" s="13"/>
    </row>
    <row r="909" spans="1:3" ht="13" x14ac:dyDescent="0.15">
      <c r="A909" s="10"/>
      <c r="B909" s="13"/>
      <c r="C909" s="13"/>
    </row>
    <row r="910" spans="1:3" ht="13" x14ac:dyDescent="0.15">
      <c r="A910" s="10"/>
      <c r="B910" s="13"/>
      <c r="C910" s="13"/>
    </row>
    <row r="911" spans="1:3" ht="13" x14ac:dyDescent="0.15">
      <c r="A911" s="10"/>
      <c r="B911" s="13"/>
      <c r="C911" s="13"/>
    </row>
    <row r="912" spans="1:3" ht="13" x14ac:dyDescent="0.15">
      <c r="A912" s="10"/>
      <c r="B912" s="13"/>
      <c r="C912" s="13"/>
    </row>
    <row r="913" spans="1:3" ht="13" x14ac:dyDescent="0.15">
      <c r="A913" s="10"/>
      <c r="B913" s="13"/>
      <c r="C913" s="13"/>
    </row>
    <row r="914" spans="1:3" ht="13" x14ac:dyDescent="0.15">
      <c r="A914" s="10"/>
      <c r="B914" s="13"/>
      <c r="C914" s="13"/>
    </row>
    <row r="915" spans="1:3" ht="13" x14ac:dyDescent="0.15">
      <c r="A915" s="10"/>
      <c r="B915" s="13"/>
      <c r="C915" s="13"/>
    </row>
    <row r="916" spans="1:3" ht="13" x14ac:dyDescent="0.15">
      <c r="A916" s="10"/>
      <c r="B916" s="13"/>
      <c r="C916" s="13"/>
    </row>
    <row r="917" spans="1:3" ht="13" x14ac:dyDescent="0.15">
      <c r="A917" s="10"/>
      <c r="B917" s="13"/>
      <c r="C917" s="13"/>
    </row>
    <row r="918" spans="1:3" ht="13" x14ac:dyDescent="0.15">
      <c r="A918" s="10"/>
      <c r="B918" s="13"/>
      <c r="C918" s="13"/>
    </row>
    <row r="919" spans="1:3" ht="13" x14ac:dyDescent="0.15">
      <c r="A919" s="10"/>
      <c r="B919" s="13"/>
      <c r="C919" s="13"/>
    </row>
    <row r="920" spans="1:3" ht="13" x14ac:dyDescent="0.15">
      <c r="A920" s="10"/>
      <c r="B920" s="13"/>
      <c r="C920" s="13"/>
    </row>
    <row r="921" spans="1:3" ht="13" x14ac:dyDescent="0.15">
      <c r="A921" s="10"/>
      <c r="B921" s="13"/>
      <c r="C921" s="13"/>
    </row>
    <row r="922" spans="1:3" ht="13" x14ac:dyDescent="0.15">
      <c r="A922" s="10"/>
      <c r="B922" s="13"/>
      <c r="C922" s="13"/>
    </row>
    <row r="923" spans="1:3" ht="13" x14ac:dyDescent="0.15">
      <c r="A923" s="10"/>
      <c r="B923" s="13"/>
      <c r="C923" s="13"/>
    </row>
    <row r="924" spans="1:3" ht="13" x14ac:dyDescent="0.15">
      <c r="A924" s="10"/>
      <c r="B924" s="13"/>
      <c r="C924" s="13"/>
    </row>
    <row r="925" spans="1:3" ht="13" x14ac:dyDescent="0.15">
      <c r="A925" s="10"/>
      <c r="B925" s="13"/>
      <c r="C925" s="13"/>
    </row>
    <row r="926" spans="1:3" ht="13" x14ac:dyDescent="0.15">
      <c r="A926" s="10"/>
      <c r="B926" s="13"/>
      <c r="C926" s="13"/>
    </row>
    <row r="927" spans="1:3" ht="13" x14ac:dyDescent="0.15">
      <c r="A927" s="10"/>
      <c r="B927" s="13"/>
      <c r="C927" s="13"/>
    </row>
    <row r="928" spans="1:3" ht="13" x14ac:dyDescent="0.15">
      <c r="A928" s="10"/>
      <c r="B928" s="13"/>
      <c r="C928" s="13"/>
    </row>
    <row r="929" spans="1:3" ht="13" x14ac:dyDescent="0.15">
      <c r="A929" s="10"/>
      <c r="B929" s="13"/>
      <c r="C929" s="13"/>
    </row>
    <row r="930" spans="1:3" ht="13" x14ac:dyDescent="0.15">
      <c r="A930" s="10"/>
      <c r="B930" s="13"/>
      <c r="C930" s="13"/>
    </row>
    <row r="931" spans="1:3" ht="13" x14ac:dyDescent="0.15">
      <c r="A931" s="10"/>
      <c r="B931" s="13"/>
      <c r="C931" s="13"/>
    </row>
    <row r="932" spans="1:3" ht="13" x14ac:dyDescent="0.15">
      <c r="A932" s="10"/>
      <c r="B932" s="13"/>
      <c r="C932" s="13"/>
    </row>
    <row r="933" spans="1:3" ht="13" x14ac:dyDescent="0.15">
      <c r="A933" s="10"/>
      <c r="B933" s="13"/>
      <c r="C933" s="13"/>
    </row>
    <row r="934" spans="1:3" ht="13" x14ac:dyDescent="0.15">
      <c r="A934" s="10"/>
      <c r="B934" s="13"/>
      <c r="C934" s="13"/>
    </row>
    <row r="935" spans="1:3" ht="13" x14ac:dyDescent="0.15">
      <c r="A935" s="10"/>
      <c r="B935" s="13"/>
      <c r="C935" s="13"/>
    </row>
    <row r="936" spans="1:3" ht="13" x14ac:dyDescent="0.15">
      <c r="A936" s="10"/>
      <c r="B936" s="13"/>
      <c r="C936" s="13"/>
    </row>
    <row r="937" spans="1:3" ht="13" x14ac:dyDescent="0.15">
      <c r="A937" s="10"/>
      <c r="B937" s="13"/>
      <c r="C937" s="13"/>
    </row>
    <row r="938" spans="1:3" ht="13" x14ac:dyDescent="0.15">
      <c r="A938" s="10"/>
      <c r="B938" s="13"/>
      <c r="C938" s="13"/>
    </row>
    <row r="939" spans="1:3" ht="13" x14ac:dyDescent="0.15">
      <c r="A939" s="10"/>
      <c r="B939" s="13"/>
      <c r="C939" s="13"/>
    </row>
    <row r="940" spans="1:3" ht="13" x14ac:dyDescent="0.15">
      <c r="A940" s="10"/>
      <c r="B940" s="13"/>
      <c r="C940" s="13"/>
    </row>
    <row r="941" spans="1:3" ht="13" x14ac:dyDescent="0.15">
      <c r="A941" s="10"/>
      <c r="B941" s="13"/>
      <c r="C941" s="13"/>
    </row>
    <row r="942" spans="1:3" ht="13" x14ac:dyDescent="0.15">
      <c r="A942" s="10"/>
      <c r="B942" s="13"/>
      <c r="C942" s="13"/>
    </row>
    <row r="943" spans="1:3" ht="13" x14ac:dyDescent="0.15">
      <c r="A943" s="10"/>
      <c r="B943" s="13"/>
      <c r="C943" s="13"/>
    </row>
    <row r="944" spans="1:3" ht="13" x14ac:dyDescent="0.15">
      <c r="A944" s="10"/>
      <c r="B944" s="13"/>
      <c r="C944" s="13"/>
    </row>
    <row r="945" spans="1:3" ht="13" x14ac:dyDescent="0.15">
      <c r="A945" s="10"/>
      <c r="B945" s="13"/>
      <c r="C945" s="13"/>
    </row>
    <row r="946" spans="1:3" ht="13" x14ac:dyDescent="0.15">
      <c r="A946" s="10"/>
      <c r="B946" s="13"/>
      <c r="C946" s="13"/>
    </row>
    <row r="947" spans="1:3" ht="13" x14ac:dyDescent="0.15">
      <c r="A947" s="10"/>
      <c r="B947" s="13"/>
      <c r="C947" s="13"/>
    </row>
    <row r="948" spans="1:3" ht="13" x14ac:dyDescent="0.15">
      <c r="A948" s="10"/>
      <c r="B948" s="13"/>
      <c r="C948" s="13"/>
    </row>
    <row r="949" spans="1:3" ht="13" x14ac:dyDescent="0.15">
      <c r="A949" s="10"/>
      <c r="B949" s="13"/>
      <c r="C949" s="13"/>
    </row>
    <row r="950" spans="1:3" ht="13" x14ac:dyDescent="0.15">
      <c r="A950" s="10"/>
      <c r="B950" s="13"/>
      <c r="C950" s="13"/>
    </row>
    <row r="951" spans="1:3" ht="13" x14ac:dyDescent="0.15">
      <c r="A951" s="10"/>
      <c r="B951" s="13"/>
      <c r="C951" s="13"/>
    </row>
    <row r="952" spans="1:3" ht="13" x14ac:dyDescent="0.15">
      <c r="A952" s="10"/>
      <c r="B952" s="13"/>
      <c r="C952" s="13"/>
    </row>
    <row r="953" spans="1:3" ht="13" x14ac:dyDescent="0.15">
      <c r="A953" s="10"/>
      <c r="B953" s="13"/>
      <c r="C953" s="13"/>
    </row>
    <row r="954" spans="1:3" ht="13" x14ac:dyDescent="0.15">
      <c r="A954" s="10"/>
      <c r="B954" s="13"/>
      <c r="C954" s="13"/>
    </row>
    <row r="955" spans="1:3" ht="13" x14ac:dyDescent="0.15">
      <c r="A955" s="10"/>
      <c r="B955" s="13"/>
      <c r="C955" s="13"/>
    </row>
    <row r="956" spans="1:3" ht="13" x14ac:dyDescent="0.15">
      <c r="A956" s="10"/>
      <c r="B956" s="13"/>
      <c r="C956" s="13"/>
    </row>
    <row r="957" spans="1:3" ht="13" x14ac:dyDescent="0.15">
      <c r="A957" s="10"/>
      <c r="B957" s="13"/>
      <c r="C957" s="13"/>
    </row>
    <row r="958" spans="1:3" ht="13" x14ac:dyDescent="0.15">
      <c r="A958" s="10"/>
      <c r="B958" s="13"/>
      <c r="C958" s="13"/>
    </row>
    <row r="959" spans="1:3" ht="13" x14ac:dyDescent="0.15">
      <c r="A959" s="10"/>
      <c r="B959" s="13"/>
      <c r="C959" s="13"/>
    </row>
    <row r="960" spans="1:3" ht="13" x14ac:dyDescent="0.15">
      <c r="A960" s="10"/>
      <c r="B960" s="13"/>
      <c r="C960" s="13"/>
    </row>
    <row r="961" spans="1:3" ht="13" x14ac:dyDescent="0.15">
      <c r="A961" s="10"/>
      <c r="B961" s="13"/>
      <c r="C961" s="13"/>
    </row>
    <row r="962" spans="1:3" ht="13" x14ac:dyDescent="0.15">
      <c r="A962" s="10"/>
      <c r="B962" s="13"/>
      <c r="C962" s="13"/>
    </row>
    <row r="963" spans="1:3" ht="13" x14ac:dyDescent="0.15">
      <c r="A963" s="10"/>
      <c r="B963" s="13"/>
      <c r="C963" s="13"/>
    </row>
    <row r="964" spans="1:3" ht="13" x14ac:dyDescent="0.15">
      <c r="A964" s="10"/>
      <c r="B964" s="13"/>
      <c r="C964" s="13"/>
    </row>
    <row r="965" spans="1:3" ht="13" x14ac:dyDescent="0.15">
      <c r="A965" s="10"/>
      <c r="B965" s="13"/>
      <c r="C965" s="13"/>
    </row>
    <row r="966" spans="1:3" ht="13" x14ac:dyDescent="0.15">
      <c r="A966" s="10"/>
      <c r="B966" s="13"/>
      <c r="C966" s="13"/>
    </row>
    <row r="967" spans="1:3" ht="13" x14ac:dyDescent="0.15">
      <c r="A967" s="10"/>
      <c r="B967" s="13"/>
      <c r="C967" s="13"/>
    </row>
    <row r="968" spans="1:3" ht="13" x14ac:dyDescent="0.15">
      <c r="A968" s="10"/>
      <c r="B968" s="13"/>
      <c r="C968" s="13"/>
    </row>
    <row r="969" spans="1:3" ht="13" x14ac:dyDescent="0.15">
      <c r="A969" s="10"/>
      <c r="B969" s="13"/>
      <c r="C969" s="13"/>
    </row>
    <row r="970" spans="1:3" ht="13" x14ac:dyDescent="0.15">
      <c r="A970" s="10"/>
      <c r="B970" s="13"/>
      <c r="C970" s="13"/>
    </row>
    <row r="971" spans="1:3" ht="13" x14ac:dyDescent="0.15">
      <c r="A971" s="10"/>
      <c r="B971" s="13"/>
      <c r="C971" s="13"/>
    </row>
    <row r="972" spans="1:3" ht="13" x14ac:dyDescent="0.15">
      <c r="A972" s="10"/>
      <c r="B972" s="13"/>
      <c r="C972" s="13"/>
    </row>
    <row r="973" spans="1:3" ht="13" x14ac:dyDescent="0.15">
      <c r="A973" s="10"/>
      <c r="B973" s="13"/>
      <c r="C973" s="13"/>
    </row>
    <row r="974" spans="1:3" ht="13" x14ac:dyDescent="0.15">
      <c r="A974" s="10"/>
      <c r="B974" s="13"/>
      <c r="C974" s="13"/>
    </row>
    <row r="975" spans="1:3" ht="13" x14ac:dyDescent="0.15">
      <c r="A975" s="10"/>
      <c r="B975" s="13"/>
      <c r="C975" s="13"/>
    </row>
    <row r="976" spans="1:3" ht="13" x14ac:dyDescent="0.15">
      <c r="A976" s="10"/>
      <c r="B976" s="13"/>
      <c r="C976" s="13"/>
    </row>
    <row r="977" spans="1:3" ht="13" x14ac:dyDescent="0.15">
      <c r="A977" s="10"/>
      <c r="B977" s="13"/>
      <c r="C977" s="13"/>
    </row>
    <row r="978" spans="1:3" ht="13" x14ac:dyDescent="0.15">
      <c r="A978" s="10"/>
      <c r="B978" s="13"/>
      <c r="C978" s="13"/>
    </row>
    <row r="979" spans="1:3" ht="13" x14ac:dyDescent="0.15">
      <c r="A979" s="10"/>
      <c r="B979" s="13"/>
      <c r="C979" s="13"/>
    </row>
    <row r="980" spans="1:3" ht="13" x14ac:dyDescent="0.15">
      <c r="A980" s="10"/>
      <c r="B980" s="13"/>
      <c r="C980" s="13"/>
    </row>
    <row r="981" spans="1:3" ht="13" x14ac:dyDescent="0.15">
      <c r="A981" s="10"/>
      <c r="B981" s="13"/>
      <c r="C981" s="13"/>
    </row>
    <row r="982" spans="1:3" ht="13" x14ac:dyDescent="0.15">
      <c r="A982" s="10"/>
      <c r="B982" s="13"/>
      <c r="C982" s="13"/>
    </row>
    <row r="983" spans="1:3" ht="13" x14ac:dyDescent="0.15">
      <c r="A983" s="10"/>
      <c r="B983" s="13"/>
      <c r="C983" s="13"/>
    </row>
    <row r="984" spans="1:3" ht="13" x14ac:dyDescent="0.15">
      <c r="A984" s="10"/>
      <c r="B984" s="13"/>
      <c r="C984" s="13"/>
    </row>
    <row r="985" spans="1:3" ht="13" x14ac:dyDescent="0.15">
      <c r="A985" s="10"/>
      <c r="B985" s="13"/>
      <c r="C985" s="13"/>
    </row>
    <row r="986" spans="1:3" ht="13" x14ac:dyDescent="0.15">
      <c r="A986" s="10"/>
      <c r="B986" s="13"/>
      <c r="C986" s="13"/>
    </row>
    <row r="987" spans="1:3" ht="13" x14ac:dyDescent="0.15">
      <c r="A987" s="10"/>
      <c r="B987" s="13"/>
      <c r="C987" s="13"/>
    </row>
    <row r="988" spans="1:3" ht="13" x14ac:dyDescent="0.15">
      <c r="A988" s="10"/>
      <c r="B988" s="13"/>
      <c r="C988" s="13"/>
    </row>
    <row r="989" spans="1:3" ht="13" x14ac:dyDescent="0.15">
      <c r="A989" s="10"/>
      <c r="B989" s="13"/>
      <c r="C989" s="13"/>
    </row>
    <row r="990" spans="1:3" ht="13" x14ac:dyDescent="0.15">
      <c r="A990" s="10"/>
      <c r="B990" s="13"/>
      <c r="C990" s="13"/>
    </row>
    <row r="991" spans="1:3" ht="13" x14ac:dyDescent="0.15">
      <c r="A991" s="10"/>
      <c r="B991" s="13"/>
      <c r="C991" s="13"/>
    </row>
    <row r="992" spans="1:3" ht="13" x14ac:dyDescent="0.15">
      <c r="A992" s="10"/>
      <c r="B992" s="13"/>
      <c r="C992" s="13"/>
    </row>
    <row r="993" spans="1:3" ht="13" x14ac:dyDescent="0.15">
      <c r="A993" s="10"/>
      <c r="B993" s="13"/>
      <c r="C993" s="13"/>
    </row>
    <row r="994" spans="1:3" ht="13" x14ac:dyDescent="0.15">
      <c r="A994" s="10"/>
      <c r="B994" s="13"/>
      <c r="C994" s="13"/>
    </row>
    <row r="995" spans="1:3" ht="13" x14ac:dyDescent="0.15">
      <c r="A995" s="10"/>
      <c r="B995" s="13"/>
      <c r="C995" s="13"/>
    </row>
    <row r="996" spans="1:3" ht="13" x14ac:dyDescent="0.15">
      <c r="A996" s="10"/>
      <c r="B996" s="13"/>
      <c r="C996" s="13"/>
    </row>
    <row r="997" spans="1:3" ht="13" x14ac:dyDescent="0.15">
      <c r="A997" s="10"/>
      <c r="B997" s="13"/>
      <c r="C997" s="13"/>
    </row>
  </sheetData>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outlinePr summaryBelow="0" summaryRight="0"/>
  </sheetPr>
  <dimension ref="A1:D997"/>
  <sheetViews>
    <sheetView workbookViewId="0"/>
  </sheetViews>
  <sheetFormatPr baseColWidth="10" defaultColWidth="12.6640625" defaultRowHeight="15.75" customHeight="1" x14ac:dyDescent="0.15"/>
  <cols>
    <col min="1" max="1" width="71.5" customWidth="1"/>
    <col min="2" max="4" width="37.6640625" customWidth="1"/>
  </cols>
  <sheetData>
    <row r="1" spans="1:4" ht="15.75" customHeight="1" x14ac:dyDescent="0.15">
      <c r="A1" s="1"/>
      <c r="B1" s="10" t="str">
        <f ca="1">IFERROR(__xludf.DUMMYFUNCTION("IMPORTRANGE(""https://docs.google.com/spreadsheets/u/0/d/1v3alDV9sI-Ng7OoZouCf4a0CI5tv_Xg2T3WprxxRGRs"", ""A93!B1:B22"")"),"Tyler")</f>
        <v>Tyler</v>
      </c>
      <c r="C1" s="10" t="str">
        <f ca="1">IFERROR(__xludf.DUMMYFUNCTION("IMPORTRANGE(""https://docs.google.com/spreadsheets/u/0/d/1tjgC5crHxYL6PIwdjQvl-Lz18xb2WRifl2-5aQ8KGT8"", ""A93!B1:B22"")"),"Jake Stafford")</f>
        <v>Jake Stafford</v>
      </c>
      <c r="D1" s="2" t="s">
        <v>1</v>
      </c>
    </row>
    <row r="2" spans="1:4" ht="15.75" customHeight="1" x14ac:dyDescent="0.15">
      <c r="A2" s="3" t="s">
        <v>2</v>
      </c>
      <c r="B2" s="15" t="str">
        <f ca="1">IFERROR(__xludf.DUMMYFUNCTION("""COMPUTED_VALUE"""),"55173 - 55427 FOW")</f>
        <v>55173 - 55427 FOW</v>
      </c>
      <c r="C2" s="15" t="str">
        <f ca="1">IFERROR(__xludf.DUMMYFUNCTION("""COMPUTED_VALUE"""),"Start: 55173 Stop:55427 FOR")</f>
        <v>Start: 55173 Stop:55427 FOR</v>
      </c>
      <c r="D2" s="4"/>
    </row>
    <row r="3" spans="1:4" ht="15.75" customHeight="1" x14ac:dyDescent="0.15">
      <c r="A3" s="5" t="s">
        <v>3</v>
      </c>
      <c r="B3" s="17" t="str">
        <f ca="1">IFERROR(__xludf.DUMMYFUNCTION("""COMPUTED_VALUE"""),"DNA Master_92
Phamerator_93")</f>
        <v>DNA Master_92
Phamerator_93</v>
      </c>
      <c r="C3" s="17" t="str">
        <f ca="1">IFERROR(__xludf.DUMMYFUNCTION("""COMPUTED_VALUE"""),"93 in Pham, 92 in DNAM")</f>
        <v>93 in Pham, 92 in DNAM</v>
      </c>
      <c r="D3" s="6"/>
    </row>
    <row r="4" spans="1:4" ht="15.75" customHeight="1" x14ac:dyDescent="0.15">
      <c r="A4" s="5" t="s">
        <v>4</v>
      </c>
      <c r="B4" s="17" t="str">
        <f ca="1">IFERROR(__xludf.DUMMYFUNCTION("""COMPUTED_VALUE"""),"87656 3/17/25")</f>
        <v>87656 3/17/25</v>
      </c>
      <c r="C4" s="17" t="str">
        <f ca="1">IFERROR(__xludf.DUMMYFUNCTION("""COMPUTED_VALUE"""),"87656 3/17/25")</f>
        <v>87656 3/17/25</v>
      </c>
      <c r="D4" s="6"/>
    </row>
    <row r="5" spans="1:4" ht="15.75" customHeight="1" x14ac:dyDescent="0.15">
      <c r="A5" s="5" t="s">
        <v>5</v>
      </c>
      <c r="B5" s="17" t="str">
        <f ca="1">IFERROR(__xludf.DUMMYFUNCTION("""COMPUTED_VALUE"""),"kovu_91")</f>
        <v>kovu_91</v>
      </c>
      <c r="C5" s="17" t="str">
        <f ca="1">IFERROR(__xludf.DUMMYFUNCTION("""COMPUTED_VALUE"""),"Kovu_91, Edmundo_90")</f>
        <v>Kovu_91, Edmundo_90</v>
      </c>
      <c r="D5" s="6"/>
    </row>
    <row r="6" spans="1:4" ht="15.75" customHeight="1" x14ac:dyDescent="0.15">
      <c r="A6" s="5" t="s">
        <v>6</v>
      </c>
      <c r="B6" s="17" t="str">
        <f ca="1">IFERROR(__xludf.DUMMYFUNCTION("""COMPUTED_VALUE"""),"both call @bp 55173 strength 10.62")</f>
        <v>both call @bp 55173 strength 10.62</v>
      </c>
      <c r="C6" s="17" t="str">
        <f ca="1">IFERROR(__xludf.DUMMYFUNCTION("""COMPUTED_VALUE"""),"Both Called")</f>
        <v>Both Called</v>
      </c>
      <c r="D6" s="6"/>
    </row>
    <row r="7" spans="1:4" ht="15.75" customHeight="1" x14ac:dyDescent="0.15">
      <c r="A7" s="5" t="s">
        <v>7</v>
      </c>
      <c r="B7" s="17" t="str">
        <f ca="1">IFERROR(__xludf.DUMMYFUNCTION("""COMPUTED_VALUE"""),"yes, has good coding potential ")</f>
        <v xml:space="preserve">yes, has good coding potential </v>
      </c>
      <c r="C7" s="17" t="str">
        <f ca="1">IFERROR(__xludf.DUMMYFUNCTION("""COMPUTED_VALUE"""),"Good coding potential, all is included")</f>
        <v>Good coding potential, all is included</v>
      </c>
      <c r="D7" s="6"/>
    </row>
    <row r="8" spans="1:4" ht="15.75" customHeight="1" x14ac:dyDescent="0.15">
      <c r="A8" s="5" t="s">
        <v>8</v>
      </c>
      <c r="B8" s="17" t="str">
        <f ca="1">IFERROR(__xludf.DUMMYFUNCTION("""COMPUTED_VALUE"""),"yes")</f>
        <v>yes</v>
      </c>
      <c r="C8" s="17" t="str">
        <f ca="1">IFERROR(__xludf.DUMMYFUNCTION("""COMPUTED_VALUE"""),"Yes")</f>
        <v>Yes</v>
      </c>
      <c r="D8" s="6"/>
    </row>
    <row r="9" spans="1:4" ht="15.75" customHeight="1" x14ac:dyDescent="0.15">
      <c r="A9" s="5" t="s">
        <v>9</v>
      </c>
      <c r="B9" s="17" t="str">
        <f ca="1">IFERROR(__xludf.DUMMYFUNCTION("""COMPUTED_VALUE"""),"gap of about 25 nt")</f>
        <v>gap of about 25 nt</v>
      </c>
      <c r="C9" s="17" t="str">
        <f ca="1">IFERROR(__xludf.DUMMYFUNCTION("""COMPUTED_VALUE"""),"Gap of 19 nucleotides")</f>
        <v>Gap of 19 nucleotides</v>
      </c>
      <c r="D9" s="6"/>
    </row>
    <row r="10" spans="1:4" ht="15.75" customHeight="1" x14ac:dyDescent="0.15">
      <c r="A10" s="5" t="s">
        <v>10</v>
      </c>
      <c r="B10" s="17" t="str">
        <f ca="1">IFERROR(__xludf.DUMMYFUNCTION("""COMPUTED_VALUE"""),"current start has a good Z score (2.172)
Start with the best Z score would introduce a very large gap")</f>
        <v>current start has a good Z score (2.172)
Start with the best Z score would introduce a very large gap</v>
      </c>
      <c r="C10" s="17" t="str">
        <f ca="1">IFERROR(__xludf.DUMMYFUNCTION("""COMPUTED_VALUE"""),"zscore: 2.172 Best score")</f>
        <v>zscore: 2.172 Best score</v>
      </c>
      <c r="D10" s="6"/>
    </row>
    <row r="11" spans="1:4" ht="15.75" customHeight="1" x14ac:dyDescent="0.15">
      <c r="A11" s="5" t="s">
        <v>11</v>
      </c>
      <c r="B11" s="17" t="str">
        <f ca="1">IFERROR(__xludf.DUMMYFUNCTION("""COMPUTED_VALUE"""),"Kovu_91; 86.90% identity; 1.4E-45; Q:1 T:1
Salgado_91; 68.00% identity; 8.0E-28")</f>
        <v>Kovu_91; 86.90% identity; 1.4E-45; Q:1 T:1
Salgado_91; 68.00% identity; 8.0E-28</v>
      </c>
      <c r="C11" s="17" t="str">
        <f ca="1">IFERROR(__xludf.DUMMYFUNCTION("""COMPUTED_VALUE"""),"Kovu_91, 86.9% identity, 8e-46, Salgado_91, 68% Identity, 8e-28")</f>
        <v>Kovu_91, 86.9% identity, 8e-46, Salgado_91, 68% Identity, 8e-28</v>
      </c>
      <c r="D11" s="6"/>
    </row>
    <row r="12" spans="1:4" ht="15.75" customHeight="1" x14ac:dyDescent="0.15">
      <c r="A12" s="5" t="s">
        <v>12</v>
      </c>
      <c r="B12" s="17" t="str">
        <f ca="1">IFERROR(__xludf.DUMMYFUNCTION("""COMPUTED_VALUE"""),"no, called 7 out of 10 times")</f>
        <v>no, called 7 out of 10 times</v>
      </c>
      <c r="C12" s="17" t="str">
        <f ca="1">IFERROR(__xludf.DUMMYFUNCTION("""COMPUTED_VALUE"""),"Start 3 found in 9/11 genes, called 88.9% of the time when present")</f>
        <v>Start 3 found in 9/11 genes, called 88.9% of the time when present</v>
      </c>
      <c r="D12" s="6"/>
    </row>
    <row r="13" spans="1:4" ht="15.75" customHeight="1" x14ac:dyDescent="0.15">
      <c r="A13" s="5" t="s">
        <v>13</v>
      </c>
      <c r="B13" s="17" t="str">
        <f ca="1">IFERROR(__xludf.DUMMYFUNCTION("""COMPUTED_VALUE"""),"no;has good coding potential, good Z score, good position, and starterator supports")</f>
        <v>no;has good coding potential, good Z score, good position, and starterator supports</v>
      </c>
      <c r="C13" s="17" t="str">
        <f ca="1">IFERROR(__xludf.DUMMYFUNCTION("""COMPUTED_VALUE"""),"No, acceptable gap, good coding potential, best RBS score")</f>
        <v>No, acceptable gap, good coding potential, best RBS score</v>
      </c>
      <c r="D13" s="6"/>
    </row>
    <row r="14" spans="1:4" ht="15.75" customHeight="1" x14ac:dyDescent="0.15">
      <c r="A14" s="5" t="s">
        <v>14</v>
      </c>
      <c r="B14" s="17" t="str">
        <f ca="1">IFERROR(__xludf.DUMMYFUNCTION("""COMPUTED_VALUE"""),"Kovu_91  2e-35 
Salgado_91 2e-22 
LiSara_88 3e-22 ")</f>
        <v xml:space="preserve">Kovu_91  2e-35 
Salgado_91 2e-22 
LiSara_88 3e-22 </v>
      </c>
      <c r="C14" s="17" t="str">
        <f ca="1">IFERROR(__xludf.DUMMYFUNCTION("""COMPUTED_VALUE"""),"Kovu_91 evalue:2e-35, Salgado_91, evalue: 2e-22")</f>
        <v>Kovu_91 evalue:2e-35, Salgado_91, evalue: 2e-22</v>
      </c>
      <c r="D14" s="6"/>
    </row>
    <row r="15" spans="1:4" ht="15.75" customHeight="1" x14ac:dyDescent="0.15">
      <c r="A15" s="5" t="s">
        <v>15</v>
      </c>
      <c r="B15" s="17" t="str">
        <f ca="1">IFERROR(__xludf.DUMMYFUNCTION("""COMPUTED_VALUE"""),"helix-turn-helix DNA binding domain
HTH DNA binding domain protein")</f>
        <v>helix-turn-helix DNA binding domain
HTH DNA binding domain protein</v>
      </c>
      <c r="C15" s="17" t="str">
        <f ca="1">IFERROR(__xludf.DUMMYFUNCTION("""COMPUTED_VALUE"""),"Kovu_91 (helix-turn-helix DNA binding domain), Salgado_91 (HTH DNA binding domain protein)")</f>
        <v>Kovu_91 (helix-turn-helix DNA binding domain), Salgado_91 (HTH DNA binding domain protein)</v>
      </c>
      <c r="D15" s="6"/>
    </row>
    <row r="16" spans="1:4" ht="15.75" customHeight="1" x14ac:dyDescent="0.15">
      <c r="A16" s="5" t="s">
        <v>16</v>
      </c>
      <c r="B16" s="17" t="str">
        <f ca="1">IFERROR(__xludf.DUMMYFUNCTION("""COMPUTED_VALUE"""),"Closest genetic environment to Kovu")</f>
        <v>Closest genetic environment to Kovu</v>
      </c>
      <c r="C16" s="17" t="str">
        <f ca="1">IFERROR(__xludf.DUMMYFUNCTION("""COMPUTED_VALUE"""),"yes, genes 91-100")</f>
        <v>yes, genes 91-100</v>
      </c>
      <c r="D16" s="6"/>
    </row>
    <row r="17" spans="1:4" ht="15.75" customHeight="1" x14ac:dyDescent="0.15">
      <c r="A17" s="5" t="s">
        <v>17</v>
      </c>
      <c r="B17" s="17" t="str">
        <f ca="1">IFERROR(__xludf.DUMMYFUNCTION("""COMPUTED_VALUE"""),"Transcriptional regulator WhiB; RNA polymerase, Transcription factor, Iron cluster, TRANSCRIPTION-TRANSFERASE-DNA complex;
Probability:99.74%
% alignment Q: 61.11%
% alignment T: 75.86
Whib ; Transcription factor WhiB
Probability:99.75%
% alignment Q:58."&amp;"33
% alignment T: 98.44
")</f>
        <v xml:space="preserve">Transcriptional regulator WhiB; RNA polymerase, Transcription factor, Iron cluster, TRANSCRIPTION-TRANSFERASE-DNA complex;
Probability:99.74%
% alignment Q: 61.11%
% alignment T: 75.86
Whib ; Transcription factor WhiB
Probability:99.75%
% alignment Q:58.33
% alignment T: 98.44
</v>
      </c>
      <c r="C17" s="17" t="str">
        <f ca="1">IFERROR(__xludf.DUMMYFUNCTION("""COMPUTED_VALUE"""),"RNA polymerase sigma-E factor; regulation, DNA-BINDING, TRANSMEMBRANE, TRANSCRIPTION; 2.0A {Escherichia coli} SCOP: l.1. probability 98.93% allq: 73.81%, allT: 32%, functional domain is within the target part of the alignment")</f>
        <v>RNA polymerase sigma-E factor; regulation, DNA-BINDING, TRANSMEMBRANE, TRANSCRIPTION; 2.0A {Escherichia coli} SCOP: l.1. probability 98.93% allq: 73.81%, allT: 32%, functional domain is within the target part of the alignment</v>
      </c>
      <c r="D17" s="6"/>
    </row>
    <row r="18" spans="1:4" ht="15.75" customHeight="1" x14ac:dyDescent="0.15">
      <c r="A18" s="5" t="s">
        <v>18</v>
      </c>
      <c r="B18" s="17" t="str">
        <f ca="1">IFERROR(__xludf.DUMMYFUNCTION("""COMPUTED_VALUE"""),"no")</f>
        <v>no</v>
      </c>
      <c r="C18" s="17" t="str">
        <f ca="1">IFERROR(__xludf.DUMMYFUNCTION("""COMPUTED_VALUE"""),"None")</f>
        <v>None</v>
      </c>
      <c r="D18" s="6"/>
    </row>
    <row r="19" spans="1:4" ht="15.75" customHeight="1" x14ac:dyDescent="0.15">
      <c r="A19" s="5" t="s">
        <v>19</v>
      </c>
      <c r="B19" s="17" t="str">
        <f ca="1">IFERROR(__xludf.DUMMYFUNCTION("""COMPUTED_VALUE"""),"no")</f>
        <v>no</v>
      </c>
      <c r="C19" s="17" t="str">
        <f ca="1">IFERROR(__xludf.DUMMYFUNCTION("""COMPUTED_VALUE"""),"None")</f>
        <v>None</v>
      </c>
      <c r="D19" s="6"/>
    </row>
    <row r="20" spans="1:4" ht="15.75" customHeight="1" x14ac:dyDescent="0.15">
      <c r="A20" s="5" t="s">
        <v>20</v>
      </c>
      <c r="B20" s="17" t="str">
        <f ca="1">IFERROR(__xludf.DUMMYFUNCTION("""COMPUTED_VALUE"""),"WhiB family transcription factor, no functional domain identified, support from HHpred")</f>
        <v>WhiB family transcription factor, no functional domain identified, support from HHpred</v>
      </c>
      <c r="C20" s="17" t="str">
        <f ca="1">IFERROR(__xludf.DUMMYFUNCTION("""COMPUTED_VALUE"""),"I think this gene's function is a HTH DNA Binding domain, homologous gene's such as Kovu which has good synteny with ApoKipo and synteny have the function, HTH DNA binding domain protein")</f>
        <v>I think this gene's function is a HTH DNA Binding domain, homologous gene's such as Kovu which has good synteny with ApoKipo and synteny have the function, HTH DNA binding domain protein</v>
      </c>
      <c r="D20" s="6"/>
    </row>
    <row r="21" spans="1:4" x14ac:dyDescent="0.2">
      <c r="A21" s="7"/>
      <c r="B21" s="19"/>
      <c r="C21" s="19"/>
      <c r="D21" s="8"/>
    </row>
    <row r="22" spans="1:4" ht="15.75" customHeight="1" x14ac:dyDescent="0.15">
      <c r="A22" s="9" t="s">
        <v>21</v>
      </c>
      <c r="B22" s="19"/>
      <c r="C22" s="19"/>
      <c r="D22" s="8"/>
    </row>
    <row r="23" spans="1:4" ht="15.75" customHeight="1" x14ac:dyDescent="0.15">
      <c r="A23" s="10"/>
      <c r="B23" s="13"/>
      <c r="C23" s="13"/>
    </row>
    <row r="24" spans="1:4" ht="15.75" customHeight="1" x14ac:dyDescent="0.15">
      <c r="A24" s="10"/>
      <c r="B24" s="13"/>
      <c r="C24" s="13"/>
    </row>
    <row r="25" spans="1:4" ht="15.75" customHeight="1" x14ac:dyDescent="0.15">
      <c r="A25" s="10"/>
      <c r="B25" s="13"/>
      <c r="C25" s="13"/>
    </row>
    <row r="26" spans="1:4" ht="15.75" customHeight="1" x14ac:dyDescent="0.15">
      <c r="A26" s="10"/>
      <c r="B26" s="13"/>
      <c r="C26" s="13"/>
    </row>
    <row r="27" spans="1:4" ht="15.75" customHeight="1" x14ac:dyDescent="0.15">
      <c r="A27" s="10"/>
      <c r="B27" s="13"/>
      <c r="C27" s="13"/>
    </row>
    <row r="28" spans="1:4" ht="15.75" customHeight="1" x14ac:dyDescent="0.15">
      <c r="A28" s="10"/>
      <c r="B28" s="13"/>
      <c r="C28" s="13"/>
    </row>
    <row r="29" spans="1:4" ht="15.75" customHeight="1" x14ac:dyDescent="0.15">
      <c r="A29" s="10"/>
      <c r="B29" s="13"/>
      <c r="C29" s="13"/>
    </row>
    <row r="30" spans="1:4" ht="15.75" customHeight="1" x14ac:dyDescent="0.15">
      <c r="A30" s="10"/>
      <c r="B30" s="13"/>
      <c r="C30" s="13"/>
    </row>
    <row r="31" spans="1:4" ht="15.75" customHeight="1" x14ac:dyDescent="0.15">
      <c r="A31" s="10"/>
      <c r="B31" s="13"/>
      <c r="C31" s="13"/>
    </row>
    <row r="32" spans="1:4" ht="15.75" customHeight="1" x14ac:dyDescent="0.15">
      <c r="A32" s="10"/>
      <c r="B32" s="13"/>
      <c r="C32" s="13"/>
    </row>
    <row r="33" spans="1:3" ht="15.75" customHeight="1" x14ac:dyDescent="0.15">
      <c r="A33" s="10"/>
      <c r="B33" s="13"/>
      <c r="C33" s="13"/>
    </row>
    <row r="34" spans="1:3" ht="15.75" customHeight="1" x14ac:dyDescent="0.15">
      <c r="A34" s="10"/>
      <c r="B34" s="13"/>
      <c r="C34" s="13"/>
    </row>
    <row r="35" spans="1:3" ht="15.75" customHeight="1" x14ac:dyDescent="0.15">
      <c r="A35" s="10"/>
      <c r="B35" s="13"/>
      <c r="C35" s="13"/>
    </row>
    <row r="36" spans="1:3" ht="15.75" customHeight="1" x14ac:dyDescent="0.15">
      <c r="A36" s="10"/>
      <c r="B36" s="13"/>
      <c r="C36" s="13"/>
    </row>
    <row r="37" spans="1:3" ht="15.75" customHeight="1" x14ac:dyDescent="0.15">
      <c r="A37" s="10"/>
      <c r="B37" s="13"/>
      <c r="C37" s="13"/>
    </row>
    <row r="38" spans="1:3" ht="15.75" customHeight="1" x14ac:dyDescent="0.15">
      <c r="A38" s="10"/>
      <c r="B38" s="13"/>
      <c r="C38" s="13"/>
    </row>
    <row r="39" spans="1:3" ht="13" x14ac:dyDescent="0.15">
      <c r="A39" s="10"/>
      <c r="B39" s="13"/>
      <c r="C39" s="13"/>
    </row>
    <row r="40" spans="1:3" ht="13" x14ac:dyDescent="0.15">
      <c r="A40" s="10"/>
      <c r="B40" s="13"/>
      <c r="C40" s="13"/>
    </row>
    <row r="41" spans="1:3" ht="13" x14ac:dyDescent="0.15">
      <c r="A41" s="10"/>
      <c r="B41" s="13"/>
      <c r="C41" s="13"/>
    </row>
    <row r="42" spans="1:3" ht="13" x14ac:dyDescent="0.15">
      <c r="A42" s="10"/>
      <c r="B42" s="13"/>
      <c r="C42" s="13"/>
    </row>
    <row r="43" spans="1:3" ht="13" x14ac:dyDescent="0.15">
      <c r="A43" s="10"/>
      <c r="B43" s="13"/>
      <c r="C43" s="13"/>
    </row>
    <row r="44" spans="1:3" ht="13" x14ac:dyDescent="0.15">
      <c r="A44" s="10"/>
      <c r="B44" s="13"/>
      <c r="C44" s="13"/>
    </row>
    <row r="45" spans="1:3" ht="13" x14ac:dyDescent="0.15">
      <c r="A45" s="10"/>
      <c r="B45" s="13"/>
      <c r="C45" s="13"/>
    </row>
    <row r="46" spans="1:3" ht="13" x14ac:dyDescent="0.15">
      <c r="A46" s="10"/>
      <c r="B46" s="13"/>
      <c r="C46" s="13"/>
    </row>
    <row r="47" spans="1:3" ht="13" x14ac:dyDescent="0.15">
      <c r="A47" s="10"/>
      <c r="B47" s="13"/>
      <c r="C47" s="13"/>
    </row>
    <row r="48" spans="1:3" ht="13" x14ac:dyDescent="0.15">
      <c r="A48" s="10"/>
      <c r="B48" s="13"/>
      <c r="C48" s="13"/>
    </row>
    <row r="49" spans="1:3" ht="13" x14ac:dyDescent="0.15">
      <c r="A49" s="10"/>
      <c r="B49" s="13"/>
      <c r="C49" s="13"/>
    </row>
    <row r="50" spans="1:3" ht="13" x14ac:dyDescent="0.15">
      <c r="A50" s="10"/>
      <c r="B50" s="13"/>
      <c r="C50" s="13"/>
    </row>
    <row r="51" spans="1:3" ht="13" x14ac:dyDescent="0.15">
      <c r="A51" s="10"/>
      <c r="B51" s="13"/>
      <c r="C51" s="13"/>
    </row>
    <row r="52" spans="1:3" ht="13" x14ac:dyDescent="0.15">
      <c r="A52" s="10"/>
      <c r="B52" s="13"/>
      <c r="C52" s="13"/>
    </row>
    <row r="53" spans="1:3" ht="13" x14ac:dyDescent="0.15">
      <c r="A53" s="10"/>
      <c r="B53" s="13"/>
      <c r="C53" s="13"/>
    </row>
    <row r="54" spans="1:3" ht="13" x14ac:dyDescent="0.15">
      <c r="A54" s="10"/>
      <c r="B54" s="13"/>
      <c r="C54" s="13"/>
    </row>
    <row r="55" spans="1:3" ht="13" x14ac:dyDescent="0.15">
      <c r="A55" s="10"/>
      <c r="B55" s="13"/>
      <c r="C55" s="13"/>
    </row>
    <row r="56" spans="1:3" ht="13" x14ac:dyDescent="0.15">
      <c r="A56" s="10"/>
      <c r="B56" s="13"/>
      <c r="C56" s="13"/>
    </row>
    <row r="57" spans="1:3" ht="13" x14ac:dyDescent="0.15">
      <c r="A57" s="10"/>
      <c r="B57" s="13"/>
      <c r="C57" s="13"/>
    </row>
    <row r="58" spans="1:3" ht="13" x14ac:dyDescent="0.15">
      <c r="A58" s="10"/>
      <c r="B58" s="13"/>
      <c r="C58" s="13"/>
    </row>
    <row r="59" spans="1:3" ht="13" x14ac:dyDescent="0.15">
      <c r="A59" s="10"/>
      <c r="B59" s="13"/>
      <c r="C59" s="13"/>
    </row>
    <row r="60" spans="1:3" ht="13" x14ac:dyDescent="0.15">
      <c r="A60" s="10"/>
      <c r="B60" s="13"/>
      <c r="C60" s="13"/>
    </row>
    <row r="61" spans="1:3" ht="13" x14ac:dyDescent="0.15">
      <c r="A61" s="10"/>
      <c r="B61" s="13"/>
      <c r="C61" s="13"/>
    </row>
    <row r="62" spans="1:3" ht="13" x14ac:dyDescent="0.15">
      <c r="A62" s="10"/>
      <c r="B62" s="13"/>
      <c r="C62" s="13"/>
    </row>
    <row r="63" spans="1:3" ht="13" x14ac:dyDescent="0.15">
      <c r="A63" s="10"/>
      <c r="B63" s="13"/>
      <c r="C63" s="13"/>
    </row>
    <row r="64" spans="1:3" ht="13" x14ac:dyDescent="0.15">
      <c r="A64" s="10"/>
      <c r="B64" s="13"/>
      <c r="C64" s="13"/>
    </row>
    <row r="65" spans="1:3" ht="13" x14ac:dyDescent="0.15">
      <c r="A65" s="10"/>
      <c r="B65" s="13"/>
      <c r="C65" s="13"/>
    </row>
    <row r="66" spans="1:3" ht="13" x14ac:dyDescent="0.15">
      <c r="A66" s="10"/>
      <c r="B66" s="13"/>
      <c r="C66" s="13"/>
    </row>
    <row r="67" spans="1:3" ht="13" x14ac:dyDescent="0.15">
      <c r="A67" s="10"/>
      <c r="B67" s="13"/>
      <c r="C67" s="13"/>
    </row>
    <row r="68" spans="1:3" ht="13" x14ac:dyDescent="0.15">
      <c r="A68" s="10"/>
      <c r="B68" s="13"/>
      <c r="C68" s="13"/>
    </row>
    <row r="69" spans="1:3" ht="13" x14ac:dyDescent="0.15">
      <c r="A69" s="10"/>
      <c r="B69" s="13"/>
      <c r="C69" s="13"/>
    </row>
    <row r="70" spans="1:3" ht="13" x14ac:dyDescent="0.15">
      <c r="A70" s="10"/>
      <c r="B70" s="13"/>
      <c r="C70" s="13"/>
    </row>
    <row r="71" spans="1:3" ht="13" x14ac:dyDescent="0.15">
      <c r="A71" s="10"/>
      <c r="B71" s="13"/>
      <c r="C71" s="13"/>
    </row>
    <row r="72" spans="1:3" ht="13" x14ac:dyDescent="0.15">
      <c r="A72" s="10"/>
      <c r="B72" s="13"/>
      <c r="C72" s="13"/>
    </row>
    <row r="73" spans="1:3" ht="13" x14ac:dyDescent="0.15">
      <c r="A73" s="10"/>
      <c r="B73" s="13"/>
      <c r="C73" s="13"/>
    </row>
    <row r="74" spans="1:3" ht="13" x14ac:dyDescent="0.15">
      <c r="A74" s="10"/>
      <c r="B74" s="13"/>
      <c r="C74" s="13"/>
    </row>
    <row r="75" spans="1:3" ht="13" x14ac:dyDescent="0.15">
      <c r="A75" s="10"/>
      <c r="B75" s="13"/>
      <c r="C75" s="13"/>
    </row>
    <row r="76" spans="1:3" ht="13" x14ac:dyDescent="0.15">
      <c r="A76" s="10"/>
      <c r="B76" s="13"/>
      <c r="C76" s="13"/>
    </row>
    <row r="77" spans="1:3" ht="13" x14ac:dyDescent="0.15">
      <c r="A77" s="10"/>
      <c r="B77" s="13"/>
      <c r="C77" s="13"/>
    </row>
    <row r="78" spans="1:3" ht="13" x14ac:dyDescent="0.15">
      <c r="A78" s="10"/>
      <c r="B78" s="13"/>
      <c r="C78" s="13"/>
    </row>
    <row r="79" spans="1:3" ht="13" x14ac:dyDescent="0.15">
      <c r="A79" s="10"/>
      <c r="B79" s="13"/>
      <c r="C79" s="13"/>
    </row>
    <row r="80" spans="1:3" ht="13" x14ac:dyDescent="0.15">
      <c r="A80" s="10"/>
      <c r="B80" s="13"/>
      <c r="C80" s="13"/>
    </row>
    <row r="81" spans="1:3" ht="13" x14ac:dyDescent="0.15">
      <c r="A81" s="10"/>
      <c r="B81" s="13"/>
      <c r="C81" s="13"/>
    </row>
    <row r="82" spans="1:3" ht="13" x14ac:dyDescent="0.15">
      <c r="A82" s="10"/>
      <c r="B82" s="13"/>
      <c r="C82" s="13"/>
    </row>
    <row r="83" spans="1:3" ht="13" x14ac:dyDescent="0.15">
      <c r="A83" s="10"/>
      <c r="B83" s="13"/>
      <c r="C83" s="13"/>
    </row>
    <row r="84" spans="1:3" ht="13" x14ac:dyDescent="0.15">
      <c r="A84" s="10"/>
      <c r="B84" s="13"/>
      <c r="C84" s="13"/>
    </row>
    <row r="85" spans="1:3" ht="13" x14ac:dyDescent="0.15">
      <c r="A85" s="10"/>
      <c r="B85" s="13"/>
      <c r="C85" s="13"/>
    </row>
    <row r="86" spans="1:3" ht="13" x14ac:dyDescent="0.15">
      <c r="A86" s="10"/>
      <c r="B86" s="13"/>
      <c r="C86" s="13"/>
    </row>
    <row r="87" spans="1:3" ht="13" x14ac:dyDescent="0.15">
      <c r="A87" s="10"/>
      <c r="B87" s="13"/>
      <c r="C87" s="13"/>
    </row>
    <row r="88" spans="1:3" ht="13" x14ac:dyDescent="0.15">
      <c r="A88" s="10"/>
      <c r="B88" s="13"/>
      <c r="C88" s="13"/>
    </row>
    <row r="89" spans="1:3" ht="13" x14ac:dyDescent="0.15">
      <c r="A89" s="10"/>
      <c r="B89" s="13"/>
      <c r="C89" s="13"/>
    </row>
    <row r="90" spans="1:3" ht="13" x14ac:dyDescent="0.15">
      <c r="A90" s="10"/>
      <c r="B90" s="13"/>
      <c r="C90" s="13"/>
    </row>
    <row r="91" spans="1:3" ht="13" x14ac:dyDescent="0.15">
      <c r="A91" s="10"/>
      <c r="B91" s="13"/>
      <c r="C91" s="13"/>
    </row>
    <row r="92" spans="1:3" ht="13" x14ac:dyDescent="0.15">
      <c r="A92" s="10"/>
      <c r="B92" s="13"/>
      <c r="C92" s="13"/>
    </row>
    <row r="93" spans="1:3" ht="13" x14ac:dyDescent="0.15">
      <c r="A93" s="10"/>
      <c r="B93" s="13"/>
      <c r="C93" s="13"/>
    </row>
    <row r="94" spans="1:3" ht="13" x14ac:dyDescent="0.15">
      <c r="A94" s="10"/>
      <c r="B94" s="13"/>
      <c r="C94" s="13"/>
    </row>
    <row r="95" spans="1:3" ht="13" x14ac:dyDescent="0.15">
      <c r="A95" s="10"/>
      <c r="B95" s="13"/>
      <c r="C95" s="13"/>
    </row>
    <row r="96" spans="1:3" ht="13" x14ac:dyDescent="0.15">
      <c r="A96" s="10"/>
      <c r="B96" s="13"/>
      <c r="C96" s="13"/>
    </row>
    <row r="97" spans="1:3" ht="13" x14ac:dyDescent="0.15">
      <c r="A97" s="10"/>
      <c r="B97" s="13"/>
      <c r="C97" s="13"/>
    </row>
    <row r="98" spans="1:3" ht="13" x14ac:dyDescent="0.15">
      <c r="A98" s="10"/>
      <c r="B98" s="13"/>
      <c r="C98" s="13"/>
    </row>
    <row r="99" spans="1:3" ht="13" x14ac:dyDescent="0.15">
      <c r="A99" s="10"/>
      <c r="B99" s="13"/>
      <c r="C99" s="13"/>
    </row>
    <row r="100" spans="1:3" ht="13" x14ac:dyDescent="0.15">
      <c r="A100" s="10"/>
      <c r="B100" s="13"/>
      <c r="C100" s="13"/>
    </row>
    <row r="101" spans="1:3" ht="13" x14ac:dyDescent="0.15">
      <c r="A101" s="10"/>
      <c r="B101" s="13"/>
      <c r="C101" s="13"/>
    </row>
    <row r="102" spans="1:3" ht="13" x14ac:dyDescent="0.15">
      <c r="A102" s="10"/>
      <c r="B102" s="13"/>
      <c r="C102" s="13"/>
    </row>
    <row r="103" spans="1:3" ht="13" x14ac:dyDescent="0.15">
      <c r="A103" s="10"/>
      <c r="B103" s="13"/>
      <c r="C103" s="13"/>
    </row>
    <row r="104" spans="1:3" ht="13" x14ac:dyDescent="0.15">
      <c r="A104" s="10"/>
      <c r="B104" s="13"/>
      <c r="C104" s="13"/>
    </row>
    <row r="105" spans="1:3" ht="13" x14ac:dyDescent="0.15">
      <c r="A105" s="10"/>
      <c r="B105" s="13"/>
      <c r="C105" s="13"/>
    </row>
    <row r="106" spans="1:3" ht="13" x14ac:dyDescent="0.15">
      <c r="A106" s="10"/>
      <c r="B106" s="13"/>
      <c r="C106" s="13"/>
    </row>
    <row r="107" spans="1:3" ht="13" x14ac:dyDescent="0.15">
      <c r="A107" s="10"/>
      <c r="B107" s="13"/>
      <c r="C107" s="13"/>
    </row>
    <row r="108" spans="1:3" ht="13" x14ac:dyDescent="0.15">
      <c r="A108" s="10"/>
      <c r="B108" s="13"/>
      <c r="C108" s="13"/>
    </row>
    <row r="109" spans="1:3" ht="13" x14ac:dyDescent="0.15">
      <c r="A109" s="10"/>
      <c r="B109" s="13"/>
      <c r="C109" s="13"/>
    </row>
    <row r="110" spans="1:3" ht="13" x14ac:dyDescent="0.15">
      <c r="A110" s="10"/>
      <c r="B110" s="13"/>
      <c r="C110" s="13"/>
    </row>
    <row r="111" spans="1:3" ht="13" x14ac:dyDescent="0.15">
      <c r="A111" s="10"/>
      <c r="B111" s="13"/>
      <c r="C111" s="13"/>
    </row>
    <row r="112" spans="1:3" ht="13" x14ac:dyDescent="0.15">
      <c r="A112" s="10"/>
      <c r="B112" s="13"/>
      <c r="C112" s="13"/>
    </row>
    <row r="113" spans="1:3" ht="13" x14ac:dyDescent="0.15">
      <c r="A113" s="10"/>
      <c r="B113" s="13"/>
      <c r="C113" s="13"/>
    </row>
    <row r="114" spans="1:3" ht="13" x14ac:dyDescent="0.15">
      <c r="A114" s="10"/>
      <c r="B114" s="13"/>
      <c r="C114" s="13"/>
    </row>
    <row r="115" spans="1:3" ht="13" x14ac:dyDescent="0.15">
      <c r="A115" s="10"/>
      <c r="B115" s="13"/>
      <c r="C115" s="13"/>
    </row>
    <row r="116" spans="1:3" ht="13" x14ac:dyDescent="0.15">
      <c r="A116" s="10"/>
      <c r="B116" s="13"/>
      <c r="C116" s="13"/>
    </row>
    <row r="117" spans="1:3" ht="13" x14ac:dyDescent="0.15">
      <c r="A117" s="10"/>
      <c r="B117" s="13"/>
      <c r="C117" s="13"/>
    </row>
    <row r="118" spans="1:3" ht="13" x14ac:dyDescent="0.15">
      <c r="A118" s="10"/>
      <c r="B118" s="13"/>
      <c r="C118" s="13"/>
    </row>
    <row r="119" spans="1:3" ht="13" x14ac:dyDescent="0.15">
      <c r="A119" s="10"/>
      <c r="B119" s="13"/>
      <c r="C119" s="13"/>
    </row>
    <row r="120" spans="1:3" ht="13" x14ac:dyDescent="0.15">
      <c r="A120" s="10"/>
      <c r="B120" s="13"/>
      <c r="C120" s="13"/>
    </row>
    <row r="121" spans="1:3" ht="13" x14ac:dyDescent="0.15">
      <c r="A121" s="10"/>
      <c r="B121" s="13"/>
      <c r="C121" s="13"/>
    </row>
    <row r="122" spans="1:3" ht="13" x14ac:dyDescent="0.15">
      <c r="A122" s="10"/>
      <c r="B122" s="13"/>
      <c r="C122" s="13"/>
    </row>
    <row r="123" spans="1:3" ht="13" x14ac:dyDescent="0.15">
      <c r="A123" s="10"/>
      <c r="B123" s="13"/>
      <c r="C123" s="13"/>
    </row>
    <row r="124" spans="1:3" ht="13" x14ac:dyDescent="0.15">
      <c r="A124" s="10"/>
      <c r="B124" s="13"/>
      <c r="C124" s="13"/>
    </row>
    <row r="125" spans="1:3" ht="13" x14ac:dyDescent="0.15">
      <c r="A125" s="10"/>
      <c r="B125" s="13"/>
      <c r="C125" s="13"/>
    </row>
    <row r="126" spans="1:3" ht="13" x14ac:dyDescent="0.15">
      <c r="A126" s="10"/>
      <c r="B126" s="13"/>
      <c r="C126" s="13"/>
    </row>
    <row r="127" spans="1:3" ht="13" x14ac:dyDescent="0.15">
      <c r="A127" s="10"/>
      <c r="B127" s="13"/>
      <c r="C127" s="13"/>
    </row>
    <row r="128" spans="1:3" ht="13" x14ac:dyDescent="0.15">
      <c r="A128" s="10"/>
      <c r="B128" s="13"/>
      <c r="C128" s="13"/>
    </row>
    <row r="129" spans="1:3" ht="13" x14ac:dyDescent="0.15">
      <c r="A129" s="10"/>
      <c r="B129" s="13"/>
      <c r="C129" s="13"/>
    </row>
    <row r="130" spans="1:3" ht="13" x14ac:dyDescent="0.15">
      <c r="A130" s="10"/>
      <c r="B130" s="13"/>
      <c r="C130" s="13"/>
    </row>
    <row r="131" spans="1:3" ht="13" x14ac:dyDescent="0.15">
      <c r="A131" s="10"/>
      <c r="B131" s="13"/>
      <c r="C131" s="13"/>
    </row>
    <row r="132" spans="1:3" ht="13" x14ac:dyDescent="0.15">
      <c r="A132" s="10"/>
      <c r="B132" s="13"/>
      <c r="C132" s="13"/>
    </row>
    <row r="133" spans="1:3" ht="13" x14ac:dyDescent="0.15">
      <c r="A133" s="10"/>
      <c r="B133" s="13"/>
      <c r="C133" s="13"/>
    </row>
    <row r="134" spans="1:3" ht="13" x14ac:dyDescent="0.15">
      <c r="A134" s="10"/>
      <c r="B134" s="13"/>
      <c r="C134" s="13"/>
    </row>
    <row r="135" spans="1:3" ht="13" x14ac:dyDescent="0.15">
      <c r="A135" s="10"/>
      <c r="B135" s="13"/>
      <c r="C135" s="13"/>
    </row>
    <row r="136" spans="1:3" ht="13" x14ac:dyDescent="0.15">
      <c r="A136" s="10"/>
      <c r="B136" s="13"/>
      <c r="C136" s="13"/>
    </row>
    <row r="137" spans="1:3" ht="13" x14ac:dyDescent="0.15">
      <c r="A137" s="10"/>
      <c r="B137" s="13"/>
      <c r="C137" s="13"/>
    </row>
    <row r="138" spans="1:3" ht="13" x14ac:dyDescent="0.15">
      <c r="A138" s="10"/>
      <c r="B138" s="13"/>
      <c r="C138" s="13"/>
    </row>
    <row r="139" spans="1:3" ht="13" x14ac:dyDescent="0.15">
      <c r="A139" s="10"/>
      <c r="B139" s="13"/>
      <c r="C139" s="13"/>
    </row>
    <row r="140" spans="1:3" ht="13" x14ac:dyDescent="0.15">
      <c r="A140" s="10"/>
      <c r="B140" s="13"/>
      <c r="C140" s="13"/>
    </row>
    <row r="141" spans="1:3" ht="13" x14ac:dyDescent="0.15">
      <c r="A141" s="10"/>
      <c r="B141" s="13"/>
      <c r="C141" s="13"/>
    </row>
    <row r="142" spans="1:3" ht="13" x14ac:dyDescent="0.15">
      <c r="A142" s="10"/>
      <c r="B142" s="13"/>
      <c r="C142" s="13"/>
    </row>
    <row r="143" spans="1:3" ht="13" x14ac:dyDescent="0.15">
      <c r="A143" s="10"/>
      <c r="B143" s="13"/>
      <c r="C143" s="13"/>
    </row>
    <row r="144" spans="1:3" ht="13" x14ac:dyDescent="0.15">
      <c r="A144" s="10"/>
      <c r="B144" s="13"/>
      <c r="C144" s="13"/>
    </row>
    <row r="145" spans="1:3" ht="13" x14ac:dyDescent="0.15">
      <c r="A145" s="10"/>
      <c r="B145" s="13"/>
      <c r="C145" s="13"/>
    </row>
    <row r="146" spans="1:3" ht="13" x14ac:dyDescent="0.15">
      <c r="A146" s="10"/>
      <c r="B146" s="13"/>
      <c r="C146" s="13"/>
    </row>
    <row r="147" spans="1:3" ht="13" x14ac:dyDescent="0.15">
      <c r="A147" s="10"/>
      <c r="B147" s="13"/>
      <c r="C147" s="13"/>
    </row>
    <row r="148" spans="1:3" ht="13" x14ac:dyDescent="0.15">
      <c r="A148" s="10"/>
      <c r="B148" s="13"/>
      <c r="C148" s="13"/>
    </row>
    <row r="149" spans="1:3" ht="13" x14ac:dyDescent="0.15">
      <c r="A149" s="10"/>
      <c r="B149" s="13"/>
      <c r="C149" s="13"/>
    </row>
    <row r="150" spans="1:3" ht="13" x14ac:dyDescent="0.15">
      <c r="A150" s="10"/>
      <c r="B150" s="13"/>
      <c r="C150" s="13"/>
    </row>
    <row r="151" spans="1:3" ht="13" x14ac:dyDescent="0.15">
      <c r="A151" s="10"/>
      <c r="B151" s="13"/>
      <c r="C151" s="13"/>
    </row>
    <row r="152" spans="1:3" ht="13" x14ac:dyDescent="0.15">
      <c r="A152" s="10"/>
      <c r="B152" s="13"/>
      <c r="C152" s="13"/>
    </row>
    <row r="153" spans="1:3" ht="13" x14ac:dyDescent="0.15">
      <c r="A153" s="10"/>
      <c r="B153" s="13"/>
      <c r="C153" s="13"/>
    </row>
    <row r="154" spans="1:3" ht="13" x14ac:dyDescent="0.15">
      <c r="A154" s="10"/>
      <c r="B154" s="13"/>
      <c r="C154" s="13"/>
    </row>
    <row r="155" spans="1:3" ht="13" x14ac:dyDescent="0.15">
      <c r="A155" s="10"/>
      <c r="B155" s="13"/>
      <c r="C155" s="13"/>
    </row>
    <row r="156" spans="1:3" ht="13" x14ac:dyDescent="0.15">
      <c r="A156" s="10"/>
      <c r="B156" s="13"/>
      <c r="C156" s="13"/>
    </row>
    <row r="157" spans="1:3" ht="13" x14ac:dyDescent="0.15">
      <c r="A157" s="10"/>
      <c r="B157" s="13"/>
      <c r="C157" s="13"/>
    </row>
    <row r="158" spans="1:3" ht="13" x14ac:dyDescent="0.15">
      <c r="A158" s="10"/>
      <c r="B158" s="13"/>
      <c r="C158" s="13"/>
    </row>
    <row r="159" spans="1:3" ht="13" x14ac:dyDescent="0.15">
      <c r="A159" s="10"/>
      <c r="B159" s="13"/>
      <c r="C159" s="13"/>
    </row>
    <row r="160" spans="1:3" ht="13" x14ac:dyDescent="0.15">
      <c r="A160" s="10"/>
      <c r="B160" s="13"/>
      <c r="C160" s="13"/>
    </row>
    <row r="161" spans="1:3" ht="13" x14ac:dyDescent="0.15">
      <c r="A161" s="10"/>
      <c r="B161" s="13"/>
      <c r="C161" s="13"/>
    </row>
    <row r="162" spans="1:3" ht="13" x14ac:dyDescent="0.15">
      <c r="A162" s="10"/>
      <c r="B162" s="13"/>
      <c r="C162" s="13"/>
    </row>
    <row r="163" spans="1:3" ht="13" x14ac:dyDescent="0.15">
      <c r="A163" s="10"/>
      <c r="B163" s="13"/>
      <c r="C163" s="13"/>
    </row>
    <row r="164" spans="1:3" ht="13" x14ac:dyDescent="0.15">
      <c r="A164" s="10"/>
      <c r="B164" s="13"/>
      <c r="C164" s="13"/>
    </row>
    <row r="165" spans="1:3" ht="13" x14ac:dyDescent="0.15">
      <c r="A165" s="10"/>
      <c r="B165" s="13"/>
      <c r="C165" s="13"/>
    </row>
    <row r="166" spans="1:3" ht="13" x14ac:dyDescent="0.15">
      <c r="A166" s="10"/>
      <c r="B166" s="13"/>
      <c r="C166" s="13"/>
    </row>
    <row r="167" spans="1:3" ht="13" x14ac:dyDescent="0.15">
      <c r="A167" s="10"/>
      <c r="B167" s="13"/>
      <c r="C167" s="13"/>
    </row>
    <row r="168" spans="1:3" ht="13" x14ac:dyDescent="0.15">
      <c r="A168" s="10"/>
      <c r="B168" s="13"/>
      <c r="C168" s="13"/>
    </row>
    <row r="169" spans="1:3" ht="13" x14ac:dyDescent="0.15">
      <c r="A169" s="10"/>
      <c r="B169" s="13"/>
      <c r="C169" s="13"/>
    </row>
    <row r="170" spans="1:3" ht="13" x14ac:dyDescent="0.15">
      <c r="A170" s="10"/>
      <c r="B170" s="13"/>
      <c r="C170" s="13"/>
    </row>
    <row r="171" spans="1:3" ht="13" x14ac:dyDescent="0.15">
      <c r="A171" s="10"/>
      <c r="B171" s="13"/>
      <c r="C171" s="13"/>
    </row>
    <row r="172" spans="1:3" ht="13" x14ac:dyDescent="0.15">
      <c r="A172" s="10"/>
      <c r="B172" s="13"/>
      <c r="C172" s="13"/>
    </row>
    <row r="173" spans="1:3" ht="13" x14ac:dyDescent="0.15">
      <c r="A173" s="10"/>
      <c r="B173" s="13"/>
      <c r="C173" s="13"/>
    </row>
    <row r="174" spans="1:3" ht="13" x14ac:dyDescent="0.15">
      <c r="A174" s="10"/>
      <c r="B174" s="13"/>
      <c r="C174" s="13"/>
    </row>
    <row r="175" spans="1:3" ht="13" x14ac:dyDescent="0.15">
      <c r="A175" s="10"/>
      <c r="B175" s="13"/>
      <c r="C175" s="13"/>
    </row>
    <row r="176" spans="1:3" ht="13" x14ac:dyDescent="0.15">
      <c r="A176" s="10"/>
      <c r="B176" s="13"/>
      <c r="C176" s="13"/>
    </row>
    <row r="177" spans="1:3" ht="13" x14ac:dyDescent="0.15">
      <c r="A177" s="10"/>
      <c r="B177" s="13"/>
      <c r="C177" s="13"/>
    </row>
    <row r="178" spans="1:3" ht="13" x14ac:dyDescent="0.15">
      <c r="A178" s="10"/>
      <c r="B178" s="13"/>
      <c r="C178" s="13"/>
    </row>
    <row r="179" spans="1:3" ht="13" x14ac:dyDescent="0.15">
      <c r="A179" s="10"/>
      <c r="B179" s="13"/>
      <c r="C179" s="13"/>
    </row>
    <row r="180" spans="1:3" ht="13" x14ac:dyDescent="0.15">
      <c r="A180" s="10"/>
      <c r="B180" s="13"/>
      <c r="C180" s="13"/>
    </row>
    <row r="181" spans="1:3" ht="13" x14ac:dyDescent="0.15">
      <c r="A181" s="10"/>
      <c r="B181" s="13"/>
      <c r="C181" s="13"/>
    </row>
    <row r="182" spans="1:3" ht="13" x14ac:dyDescent="0.15">
      <c r="A182" s="10"/>
      <c r="B182" s="13"/>
      <c r="C182" s="13"/>
    </row>
    <row r="183" spans="1:3" ht="13" x14ac:dyDescent="0.15">
      <c r="A183" s="10"/>
      <c r="B183" s="13"/>
      <c r="C183" s="13"/>
    </row>
    <row r="184" spans="1:3" ht="13" x14ac:dyDescent="0.15">
      <c r="A184" s="10"/>
      <c r="B184" s="13"/>
      <c r="C184" s="13"/>
    </row>
    <row r="185" spans="1:3" ht="13" x14ac:dyDescent="0.15">
      <c r="A185" s="10"/>
      <c r="B185" s="13"/>
      <c r="C185" s="13"/>
    </row>
    <row r="186" spans="1:3" ht="13" x14ac:dyDescent="0.15">
      <c r="A186" s="10"/>
      <c r="B186" s="13"/>
      <c r="C186" s="13"/>
    </row>
    <row r="187" spans="1:3" ht="13" x14ac:dyDescent="0.15">
      <c r="A187" s="10"/>
      <c r="B187" s="13"/>
      <c r="C187" s="13"/>
    </row>
    <row r="188" spans="1:3" ht="13" x14ac:dyDescent="0.15">
      <c r="A188" s="10"/>
      <c r="B188" s="13"/>
      <c r="C188" s="13"/>
    </row>
    <row r="189" spans="1:3" ht="13" x14ac:dyDescent="0.15">
      <c r="A189" s="10"/>
      <c r="B189" s="13"/>
      <c r="C189" s="13"/>
    </row>
    <row r="190" spans="1:3" ht="13" x14ac:dyDescent="0.15">
      <c r="A190" s="10"/>
      <c r="B190" s="13"/>
      <c r="C190" s="13"/>
    </row>
    <row r="191" spans="1:3" ht="13" x14ac:dyDescent="0.15">
      <c r="A191" s="10"/>
      <c r="B191" s="13"/>
      <c r="C191" s="13"/>
    </row>
    <row r="192" spans="1:3" ht="13" x14ac:dyDescent="0.15">
      <c r="A192" s="10"/>
      <c r="B192" s="13"/>
      <c r="C192" s="13"/>
    </row>
    <row r="193" spans="1:3" ht="13" x14ac:dyDescent="0.15">
      <c r="A193" s="10"/>
      <c r="B193" s="13"/>
      <c r="C193" s="13"/>
    </row>
    <row r="194" spans="1:3" ht="13" x14ac:dyDescent="0.15">
      <c r="A194" s="10"/>
      <c r="B194" s="13"/>
      <c r="C194" s="13"/>
    </row>
    <row r="195" spans="1:3" ht="13" x14ac:dyDescent="0.15">
      <c r="A195" s="10"/>
      <c r="B195" s="13"/>
      <c r="C195" s="13"/>
    </row>
    <row r="196" spans="1:3" ht="13" x14ac:dyDescent="0.15">
      <c r="A196" s="10"/>
      <c r="B196" s="13"/>
      <c r="C196" s="13"/>
    </row>
    <row r="197" spans="1:3" ht="13" x14ac:dyDescent="0.15">
      <c r="A197" s="10"/>
      <c r="B197" s="13"/>
      <c r="C197" s="13"/>
    </row>
    <row r="198" spans="1:3" ht="13" x14ac:dyDescent="0.15">
      <c r="A198" s="10"/>
      <c r="B198" s="13"/>
      <c r="C198" s="13"/>
    </row>
    <row r="199" spans="1:3" ht="13" x14ac:dyDescent="0.15">
      <c r="A199" s="10"/>
      <c r="B199" s="13"/>
      <c r="C199" s="13"/>
    </row>
    <row r="200" spans="1:3" ht="13" x14ac:dyDescent="0.15">
      <c r="A200" s="10"/>
      <c r="B200" s="13"/>
      <c r="C200" s="13"/>
    </row>
    <row r="201" spans="1:3" ht="13" x14ac:dyDescent="0.15">
      <c r="A201" s="10"/>
      <c r="B201" s="13"/>
      <c r="C201" s="13"/>
    </row>
    <row r="202" spans="1:3" ht="13" x14ac:dyDescent="0.15">
      <c r="A202" s="10"/>
      <c r="B202" s="13"/>
      <c r="C202" s="13"/>
    </row>
    <row r="203" spans="1:3" ht="13" x14ac:dyDescent="0.15">
      <c r="A203" s="10"/>
      <c r="B203" s="13"/>
      <c r="C203" s="13"/>
    </row>
    <row r="204" spans="1:3" ht="13" x14ac:dyDescent="0.15">
      <c r="A204" s="10"/>
      <c r="B204" s="13"/>
      <c r="C204" s="13"/>
    </row>
    <row r="205" spans="1:3" ht="13" x14ac:dyDescent="0.15">
      <c r="A205" s="10"/>
      <c r="B205" s="13"/>
      <c r="C205" s="13"/>
    </row>
    <row r="206" spans="1:3" ht="13" x14ac:dyDescent="0.15">
      <c r="A206" s="10"/>
      <c r="B206" s="13"/>
      <c r="C206" s="13"/>
    </row>
    <row r="207" spans="1:3" ht="13" x14ac:dyDescent="0.15">
      <c r="A207" s="10"/>
      <c r="B207" s="13"/>
      <c r="C207" s="13"/>
    </row>
    <row r="208" spans="1:3" ht="13" x14ac:dyDescent="0.15">
      <c r="A208" s="10"/>
      <c r="B208" s="13"/>
      <c r="C208" s="13"/>
    </row>
    <row r="209" spans="1:3" ht="13" x14ac:dyDescent="0.15">
      <c r="A209" s="10"/>
      <c r="B209" s="13"/>
      <c r="C209" s="13"/>
    </row>
    <row r="210" spans="1:3" ht="13" x14ac:dyDescent="0.15">
      <c r="A210" s="10"/>
      <c r="B210" s="13"/>
      <c r="C210" s="13"/>
    </row>
    <row r="211" spans="1:3" ht="13" x14ac:dyDescent="0.15">
      <c r="A211" s="10"/>
      <c r="B211" s="13"/>
      <c r="C211" s="13"/>
    </row>
    <row r="212" spans="1:3" ht="13" x14ac:dyDescent="0.15">
      <c r="A212" s="10"/>
      <c r="B212" s="13"/>
      <c r="C212" s="13"/>
    </row>
    <row r="213" spans="1:3" ht="13" x14ac:dyDescent="0.15">
      <c r="A213" s="10"/>
      <c r="B213" s="13"/>
      <c r="C213" s="13"/>
    </row>
    <row r="214" spans="1:3" ht="13" x14ac:dyDescent="0.15">
      <c r="A214" s="10"/>
      <c r="B214" s="13"/>
      <c r="C214" s="13"/>
    </row>
    <row r="215" spans="1:3" ht="13" x14ac:dyDescent="0.15">
      <c r="A215" s="10"/>
      <c r="B215" s="13"/>
      <c r="C215" s="13"/>
    </row>
    <row r="216" spans="1:3" ht="13" x14ac:dyDescent="0.15">
      <c r="A216" s="10"/>
      <c r="B216" s="13"/>
      <c r="C216" s="13"/>
    </row>
    <row r="217" spans="1:3" ht="13" x14ac:dyDescent="0.15">
      <c r="A217" s="10"/>
      <c r="B217" s="13"/>
      <c r="C217" s="13"/>
    </row>
    <row r="218" spans="1:3" ht="13" x14ac:dyDescent="0.15">
      <c r="A218" s="10"/>
      <c r="B218" s="13"/>
      <c r="C218" s="13"/>
    </row>
    <row r="219" spans="1:3" ht="13" x14ac:dyDescent="0.15">
      <c r="A219" s="10"/>
      <c r="B219" s="13"/>
      <c r="C219" s="13"/>
    </row>
    <row r="220" spans="1:3" ht="13" x14ac:dyDescent="0.15">
      <c r="A220" s="10"/>
      <c r="B220" s="13"/>
      <c r="C220" s="13"/>
    </row>
    <row r="221" spans="1:3" ht="13" x14ac:dyDescent="0.15">
      <c r="A221" s="10"/>
      <c r="B221" s="13"/>
      <c r="C221" s="13"/>
    </row>
    <row r="222" spans="1:3" ht="13" x14ac:dyDescent="0.15">
      <c r="A222" s="10"/>
      <c r="B222" s="13"/>
      <c r="C222" s="13"/>
    </row>
    <row r="223" spans="1:3" ht="13" x14ac:dyDescent="0.15">
      <c r="A223" s="10"/>
      <c r="B223" s="13"/>
      <c r="C223" s="13"/>
    </row>
    <row r="224" spans="1:3" ht="13" x14ac:dyDescent="0.15">
      <c r="A224" s="10"/>
      <c r="B224" s="13"/>
      <c r="C224" s="13"/>
    </row>
    <row r="225" spans="1:3" ht="13" x14ac:dyDescent="0.15">
      <c r="A225" s="10"/>
      <c r="B225" s="13"/>
      <c r="C225" s="13"/>
    </row>
    <row r="226" spans="1:3" ht="13" x14ac:dyDescent="0.15">
      <c r="A226" s="10"/>
      <c r="B226" s="13"/>
      <c r="C226" s="13"/>
    </row>
    <row r="227" spans="1:3" ht="13" x14ac:dyDescent="0.15">
      <c r="A227" s="10"/>
      <c r="B227" s="13"/>
      <c r="C227" s="13"/>
    </row>
    <row r="228" spans="1:3" ht="13" x14ac:dyDescent="0.15">
      <c r="A228" s="10"/>
      <c r="B228" s="13"/>
      <c r="C228" s="13"/>
    </row>
    <row r="229" spans="1:3" ht="13" x14ac:dyDescent="0.15">
      <c r="A229" s="10"/>
      <c r="B229" s="13"/>
      <c r="C229" s="13"/>
    </row>
    <row r="230" spans="1:3" ht="13" x14ac:dyDescent="0.15">
      <c r="A230" s="10"/>
      <c r="B230" s="13"/>
      <c r="C230" s="13"/>
    </row>
    <row r="231" spans="1:3" ht="13" x14ac:dyDescent="0.15">
      <c r="A231" s="10"/>
      <c r="B231" s="13"/>
      <c r="C231" s="13"/>
    </row>
    <row r="232" spans="1:3" ht="13" x14ac:dyDescent="0.15">
      <c r="A232" s="10"/>
      <c r="B232" s="13"/>
      <c r="C232" s="13"/>
    </row>
    <row r="233" spans="1:3" ht="13" x14ac:dyDescent="0.15">
      <c r="A233" s="10"/>
      <c r="B233" s="13"/>
      <c r="C233" s="13"/>
    </row>
    <row r="234" spans="1:3" ht="13" x14ac:dyDescent="0.15">
      <c r="A234" s="10"/>
      <c r="B234" s="13"/>
      <c r="C234" s="13"/>
    </row>
    <row r="235" spans="1:3" ht="13" x14ac:dyDescent="0.15">
      <c r="A235" s="10"/>
      <c r="B235" s="13"/>
      <c r="C235" s="13"/>
    </row>
    <row r="236" spans="1:3" ht="13" x14ac:dyDescent="0.15">
      <c r="A236" s="10"/>
      <c r="B236" s="13"/>
      <c r="C236" s="13"/>
    </row>
    <row r="237" spans="1:3" ht="13" x14ac:dyDescent="0.15">
      <c r="A237" s="10"/>
      <c r="B237" s="13"/>
      <c r="C237" s="13"/>
    </row>
    <row r="238" spans="1:3" ht="13" x14ac:dyDescent="0.15">
      <c r="A238" s="10"/>
      <c r="B238" s="13"/>
      <c r="C238" s="13"/>
    </row>
    <row r="239" spans="1:3" ht="13" x14ac:dyDescent="0.15">
      <c r="A239" s="10"/>
      <c r="B239" s="13"/>
      <c r="C239" s="13"/>
    </row>
    <row r="240" spans="1:3" ht="13" x14ac:dyDescent="0.15">
      <c r="A240" s="10"/>
      <c r="B240" s="13"/>
      <c r="C240" s="13"/>
    </row>
    <row r="241" spans="1:3" ht="13" x14ac:dyDescent="0.15">
      <c r="A241" s="10"/>
      <c r="B241" s="13"/>
      <c r="C241" s="13"/>
    </row>
    <row r="242" spans="1:3" ht="13" x14ac:dyDescent="0.15">
      <c r="A242" s="10"/>
      <c r="B242" s="13"/>
      <c r="C242" s="13"/>
    </row>
    <row r="243" spans="1:3" ht="13" x14ac:dyDescent="0.15">
      <c r="A243" s="10"/>
      <c r="B243" s="13"/>
      <c r="C243" s="13"/>
    </row>
    <row r="244" spans="1:3" ht="13" x14ac:dyDescent="0.15">
      <c r="A244" s="10"/>
      <c r="B244" s="13"/>
      <c r="C244" s="13"/>
    </row>
    <row r="245" spans="1:3" ht="13" x14ac:dyDescent="0.15">
      <c r="A245" s="10"/>
      <c r="B245" s="13"/>
      <c r="C245" s="13"/>
    </row>
    <row r="246" spans="1:3" ht="13" x14ac:dyDescent="0.15">
      <c r="A246" s="10"/>
      <c r="B246" s="13"/>
      <c r="C246" s="13"/>
    </row>
    <row r="247" spans="1:3" ht="13" x14ac:dyDescent="0.15">
      <c r="A247" s="10"/>
      <c r="B247" s="13"/>
      <c r="C247" s="13"/>
    </row>
    <row r="248" spans="1:3" ht="13" x14ac:dyDescent="0.15">
      <c r="A248" s="10"/>
      <c r="B248" s="13"/>
      <c r="C248" s="13"/>
    </row>
    <row r="249" spans="1:3" ht="13" x14ac:dyDescent="0.15">
      <c r="A249" s="10"/>
      <c r="B249" s="13"/>
      <c r="C249" s="13"/>
    </row>
    <row r="250" spans="1:3" ht="13" x14ac:dyDescent="0.15">
      <c r="A250" s="10"/>
      <c r="B250" s="13"/>
      <c r="C250" s="13"/>
    </row>
    <row r="251" spans="1:3" ht="13" x14ac:dyDescent="0.15">
      <c r="A251" s="10"/>
      <c r="B251" s="13"/>
      <c r="C251" s="13"/>
    </row>
    <row r="252" spans="1:3" ht="13" x14ac:dyDescent="0.15">
      <c r="A252" s="10"/>
      <c r="B252" s="13"/>
      <c r="C252" s="13"/>
    </row>
    <row r="253" spans="1:3" ht="13" x14ac:dyDescent="0.15">
      <c r="A253" s="10"/>
      <c r="B253" s="13"/>
      <c r="C253" s="13"/>
    </row>
    <row r="254" spans="1:3" ht="13" x14ac:dyDescent="0.15">
      <c r="A254" s="10"/>
      <c r="B254" s="13"/>
      <c r="C254" s="13"/>
    </row>
    <row r="255" spans="1:3" ht="13" x14ac:dyDescent="0.15">
      <c r="A255" s="10"/>
      <c r="B255" s="13"/>
      <c r="C255" s="13"/>
    </row>
    <row r="256" spans="1:3" ht="13" x14ac:dyDescent="0.15">
      <c r="A256" s="10"/>
      <c r="B256" s="13"/>
      <c r="C256" s="13"/>
    </row>
    <row r="257" spans="1:3" ht="13" x14ac:dyDescent="0.15">
      <c r="A257" s="10"/>
      <c r="B257" s="13"/>
      <c r="C257" s="13"/>
    </row>
    <row r="258" spans="1:3" ht="13" x14ac:dyDescent="0.15">
      <c r="A258" s="10"/>
      <c r="B258" s="13"/>
      <c r="C258" s="13"/>
    </row>
    <row r="259" spans="1:3" ht="13" x14ac:dyDescent="0.15">
      <c r="A259" s="10"/>
      <c r="B259" s="13"/>
      <c r="C259" s="13"/>
    </row>
    <row r="260" spans="1:3" ht="13" x14ac:dyDescent="0.15">
      <c r="A260" s="10"/>
      <c r="B260" s="13"/>
      <c r="C260" s="13"/>
    </row>
    <row r="261" spans="1:3" ht="13" x14ac:dyDescent="0.15">
      <c r="A261" s="10"/>
      <c r="B261" s="13"/>
      <c r="C261" s="13"/>
    </row>
    <row r="262" spans="1:3" ht="13" x14ac:dyDescent="0.15">
      <c r="A262" s="10"/>
      <c r="B262" s="13"/>
      <c r="C262" s="13"/>
    </row>
    <row r="263" spans="1:3" ht="13" x14ac:dyDescent="0.15">
      <c r="A263" s="10"/>
      <c r="B263" s="13"/>
      <c r="C263" s="13"/>
    </row>
    <row r="264" spans="1:3" ht="13" x14ac:dyDescent="0.15">
      <c r="A264" s="10"/>
      <c r="B264" s="13"/>
      <c r="C264" s="13"/>
    </row>
    <row r="265" spans="1:3" ht="13" x14ac:dyDescent="0.15">
      <c r="A265" s="10"/>
      <c r="B265" s="13"/>
      <c r="C265" s="13"/>
    </row>
    <row r="266" spans="1:3" ht="13" x14ac:dyDescent="0.15">
      <c r="A266" s="10"/>
      <c r="B266" s="13"/>
      <c r="C266" s="13"/>
    </row>
    <row r="267" spans="1:3" ht="13" x14ac:dyDescent="0.15">
      <c r="A267" s="10"/>
      <c r="B267" s="13"/>
      <c r="C267" s="13"/>
    </row>
    <row r="268" spans="1:3" ht="13" x14ac:dyDescent="0.15">
      <c r="A268" s="10"/>
      <c r="B268" s="13"/>
      <c r="C268" s="13"/>
    </row>
    <row r="269" spans="1:3" ht="13" x14ac:dyDescent="0.15">
      <c r="A269" s="10"/>
      <c r="B269" s="13"/>
      <c r="C269" s="13"/>
    </row>
    <row r="270" spans="1:3" ht="13" x14ac:dyDescent="0.15">
      <c r="A270" s="10"/>
      <c r="B270" s="13"/>
      <c r="C270" s="13"/>
    </row>
    <row r="271" spans="1:3" ht="13" x14ac:dyDescent="0.15">
      <c r="A271" s="10"/>
      <c r="B271" s="13"/>
      <c r="C271" s="13"/>
    </row>
    <row r="272" spans="1:3" ht="13" x14ac:dyDescent="0.15">
      <c r="A272" s="10"/>
      <c r="B272" s="13"/>
      <c r="C272" s="13"/>
    </row>
    <row r="273" spans="1:3" ht="13" x14ac:dyDescent="0.15">
      <c r="A273" s="10"/>
      <c r="B273" s="13"/>
      <c r="C273" s="13"/>
    </row>
    <row r="274" spans="1:3" ht="13" x14ac:dyDescent="0.15">
      <c r="A274" s="10"/>
      <c r="B274" s="13"/>
      <c r="C274" s="13"/>
    </row>
    <row r="275" spans="1:3" ht="13" x14ac:dyDescent="0.15">
      <c r="A275" s="10"/>
      <c r="B275" s="13"/>
      <c r="C275" s="13"/>
    </row>
    <row r="276" spans="1:3" ht="13" x14ac:dyDescent="0.15">
      <c r="A276" s="10"/>
      <c r="B276" s="13"/>
      <c r="C276" s="13"/>
    </row>
    <row r="277" spans="1:3" ht="13" x14ac:dyDescent="0.15">
      <c r="A277" s="10"/>
      <c r="B277" s="13"/>
      <c r="C277" s="13"/>
    </row>
    <row r="278" spans="1:3" ht="13" x14ac:dyDescent="0.15">
      <c r="A278" s="10"/>
      <c r="B278" s="13"/>
      <c r="C278" s="13"/>
    </row>
    <row r="279" spans="1:3" ht="13" x14ac:dyDescent="0.15">
      <c r="A279" s="10"/>
      <c r="B279" s="13"/>
      <c r="C279" s="13"/>
    </row>
    <row r="280" spans="1:3" ht="13" x14ac:dyDescent="0.15">
      <c r="A280" s="10"/>
      <c r="B280" s="13"/>
      <c r="C280" s="13"/>
    </row>
    <row r="281" spans="1:3" ht="13" x14ac:dyDescent="0.15">
      <c r="A281" s="10"/>
      <c r="B281" s="13"/>
      <c r="C281" s="13"/>
    </row>
    <row r="282" spans="1:3" ht="13" x14ac:dyDescent="0.15">
      <c r="A282" s="10"/>
      <c r="B282" s="13"/>
      <c r="C282" s="13"/>
    </row>
    <row r="283" spans="1:3" ht="13" x14ac:dyDescent="0.15">
      <c r="A283" s="10"/>
      <c r="B283" s="13"/>
      <c r="C283" s="13"/>
    </row>
    <row r="284" spans="1:3" ht="13" x14ac:dyDescent="0.15">
      <c r="A284" s="10"/>
      <c r="B284" s="13"/>
      <c r="C284" s="13"/>
    </row>
    <row r="285" spans="1:3" ht="13" x14ac:dyDescent="0.15">
      <c r="A285" s="10"/>
      <c r="B285" s="13"/>
      <c r="C285" s="13"/>
    </row>
    <row r="286" spans="1:3" ht="13" x14ac:dyDescent="0.15">
      <c r="A286" s="10"/>
      <c r="B286" s="13"/>
      <c r="C286" s="13"/>
    </row>
    <row r="287" spans="1:3" ht="13" x14ac:dyDescent="0.15">
      <c r="A287" s="10"/>
      <c r="B287" s="13"/>
      <c r="C287" s="13"/>
    </row>
    <row r="288" spans="1:3" ht="13" x14ac:dyDescent="0.15">
      <c r="A288" s="10"/>
      <c r="B288" s="13"/>
      <c r="C288" s="13"/>
    </row>
    <row r="289" spans="1:3" ht="13" x14ac:dyDescent="0.15">
      <c r="A289" s="10"/>
      <c r="B289" s="13"/>
      <c r="C289" s="13"/>
    </row>
    <row r="290" spans="1:3" ht="13" x14ac:dyDescent="0.15">
      <c r="A290" s="10"/>
      <c r="B290" s="13"/>
      <c r="C290" s="13"/>
    </row>
    <row r="291" spans="1:3" ht="13" x14ac:dyDescent="0.15">
      <c r="A291" s="10"/>
      <c r="B291" s="13"/>
      <c r="C291" s="13"/>
    </row>
    <row r="292" spans="1:3" ht="13" x14ac:dyDescent="0.15">
      <c r="A292" s="10"/>
      <c r="B292" s="13"/>
      <c r="C292" s="13"/>
    </row>
    <row r="293" spans="1:3" ht="13" x14ac:dyDescent="0.15">
      <c r="A293" s="10"/>
      <c r="B293" s="13"/>
      <c r="C293" s="13"/>
    </row>
    <row r="294" spans="1:3" ht="13" x14ac:dyDescent="0.15">
      <c r="A294" s="10"/>
      <c r="B294" s="13"/>
      <c r="C294" s="13"/>
    </row>
    <row r="295" spans="1:3" ht="13" x14ac:dyDescent="0.15">
      <c r="A295" s="10"/>
      <c r="B295" s="13"/>
      <c r="C295" s="13"/>
    </row>
    <row r="296" spans="1:3" ht="13" x14ac:dyDescent="0.15">
      <c r="A296" s="10"/>
      <c r="B296" s="13"/>
      <c r="C296" s="13"/>
    </row>
    <row r="297" spans="1:3" ht="13" x14ac:dyDescent="0.15">
      <c r="A297" s="10"/>
      <c r="B297" s="13"/>
      <c r="C297" s="13"/>
    </row>
    <row r="298" spans="1:3" ht="13" x14ac:dyDescent="0.15">
      <c r="A298" s="10"/>
      <c r="B298" s="13"/>
      <c r="C298" s="13"/>
    </row>
    <row r="299" spans="1:3" ht="13" x14ac:dyDescent="0.15">
      <c r="A299" s="10"/>
      <c r="B299" s="13"/>
      <c r="C299" s="13"/>
    </row>
    <row r="300" spans="1:3" ht="13" x14ac:dyDescent="0.15">
      <c r="A300" s="10"/>
      <c r="B300" s="13"/>
      <c r="C300" s="13"/>
    </row>
    <row r="301" spans="1:3" ht="13" x14ac:dyDescent="0.15">
      <c r="A301" s="10"/>
      <c r="B301" s="13"/>
      <c r="C301" s="13"/>
    </row>
    <row r="302" spans="1:3" ht="13" x14ac:dyDescent="0.15">
      <c r="A302" s="10"/>
      <c r="B302" s="13"/>
      <c r="C302" s="13"/>
    </row>
    <row r="303" spans="1:3" ht="13" x14ac:dyDescent="0.15">
      <c r="A303" s="10"/>
      <c r="B303" s="13"/>
      <c r="C303" s="13"/>
    </row>
    <row r="304" spans="1:3" ht="13" x14ac:dyDescent="0.15">
      <c r="A304" s="10"/>
      <c r="B304" s="13"/>
      <c r="C304" s="13"/>
    </row>
    <row r="305" spans="1:3" ht="13" x14ac:dyDescent="0.15">
      <c r="A305" s="10"/>
      <c r="B305" s="13"/>
      <c r="C305" s="13"/>
    </row>
    <row r="306" spans="1:3" ht="13" x14ac:dyDescent="0.15">
      <c r="A306" s="10"/>
      <c r="B306" s="13"/>
      <c r="C306" s="13"/>
    </row>
    <row r="307" spans="1:3" ht="13" x14ac:dyDescent="0.15">
      <c r="A307" s="10"/>
      <c r="B307" s="13"/>
      <c r="C307" s="13"/>
    </row>
    <row r="308" spans="1:3" ht="13" x14ac:dyDescent="0.15">
      <c r="A308" s="10"/>
      <c r="B308" s="13"/>
      <c r="C308" s="13"/>
    </row>
    <row r="309" spans="1:3" ht="13" x14ac:dyDescent="0.15">
      <c r="A309" s="10"/>
      <c r="B309" s="13"/>
      <c r="C309" s="13"/>
    </row>
    <row r="310" spans="1:3" ht="13" x14ac:dyDescent="0.15">
      <c r="A310" s="10"/>
      <c r="B310" s="13"/>
      <c r="C310" s="13"/>
    </row>
    <row r="311" spans="1:3" ht="13" x14ac:dyDescent="0.15">
      <c r="A311" s="10"/>
      <c r="B311" s="13"/>
      <c r="C311" s="13"/>
    </row>
    <row r="312" spans="1:3" ht="13" x14ac:dyDescent="0.15">
      <c r="A312" s="10"/>
      <c r="B312" s="13"/>
      <c r="C312" s="13"/>
    </row>
    <row r="313" spans="1:3" ht="13" x14ac:dyDescent="0.15">
      <c r="A313" s="10"/>
      <c r="B313" s="13"/>
      <c r="C313" s="13"/>
    </row>
    <row r="314" spans="1:3" ht="13" x14ac:dyDescent="0.15">
      <c r="A314" s="10"/>
      <c r="B314" s="13"/>
      <c r="C314" s="13"/>
    </row>
    <row r="315" spans="1:3" ht="13" x14ac:dyDescent="0.15">
      <c r="A315" s="10"/>
      <c r="B315" s="13"/>
      <c r="C315" s="13"/>
    </row>
    <row r="316" spans="1:3" ht="13" x14ac:dyDescent="0.15">
      <c r="A316" s="10"/>
      <c r="B316" s="13"/>
      <c r="C316" s="13"/>
    </row>
    <row r="317" spans="1:3" ht="13" x14ac:dyDescent="0.15">
      <c r="A317" s="10"/>
      <c r="B317" s="13"/>
      <c r="C317" s="13"/>
    </row>
    <row r="318" spans="1:3" ht="13" x14ac:dyDescent="0.15">
      <c r="A318" s="10"/>
      <c r="B318" s="13"/>
      <c r="C318" s="13"/>
    </row>
    <row r="319" spans="1:3" ht="13" x14ac:dyDescent="0.15">
      <c r="A319" s="10"/>
      <c r="B319" s="13"/>
      <c r="C319" s="13"/>
    </row>
    <row r="320" spans="1:3" ht="13" x14ac:dyDescent="0.15">
      <c r="A320" s="10"/>
      <c r="B320" s="13"/>
      <c r="C320" s="13"/>
    </row>
    <row r="321" spans="1:3" ht="13" x14ac:dyDescent="0.15">
      <c r="A321" s="10"/>
      <c r="B321" s="13"/>
      <c r="C321" s="13"/>
    </row>
    <row r="322" spans="1:3" ht="13" x14ac:dyDescent="0.15">
      <c r="A322" s="10"/>
      <c r="B322" s="13"/>
      <c r="C322" s="13"/>
    </row>
    <row r="323" spans="1:3" ht="13" x14ac:dyDescent="0.15">
      <c r="A323" s="10"/>
      <c r="B323" s="13"/>
      <c r="C323" s="13"/>
    </row>
    <row r="324" spans="1:3" ht="13" x14ac:dyDescent="0.15">
      <c r="A324" s="10"/>
      <c r="B324" s="13"/>
      <c r="C324" s="13"/>
    </row>
    <row r="325" spans="1:3" ht="13" x14ac:dyDescent="0.15">
      <c r="A325" s="10"/>
      <c r="B325" s="13"/>
      <c r="C325" s="13"/>
    </row>
    <row r="326" spans="1:3" ht="13" x14ac:dyDescent="0.15">
      <c r="A326" s="10"/>
      <c r="B326" s="13"/>
      <c r="C326" s="13"/>
    </row>
    <row r="327" spans="1:3" ht="13" x14ac:dyDescent="0.15">
      <c r="A327" s="10"/>
      <c r="B327" s="13"/>
      <c r="C327" s="13"/>
    </row>
    <row r="328" spans="1:3" ht="13" x14ac:dyDescent="0.15">
      <c r="A328" s="10"/>
      <c r="B328" s="13"/>
      <c r="C328" s="13"/>
    </row>
    <row r="329" spans="1:3" ht="13" x14ac:dyDescent="0.15">
      <c r="A329" s="10"/>
      <c r="B329" s="13"/>
      <c r="C329" s="13"/>
    </row>
    <row r="330" spans="1:3" ht="13" x14ac:dyDescent="0.15">
      <c r="A330" s="10"/>
      <c r="B330" s="13"/>
      <c r="C330" s="13"/>
    </row>
    <row r="331" spans="1:3" ht="13" x14ac:dyDescent="0.15">
      <c r="A331" s="10"/>
      <c r="B331" s="13"/>
      <c r="C331" s="13"/>
    </row>
    <row r="332" spans="1:3" ht="13" x14ac:dyDescent="0.15">
      <c r="A332" s="10"/>
      <c r="B332" s="13"/>
      <c r="C332" s="13"/>
    </row>
    <row r="333" spans="1:3" ht="13" x14ac:dyDescent="0.15">
      <c r="A333" s="10"/>
      <c r="B333" s="13"/>
      <c r="C333" s="13"/>
    </row>
    <row r="334" spans="1:3" ht="13" x14ac:dyDescent="0.15">
      <c r="A334" s="10"/>
      <c r="B334" s="13"/>
      <c r="C334" s="13"/>
    </row>
    <row r="335" spans="1:3" ht="13" x14ac:dyDescent="0.15">
      <c r="A335" s="10"/>
      <c r="B335" s="13"/>
      <c r="C335" s="13"/>
    </row>
    <row r="336" spans="1:3" ht="13" x14ac:dyDescent="0.15">
      <c r="A336" s="10"/>
      <c r="B336" s="13"/>
      <c r="C336" s="13"/>
    </row>
    <row r="337" spans="1:3" ht="13" x14ac:dyDescent="0.15">
      <c r="A337" s="10"/>
      <c r="B337" s="13"/>
      <c r="C337" s="13"/>
    </row>
    <row r="338" spans="1:3" ht="13" x14ac:dyDescent="0.15">
      <c r="A338" s="10"/>
      <c r="B338" s="13"/>
      <c r="C338" s="13"/>
    </row>
    <row r="339" spans="1:3" ht="13" x14ac:dyDescent="0.15">
      <c r="A339" s="10"/>
      <c r="B339" s="13"/>
      <c r="C339" s="13"/>
    </row>
    <row r="340" spans="1:3" ht="13" x14ac:dyDescent="0.15">
      <c r="A340" s="10"/>
      <c r="B340" s="13"/>
      <c r="C340" s="13"/>
    </row>
    <row r="341" spans="1:3" ht="13" x14ac:dyDescent="0.15">
      <c r="A341" s="10"/>
      <c r="B341" s="13"/>
      <c r="C341" s="13"/>
    </row>
    <row r="342" spans="1:3" ht="13" x14ac:dyDescent="0.15">
      <c r="A342" s="10"/>
      <c r="B342" s="13"/>
      <c r="C342" s="13"/>
    </row>
    <row r="343" spans="1:3" ht="13" x14ac:dyDescent="0.15">
      <c r="A343" s="10"/>
      <c r="B343" s="13"/>
      <c r="C343" s="13"/>
    </row>
    <row r="344" spans="1:3" ht="13" x14ac:dyDescent="0.15">
      <c r="A344" s="10"/>
      <c r="B344" s="13"/>
      <c r="C344" s="13"/>
    </row>
    <row r="345" spans="1:3" ht="13" x14ac:dyDescent="0.15">
      <c r="A345" s="10"/>
      <c r="B345" s="13"/>
      <c r="C345" s="13"/>
    </row>
    <row r="346" spans="1:3" ht="13" x14ac:dyDescent="0.15">
      <c r="A346" s="10"/>
      <c r="B346" s="13"/>
      <c r="C346" s="13"/>
    </row>
    <row r="347" spans="1:3" ht="13" x14ac:dyDescent="0.15">
      <c r="A347" s="10"/>
      <c r="B347" s="13"/>
      <c r="C347" s="13"/>
    </row>
    <row r="348" spans="1:3" ht="13" x14ac:dyDescent="0.15">
      <c r="A348" s="10"/>
      <c r="B348" s="13"/>
      <c r="C348" s="13"/>
    </row>
    <row r="349" spans="1:3" ht="13" x14ac:dyDescent="0.15">
      <c r="A349" s="10"/>
      <c r="B349" s="13"/>
      <c r="C349" s="13"/>
    </row>
    <row r="350" spans="1:3" ht="13" x14ac:dyDescent="0.15">
      <c r="A350" s="10"/>
      <c r="B350" s="13"/>
      <c r="C350" s="13"/>
    </row>
    <row r="351" spans="1:3" ht="13" x14ac:dyDescent="0.15">
      <c r="A351" s="10"/>
      <c r="B351" s="13"/>
      <c r="C351" s="13"/>
    </row>
    <row r="352" spans="1:3" ht="13" x14ac:dyDescent="0.15">
      <c r="A352" s="10"/>
      <c r="B352" s="13"/>
      <c r="C352" s="13"/>
    </row>
    <row r="353" spans="1:3" ht="13" x14ac:dyDescent="0.15">
      <c r="A353" s="10"/>
      <c r="B353" s="13"/>
      <c r="C353" s="13"/>
    </row>
    <row r="354" spans="1:3" ht="13" x14ac:dyDescent="0.15">
      <c r="A354" s="10"/>
      <c r="B354" s="13"/>
      <c r="C354" s="13"/>
    </row>
    <row r="355" spans="1:3" ht="13" x14ac:dyDescent="0.15">
      <c r="A355" s="10"/>
      <c r="B355" s="13"/>
      <c r="C355" s="13"/>
    </row>
    <row r="356" spans="1:3" ht="13" x14ac:dyDescent="0.15">
      <c r="A356" s="10"/>
      <c r="B356" s="13"/>
      <c r="C356" s="13"/>
    </row>
    <row r="357" spans="1:3" ht="13" x14ac:dyDescent="0.15">
      <c r="A357" s="10"/>
      <c r="B357" s="13"/>
      <c r="C357" s="13"/>
    </row>
    <row r="358" spans="1:3" ht="13" x14ac:dyDescent="0.15">
      <c r="A358" s="10"/>
      <c r="B358" s="13"/>
      <c r="C358" s="13"/>
    </row>
    <row r="359" spans="1:3" ht="13" x14ac:dyDescent="0.15">
      <c r="A359" s="10"/>
      <c r="B359" s="13"/>
      <c r="C359" s="13"/>
    </row>
    <row r="360" spans="1:3" ht="13" x14ac:dyDescent="0.15">
      <c r="A360" s="10"/>
      <c r="B360" s="13"/>
      <c r="C360" s="13"/>
    </row>
    <row r="361" spans="1:3" ht="13" x14ac:dyDescent="0.15">
      <c r="A361" s="10"/>
      <c r="B361" s="13"/>
      <c r="C361" s="13"/>
    </row>
    <row r="362" spans="1:3" ht="13" x14ac:dyDescent="0.15">
      <c r="A362" s="10"/>
      <c r="B362" s="13"/>
      <c r="C362" s="13"/>
    </row>
    <row r="363" spans="1:3" ht="13" x14ac:dyDescent="0.15">
      <c r="A363" s="10"/>
      <c r="B363" s="13"/>
      <c r="C363" s="13"/>
    </row>
    <row r="364" spans="1:3" ht="13" x14ac:dyDescent="0.15">
      <c r="A364" s="10"/>
      <c r="B364" s="13"/>
      <c r="C364" s="13"/>
    </row>
    <row r="365" spans="1:3" ht="13" x14ac:dyDescent="0.15">
      <c r="A365" s="10"/>
      <c r="B365" s="13"/>
      <c r="C365" s="13"/>
    </row>
    <row r="366" spans="1:3" ht="13" x14ac:dyDescent="0.15">
      <c r="A366" s="10"/>
      <c r="B366" s="13"/>
      <c r="C366" s="13"/>
    </row>
    <row r="367" spans="1:3" ht="13" x14ac:dyDescent="0.15">
      <c r="A367" s="10"/>
      <c r="B367" s="13"/>
      <c r="C367" s="13"/>
    </row>
    <row r="368" spans="1:3" ht="13" x14ac:dyDescent="0.15">
      <c r="A368" s="10"/>
      <c r="B368" s="13"/>
      <c r="C368" s="13"/>
    </row>
    <row r="369" spans="1:3" ht="13" x14ac:dyDescent="0.15">
      <c r="A369" s="10"/>
      <c r="B369" s="13"/>
      <c r="C369" s="13"/>
    </row>
    <row r="370" spans="1:3" ht="13" x14ac:dyDescent="0.15">
      <c r="A370" s="10"/>
      <c r="B370" s="13"/>
      <c r="C370" s="13"/>
    </row>
    <row r="371" spans="1:3" ht="13" x14ac:dyDescent="0.15">
      <c r="A371" s="10"/>
      <c r="B371" s="13"/>
      <c r="C371" s="13"/>
    </row>
    <row r="372" spans="1:3" ht="13" x14ac:dyDescent="0.15">
      <c r="A372" s="10"/>
      <c r="B372" s="13"/>
      <c r="C372" s="13"/>
    </row>
    <row r="373" spans="1:3" ht="13" x14ac:dyDescent="0.15">
      <c r="A373" s="10"/>
      <c r="B373" s="13"/>
      <c r="C373" s="13"/>
    </row>
    <row r="374" spans="1:3" ht="13" x14ac:dyDescent="0.15">
      <c r="A374" s="10"/>
      <c r="B374" s="13"/>
      <c r="C374" s="13"/>
    </row>
    <row r="375" spans="1:3" ht="13" x14ac:dyDescent="0.15">
      <c r="A375" s="10"/>
      <c r="B375" s="13"/>
      <c r="C375" s="13"/>
    </row>
    <row r="376" spans="1:3" ht="13" x14ac:dyDescent="0.15">
      <c r="A376" s="10"/>
      <c r="B376" s="13"/>
      <c r="C376" s="13"/>
    </row>
    <row r="377" spans="1:3" ht="13" x14ac:dyDescent="0.15">
      <c r="A377" s="10"/>
      <c r="B377" s="13"/>
      <c r="C377" s="13"/>
    </row>
    <row r="378" spans="1:3" ht="13" x14ac:dyDescent="0.15">
      <c r="A378" s="10"/>
      <c r="B378" s="13"/>
      <c r="C378" s="13"/>
    </row>
    <row r="379" spans="1:3" ht="13" x14ac:dyDescent="0.15">
      <c r="A379" s="10"/>
      <c r="B379" s="13"/>
      <c r="C379" s="13"/>
    </row>
    <row r="380" spans="1:3" ht="13" x14ac:dyDescent="0.15">
      <c r="A380" s="10"/>
      <c r="B380" s="13"/>
      <c r="C380" s="13"/>
    </row>
    <row r="381" spans="1:3" ht="13" x14ac:dyDescent="0.15">
      <c r="A381" s="10"/>
      <c r="B381" s="13"/>
      <c r="C381" s="13"/>
    </row>
    <row r="382" spans="1:3" ht="13" x14ac:dyDescent="0.15">
      <c r="A382" s="10"/>
      <c r="B382" s="13"/>
      <c r="C382" s="13"/>
    </row>
    <row r="383" spans="1:3" ht="13" x14ac:dyDescent="0.15">
      <c r="A383" s="10"/>
      <c r="B383" s="13"/>
      <c r="C383" s="13"/>
    </row>
    <row r="384" spans="1:3" ht="13" x14ac:dyDescent="0.15">
      <c r="A384" s="10"/>
      <c r="B384" s="13"/>
      <c r="C384" s="13"/>
    </row>
    <row r="385" spans="1:3" ht="13" x14ac:dyDescent="0.15">
      <c r="A385" s="10"/>
      <c r="B385" s="13"/>
      <c r="C385" s="13"/>
    </row>
    <row r="386" spans="1:3" ht="13" x14ac:dyDescent="0.15">
      <c r="A386" s="10"/>
      <c r="B386" s="13"/>
      <c r="C386" s="13"/>
    </row>
    <row r="387" spans="1:3" ht="13" x14ac:dyDescent="0.15">
      <c r="A387" s="10"/>
      <c r="B387" s="13"/>
      <c r="C387" s="13"/>
    </row>
    <row r="388" spans="1:3" ht="13" x14ac:dyDescent="0.15">
      <c r="A388" s="10"/>
      <c r="B388" s="13"/>
      <c r="C388" s="13"/>
    </row>
    <row r="389" spans="1:3" ht="13" x14ac:dyDescent="0.15">
      <c r="A389" s="10"/>
      <c r="B389" s="13"/>
      <c r="C389" s="13"/>
    </row>
    <row r="390" spans="1:3" ht="13" x14ac:dyDescent="0.15">
      <c r="A390" s="10"/>
      <c r="B390" s="13"/>
      <c r="C390" s="13"/>
    </row>
    <row r="391" spans="1:3" ht="13" x14ac:dyDescent="0.15">
      <c r="A391" s="10"/>
      <c r="B391" s="13"/>
      <c r="C391" s="13"/>
    </row>
    <row r="392" spans="1:3" ht="13" x14ac:dyDescent="0.15">
      <c r="A392" s="10"/>
      <c r="B392" s="13"/>
      <c r="C392" s="13"/>
    </row>
    <row r="393" spans="1:3" ht="13" x14ac:dyDescent="0.15">
      <c r="A393" s="10"/>
      <c r="B393" s="13"/>
      <c r="C393" s="13"/>
    </row>
    <row r="394" spans="1:3" ht="13" x14ac:dyDescent="0.15">
      <c r="A394" s="10"/>
      <c r="B394" s="13"/>
      <c r="C394" s="13"/>
    </row>
    <row r="395" spans="1:3" ht="13" x14ac:dyDescent="0.15">
      <c r="A395" s="10"/>
      <c r="B395" s="13"/>
      <c r="C395" s="13"/>
    </row>
    <row r="396" spans="1:3" ht="13" x14ac:dyDescent="0.15">
      <c r="A396" s="10"/>
      <c r="B396" s="13"/>
      <c r="C396" s="13"/>
    </row>
    <row r="397" spans="1:3" ht="13" x14ac:dyDescent="0.15">
      <c r="A397" s="10"/>
      <c r="B397" s="13"/>
      <c r="C397" s="13"/>
    </row>
    <row r="398" spans="1:3" ht="13" x14ac:dyDescent="0.15">
      <c r="A398" s="10"/>
      <c r="B398" s="13"/>
      <c r="C398" s="13"/>
    </row>
    <row r="399" spans="1:3" ht="13" x14ac:dyDescent="0.15">
      <c r="A399" s="10"/>
      <c r="B399" s="13"/>
      <c r="C399" s="13"/>
    </row>
    <row r="400" spans="1:3" ht="13" x14ac:dyDescent="0.15">
      <c r="A400" s="10"/>
      <c r="B400" s="13"/>
      <c r="C400" s="13"/>
    </row>
    <row r="401" spans="1:3" ht="13" x14ac:dyDescent="0.15">
      <c r="A401" s="10"/>
      <c r="B401" s="13"/>
      <c r="C401" s="13"/>
    </row>
    <row r="402" spans="1:3" ht="13" x14ac:dyDescent="0.15">
      <c r="A402" s="10"/>
      <c r="B402" s="13"/>
      <c r="C402" s="13"/>
    </row>
    <row r="403" spans="1:3" ht="13" x14ac:dyDescent="0.15">
      <c r="A403" s="10"/>
      <c r="B403" s="13"/>
      <c r="C403" s="13"/>
    </row>
    <row r="404" spans="1:3" ht="13" x14ac:dyDescent="0.15">
      <c r="A404" s="10"/>
      <c r="B404" s="13"/>
      <c r="C404" s="13"/>
    </row>
    <row r="405" spans="1:3" ht="13" x14ac:dyDescent="0.15">
      <c r="A405" s="10"/>
      <c r="B405" s="13"/>
      <c r="C405" s="13"/>
    </row>
    <row r="406" spans="1:3" ht="13" x14ac:dyDescent="0.15">
      <c r="A406" s="10"/>
      <c r="B406" s="13"/>
      <c r="C406" s="13"/>
    </row>
    <row r="407" spans="1:3" ht="13" x14ac:dyDescent="0.15">
      <c r="A407" s="10"/>
      <c r="B407" s="13"/>
      <c r="C407" s="13"/>
    </row>
    <row r="408" spans="1:3" ht="13" x14ac:dyDescent="0.15">
      <c r="A408" s="10"/>
      <c r="B408" s="13"/>
      <c r="C408" s="13"/>
    </row>
    <row r="409" spans="1:3" ht="13" x14ac:dyDescent="0.15">
      <c r="A409" s="10"/>
      <c r="B409" s="13"/>
      <c r="C409" s="13"/>
    </row>
    <row r="410" spans="1:3" ht="13" x14ac:dyDescent="0.15">
      <c r="A410" s="10"/>
      <c r="B410" s="13"/>
      <c r="C410" s="13"/>
    </row>
    <row r="411" spans="1:3" ht="13" x14ac:dyDescent="0.15">
      <c r="A411" s="10"/>
      <c r="B411" s="13"/>
      <c r="C411" s="13"/>
    </row>
    <row r="412" spans="1:3" ht="13" x14ac:dyDescent="0.15">
      <c r="A412" s="10"/>
      <c r="B412" s="13"/>
      <c r="C412" s="13"/>
    </row>
    <row r="413" spans="1:3" ht="13" x14ac:dyDescent="0.15">
      <c r="A413" s="10"/>
      <c r="B413" s="13"/>
      <c r="C413" s="13"/>
    </row>
    <row r="414" spans="1:3" ht="13" x14ac:dyDescent="0.15">
      <c r="A414" s="10"/>
      <c r="B414" s="13"/>
      <c r="C414" s="13"/>
    </row>
    <row r="415" spans="1:3" ht="13" x14ac:dyDescent="0.15">
      <c r="A415" s="10"/>
      <c r="B415" s="13"/>
      <c r="C415" s="13"/>
    </row>
    <row r="416" spans="1:3" ht="13" x14ac:dyDescent="0.15">
      <c r="A416" s="10"/>
      <c r="B416" s="13"/>
      <c r="C416" s="13"/>
    </row>
    <row r="417" spans="1:3" ht="13" x14ac:dyDescent="0.15">
      <c r="A417" s="10"/>
      <c r="B417" s="13"/>
      <c r="C417" s="13"/>
    </row>
    <row r="418" spans="1:3" ht="13" x14ac:dyDescent="0.15">
      <c r="A418" s="10"/>
      <c r="B418" s="13"/>
      <c r="C418" s="13"/>
    </row>
    <row r="419" spans="1:3" ht="13" x14ac:dyDescent="0.15">
      <c r="A419" s="10"/>
      <c r="B419" s="13"/>
      <c r="C419" s="13"/>
    </row>
    <row r="420" spans="1:3" ht="13" x14ac:dyDescent="0.15">
      <c r="A420" s="10"/>
      <c r="B420" s="13"/>
      <c r="C420" s="13"/>
    </row>
    <row r="421" spans="1:3" ht="13" x14ac:dyDescent="0.15">
      <c r="A421" s="10"/>
      <c r="B421" s="13"/>
      <c r="C421" s="13"/>
    </row>
    <row r="422" spans="1:3" ht="13" x14ac:dyDescent="0.15">
      <c r="A422" s="10"/>
      <c r="B422" s="13"/>
      <c r="C422" s="13"/>
    </row>
    <row r="423" spans="1:3" ht="13" x14ac:dyDescent="0.15">
      <c r="A423" s="10"/>
      <c r="B423" s="13"/>
      <c r="C423" s="13"/>
    </row>
    <row r="424" spans="1:3" ht="13" x14ac:dyDescent="0.15">
      <c r="A424" s="10"/>
      <c r="B424" s="13"/>
      <c r="C424" s="13"/>
    </row>
    <row r="425" spans="1:3" ht="13" x14ac:dyDescent="0.15">
      <c r="A425" s="10"/>
      <c r="B425" s="13"/>
      <c r="C425" s="13"/>
    </row>
    <row r="426" spans="1:3" ht="13" x14ac:dyDescent="0.15">
      <c r="A426" s="10"/>
      <c r="B426" s="13"/>
      <c r="C426" s="13"/>
    </row>
    <row r="427" spans="1:3" ht="13" x14ac:dyDescent="0.15">
      <c r="A427" s="10"/>
      <c r="B427" s="13"/>
      <c r="C427" s="13"/>
    </row>
    <row r="428" spans="1:3" ht="13" x14ac:dyDescent="0.15">
      <c r="A428" s="10"/>
      <c r="B428" s="13"/>
      <c r="C428" s="13"/>
    </row>
    <row r="429" spans="1:3" ht="13" x14ac:dyDescent="0.15">
      <c r="A429" s="10"/>
      <c r="B429" s="13"/>
      <c r="C429" s="13"/>
    </row>
    <row r="430" spans="1:3" ht="13" x14ac:dyDescent="0.15">
      <c r="A430" s="10"/>
      <c r="B430" s="13"/>
      <c r="C430" s="13"/>
    </row>
    <row r="431" spans="1:3" ht="13" x14ac:dyDescent="0.15">
      <c r="A431" s="10"/>
      <c r="B431" s="13"/>
      <c r="C431" s="13"/>
    </row>
    <row r="432" spans="1:3" ht="13" x14ac:dyDescent="0.15">
      <c r="A432" s="10"/>
      <c r="B432" s="13"/>
      <c r="C432" s="13"/>
    </row>
    <row r="433" spans="1:3" ht="13" x14ac:dyDescent="0.15">
      <c r="A433" s="10"/>
      <c r="B433" s="13"/>
      <c r="C433" s="13"/>
    </row>
    <row r="434" spans="1:3" ht="13" x14ac:dyDescent="0.15">
      <c r="A434" s="10"/>
      <c r="B434" s="13"/>
      <c r="C434" s="13"/>
    </row>
    <row r="435" spans="1:3" ht="13" x14ac:dyDescent="0.15">
      <c r="A435" s="10"/>
      <c r="B435" s="13"/>
      <c r="C435" s="13"/>
    </row>
    <row r="436" spans="1:3" ht="13" x14ac:dyDescent="0.15">
      <c r="A436" s="10"/>
      <c r="B436" s="13"/>
      <c r="C436" s="13"/>
    </row>
    <row r="437" spans="1:3" ht="13" x14ac:dyDescent="0.15">
      <c r="A437" s="10"/>
      <c r="B437" s="13"/>
      <c r="C437" s="13"/>
    </row>
    <row r="438" spans="1:3" ht="13" x14ac:dyDescent="0.15">
      <c r="A438" s="10"/>
      <c r="B438" s="13"/>
      <c r="C438" s="13"/>
    </row>
    <row r="439" spans="1:3" ht="13" x14ac:dyDescent="0.15">
      <c r="A439" s="10"/>
      <c r="B439" s="13"/>
      <c r="C439" s="13"/>
    </row>
    <row r="440" spans="1:3" ht="13" x14ac:dyDescent="0.15">
      <c r="A440" s="10"/>
      <c r="B440" s="13"/>
      <c r="C440" s="13"/>
    </row>
    <row r="441" spans="1:3" ht="13" x14ac:dyDescent="0.15">
      <c r="A441" s="10"/>
      <c r="B441" s="13"/>
      <c r="C441" s="13"/>
    </row>
    <row r="442" spans="1:3" ht="13" x14ac:dyDescent="0.15">
      <c r="A442" s="10"/>
      <c r="B442" s="13"/>
      <c r="C442" s="13"/>
    </row>
    <row r="443" spans="1:3" ht="13" x14ac:dyDescent="0.15">
      <c r="A443" s="10"/>
      <c r="B443" s="13"/>
      <c r="C443" s="13"/>
    </row>
    <row r="444" spans="1:3" ht="13" x14ac:dyDescent="0.15">
      <c r="A444" s="10"/>
      <c r="B444" s="13"/>
      <c r="C444" s="13"/>
    </row>
    <row r="445" spans="1:3" ht="13" x14ac:dyDescent="0.15">
      <c r="A445" s="10"/>
      <c r="B445" s="13"/>
      <c r="C445" s="13"/>
    </row>
    <row r="446" spans="1:3" ht="13" x14ac:dyDescent="0.15">
      <c r="A446" s="10"/>
      <c r="B446" s="13"/>
      <c r="C446" s="13"/>
    </row>
    <row r="447" spans="1:3" ht="13" x14ac:dyDescent="0.15">
      <c r="A447" s="10"/>
      <c r="B447" s="13"/>
      <c r="C447" s="13"/>
    </row>
    <row r="448" spans="1:3" ht="13" x14ac:dyDescent="0.15">
      <c r="A448" s="10"/>
      <c r="B448" s="13"/>
      <c r="C448" s="13"/>
    </row>
    <row r="449" spans="1:3" ht="13" x14ac:dyDescent="0.15">
      <c r="A449" s="10"/>
      <c r="B449" s="13"/>
      <c r="C449" s="13"/>
    </row>
    <row r="450" spans="1:3" ht="13" x14ac:dyDescent="0.15">
      <c r="A450" s="10"/>
      <c r="B450" s="13"/>
      <c r="C450" s="13"/>
    </row>
    <row r="451" spans="1:3" ht="13" x14ac:dyDescent="0.15">
      <c r="A451" s="10"/>
      <c r="B451" s="13"/>
      <c r="C451" s="13"/>
    </row>
    <row r="452" spans="1:3" ht="13" x14ac:dyDescent="0.15">
      <c r="A452" s="10"/>
      <c r="B452" s="13"/>
      <c r="C452" s="13"/>
    </row>
    <row r="453" spans="1:3" ht="13" x14ac:dyDescent="0.15">
      <c r="A453" s="10"/>
      <c r="B453" s="13"/>
      <c r="C453" s="13"/>
    </row>
    <row r="454" spans="1:3" ht="13" x14ac:dyDescent="0.15">
      <c r="A454" s="10"/>
      <c r="B454" s="13"/>
      <c r="C454" s="13"/>
    </row>
    <row r="455" spans="1:3" ht="13" x14ac:dyDescent="0.15">
      <c r="A455" s="10"/>
      <c r="B455" s="13"/>
      <c r="C455" s="13"/>
    </row>
    <row r="456" spans="1:3" ht="13" x14ac:dyDescent="0.15">
      <c r="A456" s="10"/>
      <c r="B456" s="13"/>
      <c r="C456" s="13"/>
    </row>
    <row r="457" spans="1:3" ht="13" x14ac:dyDescent="0.15">
      <c r="A457" s="10"/>
      <c r="B457" s="13"/>
      <c r="C457" s="13"/>
    </row>
    <row r="458" spans="1:3" ht="13" x14ac:dyDescent="0.15">
      <c r="A458" s="10"/>
      <c r="B458" s="13"/>
      <c r="C458" s="13"/>
    </row>
    <row r="459" spans="1:3" ht="13" x14ac:dyDescent="0.15">
      <c r="A459" s="10"/>
      <c r="B459" s="13"/>
      <c r="C459" s="13"/>
    </row>
    <row r="460" spans="1:3" ht="13" x14ac:dyDescent="0.15">
      <c r="A460" s="10"/>
      <c r="B460" s="13"/>
      <c r="C460" s="13"/>
    </row>
    <row r="461" spans="1:3" ht="13" x14ac:dyDescent="0.15">
      <c r="A461" s="10"/>
      <c r="B461" s="13"/>
      <c r="C461" s="13"/>
    </row>
    <row r="462" spans="1:3" ht="13" x14ac:dyDescent="0.15">
      <c r="A462" s="10"/>
      <c r="B462" s="13"/>
      <c r="C462" s="13"/>
    </row>
    <row r="463" spans="1:3" ht="13" x14ac:dyDescent="0.15">
      <c r="A463" s="10"/>
      <c r="B463" s="13"/>
      <c r="C463" s="13"/>
    </row>
    <row r="464" spans="1:3" ht="13" x14ac:dyDescent="0.15">
      <c r="A464" s="10"/>
      <c r="B464" s="13"/>
      <c r="C464" s="13"/>
    </row>
    <row r="465" spans="1:3" ht="13" x14ac:dyDescent="0.15">
      <c r="A465" s="10"/>
      <c r="B465" s="13"/>
      <c r="C465" s="13"/>
    </row>
    <row r="466" spans="1:3" ht="13" x14ac:dyDescent="0.15">
      <c r="A466" s="10"/>
      <c r="B466" s="13"/>
      <c r="C466" s="13"/>
    </row>
    <row r="467" spans="1:3" ht="13" x14ac:dyDescent="0.15">
      <c r="A467" s="10"/>
      <c r="B467" s="13"/>
      <c r="C467" s="13"/>
    </row>
    <row r="468" spans="1:3" ht="13" x14ac:dyDescent="0.15">
      <c r="A468" s="10"/>
      <c r="B468" s="13"/>
      <c r="C468" s="13"/>
    </row>
    <row r="469" spans="1:3" ht="13" x14ac:dyDescent="0.15">
      <c r="A469" s="10"/>
      <c r="B469" s="13"/>
      <c r="C469" s="13"/>
    </row>
    <row r="470" spans="1:3" ht="13" x14ac:dyDescent="0.15">
      <c r="A470" s="10"/>
      <c r="B470" s="13"/>
      <c r="C470" s="13"/>
    </row>
    <row r="471" spans="1:3" ht="13" x14ac:dyDescent="0.15">
      <c r="A471" s="10"/>
      <c r="B471" s="13"/>
      <c r="C471" s="13"/>
    </row>
    <row r="472" spans="1:3" ht="13" x14ac:dyDescent="0.15">
      <c r="A472" s="10"/>
      <c r="B472" s="13"/>
      <c r="C472" s="13"/>
    </row>
    <row r="473" spans="1:3" ht="13" x14ac:dyDescent="0.15">
      <c r="A473" s="10"/>
      <c r="B473" s="13"/>
      <c r="C473" s="13"/>
    </row>
    <row r="474" spans="1:3" ht="13" x14ac:dyDescent="0.15">
      <c r="A474" s="10"/>
      <c r="B474" s="13"/>
      <c r="C474" s="13"/>
    </row>
    <row r="475" spans="1:3" ht="13" x14ac:dyDescent="0.15">
      <c r="A475" s="10"/>
      <c r="B475" s="13"/>
      <c r="C475" s="13"/>
    </row>
    <row r="476" spans="1:3" ht="13" x14ac:dyDescent="0.15">
      <c r="A476" s="10"/>
      <c r="B476" s="13"/>
      <c r="C476" s="13"/>
    </row>
    <row r="477" spans="1:3" ht="13" x14ac:dyDescent="0.15">
      <c r="A477" s="10"/>
      <c r="B477" s="13"/>
      <c r="C477" s="13"/>
    </row>
    <row r="478" spans="1:3" ht="13" x14ac:dyDescent="0.15">
      <c r="A478" s="10"/>
      <c r="B478" s="13"/>
      <c r="C478" s="13"/>
    </row>
    <row r="479" spans="1:3" ht="13" x14ac:dyDescent="0.15">
      <c r="A479" s="10"/>
      <c r="B479" s="13"/>
      <c r="C479" s="13"/>
    </row>
    <row r="480" spans="1:3" ht="13" x14ac:dyDescent="0.15">
      <c r="A480" s="10"/>
      <c r="B480" s="13"/>
      <c r="C480" s="13"/>
    </row>
    <row r="481" spans="1:3" ht="13" x14ac:dyDescent="0.15">
      <c r="A481" s="10"/>
      <c r="B481" s="13"/>
      <c r="C481" s="13"/>
    </row>
    <row r="482" spans="1:3" ht="13" x14ac:dyDescent="0.15">
      <c r="A482" s="10"/>
      <c r="B482" s="13"/>
      <c r="C482" s="13"/>
    </row>
    <row r="483" spans="1:3" ht="13" x14ac:dyDescent="0.15">
      <c r="A483" s="10"/>
      <c r="B483" s="13"/>
      <c r="C483" s="13"/>
    </row>
    <row r="484" spans="1:3" ht="13" x14ac:dyDescent="0.15">
      <c r="A484" s="10"/>
      <c r="B484" s="13"/>
      <c r="C484" s="13"/>
    </row>
    <row r="485" spans="1:3" ht="13" x14ac:dyDescent="0.15">
      <c r="A485" s="10"/>
      <c r="B485" s="13"/>
      <c r="C485" s="13"/>
    </row>
    <row r="486" spans="1:3" ht="13" x14ac:dyDescent="0.15">
      <c r="A486" s="10"/>
      <c r="B486" s="13"/>
      <c r="C486" s="13"/>
    </row>
    <row r="487" spans="1:3" ht="13" x14ac:dyDescent="0.15">
      <c r="A487" s="10"/>
      <c r="B487" s="13"/>
      <c r="C487" s="13"/>
    </row>
    <row r="488" spans="1:3" ht="13" x14ac:dyDescent="0.15">
      <c r="A488" s="10"/>
      <c r="B488" s="13"/>
      <c r="C488" s="13"/>
    </row>
    <row r="489" spans="1:3" ht="13" x14ac:dyDescent="0.15">
      <c r="A489" s="10"/>
      <c r="B489" s="13"/>
      <c r="C489" s="13"/>
    </row>
    <row r="490" spans="1:3" ht="13" x14ac:dyDescent="0.15">
      <c r="A490" s="10"/>
      <c r="B490" s="13"/>
      <c r="C490" s="13"/>
    </row>
    <row r="491" spans="1:3" ht="13" x14ac:dyDescent="0.15">
      <c r="A491" s="10"/>
      <c r="B491" s="13"/>
      <c r="C491" s="13"/>
    </row>
    <row r="492" spans="1:3" ht="13" x14ac:dyDescent="0.15">
      <c r="A492" s="10"/>
      <c r="B492" s="13"/>
      <c r="C492" s="13"/>
    </row>
    <row r="493" spans="1:3" ht="13" x14ac:dyDescent="0.15">
      <c r="A493" s="10"/>
      <c r="B493" s="13"/>
      <c r="C493" s="13"/>
    </row>
    <row r="494" spans="1:3" ht="13" x14ac:dyDescent="0.15">
      <c r="A494" s="10"/>
      <c r="B494" s="13"/>
      <c r="C494" s="13"/>
    </row>
    <row r="495" spans="1:3" ht="13" x14ac:dyDescent="0.15">
      <c r="A495" s="10"/>
      <c r="B495" s="13"/>
      <c r="C495" s="13"/>
    </row>
    <row r="496" spans="1:3" ht="13" x14ac:dyDescent="0.15">
      <c r="A496" s="10"/>
      <c r="B496" s="13"/>
      <c r="C496" s="13"/>
    </row>
    <row r="497" spans="1:3" ht="13" x14ac:dyDescent="0.15">
      <c r="A497" s="10"/>
      <c r="B497" s="13"/>
      <c r="C497" s="13"/>
    </row>
    <row r="498" spans="1:3" ht="13" x14ac:dyDescent="0.15">
      <c r="A498" s="10"/>
      <c r="B498" s="13"/>
      <c r="C498" s="13"/>
    </row>
    <row r="499" spans="1:3" ht="13" x14ac:dyDescent="0.15">
      <c r="A499" s="10"/>
      <c r="B499" s="13"/>
      <c r="C499" s="13"/>
    </row>
    <row r="500" spans="1:3" ht="13" x14ac:dyDescent="0.15">
      <c r="A500" s="10"/>
      <c r="B500" s="13"/>
      <c r="C500" s="13"/>
    </row>
    <row r="501" spans="1:3" ht="13" x14ac:dyDescent="0.15">
      <c r="A501" s="10"/>
      <c r="B501" s="13"/>
      <c r="C501" s="13"/>
    </row>
    <row r="502" spans="1:3" ht="13" x14ac:dyDescent="0.15">
      <c r="A502" s="10"/>
      <c r="B502" s="13"/>
      <c r="C502" s="13"/>
    </row>
    <row r="503" spans="1:3" ht="13" x14ac:dyDescent="0.15">
      <c r="A503" s="10"/>
      <c r="B503" s="13"/>
      <c r="C503" s="13"/>
    </row>
    <row r="504" spans="1:3" ht="13" x14ac:dyDescent="0.15">
      <c r="A504" s="10"/>
      <c r="B504" s="13"/>
      <c r="C504" s="13"/>
    </row>
    <row r="505" spans="1:3" ht="13" x14ac:dyDescent="0.15">
      <c r="A505" s="10"/>
      <c r="B505" s="13"/>
      <c r="C505" s="13"/>
    </row>
    <row r="506" spans="1:3" ht="13" x14ac:dyDescent="0.15">
      <c r="A506" s="10"/>
      <c r="B506" s="13"/>
      <c r="C506" s="13"/>
    </row>
    <row r="507" spans="1:3" ht="13" x14ac:dyDescent="0.15">
      <c r="A507" s="10"/>
      <c r="B507" s="13"/>
      <c r="C507" s="13"/>
    </row>
    <row r="508" spans="1:3" ht="13" x14ac:dyDescent="0.15">
      <c r="A508" s="10"/>
      <c r="B508" s="13"/>
      <c r="C508" s="13"/>
    </row>
    <row r="509" spans="1:3" ht="13" x14ac:dyDescent="0.15">
      <c r="A509" s="10"/>
      <c r="B509" s="13"/>
      <c r="C509" s="13"/>
    </row>
    <row r="510" spans="1:3" ht="13" x14ac:dyDescent="0.15">
      <c r="A510" s="10"/>
      <c r="B510" s="13"/>
      <c r="C510" s="13"/>
    </row>
    <row r="511" spans="1:3" ht="13" x14ac:dyDescent="0.15">
      <c r="A511" s="10"/>
      <c r="B511" s="13"/>
      <c r="C511" s="13"/>
    </row>
    <row r="512" spans="1:3" ht="13" x14ac:dyDescent="0.15">
      <c r="A512" s="10"/>
      <c r="B512" s="13"/>
      <c r="C512" s="13"/>
    </row>
    <row r="513" spans="1:3" ht="13" x14ac:dyDescent="0.15">
      <c r="A513" s="10"/>
      <c r="B513" s="13"/>
      <c r="C513" s="13"/>
    </row>
    <row r="514" spans="1:3" ht="13" x14ac:dyDescent="0.15">
      <c r="A514" s="10"/>
      <c r="B514" s="13"/>
      <c r="C514" s="13"/>
    </row>
    <row r="515" spans="1:3" ht="13" x14ac:dyDescent="0.15">
      <c r="A515" s="10"/>
      <c r="B515" s="13"/>
      <c r="C515" s="13"/>
    </row>
    <row r="516" spans="1:3" ht="13" x14ac:dyDescent="0.15">
      <c r="A516" s="10"/>
      <c r="B516" s="13"/>
      <c r="C516" s="13"/>
    </row>
    <row r="517" spans="1:3" ht="13" x14ac:dyDescent="0.15">
      <c r="A517" s="10"/>
      <c r="B517" s="13"/>
      <c r="C517" s="13"/>
    </row>
    <row r="518" spans="1:3" ht="13" x14ac:dyDescent="0.15">
      <c r="A518" s="10"/>
      <c r="B518" s="13"/>
      <c r="C518" s="13"/>
    </row>
    <row r="519" spans="1:3" ht="13" x14ac:dyDescent="0.15">
      <c r="A519" s="10"/>
      <c r="B519" s="13"/>
      <c r="C519" s="13"/>
    </row>
    <row r="520" spans="1:3" ht="13" x14ac:dyDescent="0.15">
      <c r="A520" s="10"/>
      <c r="B520" s="13"/>
      <c r="C520" s="13"/>
    </row>
    <row r="521" spans="1:3" ht="13" x14ac:dyDescent="0.15">
      <c r="A521" s="10"/>
      <c r="B521" s="13"/>
      <c r="C521" s="13"/>
    </row>
    <row r="522" spans="1:3" ht="13" x14ac:dyDescent="0.15">
      <c r="A522" s="10"/>
      <c r="B522" s="13"/>
      <c r="C522" s="13"/>
    </row>
    <row r="523" spans="1:3" ht="13" x14ac:dyDescent="0.15">
      <c r="A523" s="10"/>
      <c r="B523" s="13"/>
      <c r="C523" s="13"/>
    </row>
    <row r="524" spans="1:3" ht="13" x14ac:dyDescent="0.15">
      <c r="A524" s="10"/>
      <c r="B524" s="13"/>
      <c r="C524" s="13"/>
    </row>
    <row r="525" spans="1:3" ht="13" x14ac:dyDescent="0.15">
      <c r="A525" s="10"/>
      <c r="B525" s="13"/>
      <c r="C525" s="13"/>
    </row>
    <row r="526" spans="1:3" ht="13" x14ac:dyDescent="0.15">
      <c r="A526" s="10"/>
      <c r="B526" s="13"/>
      <c r="C526" s="13"/>
    </row>
    <row r="527" spans="1:3" ht="13" x14ac:dyDescent="0.15">
      <c r="A527" s="10"/>
      <c r="B527" s="13"/>
      <c r="C527" s="13"/>
    </row>
    <row r="528" spans="1:3" ht="13" x14ac:dyDescent="0.15">
      <c r="A528" s="10"/>
      <c r="B528" s="13"/>
      <c r="C528" s="13"/>
    </row>
    <row r="529" spans="1:3" ht="13" x14ac:dyDescent="0.15">
      <c r="A529" s="10"/>
      <c r="B529" s="13"/>
      <c r="C529" s="13"/>
    </row>
    <row r="530" spans="1:3" ht="13" x14ac:dyDescent="0.15">
      <c r="A530" s="10"/>
      <c r="B530" s="13"/>
      <c r="C530" s="13"/>
    </row>
    <row r="531" spans="1:3" ht="13" x14ac:dyDescent="0.15">
      <c r="A531" s="10"/>
      <c r="B531" s="13"/>
      <c r="C531" s="13"/>
    </row>
    <row r="532" spans="1:3" ht="13" x14ac:dyDescent="0.15">
      <c r="A532" s="10"/>
      <c r="B532" s="13"/>
      <c r="C532" s="13"/>
    </row>
    <row r="533" spans="1:3" ht="13" x14ac:dyDescent="0.15">
      <c r="A533" s="10"/>
      <c r="B533" s="13"/>
      <c r="C533" s="13"/>
    </row>
    <row r="534" spans="1:3" ht="13" x14ac:dyDescent="0.15">
      <c r="A534" s="10"/>
      <c r="B534" s="13"/>
      <c r="C534" s="13"/>
    </row>
    <row r="535" spans="1:3" ht="13" x14ac:dyDescent="0.15">
      <c r="A535" s="10"/>
      <c r="B535" s="13"/>
      <c r="C535" s="13"/>
    </row>
    <row r="536" spans="1:3" ht="13" x14ac:dyDescent="0.15">
      <c r="A536" s="10"/>
      <c r="B536" s="13"/>
      <c r="C536" s="13"/>
    </row>
    <row r="537" spans="1:3" ht="13" x14ac:dyDescent="0.15">
      <c r="A537" s="10"/>
      <c r="B537" s="13"/>
      <c r="C537" s="13"/>
    </row>
    <row r="538" spans="1:3" ht="13" x14ac:dyDescent="0.15">
      <c r="A538" s="10"/>
      <c r="B538" s="13"/>
      <c r="C538" s="13"/>
    </row>
    <row r="539" spans="1:3" ht="13" x14ac:dyDescent="0.15">
      <c r="A539" s="10"/>
      <c r="B539" s="13"/>
      <c r="C539" s="13"/>
    </row>
    <row r="540" spans="1:3" ht="13" x14ac:dyDescent="0.15">
      <c r="A540" s="10"/>
      <c r="B540" s="13"/>
      <c r="C540" s="13"/>
    </row>
    <row r="541" spans="1:3" ht="13" x14ac:dyDescent="0.15">
      <c r="A541" s="10"/>
      <c r="B541" s="13"/>
      <c r="C541" s="13"/>
    </row>
    <row r="542" spans="1:3" ht="13" x14ac:dyDescent="0.15">
      <c r="A542" s="10"/>
      <c r="B542" s="13"/>
      <c r="C542" s="13"/>
    </row>
    <row r="543" spans="1:3" ht="13" x14ac:dyDescent="0.15">
      <c r="A543" s="10"/>
      <c r="B543" s="13"/>
      <c r="C543" s="13"/>
    </row>
    <row r="544" spans="1:3" ht="13" x14ac:dyDescent="0.15">
      <c r="A544" s="10"/>
      <c r="B544" s="13"/>
      <c r="C544" s="13"/>
    </row>
    <row r="545" spans="1:3" ht="13" x14ac:dyDescent="0.15">
      <c r="A545" s="10"/>
      <c r="B545" s="13"/>
      <c r="C545" s="13"/>
    </row>
    <row r="546" spans="1:3" ht="13" x14ac:dyDescent="0.15">
      <c r="A546" s="10"/>
      <c r="B546" s="13"/>
      <c r="C546" s="13"/>
    </row>
    <row r="547" spans="1:3" ht="13" x14ac:dyDescent="0.15">
      <c r="A547" s="10"/>
      <c r="B547" s="13"/>
      <c r="C547" s="13"/>
    </row>
    <row r="548" spans="1:3" ht="13" x14ac:dyDescent="0.15">
      <c r="A548" s="10"/>
      <c r="B548" s="13"/>
      <c r="C548" s="13"/>
    </row>
    <row r="549" spans="1:3" ht="13" x14ac:dyDescent="0.15">
      <c r="A549" s="10"/>
      <c r="B549" s="13"/>
      <c r="C549" s="13"/>
    </row>
    <row r="550" spans="1:3" ht="13" x14ac:dyDescent="0.15">
      <c r="A550" s="10"/>
      <c r="B550" s="13"/>
      <c r="C550" s="13"/>
    </row>
    <row r="551" spans="1:3" ht="13" x14ac:dyDescent="0.15">
      <c r="A551" s="10"/>
      <c r="B551" s="13"/>
      <c r="C551" s="13"/>
    </row>
    <row r="552" spans="1:3" ht="13" x14ac:dyDescent="0.15">
      <c r="A552" s="10"/>
      <c r="B552" s="13"/>
      <c r="C552" s="13"/>
    </row>
    <row r="553" spans="1:3" ht="13" x14ac:dyDescent="0.15">
      <c r="A553" s="10"/>
      <c r="B553" s="13"/>
      <c r="C553" s="13"/>
    </row>
    <row r="554" spans="1:3" ht="13" x14ac:dyDescent="0.15">
      <c r="A554" s="10"/>
      <c r="B554" s="13"/>
      <c r="C554" s="13"/>
    </row>
    <row r="555" spans="1:3" ht="13" x14ac:dyDescent="0.15">
      <c r="A555" s="10"/>
      <c r="B555" s="13"/>
      <c r="C555" s="13"/>
    </row>
    <row r="556" spans="1:3" ht="13" x14ac:dyDescent="0.15">
      <c r="A556" s="10"/>
      <c r="B556" s="13"/>
      <c r="C556" s="13"/>
    </row>
    <row r="557" spans="1:3" ht="13" x14ac:dyDescent="0.15">
      <c r="A557" s="10"/>
      <c r="B557" s="13"/>
      <c r="C557" s="13"/>
    </row>
    <row r="558" spans="1:3" ht="13" x14ac:dyDescent="0.15">
      <c r="A558" s="10"/>
      <c r="B558" s="13"/>
      <c r="C558" s="13"/>
    </row>
    <row r="559" spans="1:3" ht="13" x14ac:dyDescent="0.15">
      <c r="A559" s="10"/>
      <c r="B559" s="13"/>
      <c r="C559" s="13"/>
    </row>
    <row r="560" spans="1:3" ht="13" x14ac:dyDescent="0.15">
      <c r="A560" s="10"/>
      <c r="B560" s="13"/>
      <c r="C560" s="13"/>
    </row>
    <row r="561" spans="1:3" ht="13" x14ac:dyDescent="0.15">
      <c r="A561" s="10"/>
      <c r="B561" s="13"/>
      <c r="C561" s="13"/>
    </row>
    <row r="562" spans="1:3" ht="13" x14ac:dyDescent="0.15">
      <c r="A562" s="10"/>
      <c r="B562" s="13"/>
      <c r="C562" s="13"/>
    </row>
    <row r="563" spans="1:3" ht="13" x14ac:dyDescent="0.15">
      <c r="A563" s="10"/>
      <c r="B563" s="13"/>
      <c r="C563" s="13"/>
    </row>
    <row r="564" spans="1:3" ht="13" x14ac:dyDescent="0.15">
      <c r="A564" s="10"/>
      <c r="B564" s="13"/>
      <c r="C564" s="13"/>
    </row>
    <row r="565" spans="1:3" ht="13" x14ac:dyDescent="0.15">
      <c r="A565" s="10"/>
      <c r="B565" s="13"/>
      <c r="C565" s="13"/>
    </row>
    <row r="566" spans="1:3" ht="13" x14ac:dyDescent="0.15">
      <c r="A566" s="10"/>
      <c r="B566" s="13"/>
      <c r="C566" s="13"/>
    </row>
    <row r="567" spans="1:3" ht="13" x14ac:dyDescent="0.15">
      <c r="A567" s="10"/>
      <c r="B567" s="13"/>
      <c r="C567" s="13"/>
    </row>
    <row r="568" spans="1:3" ht="13" x14ac:dyDescent="0.15">
      <c r="A568" s="10"/>
      <c r="B568" s="13"/>
      <c r="C568" s="13"/>
    </row>
    <row r="569" spans="1:3" ht="13" x14ac:dyDescent="0.15">
      <c r="A569" s="10"/>
      <c r="B569" s="13"/>
      <c r="C569" s="13"/>
    </row>
    <row r="570" spans="1:3" ht="13" x14ac:dyDescent="0.15">
      <c r="A570" s="10"/>
      <c r="B570" s="13"/>
      <c r="C570" s="13"/>
    </row>
    <row r="571" spans="1:3" ht="13" x14ac:dyDescent="0.15">
      <c r="A571" s="10"/>
      <c r="B571" s="13"/>
      <c r="C571" s="13"/>
    </row>
    <row r="572" spans="1:3" ht="13" x14ac:dyDescent="0.15">
      <c r="A572" s="10"/>
      <c r="B572" s="13"/>
      <c r="C572" s="13"/>
    </row>
    <row r="573" spans="1:3" ht="13" x14ac:dyDescent="0.15">
      <c r="A573" s="10"/>
      <c r="B573" s="13"/>
      <c r="C573" s="13"/>
    </row>
    <row r="574" spans="1:3" ht="13" x14ac:dyDescent="0.15">
      <c r="A574" s="10"/>
      <c r="B574" s="13"/>
      <c r="C574" s="13"/>
    </row>
    <row r="575" spans="1:3" ht="13" x14ac:dyDescent="0.15">
      <c r="A575" s="10"/>
      <c r="B575" s="13"/>
      <c r="C575" s="13"/>
    </row>
    <row r="576" spans="1:3" ht="13" x14ac:dyDescent="0.15">
      <c r="A576" s="10"/>
      <c r="B576" s="13"/>
      <c r="C576" s="13"/>
    </row>
    <row r="577" spans="1:3" ht="13" x14ac:dyDescent="0.15">
      <c r="A577" s="10"/>
      <c r="B577" s="13"/>
      <c r="C577" s="13"/>
    </row>
    <row r="578" spans="1:3" ht="13" x14ac:dyDescent="0.15">
      <c r="A578" s="10"/>
      <c r="B578" s="13"/>
      <c r="C578" s="13"/>
    </row>
    <row r="579" spans="1:3" ht="13" x14ac:dyDescent="0.15">
      <c r="A579" s="10"/>
      <c r="B579" s="13"/>
      <c r="C579" s="13"/>
    </row>
    <row r="580" spans="1:3" ht="13" x14ac:dyDescent="0.15">
      <c r="A580" s="10"/>
      <c r="B580" s="13"/>
      <c r="C580" s="13"/>
    </row>
    <row r="581" spans="1:3" ht="13" x14ac:dyDescent="0.15">
      <c r="A581" s="10"/>
      <c r="B581" s="13"/>
      <c r="C581" s="13"/>
    </row>
    <row r="582" spans="1:3" ht="13" x14ac:dyDescent="0.15">
      <c r="A582" s="10"/>
      <c r="B582" s="13"/>
      <c r="C582" s="13"/>
    </row>
    <row r="583" spans="1:3" ht="13" x14ac:dyDescent="0.15">
      <c r="A583" s="10"/>
      <c r="B583" s="13"/>
      <c r="C583" s="13"/>
    </row>
    <row r="584" spans="1:3" ht="13" x14ac:dyDescent="0.15">
      <c r="A584" s="10"/>
      <c r="B584" s="13"/>
      <c r="C584" s="13"/>
    </row>
    <row r="585" spans="1:3" ht="13" x14ac:dyDescent="0.15">
      <c r="A585" s="10"/>
      <c r="B585" s="13"/>
      <c r="C585" s="13"/>
    </row>
    <row r="586" spans="1:3" ht="13" x14ac:dyDescent="0.15">
      <c r="A586" s="10"/>
      <c r="B586" s="13"/>
      <c r="C586" s="13"/>
    </row>
    <row r="587" spans="1:3" ht="13" x14ac:dyDescent="0.15">
      <c r="A587" s="10"/>
      <c r="B587" s="13"/>
      <c r="C587" s="13"/>
    </row>
    <row r="588" spans="1:3" ht="13" x14ac:dyDescent="0.15">
      <c r="A588" s="10"/>
      <c r="B588" s="13"/>
      <c r="C588" s="13"/>
    </row>
    <row r="589" spans="1:3" ht="13" x14ac:dyDescent="0.15">
      <c r="A589" s="10"/>
      <c r="B589" s="13"/>
      <c r="C589" s="13"/>
    </row>
    <row r="590" spans="1:3" ht="13" x14ac:dyDescent="0.15">
      <c r="A590" s="10"/>
      <c r="B590" s="13"/>
      <c r="C590" s="13"/>
    </row>
    <row r="591" spans="1:3" ht="13" x14ac:dyDescent="0.15">
      <c r="A591" s="10"/>
      <c r="B591" s="13"/>
      <c r="C591" s="13"/>
    </row>
    <row r="592" spans="1:3" ht="13" x14ac:dyDescent="0.15">
      <c r="A592" s="10"/>
      <c r="B592" s="13"/>
      <c r="C592" s="13"/>
    </row>
    <row r="593" spans="1:3" ht="13" x14ac:dyDescent="0.15">
      <c r="A593" s="10"/>
      <c r="B593" s="13"/>
      <c r="C593" s="13"/>
    </row>
    <row r="594" spans="1:3" ht="13" x14ac:dyDescent="0.15">
      <c r="A594" s="10"/>
      <c r="B594" s="13"/>
      <c r="C594" s="13"/>
    </row>
    <row r="595" spans="1:3" ht="13" x14ac:dyDescent="0.15">
      <c r="A595" s="10"/>
      <c r="B595" s="13"/>
      <c r="C595" s="13"/>
    </row>
    <row r="596" spans="1:3" ht="13" x14ac:dyDescent="0.15">
      <c r="A596" s="10"/>
      <c r="B596" s="13"/>
      <c r="C596" s="13"/>
    </row>
    <row r="597" spans="1:3" ht="13" x14ac:dyDescent="0.15">
      <c r="A597" s="10"/>
      <c r="B597" s="13"/>
      <c r="C597" s="13"/>
    </row>
    <row r="598" spans="1:3" ht="13" x14ac:dyDescent="0.15">
      <c r="A598" s="10"/>
      <c r="B598" s="13"/>
      <c r="C598" s="13"/>
    </row>
    <row r="599" spans="1:3" ht="13" x14ac:dyDescent="0.15">
      <c r="A599" s="10"/>
      <c r="B599" s="13"/>
      <c r="C599" s="13"/>
    </row>
    <row r="600" spans="1:3" ht="13" x14ac:dyDescent="0.15">
      <c r="A600" s="10"/>
      <c r="B600" s="13"/>
      <c r="C600" s="13"/>
    </row>
    <row r="601" spans="1:3" ht="13" x14ac:dyDescent="0.15">
      <c r="A601" s="10"/>
      <c r="B601" s="13"/>
      <c r="C601" s="13"/>
    </row>
    <row r="602" spans="1:3" ht="13" x14ac:dyDescent="0.15">
      <c r="A602" s="10"/>
      <c r="B602" s="13"/>
      <c r="C602" s="13"/>
    </row>
    <row r="603" spans="1:3" ht="13" x14ac:dyDescent="0.15">
      <c r="A603" s="10"/>
      <c r="B603" s="13"/>
      <c r="C603" s="13"/>
    </row>
    <row r="604" spans="1:3" ht="13" x14ac:dyDescent="0.15">
      <c r="A604" s="10"/>
      <c r="B604" s="13"/>
      <c r="C604" s="13"/>
    </row>
    <row r="605" spans="1:3" ht="13" x14ac:dyDescent="0.15">
      <c r="A605" s="10"/>
      <c r="B605" s="13"/>
      <c r="C605" s="13"/>
    </row>
    <row r="606" spans="1:3" ht="13" x14ac:dyDescent="0.15">
      <c r="A606" s="10"/>
      <c r="B606" s="13"/>
      <c r="C606" s="13"/>
    </row>
    <row r="607" spans="1:3" ht="13" x14ac:dyDescent="0.15">
      <c r="A607" s="10"/>
      <c r="B607" s="13"/>
      <c r="C607" s="13"/>
    </row>
    <row r="608" spans="1:3" ht="13" x14ac:dyDescent="0.15">
      <c r="A608" s="10"/>
      <c r="B608" s="13"/>
      <c r="C608" s="13"/>
    </row>
    <row r="609" spans="1:3" ht="13" x14ac:dyDescent="0.15">
      <c r="A609" s="10"/>
      <c r="B609" s="13"/>
      <c r="C609" s="13"/>
    </row>
    <row r="610" spans="1:3" ht="13" x14ac:dyDescent="0.15">
      <c r="A610" s="10"/>
      <c r="B610" s="13"/>
      <c r="C610" s="13"/>
    </row>
    <row r="611" spans="1:3" ht="13" x14ac:dyDescent="0.15">
      <c r="A611" s="10"/>
      <c r="B611" s="13"/>
      <c r="C611" s="13"/>
    </row>
    <row r="612" spans="1:3" ht="13" x14ac:dyDescent="0.15">
      <c r="A612" s="10"/>
      <c r="B612" s="13"/>
      <c r="C612" s="13"/>
    </row>
    <row r="613" spans="1:3" ht="13" x14ac:dyDescent="0.15">
      <c r="A613" s="10"/>
      <c r="B613" s="13"/>
      <c r="C613" s="13"/>
    </row>
    <row r="614" spans="1:3" ht="13" x14ac:dyDescent="0.15">
      <c r="A614" s="10"/>
      <c r="B614" s="13"/>
      <c r="C614" s="13"/>
    </row>
    <row r="615" spans="1:3" ht="13" x14ac:dyDescent="0.15">
      <c r="A615" s="10"/>
      <c r="B615" s="13"/>
      <c r="C615" s="13"/>
    </row>
    <row r="616" spans="1:3" ht="13" x14ac:dyDescent="0.15">
      <c r="A616" s="10"/>
      <c r="B616" s="13"/>
      <c r="C616" s="13"/>
    </row>
    <row r="617" spans="1:3" ht="13" x14ac:dyDescent="0.15">
      <c r="A617" s="10"/>
      <c r="B617" s="13"/>
      <c r="C617" s="13"/>
    </row>
    <row r="618" spans="1:3" ht="13" x14ac:dyDescent="0.15">
      <c r="A618" s="10"/>
      <c r="B618" s="13"/>
      <c r="C618" s="13"/>
    </row>
    <row r="619" spans="1:3" ht="13" x14ac:dyDescent="0.15">
      <c r="A619" s="10"/>
      <c r="B619" s="13"/>
      <c r="C619" s="13"/>
    </row>
    <row r="620" spans="1:3" ht="13" x14ac:dyDescent="0.15">
      <c r="A620" s="10"/>
      <c r="B620" s="13"/>
      <c r="C620" s="13"/>
    </row>
    <row r="621" spans="1:3" ht="13" x14ac:dyDescent="0.15">
      <c r="A621" s="10"/>
      <c r="B621" s="13"/>
      <c r="C621" s="13"/>
    </row>
    <row r="622" spans="1:3" ht="13" x14ac:dyDescent="0.15">
      <c r="A622" s="10"/>
      <c r="B622" s="13"/>
      <c r="C622" s="13"/>
    </row>
    <row r="623" spans="1:3" ht="13" x14ac:dyDescent="0.15">
      <c r="A623" s="10"/>
      <c r="B623" s="13"/>
      <c r="C623" s="13"/>
    </row>
    <row r="624" spans="1:3" ht="13" x14ac:dyDescent="0.15">
      <c r="A624" s="10"/>
      <c r="B624" s="13"/>
      <c r="C624" s="13"/>
    </row>
    <row r="625" spans="1:3" ht="13" x14ac:dyDescent="0.15">
      <c r="A625" s="10"/>
      <c r="B625" s="13"/>
      <c r="C625" s="13"/>
    </row>
    <row r="626" spans="1:3" ht="13" x14ac:dyDescent="0.15">
      <c r="A626" s="10"/>
      <c r="B626" s="13"/>
      <c r="C626" s="13"/>
    </row>
    <row r="627" spans="1:3" ht="13" x14ac:dyDescent="0.15">
      <c r="A627" s="10"/>
      <c r="B627" s="13"/>
      <c r="C627" s="13"/>
    </row>
    <row r="628" spans="1:3" ht="13" x14ac:dyDescent="0.15">
      <c r="A628" s="10"/>
      <c r="B628" s="13"/>
      <c r="C628" s="13"/>
    </row>
    <row r="629" spans="1:3" ht="13" x14ac:dyDescent="0.15">
      <c r="A629" s="10"/>
      <c r="B629" s="13"/>
      <c r="C629" s="13"/>
    </row>
    <row r="630" spans="1:3" ht="13" x14ac:dyDescent="0.15">
      <c r="A630" s="10"/>
      <c r="B630" s="13"/>
      <c r="C630" s="13"/>
    </row>
    <row r="631" spans="1:3" ht="13" x14ac:dyDescent="0.15">
      <c r="A631" s="10"/>
      <c r="B631" s="13"/>
      <c r="C631" s="13"/>
    </row>
    <row r="632" spans="1:3" ht="13" x14ac:dyDescent="0.15">
      <c r="A632" s="10"/>
      <c r="B632" s="13"/>
      <c r="C632" s="13"/>
    </row>
    <row r="633" spans="1:3" ht="13" x14ac:dyDescent="0.15">
      <c r="A633" s="10"/>
      <c r="B633" s="13"/>
      <c r="C633" s="13"/>
    </row>
    <row r="634" spans="1:3" ht="13" x14ac:dyDescent="0.15">
      <c r="A634" s="10"/>
      <c r="B634" s="13"/>
      <c r="C634" s="13"/>
    </row>
    <row r="635" spans="1:3" ht="13" x14ac:dyDescent="0.15">
      <c r="A635" s="10"/>
      <c r="B635" s="13"/>
      <c r="C635" s="13"/>
    </row>
    <row r="636" spans="1:3" ht="13" x14ac:dyDescent="0.15">
      <c r="A636" s="10"/>
      <c r="B636" s="13"/>
      <c r="C636" s="13"/>
    </row>
    <row r="637" spans="1:3" ht="13" x14ac:dyDescent="0.15">
      <c r="A637" s="10"/>
      <c r="B637" s="13"/>
      <c r="C637" s="13"/>
    </row>
    <row r="638" spans="1:3" ht="13" x14ac:dyDescent="0.15">
      <c r="A638" s="10"/>
      <c r="B638" s="13"/>
      <c r="C638" s="13"/>
    </row>
    <row r="639" spans="1:3" ht="13" x14ac:dyDescent="0.15">
      <c r="A639" s="10"/>
      <c r="B639" s="13"/>
      <c r="C639" s="13"/>
    </row>
    <row r="640" spans="1:3" ht="13" x14ac:dyDescent="0.15">
      <c r="A640" s="10"/>
      <c r="B640" s="13"/>
      <c r="C640" s="13"/>
    </row>
    <row r="641" spans="1:3" ht="13" x14ac:dyDescent="0.15">
      <c r="A641" s="10"/>
      <c r="B641" s="13"/>
      <c r="C641" s="13"/>
    </row>
    <row r="642" spans="1:3" ht="13" x14ac:dyDescent="0.15">
      <c r="A642" s="10"/>
      <c r="B642" s="13"/>
      <c r="C642" s="13"/>
    </row>
    <row r="643" spans="1:3" ht="13" x14ac:dyDescent="0.15">
      <c r="A643" s="10"/>
      <c r="B643" s="13"/>
      <c r="C643" s="13"/>
    </row>
    <row r="644" spans="1:3" ht="13" x14ac:dyDescent="0.15">
      <c r="A644" s="10"/>
      <c r="B644" s="13"/>
      <c r="C644" s="13"/>
    </row>
    <row r="645" spans="1:3" ht="13" x14ac:dyDescent="0.15">
      <c r="A645" s="10"/>
      <c r="B645" s="13"/>
      <c r="C645" s="13"/>
    </row>
    <row r="646" spans="1:3" ht="13" x14ac:dyDescent="0.15">
      <c r="A646" s="10"/>
      <c r="B646" s="13"/>
      <c r="C646" s="13"/>
    </row>
    <row r="647" spans="1:3" ht="13" x14ac:dyDescent="0.15">
      <c r="A647" s="10"/>
      <c r="B647" s="13"/>
      <c r="C647" s="13"/>
    </row>
    <row r="648" spans="1:3" ht="13" x14ac:dyDescent="0.15">
      <c r="A648" s="10"/>
      <c r="B648" s="13"/>
      <c r="C648" s="13"/>
    </row>
    <row r="649" spans="1:3" ht="13" x14ac:dyDescent="0.15">
      <c r="A649" s="10"/>
      <c r="B649" s="13"/>
      <c r="C649" s="13"/>
    </row>
    <row r="650" spans="1:3" ht="13" x14ac:dyDescent="0.15">
      <c r="A650" s="10"/>
      <c r="B650" s="13"/>
      <c r="C650" s="13"/>
    </row>
    <row r="651" spans="1:3" ht="13" x14ac:dyDescent="0.15">
      <c r="A651" s="10"/>
      <c r="B651" s="13"/>
      <c r="C651" s="13"/>
    </row>
    <row r="652" spans="1:3" ht="13" x14ac:dyDescent="0.15">
      <c r="A652" s="10"/>
      <c r="B652" s="13"/>
      <c r="C652" s="13"/>
    </row>
    <row r="653" spans="1:3" ht="13" x14ac:dyDescent="0.15">
      <c r="A653" s="10"/>
      <c r="B653" s="13"/>
      <c r="C653" s="13"/>
    </row>
    <row r="654" spans="1:3" ht="13" x14ac:dyDescent="0.15">
      <c r="A654" s="10"/>
      <c r="B654" s="13"/>
      <c r="C654" s="13"/>
    </row>
    <row r="655" spans="1:3" ht="13" x14ac:dyDescent="0.15">
      <c r="A655" s="10"/>
      <c r="B655" s="13"/>
      <c r="C655" s="13"/>
    </row>
    <row r="656" spans="1:3" ht="13" x14ac:dyDescent="0.15">
      <c r="A656" s="10"/>
      <c r="B656" s="13"/>
      <c r="C656" s="13"/>
    </row>
    <row r="657" spans="1:3" ht="13" x14ac:dyDescent="0.15">
      <c r="A657" s="10"/>
      <c r="B657" s="13"/>
      <c r="C657" s="13"/>
    </row>
    <row r="658" spans="1:3" ht="13" x14ac:dyDescent="0.15">
      <c r="A658" s="10"/>
      <c r="B658" s="13"/>
      <c r="C658" s="13"/>
    </row>
    <row r="659" spans="1:3" ht="13" x14ac:dyDescent="0.15">
      <c r="A659" s="10"/>
      <c r="B659" s="13"/>
      <c r="C659" s="13"/>
    </row>
    <row r="660" spans="1:3" ht="13" x14ac:dyDescent="0.15">
      <c r="A660" s="10"/>
      <c r="B660" s="13"/>
      <c r="C660" s="13"/>
    </row>
    <row r="661" spans="1:3" ht="13" x14ac:dyDescent="0.15">
      <c r="A661" s="10"/>
      <c r="B661" s="13"/>
      <c r="C661" s="13"/>
    </row>
    <row r="662" spans="1:3" ht="13" x14ac:dyDescent="0.15">
      <c r="A662" s="10"/>
      <c r="B662" s="13"/>
      <c r="C662" s="13"/>
    </row>
    <row r="663" spans="1:3" ht="13" x14ac:dyDescent="0.15">
      <c r="A663" s="10"/>
      <c r="B663" s="13"/>
      <c r="C663" s="13"/>
    </row>
    <row r="664" spans="1:3" ht="13" x14ac:dyDescent="0.15">
      <c r="A664" s="10"/>
      <c r="B664" s="13"/>
      <c r="C664" s="13"/>
    </row>
    <row r="665" spans="1:3" ht="13" x14ac:dyDescent="0.15">
      <c r="A665" s="10"/>
      <c r="B665" s="13"/>
      <c r="C665" s="13"/>
    </row>
    <row r="666" spans="1:3" ht="13" x14ac:dyDescent="0.15">
      <c r="A666" s="10"/>
      <c r="B666" s="13"/>
      <c r="C666" s="13"/>
    </row>
    <row r="667" spans="1:3" ht="13" x14ac:dyDescent="0.15">
      <c r="A667" s="10"/>
      <c r="B667" s="13"/>
      <c r="C667" s="13"/>
    </row>
    <row r="668" spans="1:3" ht="13" x14ac:dyDescent="0.15">
      <c r="A668" s="10"/>
      <c r="B668" s="13"/>
      <c r="C668" s="13"/>
    </row>
    <row r="669" spans="1:3" ht="13" x14ac:dyDescent="0.15">
      <c r="A669" s="10"/>
      <c r="B669" s="13"/>
      <c r="C669" s="13"/>
    </row>
    <row r="670" spans="1:3" ht="13" x14ac:dyDescent="0.15">
      <c r="A670" s="10"/>
      <c r="B670" s="13"/>
      <c r="C670" s="13"/>
    </row>
    <row r="671" spans="1:3" ht="13" x14ac:dyDescent="0.15">
      <c r="A671" s="10"/>
      <c r="B671" s="13"/>
      <c r="C671" s="13"/>
    </row>
    <row r="672" spans="1:3" ht="13" x14ac:dyDescent="0.15">
      <c r="A672" s="10"/>
      <c r="B672" s="13"/>
      <c r="C672" s="13"/>
    </row>
    <row r="673" spans="1:3" ht="13" x14ac:dyDescent="0.15">
      <c r="A673" s="10"/>
      <c r="B673" s="13"/>
      <c r="C673" s="13"/>
    </row>
    <row r="674" spans="1:3" ht="13" x14ac:dyDescent="0.15">
      <c r="A674" s="10"/>
      <c r="B674" s="13"/>
      <c r="C674" s="13"/>
    </row>
    <row r="675" spans="1:3" ht="13" x14ac:dyDescent="0.15">
      <c r="A675" s="10"/>
      <c r="B675" s="13"/>
      <c r="C675" s="13"/>
    </row>
    <row r="676" spans="1:3" ht="13" x14ac:dyDescent="0.15">
      <c r="A676" s="10"/>
      <c r="B676" s="13"/>
      <c r="C676" s="13"/>
    </row>
    <row r="677" spans="1:3" ht="13" x14ac:dyDescent="0.15">
      <c r="A677" s="10"/>
      <c r="B677" s="13"/>
      <c r="C677" s="13"/>
    </row>
    <row r="678" spans="1:3" ht="13" x14ac:dyDescent="0.15">
      <c r="A678" s="10"/>
      <c r="B678" s="13"/>
      <c r="C678" s="13"/>
    </row>
    <row r="679" spans="1:3" ht="13" x14ac:dyDescent="0.15">
      <c r="A679" s="10"/>
      <c r="B679" s="13"/>
      <c r="C679" s="13"/>
    </row>
    <row r="680" spans="1:3" ht="13" x14ac:dyDescent="0.15">
      <c r="A680" s="10"/>
      <c r="B680" s="13"/>
      <c r="C680" s="13"/>
    </row>
    <row r="681" spans="1:3" ht="13" x14ac:dyDescent="0.15">
      <c r="A681" s="10"/>
      <c r="B681" s="13"/>
      <c r="C681" s="13"/>
    </row>
    <row r="682" spans="1:3" ht="13" x14ac:dyDescent="0.15">
      <c r="A682" s="10"/>
      <c r="B682" s="13"/>
      <c r="C682" s="13"/>
    </row>
    <row r="683" spans="1:3" ht="13" x14ac:dyDescent="0.15">
      <c r="A683" s="10"/>
      <c r="B683" s="13"/>
      <c r="C683" s="13"/>
    </row>
    <row r="684" spans="1:3" ht="13" x14ac:dyDescent="0.15">
      <c r="A684" s="10"/>
      <c r="B684" s="13"/>
      <c r="C684" s="13"/>
    </row>
    <row r="685" spans="1:3" ht="13" x14ac:dyDescent="0.15">
      <c r="A685" s="10"/>
      <c r="B685" s="13"/>
      <c r="C685" s="13"/>
    </row>
    <row r="686" spans="1:3" ht="13" x14ac:dyDescent="0.15">
      <c r="A686" s="10"/>
      <c r="B686" s="13"/>
      <c r="C686" s="13"/>
    </row>
    <row r="687" spans="1:3" ht="13" x14ac:dyDescent="0.15">
      <c r="A687" s="10"/>
      <c r="B687" s="13"/>
      <c r="C687" s="13"/>
    </row>
    <row r="688" spans="1:3" ht="13" x14ac:dyDescent="0.15">
      <c r="A688" s="10"/>
      <c r="B688" s="13"/>
      <c r="C688" s="13"/>
    </row>
    <row r="689" spans="1:3" ht="13" x14ac:dyDescent="0.15">
      <c r="A689" s="10"/>
      <c r="B689" s="13"/>
      <c r="C689" s="13"/>
    </row>
    <row r="690" spans="1:3" ht="13" x14ac:dyDescent="0.15">
      <c r="A690" s="10"/>
      <c r="B690" s="13"/>
      <c r="C690" s="13"/>
    </row>
    <row r="691" spans="1:3" ht="13" x14ac:dyDescent="0.15">
      <c r="A691" s="10"/>
      <c r="B691" s="13"/>
      <c r="C691" s="13"/>
    </row>
    <row r="692" spans="1:3" ht="13" x14ac:dyDescent="0.15">
      <c r="A692" s="10"/>
      <c r="B692" s="13"/>
      <c r="C692" s="13"/>
    </row>
    <row r="693" spans="1:3" ht="13" x14ac:dyDescent="0.15">
      <c r="A693" s="10"/>
      <c r="B693" s="13"/>
      <c r="C693" s="13"/>
    </row>
    <row r="694" spans="1:3" ht="13" x14ac:dyDescent="0.15">
      <c r="A694" s="10"/>
      <c r="B694" s="13"/>
      <c r="C694" s="13"/>
    </row>
    <row r="695" spans="1:3" ht="13" x14ac:dyDescent="0.15">
      <c r="A695" s="10"/>
      <c r="B695" s="13"/>
      <c r="C695" s="13"/>
    </row>
    <row r="696" spans="1:3" ht="13" x14ac:dyDescent="0.15">
      <c r="A696" s="10"/>
      <c r="B696" s="13"/>
      <c r="C696" s="13"/>
    </row>
    <row r="697" spans="1:3" ht="13" x14ac:dyDescent="0.15">
      <c r="A697" s="10"/>
      <c r="B697" s="13"/>
      <c r="C697" s="13"/>
    </row>
    <row r="698" spans="1:3" ht="13" x14ac:dyDescent="0.15">
      <c r="A698" s="10"/>
      <c r="B698" s="13"/>
      <c r="C698" s="13"/>
    </row>
    <row r="699" spans="1:3" ht="13" x14ac:dyDescent="0.15">
      <c r="A699" s="10"/>
      <c r="B699" s="13"/>
      <c r="C699" s="13"/>
    </row>
    <row r="700" spans="1:3" ht="13" x14ac:dyDescent="0.15">
      <c r="A700" s="10"/>
      <c r="B700" s="13"/>
      <c r="C700" s="13"/>
    </row>
    <row r="701" spans="1:3" ht="13" x14ac:dyDescent="0.15">
      <c r="A701" s="10"/>
      <c r="B701" s="13"/>
      <c r="C701" s="13"/>
    </row>
    <row r="702" spans="1:3" ht="13" x14ac:dyDescent="0.15">
      <c r="A702" s="10"/>
      <c r="B702" s="13"/>
      <c r="C702" s="13"/>
    </row>
    <row r="703" spans="1:3" ht="13" x14ac:dyDescent="0.15">
      <c r="A703" s="10"/>
      <c r="B703" s="13"/>
      <c r="C703" s="13"/>
    </row>
    <row r="704" spans="1:3" ht="13" x14ac:dyDescent="0.15">
      <c r="A704" s="10"/>
      <c r="B704" s="13"/>
      <c r="C704" s="13"/>
    </row>
    <row r="705" spans="1:3" ht="13" x14ac:dyDescent="0.15">
      <c r="A705" s="10"/>
      <c r="B705" s="13"/>
      <c r="C705" s="13"/>
    </row>
    <row r="706" spans="1:3" ht="13" x14ac:dyDescent="0.15">
      <c r="A706" s="10"/>
      <c r="B706" s="13"/>
      <c r="C706" s="13"/>
    </row>
    <row r="707" spans="1:3" ht="13" x14ac:dyDescent="0.15">
      <c r="A707" s="10"/>
      <c r="B707" s="13"/>
      <c r="C707" s="13"/>
    </row>
    <row r="708" spans="1:3" ht="13" x14ac:dyDescent="0.15">
      <c r="A708" s="10"/>
      <c r="B708" s="13"/>
      <c r="C708" s="13"/>
    </row>
    <row r="709" spans="1:3" ht="13" x14ac:dyDescent="0.15">
      <c r="A709" s="10"/>
      <c r="B709" s="13"/>
      <c r="C709" s="13"/>
    </row>
    <row r="710" spans="1:3" ht="13" x14ac:dyDescent="0.15">
      <c r="A710" s="10"/>
      <c r="B710" s="13"/>
      <c r="C710" s="13"/>
    </row>
    <row r="711" spans="1:3" ht="13" x14ac:dyDescent="0.15">
      <c r="A711" s="10"/>
      <c r="B711" s="13"/>
      <c r="C711" s="13"/>
    </row>
    <row r="712" spans="1:3" ht="13" x14ac:dyDescent="0.15">
      <c r="A712" s="10"/>
      <c r="B712" s="13"/>
      <c r="C712" s="13"/>
    </row>
    <row r="713" spans="1:3" ht="13" x14ac:dyDescent="0.15">
      <c r="A713" s="10"/>
      <c r="B713" s="13"/>
      <c r="C713" s="13"/>
    </row>
    <row r="714" spans="1:3" ht="13" x14ac:dyDescent="0.15">
      <c r="A714" s="10"/>
      <c r="B714" s="13"/>
      <c r="C714" s="13"/>
    </row>
    <row r="715" spans="1:3" ht="13" x14ac:dyDescent="0.15">
      <c r="A715" s="10"/>
      <c r="B715" s="13"/>
      <c r="C715" s="13"/>
    </row>
    <row r="716" spans="1:3" ht="13" x14ac:dyDescent="0.15">
      <c r="A716" s="10"/>
      <c r="B716" s="13"/>
      <c r="C716" s="13"/>
    </row>
    <row r="717" spans="1:3" ht="13" x14ac:dyDescent="0.15">
      <c r="A717" s="10"/>
      <c r="B717" s="13"/>
      <c r="C717" s="13"/>
    </row>
    <row r="718" spans="1:3" ht="13" x14ac:dyDescent="0.15">
      <c r="A718" s="10"/>
      <c r="B718" s="13"/>
      <c r="C718" s="13"/>
    </row>
    <row r="719" spans="1:3" ht="13" x14ac:dyDescent="0.15">
      <c r="A719" s="10"/>
      <c r="B719" s="13"/>
      <c r="C719" s="13"/>
    </row>
    <row r="720" spans="1:3" ht="13" x14ac:dyDescent="0.15">
      <c r="A720" s="10"/>
      <c r="B720" s="13"/>
      <c r="C720" s="13"/>
    </row>
    <row r="721" spans="1:3" ht="13" x14ac:dyDescent="0.15">
      <c r="A721" s="10"/>
      <c r="B721" s="13"/>
      <c r="C721" s="13"/>
    </row>
    <row r="722" spans="1:3" ht="13" x14ac:dyDescent="0.15">
      <c r="A722" s="10"/>
      <c r="B722" s="13"/>
      <c r="C722" s="13"/>
    </row>
    <row r="723" spans="1:3" ht="13" x14ac:dyDescent="0.15">
      <c r="A723" s="10"/>
      <c r="B723" s="13"/>
      <c r="C723" s="13"/>
    </row>
    <row r="724" spans="1:3" ht="13" x14ac:dyDescent="0.15">
      <c r="A724" s="10"/>
      <c r="B724" s="13"/>
      <c r="C724" s="13"/>
    </row>
    <row r="725" spans="1:3" ht="13" x14ac:dyDescent="0.15">
      <c r="A725" s="10"/>
      <c r="B725" s="13"/>
      <c r="C725" s="13"/>
    </row>
    <row r="726" spans="1:3" ht="13" x14ac:dyDescent="0.15">
      <c r="A726" s="10"/>
      <c r="B726" s="13"/>
      <c r="C726" s="13"/>
    </row>
    <row r="727" spans="1:3" ht="13" x14ac:dyDescent="0.15">
      <c r="A727" s="10"/>
      <c r="B727" s="13"/>
      <c r="C727" s="13"/>
    </row>
    <row r="728" spans="1:3" ht="13" x14ac:dyDescent="0.15">
      <c r="A728" s="10"/>
      <c r="B728" s="13"/>
      <c r="C728" s="13"/>
    </row>
    <row r="729" spans="1:3" ht="13" x14ac:dyDescent="0.15">
      <c r="A729" s="10"/>
      <c r="B729" s="13"/>
      <c r="C729" s="13"/>
    </row>
    <row r="730" spans="1:3" ht="13" x14ac:dyDescent="0.15">
      <c r="A730" s="10"/>
      <c r="B730" s="13"/>
      <c r="C730" s="13"/>
    </row>
    <row r="731" spans="1:3" ht="13" x14ac:dyDescent="0.15">
      <c r="A731" s="10"/>
      <c r="B731" s="13"/>
      <c r="C731" s="13"/>
    </row>
    <row r="732" spans="1:3" ht="13" x14ac:dyDescent="0.15">
      <c r="A732" s="10"/>
      <c r="B732" s="13"/>
      <c r="C732" s="13"/>
    </row>
    <row r="733" spans="1:3" ht="13" x14ac:dyDescent="0.15">
      <c r="A733" s="10"/>
      <c r="B733" s="13"/>
      <c r="C733" s="13"/>
    </row>
    <row r="734" spans="1:3" ht="13" x14ac:dyDescent="0.15">
      <c r="A734" s="10"/>
      <c r="B734" s="13"/>
      <c r="C734" s="13"/>
    </row>
    <row r="735" spans="1:3" ht="13" x14ac:dyDescent="0.15">
      <c r="A735" s="10"/>
      <c r="B735" s="13"/>
      <c r="C735" s="13"/>
    </row>
    <row r="736" spans="1:3" ht="13" x14ac:dyDescent="0.15">
      <c r="A736" s="10"/>
      <c r="B736" s="13"/>
      <c r="C736" s="13"/>
    </row>
    <row r="737" spans="1:3" ht="13" x14ac:dyDescent="0.15">
      <c r="A737" s="10"/>
      <c r="B737" s="13"/>
      <c r="C737" s="13"/>
    </row>
    <row r="738" spans="1:3" ht="13" x14ac:dyDescent="0.15">
      <c r="A738" s="10"/>
      <c r="B738" s="13"/>
      <c r="C738" s="13"/>
    </row>
    <row r="739" spans="1:3" ht="13" x14ac:dyDescent="0.15">
      <c r="A739" s="10"/>
      <c r="B739" s="13"/>
      <c r="C739" s="13"/>
    </row>
    <row r="740" spans="1:3" ht="13" x14ac:dyDescent="0.15">
      <c r="A740" s="10"/>
      <c r="B740" s="13"/>
      <c r="C740" s="13"/>
    </row>
    <row r="741" spans="1:3" ht="13" x14ac:dyDescent="0.15">
      <c r="A741" s="10"/>
      <c r="B741" s="13"/>
      <c r="C741" s="13"/>
    </row>
    <row r="742" spans="1:3" ht="13" x14ac:dyDescent="0.15">
      <c r="A742" s="10"/>
      <c r="B742" s="13"/>
      <c r="C742" s="13"/>
    </row>
    <row r="743" spans="1:3" ht="13" x14ac:dyDescent="0.15">
      <c r="A743" s="10"/>
      <c r="B743" s="13"/>
      <c r="C743" s="13"/>
    </row>
    <row r="744" spans="1:3" ht="13" x14ac:dyDescent="0.15">
      <c r="A744" s="10"/>
      <c r="B744" s="13"/>
      <c r="C744" s="13"/>
    </row>
    <row r="745" spans="1:3" ht="13" x14ac:dyDescent="0.15">
      <c r="A745" s="10"/>
      <c r="B745" s="13"/>
      <c r="C745" s="13"/>
    </row>
    <row r="746" spans="1:3" ht="13" x14ac:dyDescent="0.15">
      <c r="A746" s="10"/>
      <c r="B746" s="13"/>
      <c r="C746" s="13"/>
    </row>
    <row r="747" spans="1:3" ht="13" x14ac:dyDescent="0.15">
      <c r="A747" s="10"/>
      <c r="B747" s="13"/>
      <c r="C747" s="13"/>
    </row>
    <row r="748" spans="1:3" ht="13" x14ac:dyDescent="0.15">
      <c r="A748" s="10"/>
      <c r="B748" s="13"/>
      <c r="C748" s="13"/>
    </row>
    <row r="749" spans="1:3" ht="13" x14ac:dyDescent="0.15">
      <c r="A749" s="10"/>
      <c r="B749" s="13"/>
      <c r="C749" s="13"/>
    </row>
    <row r="750" spans="1:3" ht="13" x14ac:dyDescent="0.15">
      <c r="A750" s="10"/>
      <c r="B750" s="13"/>
      <c r="C750" s="13"/>
    </row>
    <row r="751" spans="1:3" ht="13" x14ac:dyDescent="0.15">
      <c r="A751" s="10"/>
      <c r="B751" s="13"/>
      <c r="C751" s="13"/>
    </row>
    <row r="752" spans="1:3" ht="13" x14ac:dyDescent="0.15">
      <c r="A752" s="10"/>
      <c r="B752" s="13"/>
      <c r="C752" s="13"/>
    </row>
    <row r="753" spans="1:3" ht="13" x14ac:dyDescent="0.15">
      <c r="A753" s="10"/>
      <c r="B753" s="13"/>
      <c r="C753" s="13"/>
    </row>
    <row r="754" spans="1:3" ht="13" x14ac:dyDescent="0.15">
      <c r="A754" s="10"/>
      <c r="B754" s="13"/>
      <c r="C754" s="13"/>
    </row>
    <row r="755" spans="1:3" ht="13" x14ac:dyDescent="0.15">
      <c r="A755" s="10"/>
      <c r="B755" s="13"/>
      <c r="C755" s="13"/>
    </row>
    <row r="756" spans="1:3" ht="13" x14ac:dyDescent="0.15">
      <c r="A756" s="10"/>
      <c r="B756" s="13"/>
      <c r="C756" s="13"/>
    </row>
    <row r="757" spans="1:3" ht="13" x14ac:dyDescent="0.15">
      <c r="A757" s="10"/>
      <c r="B757" s="13"/>
      <c r="C757" s="13"/>
    </row>
    <row r="758" spans="1:3" ht="13" x14ac:dyDescent="0.15">
      <c r="A758" s="10"/>
      <c r="B758" s="13"/>
      <c r="C758" s="13"/>
    </row>
    <row r="759" spans="1:3" ht="13" x14ac:dyDescent="0.15">
      <c r="A759" s="10"/>
      <c r="B759" s="13"/>
      <c r="C759" s="13"/>
    </row>
    <row r="760" spans="1:3" ht="13" x14ac:dyDescent="0.15">
      <c r="A760" s="10"/>
      <c r="B760" s="13"/>
      <c r="C760" s="13"/>
    </row>
    <row r="761" spans="1:3" ht="13" x14ac:dyDescent="0.15">
      <c r="A761" s="10"/>
      <c r="B761" s="13"/>
      <c r="C761" s="13"/>
    </row>
    <row r="762" spans="1:3" ht="13" x14ac:dyDescent="0.15">
      <c r="A762" s="10"/>
      <c r="B762" s="13"/>
      <c r="C762" s="13"/>
    </row>
    <row r="763" spans="1:3" ht="13" x14ac:dyDescent="0.15">
      <c r="A763" s="10"/>
      <c r="B763" s="13"/>
      <c r="C763" s="13"/>
    </row>
    <row r="764" spans="1:3" ht="13" x14ac:dyDescent="0.15">
      <c r="A764" s="10"/>
      <c r="B764" s="13"/>
      <c r="C764" s="13"/>
    </row>
    <row r="765" spans="1:3" ht="13" x14ac:dyDescent="0.15">
      <c r="A765" s="10"/>
      <c r="B765" s="13"/>
      <c r="C765" s="13"/>
    </row>
    <row r="766" spans="1:3" ht="13" x14ac:dyDescent="0.15">
      <c r="A766" s="10"/>
      <c r="B766" s="13"/>
      <c r="C766" s="13"/>
    </row>
    <row r="767" spans="1:3" ht="13" x14ac:dyDescent="0.15">
      <c r="A767" s="10"/>
      <c r="B767" s="13"/>
      <c r="C767" s="13"/>
    </row>
    <row r="768" spans="1:3" ht="13" x14ac:dyDescent="0.15">
      <c r="A768" s="10"/>
      <c r="B768" s="13"/>
      <c r="C768" s="13"/>
    </row>
    <row r="769" spans="1:3" ht="13" x14ac:dyDescent="0.15">
      <c r="A769" s="10"/>
      <c r="B769" s="13"/>
      <c r="C769" s="13"/>
    </row>
    <row r="770" spans="1:3" ht="13" x14ac:dyDescent="0.15">
      <c r="A770" s="10"/>
      <c r="B770" s="13"/>
      <c r="C770" s="13"/>
    </row>
    <row r="771" spans="1:3" ht="13" x14ac:dyDescent="0.15">
      <c r="A771" s="10"/>
      <c r="B771" s="13"/>
      <c r="C771" s="13"/>
    </row>
    <row r="772" spans="1:3" ht="13" x14ac:dyDescent="0.15">
      <c r="A772" s="10"/>
      <c r="B772" s="13"/>
      <c r="C772" s="13"/>
    </row>
    <row r="773" spans="1:3" ht="13" x14ac:dyDescent="0.15">
      <c r="A773" s="10"/>
      <c r="B773" s="13"/>
      <c r="C773" s="13"/>
    </row>
    <row r="774" spans="1:3" ht="13" x14ac:dyDescent="0.15">
      <c r="A774" s="10"/>
      <c r="B774" s="13"/>
      <c r="C774" s="13"/>
    </row>
    <row r="775" spans="1:3" ht="13" x14ac:dyDescent="0.15">
      <c r="A775" s="10"/>
      <c r="B775" s="13"/>
      <c r="C775" s="13"/>
    </row>
    <row r="776" spans="1:3" ht="13" x14ac:dyDescent="0.15">
      <c r="A776" s="10"/>
      <c r="B776" s="13"/>
      <c r="C776" s="13"/>
    </row>
    <row r="777" spans="1:3" ht="13" x14ac:dyDescent="0.15">
      <c r="A777" s="10"/>
      <c r="B777" s="13"/>
      <c r="C777" s="13"/>
    </row>
    <row r="778" spans="1:3" ht="13" x14ac:dyDescent="0.15">
      <c r="A778" s="10"/>
      <c r="B778" s="13"/>
      <c r="C778" s="13"/>
    </row>
    <row r="779" spans="1:3" ht="13" x14ac:dyDescent="0.15">
      <c r="A779" s="10"/>
      <c r="B779" s="13"/>
      <c r="C779" s="13"/>
    </row>
    <row r="780" spans="1:3" ht="13" x14ac:dyDescent="0.15">
      <c r="A780" s="10"/>
      <c r="B780" s="13"/>
      <c r="C780" s="13"/>
    </row>
    <row r="781" spans="1:3" ht="13" x14ac:dyDescent="0.15">
      <c r="A781" s="10"/>
      <c r="B781" s="13"/>
      <c r="C781" s="13"/>
    </row>
    <row r="782" spans="1:3" ht="13" x14ac:dyDescent="0.15">
      <c r="A782" s="10"/>
      <c r="B782" s="13"/>
      <c r="C782" s="13"/>
    </row>
    <row r="783" spans="1:3" ht="13" x14ac:dyDescent="0.15">
      <c r="A783" s="10"/>
      <c r="B783" s="13"/>
      <c r="C783" s="13"/>
    </row>
    <row r="784" spans="1:3" ht="13" x14ac:dyDescent="0.15">
      <c r="A784" s="10"/>
      <c r="B784" s="13"/>
      <c r="C784" s="13"/>
    </row>
    <row r="785" spans="1:3" ht="13" x14ac:dyDescent="0.15">
      <c r="A785" s="10"/>
      <c r="B785" s="13"/>
      <c r="C785" s="13"/>
    </row>
    <row r="786" spans="1:3" ht="13" x14ac:dyDescent="0.15">
      <c r="A786" s="10"/>
      <c r="B786" s="13"/>
      <c r="C786" s="13"/>
    </row>
    <row r="787" spans="1:3" ht="13" x14ac:dyDescent="0.15">
      <c r="A787" s="10"/>
      <c r="B787" s="13"/>
      <c r="C787" s="13"/>
    </row>
    <row r="788" spans="1:3" ht="13" x14ac:dyDescent="0.15">
      <c r="A788" s="10"/>
      <c r="B788" s="13"/>
      <c r="C788" s="13"/>
    </row>
    <row r="789" spans="1:3" ht="13" x14ac:dyDescent="0.15">
      <c r="A789" s="10"/>
      <c r="B789" s="13"/>
      <c r="C789" s="13"/>
    </row>
    <row r="790" spans="1:3" ht="13" x14ac:dyDescent="0.15">
      <c r="A790" s="10"/>
      <c r="B790" s="13"/>
      <c r="C790" s="13"/>
    </row>
    <row r="791" spans="1:3" ht="13" x14ac:dyDescent="0.15">
      <c r="A791" s="10"/>
      <c r="B791" s="13"/>
      <c r="C791" s="13"/>
    </row>
    <row r="792" spans="1:3" ht="13" x14ac:dyDescent="0.15">
      <c r="A792" s="10"/>
      <c r="B792" s="13"/>
      <c r="C792" s="13"/>
    </row>
    <row r="793" spans="1:3" ht="13" x14ac:dyDescent="0.15">
      <c r="A793" s="10"/>
      <c r="B793" s="13"/>
      <c r="C793" s="13"/>
    </row>
    <row r="794" spans="1:3" ht="13" x14ac:dyDescent="0.15">
      <c r="A794" s="10"/>
      <c r="B794" s="13"/>
      <c r="C794" s="13"/>
    </row>
    <row r="795" spans="1:3" ht="13" x14ac:dyDescent="0.15">
      <c r="A795" s="10"/>
      <c r="B795" s="13"/>
      <c r="C795" s="13"/>
    </row>
    <row r="796" spans="1:3" ht="13" x14ac:dyDescent="0.15">
      <c r="A796" s="10"/>
      <c r="B796" s="13"/>
      <c r="C796" s="13"/>
    </row>
    <row r="797" spans="1:3" ht="13" x14ac:dyDescent="0.15">
      <c r="A797" s="10"/>
      <c r="B797" s="13"/>
      <c r="C797" s="13"/>
    </row>
    <row r="798" spans="1:3" ht="13" x14ac:dyDescent="0.15">
      <c r="A798" s="10"/>
      <c r="B798" s="13"/>
      <c r="C798" s="13"/>
    </row>
    <row r="799" spans="1:3" ht="13" x14ac:dyDescent="0.15">
      <c r="A799" s="10"/>
      <c r="B799" s="13"/>
      <c r="C799" s="13"/>
    </row>
    <row r="800" spans="1:3" ht="13" x14ac:dyDescent="0.15">
      <c r="A800" s="10"/>
      <c r="B800" s="13"/>
      <c r="C800" s="13"/>
    </row>
    <row r="801" spans="1:3" ht="13" x14ac:dyDescent="0.15">
      <c r="A801" s="10"/>
      <c r="B801" s="13"/>
      <c r="C801" s="13"/>
    </row>
    <row r="802" spans="1:3" ht="13" x14ac:dyDescent="0.15">
      <c r="A802" s="10"/>
      <c r="B802" s="13"/>
      <c r="C802" s="13"/>
    </row>
    <row r="803" spans="1:3" ht="13" x14ac:dyDescent="0.15">
      <c r="A803" s="10"/>
      <c r="B803" s="13"/>
      <c r="C803" s="13"/>
    </row>
    <row r="804" spans="1:3" ht="13" x14ac:dyDescent="0.15">
      <c r="A804" s="10"/>
      <c r="B804" s="13"/>
      <c r="C804" s="13"/>
    </row>
    <row r="805" spans="1:3" ht="13" x14ac:dyDescent="0.15">
      <c r="A805" s="10"/>
      <c r="B805" s="13"/>
      <c r="C805" s="13"/>
    </row>
    <row r="806" spans="1:3" ht="13" x14ac:dyDescent="0.15">
      <c r="A806" s="10"/>
      <c r="B806" s="13"/>
      <c r="C806" s="13"/>
    </row>
    <row r="807" spans="1:3" ht="13" x14ac:dyDescent="0.15">
      <c r="A807" s="10"/>
      <c r="B807" s="13"/>
      <c r="C807" s="13"/>
    </row>
    <row r="808" spans="1:3" ht="13" x14ac:dyDescent="0.15">
      <c r="A808" s="10"/>
      <c r="B808" s="13"/>
      <c r="C808" s="13"/>
    </row>
    <row r="809" spans="1:3" ht="13" x14ac:dyDescent="0.15">
      <c r="A809" s="10"/>
      <c r="B809" s="13"/>
      <c r="C809" s="13"/>
    </row>
    <row r="810" spans="1:3" ht="13" x14ac:dyDescent="0.15">
      <c r="A810" s="10"/>
      <c r="B810" s="13"/>
      <c r="C810" s="13"/>
    </row>
    <row r="811" spans="1:3" ht="13" x14ac:dyDescent="0.15">
      <c r="A811" s="10"/>
      <c r="B811" s="13"/>
      <c r="C811" s="13"/>
    </row>
    <row r="812" spans="1:3" ht="13" x14ac:dyDescent="0.15">
      <c r="A812" s="10"/>
      <c r="B812" s="13"/>
      <c r="C812" s="13"/>
    </row>
    <row r="813" spans="1:3" ht="13" x14ac:dyDescent="0.15">
      <c r="A813" s="10"/>
      <c r="B813" s="13"/>
      <c r="C813" s="13"/>
    </row>
    <row r="814" spans="1:3" ht="13" x14ac:dyDescent="0.15">
      <c r="A814" s="10"/>
      <c r="B814" s="13"/>
      <c r="C814" s="13"/>
    </row>
    <row r="815" spans="1:3" ht="13" x14ac:dyDescent="0.15">
      <c r="A815" s="10"/>
      <c r="B815" s="13"/>
      <c r="C815" s="13"/>
    </row>
    <row r="816" spans="1:3" ht="13" x14ac:dyDescent="0.15">
      <c r="A816" s="10"/>
      <c r="B816" s="13"/>
      <c r="C816" s="13"/>
    </row>
    <row r="817" spans="1:3" ht="13" x14ac:dyDescent="0.15">
      <c r="A817" s="10"/>
      <c r="B817" s="13"/>
      <c r="C817" s="13"/>
    </row>
    <row r="818" spans="1:3" ht="13" x14ac:dyDescent="0.15">
      <c r="A818" s="10"/>
      <c r="B818" s="13"/>
      <c r="C818" s="13"/>
    </row>
    <row r="819" spans="1:3" ht="13" x14ac:dyDescent="0.15">
      <c r="A819" s="10"/>
      <c r="B819" s="13"/>
      <c r="C819" s="13"/>
    </row>
    <row r="820" spans="1:3" ht="13" x14ac:dyDescent="0.15">
      <c r="A820" s="10"/>
      <c r="B820" s="13"/>
      <c r="C820" s="13"/>
    </row>
    <row r="821" spans="1:3" ht="13" x14ac:dyDescent="0.15">
      <c r="A821" s="10"/>
      <c r="B821" s="13"/>
      <c r="C821" s="13"/>
    </row>
    <row r="822" spans="1:3" ht="13" x14ac:dyDescent="0.15">
      <c r="A822" s="10"/>
      <c r="B822" s="13"/>
      <c r="C822" s="13"/>
    </row>
    <row r="823" spans="1:3" ht="13" x14ac:dyDescent="0.15">
      <c r="A823" s="10"/>
      <c r="B823" s="13"/>
      <c r="C823" s="13"/>
    </row>
    <row r="824" spans="1:3" ht="13" x14ac:dyDescent="0.15">
      <c r="A824" s="10"/>
      <c r="B824" s="13"/>
      <c r="C824" s="13"/>
    </row>
    <row r="825" spans="1:3" ht="13" x14ac:dyDescent="0.15">
      <c r="A825" s="10"/>
      <c r="B825" s="13"/>
      <c r="C825" s="13"/>
    </row>
    <row r="826" spans="1:3" ht="13" x14ac:dyDescent="0.15">
      <c r="A826" s="10"/>
      <c r="B826" s="13"/>
      <c r="C826" s="13"/>
    </row>
    <row r="827" spans="1:3" ht="13" x14ac:dyDescent="0.15">
      <c r="A827" s="10"/>
      <c r="B827" s="13"/>
      <c r="C827" s="13"/>
    </row>
    <row r="828" spans="1:3" ht="13" x14ac:dyDescent="0.15">
      <c r="A828" s="10"/>
      <c r="B828" s="13"/>
      <c r="C828" s="13"/>
    </row>
    <row r="829" spans="1:3" ht="13" x14ac:dyDescent="0.15">
      <c r="A829" s="10"/>
      <c r="B829" s="13"/>
      <c r="C829" s="13"/>
    </row>
    <row r="830" spans="1:3" ht="13" x14ac:dyDescent="0.15">
      <c r="A830" s="10"/>
      <c r="B830" s="13"/>
      <c r="C830" s="13"/>
    </row>
    <row r="831" spans="1:3" ht="13" x14ac:dyDescent="0.15">
      <c r="A831" s="10"/>
      <c r="B831" s="13"/>
      <c r="C831" s="13"/>
    </row>
    <row r="832" spans="1:3" ht="13" x14ac:dyDescent="0.15">
      <c r="A832" s="10"/>
      <c r="B832" s="13"/>
      <c r="C832" s="13"/>
    </row>
    <row r="833" spans="1:3" ht="13" x14ac:dyDescent="0.15">
      <c r="A833" s="10"/>
      <c r="B833" s="13"/>
      <c r="C833" s="13"/>
    </row>
    <row r="834" spans="1:3" ht="13" x14ac:dyDescent="0.15">
      <c r="A834" s="10"/>
      <c r="B834" s="13"/>
      <c r="C834" s="13"/>
    </row>
    <row r="835" spans="1:3" ht="13" x14ac:dyDescent="0.15">
      <c r="A835" s="10"/>
      <c r="B835" s="13"/>
      <c r="C835" s="13"/>
    </row>
    <row r="836" spans="1:3" ht="13" x14ac:dyDescent="0.15">
      <c r="A836" s="10"/>
      <c r="B836" s="13"/>
      <c r="C836" s="13"/>
    </row>
    <row r="837" spans="1:3" ht="13" x14ac:dyDescent="0.15">
      <c r="A837" s="10"/>
      <c r="B837" s="13"/>
      <c r="C837" s="13"/>
    </row>
    <row r="838" spans="1:3" ht="13" x14ac:dyDescent="0.15">
      <c r="A838" s="10"/>
      <c r="B838" s="13"/>
      <c r="C838" s="13"/>
    </row>
    <row r="839" spans="1:3" ht="13" x14ac:dyDescent="0.15">
      <c r="A839" s="10"/>
      <c r="B839" s="13"/>
      <c r="C839" s="13"/>
    </row>
    <row r="840" spans="1:3" ht="13" x14ac:dyDescent="0.15">
      <c r="A840" s="10"/>
      <c r="B840" s="13"/>
      <c r="C840" s="13"/>
    </row>
    <row r="841" spans="1:3" ht="13" x14ac:dyDescent="0.15">
      <c r="A841" s="10"/>
      <c r="B841" s="13"/>
      <c r="C841" s="13"/>
    </row>
    <row r="842" spans="1:3" ht="13" x14ac:dyDescent="0.15">
      <c r="A842" s="10"/>
      <c r="B842" s="13"/>
      <c r="C842" s="13"/>
    </row>
    <row r="843" spans="1:3" ht="13" x14ac:dyDescent="0.15">
      <c r="A843" s="10"/>
      <c r="B843" s="13"/>
      <c r="C843" s="13"/>
    </row>
    <row r="844" spans="1:3" ht="13" x14ac:dyDescent="0.15">
      <c r="A844" s="10"/>
      <c r="B844" s="13"/>
      <c r="C844" s="13"/>
    </row>
    <row r="845" spans="1:3" ht="13" x14ac:dyDescent="0.15">
      <c r="A845" s="10"/>
      <c r="B845" s="13"/>
      <c r="C845" s="13"/>
    </row>
    <row r="846" spans="1:3" ht="13" x14ac:dyDescent="0.15">
      <c r="A846" s="10"/>
      <c r="B846" s="13"/>
      <c r="C846" s="13"/>
    </row>
    <row r="847" spans="1:3" ht="13" x14ac:dyDescent="0.15">
      <c r="A847" s="10"/>
      <c r="B847" s="13"/>
      <c r="C847" s="13"/>
    </row>
    <row r="848" spans="1:3" ht="13" x14ac:dyDescent="0.15">
      <c r="A848" s="10"/>
      <c r="B848" s="13"/>
      <c r="C848" s="13"/>
    </row>
    <row r="849" spans="1:3" ht="13" x14ac:dyDescent="0.15">
      <c r="A849" s="10"/>
      <c r="B849" s="13"/>
      <c r="C849" s="13"/>
    </row>
    <row r="850" spans="1:3" ht="13" x14ac:dyDescent="0.15">
      <c r="A850" s="10"/>
      <c r="B850" s="13"/>
      <c r="C850" s="13"/>
    </row>
    <row r="851" spans="1:3" ht="13" x14ac:dyDescent="0.15">
      <c r="A851" s="10"/>
      <c r="B851" s="13"/>
      <c r="C851" s="13"/>
    </row>
    <row r="852" spans="1:3" ht="13" x14ac:dyDescent="0.15">
      <c r="A852" s="10"/>
      <c r="B852" s="13"/>
      <c r="C852" s="13"/>
    </row>
    <row r="853" spans="1:3" ht="13" x14ac:dyDescent="0.15">
      <c r="A853" s="10"/>
      <c r="B853" s="13"/>
      <c r="C853" s="13"/>
    </row>
    <row r="854" spans="1:3" ht="13" x14ac:dyDescent="0.15">
      <c r="A854" s="10"/>
      <c r="B854" s="13"/>
      <c r="C854" s="13"/>
    </row>
    <row r="855" spans="1:3" ht="13" x14ac:dyDescent="0.15">
      <c r="A855" s="10"/>
      <c r="B855" s="13"/>
      <c r="C855" s="13"/>
    </row>
    <row r="856" spans="1:3" ht="13" x14ac:dyDescent="0.15">
      <c r="A856" s="10"/>
      <c r="B856" s="13"/>
      <c r="C856" s="13"/>
    </row>
    <row r="857" spans="1:3" ht="13" x14ac:dyDescent="0.15">
      <c r="A857" s="10"/>
      <c r="B857" s="13"/>
      <c r="C857" s="13"/>
    </row>
    <row r="858" spans="1:3" ht="13" x14ac:dyDescent="0.15">
      <c r="A858" s="10"/>
      <c r="B858" s="13"/>
      <c r="C858" s="13"/>
    </row>
    <row r="859" spans="1:3" ht="13" x14ac:dyDescent="0.15">
      <c r="A859" s="10"/>
      <c r="B859" s="13"/>
      <c r="C859" s="13"/>
    </row>
    <row r="860" spans="1:3" ht="13" x14ac:dyDescent="0.15">
      <c r="A860" s="10"/>
      <c r="B860" s="13"/>
      <c r="C860" s="13"/>
    </row>
    <row r="861" spans="1:3" ht="13" x14ac:dyDescent="0.15">
      <c r="A861" s="10"/>
      <c r="B861" s="13"/>
      <c r="C861" s="13"/>
    </row>
    <row r="862" spans="1:3" ht="13" x14ac:dyDescent="0.15">
      <c r="A862" s="10"/>
      <c r="B862" s="13"/>
      <c r="C862" s="13"/>
    </row>
    <row r="863" spans="1:3" ht="13" x14ac:dyDescent="0.15">
      <c r="A863" s="10"/>
      <c r="B863" s="13"/>
      <c r="C863" s="13"/>
    </row>
    <row r="864" spans="1:3" ht="13" x14ac:dyDescent="0.15">
      <c r="A864" s="10"/>
      <c r="B864" s="13"/>
      <c r="C864" s="13"/>
    </row>
    <row r="865" spans="1:3" ht="13" x14ac:dyDescent="0.15">
      <c r="A865" s="10"/>
      <c r="B865" s="13"/>
      <c r="C865" s="13"/>
    </row>
    <row r="866" spans="1:3" ht="13" x14ac:dyDescent="0.15">
      <c r="A866" s="10"/>
      <c r="B866" s="13"/>
      <c r="C866" s="13"/>
    </row>
    <row r="867" spans="1:3" ht="13" x14ac:dyDescent="0.15">
      <c r="A867" s="10"/>
      <c r="B867" s="13"/>
      <c r="C867" s="13"/>
    </row>
    <row r="868" spans="1:3" ht="13" x14ac:dyDescent="0.15">
      <c r="A868" s="10"/>
      <c r="B868" s="13"/>
      <c r="C868" s="13"/>
    </row>
    <row r="869" spans="1:3" ht="13" x14ac:dyDescent="0.15">
      <c r="A869" s="10"/>
      <c r="B869" s="13"/>
      <c r="C869" s="13"/>
    </row>
    <row r="870" spans="1:3" ht="13" x14ac:dyDescent="0.15">
      <c r="A870" s="10"/>
      <c r="B870" s="13"/>
      <c r="C870" s="13"/>
    </row>
    <row r="871" spans="1:3" ht="13" x14ac:dyDescent="0.15">
      <c r="A871" s="10"/>
      <c r="B871" s="13"/>
      <c r="C871" s="13"/>
    </row>
    <row r="872" spans="1:3" ht="13" x14ac:dyDescent="0.15">
      <c r="A872" s="10"/>
      <c r="B872" s="13"/>
      <c r="C872" s="13"/>
    </row>
    <row r="873" spans="1:3" ht="13" x14ac:dyDescent="0.15">
      <c r="A873" s="10"/>
      <c r="B873" s="13"/>
      <c r="C873" s="13"/>
    </row>
    <row r="874" spans="1:3" ht="13" x14ac:dyDescent="0.15">
      <c r="A874" s="10"/>
      <c r="B874" s="13"/>
      <c r="C874" s="13"/>
    </row>
    <row r="875" spans="1:3" ht="13" x14ac:dyDescent="0.15">
      <c r="A875" s="10"/>
      <c r="B875" s="13"/>
      <c r="C875" s="13"/>
    </row>
    <row r="876" spans="1:3" ht="13" x14ac:dyDescent="0.15">
      <c r="A876" s="10"/>
      <c r="B876" s="13"/>
      <c r="C876" s="13"/>
    </row>
    <row r="877" spans="1:3" ht="13" x14ac:dyDescent="0.15">
      <c r="A877" s="10"/>
      <c r="B877" s="13"/>
      <c r="C877" s="13"/>
    </row>
    <row r="878" spans="1:3" ht="13" x14ac:dyDescent="0.15">
      <c r="A878" s="10"/>
      <c r="B878" s="13"/>
      <c r="C878" s="13"/>
    </row>
    <row r="879" spans="1:3" ht="13" x14ac:dyDescent="0.15">
      <c r="A879" s="10"/>
      <c r="B879" s="13"/>
      <c r="C879" s="13"/>
    </row>
    <row r="880" spans="1:3" ht="13" x14ac:dyDescent="0.15">
      <c r="A880" s="10"/>
      <c r="B880" s="13"/>
      <c r="C880" s="13"/>
    </row>
    <row r="881" spans="1:3" ht="13" x14ac:dyDescent="0.15">
      <c r="A881" s="10"/>
      <c r="B881" s="13"/>
      <c r="C881" s="13"/>
    </row>
    <row r="882" spans="1:3" ht="13" x14ac:dyDescent="0.15">
      <c r="A882" s="10"/>
      <c r="B882" s="13"/>
      <c r="C882" s="13"/>
    </row>
    <row r="883" spans="1:3" ht="13" x14ac:dyDescent="0.15">
      <c r="A883" s="10"/>
      <c r="B883" s="13"/>
      <c r="C883" s="13"/>
    </row>
    <row r="884" spans="1:3" ht="13" x14ac:dyDescent="0.15">
      <c r="A884" s="10"/>
      <c r="B884" s="13"/>
      <c r="C884" s="13"/>
    </row>
    <row r="885" spans="1:3" ht="13" x14ac:dyDescent="0.15">
      <c r="A885" s="10"/>
      <c r="B885" s="13"/>
      <c r="C885" s="13"/>
    </row>
    <row r="886" spans="1:3" ht="13" x14ac:dyDescent="0.15">
      <c r="A886" s="10"/>
      <c r="B886" s="13"/>
      <c r="C886" s="13"/>
    </row>
    <row r="887" spans="1:3" ht="13" x14ac:dyDescent="0.15">
      <c r="A887" s="10"/>
      <c r="B887" s="13"/>
      <c r="C887" s="13"/>
    </row>
    <row r="888" spans="1:3" ht="13" x14ac:dyDescent="0.15">
      <c r="A888" s="10"/>
      <c r="B888" s="13"/>
      <c r="C888" s="13"/>
    </row>
    <row r="889" spans="1:3" ht="13" x14ac:dyDescent="0.15">
      <c r="A889" s="10"/>
      <c r="B889" s="13"/>
      <c r="C889" s="13"/>
    </row>
    <row r="890" spans="1:3" ht="13" x14ac:dyDescent="0.15">
      <c r="A890" s="10"/>
      <c r="B890" s="13"/>
      <c r="C890" s="13"/>
    </row>
    <row r="891" spans="1:3" ht="13" x14ac:dyDescent="0.15">
      <c r="A891" s="10"/>
      <c r="B891" s="13"/>
      <c r="C891" s="13"/>
    </row>
    <row r="892" spans="1:3" ht="13" x14ac:dyDescent="0.15">
      <c r="A892" s="10"/>
      <c r="B892" s="13"/>
      <c r="C892" s="13"/>
    </row>
    <row r="893" spans="1:3" ht="13" x14ac:dyDescent="0.15">
      <c r="A893" s="10"/>
      <c r="B893" s="13"/>
      <c r="C893" s="13"/>
    </row>
    <row r="894" spans="1:3" ht="13" x14ac:dyDescent="0.15">
      <c r="A894" s="10"/>
      <c r="B894" s="13"/>
      <c r="C894" s="13"/>
    </row>
    <row r="895" spans="1:3" ht="13" x14ac:dyDescent="0.15">
      <c r="A895" s="10"/>
      <c r="B895" s="13"/>
      <c r="C895" s="13"/>
    </row>
    <row r="896" spans="1:3" ht="13" x14ac:dyDescent="0.15">
      <c r="A896" s="10"/>
      <c r="B896" s="13"/>
      <c r="C896" s="13"/>
    </row>
    <row r="897" spans="1:3" ht="13" x14ac:dyDescent="0.15">
      <c r="A897" s="10"/>
      <c r="B897" s="13"/>
      <c r="C897" s="13"/>
    </row>
    <row r="898" spans="1:3" ht="13" x14ac:dyDescent="0.15">
      <c r="A898" s="10"/>
      <c r="B898" s="13"/>
      <c r="C898" s="13"/>
    </row>
    <row r="899" spans="1:3" ht="13" x14ac:dyDescent="0.15">
      <c r="A899" s="10"/>
      <c r="B899" s="13"/>
      <c r="C899" s="13"/>
    </row>
    <row r="900" spans="1:3" ht="13" x14ac:dyDescent="0.15">
      <c r="A900" s="10"/>
      <c r="B900" s="13"/>
      <c r="C900" s="13"/>
    </row>
    <row r="901" spans="1:3" ht="13" x14ac:dyDescent="0.15">
      <c r="A901" s="10"/>
      <c r="B901" s="13"/>
      <c r="C901" s="13"/>
    </row>
    <row r="902" spans="1:3" ht="13" x14ac:dyDescent="0.15">
      <c r="A902" s="10"/>
      <c r="B902" s="13"/>
      <c r="C902" s="13"/>
    </row>
    <row r="903" spans="1:3" ht="13" x14ac:dyDescent="0.15">
      <c r="A903" s="10"/>
      <c r="B903" s="13"/>
      <c r="C903" s="13"/>
    </row>
    <row r="904" spans="1:3" ht="13" x14ac:dyDescent="0.15">
      <c r="A904" s="10"/>
      <c r="B904" s="13"/>
      <c r="C904" s="13"/>
    </row>
    <row r="905" spans="1:3" ht="13" x14ac:dyDescent="0.15">
      <c r="A905" s="10"/>
      <c r="B905" s="13"/>
      <c r="C905" s="13"/>
    </row>
    <row r="906" spans="1:3" ht="13" x14ac:dyDescent="0.15">
      <c r="A906" s="10"/>
      <c r="B906" s="13"/>
      <c r="C906" s="13"/>
    </row>
    <row r="907" spans="1:3" ht="13" x14ac:dyDescent="0.15">
      <c r="A907" s="10"/>
      <c r="B907" s="13"/>
      <c r="C907" s="13"/>
    </row>
    <row r="908" spans="1:3" ht="13" x14ac:dyDescent="0.15">
      <c r="A908" s="10"/>
      <c r="B908" s="13"/>
      <c r="C908" s="13"/>
    </row>
    <row r="909" spans="1:3" ht="13" x14ac:dyDescent="0.15">
      <c r="A909" s="10"/>
      <c r="B909" s="13"/>
      <c r="C909" s="13"/>
    </row>
    <row r="910" spans="1:3" ht="13" x14ac:dyDescent="0.15">
      <c r="A910" s="10"/>
      <c r="B910" s="13"/>
      <c r="C910" s="13"/>
    </row>
    <row r="911" spans="1:3" ht="13" x14ac:dyDescent="0.15">
      <c r="A911" s="10"/>
      <c r="B911" s="13"/>
      <c r="C911" s="13"/>
    </row>
    <row r="912" spans="1:3" ht="13" x14ac:dyDescent="0.15">
      <c r="A912" s="10"/>
      <c r="B912" s="13"/>
      <c r="C912" s="13"/>
    </row>
    <row r="913" spans="1:3" ht="13" x14ac:dyDescent="0.15">
      <c r="A913" s="10"/>
      <c r="B913" s="13"/>
      <c r="C913" s="13"/>
    </row>
    <row r="914" spans="1:3" ht="13" x14ac:dyDescent="0.15">
      <c r="A914" s="10"/>
      <c r="B914" s="13"/>
      <c r="C914" s="13"/>
    </row>
    <row r="915" spans="1:3" ht="13" x14ac:dyDescent="0.15">
      <c r="A915" s="10"/>
      <c r="B915" s="13"/>
      <c r="C915" s="13"/>
    </row>
    <row r="916" spans="1:3" ht="13" x14ac:dyDescent="0.15">
      <c r="A916" s="10"/>
      <c r="B916" s="13"/>
      <c r="C916" s="13"/>
    </row>
    <row r="917" spans="1:3" ht="13" x14ac:dyDescent="0.15">
      <c r="A917" s="10"/>
      <c r="B917" s="13"/>
      <c r="C917" s="13"/>
    </row>
    <row r="918" spans="1:3" ht="13" x14ac:dyDescent="0.15">
      <c r="A918" s="10"/>
      <c r="B918" s="13"/>
      <c r="C918" s="13"/>
    </row>
    <row r="919" spans="1:3" ht="13" x14ac:dyDescent="0.15">
      <c r="A919" s="10"/>
      <c r="B919" s="13"/>
      <c r="C919" s="13"/>
    </row>
    <row r="920" spans="1:3" ht="13" x14ac:dyDescent="0.15">
      <c r="A920" s="10"/>
      <c r="B920" s="13"/>
      <c r="C920" s="13"/>
    </row>
    <row r="921" spans="1:3" ht="13" x14ac:dyDescent="0.15">
      <c r="A921" s="10"/>
      <c r="B921" s="13"/>
      <c r="C921" s="13"/>
    </row>
    <row r="922" spans="1:3" ht="13" x14ac:dyDescent="0.15">
      <c r="A922" s="10"/>
      <c r="B922" s="13"/>
      <c r="C922" s="13"/>
    </row>
    <row r="923" spans="1:3" ht="13" x14ac:dyDescent="0.15">
      <c r="A923" s="10"/>
      <c r="B923" s="13"/>
      <c r="C923" s="13"/>
    </row>
    <row r="924" spans="1:3" ht="13" x14ac:dyDescent="0.15">
      <c r="A924" s="10"/>
      <c r="B924" s="13"/>
      <c r="C924" s="13"/>
    </row>
    <row r="925" spans="1:3" ht="13" x14ac:dyDescent="0.15">
      <c r="A925" s="10"/>
      <c r="B925" s="13"/>
      <c r="C925" s="13"/>
    </row>
    <row r="926" spans="1:3" ht="13" x14ac:dyDescent="0.15">
      <c r="A926" s="10"/>
      <c r="B926" s="13"/>
      <c r="C926" s="13"/>
    </row>
    <row r="927" spans="1:3" ht="13" x14ac:dyDescent="0.15">
      <c r="A927" s="10"/>
      <c r="B927" s="13"/>
      <c r="C927" s="13"/>
    </row>
    <row r="928" spans="1:3" ht="13" x14ac:dyDescent="0.15">
      <c r="A928" s="10"/>
      <c r="B928" s="13"/>
      <c r="C928" s="13"/>
    </row>
    <row r="929" spans="1:3" ht="13" x14ac:dyDescent="0.15">
      <c r="A929" s="10"/>
      <c r="B929" s="13"/>
      <c r="C929" s="13"/>
    </row>
    <row r="930" spans="1:3" ht="13" x14ac:dyDescent="0.15">
      <c r="A930" s="10"/>
      <c r="B930" s="13"/>
      <c r="C930" s="13"/>
    </row>
    <row r="931" spans="1:3" ht="13" x14ac:dyDescent="0.15">
      <c r="A931" s="10"/>
      <c r="B931" s="13"/>
      <c r="C931" s="13"/>
    </row>
    <row r="932" spans="1:3" ht="13" x14ac:dyDescent="0.15">
      <c r="A932" s="10"/>
      <c r="B932" s="13"/>
      <c r="C932" s="13"/>
    </row>
    <row r="933" spans="1:3" ht="13" x14ac:dyDescent="0.15">
      <c r="A933" s="10"/>
      <c r="B933" s="13"/>
      <c r="C933" s="13"/>
    </row>
    <row r="934" spans="1:3" ht="13" x14ac:dyDescent="0.15">
      <c r="A934" s="10"/>
      <c r="B934" s="13"/>
      <c r="C934" s="13"/>
    </row>
    <row r="935" spans="1:3" ht="13" x14ac:dyDescent="0.15">
      <c r="A935" s="10"/>
      <c r="B935" s="13"/>
      <c r="C935" s="13"/>
    </row>
    <row r="936" spans="1:3" ht="13" x14ac:dyDescent="0.15">
      <c r="A936" s="10"/>
      <c r="B936" s="13"/>
      <c r="C936" s="13"/>
    </row>
    <row r="937" spans="1:3" ht="13" x14ac:dyDescent="0.15">
      <c r="A937" s="10"/>
      <c r="B937" s="13"/>
      <c r="C937" s="13"/>
    </row>
    <row r="938" spans="1:3" ht="13" x14ac:dyDescent="0.15">
      <c r="A938" s="10"/>
      <c r="B938" s="13"/>
      <c r="C938" s="13"/>
    </row>
    <row r="939" spans="1:3" ht="13" x14ac:dyDescent="0.15">
      <c r="A939" s="10"/>
      <c r="B939" s="13"/>
      <c r="C939" s="13"/>
    </row>
    <row r="940" spans="1:3" ht="13" x14ac:dyDescent="0.15">
      <c r="A940" s="10"/>
      <c r="B940" s="13"/>
      <c r="C940" s="13"/>
    </row>
    <row r="941" spans="1:3" ht="13" x14ac:dyDescent="0.15">
      <c r="A941" s="10"/>
      <c r="B941" s="13"/>
      <c r="C941" s="13"/>
    </row>
    <row r="942" spans="1:3" ht="13" x14ac:dyDescent="0.15">
      <c r="A942" s="10"/>
      <c r="B942" s="13"/>
      <c r="C942" s="13"/>
    </row>
    <row r="943" spans="1:3" ht="13" x14ac:dyDescent="0.15">
      <c r="A943" s="10"/>
      <c r="B943" s="13"/>
      <c r="C943" s="13"/>
    </row>
    <row r="944" spans="1:3" ht="13" x14ac:dyDescent="0.15">
      <c r="A944" s="10"/>
      <c r="B944" s="13"/>
      <c r="C944" s="13"/>
    </row>
    <row r="945" spans="1:3" ht="13" x14ac:dyDescent="0.15">
      <c r="A945" s="10"/>
      <c r="B945" s="13"/>
      <c r="C945" s="13"/>
    </row>
    <row r="946" spans="1:3" ht="13" x14ac:dyDescent="0.15">
      <c r="A946" s="10"/>
      <c r="B946" s="13"/>
      <c r="C946" s="13"/>
    </row>
    <row r="947" spans="1:3" ht="13" x14ac:dyDescent="0.15">
      <c r="A947" s="10"/>
      <c r="B947" s="13"/>
      <c r="C947" s="13"/>
    </row>
    <row r="948" spans="1:3" ht="13" x14ac:dyDescent="0.15">
      <c r="A948" s="10"/>
      <c r="B948" s="13"/>
      <c r="C948" s="13"/>
    </row>
    <row r="949" spans="1:3" ht="13" x14ac:dyDescent="0.15">
      <c r="A949" s="10"/>
      <c r="B949" s="13"/>
      <c r="C949" s="13"/>
    </row>
    <row r="950" spans="1:3" ht="13" x14ac:dyDescent="0.15">
      <c r="A950" s="10"/>
      <c r="B950" s="13"/>
      <c r="C950" s="13"/>
    </row>
    <row r="951" spans="1:3" ht="13" x14ac:dyDescent="0.15">
      <c r="A951" s="10"/>
      <c r="B951" s="13"/>
      <c r="C951" s="13"/>
    </row>
    <row r="952" spans="1:3" ht="13" x14ac:dyDescent="0.15">
      <c r="A952" s="10"/>
      <c r="B952" s="13"/>
      <c r="C952" s="13"/>
    </row>
    <row r="953" spans="1:3" ht="13" x14ac:dyDescent="0.15">
      <c r="A953" s="10"/>
      <c r="B953" s="13"/>
      <c r="C953" s="13"/>
    </row>
    <row r="954" spans="1:3" ht="13" x14ac:dyDescent="0.15">
      <c r="A954" s="10"/>
      <c r="B954" s="13"/>
      <c r="C954" s="13"/>
    </row>
    <row r="955" spans="1:3" ht="13" x14ac:dyDescent="0.15">
      <c r="A955" s="10"/>
      <c r="B955" s="13"/>
      <c r="C955" s="13"/>
    </row>
    <row r="956" spans="1:3" ht="13" x14ac:dyDescent="0.15">
      <c r="A956" s="10"/>
      <c r="B956" s="13"/>
      <c r="C956" s="13"/>
    </row>
    <row r="957" spans="1:3" ht="13" x14ac:dyDescent="0.15">
      <c r="A957" s="10"/>
      <c r="B957" s="13"/>
      <c r="C957" s="13"/>
    </row>
    <row r="958" spans="1:3" ht="13" x14ac:dyDescent="0.15">
      <c r="A958" s="10"/>
      <c r="B958" s="13"/>
      <c r="C958" s="13"/>
    </row>
    <row r="959" spans="1:3" ht="13" x14ac:dyDescent="0.15">
      <c r="A959" s="10"/>
      <c r="B959" s="13"/>
      <c r="C959" s="13"/>
    </row>
    <row r="960" spans="1:3" ht="13" x14ac:dyDescent="0.15">
      <c r="A960" s="10"/>
      <c r="B960" s="13"/>
      <c r="C960" s="13"/>
    </row>
    <row r="961" spans="1:3" ht="13" x14ac:dyDescent="0.15">
      <c r="A961" s="10"/>
      <c r="B961" s="13"/>
      <c r="C961" s="13"/>
    </row>
    <row r="962" spans="1:3" ht="13" x14ac:dyDescent="0.15">
      <c r="A962" s="10"/>
      <c r="B962" s="13"/>
      <c r="C962" s="13"/>
    </row>
    <row r="963" spans="1:3" ht="13" x14ac:dyDescent="0.15">
      <c r="A963" s="10"/>
      <c r="B963" s="13"/>
      <c r="C963" s="13"/>
    </row>
    <row r="964" spans="1:3" ht="13" x14ac:dyDescent="0.15">
      <c r="A964" s="10"/>
      <c r="B964" s="13"/>
      <c r="C964" s="13"/>
    </row>
    <row r="965" spans="1:3" ht="13" x14ac:dyDescent="0.15">
      <c r="A965" s="10"/>
      <c r="B965" s="13"/>
      <c r="C965" s="13"/>
    </row>
    <row r="966" spans="1:3" ht="13" x14ac:dyDescent="0.15">
      <c r="A966" s="10"/>
      <c r="B966" s="13"/>
      <c r="C966" s="13"/>
    </row>
    <row r="967" spans="1:3" ht="13" x14ac:dyDescent="0.15">
      <c r="A967" s="10"/>
      <c r="B967" s="13"/>
      <c r="C967" s="13"/>
    </row>
    <row r="968" spans="1:3" ht="13" x14ac:dyDescent="0.15">
      <c r="A968" s="10"/>
      <c r="B968" s="13"/>
      <c r="C968" s="13"/>
    </row>
    <row r="969" spans="1:3" ht="13" x14ac:dyDescent="0.15">
      <c r="A969" s="10"/>
      <c r="B969" s="13"/>
      <c r="C969" s="13"/>
    </row>
    <row r="970" spans="1:3" ht="13" x14ac:dyDescent="0.15">
      <c r="A970" s="10"/>
      <c r="B970" s="13"/>
      <c r="C970" s="13"/>
    </row>
    <row r="971" spans="1:3" ht="13" x14ac:dyDescent="0.15">
      <c r="A971" s="10"/>
      <c r="B971" s="13"/>
      <c r="C971" s="13"/>
    </row>
    <row r="972" spans="1:3" ht="13" x14ac:dyDescent="0.15">
      <c r="A972" s="10"/>
      <c r="B972" s="13"/>
      <c r="C972" s="13"/>
    </row>
    <row r="973" spans="1:3" ht="13" x14ac:dyDescent="0.15">
      <c r="A973" s="10"/>
      <c r="B973" s="13"/>
      <c r="C973" s="13"/>
    </row>
    <row r="974" spans="1:3" ht="13" x14ac:dyDescent="0.15">
      <c r="A974" s="10"/>
      <c r="B974" s="13"/>
      <c r="C974" s="13"/>
    </row>
    <row r="975" spans="1:3" ht="13" x14ac:dyDescent="0.15">
      <c r="A975" s="10"/>
      <c r="B975" s="13"/>
      <c r="C975" s="13"/>
    </row>
    <row r="976" spans="1:3" ht="13" x14ac:dyDescent="0.15">
      <c r="A976" s="10"/>
      <c r="B976" s="13"/>
      <c r="C976" s="13"/>
    </row>
    <row r="977" spans="1:3" ht="13" x14ac:dyDescent="0.15">
      <c r="A977" s="10"/>
      <c r="B977" s="13"/>
      <c r="C977" s="13"/>
    </row>
    <row r="978" spans="1:3" ht="13" x14ac:dyDescent="0.15">
      <c r="A978" s="10"/>
      <c r="B978" s="13"/>
      <c r="C978" s="13"/>
    </row>
    <row r="979" spans="1:3" ht="13" x14ac:dyDescent="0.15">
      <c r="A979" s="10"/>
      <c r="B979" s="13"/>
      <c r="C979" s="13"/>
    </row>
    <row r="980" spans="1:3" ht="13" x14ac:dyDescent="0.15">
      <c r="A980" s="10"/>
      <c r="B980" s="13"/>
      <c r="C980" s="13"/>
    </row>
    <row r="981" spans="1:3" ht="13" x14ac:dyDescent="0.15">
      <c r="A981" s="10"/>
      <c r="B981" s="13"/>
      <c r="C981" s="13"/>
    </row>
    <row r="982" spans="1:3" ht="13" x14ac:dyDescent="0.15">
      <c r="A982" s="10"/>
      <c r="B982" s="13"/>
      <c r="C982" s="13"/>
    </row>
    <row r="983" spans="1:3" ht="13" x14ac:dyDescent="0.15">
      <c r="A983" s="10"/>
      <c r="B983" s="13"/>
      <c r="C983" s="13"/>
    </row>
    <row r="984" spans="1:3" ht="13" x14ac:dyDescent="0.15">
      <c r="A984" s="10"/>
      <c r="B984" s="13"/>
      <c r="C984" s="13"/>
    </row>
    <row r="985" spans="1:3" ht="13" x14ac:dyDescent="0.15">
      <c r="A985" s="10"/>
      <c r="B985" s="13"/>
      <c r="C985" s="13"/>
    </row>
    <row r="986" spans="1:3" ht="13" x14ac:dyDescent="0.15">
      <c r="A986" s="10"/>
      <c r="B986" s="13"/>
      <c r="C986" s="13"/>
    </row>
    <row r="987" spans="1:3" ht="13" x14ac:dyDescent="0.15">
      <c r="A987" s="10"/>
      <c r="B987" s="13"/>
      <c r="C987" s="13"/>
    </row>
    <row r="988" spans="1:3" ht="13" x14ac:dyDescent="0.15">
      <c r="A988" s="10"/>
      <c r="B988" s="13"/>
      <c r="C988" s="13"/>
    </row>
    <row r="989" spans="1:3" ht="13" x14ac:dyDescent="0.15">
      <c r="A989" s="10"/>
      <c r="B989" s="13"/>
      <c r="C989" s="13"/>
    </row>
    <row r="990" spans="1:3" ht="13" x14ac:dyDescent="0.15">
      <c r="A990" s="10"/>
      <c r="B990" s="13"/>
      <c r="C990" s="13"/>
    </row>
    <row r="991" spans="1:3" ht="13" x14ac:dyDescent="0.15">
      <c r="A991" s="10"/>
      <c r="B991" s="13"/>
      <c r="C991" s="13"/>
    </row>
    <row r="992" spans="1:3" ht="13" x14ac:dyDescent="0.15">
      <c r="A992" s="10"/>
      <c r="B992" s="13"/>
      <c r="C992" s="13"/>
    </row>
    <row r="993" spans="1:3" ht="13" x14ac:dyDescent="0.15">
      <c r="A993" s="10"/>
      <c r="B993" s="13"/>
      <c r="C993" s="13"/>
    </row>
    <row r="994" spans="1:3" ht="13" x14ac:dyDescent="0.15">
      <c r="A994" s="10"/>
      <c r="B994" s="13"/>
      <c r="C994" s="13"/>
    </row>
    <row r="995" spans="1:3" ht="13" x14ac:dyDescent="0.15">
      <c r="A995" s="10"/>
      <c r="B995" s="13"/>
      <c r="C995" s="13"/>
    </row>
    <row r="996" spans="1:3" ht="13" x14ac:dyDescent="0.15">
      <c r="A996" s="10"/>
      <c r="B996" s="13"/>
      <c r="C996" s="13"/>
    </row>
    <row r="997" spans="1:3" ht="13" x14ac:dyDescent="0.15">
      <c r="A997" s="10"/>
      <c r="B997" s="13"/>
      <c r="C997" s="13"/>
    </row>
  </sheetData>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outlinePr summaryBelow="0" summaryRight="0"/>
  </sheetPr>
  <dimension ref="A1:D997"/>
  <sheetViews>
    <sheetView workbookViewId="0"/>
  </sheetViews>
  <sheetFormatPr baseColWidth="10" defaultColWidth="12.6640625" defaultRowHeight="15.75" customHeight="1" x14ac:dyDescent="0.15"/>
  <cols>
    <col min="1" max="1" width="71.5" customWidth="1"/>
    <col min="2" max="4" width="37.6640625" customWidth="1"/>
  </cols>
  <sheetData>
    <row r="1" spans="1:4" ht="15.75" customHeight="1" x14ac:dyDescent="0.15">
      <c r="A1" s="1"/>
      <c r="B1" s="10" t="str">
        <f ca="1">IFERROR(__xludf.DUMMYFUNCTION("IMPORTRANGE(""https://docs.google.com/spreadsheets/u/0/d/19yPRVnLV0A_2o92-w6L11RYWj24Qqnerv8i8p-ngiq4"", ""A94!B1:B22"")"),"Jackson Root")</f>
        <v>Jackson Root</v>
      </c>
      <c r="C1" s="10" t="str">
        <f ca="1">IFERROR(__xludf.DUMMYFUNCTION("IMPORTRANGE(""https://docs.google.com/spreadsheets/u/0/d/1QLAeYl5D81_Myo-agZdCgYFm7rliPzxg4xkt-QHL9OA"", ""A94!B1:B22"")"),"Rin Godfrey")</f>
        <v>Rin Godfrey</v>
      </c>
      <c r="D1" s="2" t="s">
        <v>1</v>
      </c>
    </row>
    <row r="2" spans="1:4" ht="15.75" customHeight="1" x14ac:dyDescent="0.15">
      <c r="A2" s="3" t="s">
        <v>2</v>
      </c>
      <c r="B2" s="15" t="str">
        <f ca="1">IFERROR(__xludf.DUMMYFUNCTION("""COMPUTED_VALUE"""),"Stop: 55659  For")</f>
        <v>Stop: 55659  For</v>
      </c>
      <c r="C2" s="15" t="str">
        <f ca="1">IFERROR(__xludf.DUMMYFUNCTION("""COMPUTED_VALUE"""),"Start: 55507
Stop: 55659 FOR")</f>
        <v>Start: 55507
Stop: 55659 FOR</v>
      </c>
      <c r="D2" s="4"/>
    </row>
    <row r="3" spans="1:4" ht="15.75" customHeight="1" x14ac:dyDescent="0.15">
      <c r="A3" s="5" t="s">
        <v>3</v>
      </c>
      <c r="B3" s="17" t="str">
        <f ca="1">IFERROR(__xludf.DUMMYFUNCTION("""COMPUTED_VALUE"""),"Pham: 94   DNA: 93")</f>
        <v>Pham: 94   DNA: 93</v>
      </c>
      <c r="C3" s="17" t="str">
        <f ca="1">IFERROR(__xludf.DUMMYFUNCTION("""COMPUTED_VALUE"""),"DNA Master: 93
Phamerator: 94")</f>
        <v>DNA Master: 93
Phamerator: 94</v>
      </c>
      <c r="D3" s="6"/>
    </row>
    <row r="4" spans="1:4" ht="15.75" customHeight="1" x14ac:dyDescent="0.15">
      <c r="A4" s="5" t="s">
        <v>4</v>
      </c>
      <c r="B4" s="17" t="str">
        <f ca="1">IFERROR(__xludf.DUMMYFUNCTION("""COMPUTED_VALUE"""),"pham 199408  03/17/25")</f>
        <v>pham 199408  03/17/25</v>
      </c>
      <c r="C4" s="17" t="str">
        <f ca="1">IFERROR(__xludf.DUMMYFUNCTION("""COMPUTED_VALUE"""),"199408 3/19/25")</f>
        <v>199408 3/19/25</v>
      </c>
      <c r="D4" s="6"/>
    </row>
    <row r="5" spans="1:4" ht="15.75" customHeight="1" x14ac:dyDescent="0.15">
      <c r="A5" s="5" t="s">
        <v>5</v>
      </c>
      <c r="B5" s="17" t="str">
        <f ca="1">IFERROR(__xludf.DUMMYFUNCTION("""COMPUTED_VALUE"""),"Kovu_92")</f>
        <v>Kovu_92</v>
      </c>
      <c r="C5" s="17" t="str">
        <f ca="1">IFERROR(__xludf.DUMMYFUNCTION("""COMPUTED_VALUE"""),"Kovu_92")</f>
        <v>Kovu_92</v>
      </c>
      <c r="D5" s="6"/>
    </row>
    <row r="6" spans="1:4" ht="15.75" customHeight="1" x14ac:dyDescent="0.15">
      <c r="A6" s="5" t="s">
        <v>6</v>
      </c>
      <c r="B6" s="17" t="str">
        <f ca="1">IFERROR(__xludf.DUMMYFUNCTION("""COMPUTED_VALUE"""),"Both call 55507")</f>
        <v>Both call 55507</v>
      </c>
      <c r="C6" s="17" t="str">
        <f ca="1">IFERROR(__xludf.DUMMYFUNCTION("""COMPUTED_VALUE"""),"Both called with a strength of 17.45")</f>
        <v>Both called with a strength of 17.45</v>
      </c>
      <c r="D6" s="6"/>
    </row>
    <row r="7" spans="1:4" ht="15.75" customHeight="1" x14ac:dyDescent="0.15">
      <c r="A7" s="5" t="s">
        <v>7</v>
      </c>
      <c r="B7" s="17" t="str">
        <f ca="1">IFERROR(__xludf.DUMMYFUNCTION("""COMPUTED_VALUE"""),"Yes it has coding potential, all coding potential captured with start")</f>
        <v>Yes it has coding potential, all coding potential captured with start</v>
      </c>
      <c r="C7" s="17" t="str">
        <f ca="1">IFERROR(__xludf.DUMMYFUNCTION("""COMPUTED_VALUE"""),"Good coding potential all is included.")</f>
        <v>Good coding potential all is included.</v>
      </c>
      <c r="D7" s="6"/>
    </row>
    <row r="8" spans="1:4" ht="15.75" customHeight="1" x14ac:dyDescent="0.15">
      <c r="A8" s="5" t="s">
        <v>8</v>
      </c>
      <c r="B8" s="17" t="str">
        <f ca="1">IFERROR(__xludf.DUMMYFUNCTION("""COMPUTED_VALUE"""),"Yes")</f>
        <v>Yes</v>
      </c>
      <c r="C8" s="17" t="str">
        <f ca="1">IFERROR(__xludf.DUMMYFUNCTION("""COMPUTED_VALUE"""),"There is two other longer starts to this gene.")</f>
        <v>There is two other longer starts to this gene.</v>
      </c>
      <c r="D8" s="6"/>
    </row>
    <row r="9" spans="1:4" ht="15.75" customHeight="1" x14ac:dyDescent="0.15">
      <c r="A9" s="5" t="s">
        <v>9</v>
      </c>
      <c r="B9" s="17" t="str">
        <f ca="1">IFERROR(__xludf.DUMMYFUNCTION("""COMPUTED_VALUE"""),"Gap w/ previous: 81 Bp; Overlap w/ next: 4 Bp")</f>
        <v>Gap w/ previous: 81 Bp; Overlap w/ next: 4 Bp</v>
      </c>
      <c r="C9" s="17" t="str">
        <f ca="1">IFERROR(__xludf.DUMMYFUNCTION("""COMPUTED_VALUE"""),"Gap of 80 nucleotides.")</f>
        <v>Gap of 80 nucleotides.</v>
      </c>
      <c r="D9" s="6"/>
    </row>
    <row r="10" spans="1:4" ht="15.75" customHeight="1" x14ac:dyDescent="0.15">
      <c r="A10" s="5" t="s">
        <v>10</v>
      </c>
      <c r="B10" s="17" t="str">
        <f ca="1">IFERROR(__xludf.DUMMYFUNCTION("""COMPUTED_VALUE"""),"current start has the best Z-val: 2.555")</f>
        <v>current start has the best Z-val: 2.555</v>
      </c>
      <c r="C10" s="17" t="str">
        <f ca="1">IFERROR(__xludf.DUMMYFUNCTION("""COMPUTED_VALUE"""),"RBS Raw -2.611, Z-score 2.555, and F-score -3.306. This is the best score")</f>
        <v>RBS Raw -2.611, Z-score 2.555, and F-score -3.306. This is the best score</v>
      </c>
      <c r="D10" s="6"/>
    </row>
    <row r="11" spans="1:4" ht="15.75" customHeight="1" x14ac:dyDescent="0.15">
      <c r="A11" s="5" t="s">
        <v>11</v>
      </c>
      <c r="B11" s="17" t="str">
        <f ca="1">IFERROR(__xludf.DUMMYFUNCTION("""COMPUTED_VALUE"""),"Kovu; %identity: 78.00%; E-val: 1.6e-9; Q1:T1")</f>
        <v>Kovu; %identity: 78.00%; E-val: 1.6e-9; Q1:T1</v>
      </c>
      <c r="C11" s="17" t="str">
        <f ca="1">IFERROR(__xludf.DUMMYFUNCTION("""COMPUTED_VALUE"""),"Kovu_92
78.00% identity, 2e-17
Q: 1-50
T: 1-50")</f>
        <v>Kovu_92
78.00% identity, 2e-17
Q: 1-50
T: 1-50</v>
      </c>
      <c r="D11" s="6"/>
    </row>
    <row r="12" spans="1:4" ht="15.75" customHeight="1" x14ac:dyDescent="0.15">
      <c r="A12" s="5" t="s">
        <v>12</v>
      </c>
      <c r="B12" s="17" t="str">
        <f ca="1">IFERROR(__xludf.DUMMYFUNCTION("""COMPUTED_VALUE"""),"Start is conserved, called 100% of the time when present (2/2) ")</f>
        <v xml:space="preserve">Start is conserved, called 100% of the time when present (2/2) </v>
      </c>
      <c r="C12" s="17" t="str">
        <f ca="1">IFERROR(__xludf.DUMMYFUNCTION("""COMPUTED_VALUE"""),"Found in all of the phams and is present 100% of the time.")</f>
        <v>Found in all of the phams and is present 100% of the time.</v>
      </c>
      <c r="D12" s="6"/>
    </row>
    <row r="13" spans="1:4" ht="15.75" customHeight="1" x14ac:dyDescent="0.15">
      <c r="A13" s="5" t="s">
        <v>13</v>
      </c>
      <c r="B13" s="17" t="str">
        <f ca="1">IFERROR(__xludf.DUMMYFUNCTION("""COMPUTED_VALUE"""),"no start change")</f>
        <v>no start change</v>
      </c>
      <c r="C13" s="17" t="str">
        <f ca="1">IFERROR(__xludf.DUMMYFUNCTION("""COMPUTED_VALUE"""),"No change to the start.")</f>
        <v>No change to the start.</v>
      </c>
      <c r="D13" s="6"/>
    </row>
    <row r="14" spans="1:4" ht="15.75" customHeight="1" x14ac:dyDescent="0.15">
      <c r="A14" s="5" t="s">
        <v>14</v>
      </c>
      <c r="B14" s="17" t="str">
        <f ca="1">IFERROR(__xludf.DUMMYFUNCTION("""COMPUTED_VALUE"""),"Kovu_92: 2e-16")</f>
        <v>Kovu_92: 2e-16</v>
      </c>
      <c r="C14" s="17" t="str">
        <f ca="1">IFERROR(__xludf.DUMMYFUNCTION("""COMPUTED_VALUE"""),"Kovu_92, 2e-16
TingHuaYa_Draft_28, 5.2")</f>
        <v>Kovu_92, 2e-16
TingHuaYa_Draft_28, 5.2</v>
      </c>
      <c r="D14" s="6"/>
    </row>
    <row r="15" spans="1:4" ht="15.75" customHeight="1" x14ac:dyDescent="0.15">
      <c r="A15" s="5" t="s">
        <v>15</v>
      </c>
      <c r="B15" s="17" t="str">
        <f ca="1">IFERROR(__xludf.DUMMYFUNCTION("""COMPUTED_VALUE"""),"Kovu: function unknown")</f>
        <v>Kovu: function unknown</v>
      </c>
      <c r="C15" s="17" t="str">
        <f ca="1">IFERROR(__xludf.DUMMYFUNCTION("""COMPUTED_VALUE"""),"Function unknown for both")</f>
        <v>Function unknown for both</v>
      </c>
      <c r="D15" s="6"/>
    </row>
    <row r="16" spans="1:4" ht="15.75" customHeight="1" x14ac:dyDescent="0.15">
      <c r="A16" s="5" t="s">
        <v>16</v>
      </c>
      <c r="B16" s="17" t="str">
        <f ca="1">IFERROR(__xludf.DUMMYFUNCTION("""COMPUTED_VALUE"""),"Yes, found in the same environment as Kovu_92")</f>
        <v>Yes, found in the same environment as Kovu_92</v>
      </c>
      <c r="C16" s="17" t="str">
        <f ca="1">IFERROR(__xludf.DUMMYFUNCTION("""COMPUTED_VALUE"""),"Matches and works well with kovu.")</f>
        <v>Matches and works well with kovu.</v>
      </c>
      <c r="D16" s="6"/>
    </row>
    <row r="17" spans="1:4" ht="15.75" customHeight="1" x14ac:dyDescent="0.15">
      <c r="A17" s="5" t="s">
        <v>17</v>
      </c>
      <c r="B17" s="17" t="str">
        <f ca="1">IFERROR(__xludf.DUMMYFUNCTION("""COMPUTED_VALUE""")," CorA-like Mg2+ transporter protein, Salmonella typhimurium Zn2+ transporter ZntB-like subfamily; magnesium/zinc transport protien?; Prob: 89.96%; %Q: 60% ; %T: 9.74%; function domain is in the alignment")</f>
        <v xml:space="preserve"> CorA-like Mg2+ transporter protein, Salmonella typhimurium Zn2+ transporter ZntB-like subfamily; magnesium/zinc transport protien?; Prob: 89.96%; %Q: 60% ; %T: 9.74%; function domain is in the alignment</v>
      </c>
      <c r="C17" s="17" t="str">
        <f ca="1">IFERROR(__xludf.DUMMYFUNCTION("""COMPUTED_VALUE"""),"5N9Y_E Zinc transport protein ZntB; ZntB, zinc transport, CorA, membrane protein;{Escherichia coli (strain K12)}
Probability: 59.6%
Query: 56%
Target: 9%
The function is only half matching with the targeted alignment.")</f>
        <v>5N9Y_E Zinc transport protein ZntB; ZntB, zinc transport, CorA, membrane protein;{Escherichia coli (strain K12)}
Probability: 59.6%
Query: 56%
Target: 9%
The function is only half matching with the targeted alignment.</v>
      </c>
      <c r="D17" s="6"/>
    </row>
    <row r="18" spans="1:4" ht="15.75" customHeight="1" x14ac:dyDescent="0.15">
      <c r="A18" s="5" t="s">
        <v>18</v>
      </c>
      <c r="B18" s="17" t="str">
        <f ca="1">IFERROR(__xludf.DUMMYFUNCTION("""COMPUTED_VALUE"""),"No conserved domain (only hit was a mambrane protein of Kovu_92)")</f>
        <v>No conserved domain (only hit was a mambrane protein of Kovu_92)</v>
      </c>
      <c r="C18" s="17" t="str">
        <f ca="1">IFERROR(__xludf.DUMMYFUNCTION("""COMPUTED_VALUE"""),"none")</f>
        <v>none</v>
      </c>
      <c r="D18" s="6"/>
    </row>
    <row r="19" spans="1:4" ht="15.75" customHeight="1" x14ac:dyDescent="0.15">
      <c r="A19" s="5" t="s">
        <v>19</v>
      </c>
      <c r="B19" s="17" t="str">
        <f ca="1">IFERROR(__xludf.DUMMYFUNCTION("""COMPUTED_VALUE"""),"is likely a membrane protein")</f>
        <v>is likely a membrane protein</v>
      </c>
      <c r="C19" s="17" t="str">
        <f ca="1">IFERROR(__xludf.DUMMYFUNCTION("""COMPUTED_VALUE"""),"deeptmhmm
Query Start (Amino Acid Position): 23
Query End (Amino Acid Position): 44
Type: transmembrane")</f>
        <v>deeptmhmm
Query Start (Amino Acid Position): 23
Query End (Amino Acid Position): 44
Type: transmembrane</v>
      </c>
      <c r="D19" s="6"/>
    </row>
    <row r="20" spans="1:4" ht="15.75" customHeight="1" x14ac:dyDescent="0.15">
      <c r="A20" s="5" t="s">
        <v>20</v>
      </c>
      <c r="B20" s="17" t="str">
        <f ca="1">IFERROR(__xludf.DUMMYFUNCTION("""COMPUTED_VALUE"""),"membrane protein; in the approved functions list, to call a membrane protein, the DeepTHMHH should be used, and since it came back as a positive hit for a membrane protien, it should be called as such")</f>
        <v>membrane protein; in the approved functions list, to call a membrane protein, the DeepTHMHH should be used, and since it came back as a positive hit for a membrane protien, it should be called as such</v>
      </c>
      <c r="C20" s="17" t="str">
        <f ca="1">IFERROR(__xludf.DUMMYFUNCTION("""COMPUTED_VALUE"""),"Unknown Function. There is no evident to call a function for this gene.")</f>
        <v>Unknown Function. There is no evident to call a function for this gene.</v>
      </c>
      <c r="D20" s="6"/>
    </row>
    <row r="21" spans="1:4" x14ac:dyDescent="0.2">
      <c r="A21" s="7"/>
      <c r="B21" s="19"/>
      <c r="C21" s="19"/>
      <c r="D21" s="8"/>
    </row>
    <row r="22" spans="1:4" ht="15.75" customHeight="1" x14ac:dyDescent="0.15">
      <c r="A22" s="9" t="s">
        <v>21</v>
      </c>
      <c r="B22" s="19"/>
      <c r="C22" s="19"/>
      <c r="D22" s="8"/>
    </row>
    <row r="23" spans="1:4" ht="15.75" customHeight="1" x14ac:dyDescent="0.15">
      <c r="A23" s="10"/>
      <c r="B23" s="13"/>
      <c r="C23" s="13"/>
    </row>
    <row r="24" spans="1:4" ht="15.75" customHeight="1" x14ac:dyDescent="0.15">
      <c r="A24" s="10"/>
      <c r="B24" s="13"/>
      <c r="C24" s="13"/>
    </row>
    <row r="25" spans="1:4" ht="15.75" customHeight="1" x14ac:dyDescent="0.15">
      <c r="A25" s="10"/>
      <c r="B25" s="13"/>
      <c r="C25" s="13"/>
    </row>
    <row r="26" spans="1:4" ht="15.75" customHeight="1" x14ac:dyDescent="0.15">
      <c r="A26" s="10"/>
      <c r="B26" s="13"/>
      <c r="C26" s="13"/>
    </row>
    <row r="27" spans="1:4" ht="15.75" customHeight="1" x14ac:dyDescent="0.15">
      <c r="A27" s="10"/>
      <c r="B27" s="13"/>
      <c r="C27" s="13"/>
    </row>
    <row r="28" spans="1:4" ht="15.75" customHeight="1" x14ac:dyDescent="0.15">
      <c r="A28" s="10"/>
      <c r="B28" s="13"/>
      <c r="C28" s="13"/>
    </row>
    <row r="29" spans="1:4" ht="15.75" customHeight="1" x14ac:dyDescent="0.15">
      <c r="A29" s="10"/>
      <c r="B29" s="13"/>
      <c r="C29" s="13"/>
    </row>
    <row r="30" spans="1:4" ht="15.75" customHeight="1" x14ac:dyDescent="0.15">
      <c r="A30" s="10"/>
      <c r="B30" s="13"/>
      <c r="C30" s="13"/>
    </row>
    <row r="31" spans="1:4" ht="15.75" customHeight="1" x14ac:dyDescent="0.15">
      <c r="A31" s="10"/>
      <c r="B31" s="13"/>
      <c r="C31" s="13"/>
    </row>
    <row r="32" spans="1:4" ht="15.75" customHeight="1" x14ac:dyDescent="0.15">
      <c r="A32" s="10"/>
      <c r="B32" s="13"/>
      <c r="C32" s="13"/>
    </row>
    <row r="33" spans="1:3" ht="15.75" customHeight="1" x14ac:dyDescent="0.15">
      <c r="A33" s="10"/>
      <c r="B33" s="13"/>
      <c r="C33" s="13"/>
    </row>
    <row r="34" spans="1:3" ht="15.75" customHeight="1" x14ac:dyDescent="0.15">
      <c r="A34" s="10"/>
      <c r="B34" s="13"/>
      <c r="C34" s="13"/>
    </row>
    <row r="35" spans="1:3" ht="15.75" customHeight="1" x14ac:dyDescent="0.15">
      <c r="A35" s="10"/>
      <c r="B35" s="13"/>
      <c r="C35" s="13"/>
    </row>
    <row r="36" spans="1:3" ht="15.75" customHeight="1" x14ac:dyDescent="0.15">
      <c r="A36" s="10"/>
      <c r="B36" s="13"/>
      <c r="C36" s="13"/>
    </row>
    <row r="37" spans="1:3" ht="15.75" customHeight="1" x14ac:dyDescent="0.15">
      <c r="A37" s="10"/>
      <c r="B37" s="13"/>
      <c r="C37" s="13"/>
    </row>
    <row r="38" spans="1:3" ht="15.75" customHeight="1" x14ac:dyDescent="0.15">
      <c r="A38" s="10"/>
      <c r="B38" s="13"/>
      <c r="C38" s="13"/>
    </row>
    <row r="39" spans="1:3" ht="13" x14ac:dyDescent="0.15">
      <c r="A39" s="10"/>
      <c r="B39" s="13"/>
      <c r="C39" s="13"/>
    </row>
    <row r="40" spans="1:3" ht="13" x14ac:dyDescent="0.15">
      <c r="A40" s="10"/>
      <c r="B40" s="13"/>
      <c r="C40" s="13"/>
    </row>
    <row r="41" spans="1:3" ht="13" x14ac:dyDescent="0.15">
      <c r="A41" s="10"/>
      <c r="B41" s="13"/>
      <c r="C41" s="13"/>
    </row>
    <row r="42" spans="1:3" ht="13" x14ac:dyDescent="0.15">
      <c r="A42" s="10"/>
      <c r="B42" s="13"/>
      <c r="C42" s="13"/>
    </row>
    <row r="43" spans="1:3" ht="13" x14ac:dyDescent="0.15">
      <c r="A43" s="10"/>
      <c r="B43" s="13"/>
      <c r="C43" s="13"/>
    </row>
    <row r="44" spans="1:3" ht="13" x14ac:dyDescent="0.15">
      <c r="A44" s="10"/>
      <c r="B44" s="13"/>
      <c r="C44" s="13"/>
    </row>
    <row r="45" spans="1:3" ht="13" x14ac:dyDescent="0.15">
      <c r="A45" s="10"/>
      <c r="B45" s="13"/>
      <c r="C45" s="13"/>
    </row>
    <row r="46" spans="1:3" ht="13" x14ac:dyDescent="0.15">
      <c r="A46" s="10"/>
      <c r="B46" s="13"/>
      <c r="C46" s="13"/>
    </row>
    <row r="47" spans="1:3" ht="13" x14ac:dyDescent="0.15">
      <c r="A47" s="10"/>
      <c r="B47" s="13"/>
      <c r="C47" s="13"/>
    </row>
    <row r="48" spans="1:3" ht="13" x14ac:dyDescent="0.15">
      <c r="A48" s="10"/>
      <c r="B48" s="13"/>
      <c r="C48" s="13"/>
    </row>
    <row r="49" spans="1:3" ht="13" x14ac:dyDescent="0.15">
      <c r="A49" s="10"/>
      <c r="B49" s="13"/>
      <c r="C49" s="13"/>
    </row>
    <row r="50" spans="1:3" ht="13" x14ac:dyDescent="0.15">
      <c r="A50" s="10"/>
      <c r="B50" s="13"/>
      <c r="C50" s="13"/>
    </row>
    <row r="51" spans="1:3" ht="13" x14ac:dyDescent="0.15">
      <c r="A51" s="10"/>
      <c r="B51" s="13"/>
      <c r="C51" s="13"/>
    </row>
    <row r="52" spans="1:3" ht="13" x14ac:dyDescent="0.15">
      <c r="A52" s="10"/>
      <c r="B52" s="13"/>
      <c r="C52" s="13"/>
    </row>
    <row r="53" spans="1:3" ht="13" x14ac:dyDescent="0.15">
      <c r="A53" s="10"/>
      <c r="B53" s="13"/>
      <c r="C53" s="13"/>
    </row>
    <row r="54" spans="1:3" ht="13" x14ac:dyDescent="0.15">
      <c r="A54" s="10"/>
      <c r="B54" s="13"/>
      <c r="C54" s="13"/>
    </row>
    <row r="55" spans="1:3" ht="13" x14ac:dyDescent="0.15">
      <c r="A55" s="10"/>
      <c r="B55" s="13"/>
      <c r="C55" s="13"/>
    </row>
    <row r="56" spans="1:3" ht="13" x14ac:dyDescent="0.15">
      <c r="A56" s="10"/>
      <c r="B56" s="13"/>
      <c r="C56" s="13"/>
    </row>
    <row r="57" spans="1:3" ht="13" x14ac:dyDescent="0.15">
      <c r="A57" s="10"/>
      <c r="B57" s="13"/>
      <c r="C57" s="13"/>
    </row>
    <row r="58" spans="1:3" ht="13" x14ac:dyDescent="0.15">
      <c r="A58" s="10"/>
      <c r="B58" s="13"/>
      <c r="C58" s="13"/>
    </row>
    <row r="59" spans="1:3" ht="13" x14ac:dyDescent="0.15">
      <c r="A59" s="10"/>
      <c r="B59" s="13"/>
      <c r="C59" s="13"/>
    </row>
    <row r="60" spans="1:3" ht="13" x14ac:dyDescent="0.15">
      <c r="A60" s="10"/>
      <c r="B60" s="13"/>
      <c r="C60" s="13"/>
    </row>
    <row r="61" spans="1:3" ht="13" x14ac:dyDescent="0.15">
      <c r="A61" s="10"/>
      <c r="B61" s="13"/>
      <c r="C61" s="13"/>
    </row>
    <row r="62" spans="1:3" ht="13" x14ac:dyDescent="0.15">
      <c r="A62" s="10"/>
      <c r="B62" s="13"/>
      <c r="C62" s="13"/>
    </row>
    <row r="63" spans="1:3" ht="13" x14ac:dyDescent="0.15">
      <c r="A63" s="10"/>
      <c r="B63" s="13"/>
      <c r="C63" s="13"/>
    </row>
    <row r="64" spans="1:3" ht="13" x14ac:dyDescent="0.15">
      <c r="A64" s="10"/>
      <c r="B64" s="13"/>
      <c r="C64" s="13"/>
    </row>
    <row r="65" spans="1:3" ht="13" x14ac:dyDescent="0.15">
      <c r="A65" s="10"/>
      <c r="B65" s="13"/>
      <c r="C65" s="13"/>
    </row>
    <row r="66" spans="1:3" ht="13" x14ac:dyDescent="0.15">
      <c r="A66" s="10"/>
      <c r="B66" s="13"/>
      <c r="C66" s="13"/>
    </row>
    <row r="67" spans="1:3" ht="13" x14ac:dyDescent="0.15">
      <c r="A67" s="10"/>
      <c r="B67" s="13"/>
      <c r="C67" s="13"/>
    </row>
    <row r="68" spans="1:3" ht="13" x14ac:dyDescent="0.15">
      <c r="A68" s="10"/>
      <c r="B68" s="13"/>
      <c r="C68" s="13"/>
    </row>
    <row r="69" spans="1:3" ht="13" x14ac:dyDescent="0.15">
      <c r="A69" s="10"/>
      <c r="B69" s="13"/>
      <c r="C69" s="13"/>
    </row>
    <row r="70" spans="1:3" ht="13" x14ac:dyDescent="0.15">
      <c r="A70" s="10"/>
      <c r="B70" s="13"/>
      <c r="C70" s="13"/>
    </row>
    <row r="71" spans="1:3" ht="13" x14ac:dyDescent="0.15">
      <c r="A71" s="10"/>
      <c r="B71" s="13"/>
      <c r="C71" s="13"/>
    </row>
    <row r="72" spans="1:3" ht="13" x14ac:dyDescent="0.15">
      <c r="A72" s="10"/>
      <c r="B72" s="13"/>
      <c r="C72" s="13"/>
    </row>
    <row r="73" spans="1:3" ht="13" x14ac:dyDescent="0.15">
      <c r="A73" s="10"/>
      <c r="B73" s="13"/>
      <c r="C73" s="13"/>
    </row>
    <row r="74" spans="1:3" ht="13" x14ac:dyDescent="0.15">
      <c r="A74" s="10"/>
      <c r="B74" s="13"/>
      <c r="C74" s="13"/>
    </row>
    <row r="75" spans="1:3" ht="13" x14ac:dyDescent="0.15">
      <c r="A75" s="10"/>
      <c r="B75" s="13"/>
      <c r="C75" s="13"/>
    </row>
    <row r="76" spans="1:3" ht="13" x14ac:dyDescent="0.15">
      <c r="A76" s="10"/>
      <c r="B76" s="13"/>
      <c r="C76" s="13"/>
    </row>
    <row r="77" spans="1:3" ht="13" x14ac:dyDescent="0.15">
      <c r="A77" s="10"/>
      <c r="B77" s="13"/>
      <c r="C77" s="13"/>
    </row>
    <row r="78" spans="1:3" ht="13" x14ac:dyDescent="0.15">
      <c r="A78" s="10"/>
      <c r="B78" s="13"/>
      <c r="C78" s="13"/>
    </row>
    <row r="79" spans="1:3" ht="13" x14ac:dyDescent="0.15">
      <c r="A79" s="10"/>
      <c r="B79" s="13"/>
      <c r="C79" s="13"/>
    </row>
    <row r="80" spans="1:3" ht="13" x14ac:dyDescent="0.15">
      <c r="A80" s="10"/>
      <c r="B80" s="13"/>
      <c r="C80" s="13"/>
    </row>
    <row r="81" spans="1:3" ht="13" x14ac:dyDescent="0.15">
      <c r="A81" s="10"/>
      <c r="B81" s="13"/>
      <c r="C81" s="13"/>
    </row>
    <row r="82" spans="1:3" ht="13" x14ac:dyDescent="0.15">
      <c r="A82" s="10"/>
      <c r="B82" s="13"/>
      <c r="C82" s="13"/>
    </row>
    <row r="83" spans="1:3" ht="13" x14ac:dyDescent="0.15">
      <c r="A83" s="10"/>
      <c r="B83" s="13"/>
      <c r="C83" s="13"/>
    </row>
    <row r="84" spans="1:3" ht="13" x14ac:dyDescent="0.15">
      <c r="A84" s="10"/>
      <c r="B84" s="13"/>
      <c r="C84" s="13"/>
    </row>
    <row r="85" spans="1:3" ht="13" x14ac:dyDescent="0.15">
      <c r="A85" s="10"/>
      <c r="B85" s="13"/>
      <c r="C85" s="13"/>
    </row>
    <row r="86" spans="1:3" ht="13" x14ac:dyDescent="0.15">
      <c r="A86" s="10"/>
      <c r="B86" s="13"/>
      <c r="C86" s="13"/>
    </row>
    <row r="87" spans="1:3" ht="13" x14ac:dyDescent="0.15">
      <c r="A87" s="10"/>
      <c r="B87" s="13"/>
      <c r="C87" s="13"/>
    </row>
    <row r="88" spans="1:3" ht="13" x14ac:dyDescent="0.15">
      <c r="A88" s="10"/>
      <c r="B88" s="13"/>
      <c r="C88" s="13"/>
    </row>
    <row r="89" spans="1:3" ht="13" x14ac:dyDescent="0.15">
      <c r="A89" s="10"/>
      <c r="B89" s="13"/>
      <c r="C89" s="13"/>
    </row>
    <row r="90" spans="1:3" ht="13" x14ac:dyDescent="0.15">
      <c r="A90" s="10"/>
      <c r="B90" s="13"/>
      <c r="C90" s="13"/>
    </row>
    <row r="91" spans="1:3" ht="13" x14ac:dyDescent="0.15">
      <c r="A91" s="10"/>
      <c r="B91" s="13"/>
      <c r="C91" s="13"/>
    </row>
    <row r="92" spans="1:3" ht="13" x14ac:dyDescent="0.15">
      <c r="A92" s="10"/>
      <c r="B92" s="13"/>
      <c r="C92" s="13"/>
    </row>
    <row r="93" spans="1:3" ht="13" x14ac:dyDescent="0.15">
      <c r="A93" s="10"/>
      <c r="B93" s="13"/>
      <c r="C93" s="13"/>
    </row>
    <row r="94" spans="1:3" ht="13" x14ac:dyDescent="0.15">
      <c r="A94" s="10"/>
      <c r="B94" s="13"/>
      <c r="C94" s="13"/>
    </row>
    <row r="95" spans="1:3" ht="13" x14ac:dyDescent="0.15">
      <c r="A95" s="10"/>
      <c r="B95" s="13"/>
      <c r="C95" s="13"/>
    </row>
    <row r="96" spans="1:3" ht="13" x14ac:dyDescent="0.15">
      <c r="A96" s="10"/>
      <c r="B96" s="13"/>
      <c r="C96" s="13"/>
    </row>
    <row r="97" spans="1:3" ht="13" x14ac:dyDescent="0.15">
      <c r="A97" s="10"/>
      <c r="B97" s="13"/>
      <c r="C97" s="13"/>
    </row>
    <row r="98" spans="1:3" ht="13" x14ac:dyDescent="0.15">
      <c r="A98" s="10"/>
      <c r="B98" s="13"/>
      <c r="C98" s="13"/>
    </row>
    <row r="99" spans="1:3" ht="13" x14ac:dyDescent="0.15">
      <c r="A99" s="10"/>
      <c r="B99" s="13"/>
      <c r="C99" s="13"/>
    </row>
    <row r="100" spans="1:3" ht="13" x14ac:dyDescent="0.15">
      <c r="A100" s="10"/>
      <c r="B100" s="13"/>
      <c r="C100" s="13"/>
    </row>
    <row r="101" spans="1:3" ht="13" x14ac:dyDescent="0.15">
      <c r="A101" s="10"/>
      <c r="B101" s="13"/>
      <c r="C101" s="13"/>
    </row>
    <row r="102" spans="1:3" ht="13" x14ac:dyDescent="0.15">
      <c r="A102" s="10"/>
      <c r="B102" s="13"/>
      <c r="C102" s="13"/>
    </row>
    <row r="103" spans="1:3" ht="13" x14ac:dyDescent="0.15">
      <c r="A103" s="10"/>
      <c r="B103" s="13"/>
      <c r="C103" s="13"/>
    </row>
    <row r="104" spans="1:3" ht="13" x14ac:dyDescent="0.15">
      <c r="A104" s="10"/>
      <c r="B104" s="13"/>
      <c r="C104" s="13"/>
    </row>
    <row r="105" spans="1:3" ht="13" x14ac:dyDescent="0.15">
      <c r="A105" s="10"/>
      <c r="B105" s="13"/>
      <c r="C105" s="13"/>
    </row>
    <row r="106" spans="1:3" ht="13" x14ac:dyDescent="0.15">
      <c r="A106" s="10"/>
      <c r="B106" s="13"/>
      <c r="C106" s="13"/>
    </row>
    <row r="107" spans="1:3" ht="13" x14ac:dyDescent="0.15">
      <c r="A107" s="10"/>
      <c r="B107" s="13"/>
      <c r="C107" s="13"/>
    </row>
    <row r="108" spans="1:3" ht="13" x14ac:dyDescent="0.15">
      <c r="A108" s="10"/>
      <c r="B108" s="13"/>
      <c r="C108" s="13"/>
    </row>
    <row r="109" spans="1:3" ht="13" x14ac:dyDescent="0.15">
      <c r="A109" s="10"/>
      <c r="B109" s="13"/>
      <c r="C109" s="13"/>
    </row>
    <row r="110" spans="1:3" ht="13" x14ac:dyDescent="0.15">
      <c r="A110" s="10"/>
      <c r="B110" s="13"/>
      <c r="C110" s="13"/>
    </row>
    <row r="111" spans="1:3" ht="13" x14ac:dyDescent="0.15">
      <c r="A111" s="10"/>
      <c r="B111" s="13"/>
      <c r="C111" s="13"/>
    </row>
    <row r="112" spans="1:3" ht="13" x14ac:dyDescent="0.15">
      <c r="A112" s="10"/>
      <c r="B112" s="13"/>
      <c r="C112" s="13"/>
    </row>
    <row r="113" spans="1:3" ht="13" x14ac:dyDescent="0.15">
      <c r="A113" s="10"/>
      <c r="B113" s="13"/>
      <c r="C113" s="13"/>
    </row>
    <row r="114" spans="1:3" ht="13" x14ac:dyDescent="0.15">
      <c r="A114" s="10"/>
      <c r="B114" s="13"/>
      <c r="C114" s="13"/>
    </row>
    <row r="115" spans="1:3" ht="13" x14ac:dyDescent="0.15">
      <c r="A115" s="10"/>
      <c r="B115" s="13"/>
      <c r="C115" s="13"/>
    </row>
    <row r="116" spans="1:3" ht="13" x14ac:dyDescent="0.15">
      <c r="A116" s="10"/>
      <c r="B116" s="13"/>
      <c r="C116" s="13"/>
    </row>
    <row r="117" spans="1:3" ht="13" x14ac:dyDescent="0.15">
      <c r="A117" s="10"/>
      <c r="B117" s="13"/>
      <c r="C117" s="13"/>
    </row>
    <row r="118" spans="1:3" ht="13" x14ac:dyDescent="0.15">
      <c r="A118" s="10"/>
      <c r="B118" s="13"/>
      <c r="C118" s="13"/>
    </row>
    <row r="119" spans="1:3" ht="13" x14ac:dyDescent="0.15">
      <c r="A119" s="10"/>
      <c r="B119" s="13"/>
      <c r="C119" s="13"/>
    </row>
    <row r="120" spans="1:3" ht="13" x14ac:dyDescent="0.15">
      <c r="A120" s="10"/>
      <c r="B120" s="13"/>
      <c r="C120" s="13"/>
    </row>
    <row r="121" spans="1:3" ht="13" x14ac:dyDescent="0.15">
      <c r="A121" s="10"/>
      <c r="B121" s="13"/>
      <c r="C121" s="13"/>
    </row>
    <row r="122" spans="1:3" ht="13" x14ac:dyDescent="0.15">
      <c r="A122" s="10"/>
      <c r="B122" s="13"/>
      <c r="C122" s="13"/>
    </row>
    <row r="123" spans="1:3" ht="13" x14ac:dyDescent="0.15">
      <c r="A123" s="10"/>
      <c r="B123" s="13"/>
      <c r="C123" s="13"/>
    </row>
    <row r="124" spans="1:3" ht="13" x14ac:dyDescent="0.15">
      <c r="A124" s="10"/>
      <c r="B124" s="13"/>
      <c r="C124" s="13"/>
    </row>
    <row r="125" spans="1:3" ht="13" x14ac:dyDescent="0.15">
      <c r="A125" s="10"/>
      <c r="B125" s="13"/>
      <c r="C125" s="13"/>
    </row>
    <row r="126" spans="1:3" ht="13" x14ac:dyDescent="0.15">
      <c r="A126" s="10"/>
      <c r="B126" s="13"/>
      <c r="C126" s="13"/>
    </row>
    <row r="127" spans="1:3" ht="13" x14ac:dyDescent="0.15">
      <c r="A127" s="10"/>
      <c r="B127" s="13"/>
      <c r="C127" s="13"/>
    </row>
    <row r="128" spans="1:3" ht="13" x14ac:dyDescent="0.15">
      <c r="A128" s="10"/>
      <c r="B128" s="13"/>
      <c r="C128" s="13"/>
    </row>
    <row r="129" spans="1:3" ht="13" x14ac:dyDescent="0.15">
      <c r="A129" s="10"/>
      <c r="B129" s="13"/>
      <c r="C129" s="13"/>
    </row>
    <row r="130" spans="1:3" ht="13" x14ac:dyDescent="0.15">
      <c r="A130" s="10"/>
      <c r="B130" s="13"/>
      <c r="C130" s="13"/>
    </row>
    <row r="131" spans="1:3" ht="13" x14ac:dyDescent="0.15">
      <c r="A131" s="10"/>
      <c r="B131" s="13"/>
      <c r="C131" s="13"/>
    </row>
    <row r="132" spans="1:3" ht="13" x14ac:dyDescent="0.15">
      <c r="A132" s="10"/>
      <c r="B132" s="13"/>
      <c r="C132" s="13"/>
    </row>
    <row r="133" spans="1:3" ht="13" x14ac:dyDescent="0.15">
      <c r="A133" s="10"/>
      <c r="B133" s="13"/>
      <c r="C133" s="13"/>
    </row>
    <row r="134" spans="1:3" ht="13" x14ac:dyDescent="0.15">
      <c r="A134" s="10"/>
      <c r="B134" s="13"/>
      <c r="C134" s="13"/>
    </row>
    <row r="135" spans="1:3" ht="13" x14ac:dyDescent="0.15">
      <c r="A135" s="10"/>
      <c r="B135" s="13"/>
      <c r="C135" s="13"/>
    </row>
    <row r="136" spans="1:3" ht="13" x14ac:dyDescent="0.15">
      <c r="A136" s="10"/>
      <c r="B136" s="13"/>
      <c r="C136" s="13"/>
    </row>
    <row r="137" spans="1:3" ht="13" x14ac:dyDescent="0.15">
      <c r="A137" s="10"/>
      <c r="B137" s="13"/>
      <c r="C137" s="13"/>
    </row>
    <row r="138" spans="1:3" ht="13" x14ac:dyDescent="0.15">
      <c r="A138" s="10"/>
      <c r="B138" s="13"/>
      <c r="C138" s="13"/>
    </row>
    <row r="139" spans="1:3" ht="13" x14ac:dyDescent="0.15">
      <c r="A139" s="10"/>
      <c r="B139" s="13"/>
      <c r="C139" s="13"/>
    </row>
    <row r="140" spans="1:3" ht="13" x14ac:dyDescent="0.15">
      <c r="A140" s="10"/>
      <c r="B140" s="13"/>
      <c r="C140" s="13"/>
    </row>
    <row r="141" spans="1:3" ht="13" x14ac:dyDescent="0.15">
      <c r="A141" s="10"/>
      <c r="B141" s="13"/>
      <c r="C141" s="13"/>
    </row>
    <row r="142" spans="1:3" ht="13" x14ac:dyDescent="0.15">
      <c r="A142" s="10"/>
      <c r="B142" s="13"/>
      <c r="C142" s="13"/>
    </row>
    <row r="143" spans="1:3" ht="13" x14ac:dyDescent="0.15">
      <c r="A143" s="10"/>
      <c r="B143" s="13"/>
      <c r="C143" s="13"/>
    </row>
    <row r="144" spans="1:3" ht="13" x14ac:dyDescent="0.15">
      <c r="A144" s="10"/>
      <c r="B144" s="13"/>
      <c r="C144" s="13"/>
    </row>
    <row r="145" spans="1:3" ht="13" x14ac:dyDescent="0.15">
      <c r="A145" s="10"/>
      <c r="B145" s="13"/>
      <c r="C145" s="13"/>
    </row>
    <row r="146" spans="1:3" ht="13" x14ac:dyDescent="0.15">
      <c r="A146" s="10"/>
      <c r="B146" s="13"/>
      <c r="C146" s="13"/>
    </row>
    <row r="147" spans="1:3" ht="13" x14ac:dyDescent="0.15">
      <c r="A147" s="10"/>
      <c r="B147" s="13"/>
      <c r="C147" s="13"/>
    </row>
    <row r="148" spans="1:3" ht="13" x14ac:dyDescent="0.15">
      <c r="A148" s="10"/>
      <c r="B148" s="13"/>
      <c r="C148" s="13"/>
    </row>
    <row r="149" spans="1:3" ht="13" x14ac:dyDescent="0.15">
      <c r="A149" s="10"/>
      <c r="B149" s="13"/>
      <c r="C149" s="13"/>
    </row>
    <row r="150" spans="1:3" ht="13" x14ac:dyDescent="0.15">
      <c r="A150" s="10"/>
      <c r="B150" s="13"/>
      <c r="C150" s="13"/>
    </row>
    <row r="151" spans="1:3" ht="13" x14ac:dyDescent="0.15">
      <c r="A151" s="10"/>
      <c r="B151" s="13"/>
      <c r="C151" s="13"/>
    </row>
    <row r="152" spans="1:3" ht="13" x14ac:dyDescent="0.15">
      <c r="A152" s="10"/>
      <c r="B152" s="13"/>
      <c r="C152" s="13"/>
    </row>
    <row r="153" spans="1:3" ht="13" x14ac:dyDescent="0.15">
      <c r="A153" s="10"/>
      <c r="B153" s="13"/>
      <c r="C153" s="13"/>
    </row>
    <row r="154" spans="1:3" ht="13" x14ac:dyDescent="0.15">
      <c r="A154" s="10"/>
      <c r="B154" s="13"/>
      <c r="C154" s="13"/>
    </row>
    <row r="155" spans="1:3" ht="13" x14ac:dyDescent="0.15">
      <c r="A155" s="10"/>
      <c r="B155" s="13"/>
      <c r="C155" s="13"/>
    </row>
    <row r="156" spans="1:3" ht="13" x14ac:dyDescent="0.15">
      <c r="A156" s="10"/>
      <c r="B156" s="13"/>
      <c r="C156" s="13"/>
    </row>
    <row r="157" spans="1:3" ht="13" x14ac:dyDescent="0.15">
      <c r="A157" s="10"/>
      <c r="B157" s="13"/>
      <c r="C157" s="13"/>
    </row>
    <row r="158" spans="1:3" ht="13" x14ac:dyDescent="0.15">
      <c r="A158" s="10"/>
      <c r="B158" s="13"/>
      <c r="C158" s="13"/>
    </row>
    <row r="159" spans="1:3" ht="13" x14ac:dyDescent="0.15">
      <c r="A159" s="10"/>
      <c r="B159" s="13"/>
      <c r="C159" s="13"/>
    </row>
    <row r="160" spans="1:3" ht="13" x14ac:dyDescent="0.15">
      <c r="A160" s="10"/>
      <c r="B160" s="13"/>
      <c r="C160" s="13"/>
    </row>
    <row r="161" spans="1:3" ht="13" x14ac:dyDescent="0.15">
      <c r="A161" s="10"/>
      <c r="B161" s="13"/>
      <c r="C161" s="13"/>
    </row>
    <row r="162" spans="1:3" ht="13" x14ac:dyDescent="0.15">
      <c r="A162" s="10"/>
      <c r="B162" s="13"/>
      <c r="C162" s="13"/>
    </row>
    <row r="163" spans="1:3" ht="13" x14ac:dyDescent="0.15">
      <c r="A163" s="10"/>
      <c r="B163" s="13"/>
      <c r="C163" s="13"/>
    </row>
    <row r="164" spans="1:3" ht="13" x14ac:dyDescent="0.15">
      <c r="A164" s="10"/>
      <c r="B164" s="13"/>
      <c r="C164" s="13"/>
    </row>
    <row r="165" spans="1:3" ht="13" x14ac:dyDescent="0.15">
      <c r="A165" s="10"/>
      <c r="B165" s="13"/>
      <c r="C165" s="13"/>
    </row>
    <row r="166" spans="1:3" ht="13" x14ac:dyDescent="0.15">
      <c r="A166" s="10"/>
      <c r="B166" s="13"/>
      <c r="C166" s="13"/>
    </row>
    <row r="167" spans="1:3" ht="13" x14ac:dyDescent="0.15">
      <c r="A167" s="10"/>
      <c r="B167" s="13"/>
      <c r="C167" s="13"/>
    </row>
    <row r="168" spans="1:3" ht="13" x14ac:dyDescent="0.15">
      <c r="A168" s="10"/>
      <c r="B168" s="13"/>
      <c r="C168" s="13"/>
    </row>
    <row r="169" spans="1:3" ht="13" x14ac:dyDescent="0.15">
      <c r="A169" s="10"/>
      <c r="B169" s="13"/>
      <c r="C169" s="13"/>
    </row>
    <row r="170" spans="1:3" ht="13" x14ac:dyDescent="0.15">
      <c r="A170" s="10"/>
      <c r="B170" s="13"/>
      <c r="C170" s="13"/>
    </row>
    <row r="171" spans="1:3" ht="13" x14ac:dyDescent="0.15">
      <c r="A171" s="10"/>
      <c r="B171" s="13"/>
      <c r="C171" s="13"/>
    </row>
    <row r="172" spans="1:3" ht="13" x14ac:dyDescent="0.15">
      <c r="A172" s="10"/>
      <c r="B172" s="13"/>
      <c r="C172" s="13"/>
    </row>
    <row r="173" spans="1:3" ht="13" x14ac:dyDescent="0.15">
      <c r="A173" s="10"/>
      <c r="B173" s="13"/>
      <c r="C173" s="13"/>
    </row>
    <row r="174" spans="1:3" ht="13" x14ac:dyDescent="0.15">
      <c r="A174" s="10"/>
      <c r="B174" s="13"/>
      <c r="C174" s="13"/>
    </row>
    <row r="175" spans="1:3" ht="13" x14ac:dyDescent="0.15">
      <c r="A175" s="10"/>
      <c r="B175" s="13"/>
      <c r="C175" s="13"/>
    </row>
    <row r="176" spans="1:3" ht="13" x14ac:dyDescent="0.15">
      <c r="A176" s="10"/>
      <c r="B176" s="13"/>
      <c r="C176" s="13"/>
    </row>
    <row r="177" spans="1:3" ht="13" x14ac:dyDescent="0.15">
      <c r="A177" s="10"/>
      <c r="B177" s="13"/>
      <c r="C177" s="13"/>
    </row>
    <row r="178" spans="1:3" ht="13" x14ac:dyDescent="0.15">
      <c r="A178" s="10"/>
      <c r="B178" s="13"/>
      <c r="C178" s="13"/>
    </row>
    <row r="179" spans="1:3" ht="13" x14ac:dyDescent="0.15">
      <c r="A179" s="10"/>
      <c r="B179" s="13"/>
      <c r="C179" s="13"/>
    </row>
    <row r="180" spans="1:3" ht="13" x14ac:dyDescent="0.15">
      <c r="A180" s="10"/>
      <c r="B180" s="13"/>
      <c r="C180" s="13"/>
    </row>
    <row r="181" spans="1:3" ht="13" x14ac:dyDescent="0.15">
      <c r="A181" s="10"/>
      <c r="B181" s="13"/>
      <c r="C181" s="13"/>
    </row>
    <row r="182" spans="1:3" ht="13" x14ac:dyDescent="0.15">
      <c r="A182" s="10"/>
      <c r="B182" s="13"/>
      <c r="C182" s="13"/>
    </row>
    <row r="183" spans="1:3" ht="13" x14ac:dyDescent="0.15">
      <c r="A183" s="10"/>
      <c r="B183" s="13"/>
      <c r="C183" s="13"/>
    </row>
    <row r="184" spans="1:3" ht="13" x14ac:dyDescent="0.15">
      <c r="A184" s="10"/>
      <c r="B184" s="13"/>
      <c r="C184" s="13"/>
    </row>
    <row r="185" spans="1:3" ht="13" x14ac:dyDescent="0.15">
      <c r="A185" s="10"/>
      <c r="B185" s="13"/>
      <c r="C185" s="13"/>
    </row>
    <row r="186" spans="1:3" ht="13" x14ac:dyDescent="0.15">
      <c r="A186" s="10"/>
      <c r="B186" s="13"/>
      <c r="C186" s="13"/>
    </row>
    <row r="187" spans="1:3" ht="13" x14ac:dyDescent="0.15">
      <c r="A187" s="10"/>
      <c r="B187" s="13"/>
      <c r="C187" s="13"/>
    </row>
    <row r="188" spans="1:3" ht="13" x14ac:dyDescent="0.15">
      <c r="A188" s="10"/>
      <c r="B188" s="13"/>
      <c r="C188" s="13"/>
    </row>
    <row r="189" spans="1:3" ht="13" x14ac:dyDescent="0.15">
      <c r="A189" s="10"/>
      <c r="B189" s="13"/>
      <c r="C189" s="13"/>
    </row>
    <row r="190" spans="1:3" ht="13" x14ac:dyDescent="0.15">
      <c r="A190" s="10"/>
      <c r="B190" s="13"/>
      <c r="C190" s="13"/>
    </row>
    <row r="191" spans="1:3" ht="13" x14ac:dyDescent="0.15">
      <c r="A191" s="10"/>
      <c r="B191" s="13"/>
      <c r="C191" s="13"/>
    </row>
    <row r="192" spans="1:3" ht="13" x14ac:dyDescent="0.15">
      <c r="A192" s="10"/>
      <c r="B192" s="13"/>
      <c r="C192" s="13"/>
    </row>
    <row r="193" spans="1:3" ht="13" x14ac:dyDescent="0.15">
      <c r="A193" s="10"/>
      <c r="B193" s="13"/>
      <c r="C193" s="13"/>
    </row>
    <row r="194" spans="1:3" ht="13" x14ac:dyDescent="0.15">
      <c r="A194" s="10"/>
      <c r="B194" s="13"/>
      <c r="C194" s="13"/>
    </row>
    <row r="195" spans="1:3" ht="13" x14ac:dyDescent="0.15">
      <c r="A195" s="10"/>
      <c r="B195" s="13"/>
      <c r="C195" s="13"/>
    </row>
    <row r="196" spans="1:3" ht="13" x14ac:dyDescent="0.15">
      <c r="A196" s="10"/>
      <c r="B196" s="13"/>
      <c r="C196" s="13"/>
    </row>
    <row r="197" spans="1:3" ht="13" x14ac:dyDescent="0.15">
      <c r="A197" s="10"/>
      <c r="B197" s="13"/>
      <c r="C197" s="13"/>
    </row>
    <row r="198" spans="1:3" ht="13" x14ac:dyDescent="0.15">
      <c r="A198" s="10"/>
      <c r="B198" s="13"/>
      <c r="C198" s="13"/>
    </row>
    <row r="199" spans="1:3" ht="13" x14ac:dyDescent="0.15">
      <c r="A199" s="10"/>
      <c r="B199" s="13"/>
      <c r="C199" s="13"/>
    </row>
    <row r="200" spans="1:3" ht="13" x14ac:dyDescent="0.15">
      <c r="A200" s="10"/>
      <c r="B200" s="13"/>
      <c r="C200" s="13"/>
    </row>
    <row r="201" spans="1:3" ht="13" x14ac:dyDescent="0.15">
      <c r="A201" s="10"/>
      <c r="B201" s="13"/>
      <c r="C201" s="13"/>
    </row>
    <row r="202" spans="1:3" ht="13" x14ac:dyDescent="0.15">
      <c r="A202" s="10"/>
      <c r="B202" s="13"/>
      <c r="C202" s="13"/>
    </row>
    <row r="203" spans="1:3" ht="13" x14ac:dyDescent="0.15">
      <c r="A203" s="10"/>
      <c r="B203" s="13"/>
      <c r="C203" s="13"/>
    </row>
    <row r="204" spans="1:3" ht="13" x14ac:dyDescent="0.15">
      <c r="A204" s="10"/>
      <c r="B204" s="13"/>
      <c r="C204" s="13"/>
    </row>
    <row r="205" spans="1:3" ht="13" x14ac:dyDescent="0.15">
      <c r="A205" s="10"/>
      <c r="B205" s="13"/>
      <c r="C205" s="13"/>
    </row>
    <row r="206" spans="1:3" ht="13" x14ac:dyDescent="0.15">
      <c r="A206" s="10"/>
      <c r="B206" s="13"/>
      <c r="C206" s="13"/>
    </row>
    <row r="207" spans="1:3" ht="13" x14ac:dyDescent="0.15">
      <c r="A207" s="10"/>
      <c r="B207" s="13"/>
      <c r="C207" s="13"/>
    </row>
    <row r="208" spans="1:3" ht="13" x14ac:dyDescent="0.15">
      <c r="A208" s="10"/>
      <c r="B208" s="13"/>
      <c r="C208" s="13"/>
    </row>
    <row r="209" spans="1:3" ht="13" x14ac:dyDescent="0.15">
      <c r="A209" s="10"/>
      <c r="B209" s="13"/>
      <c r="C209" s="13"/>
    </row>
    <row r="210" spans="1:3" ht="13" x14ac:dyDescent="0.15">
      <c r="A210" s="10"/>
      <c r="B210" s="13"/>
      <c r="C210" s="13"/>
    </row>
    <row r="211" spans="1:3" ht="13" x14ac:dyDescent="0.15">
      <c r="A211" s="10"/>
      <c r="B211" s="13"/>
      <c r="C211" s="13"/>
    </row>
    <row r="212" spans="1:3" ht="13" x14ac:dyDescent="0.15">
      <c r="A212" s="10"/>
      <c r="B212" s="13"/>
      <c r="C212" s="13"/>
    </row>
    <row r="213" spans="1:3" ht="13" x14ac:dyDescent="0.15">
      <c r="A213" s="10"/>
      <c r="B213" s="13"/>
      <c r="C213" s="13"/>
    </row>
    <row r="214" spans="1:3" ht="13" x14ac:dyDescent="0.15">
      <c r="A214" s="10"/>
      <c r="B214" s="13"/>
      <c r="C214" s="13"/>
    </row>
    <row r="215" spans="1:3" ht="13" x14ac:dyDescent="0.15">
      <c r="A215" s="10"/>
      <c r="B215" s="13"/>
      <c r="C215" s="13"/>
    </row>
    <row r="216" spans="1:3" ht="13" x14ac:dyDescent="0.15">
      <c r="A216" s="10"/>
      <c r="B216" s="13"/>
      <c r="C216" s="13"/>
    </row>
    <row r="217" spans="1:3" ht="13" x14ac:dyDescent="0.15">
      <c r="A217" s="10"/>
      <c r="B217" s="13"/>
      <c r="C217" s="13"/>
    </row>
    <row r="218" spans="1:3" ht="13" x14ac:dyDescent="0.15">
      <c r="A218" s="10"/>
      <c r="B218" s="13"/>
      <c r="C218" s="13"/>
    </row>
    <row r="219" spans="1:3" ht="13" x14ac:dyDescent="0.15">
      <c r="A219" s="10"/>
      <c r="B219" s="13"/>
      <c r="C219" s="13"/>
    </row>
    <row r="220" spans="1:3" ht="13" x14ac:dyDescent="0.15">
      <c r="A220" s="10"/>
      <c r="B220" s="13"/>
      <c r="C220" s="13"/>
    </row>
    <row r="221" spans="1:3" ht="13" x14ac:dyDescent="0.15">
      <c r="A221" s="10"/>
      <c r="B221" s="13"/>
      <c r="C221" s="13"/>
    </row>
    <row r="222" spans="1:3" ht="13" x14ac:dyDescent="0.15">
      <c r="A222" s="10"/>
      <c r="B222" s="13"/>
      <c r="C222" s="13"/>
    </row>
    <row r="223" spans="1:3" ht="13" x14ac:dyDescent="0.15">
      <c r="A223" s="10"/>
      <c r="B223" s="13"/>
      <c r="C223" s="13"/>
    </row>
    <row r="224" spans="1:3" ht="13" x14ac:dyDescent="0.15">
      <c r="A224" s="10"/>
      <c r="B224" s="13"/>
      <c r="C224" s="13"/>
    </row>
    <row r="225" spans="1:3" ht="13" x14ac:dyDescent="0.15">
      <c r="A225" s="10"/>
      <c r="B225" s="13"/>
      <c r="C225" s="13"/>
    </row>
    <row r="226" spans="1:3" ht="13" x14ac:dyDescent="0.15">
      <c r="A226" s="10"/>
      <c r="B226" s="13"/>
      <c r="C226" s="13"/>
    </row>
    <row r="227" spans="1:3" ht="13" x14ac:dyDescent="0.15">
      <c r="A227" s="10"/>
      <c r="B227" s="13"/>
      <c r="C227" s="13"/>
    </row>
    <row r="228" spans="1:3" ht="13" x14ac:dyDescent="0.15">
      <c r="A228" s="10"/>
      <c r="B228" s="13"/>
      <c r="C228" s="13"/>
    </row>
    <row r="229" spans="1:3" ht="13" x14ac:dyDescent="0.15">
      <c r="A229" s="10"/>
      <c r="B229" s="13"/>
      <c r="C229" s="13"/>
    </row>
    <row r="230" spans="1:3" ht="13" x14ac:dyDescent="0.15">
      <c r="A230" s="10"/>
      <c r="B230" s="13"/>
      <c r="C230" s="13"/>
    </row>
    <row r="231" spans="1:3" ht="13" x14ac:dyDescent="0.15">
      <c r="A231" s="10"/>
      <c r="B231" s="13"/>
      <c r="C231" s="13"/>
    </row>
    <row r="232" spans="1:3" ht="13" x14ac:dyDescent="0.15">
      <c r="A232" s="10"/>
      <c r="B232" s="13"/>
      <c r="C232" s="13"/>
    </row>
    <row r="233" spans="1:3" ht="13" x14ac:dyDescent="0.15">
      <c r="A233" s="10"/>
      <c r="B233" s="13"/>
      <c r="C233" s="13"/>
    </row>
    <row r="234" spans="1:3" ht="13" x14ac:dyDescent="0.15">
      <c r="A234" s="10"/>
      <c r="B234" s="13"/>
      <c r="C234" s="13"/>
    </row>
    <row r="235" spans="1:3" ht="13" x14ac:dyDescent="0.15">
      <c r="A235" s="10"/>
      <c r="B235" s="13"/>
      <c r="C235" s="13"/>
    </row>
    <row r="236" spans="1:3" ht="13" x14ac:dyDescent="0.15">
      <c r="A236" s="10"/>
      <c r="B236" s="13"/>
      <c r="C236" s="13"/>
    </row>
    <row r="237" spans="1:3" ht="13" x14ac:dyDescent="0.15">
      <c r="A237" s="10"/>
      <c r="B237" s="13"/>
      <c r="C237" s="13"/>
    </row>
    <row r="238" spans="1:3" ht="13" x14ac:dyDescent="0.15">
      <c r="A238" s="10"/>
      <c r="B238" s="13"/>
      <c r="C238" s="13"/>
    </row>
    <row r="239" spans="1:3" ht="13" x14ac:dyDescent="0.15">
      <c r="A239" s="10"/>
      <c r="B239" s="13"/>
      <c r="C239" s="13"/>
    </row>
    <row r="240" spans="1:3" ht="13" x14ac:dyDescent="0.15">
      <c r="A240" s="10"/>
      <c r="B240" s="13"/>
      <c r="C240" s="13"/>
    </row>
    <row r="241" spans="1:3" ht="13" x14ac:dyDescent="0.15">
      <c r="A241" s="10"/>
      <c r="B241" s="13"/>
      <c r="C241" s="13"/>
    </row>
    <row r="242" spans="1:3" ht="13" x14ac:dyDescent="0.15">
      <c r="A242" s="10"/>
      <c r="B242" s="13"/>
      <c r="C242" s="13"/>
    </row>
    <row r="243" spans="1:3" ht="13" x14ac:dyDescent="0.15">
      <c r="A243" s="10"/>
      <c r="B243" s="13"/>
      <c r="C243" s="13"/>
    </row>
    <row r="244" spans="1:3" ht="13" x14ac:dyDescent="0.15">
      <c r="A244" s="10"/>
      <c r="B244" s="13"/>
      <c r="C244" s="13"/>
    </row>
    <row r="245" spans="1:3" ht="13" x14ac:dyDescent="0.15">
      <c r="A245" s="10"/>
      <c r="B245" s="13"/>
      <c r="C245" s="13"/>
    </row>
    <row r="246" spans="1:3" ht="13" x14ac:dyDescent="0.15">
      <c r="A246" s="10"/>
      <c r="B246" s="13"/>
      <c r="C246" s="13"/>
    </row>
    <row r="247" spans="1:3" ht="13" x14ac:dyDescent="0.15">
      <c r="A247" s="10"/>
      <c r="B247" s="13"/>
      <c r="C247" s="13"/>
    </row>
    <row r="248" spans="1:3" ht="13" x14ac:dyDescent="0.15">
      <c r="A248" s="10"/>
      <c r="B248" s="13"/>
      <c r="C248" s="13"/>
    </row>
    <row r="249" spans="1:3" ht="13" x14ac:dyDescent="0.15">
      <c r="A249" s="10"/>
      <c r="B249" s="13"/>
      <c r="C249" s="13"/>
    </row>
    <row r="250" spans="1:3" ht="13" x14ac:dyDescent="0.15">
      <c r="A250" s="10"/>
      <c r="B250" s="13"/>
      <c r="C250" s="13"/>
    </row>
    <row r="251" spans="1:3" ht="13" x14ac:dyDescent="0.15">
      <c r="A251" s="10"/>
      <c r="B251" s="13"/>
      <c r="C251" s="13"/>
    </row>
    <row r="252" spans="1:3" ht="13" x14ac:dyDescent="0.15">
      <c r="A252" s="10"/>
      <c r="B252" s="13"/>
      <c r="C252" s="13"/>
    </row>
    <row r="253" spans="1:3" ht="13" x14ac:dyDescent="0.15">
      <c r="A253" s="10"/>
      <c r="B253" s="13"/>
      <c r="C253" s="13"/>
    </row>
    <row r="254" spans="1:3" ht="13" x14ac:dyDescent="0.15">
      <c r="A254" s="10"/>
      <c r="B254" s="13"/>
      <c r="C254" s="13"/>
    </row>
    <row r="255" spans="1:3" ht="13" x14ac:dyDescent="0.15">
      <c r="A255" s="10"/>
      <c r="B255" s="13"/>
      <c r="C255" s="13"/>
    </row>
    <row r="256" spans="1:3" ht="13" x14ac:dyDescent="0.15">
      <c r="A256" s="10"/>
      <c r="B256" s="13"/>
      <c r="C256" s="13"/>
    </row>
    <row r="257" spans="1:3" ht="13" x14ac:dyDescent="0.15">
      <c r="A257" s="10"/>
      <c r="B257" s="13"/>
      <c r="C257" s="13"/>
    </row>
    <row r="258" spans="1:3" ht="13" x14ac:dyDescent="0.15">
      <c r="A258" s="10"/>
      <c r="B258" s="13"/>
      <c r="C258" s="13"/>
    </row>
    <row r="259" spans="1:3" ht="13" x14ac:dyDescent="0.15">
      <c r="A259" s="10"/>
      <c r="B259" s="13"/>
      <c r="C259" s="13"/>
    </row>
    <row r="260" spans="1:3" ht="13" x14ac:dyDescent="0.15">
      <c r="A260" s="10"/>
      <c r="B260" s="13"/>
      <c r="C260" s="13"/>
    </row>
    <row r="261" spans="1:3" ht="13" x14ac:dyDescent="0.15">
      <c r="A261" s="10"/>
      <c r="B261" s="13"/>
      <c r="C261" s="13"/>
    </row>
    <row r="262" spans="1:3" ht="13" x14ac:dyDescent="0.15">
      <c r="A262" s="10"/>
      <c r="B262" s="13"/>
      <c r="C262" s="13"/>
    </row>
    <row r="263" spans="1:3" ht="13" x14ac:dyDescent="0.15">
      <c r="A263" s="10"/>
      <c r="B263" s="13"/>
      <c r="C263" s="13"/>
    </row>
    <row r="264" spans="1:3" ht="13" x14ac:dyDescent="0.15">
      <c r="A264" s="10"/>
      <c r="B264" s="13"/>
      <c r="C264" s="13"/>
    </row>
    <row r="265" spans="1:3" ht="13" x14ac:dyDescent="0.15">
      <c r="A265" s="10"/>
      <c r="B265" s="13"/>
      <c r="C265" s="13"/>
    </row>
    <row r="266" spans="1:3" ht="13" x14ac:dyDescent="0.15">
      <c r="A266" s="10"/>
      <c r="B266" s="13"/>
      <c r="C266" s="13"/>
    </row>
    <row r="267" spans="1:3" ht="13" x14ac:dyDescent="0.15">
      <c r="A267" s="10"/>
      <c r="B267" s="13"/>
      <c r="C267" s="13"/>
    </row>
    <row r="268" spans="1:3" ht="13" x14ac:dyDescent="0.15">
      <c r="A268" s="10"/>
      <c r="B268" s="13"/>
      <c r="C268" s="13"/>
    </row>
    <row r="269" spans="1:3" ht="13" x14ac:dyDescent="0.15">
      <c r="A269" s="10"/>
      <c r="B269" s="13"/>
      <c r="C269" s="13"/>
    </row>
    <row r="270" spans="1:3" ht="13" x14ac:dyDescent="0.15">
      <c r="A270" s="10"/>
      <c r="B270" s="13"/>
      <c r="C270" s="13"/>
    </row>
    <row r="271" spans="1:3" ht="13" x14ac:dyDescent="0.15">
      <c r="A271" s="10"/>
      <c r="B271" s="13"/>
      <c r="C271" s="13"/>
    </row>
    <row r="272" spans="1:3" ht="13" x14ac:dyDescent="0.15">
      <c r="A272" s="10"/>
      <c r="B272" s="13"/>
      <c r="C272" s="13"/>
    </row>
    <row r="273" spans="1:3" ht="13" x14ac:dyDescent="0.15">
      <c r="A273" s="10"/>
      <c r="B273" s="13"/>
      <c r="C273" s="13"/>
    </row>
    <row r="274" spans="1:3" ht="13" x14ac:dyDescent="0.15">
      <c r="A274" s="10"/>
      <c r="B274" s="13"/>
      <c r="C274" s="13"/>
    </row>
    <row r="275" spans="1:3" ht="13" x14ac:dyDescent="0.15">
      <c r="A275" s="10"/>
      <c r="B275" s="13"/>
      <c r="C275" s="13"/>
    </row>
    <row r="276" spans="1:3" ht="13" x14ac:dyDescent="0.15">
      <c r="A276" s="10"/>
      <c r="B276" s="13"/>
      <c r="C276" s="13"/>
    </row>
    <row r="277" spans="1:3" ht="13" x14ac:dyDescent="0.15">
      <c r="A277" s="10"/>
      <c r="B277" s="13"/>
      <c r="C277" s="13"/>
    </row>
    <row r="278" spans="1:3" ht="13" x14ac:dyDescent="0.15">
      <c r="A278" s="10"/>
      <c r="B278" s="13"/>
      <c r="C278" s="13"/>
    </row>
    <row r="279" spans="1:3" ht="13" x14ac:dyDescent="0.15">
      <c r="A279" s="10"/>
      <c r="B279" s="13"/>
      <c r="C279" s="13"/>
    </row>
    <row r="280" spans="1:3" ht="13" x14ac:dyDescent="0.15">
      <c r="A280" s="10"/>
      <c r="B280" s="13"/>
      <c r="C280" s="13"/>
    </row>
    <row r="281" spans="1:3" ht="13" x14ac:dyDescent="0.15">
      <c r="A281" s="10"/>
      <c r="B281" s="13"/>
      <c r="C281" s="13"/>
    </row>
    <row r="282" spans="1:3" ht="13" x14ac:dyDescent="0.15">
      <c r="A282" s="10"/>
      <c r="B282" s="13"/>
      <c r="C282" s="13"/>
    </row>
    <row r="283" spans="1:3" ht="13" x14ac:dyDescent="0.15">
      <c r="A283" s="10"/>
      <c r="B283" s="13"/>
      <c r="C283" s="13"/>
    </row>
    <row r="284" spans="1:3" ht="13" x14ac:dyDescent="0.15">
      <c r="A284" s="10"/>
      <c r="B284" s="13"/>
      <c r="C284" s="13"/>
    </row>
    <row r="285" spans="1:3" ht="13" x14ac:dyDescent="0.15">
      <c r="A285" s="10"/>
      <c r="B285" s="13"/>
      <c r="C285" s="13"/>
    </row>
    <row r="286" spans="1:3" ht="13" x14ac:dyDescent="0.15">
      <c r="A286" s="10"/>
      <c r="B286" s="13"/>
      <c r="C286" s="13"/>
    </row>
    <row r="287" spans="1:3" ht="13" x14ac:dyDescent="0.15">
      <c r="A287" s="10"/>
      <c r="B287" s="13"/>
      <c r="C287" s="13"/>
    </row>
    <row r="288" spans="1:3" ht="13" x14ac:dyDescent="0.15">
      <c r="A288" s="10"/>
      <c r="B288" s="13"/>
      <c r="C288" s="13"/>
    </row>
    <row r="289" spans="1:3" ht="13" x14ac:dyDescent="0.15">
      <c r="A289" s="10"/>
      <c r="B289" s="13"/>
      <c r="C289" s="13"/>
    </row>
    <row r="290" spans="1:3" ht="13" x14ac:dyDescent="0.15">
      <c r="A290" s="10"/>
      <c r="B290" s="13"/>
      <c r="C290" s="13"/>
    </row>
    <row r="291" spans="1:3" ht="13" x14ac:dyDescent="0.15">
      <c r="A291" s="10"/>
      <c r="B291" s="13"/>
      <c r="C291" s="13"/>
    </row>
    <row r="292" spans="1:3" ht="13" x14ac:dyDescent="0.15">
      <c r="A292" s="10"/>
      <c r="B292" s="13"/>
      <c r="C292" s="13"/>
    </row>
    <row r="293" spans="1:3" ht="13" x14ac:dyDescent="0.15">
      <c r="A293" s="10"/>
      <c r="B293" s="13"/>
      <c r="C293" s="13"/>
    </row>
    <row r="294" spans="1:3" ht="13" x14ac:dyDescent="0.15">
      <c r="A294" s="10"/>
      <c r="B294" s="13"/>
      <c r="C294" s="13"/>
    </row>
    <row r="295" spans="1:3" ht="13" x14ac:dyDescent="0.15">
      <c r="A295" s="10"/>
      <c r="B295" s="13"/>
      <c r="C295" s="13"/>
    </row>
    <row r="296" spans="1:3" ht="13" x14ac:dyDescent="0.15">
      <c r="A296" s="10"/>
      <c r="B296" s="13"/>
      <c r="C296" s="13"/>
    </row>
    <row r="297" spans="1:3" ht="13" x14ac:dyDescent="0.15">
      <c r="A297" s="10"/>
      <c r="B297" s="13"/>
      <c r="C297" s="13"/>
    </row>
    <row r="298" spans="1:3" ht="13" x14ac:dyDescent="0.15">
      <c r="A298" s="10"/>
      <c r="B298" s="13"/>
      <c r="C298" s="13"/>
    </row>
    <row r="299" spans="1:3" ht="13" x14ac:dyDescent="0.15">
      <c r="A299" s="10"/>
      <c r="B299" s="13"/>
      <c r="C299" s="13"/>
    </row>
    <row r="300" spans="1:3" ht="13" x14ac:dyDescent="0.15">
      <c r="A300" s="10"/>
      <c r="B300" s="13"/>
      <c r="C300" s="13"/>
    </row>
    <row r="301" spans="1:3" ht="13" x14ac:dyDescent="0.15">
      <c r="A301" s="10"/>
      <c r="B301" s="13"/>
      <c r="C301" s="13"/>
    </row>
    <row r="302" spans="1:3" ht="13" x14ac:dyDescent="0.15">
      <c r="A302" s="10"/>
      <c r="B302" s="13"/>
      <c r="C302" s="13"/>
    </row>
    <row r="303" spans="1:3" ht="13" x14ac:dyDescent="0.15">
      <c r="A303" s="10"/>
      <c r="B303" s="13"/>
      <c r="C303" s="13"/>
    </row>
    <row r="304" spans="1:3" ht="13" x14ac:dyDescent="0.15">
      <c r="A304" s="10"/>
      <c r="B304" s="13"/>
      <c r="C304" s="13"/>
    </row>
    <row r="305" spans="1:3" ht="13" x14ac:dyDescent="0.15">
      <c r="A305" s="10"/>
      <c r="B305" s="13"/>
      <c r="C305" s="13"/>
    </row>
    <row r="306" spans="1:3" ht="13" x14ac:dyDescent="0.15">
      <c r="A306" s="10"/>
      <c r="B306" s="13"/>
      <c r="C306" s="13"/>
    </row>
    <row r="307" spans="1:3" ht="13" x14ac:dyDescent="0.15">
      <c r="A307" s="10"/>
      <c r="B307" s="13"/>
      <c r="C307" s="13"/>
    </row>
    <row r="308" spans="1:3" ht="13" x14ac:dyDescent="0.15">
      <c r="A308" s="10"/>
      <c r="B308" s="13"/>
      <c r="C308" s="13"/>
    </row>
    <row r="309" spans="1:3" ht="13" x14ac:dyDescent="0.15">
      <c r="A309" s="10"/>
      <c r="B309" s="13"/>
      <c r="C309" s="13"/>
    </row>
    <row r="310" spans="1:3" ht="13" x14ac:dyDescent="0.15">
      <c r="A310" s="10"/>
      <c r="B310" s="13"/>
      <c r="C310" s="13"/>
    </row>
    <row r="311" spans="1:3" ht="13" x14ac:dyDescent="0.15">
      <c r="A311" s="10"/>
      <c r="B311" s="13"/>
      <c r="C311" s="13"/>
    </row>
    <row r="312" spans="1:3" ht="13" x14ac:dyDescent="0.15">
      <c r="A312" s="10"/>
      <c r="B312" s="13"/>
      <c r="C312" s="13"/>
    </row>
    <row r="313" spans="1:3" ht="13" x14ac:dyDescent="0.15">
      <c r="A313" s="10"/>
      <c r="B313" s="13"/>
      <c r="C313" s="13"/>
    </row>
    <row r="314" spans="1:3" ht="13" x14ac:dyDescent="0.15">
      <c r="A314" s="10"/>
      <c r="B314" s="13"/>
      <c r="C314" s="13"/>
    </row>
    <row r="315" spans="1:3" ht="13" x14ac:dyDescent="0.15">
      <c r="A315" s="10"/>
      <c r="B315" s="13"/>
      <c r="C315" s="13"/>
    </row>
    <row r="316" spans="1:3" ht="13" x14ac:dyDescent="0.15">
      <c r="A316" s="10"/>
      <c r="B316" s="13"/>
      <c r="C316" s="13"/>
    </row>
    <row r="317" spans="1:3" ht="13" x14ac:dyDescent="0.15">
      <c r="A317" s="10"/>
      <c r="B317" s="13"/>
      <c r="C317" s="13"/>
    </row>
    <row r="318" spans="1:3" ht="13" x14ac:dyDescent="0.15">
      <c r="A318" s="10"/>
      <c r="B318" s="13"/>
      <c r="C318" s="13"/>
    </row>
    <row r="319" spans="1:3" ht="13" x14ac:dyDescent="0.15">
      <c r="A319" s="10"/>
      <c r="B319" s="13"/>
      <c r="C319" s="13"/>
    </row>
    <row r="320" spans="1:3" ht="13" x14ac:dyDescent="0.15">
      <c r="A320" s="10"/>
      <c r="B320" s="13"/>
      <c r="C320" s="13"/>
    </row>
    <row r="321" spans="1:3" ht="13" x14ac:dyDescent="0.15">
      <c r="A321" s="10"/>
      <c r="B321" s="13"/>
      <c r="C321" s="13"/>
    </row>
    <row r="322" spans="1:3" ht="13" x14ac:dyDescent="0.15">
      <c r="A322" s="10"/>
      <c r="B322" s="13"/>
      <c r="C322" s="13"/>
    </row>
    <row r="323" spans="1:3" ht="13" x14ac:dyDescent="0.15">
      <c r="A323" s="10"/>
      <c r="B323" s="13"/>
      <c r="C323" s="13"/>
    </row>
    <row r="324" spans="1:3" ht="13" x14ac:dyDescent="0.15">
      <c r="A324" s="10"/>
      <c r="B324" s="13"/>
      <c r="C324" s="13"/>
    </row>
    <row r="325" spans="1:3" ht="13" x14ac:dyDescent="0.15">
      <c r="A325" s="10"/>
      <c r="B325" s="13"/>
      <c r="C325" s="13"/>
    </row>
    <row r="326" spans="1:3" ht="13" x14ac:dyDescent="0.15">
      <c r="A326" s="10"/>
      <c r="B326" s="13"/>
      <c r="C326" s="13"/>
    </row>
    <row r="327" spans="1:3" ht="13" x14ac:dyDescent="0.15">
      <c r="A327" s="10"/>
      <c r="B327" s="13"/>
      <c r="C327" s="13"/>
    </row>
    <row r="328" spans="1:3" ht="13" x14ac:dyDescent="0.15">
      <c r="A328" s="10"/>
      <c r="B328" s="13"/>
      <c r="C328" s="13"/>
    </row>
    <row r="329" spans="1:3" ht="13" x14ac:dyDescent="0.15">
      <c r="A329" s="10"/>
      <c r="B329" s="13"/>
      <c r="C329" s="13"/>
    </row>
    <row r="330" spans="1:3" ht="13" x14ac:dyDescent="0.15">
      <c r="A330" s="10"/>
      <c r="B330" s="13"/>
      <c r="C330" s="13"/>
    </row>
    <row r="331" spans="1:3" ht="13" x14ac:dyDescent="0.15">
      <c r="A331" s="10"/>
      <c r="B331" s="13"/>
      <c r="C331" s="13"/>
    </row>
    <row r="332" spans="1:3" ht="13" x14ac:dyDescent="0.15">
      <c r="A332" s="10"/>
      <c r="B332" s="13"/>
      <c r="C332" s="13"/>
    </row>
    <row r="333" spans="1:3" ht="13" x14ac:dyDescent="0.15">
      <c r="A333" s="10"/>
      <c r="B333" s="13"/>
      <c r="C333" s="13"/>
    </row>
    <row r="334" spans="1:3" ht="13" x14ac:dyDescent="0.15">
      <c r="A334" s="10"/>
      <c r="B334" s="13"/>
      <c r="C334" s="13"/>
    </row>
    <row r="335" spans="1:3" ht="13" x14ac:dyDescent="0.15">
      <c r="A335" s="10"/>
      <c r="B335" s="13"/>
      <c r="C335" s="13"/>
    </row>
    <row r="336" spans="1:3" ht="13" x14ac:dyDescent="0.15">
      <c r="A336" s="10"/>
      <c r="B336" s="13"/>
      <c r="C336" s="13"/>
    </row>
    <row r="337" spans="1:3" ht="13" x14ac:dyDescent="0.15">
      <c r="A337" s="10"/>
      <c r="B337" s="13"/>
      <c r="C337" s="13"/>
    </row>
    <row r="338" spans="1:3" ht="13" x14ac:dyDescent="0.15">
      <c r="A338" s="10"/>
      <c r="B338" s="13"/>
      <c r="C338" s="13"/>
    </row>
    <row r="339" spans="1:3" ht="13" x14ac:dyDescent="0.15">
      <c r="A339" s="10"/>
      <c r="B339" s="13"/>
      <c r="C339" s="13"/>
    </row>
    <row r="340" spans="1:3" ht="13" x14ac:dyDescent="0.15">
      <c r="A340" s="10"/>
      <c r="B340" s="13"/>
      <c r="C340" s="13"/>
    </row>
    <row r="341" spans="1:3" ht="13" x14ac:dyDescent="0.15">
      <c r="A341" s="10"/>
      <c r="B341" s="13"/>
      <c r="C341" s="13"/>
    </row>
    <row r="342" spans="1:3" ht="13" x14ac:dyDescent="0.15">
      <c r="A342" s="10"/>
      <c r="B342" s="13"/>
      <c r="C342" s="13"/>
    </row>
    <row r="343" spans="1:3" ht="13" x14ac:dyDescent="0.15">
      <c r="A343" s="10"/>
      <c r="B343" s="13"/>
      <c r="C343" s="13"/>
    </row>
    <row r="344" spans="1:3" ht="13" x14ac:dyDescent="0.15">
      <c r="A344" s="10"/>
      <c r="B344" s="13"/>
      <c r="C344" s="13"/>
    </row>
    <row r="345" spans="1:3" ht="13" x14ac:dyDescent="0.15">
      <c r="A345" s="10"/>
      <c r="B345" s="13"/>
      <c r="C345" s="13"/>
    </row>
    <row r="346" spans="1:3" ht="13" x14ac:dyDescent="0.15">
      <c r="A346" s="10"/>
      <c r="B346" s="13"/>
      <c r="C346" s="13"/>
    </row>
    <row r="347" spans="1:3" ht="13" x14ac:dyDescent="0.15">
      <c r="A347" s="10"/>
      <c r="B347" s="13"/>
      <c r="C347" s="13"/>
    </row>
    <row r="348" spans="1:3" ht="13" x14ac:dyDescent="0.15">
      <c r="A348" s="10"/>
      <c r="B348" s="13"/>
      <c r="C348" s="13"/>
    </row>
    <row r="349" spans="1:3" ht="13" x14ac:dyDescent="0.15">
      <c r="A349" s="10"/>
      <c r="B349" s="13"/>
      <c r="C349" s="13"/>
    </row>
    <row r="350" spans="1:3" ht="13" x14ac:dyDescent="0.15">
      <c r="A350" s="10"/>
      <c r="B350" s="13"/>
      <c r="C350" s="13"/>
    </row>
    <row r="351" spans="1:3" ht="13" x14ac:dyDescent="0.15">
      <c r="A351" s="10"/>
      <c r="B351" s="13"/>
      <c r="C351" s="13"/>
    </row>
    <row r="352" spans="1:3" ht="13" x14ac:dyDescent="0.15">
      <c r="A352" s="10"/>
      <c r="B352" s="13"/>
      <c r="C352" s="13"/>
    </row>
    <row r="353" spans="1:3" ht="13" x14ac:dyDescent="0.15">
      <c r="A353" s="10"/>
      <c r="B353" s="13"/>
      <c r="C353" s="13"/>
    </row>
    <row r="354" spans="1:3" ht="13" x14ac:dyDescent="0.15">
      <c r="A354" s="10"/>
      <c r="B354" s="13"/>
      <c r="C354" s="13"/>
    </row>
    <row r="355" spans="1:3" ht="13" x14ac:dyDescent="0.15">
      <c r="A355" s="10"/>
      <c r="B355" s="13"/>
      <c r="C355" s="13"/>
    </row>
    <row r="356" spans="1:3" ht="13" x14ac:dyDescent="0.15">
      <c r="A356" s="10"/>
      <c r="B356" s="13"/>
      <c r="C356" s="13"/>
    </row>
    <row r="357" spans="1:3" ht="13" x14ac:dyDescent="0.15">
      <c r="A357" s="10"/>
      <c r="B357" s="13"/>
      <c r="C357" s="13"/>
    </row>
    <row r="358" spans="1:3" ht="13" x14ac:dyDescent="0.15">
      <c r="A358" s="10"/>
      <c r="B358" s="13"/>
      <c r="C358" s="13"/>
    </row>
    <row r="359" spans="1:3" ht="13" x14ac:dyDescent="0.15">
      <c r="A359" s="10"/>
      <c r="B359" s="13"/>
      <c r="C359" s="13"/>
    </row>
    <row r="360" spans="1:3" ht="13" x14ac:dyDescent="0.15">
      <c r="A360" s="10"/>
      <c r="B360" s="13"/>
      <c r="C360" s="13"/>
    </row>
    <row r="361" spans="1:3" ht="13" x14ac:dyDescent="0.15">
      <c r="A361" s="10"/>
      <c r="B361" s="13"/>
      <c r="C361" s="13"/>
    </row>
    <row r="362" spans="1:3" ht="13" x14ac:dyDescent="0.15">
      <c r="A362" s="10"/>
      <c r="B362" s="13"/>
      <c r="C362" s="13"/>
    </row>
    <row r="363" spans="1:3" ht="13" x14ac:dyDescent="0.15">
      <c r="A363" s="10"/>
      <c r="B363" s="13"/>
      <c r="C363" s="13"/>
    </row>
    <row r="364" spans="1:3" ht="13" x14ac:dyDescent="0.15">
      <c r="A364" s="10"/>
      <c r="B364" s="13"/>
      <c r="C364" s="13"/>
    </row>
    <row r="365" spans="1:3" ht="13" x14ac:dyDescent="0.15">
      <c r="A365" s="10"/>
      <c r="B365" s="13"/>
      <c r="C365" s="13"/>
    </row>
    <row r="366" spans="1:3" ht="13" x14ac:dyDescent="0.15">
      <c r="A366" s="10"/>
      <c r="B366" s="13"/>
      <c r="C366" s="13"/>
    </row>
    <row r="367" spans="1:3" ht="13" x14ac:dyDescent="0.15">
      <c r="A367" s="10"/>
      <c r="B367" s="13"/>
      <c r="C367" s="13"/>
    </row>
    <row r="368" spans="1:3" ht="13" x14ac:dyDescent="0.15">
      <c r="A368" s="10"/>
      <c r="B368" s="13"/>
      <c r="C368" s="13"/>
    </row>
    <row r="369" spans="1:3" ht="13" x14ac:dyDescent="0.15">
      <c r="A369" s="10"/>
      <c r="B369" s="13"/>
      <c r="C369" s="13"/>
    </row>
    <row r="370" spans="1:3" ht="13" x14ac:dyDescent="0.15">
      <c r="A370" s="10"/>
      <c r="B370" s="13"/>
      <c r="C370" s="13"/>
    </row>
    <row r="371" spans="1:3" ht="13" x14ac:dyDescent="0.15">
      <c r="A371" s="10"/>
      <c r="B371" s="13"/>
      <c r="C371" s="13"/>
    </row>
    <row r="372" spans="1:3" ht="13" x14ac:dyDescent="0.15">
      <c r="A372" s="10"/>
      <c r="B372" s="13"/>
      <c r="C372" s="13"/>
    </row>
    <row r="373" spans="1:3" ht="13" x14ac:dyDescent="0.15">
      <c r="A373" s="10"/>
      <c r="B373" s="13"/>
      <c r="C373" s="13"/>
    </row>
    <row r="374" spans="1:3" ht="13" x14ac:dyDescent="0.15">
      <c r="A374" s="10"/>
      <c r="B374" s="13"/>
      <c r="C374" s="13"/>
    </row>
    <row r="375" spans="1:3" ht="13" x14ac:dyDescent="0.15">
      <c r="A375" s="10"/>
      <c r="B375" s="13"/>
      <c r="C375" s="13"/>
    </row>
    <row r="376" spans="1:3" ht="13" x14ac:dyDescent="0.15">
      <c r="A376" s="10"/>
      <c r="B376" s="13"/>
      <c r="C376" s="13"/>
    </row>
    <row r="377" spans="1:3" ht="13" x14ac:dyDescent="0.15">
      <c r="A377" s="10"/>
      <c r="B377" s="13"/>
      <c r="C377" s="13"/>
    </row>
    <row r="378" spans="1:3" ht="13" x14ac:dyDescent="0.15">
      <c r="A378" s="10"/>
      <c r="B378" s="13"/>
      <c r="C378" s="13"/>
    </row>
    <row r="379" spans="1:3" ht="13" x14ac:dyDescent="0.15">
      <c r="A379" s="10"/>
      <c r="B379" s="13"/>
      <c r="C379" s="13"/>
    </row>
    <row r="380" spans="1:3" ht="13" x14ac:dyDescent="0.15">
      <c r="A380" s="10"/>
      <c r="B380" s="13"/>
      <c r="C380" s="13"/>
    </row>
    <row r="381" spans="1:3" ht="13" x14ac:dyDescent="0.15">
      <c r="A381" s="10"/>
      <c r="B381" s="13"/>
      <c r="C381" s="13"/>
    </row>
    <row r="382" spans="1:3" ht="13" x14ac:dyDescent="0.15">
      <c r="A382" s="10"/>
      <c r="B382" s="13"/>
      <c r="C382" s="13"/>
    </row>
    <row r="383" spans="1:3" ht="13" x14ac:dyDescent="0.15">
      <c r="A383" s="10"/>
      <c r="B383" s="13"/>
      <c r="C383" s="13"/>
    </row>
    <row r="384" spans="1:3" ht="13" x14ac:dyDescent="0.15">
      <c r="A384" s="10"/>
      <c r="B384" s="13"/>
      <c r="C384" s="13"/>
    </row>
    <row r="385" spans="1:3" ht="13" x14ac:dyDescent="0.15">
      <c r="A385" s="10"/>
      <c r="B385" s="13"/>
      <c r="C385" s="13"/>
    </row>
    <row r="386" spans="1:3" ht="13" x14ac:dyDescent="0.15">
      <c r="A386" s="10"/>
      <c r="B386" s="13"/>
      <c r="C386" s="13"/>
    </row>
    <row r="387" spans="1:3" ht="13" x14ac:dyDescent="0.15">
      <c r="A387" s="10"/>
      <c r="B387" s="13"/>
      <c r="C387" s="13"/>
    </row>
    <row r="388" spans="1:3" ht="13" x14ac:dyDescent="0.15">
      <c r="A388" s="10"/>
      <c r="B388" s="13"/>
      <c r="C388" s="13"/>
    </row>
    <row r="389" spans="1:3" ht="13" x14ac:dyDescent="0.15">
      <c r="A389" s="10"/>
      <c r="B389" s="13"/>
      <c r="C389" s="13"/>
    </row>
    <row r="390" spans="1:3" ht="13" x14ac:dyDescent="0.15">
      <c r="A390" s="10"/>
      <c r="B390" s="13"/>
      <c r="C390" s="13"/>
    </row>
    <row r="391" spans="1:3" ht="13" x14ac:dyDescent="0.15">
      <c r="A391" s="10"/>
      <c r="B391" s="13"/>
      <c r="C391" s="13"/>
    </row>
    <row r="392" spans="1:3" ht="13" x14ac:dyDescent="0.15">
      <c r="A392" s="10"/>
      <c r="B392" s="13"/>
      <c r="C392" s="13"/>
    </row>
    <row r="393" spans="1:3" ht="13" x14ac:dyDescent="0.15">
      <c r="A393" s="10"/>
      <c r="B393" s="13"/>
      <c r="C393" s="13"/>
    </row>
    <row r="394" spans="1:3" ht="13" x14ac:dyDescent="0.15">
      <c r="A394" s="10"/>
      <c r="B394" s="13"/>
      <c r="C394" s="13"/>
    </row>
    <row r="395" spans="1:3" ht="13" x14ac:dyDescent="0.15">
      <c r="A395" s="10"/>
      <c r="B395" s="13"/>
      <c r="C395" s="13"/>
    </row>
    <row r="396" spans="1:3" ht="13" x14ac:dyDescent="0.15">
      <c r="A396" s="10"/>
      <c r="B396" s="13"/>
      <c r="C396" s="13"/>
    </row>
    <row r="397" spans="1:3" ht="13" x14ac:dyDescent="0.15">
      <c r="A397" s="10"/>
      <c r="B397" s="13"/>
      <c r="C397" s="13"/>
    </row>
    <row r="398" spans="1:3" ht="13" x14ac:dyDescent="0.15">
      <c r="A398" s="10"/>
      <c r="B398" s="13"/>
      <c r="C398" s="13"/>
    </row>
    <row r="399" spans="1:3" ht="13" x14ac:dyDescent="0.15">
      <c r="A399" s="10"/>
      <c r="B399" s="13"/>
      <c r="C399" s="13"/>
    </row>
    <row r="400" spans="1:3" ht="13" x14ac:dyDescent="0.15">
      <c r="A400" s="10"/>
      <c r="B400" s="13"/>
      <c r="C400" s="13"/>
    </row>
    <row r="401" spans="1:3" ht="13" x14ac:dyDescent="0.15">
      <c r="A401" s="10"/>
      <c r="B401" s="13"/>
      <c r="C401" s="13"/>
    </row>
    <row r="402" spans="1:3" ht="13" x14ac:dyDescent="0.15">
      <c r="A402" s="10"/>
      <c r="B402" s="13"/>
      <c r="C402" s="13"/>
    </row>
    <row r="403" spans="1:3" ht="13" x14ac:dyDescent="0.15">
      <c r="A403" s="10"/>
      <c r="B403" s="13"/>
      <c r="C403" s="13"/>
    </row>
    <row r="404" spans="1:3" ht="13" x14ac:dyDescent="0.15">
      <c r="A404" s="10"/>
      <c r="B404" s="13"/>
      <c r="C404" s="13"/>
    </row>
    <row r="405" spans="1:3" ht="13" x14ac:dyDescent="0.15">
      <c r="A405" s="10"/>
      <c r="B405" s="13"/>
      <c r="C405" s="13"/>
    </row>
    <row r="406" spans="1:3" ht="13" x14ac:dyDescent="0.15">
      <c r="A406" s="10"/>
      <c r="B406" s="13"/>
      <c r="C406" s="13"/>
    </row>
    <row r="407" spans="1:3" ht="13" x14ac:dyDescent="0.15">
      <c r="A407" s="10"/>
      <c r="B407" s="13"/>
      <c r="C407" s="13"/>
    </row>
    <row r="408" spans="1:3" ht="13" x14ac:dyDescent="0.15">
      <c r="A408" s="10"/>
      <c r="B408" s="13"/>
      <c r="C408" s="13"/>
    </row>
    <row r="409" spans="1:3" ht="13" x14ac:dyDescent="0.15">
      <c r="A409" s="10"/>
      <c r="B409" s="13"/>
      <c r="C409" s="13"/>
    </row>
    <row r="410" spans="1:3" ht="13" x14ac:dyDescent="0.15">
      <c r="A410" s="10"/>
      <c r="B410" s="13"/>
      <c r="C410" s="13"/>
    </row>
    <row r="411" spans="1:3" ht="13" x14ac:dyDescent="0.15">
      <c r="A411" s="10"/>
      <c r="B411" s="13"/>
      <c r="C411" s="13"/>
    </row>
    <row r="412" spans="1:3" ht="13" x14ac:dyDescent="0.15">
      <c r="A412" s="10"/>
      <c r="B412" s="13"/>
      <c r="C412" s="13"/>
    </row>
    <row r="413" spans="1:3" ht="13" x14ac:dyDescent="0.15">
      <c r="A413" s="10"/>
      <c r="B413" s="13"/>
      <c r="C413" s="13"/>
    </row>
    <row r="414" spans="1:3" ht="13" x14ac:dyDescent="0.15">
      <c r="A414" s="10"/>
      <c r="B414" s="13"/>
      <c r="C414" s="13"/>
    </row>
    <row r="415" spans="1:3" ht="13" x14ac:dyDescent="0.15">
      <c r="A415" s="10"/>
      <c r="B415" s="13"/>
      <c r="C415" s="13"/>
    </row>
    <row r="416" spans="1:3" ht="13" x14ac:dyDescent="0.15">
      <c r="A416" s="10"/>
      <c r="B416" s="13"/>
      <c r="C416" s="13"/>
    </row>
    <row r="417" spans="1:3" ht="13" x14ac:dyDescent="0.15">
      <c r="A417" s="10"/>
      <c r="B417" s="13"/>
      <c r="C417" s="13"/>
    </row>
    <row r="418" spans="1:3" ht="13" x14ac:dyDescent="0.15">
      <c r="A418" s="10"/>
      <c r="B418" s="13"/>
      <c r="C418" s="13"/>
    </row>
    <row r="419" spans="1:3" ht="13" x14ac:dyDescent="0.15">
      <c r="A419" s="10"/>
      <c r="B419" s="13"/>
      <c r="C419" s="13"/>
    </row>
    <row r="420" spans="1:3" ht="13" x14ac:dyDescent="0.15">
      <c r="A420" s="10"/>
      <c r="B420" s="13"/>
      <c r="C420" s="13"/>
    </row>
    <row r="421" spans="1:3" ht="13" x14ac:dyDescent="0.15">
      <c r="A421" s="10"/>
      <c r="B421" s="13"/>
      <c r="C421" s="13"/>
    </row>
    <row r="422" spans="1:3" ht="13" x14ac:dyDescent="0.15">
      <c r="A422" s="10"/>
      <c r="B422" s="13"/>
      <c r="C422" s="13"/>
    </row>
    <row r="423" spans="1:3" ht="13" x14ac:dyDescent="0.15">
      <c r="A423" s="10"/>
      <c r="B423" s="13"/>
      <c r="C423" s="13"/>
    </row>
    <row r="424" spans="1:3" ht="13" x14ac:dyDescent="0.15">
      <c r="A424" s="10"/>
      <c r="B424" s="13"/>
      <c r="C424" s="13"/>
    </row>
    <row r="425" spans="1:3" ht="13" x14ac:dyDescent="0.15">
      <c r="A425" s="10"/>
      <c r="B425" s="13"/>
      <c r="C425" s="13"/>
    </row>
    <row r="426" spans="1:3" ht="13" x14ac:dyDescent="0.15">
      <c r="A426" s="10"/>
      <c r="B426" s="13"/>
      <c r="C426" s="13"/>
    </row>
    <row r="427" spans="1:3" ht="13" x14ac:dyDescent="0.15">
      <c r="A427" s="10"/>
      <c r="B427" s="13"/>
      <c r="C427" s="13"/>
    </row>
    <row r="428" spans="1:3" ht="13" x14ac:dyDescent="0.15">
      <c r="A428" s="10"/>
      <c r="B428" s="13"/>
      <c r="C428" s="13"/>
    </row>
    <row r="429" spans="1:3" ht="13" x14ac:dyDescent="0.15">
      <c r="A429" s="10"/>
      <c r="B429" s="13"/>
      <c r="C429" s="13"/>
    </row>
    <row r="430" spans="1:3" ht="13" x14ac:dyDescent="0.15">
      <c r="A430" s="10"/>
      <c r="B430" s="13"/>
      <c r="C430" s="13"/>
    </row>
    <row r="431" spans="1:3" ht="13" x14ac:dyDescent="0.15">
      <c r="A431" s="10"/>
      <c r="B431" s="13"/>
      <c r="C431" s="13"/>
    </row>
    <row r="432" spans="1:3" ht="13" x14ac:dyDescent="0.15">
      <c r="A432" s="10"/>
      <c r="B432" s="13"/>
      <c r="C432" s="13"/>
    </row>
    <row r="433" spans="1:3" ht="13" x14ac:dyDescent="0.15">
      <c r="A433" s="10"/>
      <c r="B433" s="13"/>
      <c r="C433" s="13"/>
    </row>
    <row r="434" spans="1:3" ht="13" x14ac:dyDescent="0.15">
      <c r="A434" s="10"/>
      <c r="B434" s="13"/>
      <c r="C434" s="13"/>
    </row>
    <row r="435" spans="1:3" ht="13" x14ac:dyDescent="0.15">
      <c r="A435" s="10"/>
      <c r="B435" s="13"/>
      <c r="C435" s="13"/>
    </row>
    <row r="436" spans="1:3" ht="13" x14ac:dyDescent="0.15">
      <c r="A436" s="10"/>
      <c r="B436" s="13"/>
      <c r="C436" s="13"/>
    </row>
    <row r="437" spans="1:3" ht="13" x14ac:dyDescent="0.15">
      <c r="A437" s="10"/>
      <c r="B437" s="13"/>
      <c r="C437" s="13"/>
    </row>
    <row r="438" spans="1:3" ht="13" x14ac:dyDescent="0.15">
      <c r="A438" s="10"/>
      <c r="B438" s="13"/>
      <c r="C438" s="13"/>
    </row>
    <row r="439" spans="1:3" ht="13" x14ac:dyDescent="0.15">
      <c r="A439" s="10"/>
      <c r="B439" s="13"/>
      <c r="C439" s="13"/>
    </row>
    <row r="440" spans="1:3" ht="13" x14ac:dyDescent="0.15">
      <c r="A440" s="10"/>
      <c r="B440" s="13"/>
      <c r="C440" s="13"/>
    </row>
    <row r="441" spans="1:3" ht="13" x14ac:dyDescent="0.15">
      <c r="A441" s="10"/>
      <c r="B441" s="13"/>
      <c r="C441" s="13"/>
    </row>
    <row r="442" spans="1:3" ht="13" x14ac:dyDescent="0.15">
      <c r="A442" s="10"/>
      <c r="B442" s="13"/>
      <c r="C442" s="13"/>
    </row>
    <row r="443" spans="1:3" ht="13" x14ac:dyDescent="0.15">
      <c r="A443" s="10"/>
      <c r="B443" s="13"/>
      <c r="C443" s="13"/>
    </row>
    <row r="444" spans="1:3" ht="13" x14ac:dyDescent="0.15">
      <c r="A444" s="10"/>
      <c r="B444" s="13"/>
      <c r="C444" s="13"/>
    </row>
    <row r="445" spans="1:3" ht="13" x14ac:dyDescent="0.15">
      <c r="A445" s="10"/>
      <c r="B445" s="13"/>
      <c r="C445" s="13"/>
    </row>
    <row r="446" spans="1:3" ht="13" x14ac:dyDescent="0.15">
      <c r="A446" s="10"/>
      <c r="B446" s="13"/>
      <c r="C446" s="13"/>
    </row>
    <row r="447" spans="1:3" ht="13" x14ac:dyDescent="0.15">
      <c r="A447" s="10"/>
      <c r="B447" s="13"/>
      <c r="C447" s="13"/>
    </row>
    <row r="448" spans="1:3" ht="13" x14ac:dyDescent="0.15">
      <c r="A448" s="10"/>
      <c r="B448" s="13"/>
      <c r="C448" s="13"/>
    </row>
    <row r="449" spans="1:3" ht="13" x14ac:dyDescent="0.15">
      <c r="A449" s="10"/>
      <c r="B449" s="13"/>
      <c r="C449" s="13"/>
    </row>
    <row r="450" spans="1:3" ht="13" x14ac:dyDescent="0.15">
      <c r="A450" s="10"/>
      <c r="B450" s="13"/>
      <c r="C450" s="13"/>
    </row>
    <row r="451" spans="1:3" ht="13" x14ac:dyDescent="0.15">
      <c r="A451" s="10"/>
      <c r="B451" s="13"/>
      <c r="C451" s="13"/>
    </row>
    <row r="452" spans="1:3" ht="13" x14ac:dyDescent="0.15">
      <c r="A452" s="10"/>
      <c r="B452" s="13"/>
      <c r="C452" s="13"/>
    </row>
    <row r="453" spans="1:3" ht="13" x14ac:dyDescent="0.15">
      <c r="A453" s="10"/>
      <c r="B453" s="13"/>
      <c r="C453" s="13"/>
    </row>
    <row r="454" spans="1:3" ht="13" x14ac:dyDescent="0.15">
      <c r="A454" s="10"/>
      <c r="B454" s="13"/>
      <c r="C454" s="13"/>
    </row>
    <row r="455" spans="1:3" ht="13" x14ac:dyDescent="0.15">
      <c r="A455" s="10"/>
      <c r="B455" s="13"/>
      <c r="C455" s="13"/>
    </row>
    <row r="456" spans="1:3" ht="13" x14ac:dyDescent="0.15">
      <c r="A456" s="10"/>
      <c r="B456" s="13"/>
      <c r="C456" s="13"/>
    </row>
    <row r="457" spans="1:3" ht="13" x14ac:dyDescent="0.15">
      <c r="A457" s="10"/>
      <c r="B457" s="13"/>
      <c r="C457" s="13"/>
    </row>
    <row r="458" spans="1:3" ht="13" x14ac:dyDescent="0.15">
      <c r="A458" s="10"/>
      <c r="B458" s="13"/>
      <c r="C458" s="13"/>
    </row>
    <row r="459" spans="1:3" ht="13" x14ac:dyDescent="0.15">
      <c r="A459" s="10"/>
      <c r="B459" s="13"/>
      <c r="C459" s="13"/>
    </row>
    <row r="460" spans="1:3" ht="13" x14ac:dyDescent="0.15">
      <c r="A460" s="10"/>
      <c r="B460" s="13"/>
      <c r="C460" s="13"/>
    </row>
    <row r="461" spans="1:3" ht="13" x14ac:dyDescent="0.15">
      <c r="A461" s="10"/>
      <c r="B461" s="13"/>
      <c r="C461" s="13"/>
    </row>
    <row r="462" spans="1:3" ht="13" x14ac:dyDescent="0.15">
      <c r="A462" s="10"/>
      <c r="B462" s="13"/>
      <c r="C462" s="13"/>
    </row>
    <row r="463" spans="1:3" ht="13" x14ac:dyDescent="0.15">
      <c r="A463" s="10"/>
      <c r="B463" s="13"/>
      <c r="C463" s="13"/>
    </row>
    <row r="464" spans="1:3" ht="13" x14ac:dyDescent="0.15">
      <c r="A464" s="10"/>
      <c r="B464" s="13"/>
      <c r="C464" s="13"/>
    </row>
    <row r="465" spans="1:3" ht="13" x14ac:dyDescent="0.15">
      <c r="A465" s="10"/>
      <c r="B465" s="13"/>
      <c r="C465" s="13"/>
    </row>
    <row r="466" spans="1:3" ht="13" x14ac:dyDescent="0.15">
      <c r="A466" s="10"/>
      <c r="B466" s="13"/>
      <c r="C466" s="13"/>
    </row>
    <row r="467" spans="1:3" ht="13" x14ac:dyDescent="0.15">
      <c r="A467" s="10"/>
      <c r="B467" s="13"/>
      <c r="C467" s="13"/>
    </row>
    <row r="468" spans="1:3" ht="13" x14ac:dyDescent="0.15">
      <c r="A468" s="10"/>
      <c r="B468" s="13"/>
      <c r="C468" s="13"/>
    </row>
    <row r="469" spans="1:3" ht="13" x14ac:dyDescent="0.15">
      <c r="A469" s="10"/>
      <c r="B469" s="13"/>
      <c r="C469" s="13"/>
    </row>
    <row r="470" spans="1:3" ht="13" x14ac:dyDescent="0.15">
      <c r="A470" s="10"/>
      <c r="B470" s="13"/>
      <c r="C470" s="13"/>
    </row>
    <row r="471" spans="1:3" ht="13" x14ac:dyDescent="0.15">
      <c r="A471" s="10"/>
      <c r="B471" s="13"/>
      <c r="C471" s="13"/>
    </row>
    <row r="472" spans="1:3" ht="13" x14ac:dyDescent="0.15">
      <c r="A472" s="10"/>
      <c r="B472" s="13"/>
      <c r="C472" s="13"/>
    </row>
    <row r="473" spans="1:3" ht="13" x14ac:dyDescent="0.15">
      <c r="A473" s="10"/>
      <c r="B473" s="13"/>
      <c r="C473" s="13"/>
    </row>
    <row r="474" spans="1:3" ht="13" x14ac:dyDescent="0.15">
      <c r="A474" s="10"/>
      <c r="B474" s="13"/>
      <c r="C474" s="13"/>
    </row>
    <row r="475" spans="1:3" ht="13" x14ac:dyDescent="0.15">
      <c r="A475" s="10"/>
      <c r="B475" s="13"/>
      <c r="C475" s="13"/>
    </row>
    <row r="476" spans="1:3" ht="13" x14ac:dyDescent="0.15">
      <c r="A476" s="10"/>
      <c r="B476" s="13"/>
      <c r="C476" s="13"/>
    </row>
    <row r="477" spans="1:3" ht="13" x14ac:dyDescent="0.15">
      <c r="A477" s="10"/>
      <c r="B477" s="13"/>
      <c r="C477" s="13"/>
    </row>
    <row r="478" spans="1:3" ht="13" x14ac:dyDescent="0.15">
      <c r="A478" s="10"/>
      <c r="B478" s="13"/>
      <c r="C478" s="13"/>
    </row>
    <row r="479" spans="1:3" ht="13" x14ac:dyDescent="0.15">
      <c r="A479" s="10"/>
      <c r="B479" s="13"/>
      <c r="C479" s="13"/>
    </row>
    <row r="480" spans="1:3" ht="13" x14ac:dyDescent="0.15">
      <c r="A480" s="10"/>
      <c r="B480" s="13"/>
      <c r="C480" s="13"/>
    </row>
    <row r="481" spans="1:3" ht="13" x14ac:dyDescent="0.15">
      <c r="A481" s="10"/>
      <c r="B481" s="13"/>
      <c r="C481" s="13"/>
    </row>
    <row r="482" spans="1:3" ht="13" x14ac:dyDescent="0.15">
      <c r="A482" s="10"/>
      <c r="B482" s="13"/>
      <c r="C482" s="13"/>
    </row>
    <row r="483" spans="1:3" ht="13" x14ac:dyDescent="0.15">
      <c r="A483" s="10"/>
      <c r="B483" s="13"/>
      <c r="C483" s="13"/>
    </row>
    <row r="484" spans="1:3" ht="13" x14ac:dyDescent="0.15">
      <c r="A484" s="10"/>
      <c r="B484" s="13"/>
      <c r="C484" s="13"/>
    </row>
    <row r="485" spans="1:3" ht="13" x14ac:dyDescent="0.15">
      <c r="A485" s="10"/>
      <c r="B485" s="13"/>
      <c r="C485" s="13"/>
    </row>
    <row r="486" spans="1:3" ht="13" x14ac:dyDescent="0.15">
      <c r="A486" s="10"/>
      <c r="B486" s="13"/>
      <c r="C486" s="13"/>
    </row>
    <row r="487" spans="1:3" ht="13" x14ac:dyDescent="0.15">
      <c r="A487" s="10"/>
      <c r="B487" s="13"/>
      <c r="C487" s="13"/>
    </row>
    <row r="488" spans="1:3" ht="13" x14ac:dyDescent="0.15">
      <c r="A488" s="10"/>
      <c r="B488" s="13"/>
      <c r="C488" s="13"/>
    </row>
    <row r="489" spans="1:3" ht="13" x14ac:dyDescent="0.15">
      <c r="A489" s="10"/>
      <c r="B489" s="13"/>
      <c r="C489" s="13"/>
    </row>
    <row r="490" spans="1:3" ht="13" x14ac:dyDescent="0.15">
      <c r="A490" s="10"/>
      <c r="B490" s="13"/>
      <c r="C490" s="13"/>
    </row>
    <row r="491" spans="1:3" ht="13" x14ac:dyDescent="0.15">
      <c r="A491" s="10"/>
      <c r="B491" s="13"/>
      <c r="C491" s="13"/>
    </row>
    <row r="492" spans="1:3" ht="13" x14ac:dyDescent="0.15">
      <c r="A492" s="10"/>
      <c r="B492" s="13"/>
      <c r="C492" s="13"/>
    </row>
    <row r="493" spans="1:3" ht="13" x14ac:dyDescent="0.15">
      <c r="A493" s="10"/>
      <c r="B493" s="13"/>
      <c r="C493" s="13"/>
    </row>
    <row r="494" spans="1:3" ht="13" x14ac:dyDescent="0.15">
      <c r="A494" s="10"/>
      <c r="B494" s="13"/>
      <c r="C494" s="13"/>
    </row>
    <row r="495" spans="1:3" ht="13" x14ac:dyDescent="0.15">
      <c r="A495" s="10"/>
      <c r="B495" s="13"/>
      <c r="C495" s="13"/>
    </row>
    <row r="496" spans="1:3" ht="13" x14ac:dyDescent="0.15">
      <c r="A496" s="10"/>
      <c r="B496" s="13"/>
      <c r="C496" s="13"/>
    </row>
    <row r="497" spans="1:3" ht="13" x14ac:dyDescent="0.15">
      <c r="A497" s="10"/>
      <c r="B497" s="13"/>
      <c r="C497" s="13"/>
    </row>
    <row r="498" spans="1:3" ht="13" x14ac:dyDescent="0.15">
      <c r="A498" s="10"/>
      <c r="B498" s="13"/>
      <c r="C498" s="13"/>
    </row>
    <row r="499" spans="1:3" ht="13" x14ac:dyDescent="0.15">
      <c r="A499" s="10"/>
      <c r="B499" s="13"/>
      <c r="C499" s="13"/>
    </row>
    <row r="500" spans="1:3" ht="13" x14ac:dyDescent="0.15">
      <c r="A500" s="10"/>
      <c r="B500" s="13"/>
      <c r="C500" s="13"/>
    </row>
    <row r="501" spans="1:3" ht="13" x14ac:dyDescent="0.15">
      <c r="A501" s="10"/>
      <c r="B501" s="13"/>
      <c r="C501" s="13"/>
    </row>
    <row r="502" spans="1:3" ht="13" x14ac:dyDescent="0.15">
      <c r="A502" s="10"/>
      <c r="B502" s="13"/>
      <c r="C502" s="13"/>
    </row>
    <row r="503" spans="1:3" ht="13" x14ac:dyDescent="0.15">
      <c r="A503" s="10"/>
      <c r="B503" s="13"/>
      <c r="C503" s="13"/>
    </row>
    <row r="504" spans="1:3" ht="13" x14ac:dyDescent="0.15">
      <c r="A504" s="10"/>
      <c r="B504" s="13"/>
      <c r="C504" s="13"/>
    </row>
    <row r="505" spans="1:3" ht="13" x14ac:dyDescent="0.15">
      <c r="A505" s="10"/>
      <c r="B505" s="13"/>
      <c r="C505" s="13"/>
    </row>
    <row r="506" spans="1:3" ht="13" x14ac:dyDescent="0.15">
      <c r="A506" s="10"/>
      <c r="B506" s="13"/>
      <c r="C506" s="13"/>
    </row>
    <row r="507" spans="1:3" ht="13" x14ac:dyDescent="0.15">
      <c r="A507" s="10"/>
      <c r="B507" s="13"/>
      <c r="C507" s="13"/>
    </row>
    <row r="508" spans="1:3" ht="13" x14ac:dyDescent="0.15">
      <c r="A508" s="10"/>
      <c r="B508" s="13"/>
      <c r="C508" s="13"/>
    </row>
    <row r="509" spans="1:3" ht="13" x14ac:dyDescent="0.15">
      <c r="A509" s="10"/>
      <c r="B509" s="13"/>
      <c r="C509" s="13"/>
    </row>
    <row r="510" spans="1:3" ht="13" x14ac:dyDescent="0.15">
      <c r="A510" s="10"/>
      <c r="B510" s="13"/>
      <c r="C510" s="13"/>
    </row>
    <row r="511" spans="1:3" ht="13" x14ac:dyDescent="0.15">
      <c r="A511" s="10"/>
      <c r="B511" s="13"/>
      <c r="C511" s="13"/>
    </row>
    <row r="512" spans="1:3" ht="13" x14ac:dyDescent="0.15">
      <c r="A512" s="10"/>
      <c r="B512" s="13"/>
      <c r="C512" s="13"/>
    </row>
    <row r="513" spans="1:3" ht="13" x14ac:dyDescent="0.15">
      <c r="A513" s="10"/>
      <c r="B513" s="13"/>
      <c r="C513" s="13"/>
    </row>
    <row r="514" spans="1:3" ht="13" x14ac:dyDescent="0.15">
      <c r="A514" s="10"/>
      <c r="B514" s="13"/>
      <c r="C514" s="13"/>
    </row>
    <row r="515" spans="1:3" ht="13" x14ac:dyDescent="0.15">
      <c r="A515" s="10"/>
      <c r="B515" s="13"/>
      <c r="C515" s="13"/>
    </row>
    <row r="516" spans="1:3" ht="13" x14ac:dyDescent="0.15">
      <c r="A516" s="10"/>
      <c r="B516" s="13"/>
      <c r="C516" s="13"/>
    </row>
    <row r="517" spans="1:3" ht="13" x14ac:dyDescent="0.15">
      <c r="A517" s="10"/>
      <c r="B517" s="13"/>
      <c r="C517" s="13"/>
    </row>
    <row r="518" spans="1:3" ht="13" x14ac:dyDescent="0.15">
      <c r="A518" s="10"/>
      <c r="B518" s="13"/>
      <c r="C518" s="13"/>
    </row>
    <row r="519" spans="1:3" ht="13" x14ac:dyDescent="0.15">
      <c r="A519" s="10"/>
      <c r="B519" s="13"/>
      <c r="C519" s="13"/>
    </row>
    <row r="520" spans="1:3" ht="13" x14ac:dyDescent="0.15">
      <c r="A520" s="10"/>
      <c r="B520" s="13"/>
      <c r="C520" s="13"/>
    </row>
    <row r="521" spans="1:3" ht="13" x14ac:dyDescent="0.15">
      <c r="A521" s="10"/>
      <c r="B521" s="13"/>
      <c r="C521" s="13"/>
    </row>
    <row r="522" spans="1:3" ht="13" x14ac:dyDescent="0.15">
      <c r="A522" s="10"/>
      <c r="B522" s="13"/>
      <c r="C522" s="13"/>
    </row>
    <row r="523" spans="1:3" ht="13" x14ac:dyDescent="0.15">
      <c r="A523" s="10"/>
      <c r="B523" s="13"/>
      <c r="C523" s="13"/>
    </row>
    <row r="524" spans="1:3" ht="13" x14ac:dyDescent="0.15">
      <c r="A524" s="10"/>
      <c r="B524" s="13"/>
      <c r="C524" s="13"/>
    </row>
    <row r="525" spans="1:3" ht="13" x14ac:dyDescent="0.15">
      <c r="A525" s="10"/>
      <c r="B525" s="13"/>
      <c r="C525" s="13"/>
    </row>
    <row r="526" spans="1:3" ht="13" x14ac:dyDescent="0.15">
      <c r="A526" s="10"/>
      <c r="B526" s="13"/>
      <c r="C526" s="13"/>
    </row>
    <row r="527" spans="1:3" ht="13" x14ac:dyDescent="0.15">
      <c r="A527" s="10"/>
      <c r="B527" s="13"/>
      <c r="C527" s="13"/>
    </row>
    <row r="528" spans="1:3" ht="13" x14ac:dyDescent="0.15">
      <c r="A528" s="10"/>
      <c r="B528" s="13"/>
      <c r="C528" s="13"/>
    </row>
    <row r="529" spans="1:3" ht="13" x14ac:dyDescent="0.15">
      <c r="A529" s="10"/>
      <c r="B529" s="13"/>
      <c r="C529" s="13"/>
    </row>
    <row r="530" spans="1:3" ht="13" x14ac:dyDescent="0.15">
      <c r="A530" s="10"/>
      <c r="B530" s="13"/>
      <c r="C530" s="13"/>
    </row>
    <row r="531" spans="1:3" ht="13" x14ac:dyDescent="0.15">
      <c r="A531" s="10"/>
      <c r="B531" s="13"/>
      <c r="C531" s="13"/>
    </row>
    <row r="532" spans="1:3" ht="13" x14ac:dyDescent="0.15">
      <c r="A532" s="10"/>
      <c r="B532" s="13"/>
      <c r="C532" s="13"/>
    </row>
    <row r="533" spans="1:3" ht="13" x14ac:dyDescent="0.15">
      <c r="A533" s="10"/>
      <c r="B533" s="13"/>
      <c r="C533" s="13"/>
    </row>
    <row r="534" spans="1:3" ht="13" x14ac:dyDescent="0.15">
      <c r="A534" s="10"/>
      <c r="B534" s="13"/>
      <c r="C534" s="13"/>
    </row>
    <row r="535" spans="1:3" ht="13" x14ac:dyDescent="0.15">
      <c r="A535" s="10"/>
      <c r="B535" s="13"/>
      <c r="C535" s="13"/>
    </row>
    <row r="536" spans="1:3" ht="13" x14ac:dyDescent="0.15">
      <c r="A536" s="10"/>
      <c r="B536" s="13"/>
      <c r="C536" s="13"/>
    </row>
    <row r="537" spans="1:3" ht="13" x14ac:dyDescent="0.15">
      <c r="A537" s="10"/>
      <c r="B537" s="13"/>
      <c r="C537" s="13"/>
    </row>
    <row r="538" spans="1:3" ht="13" x14ac:dyDescent="0.15">
      <c r="A538" s="10"/>
      <c r="B538" s="13"/>
      <c r="C538" s="13"/>
    </row>
    <row r="539" spans="1:3" ht="13" x14ac:dyDescent="0.15">
      <c r="A539" s="10"/>
      <c r="B539" s="13"/>
      <c r="C539" s="13"/>
    </row>
    <row r="540" spans="1:3" ht="13" x14ac:dyDescent="0.15">
      <c r="A540" s="10"/>
      <c r="B540" s="13"/>
      <c r="C540" s="13"/>
    </row>
    <row r="541" spans="1:3" ht="13" x14ac:dyDescent="0.15">
      <c r="A541" s="10"/>
      <c r="B541" s="13"/>
      <c r="C541" s="13"/>
    </row>
    <row r="542" spans="1:3" ht="13" x14ac:dyDescent="0.15">
      <c r="A542" s="10"/>
      <c r="B542" s="13"/>
      <c r="C542" s="13"/>
    </row>
    <row r="543" spans="1:3" ht="13" x14ac:dyDescent="0.15">
      <c r="A543" s="10"/>
      <c r="B543" s="13"/>
      <c r="C543" s="13"/>
    </row>
    <row r="544" spans="1:3" ht="13" x14ac:dyDescent="0.15">
      <c r="A544" s="10"/>
      <c r="B544" s="13"/>
      <c r="C544" s="13"/>
    </row>
    <row r="545" spans="1:3" ht="13" x14ac:dyDescent="0.15">
      <c r="A545" s="10"/>
      <c r="B545" s="13"/>
      <c r="C545" s="13"/>
    </row>
    <row r="546" spans="1:3" ht="13" x14ac:dyDescent="0.15">
      <c r="A546" s="10"/>
      <c r="B546" s="13"/>
      <c r="C546" s="13"/>
    </row>
    <row r="547" spans="1:3" ht="13" x14ac:dyDescent="0.15">
      <c r="A547" s="10"/>
      <c r="B547" s="13"/>
      <c r="C547" s="13"/>
    </row>
    <row r="548" spans="1:3" ht="13" x14ac:dyDescent="0.15">
      <c r="A548" s="10"/>
      <c r="B548" s="13"/>
      <c r="C548" s="13"/>
    </row>
    <row r="549" spans="1:3" ht="13" x14ac:dyDescent="0.15">
      <c r="A549" s="10"/>
      <c r="B549" s="13"/>
      <c r="C549" s="13"/>
    </row>
    <row r="550" spans="1:3" ht="13" x14ac:dyDescent="0.15">
      <c r="A550" s="10"/>
      <c r="B550" s="13"/>
      <c r="C550" s="13"/>
    </row>
    <row r="551" spans="1:3" ht="13" x14ac:dyDescent="0.15">
      <c r="A551" s="10"/>
      <c r="B551" s="13"/>
      <c r="C551" s="13"/>
    </row>
    <row r="552" spans="1:3" ht="13" x14ac:dyDescent="0.15">
      <c r="A552" s="10"/>
      <c r="B552" s="13"/>
      <c r="C552" s="13"/>
    </row>
    <row r="553" spans="1:3" ht="13" x14ac:dyDescent="0.15">
      <c r="A553" s="10"/>
      <c r="B553" s="13"/>
      <c r="C553" s="13"/>
    </row>
    <row r="554" spans="1:3" ht="13" x14ac:dyDescent="0.15">
      <c r="A554" s="10"/>
      <c r="B554" s="13"/>
      <c r="C554" s="13"/>
    </row>
    <row r="555" spans="1:3" ht="13" x14ac:dyDescent="0.15">
      <c r="A555" s="10"/>
      <c r="B555" s="13"/>
      <c r="C555" s="13"/>
    </row>
    <row r="556" spans="1:3" ht="13" x14ac:dyDescent="0.15">
      <c r="A556" s="10"/>
      <c r="B556" s="13"/>
      <c r="C556" s="13"/>
    </row>
    <row r="557" spans="1:3" ht="13" x14ac:dyDescent="0.15">
      <c r="A557" s="10"/>
      <c r="B557" s="13"/>
      <c r="C557" s="13"/>
    </row>
    <row r="558" spans="1:3" ht="13" x14ac:dyDescent="0.15">
      <c r="A558" s="10"/>
      <c r="B558" s="13"/>
      <c r="C558" s="13"/>
    </row>
    <row r="559" spans="1:3" ht="13" x14ac:dyDescent="0.15">
      <c r="A559" s="10"/>
      <c r="B559" s="13"/>
      <c r="C559" s="13"/>
    </row>
    <row r="560" spans="1:3" ht="13" x14ac:dyDescent="0.15">
      <c r="A560" s="10"/>
      <c r="B560" s="13"/>
      <c r="C560" s="13"/>
    </row>
    <row r="561" spans="1:3" ht="13" x14ac:dyDescent="0.15">
      <c r="A561" s="10"/>
      <c r="B561" s="13"/>
      <c r="C561" s="13"/>
    </row>
    <row r="562" spans="1:3" ht="13" x14ac:dyDescent="0.15">
      <c r="A562" s="10"/>
      <c r="B562" s="13"/>
      <c r="C562" s="13"/>
    </row>
    <row r="563" spans="1:3" ht="13" x14ac:dyDescent="0.15">
      <c r="A563" s="10"/>
      <c r="B563" s="13"/>
      <c r="C563" s="13"/>
    </row>
    <row r="564" spans="1:3" ht="13" x14ac:dyDescent="0.15">
      <c r="A564" s="10"/>
      <c r="B564" s="13"/>
      <c r="C564" s="13"/>
    </row>
    <row r="565" spans="1:3" ht="13" x14ac:dyDescent="0.15">
      <c r="A565" s="10"/>
      <c r="B565" s="13"/>
      <c r="C565" s="13"/>
    </row>
    <row r="566" spans="1:3" ht="13" x14ac:dyDescent="0.15">
      <c r="A566" s="10"/>
      <c r="B566" s="13"/>
      <c r="C566" s="13"/>
    </row>
    <row r="567" spans="1:3" ht="13" x14ac:dyDescent="0.15">
      <c r="A567" s="10"/>
      <c r="B567" s="13"/>
      <c r="C567" s="13"/>
    </row>
    <row r="568" spans="1:3" ht="13" x14ac:dyDescent="0.15">
      <c r="A568" s="10"/>
      <c r="B568" s="13"/>
      <c r="C568" s="13"/>
    </row>
    <row r="569" spans="1:3" ht="13" x14ac:dyDescent="0.15">
      <c r="A569" s="10"/>
      <c r="B569" s="13"/>
      <c r="C569" s="13"/>
    </row>
    <row r="570" spans="1:3" ht="13" x14ac:dyDescent="0.15">
      <c r="A570" s="10"/>
      <c r="B570" s="13"/>
      <c r="C570" s="13"/>
    </row>
    <row r="571" spans="1:3" ht="13" x14ac:dyDescent="0.15">
      <c r="A571" s="10"/>
      <c r="B571" s="13"/>
      <c r="C571" s="13"/>
    </row>
    <row r="572" spans="1:3" ht="13" x14ac:dyDescent="0.15">
      <c r="A572" s="10"/>
      <c r="B572" s="13"/>
      <c r="C572" s="13"/>
    </row>
    <row r="573" spans="1:3" ht="13" x14ac:dyDescent="0.15">
      <c r="A573" s="10"/>
      <c r="B573" s="13"/>
      <c r="C573" s="13"/>
    </row>
    <row r="574" spans="1:3" ht="13" x14ac:dyDescent="0.15">
      <c r="A574" s="10"/>
      <c r="B574" s="13"/>
      <c r="C574" s="13"/>
    </row>
    <row r="575" spans="1:3" ht="13" x14ac:dyDescent="0.15">
      <c r="A575" s="10"/>
      <c r="B575" s="13"/>
      <c r="C575" s="13"/>
    </row>
    <row r="576" spans="1:3" ht="13" x14ac:dyDescent="0.15">
      <c r="A576" s="10"/>
      <c r="B576" s="13"/>
      <c r="C576" s="13"/>
    </row>
    <row r="577" spans="1:3" ht="13" x14ac:dyDescent="0.15">
      <c r="A577" s="10"/>
      <c r="B577" s="13"/>
      <c r="C577" s="13"/>
    </row>
    <row r="578" spans="1:3" ht="13" x14ac:dyDescent="0.15">
      <c r="A578" s="10"/>
      <c r="B578" s="13"/>
      <c r="C578" s="13"/>
    </row>
    <row r="579" spans="1:3" ht="13" x14ac:dyDescent="0.15">
      <c r="A579" s="10"/>
      <c r="B579" s="13"/>
      <c r="C579" s="13"/>
    </row>
    <row r="580" spans="1:3" ht="13" x14ac:dyDescent="0.15">
      <c r="A580" s="10"/>
      <c r="B580" s="13"/>
      <c r="C580" s="13"/>
    </row>
    <row r="581" spans="1:3" ht="13" x14ac:dyDescent="0.15">
      <c r="A581" s="10"/>
      <c r="B581" s="13"/>
      <c r="C581" s="13"/>
    </row>
    <row r="582" spans="1:3" ht="13" x14ac:dyDescent="0.15">
      <c r="A582" s="10"/>
      <c r="B582" s="13"/>
      <c r="C582" s="13"/>
    </row>
    <row r="583" spans="1:3" ht="13" x14ac:dyDescent="0.15">
      <c r="A583" s="10"/>
      <c r="B583" s="13"/>
      <c r="C583" s="13"/>
    </row>
    <row r="584" spans="1:3" ht="13" x14ac:dyDescent="0.15">
      <c r="A584" s="10"/>
      <c r="B584" s="13"/>
      <c r="C584" s="13"/>
    </row>
    <row r="585" spans="1:3" ht="13" x14ac:dyDescent="0.15">
      <c r="A585" s="10"/>
      <c r="B585" s="13"/>
      <c r="C585" s="13"/>
    </row>
    <row r="586" spans="1:3" ht="13" x14ac:dyDescent="0.15">
      <c r="A586" s="10"/>
      <c r="B586" s="13"/>
      <c r="C586" s="13"/>
    </row>
    <row r="587" spans="1:3" ht="13" x14ac:dyDescent="0.15">
      <c r="A587" s="10"/>
      <c r="B587" s="13"/>
      <c r="C587" s="13"/>
    </row>
    <row r="588" spans="1:3" ht="13" x14ac:dyDescent="0.15">
      <c r="A588" s="10"/>
      <c r="B588" s="13"/>
      <c r="C588" s="13"/>
    </row>
    <row r="589" spans="1:3" ht="13" x14ac:dyDescent="0.15">
      <c r="A589" s="10"/>
      <c r="B589" s="13"/>
      <c r="C589" s="13"/>
    </row>
    <row r="590" spans="1:3" ht="13" x14ac:dyDescent="0.15">
      <c r="A590" s="10"/>
      <c r="B590" s="13"/>
      <c r="C590" s="13"/>
    </row>
    <row r="591" spans="1:3" ht="13" x14ac:dyDescent="0.15">
      <c r="A591" s="10"/>
      <c r="B591" s="13"/>
      <c r="C591" s="13"/>
    </row>
    <row r="592" spans="1:3" ht="13" x14ac:dyDescent="0.15">
      <c r="A592" s="10"/>
      <c r="B592" s="13"/>
      <c r="C592" s="13"/>
    </row>
    <row r="593" spans="1:3" ht="13" x14ac:dyDescent="0.15">
      <c r="A593" s="10"/>
      <c r="B593" s="13"/>
      <c r="C593" s="13"/>
    </row>
    <row r="594" spans="1:3" ht="13" x14ac:dyDescent="0.15">
      <c r="A594" s="10"/>
      <c r="B594" s="13"/>
      <c r="C594" s="13"/>
    </row>
    <row r="595" spans="1:3" ht="13" x14ac:dyDescent="0.15">
      <c r="A595" s="10"/>
      <c r="B595" s="13"/>
      <c r="C595" s="13"/>
    </row>
    <row r="596" spans="1:3" ht="13" x14ac:dyDescent="0.15">
      <c r="A596" s="10"/>
      <c r="B596" s="13"/>
      <c r="C596" s="13"/>
    </row>
    <row r="597" spans="1:3" ht="13" x14ac:dyDescent="0.15">
      <c r="A597" s="10"/>
      <c r="B597" s="13"/>
      <c r="C597" s="13"/>
    </row>
    <row r="598" spans="1:3" ht="13" x14ac:dyDescent="0.15">
      <c r="A598" s="10"/>
      <c r="B598" s="13"/>
      <c r="C598" s="13"/>
    </row>
    <row r="599" spans="1:3" ht="13" x14ac:dyDescent="0.15">
      <c r="A599" s="10"/>
      <c r="B599" s="13"/>
      <c r="C599" s="13"/>
    </row>
    <row r="600" spans="1:3" ht="13" x14ac:dyDescent="0.15">
      <c r="A600" s="10"/>
      <c r="B600" s="13"/>
      <c r="C600" s="13"/>
    </row>
    <row r="601" spans="1:3" ht="13" x14ac:dyDescent="0.15">
      <c r="A601" s="10"/>
      <c r="B601" s="13"/>
      <c r="C601" s="13"/>
    </row>
    <row r="602" spans="1:3" ht="13" x14ac:dyDescent="0.15">
      <c r="A602" s="10"/>
      <c r="B602" s="13"/>
      <c r="C602" s="13"/>
    </row>
    <row r="603" spans="1:3" ht="13" x14ac:dyDescent="0.15">
      <c r="A603" s="10"/>
      <c r="B603" s="13"/>
      <c r="C603" s="13"/>
    </row>
    <row r="604" spans="1:3" ht="13" x14ac:dyDescent="0.15">
      <c r="A604" s="10"/>
      <c r="B604" s="13"/>
      <c r="C604" s="13"/>
    </row>
    <row r="605" spans="1:3" ht="13" x14ac:dyDescent="0.15">
      <c r="A605" s="10"/>
      <c r="B605" s="13"/>
      <c r="C605" s="13"/>
    </row>
    <row r="606" spans="1:3" ht="13" x14ac:dyDescent="0.15">
      <c r="A606" s="10"/>
      <c r="B606" s="13"/>
      <c r="C606" s="13"/>
    </row>
    <row r="607" spans="1:3" ht="13" x14ac:dyDescent="0.15">
      <c r="A607" s="10"/>
      <c r="B607" s="13"/>
      <c r="C607" s="13"/>
    </row>
    <row r="608" spans="1:3" ht="13" x14ac:dyDescent="0.15">
      <c r="A608" s="10"/>
      <c r="B608" s="13"/>
      <c r="C608" s="13"/>
    </row>
    <row r="609" spans="1:3" ht="13" x14ac:dyDescent="0.15">
      <c r="A609" s="10"/>
      <c r="B609" s="13"/>
      <c r="C609" s="13"/>
    </row>
    <row r="610" spans="1:3" ht="13" x14ac:dyDescent="0.15">
      <c r="A610" s="10"/>
      <c r="B610" s="13"/>
      <c r="C610" s="13"/>
    </row>
    <row r="611" spans="1:3" ht="13" x14ac:dyDescent="0.15">
      <c r="A611" s="10"/>
      <c r="B611" s="13"/>
      <c r="C611" s="13"/>
    </row>
    <row r="612" spans="1:3" ht="13" x14ac:dyDescent="0.15">
      <c r="A612" s="10"/>
      <c r="B612" s="13"/>
      <c r="C612" s="13"/>
    </row>
    <row r="613" spans="1:3" ht="13" x14ac:dyDescent="0.15">
      <c r="A613" s="10"/>
      <c r="B613" s="13"/>
      <c r="C613" s="13"/>
    </row>
    <row r="614" spans="1:3" ht="13" x14ac:dyDescent="0.15">
      <c r="A614" s="10"/>
      <c r="B614" s="13"/>
      <c r="C614" s="13"/>
    </row>
    <row r="615" spans="1:3" ht="13" x14ac:dyDescent="0.15">
      <c r="A615" s="10"/>
      <c r="B615" s="13"/>
      <c r="C615" s="13"/>
    </row>
    <row r="616" spans="1:3" ht="13" x14ac:dyDescent="0.15">
      <c r="A616" s="10"/>
      <c r="B616" s="13"/>
      <c r="C616" s="13"/>
    </row>
    <row r="617" spans="1:3" ht="13" x14ac:dyDescent="0.15">
      <c r="A617" s="10"/>
      <c r="B617" s="13"/>
      <c r="C617" s="13"/>
    </row>
    <row r="618" spans="1:3" ht="13" x14ac:dyDescent="0.15">
      <c r="A618" s="10"/>
      <c r="B618" s="13"/>
      <c r="C618" s="13"/>
    </row>
    <row r="619" spans="1:3" ht="13" x14ac:dyDescent="0.15">
      <c r="A619" s="10"/>
      <c r="B619" s="13"/>
      <c r="C619" s="13"/>
    </row>
    <row r="620" spans="1:3" ht="13" x14ac:dyDescent="0.15">
      <c r="A620" s="10"/>
      <c r="B620" s="13"/>
      <c r="C620" s="13"/>
    </row>
    <row r="621" spans="1:3" ht="13" x14ac:dyDescent="0.15">
      <c r="A621" s="10"/>
      <c r="B621" s="13"/>
      <c r="C621" s="13"/>
    </row>
    <row r="622" spans="1:3" ht="13" x14ac:dyDescent="0.15">
      <c r="A622" s="10"/>
      <c r="B622" s="13"/>
      <c r="C622" s="13"/>
    </row>
    <row r="623" spans="1:3" ht="13" x14ac:dyDescent="0.15">
      <c r="A623" s="10"/>
      <c r="B623" s="13"/>
      <c r="C623" s="13"/>
    </row>
    <row r="624" spans="1:3" ht="13" x14ac:dyDescent="0.15">
      <c r="A624" s="10"/>
      <c r="B624" s="13"/>
      <c r="C624" s="13"/>
    </row>
    <row r="625" spans="1:3" ht="13" x14ac:dyDescent="0.15">
      <c r="A625" s="10"/>
      <c r="B625" s="13"/>
      <c r="C625" s="13"/>
    </row>
    <row r="626" spans="1:3" ht="13" x14ac:dyDescent="0.15">
      <c r="A626" s="10"/>
      <c r="B626" s="13"/>
      <c r="C626" s="13"/>
    </row>
    <row r="627" spans="1:3" ht="13" x14ac:dyDescent="0.15">
      <c r="A627" s="10"/>
      <c r="B627" s="13"/>
      <c r="C627" s="13"/>
    </row>
    <row r="628" spans="1:3" ht="13" x14ac:dyDescent="0.15">
      <c r="A628" s="10"/>
      <c r="B628" s="13"/>
      <c r="C628" s="13"/>
    </row>
    <row r="629" spans="1:3" ht="13" x14ac:dyDescent="0.15">
      <c r="A629" s="10"/>
      <c r="B629" s="13"/>
      <c r="C629" s="13"/>
    </row>
    <row r="630" spans="1:3" ht="13" x14ac:dyDescent="0.15">
      <c r="A630" s="10"/>
      <c r="B630" s="13"/>
      <c r="C630" s="13"/>
    </row>
    <row r="631" spans="1:3" ht="13" x14ac:dyDescent="0.15">
      <c r="A631" s="10"/>
      <c r="B631" s="13"/>
      <c r="C631" s="13"/>
    </row>
    <row r="632" spans="1:3" ht="13" x14ac:dyDescent="0.15">
      <c r="A632" s="10"/>
      <c r="B632" s="13"/>
      <c r="C632" s="13"/>
    </row>
    <row r="633" spans="1:3" ht="13" x14ac:dyDescent="0.15">
      <c r="A633" s="10"/>
      <c r="B633" s="13"/>
      <c r="C633" s="13"/>
    </row>
    <row r="634" spans="1:3" ht="13" x14ac:dyDescent="0.15">
      <c r="A634" s="10"/>
      <c r="B634" s="13"/>
      <c r="C634" s="13"/>
    </row>
    <row r="635" spans="1:3" ht="13" x14ac:dyDescent="0.15">
      <c r="A635" s="10"/>
      <c r="B635" s="13"/>
      <c r="C635" s="13"/>
    </row>
    <row r="636" spans="1:3" ht="13" x14ac:dyDescent="0.15">
      <c r="A636" s="10"/>
      <c r="B636" s="13"/>
      <c r="C636" s="13"/>
    </row>
    <row r="637" spans="1:3" ht="13" x14ac:dyDescent="0.15">
      <c r="A637" s="10"/>
      <c r="B637" s="13"/>
      <c r="C637" s="13"/>
    </row>
    <row r="638" spans="1:3" ht="13" x14ac:dyDescent="0.15">
      <c r="A638" s="10"/>
      <c r="B638" s="13"/>
      <c r="C638" s="13"/>
    </row>
    <row r="639" spans="1:3" ht="13" x14ac:dyDescent="0.15">
      <c r="A639" s="10"/>
      <c r="B639" s="13"/>
      <c r="C639" s="13"/>
    </row>
    <row r="640" spans="1:3" ht="13" x14ac:dyDescent="0.15">
      <c r="A640" s="10"/>
      <c r="B640" s="13"/>
      <c r="C640" s="13"/>
    </row>
    <row r="641" spans="1:3" ht="13" x14ac:dyDescent="0.15">
      <c r="A641" s="10"/>
      <c r="B641" s="13"/>
      <c r="C641" s="13"/>
    </row>
    <row r="642" spans="1:3" ht="13" x14ac:dyDescent="0.15">
      <c r="A642" s="10"/>
      <c r="B642" s="13"/>
      <c r="C642" s="13"/>
    </row>
    <row r="643" spans="1:3" ht="13" x14ac:dyDescent="0.15">
      <c r="A643" s="10"/>
      <c r="B643" s="13"/>
      <c r="C643" s="13"/>
    </row>
    <row r="644" spans="1:3" ht="13" x14ac:dyDescent="0.15">
      <c r="A644" s="10"/>
      <c r="B644" s="13"/>
      <c r="C644" s="13"/>
    </row>
    <row r="645" spans="1:3" ht="13" x14ac:dyDescent="0.15">
      <c r="A645" s="10"/>
      <c r="B645" s="13"/>
      <c r="C645" s="13"/>
    </row>
    <row r="646" spans="1:3" ht="13" x14ac:dyDescent="0.15">
      <c r="A646" s="10"/>
      <c r="B646" s="13"/>
      <c r="C646" s="13"/>
    </row>
    <row r="647" spans="1:3" ht="13" x14ac:dyDescent="0.15">
      <c r="A647" s="10"/>
      <c r="B647" s="13"/>
      <c r="C647" s="13"/>
    </row>
    <row r="648" spans="1:3" ht="13" x14ac:dyDescent="0.15">
      <c r="A648" s="10"/>
      <c r="B648" s="13"/>
      <c r="C648" s="13"/>
    </row>
    <row r="649" spans="1:3" ht="13" x14ac:dyDescent="0.15">
      <c r="A649" s="10"/>
      <c r="B649" s="13"/>
      <c r="C649" s="13"/>
    </row>
    <row r="650" spans="1:3" ht="13" x14ac:dyDescent="0.15">
      <c r="A650" s="10"/>
      <c r="B650" s="13"/>
      <c r="C650" s="13"/>
    </row>
    <row r="651" spans="1:3" ht="13" x14ac:dyDescent="0.15">
      <c r="A651" s="10"/>
      <c r="B651" s="13"/>
      <c r="C651" s="13"/>
    </row>
    <row r="652" spans="1:3" ht="13" x14ac:dyDescent="0.15">
      <c r="A652" s="10"/>
      <c r="B652" s="13"/>
      <c r="C652" s="13"/>
    </row>
    <row r="653" spans="1:3" ht="13" x14ac:dyDescent="0.15">
      <c r="A653" s="10"/>
      <c r="B653" s="13"/>
      <c r="C653" s="13"/>
    </row>
    <row r="654" spans="1:3" ht="13" x14ac:dyDescent="0.15">
      <c r="A654" s="10"/>
      <c r="B654" s="13"/>
      <c r="C654" s="13"/>
    </row>
    <row r="655" spans="1:3" ht="13" x14ac:dyDescent="0.15">
      <c r="A655" s="10"/>
      <c r="B655" s="13"/>
      <c r="C655" s="13"/>
    </row>
    <row r="656" spans="1:3" ht="13" x14ac:dyDescent="0.15">
      <c r="A656" s="10"/>
      <c r="B656" s="13"/>
      <c r="C656" s="13"/>
    </row>
    <row r="657" spans="1:3" ht="13" x14ac:dyDescent="0.15">
      <c r="A657" s="10"/>
      <c r="B657" s="13"/>
      <c r="C657" s="13"/>
    </row>
    <row r="658" spans="1:3" ht="13" x14ac:dyDescent="0.15">
      <c r="A658" s="10"/>
      <c r="B658" s="13"/>
      <c r="C658" s="13"/>
    </row>
    <row r="659" spans="1:3" ht="13" x14ac:dyDescent="0.15">
      <c r="A659" s="10"/>
      <c r="B659" s="13"/>
      <c r="C659" s="13"/>
    </row>
    <row r="660" spans="1:3" ht="13" x14ac:dyDescent="0.15">
      <c r="A660" s="10"/>
      <c r="B660" s="13"/>
      <c r="C660" s="13"/>
    </row>
    <row r="661" spans="1:3" ht="13" x14ac:dyDescent="0.15">
      <c r="A661" s="10"/>
      <c r="B661" s="13"/>
      <c r="C661" s="13"/>
    </row>
    <row r="662" spans="1:3" ht="13" x14ac:dyDescent="0.15">
      <c r="A662" s="10"/>
      <c r="B662" s="13"/>
      <c r="C662" s="13"/>
    </row>
    <row r="663" spans="1:3" ht="13" x14ac:dyDescent="0.15">
      <c r="A663" s="10"/>
      <c r="B663" s="13"/>
      <c r="C663" s="13"/>
    </row>
    <row r="664" spans="1:3" ht="13" x14ac:dyDescent="0.15">
      <c r="A664" s="10"/>
      <c r="B664" s="13"/>
      <c r="C664" s="13"/>
    </row>
    <row r="665" spans="1:3" ht="13" x14ac:dyDescent="0.15">
      <c r="A665" s="10"/>
      <c r="B665" s="13"/>
      <c r="C665" s="13"/>
    </row>
    <row r="666" spans="1:3" ht="13" x14ac:dyDescent="0.15">
      <c r="A666" s="10"/>
      <c r="B666" s="13"/>
      <c r="C666" s="13"/>
    </row>
    <row r="667" spans="1:3" ht="13" x14ac:dyDescent="0.15">
      <c r="A667" s="10"/>
      <c r="B667" s="13"/>
      <c r="C667" s="13"/>
    </row>
    <row r="668" spans="1:3" ht="13" x14ac:dyDescent="0.15">
      <c r="A668" s="10"/>
      <c r="B668" s="13"/>
      <c r="C668" s="13"/>
    </row>
    <row r="669" spans="1:3" ht="13" x14ac:dyDescent="0.15">
      <c r="A669" s="10"/>
      <c r="B669" s="13"/>
      <c r="C669" s="13"/>
    </row>
    <row r="670" spans="1:3" ht="13" x14ac:dyDescent="0.15">
      <c r="A670" s="10"/>
      <c r="B670" s="13"/>
      <c r="C670" s="13"/>
    </row>
    <row r="671" spans="1:3" ht="13" x14ac:dyDescent="0.15">
      <c r="A671" s="10"/>
      <c r="B671" s="13"/>
      <c r="C671" s="13"/>
    </row>
    <row r="672" spans="1:3" ht="13" x14ac:dyDescent="0.15">
      <c r="A672" s="10"/>
      <c r="B672" s="13"/>
      <c r="C672" s="13"/>
    </row>
    <row r="673" spans="1:3" ht="13" x14ac:dyDescent="0.15">
      <c r="A673" s="10"/>
      <c r="B673" s="13"/>
      <c r="C673" s="13"/>
    </row>
    <row r="674" spans="1:3" ht="13" x14ac:dyDescent="0.15">
      <c r="A674" s="10"/>
      <c r="B674" s="13"/>
      <c r="C674" s="13"/>
    </row>
    <row r="675" spans="1:3" ht="13" x14ac:dyDescent="0.15">
      <c r="A675" s="10"/>
      <c r="B675" s="13"/>
      <c r="C675" s="13"/>
    </row>
    <row r="676" spans="1:3" ht="13" x14ac:dyDescent="0.15">
      <c r="A676" s="10"/>
      <c r="B676" s="13"/>
      <c r="C676" s="13"/>
    </row>
    <row r="677" spans="1:3" ht="13" x14ac:dyDescent="0.15">
      <c r="A677" s="10"/>
      <c r="B677" s="13"/>
      <c r="C677" s="13"/>
    </row>
    <row r="678" spans="1:3" ht="13" x14ac:dyDescent="0.15">
      <c r="A678" s="10"/>
      <c r="B678" s="13"/>
      <c r="C678" s="13"/>
    </row>
    <row r="679" spans="1:3" ht="13" x14ac:dyDescent="0.15">
      <c r="A679" s="10"/>
      <c r="B679" s="13"/>
      <c r="C679" s="13"/>
    </row>
    <row r="680" spans="1:3" ht="13" x14ac:dyDescent="0.15">
      <c r="A680" s="10"/>
      <c r="B680" s="13"/>
      <c r="C680" s="13"/>
    </row>
    <row r="681" spans="1:3" ht="13" x14ac:dyDescent="0.15">
      <c r="A681" s="10"/>
      <c r="B681" s="13"/>
      <c r="C681" s="13"/>
    </row>
    <row r="682" spans="1:3" ht="13" x14ac:dyDescent="0.15">
      <c r="A682" s="10"/>
      <c r="B682" s="13"/>
      <c r="C682" s="13"/>
    </row>
    <row r="683" spans="1:3" ht="13" x14ac:dyDescent="0.15">
      <c r="A683" s="10"/>
      <c r="B683" s="13"/>
      <c r="C683" s="13"/>
    </row>
    <row r="684" spans="1:3" ht="13" x14ac:dyDescent="0.15">
      <c r="A684" s="10"/>
      <c r="B684" s="13"/>
      <c r="C684" s="13"/>
    </row>
    <row r="685" spans="1:3" ht="13" x14ac:dyDescent="0.15">
      <c r="A685" s="10"/>
      <c r="B685" s="13"/>
      <c r="C685" s="13"/>
    </row>
    <row r="686" spans="1:3" ht="13" x14ac:dyDescent="0.15">
      <c r="A686" s="10"/>
      <c r="B686" s="13"/>
      <c r="C686" s="13"/>
    </row>
    <row r="687" spans="1:3" ht="13" x14ac:dyDescent="0.15">
      <c r="A687" s="10"/>
      <c r="B687" s="13"/>
      <c r="C687" s="13"/>
    </row>
    <row r="688" spans="1:3" ht="13" x14ac:dyDescent="0.15">
      <c r="A688" s="10"/>
      <c r="B688" s="13"/>
      <c r="C688" s="13"/>
    </row>
    <row r="689" spans="1:3" ht="13" x14ac:dyDescent="0.15">
      <c r="A689" s="10"/>
      <c r="B689" s="13"/>
      <c r="C689" s="13"/>
    </row>
    <row r="690" spans="1:3" ht="13" x14ac:dyDescent="0.15">
      <c r="A690" s="10"/>
      <c r="B690" s="13"/>
      <c r="C690" s="13"/>
    </row>
    <row r="691" spans="1:3" ht="13" x14ac:dyDescent="0.15">
      <c r="A691" s="10"/>
      <c r="B691" s="13"/>
      <c r="C691" s="13"/>
    </row>
    <row r="692" spans="1:3" ht="13" x14ac:dyDescent="0.15">
      <c r="A692" s="10"/>
      <c r="B692" s="13"/>
      <c r="C692" s="13"/>
    </row>
    <row r="693" spans="1:3" ht="13" x14ac:dyDescent="0.15">
      <c r="A693" s="10"/>
      <c r="B693" s="13"/>
      <c r="C693" s="13"/>
    </row>
    <row r="694" spans="1:3" ht="13" x14ac:dyDescent="0.15">
      <c r="A694" s="10"/>
      <c r="B694" s="13"/>
      <c r="C694" s="13"/>
    </row>
    <row r="695" spans="1:3" ht="13" x14ac:dyDescent="0.15">
      <c r="A695" s="10"/>
      <c r="B695" s="13"/>
      <c r="C695" s="13"/>
    </row>
    <row r="696" spans="1:3" ht="13" x14ac:dyDescent="0.15">
      <c r="A696" s="10"/>
      <c r="B696" s="13"/>
      <c r="C696" s="13"/>
    </row>
    <row r="697" spans="1:3" ht="13" x14ac:dyDescent="0.15">
      <c r="A697" s="10"/>
      <c r="B697" s="13"/>
      <c r="C697" s="13"/>
    </row>
    <row r="698" spans="1:3" ht="13" x14ac:dyDescent="0.15">
      <c r="A698" s="10"/>
      <c r="B698" s="13"/>
      <c r="C698" s="13"/>
    </row>
    <row r="699" spans="1:3" ht="13" x14ac:dyDescent="0.15">
      <c r="A699" s="10"/>
      <c r="B699" s="13"/>
      <c r="C699" s="13"/>
    </row>
    <row r="700" spans="1:3" ht="13" x14ac:dyDescent="0.15">
      <c r="A700" s="10"/>
      <c r="B700" s="13"/>
      <c r="C700" s="13"/>
    </row>
    <row r="701" spans="1:3" ht="13" x14ac:dyDescent="0.15">
      <c r="A701" s="10"/>
      <c r="B701" s="13"/>
      <c r="C701" s="13"/>
    </row>
    <row r="702" spans="1:3" ht="13" x14ac:dyDescent="0.15">
      <c r="A702" s="10"/>
      <c r="B702" s="13"/>
      <c r="C702" s="13"/>
    </row>
    <row r="703" spans="1:3" ht="13" x14ac:dyDescent="0.15">
      <c r="A703" s="10"/>
      <c r="B703" s="13"/>
      <c r="C703" s="13"/>
    </row>
    <row r="704" spans="1:3" ht="13" x14ac:dyDescent="0.15">
      <c r="A704" s="10"/>
      <c r="B704" s="13"/>
      <c r="C704" s="13"/>
    </row>
    <row r="705" spans="1:3" ht="13" x14ac:dyDescent="0.15">
      <c r="A705" s="10"/>
      <c r="B705" s="13"/>
      <c r="C705" s="13"/>
    </row>
    <row r="706" spans="1:3" ht="13" x14ac:dyDescent="0.15">
      <c r="A706" s="10"/>
      <c r="B706" s="13"/>
      <c r="C706" s="13"/>
    </row>
    <row r="707" spans="1:3" ht="13" x14ac:dyDescent="0.15">
      <c r="A707" s="10"/>
      <c r="B707" s="13"/>
      <c r="C707" s="13"/>
    </row>
    <row r="708" spans="1:3" ht="13" x14ac:dyDescent="0.15">
      <c r="A708" s="10"/>
      <c r="B708" s="13"/>
      <c r="C708" s="13"/>
    </row>
    <row r="709" spans="1:3" ht="13" x14ac:dyDescent="0.15">
      <c r="A709" s="10"/>
      <c r="B709" s="13"/>
      <c r="C709" s="13"/>
    </row>
    <row r="710" spans="1:3" ht="13" x14ac:dyDescent="0.15">
      <c r="A710" s="10"/>
      <c r="B710" s="13"/>
      <c r="C710" s="13"/>
    </row>
    <row r="711" spans="1:3" ht="13" x14ac:dyDescent="0.15">
      <c r="A711" s="10"/>
      <c r="B711" s="13"/>
      <c r="C711" s="13"/>
    </row>
    <row r="712" spans="1:3" ht="13" x14ac:dyDescent="0.15">
      <c r="A712" s="10"/>
      <c r="B712" s="13"/>
      <c r="C712" s="13"/>
    </row>
    <row r="713" spans="1:3" ht="13" x14ac:dyDescent="0.15">
      <c r="A713" s="10"/>
      <c r="B713" s="13"/>
      <c r="C713" s="13"/>
    </row>
    <row r="714" spans="1:3" ht="13" x14ac:dyDescent="0.15">
      <c r="A714" s="10"/>
      <c r="B714" s="13"/>
      <c r="C714" s="13"/>
    </row>
    <row r="715" spans="1:3" ht="13" x14ac:dyDescent="0.15">
      <c r="A715" s="10"/>
      <c r="B715" s="13"/>
      <c r="C715" s="13"/>
    </row>
    <row r="716" spans="1:3" ht="13" x14ac:dyDescent="0.15">
      <c r="A716" s="10"/>
      <c r="B716" s="13"/>
      <c r="C716" s="13"/>
    </row>
    <row r="717" spans="1:3" ht="13" x14ac:dyDescent="0.15">
      <c r="A717" s="10"/>
      <c r="B717" s="13"/>
      <c r="C717" s="13"/>
    </row>
    <row r="718" spans="1:3" ht="13" x14ac:dyDescent="0.15">
      <c r="A718" s="10"/>
      <c r="B718" s="13"/>
      <c r="C718" s="13"/>
    </row>
    <row r="719" spans="1:3" ht="13" x14ac:dyDescent="0.15">
      <c r="A719" s="10"/>
      <c r="B719" s="13"/>
      <c r="C719" s="13"/>
    </row>
    <row r="720" spans="1:3" ht="13" x14ac:dyDescent="0.15">
      <c r="A720" s="10"/>
      <c r="B720" s="13"/>
      <c r="C720" s="13"/>
    </row>
    <row r="721" spans="1:3" ht="13" x14ac:dyDescent="0.15">
      <c r="A721" s="10"/>
      <c r="B721" s="13"/>
      <c r="C721" s="13"/>
    </row>
    <row r="722" spans="1:3" ht="13" x14ac:dyDescent="0.15">
      <c r="A722" s="10"/>
      <c r="B722" s="13"/>
      <c r="C722" s="13"/>
    </row>
    <row r="723" spans="1:3" ht="13" x14ac:dyDescent="0.15">
      <c r="A723" s="10"/>
      <c r="B723" s="13"/>
      <c r="C723" s="13"/>
    </row>
    <row r="724" spans="1:3" ht="13" x14ac:dyDescent="0.15">
      <c r="A724" s="10"/>
      <c r="B724" s="13"/>
      <c r="C724" s="13"/>
    </row>
    <row r="725" spans="1:3" ht="13" x14ac:dyDescent="0.15">
      <c r="A725" s="10"/>
      <c r="B725" s="13"/>
      <c r="C725" s="13"/>
    </row>
    <row r="726" spans="1:3" ht="13" x14ac:dyDescent="0.15">
      <c r="A726" s="10"/>
      <c r="B726" s="13"/>
      <c r="C726" s="13"/>
    </row>
    <row r="727" spans="1:3" ht="13" x14ac:dyDescent="0.15">
      <c r="A727" s="10"/>
      <c r="B727" s="13"/>
      <c r="C727" s="13"/>
    </row>
    <row r="728" spans="1:3" ht="13" x14ac:dyDescent="0.15">
      <c r="A728" s="10"/>
      <c r="B728" s="13"/>
      <c r="C728" s="13"/>
    </row>
    <row r="729" spans="1:3" ht="13" x14ac:dyDescent="0.15">
      <c r="A729" s="10"/>
      <c r="B729" s="13"/>
      <c r="C729" s="13"/>
    </row>
    <row r="730" spans="1:3" ht="13" x14ac:dyDescent="0.15">
      <c r="A730" s="10"/>
      <c r="B730" s="13"/>
      <c r="C730" s="13"/>
    </row>
    <row r="731" spans="1:3" ht="13" x14ac:dyDescent="0.15">
      <c r="A731" s="10"/>
      <c r="B731" s="13"/>
      <c r="C731" s="13"/>
    </row>
    <row r="732" spans="1:3" ht="13" x14ac:dyDescent="0.15">
      <c r="A732" s="10"/>
      <c r="B732" s="13"/>
      <c r="C732" s="13"/>
    </row>
    <row r="733" spans="1:3" ht="13" x14ac:dyDescent="0.15">
      <c r="A733" s="10"/>
      <c r="B733" s="13"/>
      <c r="C733" s="13"/>
    </row>
    <row r="734" spans="1:3" ht="13" x14ac:dyDescent="0.15">
      <c r="A734" s="10"/>
      <c r="B734" s="13"/>
      <c r="C734" s="13"/>
    </row>
    <row r="735" spans="1:3" ht="13" x14ac:dyDescent="0.15">
      <c r="A735" s="10"/>
      <c r="B735" s="13"/>
      <c r="C735" s="13"/>
    </row>
    <row r="736" spans="1:3" ht="13" x14ac:dyDescent="0.15">
      <c r="A736" s="10"/>
      <c r="B736" s="13"/>
      <c r="C736" s="13"/>
    </row>
    <row r="737" spans="1:3" ht="13" x14ac:dyDescent="0.15">
      <c r="A737" s="10"/>
      <c r="B737" s="13"/>
      <c r="C737" s="13"/>
    </row>
    <row r="738" spans="1:3" ht="13" x14ac:dyDescent="0.15">
      <c r="A738" s="10"/>
      <c r="B738" s="13"/>
      <c r="C738" s="13"/>
    </row>
    <row r="739" spans="1:3" ht="13" x14ac:dyDescent="0.15">
      <c r="A739" s="10"/>
      <c r="B739" s="13"/>
      <c r="C739" s="13"/>
    </row>
    <row r="740" spans="1:3" ht="13" x14ac:dyDescent="0.15">
      <c r="A740" s="10"/>
      <c r="B740" s="13"/>
      <c r="C740" s="13"/>
    </row>
    <row r="741" spans="1:3" ht="13" x14ac:dyDescent="0.15">
      <c r="A741" s="10"/>
      <c r="B741" s="13"/>
      <c r="C741" s="13"/>
    </row>
    <row r="742" spans="1:3" ht="13" x14ac:dyDescent="0.15">
      <c r="A742" s="10"/>
      <c r="B742" s="13"/>
      <c r="C742" s="13"/>
    </row>
    <row r="743" spans="1:3" ht="13" x14ac:dyDescent="0.15">
      <c r="A743" s="10"/>
      <c r="B743" s="13"/>
      <c r="C743" s="13"/>
    </row>
    <row r="744" spans="1:3" ht="13" x14ac:dyDescent="0.15">
      <c r="A744" s="10"/>
      <c r="B744" s="13"/>
      <c r="C744" s="13"/>
    </row>
    <row r="745" spans="1:3" ht="13" x14ac:dyDescent="0.15">
      <c r="A745" s="10"/>
      <c r="B745" s="13"/>
      <c r="C745" s="13"/>
    </row>
    <row r="746" spans="1:3" ht="13" x14ac:dyDescent="0.15">
      <c r="A746" s="10"/>
      <c r="B746" s="13"/>
      <c r="C746" s="13"/>
    </row>
    <row r="747" spans="1:3" ht="13" x14ac:dyDescent="0.15">
      <c r="A747" s="10"/>
      <c r="B747" s="13"/>
      <c r="C747" s="13"/>
    </row>
    <row r="748" spans="1:3" ht="13" x14ac:dyDescent="0.15">
      <c r="A748" s="10"/>
      <c r="B748" s="13"/>
      <c r="C748" s="13"/>
    </row>
    <row r="749" spans="1:3" ht="13" x14ac:dyDescent="0.15">
      <c r="A749" s="10"/>
      <c r="B749" s="13"/>
      <c r="C749" s="13"/>
    </row>
    <row r="750" spans="1:3" ht="13" x14ac:dyDescent="0.15">
      <c r="A750" s="10"/>
      <c r="B750" s="13"/>
      <c r="C750" s="13"/>
    </row>
    <row r="751" spans="1:3" ht="13" x14ac:dyDescent="0.15">
      <c r="A751" s="10"/>
      <c r="B751" s="13"/>
      <c r="C751" s="13"/>
    </row>
    <row r="752" spans="1:3" ht="13" x14ac:dyDescent="0.15">
      <c r="A752" s="10"/>
      <c r="B752" s="13"/>
      <c r="C752" s="13"/>
    </row>
    <row r="753" spans="1:3" ht="13" x14ac:dyDescent="0.15">
      <c r="A753" s="10"/>
      <c r="B753" s="13"/>
      <c r="C753" s="13"/>
    </row>
    <row r="754" spans="1:3" ht="13" x14ac:dyDescent="0.15">
      <c r="A754" s="10"/>
      <c r="B754" s="13"/>
      <c r="C754" s="13"/>
    </row>
    <row r="755" spans="1:3" ht="13" x14ac:dyDescent="0.15">
      <c r="A755" s="10"/>
      <c r="B755" s="13"/>
      <c r="C755" s="13"/>
    </row>
    <row r="756" spans="1:3" ht="13" x14ac:dyDescent="0.15">
      <c r="A756" s="10"/>
      <c r="B756" s="13"/>
      <c r="C756" s="13"/>
    </row>
    <row r="757" spans="1:3" ht="13" x14ac:dyDescent="0.15">
      <c r="A757" s="10"/>
      <c r="B757" s="13"/>
      <c r="C757" s="13"/>
    </row>
    <row r="758" spans="1:3" ht="13" x14ac:dyDescent="0.15">
      <c r="A758" s="10"/>
      <c r="B758" s="13"/>
      <c r="C758" s="13"/>
    </row>
    <row r="759" spans="1:3" ht="13" x14ac:dyDescent="0.15">
      <c r="A759" s="10"/>
      <c r="B759" s="13"/>
      <c r="C759" s="13"/>
    </row>
    <row r="760" spans="1:3" ht="13" x14ac:dyDescent="0.15">
      <c r="A760" s="10"/>
      <c r="B760" s="13"/>
      <c r="C760" s="13"/>
    </row>
    <row r="761" spans="1:3" ht="13" x14ac:dyDescent="0.15">
      <c r="A761" s="10"/>
      <c r="B761" s="13"/>
      <c r="C761" s="13"/>
    </row>
    <row r="762" spans="1:3" ht="13" x14ac:dyDescent="0.15">
      <c r="A762" s="10"/>
      <c r="B762" s="13"/>
      <c r="C762" s="13"/>
    </row>
    <row r="763" spans="1:3" ht="13" x14ac:dyDescent="0.15">
      <c r="A763" s="10"/>
      <c r="B763" s="13"/>
      <c r="C763" s="13"/>
    </row>
    <row r="764" spans="1:3" ht="13" x14ac:dyDescent="0.15">
      <c r="A764" s="10"/>
      <c r="B764" s="13"/>
      <c r="C764" s="13"/>
    </row>
    <row r="765" spans="1:3" ht="13" x14ac:dyDescent="0.15">
      <c r="A765" s="10"/>
      <c r="B765" s="13"/>
      <c r="C765" s="13"/>
    </row>
    <row r="766" spans="1:3" ht="13" x14ac:dyDescent="0.15">
      <c r="A766" s="10"/>
      <c r="B766" s="13"/>
      <c r="C766" s="13"/>
    </row>
    <row r="767" spans="1:3" ht="13" x14ac:dyDescent="0.15">
      <c r="A767" s="10"/>
      <c r="B767" s="13"/>
      <c r="C767" s="13"/>
    </row>
    <row r="768" spans="1:3" ht="13" x14ac:dyDescent="0.15">
      <c r="A768" s="10"/>
      <c r="B768" s="13"/>
      <c r="C768" s="13"/>
    </row>
    <row r="769" spans="1:3" ht="13" x14ac:dyDescent="0.15">
      <c r="A769" s="10"/>
      <c r="B769" s="13"/>
      <c r="C769" s="13"/>
    </row>
    <row r="770" spans="1:3" ht="13" x14ac:dyDescent="0.15">
      <c r="A770" s="10"/>
      <c r="B770" s="13"/>
      <c r="C770" s="13"/>
    </row>
    <row r="771" spans="1:3" ht="13" x14ac:dyDescent="0.15">
      <c r="A771" s="10"/>
      <c r="B771" s="13"/>
      <c r="C771" s="13"/>
    </row>
    <row r="772" spans="1:3" ht="13" x14ac:dyDescent="0.15">
      <c r="A772" s="10"/>
      <c r="B772" s="13"/>
      <c r="C772" s="13"/>
    </row>
    <row r="773" spans="1:3" ht="13" x14ac:dyDescent="0.15">
      <c r="A773" s="10"/>
      <c r="B773" s="13"/>
      <c r="C773" s="13"/>
    </row>
    <row r="774" spans="1:3" ht="13" x14ac:dyDescent="0.15">
      <c r="A774" s="10"/>
      <c r="B774" s="13"/>
      <c r="C774" s="13"/>
    </row>
    <row r="775" spans="1:3" ht="13" x14ac:dyDescent="0.15">
      <c r="A775" s="10"/>
      <c r="B775" s="13"/>
      <c r="C775" s="13"/>
    </row>
    <row r="776" spans="1:3" ht="13" x14ac:dyDescent="0.15">
      <c r="A776" s="10"/>
      <c r="B776" s="13"/>
      <c r="C776" s="13"/>
    </row>
    <row r="777" spans="1:3" ht="13" x14ac:dyDescent="0.15">
      <c r="A777" s="10"/>
      <c r="B777" s="13"/>
      <c r="C777" s="13"/>
    </row>
    <row r="778" spans="1:3" ht="13" x14ac:dyDescent="0.15">
      <c r="A778" s="10"/>
      <c r="B778" s="13"/>
      <c r="C778" s="13"/>
    </row>
    <row r="779" spans="1:3" ht="13" x14ac:dyDescent="0.15">
      <c r="A779" s="10"/>
      <c r="B779" s="13"/>
      <c r="C779" s="13"/>
    </row>
    <row r="780" spans="1:3" ht="13" x14ac:dyDescent="0.15">
      <c r="A780" s="10"/>
      <c r="B780" s="13"/>
      <c r="C780" s="13"/>
    </row>
    <row r="781" spans="1:3" ht="13" x14ac:dyDescent="0.15">
      <c r="A781" s="10"/>
      <c r="B781" s="13"/>
      <c r="C781" s="13"/>
    </row>
    <row r="782" spans="1:3" ht="13" x14ac:dyDescent="0.15">
      <c r="A782" s="10"/>
      <c r="B782" s="13"/>
      <c r="C782" s="13"/>
    </row>
    <row r="783" spans="1:3" ht="13" x14ac:dyDescent="0.15">
      <c r="A783" s="10"/>
      <c r="B783" s="13"/>
      <c r="C783" s="13"/>
    </row>
    <row r="784" spans="1:3" ht="13" x14ac:dyDescent="0.15">
      <c r="A784" s="10"/>
      <c r="B784" s="13"/>
      <c r="C784" s="13"/>
    </row>
    <row r="785" spans="1:3" ht="13" x14ac:dyDescent="0.15">
      <c r="A785" s="10"/>
      <c r="B785" s="13"/>
      <c r="C785" s="13"/>
    </row>
    <row r="786" spans="1:3" ht="13" x14ac:dyDescent="0.15">
      <c r="A786" s="10"/>
      <c r="B786" s="13"/>
      <c r="C786" s="13"/>
    </row>
    <row r="787" spans="1:3" ht="13" x14ac:dyDescent="0.15">
      <c r="A787" s="10"/>
      <c r="B787" s="13"/>
      <c r="C787" s="13"/>
    </row>
    <row r="788" spans="1:3" ht="13" x14ac:dyDescent="0.15">
      <c r="A788" s="10"/>
      <c r="B788" s="13"/>
      <c r="C788" s="13"/>
    </row>
    <row r="789" spans="1:3" ht="13" x14ac:dyDescent="0.15">
      <c r="A789" s="10"/>
      <c r="B789" s="13"/>
      <c r="C789" s="13"/>
    </row>
    <row r="790" spans="1:3" ht="13" x14ac:dyDescent="0.15">
      <c r="A790" s="10"/>
      <c r="B790" s="13"/>
      <c r="C790" s="13"/>
    </row>
    <row r="791" spans="1:3" ht="13" x14ac:dyDescent="0.15">
      <c r="A791" s="10"/>
      <c r="B791" s="13"/>
      <c r="C791" s="13"/>
    </row>
    <row r="792" spans="1:3" ht="13" x14ac:dyDescent="0.15">
      <c r="A792" s="10"/>
      <c r="B792" s="13"/>
      <c r="C792" s="13"/>
    </row>
    <row r="793" spans="1:3" ht="13" x14ac:dyDescent="0.15">
      <c r="A793" s="10"/>
      <c r="B793" s="13"/>
      <c r="C793" s="13"/>
    </row>
    <row r="794" spans="1:3" ht="13" x14ac:dyDescent="0.15">
      <c r="A794" s="10"/>
      <c r="B794" s="13"/>
      <c r="C794" s="13"/>
    </row>
    <row r="795" spans="1:3" ht="13" x14ac:dyDescent="0.15">
      <c r="A795" s="10"/>
      <c r="B795" s="13"/>
      <c r="C795" s="13"/>
    </row>
    <row r="796" spans="1:3" ht="13" x14ac:dyDescent="0.15">
      <c r="A796" s="10"/>
      <c r="B796" s="13"/>
      <c r="C796" s="13"/>
    </row>
    <row r="797" spans="1:3" ht="13" x14ac:dyDescent="0.15">
      <c r="A797" s="10"/>
      <c r="B797" s="13"/>
      <c r="C797" s="13"/>
    </row>
    <row r="798" spans="1:3" ht="13" x14ac:dyDescent="0.15">
      <c r="A798" s="10"/>
      <c r="B798" s="13"/>
      <c r="C798" s="13"/>
    </row>
    <row r="799" spans="1:3" ht="13" x14ac:dyDescent="0.15">
      <c r="A799" s="10"/>
      <c r="B799" s="13"/>
      <c r="C799" s="13"/>
    </row>
    <row r="800" spans="1:3" ht="13" x14ac:dyDescent="0.15">
      <c r="A800" s="10"/>
      <c r="B800" s="13"/>
      <c r="C800" s="13"/>
    </row>
    <row r="801" spans="1:3" ht="13" x14ac:dyDescent="0.15">
      <c r="A801" s="10"/>
      <c r="B801" s="13"/>
      <c r="C801" s="13"/>
    </row>
    <row r="802" spans="1:3" ht="13" x14ac:dyDescent="0.15">
      <c r="A802" s="10"/>
      <c r="B802" s="13"/>
      <c r="C802" s="13"/>
    </row>
    <row r="803" spans="1:3" ht="13" x14ac:dyDescent="0.15">
      <c r="A803" s="10"/>
      <c r="B803" s="13"/>
      <c r="C803" s="13"/>
    </row>
    <row r="804" spans="1:3" ht="13" x14ac:dyDescent="0.15">
      <c r="A804" s="10"/>
      <c r="B804" s="13"/>
      <c r="C804" s="13"/>
    </row>
    <row r="805" spans="1:3" ht="13" x14ac:dyDescent="0.15">
      <c r="A805" s="10"/>
      <c r="B805" s="13"/>
      <c r="C805" s="13"/>
    </row>
    <row r="806" spans="1:3" ht="13" x14ac:dyDescent="0.15">
      <c r="A806" s="10"/>
      <c r="B806" s="13"/>
      <c r="C806" s="13"/>
    </row>
    <row r="807" spans="1:3" ht="13" x14ac:dyDescent="0.15">
      <c r="A807" s="10"/>
      <c r="B807" s="13"/>
      <c r="C807" s="13"/>
    </row>
    <row r="808" spans="1:3" ht="13" x14ac:dyDescent="0.15">
      <c r="A808" s="10"/>
      <c r="B808" s="13"/>
      <c r="C808" s="13"/>
    </row>
    <row r="809" spans="1:3" ht="13" x14ac:dyDescent="0.15">
      <c r="A809" s="10"/>
      <c r="B809" s="13"/>
      <c r="C809" s="13"/>
    </row>
    <row r="810" spans="1:3" ht="13" x14ac:dyDescent="0.15">
      <c r="A810" s="10"/>
      <c r="B810" s="13"/>
      <c r="C810" s="13"/>
    </row>
    <row r="811" spans="1:3" ht="13" x14ac:dyDescent="0.15">
      <c r="A811" s="10"/>
      <c r="B811" s="13"/>
      <c r="C811" s="13"/>
    </row>
    <row r="812" spans="1:3" ht="13" x14ac:dyDescent="0.15">
      <c r="A812" s="10"/>
      <c r="B812" s="13"/>
      <c r="C812" s="13"/>
    </row>
    <row r="813" spans="1:3" ht="13" x14ac:dyDescent="0.15">
      <c r="A813" s="10"/>
      <c r="B813" s="13"/>
      <c r="C813" s="13"/>
    </row>
    <row r="814" spans="1:3" ht="13" x14ac:dyDescent="0.15">
      <c r="A814" s="10"/>
      <c r="B814" s="13"/>
      <c r="C814" s="13"/>
    </row>
    <row r="815" spans="1:3" ht="13" x14ac:dyDescent="0.15">
      <c r="A815" s="10"/>
      <c r="B815" s="13"/>
      <c r="C815" s="13"/>
    </row>
    <row r="816" spans="1:3" ht="13" x14ac:dyDescent="0.15">
      <c r="A816" s="10"/>
      <c r="B816" s="13"/>
      <c r="C816" s="13"/>
    </row>
    <row r="817" spans="1:3" ht="13" x14ac:dyDescent="0.15">
      <c r="A817" s="10"/>
      <c r="B817" s="13"/>
      <c r="C817" s="13"/>
    </row>
    <row r="818" spans="1:3" ht="13" x14ac:dyDescent="0.15">
      <c r="A818" s="10"/>
      <c r="B818" s="13"/>
      <c r="C818" s="13"/>
    </row>
    <row r="819" spans="1:3" ht="13" x14ac:dyDescent="0.15">
      <c r="A819" s="10"/>
      <c r="B819" s="13"/>
      <c r="C819" s="13"/>
    </row>
    <row r="820" spans="1:3" ht="13" x14ac:dyDescent="0.15">
      <c r="A820" s="10"/>
      <c r="B820" s="13"/>
      <c r="C820" s="13"/>
    </row>
    <row r="821" spans="1:3" ht="13" x14ac:dyDescent="0.15">
      <c r="A821" s="10"/>
      <c r="B821" s="13"/>
      <c r="C821" s="13"/>
    </row>
    <row r="822" spans="1:3" ht="13" x14ac:dyDescent="0.15">
      <c r="A822" s="10"/>
      <c r="B822" s="13"/>
      <c r="C822" s="13"/>
    </row>
    <row r="823" spans="1:3" ht="13" x14ac:dyDescent="0.15">
      <c r="A823" s="10"/>
      <c r="B823" s="13"/>
      <c r="C823" s="13"/>
    </row>
    <row r="824" spans="1:3" ht="13" x14ac:dyDescent="0.15">
      <c r="A824" s="10"/>
      <c r="B824" s="13"/>
      <c r="C824" s="13"/>
    </row>
    <row r="825" spans="1:3" ht="13" x14ac:dyDescent="0.15">
      <c r="A825" s="10"/>
      <c r="B825" s="13"/>
      <c r="C825" s="13"/>
    </row>
    <row r="826" spans="1:3" ht="13" x14ac:dyDescent="0.15">
      <c r="A826" s="10"/>
      <c r="B826" s="13"/>
      <c r="C826" s="13"/>
    </row>
    <row r="827" spans="1:3" ht="13" x14ac:dyDescent="0.15">
      <c r="A827" s="10"/>
      <c r="B827" s="13"/>
      <c r="C827" s="13"/>
    </row>
    <row r="828" spans="1:3" ht="13" x14ac:dyDescent="0.15">
      <c r="A828" s="10"/>
      <c r="B828" s="13"/>
      <c r="C828" s="13"/>
    </row>
    <row r="829" spans="1:3" ht="13" x14ac:dyDescent="0.15">
      <c r="A829" s="10"/>
      <c r="B829" s="13"/>
      <c r="C829" s="13"/>
    </row>
    <row r="830" spans="1:3" ht="13" x14ac:dyDescent="0.15">
      <c r="A830" s="10"/>
      <c r="B830" s="13"/>
      <c r="C830" s="13"/>
    </row>
    <row r="831" spans="1:3" ht="13" x14ac:dyDescent="0.15">
      <c r="A831" s="10"/>
      <c r="B831" s="13"/>
      <c r="C831" s="13"/>
    </row>
    <row r="832" spans="1:3" ht="13" x14ac:dyDescent="0.15">
      <c r="A832" s="10"/>
      <c r="B832" s="13"/>
      <c r="C832" s="13"/>
    </row>
    <row r="833" spans="1:3" ht="13" x14ac:dyDescent="0.15">
      <c r="A833" s="10"/>
      <c r="B833" s="13"/>
      <c r="C833" s="13"/>
    </row>
    <row r="834" spans="1:3" ht="13" x14ac:dyDescent="0.15">
      <c r="A834" s="10"/>
      <c r="B834" s="13"/>
      <c r="C834" s="13"/>
    </row>
    <row r="835" spans="1:3" ht="13" x14ac:dyDescent="0.15">
      <c r="A835" s="10"/>
      <c r="B835" s="13"/>
      <c r="C835" s="13"/>
    </row>
    <row r="836" spans="1:3" ht="13" x14ac:dyDescent="0.15">
      <c r="A836" s="10"/>
      <c r="B836" s="13"/>
      <c r="C836" s="13"/>
    </row>
    <row r="837" spans="1:3" ht="13" x14ac:dyDescent="0.15">
      <c r="A837" s="10"/>
      <c r="B837" s="13"/>
      <c r="C837" s="13"/>
    </row>
    <row r="838" spans="1:3" ht="13" x14ac:dyDescent="0.15">
      <c r="A838" s="10"/>
      <c r="B838" s="13"/>
      <c r="C838" s="13"/>
    </row>
    <row r="839" spans="1:3" ht="13" x14ac:dyDescent="0.15">
      <c r="A839" s="10"/>
      <c r="B839" s="13"/>
      <c r="C839" s="13"/>
    </row>
    <row r="840" spans="1:3" ht="13" x14ac:dyDescent="0.15">
      <c r="A840" s="10"/>
      <c r="B840" s="13"/>
      <c r="C840" s="13"/>
    </row>
    <row r="841" spans="1:3" ht="13" x14ac:dyDescent="0.15">
      <c r="A841" s="10"/>
      <c r="B841" s="13"/>
      <c r="C841" s="13"/>
    </row>
    <row r="842" spans="1:3" ht="13" x14ac:dyDescent="0.15">
      <c r="A842" s="10"/>
      <c r="B842" s="13"/>
      <c r="C842" s="13"/>
    </row>
    <row r="843" spans="1:3" ht="13" x14ac:dyDescent="0.15">
      <c r="A843" s="10"/>
      <c r="B843" s="13"/>
      <c r="C843" s="13"/>
    </row>
    <row r="844" spans="1:3" ht="13" x14ac:dyDescent="0.15">
      <c r="A844" s="10"/>
      <c r="B844" s="13"/>
      <c r="C844" s="13"/>
    </row>
    <row r="845" spans="1:3" ht="13" x14ac:dyDescent="0.15">
      <c r="A845" s="10"/>
      <c r="B845" s="13"/>
      <c r="C845" s="13"/>
    </row>
    <row r="846" spans="1:3" ht="13" x14ac:dyDescent="0.15">
      <c r="A846" s="10"/>
      <c r="B846" s="13"/>
      <c r="C846" s="13"/>
    </row>
    <row r="847" spans="1:3" ht="13" x14ac:dyDescent="0.15">
      <c r="A847" s="10"/>
      <c r="B847" s="13"/>
      <c r="C847" s="13"/>
    </row>
    <row r="848" spans="1:3" ht="13" x14ac:dyDescent="0.15">
      <c r="A848" s="10"/>
      <c r="B848" s="13"/>
      <c r="C848" s="13"/>
    </row>
    <row r="849" spans="1:3" ht="13" x14ac:dyDescent="0.15">
      <c r="A849" s="10"/>
      <c r="B849" s="13"/>
      <c r="C849" s="13"/>
    </row>
    <row r="850" spans="1:3" ht="13" x14ac:dyDescent="0.15">
      <c r="A850" s="10"/>
      <c r="B850" s="13"/>
      <c r="C850" s="13"/>
    </row>
    <row r="851" spans="1:3" ht="13" x14ac:dyDescent="0.15">
      <c r="A851" s="10"/>
      <c r="B851" s="13"/>
      <c r="C851" s="13"/>
    </row>
    <row r="852" spans="1:3" ht="13" x14ac:dyDescent="0.15">
      <c r="A852" s="10"/>
      <c r="B852" s="13"/>
      <c r="C852" s="13"/>
    </row>
    <row r="853" spans="1:3" ht="13" x14ac:dyDescent="0.15">
      <c r="A853" s="10"/>
      <c r="B853" s="13"/>
      <c r="C853" s="13"/>
    </row>
    <row r="854" spans="1:3" ht="13" x14ac:dyDescent="0.15">
      <c r="A854" s="10"/>
      <c r="B854" s="13"/>
      <c r="C854" s="13"/>
    </row>
    <row r="855" spans="1:3" ht="13" x14ac:dyDescent="0.15">
      <c r="A855" s="10"/>
      <c r="B855" s="13"/>
      <c r="C855" s="13"/>
    </row>
    <row r="856" spans="1:3" ht="13" x14ac:dyDescent="0.15">
      <c r="A856" s="10"/>
      <c r="B856" s="13"/>
      <c r="C856" s="13"/>
    </row>
    <row r="857" spans="1:3" ht="13" x14ac:dyDescent="0.15">
      <c r="A857" s="10"/>
      <c r="B857" s="13"/>
      <c r="C857" s="13"/>
    </row>
    <row r="858" spans="1:3" ht="13" x14ac:dyDescent="0.15">
      <c r="A858" s="10"/>
      <c r="B858" s="13"/>
      <c r="C858" s="13"/>
    </row>
    <row r="859" spans="1:3" ht="13" x14ac:dyDescent="0.15">
      <c r="A859" s="10"/>
      <c r="B859" s="13"/>
      <c r="C859" s="13"/>
    </row>
    <row r="860" spans="1:3" ht="13" x14ac:dyDescent="0.15">
      <c r="A860" s="10"/>
      <c r="B860" s="13"/>
      <c r="C860" s="13"/>
    </row>
    <row r="861" spans="1:3" ht="13" x14ac:dyDescent="0.15">
      <c r="A861" s="10"/>
      <c r="B861" s="13"/>
      <c r="C861" s="13"/>
    </row>
    <row r="862" spans="1:3" ht="13" x14ac:dyDescent="0.15">
      <c r="A862" s="10"/>
      <c r="B862" s="13"/>
      <c r="C862" s="13"/>
    </row>
    <row r="863" spans="1:3" ht="13" x14ac:dyDescent="0.15">
      <c r="A863" s="10"/>
      <c r="B863" s="13"/>
      <c r="C863" s="13"/>
    </row>
    <row r="864" spans="1:3" ht="13" x14ac:dyDescent="0.15">
      <c r="A864" s="10"/>
      <c r="B864" s="13"/>
      <c r="C864" s="13"/>
    </row>
    <row r="865" spans="1:3" ht="13" x14ac:dyDescent="0.15">
      <c r="A865" s="10"/>
      <c r="B865" s="13"/>
      <c r="C865" s="13"/>
    </row>
    <row r="866" spans="1:3" ht="13" x14ac:dyDescent="0.15">
      <c r="A866" s="10"/>
      <c r="B866" s="13"/>
      <c r="C866" s="13"/>
    </row>
    <row r="867" spans="1:3" ht="13" x14ac:dyDescent="0.15">
      <c r="A867" s="10"/>
      <c r="B867" s="13"/>
      <c r="C867" s="13"/>
    </row>
    <row r="868" spans="1:3" ht="13" x14ac:dyDescent="0.15">
      <c r="A868" s="10"/>
      <c r="B868" s="13"/>
      <c r="C868" s="13"/>
    </row>
    <row r="869" spans="1:3" ht="13" x14ac:dyDescent="0.15">
      <c r="A869" s="10"/>
      <c r="B869" s="13"/>
      <c r="C869" s="13"/>
    </row>
    <row r="870" spans="1:3" ht="13" x14ac:dyDescent="0.15">
      <c r="A870" s="10"/>
      <c r="B870" s="13"/>
      <c r="C870" s="13"/>
    </row>
    <row r="871" spans="1:3" ht="13" x14ac:dyDescent="0.15">
      <c r="A871" s="10"/>
      <c r="B871" s="13"/>
      <c r="C871" s="13"/>
    </row>
    <row r="872" spans="1:3" ht="13" x14ac:dyDescent="0.15">
      <c r="A872" s="10"/>
      <c r="B872" s="13"/>
      <c r="C872" s="13"/>
    </row>
    <row r="873" spans="1:3" ht="13" x14ac:dyDescent="0.15">
      <c r="A873" s="10"/>
      <c r="B873" s="13"/>
      <c r="C873" s="13"/>
    </row>
    <row r="874" spans="1:3" ht="13" x14ac:dyDescent="0.15">
      <c r="A874" s="10"/>
      <c r="B874" s="13"/>
      <c r="C874" s="13"/>
    </row>
    <row r="875" spans="1:3" ht="13" x14ac:dyDescent="0.15">
      <c r="A875" s="10"/>
      <c r="B875" s="13"/>
      <c r="C875" s="13"/>
    </row>
    <row r="876" spans="1:3" ht="13" x14ac:dyDescent="0.15">
      <c r="A876" s="10"/>
      <c r="B876" s="13"/>
      <c r="C876" s="13"/>
    </row>
    <row r="877" spans="1:3" ht="13" x14ac:dyDescent="0.15">
      <c r="A877" s="10"/>
      <c r="B877" s="13"/>
      <c r="C877" s="13"/>
    </row>
    <row r="878" spans="1:3" ht="13" x14ac:dyDescent="0.15">
      <c r="A878" s="10"/>
      <c r="B878" s="13"/>
      <c r="C878" s="13"/>
    </row>
    <row r="879" spans="1:3" ht="13" x14ac:dyDescent="0.15">
      <c r="A879" s="10"/>
      <c r="B879" s="13"/>
      <c r="C879" s="13"/>
    </row>
    <row r="880" spans="1:3" ht="13" x14ac:dyDescent="0.15">
      <c r="A880" s="10"/>
      <c r="B880" s="13"/>
      <c r="C880" s="13"/>
    </row>
    <row r="881" spans="1:3" ht="13" x14ac:dyDescent="0.15">
      <c r="A881" s="10"/>
      <c r="B881" s="13"/>
      <c r="C881" s="13"/>
    </row>
    <row r="882" spans="1:3" ht="13" x14ac:dyDescent="0.15">
      <c r="A882" s="10"/>
      <c r="B882" s="13"/>
      <c r="C882" s="13"/>
    </row>
    <row r="883" spans="1:3" ht="13" x14ac:dyDescent="0.15">
      <c r="A883" s="10"/>
      <c r="B883" s="13"/>
      <c r="C883" s="13"/>
    </row>
    <row r="884" spans="1:3" ht="13" x14ac:dyDescent="0.15">
      <c r="A884" s="10"/>
      <c r="B884" s="13"/>
      <c r="C884" s="13"/>
    </row>
    <row r="885" spans="1:3" ht="13" x14ac:dyDescent="0.15">
      <c r="A885" s="10"/>
      <c r="B885" s="13"/>
      <c r="C885" s="13"/>
    </row>
    <row r="886" spans="1:3" ht="13" x14ac:dyDescent="0.15">
      <c r="A886" s="10"/>
      <c r="B886" s="13"/>
      <c r="C886" s="13"/>
    </row>
    <row r="887" spans="1:3" ht="13" x14ac:dyDescent="0.15">
      <c r="A887" s="10"/>
      <c r="B887" s="13"/>
      <c r="C887" s="13"/>
    </row>
    <row r="888" spans="1:3" ht="13" x14ac:dyDescent="0.15">
      <c r="A888" s="10"/>
      <c r="B888" s="13"/>
      <c r="C888" s="13"/>
    </row>
    <row r="889" spans="1:3" ht="13" x14ac:dyDescent="0.15">
      <c r="A889" s="10"/>
      <c r="B889" s="13"/>
      <c r="C889" s="13"/>
    </row>
    <row r="890" spans="1:3" ht="13" x14ac:dyDescent="0.15">
      <c r="A890" s="10"/>
      <c r="B890" s="13"/>
      <c r="C890" s="13"/>
    </row>
    <row r="891" spans="1:3" ht="13" x14ac:dyDescent="0.15">
      <c r="A891" s="10"/>
      <c r="B891" s="13"/>
      <c r="C891" s="13"/>
    </row>
    <row r="892" spans="1:3" ht="13" x14ac:dyDescent="0.15">
      <c r="A892" s="10"/>
      <c r="B892" s="13"/>
      <c r="C892" s="13"/>
    </row>
    <row r="893" spans="1:3" ht="13" x14ac:dyDescent="0.15">
      <c r="A893" s="10"/>
      <c r="B893" s="13"/>
      <c r="C893" s="13"/>
    </row>
    <row r="894" spans="1:3" ht="13" x14ac:dyDescent="0.15">
      <c r="A894" s="10"/>
      <c r="B894" s="13"/>
      <c r="C894" s="13"/>
    </row>
    <row r="895" spans="1:3" ht="13" x14ac:dyDescent="0.15">
      <c r="A895" s="10"/>
      <c r="B895" s="13"/>
      <c r="C895" s="13"/>
    </row>
    <row r="896" spans="1:3" ht="13" x14ac:dyDescent="0.15">
      <c r="A896" s="10"/>
      <c r="B896" s="13"/>
      <c r="C896" s="13"/>
    </row>
    <row r="897" spans="1:3" ht="13" x14ac:dyDescent="0.15">
      <c r="A897" s="10"/>
      <c r="B897" s="13"/>
      <c r="C897" s="13"/>
    </row>
    <row r="898" spans="1:3" ht="13" x14ac:dyDescent="0.15">
      <c r="A898" s="10"/>
      <c r="B898" s="13"/>
      <c r="C898" s="13"/>
    </row>
    <row r="899" spans="1:3" ht="13" x14ac:dyDescent="0.15">
      <c r="A899" s="10"/>
      <c r="B899" s="13"/>
      <c r="C899" s="13"/>
    </row>
    <row r="900" spans="1:3" ht="13" x14ac:dyDescent="0.15">
      <c r="A900" s="10"/>
      <c r="B900" s="13"/>
      <c r="C900" s="13"/>
    </row>
    <row r="901" spans="1:3" ht="13" x14ac:dyDescent="0.15">
      <c r="A901" s="10"/>
      <c r="B901" s="13"/>
      <c r="C901" s="13"/>
    </row>
    <row r="902" spans="1:3" ht="13" x14ac:dyDescent="0.15">
      <c r="A902" s="10"/>
      <c r="B902" s="13"/>
      <c r="C902" s="13"/>
    </row>
    <row r="903" spans="1:3" ht="13" x14ac:dyDescent="0.15">
      <c r="A903" s="10"/>
      <c r="B903" s="13"/>
      <c r="C903" s="13"/>
    </row>
    <row r="904" spans="1:3" ht="13" x14ac:dyDescent="0.15">
      <c r="A904" s="10"/>
      <c r="B904" s="13"/>
      <c r="C904" s="13"/>
    </row>
    <row r="905" spans="1:3" ht="13" x14ac:dyDescent="0.15">
      <c r="A905" s="10"/>
      <c r="B905" s="13"/>
      <c r="C905" s="13"/>
    </row>
    <row r="906" spans="1:3" ht="13" x14ac:dyDescent="0.15">
      <c r="A906" s="10"/>
      <c r="B906" s="13"/>
      <c r="C906" s="13"/>
    </row>
    <row r="907" spans="1:3" ht="13" x14ac:dyDescent="0.15">
      <c r="A907" s="10"/>
      <c r="B907" s="13"/>
      <c r="C907" s="13"/>
    </row>
    <row r="908" spans="1:3" ht="13" x14ac:dyDescent="0.15">
      <c r="A908" s="10"/>
      <c r="B908" s="13"/>
      <c r="C908" s="13"/>
    </row>
    <row r="909" spans="1:3" ht="13" x14ac:dyDescent="0.15">
      <c r="A909" s="10"/>
      <c r="B909" s="13"/>
      <c r="C909" s="13"/>
    </row>
    <row r="910" spans="1:3" ht="13" x14ac:dyDescent="0.15">
      <c r="A910" s="10"/>
      <c r="B910" s="13"/>
      <c r="C910" s="13"/>
    </row>
    <row r="911" spans="1:3" ht="13" x14ac:dyDescent="0.15">
      <c r="A911" s="10"/>
      <c r="B911" s="13"/>
      <c r="C911" s="13"/>
    </row>
    <row r="912" spans="1:3" ht="13" x14ac:dyDescent="0.15">
      <c r="A912" s="10"/>
      <c r="B912" s="13"/>
      <c r="C912" s="13"/>
    </row>
    <row r="913" spans="1:3" ht="13" x14ac:dyDescent="0.15">
      <c r="A913" s="10"/>
      <c r="B913" s="13"/>
      <c r="C913" s="13"/>
    </row>
    <row r="914" spans="1:3" ht="13" x14ac:dyDescent="0.15">
      <c r="A914" s="10"/>
      <c r="B914" s="13"/>
      <c r="C914" s="13"/>
    </row>
    <row r="915" spans="1:3" ht="13" x14ac:dyDescent="0.15">
      <c r="A915" s="10"/>
      <c r="B915" s="13"/>
      <c r="C915" s="13"/>
    </row>
    <row r="916" spans="1:3" ht="13" x14ac:dyDescent="0.15">
      <c r="A916" s="10"/>
      <c r="B916" s="13"/>
      <c r="C916" s="13"/>
    </row>
    <row r="917" spans="1:3" ht="13" x14ac:dyDescent="0.15">
      <c r="A917" s="10"/>
      <c r="B917" s="13"/>
      <c r="C917" s="13"/>
    </row>
    <row r="918" spans="1:3" ht="13" x14ac:dyDescent="0.15">
      <c r="A918" s="10"/>
      <c r="B918" s="13"/>
      <c r="C918" s="13"/>
    </row>
    <row r="919" spans="1:3" ht="13" x14ac:dyDescent="0.15">
      <c r="A919" s="10"/>
      <c r="B919" s="13"/>
      <c r="C919" s="13"/>
    </row>
    <row r="920" spans="1:3" ht="13" x14ac:dyDescent="0.15">
      <c r="A920" s="10"/>
      <c r="B920" s="13"/>
      <c r="C920" s="13"/>
    </row>
    <row r="921" spans="1:3" ht="13" x14ac:dyDescent="0.15">
      <c r="A921" s="10"/>
      <c r="B921" s="13"/>
      <c r="C921" s="13"/>
    </row>
    <row r="922" spans="1:3" ht="13" x14ac:dyDescent="0.15">
      <c r="A922" s="10"/>
      <c r="B922" s="13"/>
      <c r="C922" s="13"/>
    </row>
    <row r="923" spans="1:3" ht="13" x14ac:dyDescent="0.15">
      <c r="A923" s="10"/>
      <c r="B923" s="13"/>
      <c r="C923" s="13"/>
    </row>
    <row r="924" spans="1:3" ht="13" x14ac:dyDescent="0.15">
      <c r="A924" s="10"/>
      <c r="B924" s="13"/>
      <c r="C924" s="13"/>
    </row>
    <row r="925" spans="1:3" ht="13" x14ac:dyDescent="0.15">
      <c r="A925" s="10"/>
      <c r="B925" s="13"/>
      <c r="C925" s="13"/>
    </row>
    <row r="926" spans="1:3" ht="13" x14ac:dyDescent="0.15">
      <c r="A926" s="10"/>
      <c r="B926" s="13"/>
      <c r="C926" s="13"/>
    </row>
    <row r="927" spans="1:3" ht="13" x14ac:dyDescent="0.15">
      <c r="A927" s="10"/>
      <c r="B927" s="13"/>
      <c r="C927" s="13"/>
    </row>
    <row r="928" spans="1:3" ht="13" x14ac:dyDescent="0.15">
      <c r="A928" s="10"/>
      <c r="B928" s="13"/>
      <c r="C928" s="13"/>
    </row>
    <row r="929" spans="1:3" ht="13" x14ac:dyDescent="0.15">
      <c r="A929" s="10"/>
      <c r="B929" s="13"/>
      <c r="C929" s="13"/>
    </row>
    <row r="930" spans="1:3" ht="13" x14ac:dyDescent="0.15">
      <c r="A930" s="10"/>
      <c r="B930" s="13"/>
      <c r="C930" s="13"/>
    </row>
    <row r="931" spans="1:3" ht="13" x14ac:dyDescent="0.15">
      <c r="A931" s="10"/>
      <c r="B931" s="13"/>
      <c r="C931" s="13"/>
    </row>
    <row r="932" spans="1:3" ht="13" x14ac:dyDescent="0.15">
      <c r="A932" s="10"/>
      <c r="B932" s="13"/>
      <c r="C932" s="13"/>
    </row>
    <row r="933" spans="1:3" ht="13" x14ac:dyDescent="0.15">
      <c r="A933" s="10"/>
      <c r="B933" s="13"/>
      <c r="C933" s="13"/>
    </row>
    <row r="934" spans="1:3" ht="13" x14ac:dyDescent="0.15">
      <c r="A934" s="10"/>
      <c r="B934" s="13"/>
      <c r="C934" s="13"/>
    </row>
    <row r="935" spans="1:3" ht="13" x14ac:dyDescent="0.15">
      <c r="A935" s="10"/>
      <c r="B935" s="13"/>
      <c r="C935" s="13"/>
    </row>
    <row r="936" spans="1:3" ht="13" x14ac:dyDescent="0.15">
      <c r="A936" s="10"/>
      <c r="B936" s="13"/>
      <c r="C936" s="13"/>
    </row>
    <row r="937" spans="1:3" ht="13" x14ac:dyDescent="0.15">
      <c r="A937" s="10"/>
      <c r="B937" s="13"/>
      <c r="C937" s="13"/>
    </row>
    <row r="938" spans="1:3" ht="13" x14ac:dyDescent="0.15">
      <c r="A938" s="10"/>
      <c r="B938" s="13"/>
      <c r="C938" s="13"/>
    </row>
    <row r="939" spans="1:3" ht="13" x14ac:dyDescent="0.15">
      <c r="A939" s="10"/>
      <c r="B939" s="13"/>
      <c r="C939" s="13"/>
    </row>
    <row r="940" spans="1:3" ht="13" x14ac:dyDescent="0.15">
      <c r="A940" s="10"/>
      <c r="B940" s="13"/>
      <c r="C940" s="13"/>
    </row>
    <row r="941" spans="1:3" ht="13" x14ac:dyDescent="0.15">
      <c r="A941" s="10"/>
      <c r="B941" s="13"/>
      <c r="C941" s="13"/>
    </row>
    <row r="942" spans="1:3" ht="13" x14ac:dyDescent="0.15">
      <c r="A942" s="10"/>
      <c r="B942" s="13"/>
      <c r="C942" s="13"/>
    </row>
    <row r="943" spans="1:3" ht="13" x14ac:dyDescent="0.15">
      <c r="A943" s="10"/>
      <c r="B943" s="13"/>
      <c r="C943" s="13"/>
    </row>
    <row r="944" spans="1:3" ht="13" x14ac:dyDescent="0.15">
      <c r="A944" s="10"/>
      <c r="B944" s="13"/>
      <c r="C944" s="13"/>
    </row>
    <row r="945" spans="1:3" ht="13" x14ac:dyDescent="0.15">
      <c r="A945" s="10"/>
      <c r="B945" s="13"/>
      <c r="C945" s="13"/>
    </row>
    <row r="946" spans="1:3" ht="13" x14ac:dyDescent="0.15">
      <c r="A946" s="10"/>
      <c r="B946" s="13"/>
      <c r="C946" s="13"/>
    </row>
    <row r="947" spans="1:3" ht="13" x14ac:dyDescent="0.15">
      <c r="A947" s="10"/>
      <c r="B947" s="13"/>
      <c r="C947" s="13"/>
    </row>
    <row r="948" spans="1:3" ht="13" x14ac:dyDescent="0.15">
      <c r="A948" s="10"/>
      <c r="B948" s="13"/>
      <c r="C948" s="13"/>
    </row>
    <row r="949" spans="1:3" ht="13" x14ac:dyDescent="0.15">
      <c r="A949" s="10"/>
      <c r="B949" s="13"/>
      <c r="C949" s="13"/>
    </row>
    <row r="950" spans="1:3" ht="13" x14ac:dyDescent="0.15">
      <c r="A950" s="10"/>
      <c r="B950" s="13"/>
      <c r="C950" s="13"/>
    </row>
    <row r="951" spans="1:3" ht="13" x14ac:dyDescent="0.15">
      <c r="A951" s="10"/>
      <c r="B951" s="13"/>
      <c r="C951" s="13"/>
    </row>
    <row r="952" spans="1:3" ht="13" x14ac:dyDescent="0.15">
      <c r="A952" s="10"/>
      <c r="B952" s="13"/>
      <c r="C952" s="13"/>
    </row>
    <row r="953" spans="1:3" ht="13" x14ac:dyDescent="0.15">
      <c r="A953" s="10"/>
      <c r="B953" s="13"/>
      <c r="C953" s="13"/>
    </row>
    <row r="954" spans="1:3" ht="13" x14ac:dyDescent="0.15">
      <c r="A954" s="10"/>
      <c r="B954" s="13"/>
      <c r="C954" s="13"/>
    </row>
    <row r="955" spans="1:3" ht="13" x14ac:dyDescent="0.15">
      <c r="A955" s="10"/>
      <c r="B955" s="13"/>
      <c r="C955" s="13"/>
    </row>
    <row r="956" spans="1:3" ht="13" x14ac:dyDescent="0.15">
      <c r="A956" s="10"/>
      <c r="B956" s="13"/>
      <c r="C956" s="13"/>
    </row>
    <row r="957" spans="1:3" ht="13" x14ac:dyDescent="0.15">
      <c r="A957" s="10"/>
      <c r="B957" s="13"/>
      <c r="C957" s="13"/>
    </row>
    <row r="958" spans="1:3" ht="13" x14ac:dyDescent="0.15">
      <c r="A958" s="10"/>
      <c r="B958" s="13"/>
      <c r="C958" s="13"/>
    </row>
    <row r="959" spans="1:3" ht="13" x14ac:dyDescent="0.15">
      <c r="A959" s="10"/>
      <c r="B959" s="13"/>
      <c r="C959" s="13"/>
    </row>
    <row r="960" spans="1:3" ht="13" x14ac:dyDescent="0.15">
      <c r="A960" s="10"/>
      <c r="B960" s="13"/>
      <c r="C960" s="13"/>
    </row>
    <row r="961" spans="1:3" ht="13" x14ac:dyDescent="0.15">
      <c r="A961" s="10"/>
      <c r="B961" s="13"/>
      <c r="C961" s="13"/>
    </row>
    <row r="962" spans="1:3" ht="13" x14ac:dyDescent="0.15">
      <c r="A962" s="10"/>
      <c r="B962" s="13"/>
      <c r="C962" s="13"/>
    </row>
    <row r="963" spans="1:3" ht="13" x14ac:dyDescent="0.15">
      <c r="A963" s="10"/>
      <c r="B963" s="13"/>
      <c r="C963" s="13"/>
    </row>
    <row r="964" spans="1:3" ht="13" x14ac:dyDescent="0.15">
      <c r="A964" s="10"/>
      <c r="B964" s="13"/>
      <c r="C964" s="13"/>
    </row>
    <row r="965" spans="1:3" ht="13" x14ac:dyDescent="0.15">
      <c r="A965" s="10"/>
      <c r="B965" s="13"/>
      <c r="C965" s="13"/>
    </row>
    <row r="966" spans="1:3" ht="13" x14ac:dyDescent="0.15">
      <c r="A966" s="10"/>
      <c r="B966" s="13"/>
      <c r="C966" s="13"/>
    </row>
    <row r="967" spans="1:3" ht="13" x14ac:dyDescent="0.15">
      <c r="A967" s="10"/>
      <c r="B967" s="13"/>
      <c r="C967" s="13"/>
    </row>
    <row r="968" spans="1:3" ht="13" x14ac:dyDescent="0.15">
      <c r="A968" s="10"/>
      <c r="B968" s="13"/>
      <c r="C968" s="13"/>
    </row>
    <row r="969" spans="1:3" ht="13" x14ac:dyDescent="0.15">
      <c r="A969" s="10"/>
      <c r="B969" s="13"/>
      <c r="C969" s="13"/>
    </row>
    <row r="970" spans="1:3" ht="13" x14ac:dyDescent="0.15">
      <c r="A970" s="10"/>
      <c r="B970" s="13"/>
      <c r="C970" s="13"/>
    </row>
    <row r="971" spans="1:3" ht="13" x14ac:dyDescent="0.15">
      <c r="A971" s="10"/>
      <c r="B971" s="13"/>
      <c r="C971" s="13"/>
    </row>
    <row r="972" spans="1:3" ht="13" x14ac:dyDescent="0.15">
      <c r="A972" s="10"/>
      <c r="B972" s="13"/>
      <c r="C972" s="13"/>
    </row>
    <row r="973" spans="1:3" ht="13" x14ac:dyDescent="0.15">
      <c r="A973" s="10"/>
      <c r="B973" s="13"/>
      <c r="C973" s="13"/>
    </row>
    <row r="974" spans="1:3" ht="13" x14ac:dyDescent="0.15">
      <c r="A974" s="10"/>
      <c r="B974" s="13"/>
      <c r="C974" s="13"/>
    </row>
    <row r="975" spans="1:3" ht="13" x14ac:dyDescent="0.15">
      <c r="A975" s="10"/>
      <c r="B975" s="13"/>
      <c r="C975" s="13"/>
    </row>
    <row r="976" spans="1:3" ht="13" x14ac:dyDescent="0.15">
      <c r="A976" s="10"/>
      <c r="B976" s="13"/>
      <c r="C976" s="13"/>
    </row>
    <row r="977" spans="1:3" ht="13" x14ac:dyDescent="0.15">
      <c r="A977" s="10"/>
      <c r="B977" s="13"/>
      <c r="C977" s="13"/>
    </row>
    <row r="978" spans="1:3" ht="13" x14ac:dyDescent="0.15">
      <c r="A978" s="10"/>
      <c r="B978" s="13"/>
      <c r="C978" s="13"/>
    </row>
    <row r="979" spans="1:3" ht="13" x14ac:dyDescent="0.15">
      <c r="A979" s="10"/>
      <c r="B979" s="13"/>
      <c r="C979" s="13"/>
    </row>
    <row r="980" spans="1:3" ht="13" x14ac:dyDescent="0.15">
      <c r="A980" s="10"/>
      <c r="B980" s="13"/>
      <c r="C980" s="13"/>
    </row>
    <row r="981" spans="1:3" ht="13" x14ac:dyDescent="0.15">
      <c r="A981" s="10"/>
      <c r="B981" s="13"/>
      <c r="C981" s="13"/>
    </row>
    <row r="982" spans="1:3" ht="13" x14ac:dyDescent="0.15">
      <c r="A982" s="10"/>
      <c r="B982" s="13"/>
      <c r="C982" s="13"/>
    </row>
    <row r="983" spans="1:3" ht="13" x14ac:dyDescent="0.15">
      <c r="A983" s="10"/>
      <c r="B983" s="13"/>
      <c r="C983" s="13"/>
    </row>
    <row r="984" spans="1:3" ht="13" x14ac:dyDescent="0.15">
      <c r="A984" s="10"/>
      <c r="B984" s="13"/>
      <c r="C984" s="13"/>
    </row>
    <row r="985" spans="1:3" ht="13" x14ac:dyDescent="0.15">
      <c r="A985" s="10"/>
      <c r="B985" s="13"/>
      <c r="C985" s="13"/>
    </row>
    <row r="986" spans="1:3" ht="13" x14ac:dyDescent="0.15">
      <c r="A986" s="10"/>
      <c r="B986" s="13"/>
      <c r="C986" s="13"/>
    </row>
    <row r="987" spans="1:3" ht="13" x14ac:dyDescent="0.15">
      <c r="A987" s="10"/>
      <c r="B987" s="13"/>
      <c r="C987" s="13"/>
    </row>
    <row r="988" spans="1:3" ht="13" x14ac:dyDescent="0.15">
      <c r="A988" s="10"/>
      <c r="B988" s="13"/>
      <c r="C988" s="13"/>
    </row>
    <row r="989" spans="1:3" ht="13" x14ac:dyDescent="0.15">
      <c r="A989" s="10"/>
      <c r="B989" s="13"/>
      <c r="C989" s="13"/>
    </row>
    <row r="990" spans="1:3" ht="13" x14ac:dyDescent="0.15">
      <c r="A990" s="10"/>
      <c r="B990" s="13"/>
      <c r="C990" s="13"/>
    </row>
    <row r="991" spans="1:3" ht="13" x14ac:dyDescent="0.15">
      <c r="A991" s="10"/>
      <c r="B991" s="13"/>
      <c r="C991" s="13"/>
    </row>
    <row r="992" spans="1:3" ht="13" x14ac:dyDescent="0.15">
      <c r="A992" s="10"/>
      <c r="B992" s="13"/>
      <c r="C992" s="13"/>
    </row>
    <row r="993" spans="1:3" ht="13" x14ac:dyDescent="0.15">
      <c r="A993" s="10"/>
      <c r="B993" s="13"/>
      <c r="C993" s="13"/>
    </row>
    <row r="994" spans="1:3" ht="13" x14ac:dyDescent="0.15">
      <c r="A994" s="10"/>
      <c r="B994" s="13"/>
      <c r="C994" s="13"/>
    </row>
    <row r="995" spans="1:3" ht="13" x14ac:dyDescent="0.15">
      <c r="A995" s="10"/>
      <c r="B995" s="13"/>
      <c r="C995" s="13"/>
    </row>
    <row r="996" spans="1:3" ht="13" x14ac:dyDescent="0.15">
      <c r="A996" s="10"/>
      <c r="B996" s="13"/>
      <c r="C996" s="13"/>
    </row>
    <row r="997" spans="1:3" ht="13" x14ac:dyDescent="0.15">
      <c r="A997" s="10"/>
      <c r="B997" s="13"/>
      <c r="C997" s="13"/>
    </row>
  </sheetData>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outlinePr summaryBelow="0" summaryRight="0"/>
  </sheetPr>
  <dimension ref="A1:D997"/>
  <sheetViews>
    <sheetView workbookViewId="0"/>
  </sheetViews>
  <sheetFormatPr baseColWidth="10" defaultColWidth="12.6640625" defaultRowHeight="15.75" customHeight="1" x14ac:dyDescent="0.15"/>
  <cols>
    <col min="1" max="1" width="71.5" customWidth="1"/>
    <col min="2" max="4" width="37.6640625" customWidth="1"/>
  </cols>
  <sheetData>
    <row r="1" spans="1:4" ht="15.75" customHeight="1" x14ac:dyDescent="0.15">
      <c r="A1" s="1"/>
      <c r="B1" s="10" t="str">
        <f ca="1">IFERROR(__xludf.DUMMYFUNCTION("IMPORTRANGE(""https://docs.google.com/spreadsheets/u/0/d/1tjgC5crHxYL6PIwdjQvl-Lz18xb2WRifl2-5aQ8KGT8"", ""A95!B1:B22"")"),"Jake Stafford")</f>
        <v>Jake Stafford</v>
      </c>
      <c r="C1" s="12" t="s">
        <v>22</v>
      </c>
      <c r="D1" s="2" t="s">
        <v>1</v>
      </c>
    </row>
    <row r="2" spans="1:4" ht="15.75" customHeight="1" x14ac:dyDescent="0.15">
      <c r="A2" s="3" t="s">
        <v>2</v>
      </c>
      <c r="B2" s="15" t="str">
        <f ca="1">IFERROR(__xludf.DUMMYFUNCTION("""COMPUTED_VALUE"""),"Start: 55680 Stop: 55979 FOR")</f>
        <v>Start: 55680 Stop: 55979 FOR</v>
      </c>
      <c r="C2" s="29" t="s">
        <v>58</v>
      </c>
      <c r="D2" s="4"/>
    </row>
    <row r="3" spans="1:4" ht="15.75" customHeight="1" x14ac:dyDescent="0.15">
      <c r="A3" s="5" t="s">
        <v>3</v>
      </c>
      <c r="B3" s="17" t="str">
        <f ca="1">IFERROR(__xludf.DUMMYFUNCTION("""COMPUTED_VALUE"""),"95 in PHAM 94 in DNAM")</f>
        <v>95 in PHAM 94 in DNAM</v>
      </c>
      <c r="C3" s="24" t="s">
        <v>59</v>
      </c>
      <c r="D3" s="6"/>
    </row>
    <row r="4" spans="1:4" ht="15.75" customHeight="1" x14ac:dyDescent="0.15">
      <c r="A4" s="5" t="s">
        <v>4</v>
      </c>
      <c r="B4" s="17" t="str">
        <f ca="1">IFERROR(__xludf.DUMMYFUNCTION("""COMPUTED_VALUE"""),"89027 3/17/25")</f>
        <v>89027 3/17/25</v>
      </c>
      <c r="C4" s="24" t="s">
        <v>60</v>
      </c>
      <c r="D4" s="6"/>
    </row>
    <row r="5" spans="1:4" ht="15.75" customHeight="1" x14ac:dyDescent="0.15">
      <c r="A5" s="5" t="s">
        <v>5</v>
      </c>
      <c r="B5" s="17" t="str">
        <f ca="1">IFERROR(__xludf.DUMMYFUNCTION("""COMPUTED_VALUE"""),"Edmundo_92, Kovu_93")</f>
        <v>Edmundo_92, Kovu_93</v>
      </c>
      <c r="C5" s="24" t="s">
        <v>61</v>
      </c>
      <c r="D5" s="6"/>
    </row>
    <row r="6" spans="1:4" ht="15.75" customHeight="1" x14ac:dyDescent="0.15">
      <c r="A6" s="5" t="s">
        <v>6</v>
      </c>
      <c r="B6" s="17" t="str">
        <f ca="1">IFERROR(__xludf.DUMMYFUNCTION("""COMPUTED_VALUE"""),"Only genemark called, 55653")</f>
        <v>Only genemark called, 55653</v>
      </c>
      <c r="C6" s="24" t="s">
        <v>62</v>
      </c>
      <c r="D6" s="6"/>
    </row>
    <row r="7" spans="1:4" ht="15.75" customHeight="1" x14ac:dyDescent="0.15">
      <c r="A7" s="5" t="s">
        <v>7</v>
      </c>
      <c r="B7" s="17" t="str">
        <f ca="1">IFERROR(__xludf.DUMMYFUNCTION("""COMPUTED_VALUE"""),"okay potential, all is included, ")</f>
        <v xml:space="preserve">okay potential, all is included, </v>
      </c>
      <c r="C7" s="24" t="s">
        <v>63</v>
      </c>
      <c r="D7" s="6"/>
    </row>
    <row r="8" spans="1:4" ht="15.75" customHeight="1" x14ac:dyDescent="0.15">
      <c r="A8" s="5" t="s">
        <v>8</v>
      </c>
      <c r="B8" s="17" t="str">
        <f ca="1">IFERROR(__xludf.DUMMYFUNCTION("""COMPUTED_VALUE"""),"Yes")</f>
        <v>Yes</v>
      </c>
      <c r="C8" s="24" t="s">
        <v>64</v>
      </c>
      <c r="D8" s="6"/>
    </row>
    <row r="9" spans="1:4" ht="15.75" customHeight="1" x14ac:dyDescent="0.15">
      <c r="A9" s="5" t="s">
        <v>9</v>
      </c>
      <c r="B9" s="17" t="str">
        <f ca="1">IFERROR(__xludf.DUMMYFUNCTION("""COMPUTED_VALUE"""),"Gap of 6 nucleotides")</f>
        <v>Gap of 6 nucleotides</v>
      </c>
      <c r="C9" s="24" t="s">
        <v>65</v>
      </c>
      <c r="D9" s="6"/>
    </row>
    <row r="10" spans="1:4" ht="15.75" customHeight="1" x14ac:dyDescent="0.15">
      <c r="A10" s="5" t="s">
        <v>10</v>
      </c>
      <c r="B10" s="17" t="str">
        <f ca="1">IFERROR(__xludf.DUMMYFUNCTION("""COMPUTED_VALUE"""),"start#1 zscore:1.380, Start#3 zscore: 1.675 ")</f>
        <v xml:space="preserve">start#1 zscore:1.380, Start#3 zscore: 1.675 </v>
      </c>
      <c r="C10" s="24" t="s">
        <v>66</v>
      </c>
      <c r="D10" s="6"/>
    </row>
    <row r="11" spans="1:4" ht="15.75" customHeight="1" x14ac:dyDescent="0.15">
      <c r="A11" s="5" t="s">
        <v>11</v>
      </c>
      <c r="B11" s="17" t="str">
        <f ca="1">IFERROR(__xludf.DUMMYFUNCTION("""COMPUTED_VALUE"""),"Kovu_93, 81.82%, 4e-51, Edmundo_92, 64.21% 2e-33")</f>
        <v>Kovu_93, 81.82%, 4e-51, Edmundo_92, 64.21% 2e-33</v>
      </c>
      <c r="C11" s="24" t="s">
        <v>67</v>
      </c>
      <c r="D11" s="6"/>
    </row>
    <row r="12" spans="1:4" ht="15.75" customHeight="1" x14ac:dyDescent="0.15">
      <c r="A12" s="5" t="s">
        <v>12</v>
      </c>
      <c r="B12" s="17" t="str">
        <f ca="1">IFERROR(__xludf.DUMMYFUNCTION("""COMPUTED_VALUE"""),"Found in 1 of 6, 100% of the time")</f>
        <v>Found in 1 of 6, 100% of the time</v>
      </c>
      <c r="C12" s="24" t="s">
        <v>68</v>
      </c>
      <c r="D12" s="6"/>
    </row>
    <row r="13" spans="1:4" ht="15.75" customHeight="1" x14ac:dyDescent="0.15">
      <c r="A13" s="5" t="s">
        <v>13</v>
      </c>
      <c r="B13" s="17" t="str">
        <f ca="1">IFERROR(__xludf.DUMMYFUNCTION("""COMPUTED_VALUE"""),"yes, only found in 1 of 6 genes, start 3 had best zvalue.")</f>
        <v>yes, only found in 1 of 6 genes, start 3 had best zvalue.</v>
      </c>
      <c r="C13" s="24" t="s">
        <v>69</v>
      </c>
      <c r="D13" s="6"/>
    </row>
    <row r="14" spans="1:4" ht="15.75" customHeight="1" x14ac:dyDescent="0.15">
      <c r="A14" s="5" t="s">
        <v>14</v>
      </c>
      <c r="B14" s="17" t="str">
        <f ca="1">IFERROR(__xludf.DUMMYFUNCTION("""COMPUTED_VALUE"""),"Kovu_93, 2e-43, Edmundo_92, 4e-29")</f>
        <v>Kovu_93, 2e-43, Edmundo_92, 4e-29</v>
      </c>
      <c r="C14" s="24" t="s">
        <v>70</v>
      </c>
      <c r="D14" s="6"/>
    </row>
    <row r="15" spans="1:4" ht="15.75" customHeight="1" x14ac:dyDescent="0.15">
      <c r="A15" s="5" t="s">
        <v>15</v>
      </c>
      <c r="B15" s="17" t="str">
        <f ca="1">IFERROR(__xludf.DUMMYFUNCTION("""COMPUTED_VALUE"""),"Kovu_93, Whib family transcription factor. Edmundo_92, unknown function")</f>
        <v>Kovu_93, Whib family transcription factor. Edmundo_92, unknown function</v>
      </c>
      <c r="C15" s="24" t="s">
        <v>71</v>
      </c>
      <c r="D15" s="6"/>
    </row>
    <row r="16" spans="1:4" ht="15.75" customHeight="1" x14ac:dyDescent="0.15">
      <c r="A16" s="5" t="s">
        <v>16</v>
      </c>
      <c r="B16" s="17" t="str">
        <f ca="1">IFERROR(__xludf.DUMMYFUNCTION("""COMPUTED_VALUE"""),"yes, adj genes: 91-100 with Kovu")</f>
        <v>yes, adj genes: 91-100 with Kovu</v>
      </c>
      <c r="C16" s="24" t="s">
        <v>37</v>
      </c>
      <c r="D16" s="6"/>
    </row>
    <row r="17" spans="1:4" x14ac:dyDescent="0.2">
      <c r="A17" s="5" t="s">
        <v>17</v>
      </c>
      <c r="B17" s="17" t="str">
        <f ca="1">IFERROR(__xludf.DUMMYFUNCTION("""COMPUTED_VALUE"""),"Transcriptional regulator WhiB; RNA polymerase, Transcription factor, Iron cluster, TRANSCRIPTION-TRANSFERASE-DNA comple, allq:65.66%, allt:74.71%. Functional domain is in the target part of the alignment.")</f>
        <v>Transcriptional regulator WhiB; RNA polymerase, Transcription factor, Iron cluster, TRANSCRIPTION-TRANSFERASE-DNA comple, allq:65.66%, allt:74.71%. Functional domain is in the target part of the alignment.</v>
      </c>
      <c r="C17" s="32" t="s">
        <v>72</v>
      </c>
      <c r="D17" s="6"/>
    </row>
    <row r="18" spans="1:4" ht="15.75" customHeight="1" x14ac:dyDescent="0.15">
      <c r="A18" s="5" t="s">
        <v>18</v>
      </c>
      <c r="B18" s="17" t="str">
        <f ca="1">IFERROR(__xludf.DUMMYFUNCTION("""COMPUTED_VALUE"""),"Yes, Whib")</f>
        <v>Yes, Whib</v>
      </c>
      <c r="C18" s="24" t="s">
        <v>73</v>
      </c>
      <c r="D18" s="6"/>
    </row>
    <row r="19" spans="1:4" ht="15.75" customHeight="1" x14ac:dyDescent="0.15">
      <c r="A19" s="5" t="s">
        <v>19</v>
      </c>
      <c r="B19" s="17" t="str">
        <f ca="1">IFERROR(__xludf.DUMMYFUNCTION("""COMPUTED_VALUE"""),"No")</f>
        <v>No</v>
      </c>
      <c r="C19" s="24" t="s">
        <v>40</v>
      </c>
      <c r="D19" s="6"/>
    </row>
    <row r="20" spans="1:4" ht="15.75" customHeight="1" x14ac:dyDescent="0.15">
      <c r="A20" s="5" t="s">
        <v>20</v>
      </c>
      <c r="B20" s="17" t="str">
        <f ca="1">IFERROR(__xludf.DUMMYFUNCTION("""COMPUTED_VALUE"""),"I think this gene has the function, Whib family transcription factor. This claim is supported by ApoKipo_95's synteny with Kovu_93. Kovu_93 has the function, Whib family transcription factor, and my findings on HHPred")</f>
        <v>I think this gene has the function, Whib family transcription factor. This claim is supported by ApoKipo_95's synteny with Kovu_93. Kovu_93 has the function, Whib family transcription factor, and my findings on HHPred</v>
      </c>
      <c r="C20" s="24" t="s">
        <v>74</v>
      </c>
      <c r="D20" s="6"/>
    </row>
    <row r="21" spans="1:4" x14ac:dyDescent="0.2">
      <c r="A21" s="7"/>
      <c r="B21" s="19"/>
      <c r="C21" s="19"/>
      <c r="D21" s="8"/>
    </row>
    <row r="22" spans="1:4" ht="15.75" customHeight="1" x14ac:dyDescent="0.15">
      <c r="A22" s="9" t="s">
        <v>21</v>
      </c>
      <c r="B22" s="19"/>
      <c r="C22" s="19"/>
      <c r="D22" s="8"/>
    </row>
    <row r="23" spans="1:4" ht="15.75" customHeight="1" x14ac:dyDescent="0.15">
      <c r="A23" s="10"/>
      <c r="B23" s="13"/>
      <c r="C23" s="13"/>
    </row>
    <row r="24" spans="1:4" ht="15.75" customHeight="1" x14ac:dyDescent="0.15">
      <c r="A24" s="10"/>
      <c r="B24" s="13"/>
      <c r="C24" s="13"/>
    </row>
    <row r="25" spans="1:4" ht="15.75" customHeight="1" x14ac:dyDescent="0.15">
      <c r="A25" s="10"/>
      <c r="B25" s="13"/>
      <c r="C25" s="13"/>
    </row>
    <row r="26" spans="1:4" ht="15.75" customHeight="1" x14ac:dyDescent="0.15">
      <c r="A26" s="10"/>
      <c r="B26" s="13"/>
      <c r="C26" s="13"/>
    </row>
    <row r="27" spans="1:4" ht="15.75" customHeight="1" x14ac:dyDescent="0.15">
      <c r="A27" s="10"/>
      <c r="B27" s="13"/>
      <c r="C27" s="13"/>
    </row>
    <row r="28" spans="1:4" ht="15.75" customHeight="1" x14ac:dyDescent="0.15">
      <c r="A28" s="10"/>
      <c r="B28" s="13"/>
      <c r="C28" s="13"/>
    </row>
    <row r="29" spans="1:4" ht="15.75" customHeight="1" x14ac:dyDescent="0.15">
      <c r="A29" s="10"/>
      <c r="B29" s="13"/>
      <c r="C29" s="13"/>
    </row>
    <row r="30" spans="1:4" ht="15.75" customHeight="1" x14ac:dyDescent="0.15">
      <c r="A30" s="10"/>
      <c r="B30" s="13"/>
      <c r="C30" s="13"/>
    </row>
    <row r="31" spans="1:4" ht="15.75" customHeight="1" x14ac:dyDescent="0.15">
      <c r="A31" s="10"/>
      <c r="B31" s="13"/>
      <c r="C31" s="13"/>
    </row>
    <row r="32" spans="1:4" ht="15.75" customHeight="1" x14ac:dyDescent="0.15">
      <c r="A32" s="10"/>
      <c r="B32" s="13"/>
      <c r="C32" s="13"/>
    </row>
    <row r="33" spans="1:3" ht="15.75" customHeight="1" x14ac:dyDescent="0.15">
      <c r="A33" s="10"/>
      <c r="B33" s="13"/>
      <c r="C33" s="13"/>
    </row>
    <row r="34" spans="1:3" ht="15.75" customHeight="1" x14ac:dyDescent="0.15">
      <c r="A34" s="10"/>
      <c r="B34" s="13"/>
      <c r="C34" s="13"/>
    </row>
    <row r="35" spans="1:3" ht="15.75" customHeight="1" x14ac:dyDescent="0.15">
      <c r="A35" s="10"/>
      <c r="B35" s="13"/>
      <c r="C35" s="13"/>
    </row>
    <row r="36" spans="1:3" ht="15.75" customHeight="1" x14ac:dyDescent="0.15">
      <c r="A36" s="10"/>
      <c r="B36" s="13"/>
      <c r="C36" s="13"/>
    </row>
    <row r="37" spans="1:3" ht="15.75" customHeight="1" x14ac:dyDescent="0.15">
      <c r="A37" s="10"/>
      <c r="B37" s="13"/>
      <c r="C37" s="13"/>
    </row>
    <row r="38" spans="1:3" ht="15.75" customHeight="1" x14ac:dyDescent="0.15">
      <c r="A38" s="10"/>
      <c r="B38" s="13"/>
      <c r="C38" s="13"/>
    </row>
    <row r="39" spans="1:3" ht="13" x14ac:dyDescent="0.15">
      <c r="A39" s="10"/>
      <c r="B39" s="13"/>
      <c r="C39" s="13"/>
    </row>
    <row r="40" spans="1:3" ht="13" x14ac:dyDescent="0.15">
      <c r="A40" s="10"/>
      <c r="B40" s="13"/>
      <c r="C40" s="13"/>
    </row>
    <row r="41" spans="1:3" ht="13" x14ac:dyDescent="0.15">
      <c r="A41" s="10"/>
      <c r="B41" s="13"/>
      <c r="C41" s="13"/>
    </row>
    <row r="42" spans="1:3" ht="13" x14ac:dyDescent="0.15">
      <c r="A42" s="10"/>
      <c r="B42" s="13"/>
      <c r="C42" s="13"/>
    </row>
    <row r="43" spans="1:3" ht="13" x14ac:dyDescent="0.15">
      <c r="A43" s="10"/>
      <c r="B43" s="13"/>
      <c r="C43" s="13"/>
    </row>
    <row r="44" spans="1:3" ht="13" x14ac:dyDescent="0.15">
      <c r="A44" s="10"/>
      <c r="B44" s="13"/>
      <c r="C44" s="13"/>
    </row>
    <row r="45" spans="1:3" ht="13" x14ac:dyDescent="0.15">
      <c r="A45" s="10"/>
      <c r="B45" s="13"/>
      <c r="C45" s="13"/>
    </row>
    <row r="46" spans="1:3" ht="13" x14ac:dyDescent="0.15">
      <c r="A46" s="10"/>
      <c r="B46" s="13"/>
      <c r="C46" s="13"/>
    </row>
    <row r="47" spans="1:3" ht="13" x14ac:dyDescent="0.15">
      <c r="A47" s="10"/>
      <c r="B47" s="13"/>
      <c r="C47" s="13"/>
    </row>
    <row r="48" spans="1:3" ht="13" x14ac:dyDescent="0.15">
      <c r="A48" s="10"/>
      <c r="B48" s="13"/>
      <c r="C48" s="13"/>
    </row>
    <row r="49" spans="1:3" ht="13" x14ac:dyDescent="0.15">
      <c r="A49" s="10"/>
      <c r="B49" s="13"/>
      <c r="C49" s="13"/>
    </row>
    <row r="50" spans="1:3" ht="13" x14ac:dyDescent="0.15">
      <c r="A50" s="10"/>
      <c r="B50" s="13"/>
      <c r="C50" s="13"/>
    </row>
    <row r="51" spans="1:3" ht="13" x14ac:dyDescent="0.15">
      <c r="A51" s="10"/>
      <c r="B51" s="13"/>
      <c r="C51" s="13"/>
    </row>
    <row r="52" spans="1:3" ht="13" x14ac:dyDescent="0.15">
      <c r="A52" s="10"/>
      <c r="B52" s="13"/>
      <c r="C52" s="13"/>
    </row>
    <row r="53" spans="1:3" ht="13" x14ac:dyDescent="0.15">
      <c r="A53" s="10"/>
      <c r="B53" s="13"/>
      <c r="C53" s="13"/>
    </row>
    <row r="54" spans="1:3" ht="13" x14ac:dyDescent="0.15">
      <c r="A54" s="10"/>
      <c r="B54" s="13"/>
      <c r="C54" s="13"/>
    </row>
    <row r="55" spans="1:3" ht="13" x14ac:dyDescent="0.15">
      <c r="A55" s="10"/>
      <c r="B55" s="13"/>
      <c r="C55" s="13"/>
    </row>
    <row r="56" spans="1:3" ht="13" x14ac:dyDescent="0.15">
      <c r="A56" s="10"/>
      <c r="B56" s="13"/>
      <c r="C56" s="13"/>
    </row>
    <row r="57" spans="1:3" ht="13" x14ac:dyDescent="0.15">
      <c r="A57" s="10"/>
      <c r="B57" s="13"/>
      <c r="C57" s="13"/>
    </row>
    <row r="58" spans="1:3" ht="13" x14ac:dyDescent="0.15">
      <c r="A58" s="10"/>
      <c r="B58" s="13"/>
      <c r="C58" s="13"/>
    </row>
    <row r="59" spans="1:3" ht="13" x14ac:dyDescent="0.15">
      <c r="A59" s="10"/>
      <c r="B59" s="13"/>
      <c r="C59" s="13"/>
    </row>
    <row r="60" spans="1:3" ht="13" x14ac:dyDescent="0.15">
      <c r="A60" s="10"/>
      <c r="B60" s="13"/>
      <c r="C60" s="13"/>
    </row>
    <row r="61" spans="1:3" ht="13" x14ac:dyDescent="0.15">
      <c r="A61" s="10"/>
      <c r="B61" s="13"/>
      <c r="C61" s="13"/>
    </row>
    <row r="62" spans="1:3" ht="13" x14ac:dyDescent="0.15">
      <c r="A62" s="10"/>
      <c r="B62" s="13"/>
      <c r="C62" s="13"/>
    </row>
    <row r="63" spans="1:3" ht="13" x14ac:dyDescent="0.15">
      <c r="A63" s="10"/>
      <c r="B63" s="13"/>
      <c r="C63" s="13"/>
    </row>
    <row r="64" spans="1:3" ht="13" x14ac:dyDescent="0.15">
      <c r="A64" s="10"/>
      <c r="B64" s="13"/>
      <c r="C64" s="13"/>
    </row>
    <row r="65" spans="1:3" ht="13" x14ac:dyDescent="0.15">
      <c r="A65" s="10"/>
      <c r="B65" s="13"/>
      <c r="C65" s="13"/>
    </row>
    <row r="66" spans="1:3" ht="13" x14ac:dyDescent="0.15">
      <c r="A66" s="10"/>
      <c r="B66" s="13"/>
      <c r="C66" s="13"/>
    </row>
    <row r="67" spans="1:3" ht="13" x14ac:dyDescent="0.15">
      <c r="A67" s="10"/>
      <c r="B67" s="13"/>
      <c r="C67" s="13"/>
    </row>
    <row r="68" spans="1:3" ht="13" x14ac:dyDescent="0.15">
      <c r="A68" s="10"/>
      <c r="B68" s="13"/>
      <c r="C68" s="13"/>
    </row>
    <row r="69" spans="1:3" ht="13" x14ac:dyDescent="0.15">
      <c r="A69" s="10"/>
      <c r="B69" s="13"/>
      <c r="C69" s="13"/>
    </row>
    <row r="70" spans="1:3" ht="13" x14ac:dyDescent="0.15">
      <c r="A70" s="10"/>
      <c r="B70" s="13"/>
      <c r="C70" s="13"/>
    </row>
    <row r="71" spans="1:3" ht="13" x14ac:dyDescent="0.15">
      <c r="A71" s="10"/>
      <c r="B71" s="13"/>
      <c r="C71" s="13"/>
    </row>
    <row r="72" spans="1:3" ht="13" x14ac:dyDescent="0.15">
      <c r="A72" s="10"/>
      <c r="B72" s="13"/>
      <c r="C72" s="13"/>
    </row>
    <row r="73" spans="1:3" ht="13" x14ac:dyDescent="0.15">
      <c r="A73" s="10"/>
      <c r="B73" s="13"/>
      <c r="C73" s="13"/>
    </row>
    <row r="74" spans="1:3" ht="13" x14ac:dyDescent="0.15">
      <c r="A74" s="10"/>
      <c r="B74" s="13"/>
      <c r="C74" s="13"/>
    </row>
    <row r="75" spans="1:3" ht="13" x14ac:dyDescent="0.15">
      <c r="A75" s="10"/>
      <c r="B75" s="13"/>
      <c r="C75" s="13"/>
    </row>
    <row r="76" spans="1:3" ht="13" x14ac:dyDescent="0.15">
      <c r="A76" s="10"/>
      <c r="B76" s="13"/>
      <c r="C76" s="13"/>
    </row>
    <row r="77" spans="1:3" ht="13" x14ac:dyDescent="0.15">
      <c r="A77" s="10"/>
      <c r="B77" s="13"/>
      <c r="C77" s="13"/>
    </row>
    <row r="78" spans="1:3" ht="13" x14ac:dyDescent="0.15">
      <c r="A78" s="10"/>
      <c r="B78" s="13"/>
      <c r="C78" s="13"/>
    </row>
    <row r="79" spans="1:3" ht="13" x14ac:dyDescent="0.15">
      <c r="A79" s="10"/>
      <c r="B79" s="13"/>
      <c r="C79" s="13"/>
    </row>
    <row r="80" spans="1:3" ht="13" x14ac:dyDescent="0.15">
      <c r="A80" s="10"/>
      <c r="B80" s="13"/>
      <c r="C80" s="13"/>
    </row>
    <row r="81" spans="1:3" ht="13" x14ac:dyDescent="0.15">
      <c r="A81" s="10"/>
      <c r="B81" s="13"/>
      <c r="C81" s="13"/>
    </row>
    <row r="82" spans="1:3" ht="13" x14ac:dyDescent="0.15">
      <c r="A82" s="10"/>
      <c r="B82" s="13"/>
      <c r="C82" s="13"/>
    </row>
    <row r="83" spans="1:3" ht="13" x14ac:dyDescent="0.15">
      <c r="A83" s="10"/>
      <c r="B83" s="13"/>
      <c r="C83" s="13"/>
    </row>
    <row r="84" spans="1:3" ht="13" x14ac:dyDescent="0.15">
      <c r="A84" s="10"/>
      <c r="B84" s="13"/>
      <c r="C84" s="13"/>
    </row>
    <row r="85" spans="1:3" ht="13" x14ac:dyDescent="0.15">
      <c r="A85" s="10"/>
      <c r="B85" s="13"/>
      <c r="C85" s="13"/>
    </row>
    <row r="86" spans="1:3" ht="13" x14ac:dyDescent="0.15">
      <c r="A86" s="10"/>
      <c r="B86" s="13"/>
      <c r="C86" s="13"/>
    </row>
    <row r="87" spans="1:3" ht="13" x14ac:dyDescent="0.15">
      <c r="A87" s="10"/>
      <c r="B87" s="13"/>
      <c r="C87" s="13"/>
    </row>
    <row r="88" spans="1:3" ht="13" x14ac:dyDescent="0.15">
      <c r="A88" s="10"/>
      <c r="B88" s="13"/>
      <c r="C88" s="13"/>
    </row>
    <row r="89" spans="1:3" ht="13" x14ac:dyDescent="0.15">
      <c r="A89" s="10"/>
      <c r="B89" s="13"/>
      <c r="C89" s="13"/>
    </row>
    <row r="90" spans="1:3" ht="13" x14ac:dyDescent="0.15">
      <c r="A90" s="10"/>
      <c r="B90" s="13"/>
      <c r="C90" s="13"/>
    </row>
    <row r="91" spans="1:3" ht="13" x14ac:dyDescent="0.15">
      <c r="A91" s="10"/>
      <c r="B91" s="13"/>
      <c r="C91" s="13"/>
    </row>
    <row r="92" spans="1:3" ht="13" x14ac:dyDescent="0.15">
      <c r="A92" s="10"/>
      <c r="B92" s="13"/>
      <c r="C92" s="13"/>
    </row>
    <row r="93" spans="1:3" ht="13" x14ac:dyDescent="0.15">
      <c r="A93" s="10"/>
      <c r="B93" s="13"/>
      <c r="C93" s="13"/>
    </row>
    <row r="94" spans="1:3" ht="13" x14ac:dyDescent="0.15">
      <c r="A94" s="10"/>
      <c r="B94" s="13"/>
      <c r="C94" s="13"/>
    </row>
    <row r="95" spans="1:3" ht="13" x14ac:dyDescent="0.15">
      <c r="A95" s="10"/>
      <c r="B95" s="13"/>
      <c r="C95" s="13"/>
    </row>
    <row r="96" spans="1:3" ht="13" x14ac:dyDescent="0.15">
      <c r="A96" s="10"/>
      <c r="B96" s="13"/>
      <c r="C96" s="13"/>
    </row>
    <row r="97" spans="1:3" ht="13" x14ac:dyDescent="0.15">
      <c r="A97" s="10"/>
      <c r="B97" s="13"/>
      <c r="C97" s="13"/>
    </row>
    <row r="98" spans="1:3" ht="13" x14ac:dyDescent="0.15">
      <c r="A98" s="10"/>
      <c r="B98" s="13"/>
      <c r="C98" s="13"/>
    </row>
    <row r="99" spans="1:3" ht="13" x14ac:dyDescent="0.15">
      <c r="A99" s="10"/>
      <c r="B99" s="13"/>
      <c r="C99" s="13"/>
    </row>
    <row r="100" spans="1:3" ht="13" x14ac:dyDescent="0.15">
      <c r="A100" s="10"/>
      <c r="B100" s="13"/>
      <c r="C100" s="13"/>
    </row>
    <row r="101" spans="1:3" ht="13" x14ac:dyDescent="0.15">
      <c r="A101" s="10"/>
      <c r="B101" s="13"/>
      <c r="C101" s="13"/>
    </row>
    <row r="102" spans="1:3" ht="13" x14ac:dyDescent="0.15">
      <c r="A102" s="10"/>
      <c r="B102" s="13"/>
      <c r="C102" s="13"/>
    </row>
    <row r="103" spans="1:3" ht="13" x14ac:dyDescent="0.15">
      <c r="A103" s="10"/>
      <c r="B103" s="13"/>
      <c r="C103" s="13"/>
    </row>
    <row r="104" spans="1:3" ht="13" x14ac:dyDescent="0.15">
      <c r="A104" s="10"/>
      <c r="B104" s="13"/>
      <c r="C104" s="13"/>
    </row>
    <row r="105" spans="1:3" ht="13" x14ac:dyDescent="0.15">
      <c r="A105" s="10"/>
      <c r="B105" s="13"/>
      <c r="C105" s="13"/>
    </row>
    <row r="106" spans="1:3" ht="13" x14ac:dyDescent="0.15">
      <c r="A106" s="10"/>
      <c r="B106" s="13"/>
      <c r="C106" s="13"/>
    </row>
    <row r="107" spans="1:3" ht="13" x14ac:dyDescent="0.15">
      <c r="A107" s="10"/>
      <c r="B107" s="13"/>
      <c r="C107" s="13"/>
    </row>
    <row r="108" spans="1:3" ht="13" x14ac:dyDescent="0.15">
      <c r="A108" s="10"/>
      <c r="B108" s="13"/>
      <c r="C108" s="13"/>
    </row>
    <row r="109" spans="1:3" ht="13" x14ac:dyDescent="0.15">
      <c r="A109" s="10"/>
      <c r="B109" s="13"/>
      <c r="C109" s="13"/>
    </row>
    <row r="110" spans="1:3" ht="13" x14ac:dyDescent="0.15">
      <c r="A110" s="10"/>
      <c r="B110" s="13"/>
      <c r="C110" s="13"/>
    </row>
    <row r="111" spans="1:3" ht="13" x14ac:dyDescent="0.15">
      <c r="A111" s="10"/>
      <c r="B111" s="13"/>
      <c r="C111" s="13"/>
    </row>
    <row r="112" spans="1:3" ht="13" x14ac:dyDescent="0.15">
      <c r="A112" s="10"/>
      <c r="B112" s="13"/>
      <c r="C112" s="13"/>
    </row>
    <row r="113" spans="1:3" ht="13" x14ac:dyDescent="0.15">
      <c r="A113" s="10"/>
      <c r="B113" s="13"/>
      <c r="C113" s="13"/>
    </row>
    <row r="114" spans="1:3" ht="13" x14ac:dyDescent="0.15">
      <c r="A114" s="10"/>
      <c r="B114" s="13"/>
      <c r="C114" s="13"/>
    </row>
    <row r="115" spans="1:3" ht="13" x14ac:dyDescent="0.15">
      <c r="A115" s="10"/>
      <c r="B115" s="13"/>
      <c r="C115" s="13"/>
    </row>
    <row r="116" spans="1:3" ht="13" x14ac:dyDescent="0.15">
      <c r="A116" s="10"/>
      <c r="B116" s="13"/>
      <c r="C116" s="13"/>
    </row>
    <row r="117" spans="1:3" ht="13" x14ac:dyDescent="0.15">
      <c r="A117" s="10"/>
      <c r="B117" s="13"/>
      <c r="C117" s="13"/>
    </row>
    <row r="118" spans="1:3" ht="13" x14ac:dyDescent="0.15">
      <c r="A118" s="10"/>
      <c r="B118" s="13"/>
      <c r="C118" s="13"/>
    </row>
    <row r="119" spans="1:3" ht="13" x14ac:dyDescent="0.15">
      <c r="A119" s="10"/>
      <c r="B119" s="13"/>
      <c r="C119" s="13"/>
    </row>
    <row r="120" spans="1:3" ht="13" x14ac:dyDescent="0.15">
      <c r="A120" s="10"/>
      <c r="B120" s="13"/>
      <c r="C120" s="13"/>
    </row>
    <row r="121" spans="1:3" ht="13" x14ac:dyDescent="0.15">
      <c r="A121" s="10"/>
      <c r="B121" s="13"/>
      <c r="C121" s="13"/>
    </row>
    <row r="122" spans="1:3" ht="13" x14ac:dyDescent="0.15">
      <c r="A122" s="10"/>
      <c r="B122" s="13"/>
      <c r="C122" s="13"/>
    </row>
    <row r="123" spans="1:3" ht="13" x14ac:dyDescent="0.15">
      <c r="A123" s="10"/>
      <c r="B123" s="13"/>
      <c r="C123" s="13"/>
    </row>
    <row r="124" spans="1:3" ht="13" x14ac:dyDescent="0.15">
      <c r="A124" s="10"/>
      <c r="B124" s="13"/>
      <c r="C124" s="13"/>
    </row>
    <row r="125" spans="1:3" ht="13" x14ac:dyDescent="0.15">
      <c r="A125" s="10"/>
      <c r="B125" s="13"/>
      <c r="C125" s="13"/>
    </row>
    <row r="126" spans="1:3" ht="13" x14ac:dyDescent="0.15">
      <c r="A126" s="10"/>
      <c r="B126" s="13"/>
      <c r="C126" s="13"/>
    </row>
    <row r="127" spans="1:3" ht="13" x14ac:dyDescent="0.15">
      <c r="A127" s="10"/>
      <c r="B127" s="13"/>
      <c r="C127" s="13"/>
    </row>
    <row r="128" spans="1:3" ht="13" x14ac:dyDescent="0.15">
      <c r="A128" s="10"/>
      <c r="B128" s="13"/>
      <c r="C128" s="13"/>
    </row>
    <row r="129" spans="1:3" ht="13" x14ac:dyDescent="0.15">
      <c r="A129" s="10"/>
      <c r="B129" s="13"/>
      <c r="C129" s="13"/>
    </row>
    <row r="130" spans="1:3" ht="13" x14ac:dyDescent="0.15">
      <c r="A130" s="10"/>
      <c r="B130" s="13"/>
      <c r="C130" s="13"/>
    </row>
    <row r="131" spans="1:3" ht="13" x14ac:dyDescent="0.15">
      <c r="A131" s="10"/>
      <c r="B131" s="13"/>
      <c r="C131" s="13"/>
    </row>
    <row r="132" spans="1:3" ht="13" x14ac:dyDescent="0.15">
      <c r="A132" s="10"/>
      <c r="B132" s="13"/>
      <c r="C132" s="13"/>
    </row>
    <row r="133" spans="1:3" ht="13" x14ac:dyDescent="0.15">
      <c r="A133" s="10"/>
      <c r="B133" s="13"/>
      <c r="C133" s="13"/>
    </row>
    <row r="134" spans="1:3" ht="13" x14ac:dyDescent="0.15">
      <c r="A134" s="10"/>
      <c r="B134" s="13"/>
      <c r="C134" s="13"/>
    </row>
    <row r="135" spans="1:3" ht="13" x14ac:dyDescent="0.15">
      <c r="A135" s="10"/>
      <c r="B135" s="13"/>
      <c r="C135" s="13"/>
    </row>
    <row r="136" spans="1:3" ht="13" x14ac:dyDescent="0.15">
      <c r="A136" s="10"/>
      <c r="B136" s="13"/>
      <c r="C136" s="13"/>
    </row>
    <row r="137" spans="1:3" ht="13" x14ac:dyDescent="0.15">
      <c r="A137" s="10"/>
      <c r="B137" s="13"/>
      <c r="C137" s="13"/>
    </row>
    <row r="138" spans="1:3" ht="13" x14ac:dyDescent="0.15">
      <c r="A138" s="10"/>
      <c r="B138" s="13"/>
      <c r="C138" s="13"/>
    </row>
    <row r="139" spans="1:3" ht="13" x14ac:dyDescent="0.15">
      <c r="A139" s="10"/>
      <c r="B139" s="13"/>
      <c r="C139" s="13"/>
    </row>
    <row r="140" spans="1:3" ht="13" x14ac:dyDescent="0.15">
      <c r="A140" s="10"/>
      <c r="B140" s="13"/>
      <c r="C140" s="13"/>
    </row>
    <row r="141" spans="1:3" ht="13" x14ac:dyDescent="0.15">
      <c r="A141" s="10"/>
      <c r="B141" s="13"/>
      <c r="C141" s="13"/>
    </row>
    <row r="142" spans="1:3" ht="13" x14ac:dyDescent="0.15">
      <c r="A142" s="10"/>
      <c r="B142" s="13"/>
      <c r="C142" s="13"/>
    </row>
    <row r="143" spans="1:3" ht="13" x14ac:dyDescent="0.15">
      <c r="A143" s="10"/>
      <c r="B143" s="13"/>
      <c r="C143" s="13"/>
    </row>
    <row r="144" spans="1:3" ht="13" x14ac:dyDescent="0.15">
      <c r="A144" s="10"/>
      <c r="B144" s="13"/>
      <c r="C144" s="13"/>
    </row>
    <row r="145" spans="1:3" ht="13" x14ac:dyDescent="0.15">
      <c r="A145" s="10"/>
      <c r="B145" s="13"/>
      <c r="C145" s="13"/>
    </row>
    <row r="146" spans="1:3" ht="13" x14ac:dyDescent="0.15">
      <c r="A146" s="10"/>
      <c r="B146" s="13"/>
      <c r="C146" s="13"/>
    </row>
    <row r="147" spans="1:3" ht="13" x14ac:dyDescent="0.15">
      <c r="A147" s="10"/>
      <c r="B147" s="13"/>
      <c r="C147" s="13"/>
    </row>
    <row r="148" spans="1:3" ht="13" x14ac:dyDescent="0.15">
      <c r="A148" s="10"/>
      <c r="B148" s="13"/>
      <c r="C148" s="13"/>
    </row>
    <row r="149" spans="1:3" ht="13" x14ac:dyDescent="0.15">
      <c r="A149" s="10"/>
      <c r="B149" s="13"/>
      <c r="C149" s="13"/>
    </row>
    <row r="150" spans="1:3" ht="13" x14ac:dyDescent="0.15">
      <c r="A150" s="10"/>
      <c r="B150" s="13"/>
      <c r="C150" s="13"/>
    </row>
    <row r="151" spans="1:3" ht="13" x14ac:dyDescent="0.15">
      <c r="A151" s="10"/>
      <c r="B151" s="13"/>
      <c r="C151" s="13"/>
    </row>
    <row r="152" spans="1:3" ht="13" x14ac:dyDescent="0.15">
      <c r="A152" s="10"/>
      <c r="B152" s="13"/>
      <c r="C152" s="13"/>
    </row>
    <row r="153" spans="1:3" ht="13" x14ac:dyDescent="0.15">
      <c r="A153" s="10"/>
      <c r="B153" s="13"/>
      <c r="C153" s="13"/>
    </row>
    <row r="154" spans="1:3" ht="13" x14ac:dyDescent="0.15">
      <c r="A154" s="10"/>
      <c r="B154" s="13"/>
      <c r="C154" s="13"/>
    </row>
    <row r="155" spans="1:3" ht="13" x14ac:dyDescent="0.15">
      <c r="A155" s="10"/>
      <c r="B155" s="13"/>
      <c r="C155" s="13"/>
    </row>
    <row r="156" spans="1:3" ht="13" x14ac:dyDescent="0.15">
      <c r="A156" s="10"/>
      <c r="B156" s="13"/>
      <c r="C156" s="13"/>
    </row>
    <row r="157" spans="1:3" ht="13" x14ac:dyDescent="0.15">
      <c r="A157" s="10"/>
      <c r="B157" s="13"/>
      <c r="C157" s="13"/>
    </row>
    <row r="158" spans="1:3" ht="13" x14ac:dyDescent="0.15">
      <c r="A158" s="10"/>
      <c r="B158" s="13"/>
      <c r="C158" s="13"/>
    </row>
    <row r="159" spans="1:3" ht="13" x14ac:dyDescent="0.15">
      <c r="A159" s="10"/>
      <c r="B159" s="13"/>
      <c r="C159" s="13"/>
    </row>
    <row r="160" spans="1:3" ht="13" x14ac:dyDescent="0.15">
      <c r="A160" s="10"/>
      <c r="B160" s="13"/>
      <c r="C160" s="13"/>
    </row>
    <row r="161" spans="1:3" ht="13" x14ac:dyDescent="0.15">
      <c r="A161" s="10"/>
      <c r="B161" s="13"/>
      <c r="C161" s="13"/>
    </row>
    <row r="162" spans="1:3" ht="13" x14ac:dyDescent="0.15">
      <c r="A162" s="10"/>
      <c r="B162" s="13"/>
      <c r="C162" s="13"/>
    </row>
    <row r="163" spans="1:3" ht="13" x14ac:dyDescent="0.15">
      <c r="A163" s="10"/>
      <c r="B163" s="13"/>
      <c r="C163" s="13"/>
    </row>
    <row r="164" spans="1:3" ht="13" x14ac:dyDescent="0.15">
      <c r="A164" s="10"/>
      <c r="B164" s="13"/>
      <c r="C164" s="13"/>
    </row>
    <row r="165" spans="1:3" ht="13" x14ac:dyDescent="0.15">
      <c r="A165" s="10"/>
      <c r="B165" s="13"/>
      <c r="C165" s="13"/>
    </row>
    <row r="166" spans="1:3" ht="13" x14ac:dyDescent="0.15">
      <c r="A166" s="10"/>
      <c r="B166" s="13"/>
      <c r="C166" s="13"/>
    </row>
    <row r="167" spans="1:3" ht="13" x14ac:dyDescent="0.15">
      <c r="A167" s="10"/>
      <c r="B167" s="13"/>
      <c r="C167" s="13"/>
    </row>
    <row r="168" spans="1:3" ht="13" x14ac:dyDescent="0.15">
      <c r="A168" s="10"/>
      <c r="B168" s="13"/>
      <c r="C168" s="13"/>
    </row>
    <row r="169" spans="1:3" ht="13" x14ac:dyDescent="0.15">
      <c r="A169" s="10"/>
      <c r="B169" s="13"/>
      <c r="C169" s="13"/>
    </row>
    <row r="170" spans="1:3" ht="13" x14ac:dyDescent="0.15">
      <c r="A170" s="10"/>
      <c r="B170" s="13"/>
      <c r="C170" s="13"/>
    </row>
    <row r="171" spans="1:3" ht="13" x14ac:dyDescent="0.15">
      <c r="A171" s="10"/>
      <c r="B171" s="13"/>
      <c r="C171" s="13"/>
    </row>
    <row r="172" spans="1:3" ht="13" x14ac:dyDescent="0.15">
      <c r="A172" s="10"/>
      <c r="B172" s="13"/>
      <c r="C172" s="13"/>
    </row>
    <row r="173" spans="1:3" ht="13" x14ac:dyDescent="0.15">
      <c r="A173" s="10"/>
      <c r="B173" s="13"/>
      <c r="C173" s="13"/>
    </row>
    <row r="174" spans="1:3" ht="13" x14ac:dyDescent="0.15">
      <c r="A174" s="10"/>
      <c r="B174" s="13"/>
      <c r="C174" s="13"/>
    </row>
    <row r="175" spans="1:3" ht="13" x14ac:dyDescent="0.15">
      <c r="A175" s="10"/>
      <c r="B175" s="13"/>
      <c r="C175" s="13"/>
    </row>
    <row r="176" spans="1:3" ht="13" x14ac:dyDescent="0.15">
      <c r="A176" s="10"/>
      <c r="B176" s="13"/>
      <c r="C176" s="13"/>
    </row>
    <row r="177" spans="1:3" ht="13" x14ac:dyDescent="0.15">
      <c r="A177" s="10"/>
      <c r="B177" s="13"/>
      <c r="C177" s="13"/>
    </row>
    <row r="178" spans="1:3" ht="13" x14ac:dyDescent="0.15">
      <c r="A178" s="10"/>
      <c r="B178" s="13"/>
      <c r="C178" s="13"/>
    </row>
    <row r="179" spans="1:3" ht="13" x14ac:dyDescent="0.15">
      <c r="A179" s="10"/>
      <c r="B179" s="13"/>
      <c r="C179" s="13"/>
    </row>
    <row r="180" spans="1:3" ht="13" x14ac:dyDescent="0.15">
      <c r="A180" s="10"/>
      <c r="B180" s="13"/>
      <c r="C180" s="13"/>
    </row>
    <row r="181" spans="1:3" ht="13" x14ac:dyDescent="0.15">
      <c r="A181" s="10"/>
      <c r="B181" s="13"/>
      <c r="C181" s="13"/>
    </row>
    <row r="182" spans="1:3" ht="13" x14ac:dyDescent="0.15">
      <c r="A182" s="10"/>
      <c r="B182" s="13"/>
      <c r="C182" s="13"/>
    </row>
    <row r="183" spans="1:3" ht="13" x14ac:dyDescent="0.15">
      <c r="A183" s="10"/>
      <c r="B183" s="13"/>
      <c r="C183" s="13"/>
    </row>
    <row r="184" spans="1:3" ht="13" x14ac:dyDescent="0.15">
      <c r="A184" s="10"/>
      <c r="B184" s="13"/>
      <c r="C184" s="13"/>
    </row>
    <row r="185" spans="1:3" ht="13" x14ac:dyDescent="0.15">
      <c r="A185" s="10"/>
      <c r="B185" s="13"/>
      <c r="C185" s="13"/>
    </row>
    <row r="186" spans="1:3" ht="13" x14ac:dyDescent="0.15">
      <c r="A186" s="10"/>
      <c r="B186" s="13"/>
      <c r="C186" s="13"/>
    </row>
    <row r="187" spans="1:3" ht="13" x14ac:dyDescent="0.15">
      <c r="A187" s="10"/>
      <c r="B187" s="13"/>
      <c r="C187" s="13"/>
    </row>
    <row r="188" spans="1:3" ht="13" x14ac:dyDescent="0.15">
      <c r="A188" s="10"/>
      <c r="B188" s="13"/>
      <c r="C188" s="13"/>
    </row>
    <row r="189" spans="1:3" ht="13" x14ac:dyDescent="0.15">
      <c r="A189" s="10"/>
      <c r="B189" s="13"/>
      <c r="C189" s="13"/>
    </row>
    <row r="190" spans="1:3" ht="13" x14ac:dyDescent="0.15">
      <c r="A190" s="10"/>
      <c r="B190" s="13"/>
      <c r="C190" s="13"/>
    </row>
    <row r="191" spans="1:3" ht="13" x14ac:dyDescent="0.15">
      <c r="A191" s="10"/>
      <c r="B191" s="13"/>
      <c r="C191" s="13"/>
    </row>
    <row r="192" spans="1:3" ht="13" x14ac:dyDescent="0.15">
      <c r="A192" s="10"/>
      <c r="B192" s="13"/>
      <c r="C192" s="13"/>
    </row>
    <row r="193" spans="1:3" ht="13" x14ac:dyDescent="0.15">
      <c r="A193" s="10"/>
      <c r="B193" s="13"/>
      <c r="C193" s="13"/>
    </row>
    <row r="194" spans="1:3" ht="13" x14ac:dyDescent="0.15">
      <c r="A194" s="10"/>
      <c r="B194" s="13"/>
      <c r="C194" s="13"/>
    </row>
    <row r="195" spans="1:3" ht="13" x14ac:dyDescent="0.15">
      <c r="A195" s="10"/>
      <c r="B195" s="13"/>
      <c r="C195" s="13"/>
    </row>
    <row r="196" spans="1:3" ht="13" x14ac:dyDescent="0.15">
      <c r="A196" s="10"/>
      <c r="B196" s="13"/>
      <c r="C196" s="13"/>
    </row>
    <row r="197" spans="1:3" ht="13" x14ac:dyDescent="0.15">
      <c r="A197" s="10"/>
      <c r="B197" s="13"/>
      <c r="C197" s="13"/>
    </row>
    <row r="198" spans="1:3" ht="13" x14ac:dyDescent="0.15">
      <c r="A198" s="10"/>
      <c r="B198" s="13"/>
      <c r="C198" s="13"/>
    </row>
    <row r="199" spans="1:3" ht="13" x14ac:dyDescent="0.15">
      <c r="A199" s="10"/>
      <c r="B199" s="13"/>
      <c r="C199" s="13"/>
    </row>
    <row r="200" spans="1:3" ht="13" x14ac:dyDescent="0.15">
      <c r="A200" s="10"/>
      <c r="B200" s="13"/>
      <c r="C200" s="13"/>
    </row>
    <row r="201" spans="1:3" ht="13" x14ac:dyDescent="0.15">
      <c r="A201" s="10"/>
      <c r="B201" s="13"/>
      <c r="C201" s="13"/>
    </row>
    <row r="202" spans="1:3" ht="13" x14ac:dyDescent="0.15">
      <c r="A202" s="10"/>
      <c r="B202" s="13"/>
      <c r="C202" s="13"/>
    </row>
    <row r="203" spans="1:3" ht="13" x14ac:dyDescent="0.15">
      <c r="A203" s="10"/>
      <c r="B203" s="13"/>
      <c r="C203" s="13"/>
    </row>
    <row r="204" spans="1:3" ht="13" x14ac:dyDescent="0.15">
      <c r="A204" s="10"/>
      <c r="B204" s="13"/>
      <c r="C204" s="13"/>
    </row>
    <row r="205" spans="1:3" ht="13" x14ac:dyDescent="0.15">
      <c r="A205" s="10"/>
      <c r="B205" s="13"/>
      <c r="C205" s="13"/>
    </row>
    <row r="206" spans="1:3" ht="13" x14ac:dyDescent="0.15">
      <c r="A206" s="10"/>
      <c r="B206" s="13"/>
      <c r="C206" s="13"/>
    </row>
    <row r="207" spans="1:3" ht="13" x14ac:dyDescent="0.15">
      <c r="A207" s="10"/>
      <c r="B207" s="13"/>
      <c r="C207" s="13"/>
    </row>
    <row r="208" spans="1:3" ht="13" x14ac:dyDescent="0.15">
      <c r="A208" s="10"/>
      <c r="B208" s="13"/>
      <c r="C208" s="13"/>
    </row>
    <row r="209" spans="1:3" ht="13" x14ac:dyDescent="0.15">
      <c r="A209" s="10"/>
      <c r="B209" s="13"/>
      <c r="C209" s="13"/>
    </row>
    <row r="210" spans="1:3" ht="13" x14ac:dyDescent="0.15">
      <c r="A210" s="10"/>
      <c r="B210" s="13"/>
      <c r="C210" s="13"/>
    </row>
    <row r="211" spans="1:3" ht="13" x14ac:dyDescent="0.15">
      <c r="A211" s="10"/>
      <c r="B211" s="13"/>
      <c r="C211" s="13"/>
    </row>
    <row r="212" spans="1:3" ht="13" x14ac:dyDescent="0.15">
      <c r="A212" s="10"/>
      <c r="B212" s="13"/>
      <c r="C212" s="13"/>
    </row>
    <row r="213" spans="1:3" ht="13" x14ac:dyDescent="0.15">
      <c r="A213" s="10"/>
      <c r="B213" s="13"/>
      <c r="C213" s="13"/>
    </row>
    <row r="214" spans="1:3" ht="13" x14ac:dyDescent="0.15">
      <c r="A214" s="10"/>
      <c r="B214" s="13"/>
      <c r="C214" s="13"/>
    </row>
    <row r="215" spans="1:3" ht="13" x14ac:dyDescent="0.15">
      <c r="A215" s="10"/>
      <c r="B215" s="13"/>
      <c r="C215" s="13"/>
    </row>
    <row r="216" spans="1:3" ht="13" x14ac:dyDescent="0.15">
      <c r="A216" s="10"/>
      <c r="B216" s="13"/>
      <c r="C216" s="13"/>
    </row>
    <row r="217" spans="1:3" ht="13" x14ac:dyDescent="0.15">
      <c r="A217" s="10"/>
      <c r="B217" s="13"/>
      <c r="C217" s="13"/>
    </row>
    <row r="218" spans="1:3" ht="13" x14ac:dyDescent="0.15">
      <c r="A218" s="10"/>
      <c r="B218" s="13"/>
      <c r="C218" s="13"/>
    </row>
    <row r="219" spans="1:3" ht="13" x14ac:dyDescent="0.15">
      <c r="A219" s="10"/>
      <c r="B219" s="13"/>
      <c r="C219" s="13"/>
    </row>
    <row r="220" spans="1:3" ht="13" x14ac:dyDescent="0.15">
      <c r="A220" s="10"/>
      <c r="B220" s="13"/>
      <c r="C220" s="13"/>
    </row>
    <row r="221" spans="1:3" ht="13" x14ac:dyDescent="0.15">
      <c r="A221" s="10"/>
      <c r="B221" s="13"/>
      <c r="C221" s="13"/>
    </row>
    <row r="222" spans="1:3" ht="13" x14ac:dyDescent="0.15">
      <c r="A222" s="10"/>
      <c r="B222" s="13"/>
      <c r="C222" s="13"/>
    </row>
    <row r="223" spans="1:3" ht="13" x14ac:dyDescent="0.15">
      <c r="A223" s="10"/>
      <c r="B223" s="13"/>
      <c r="C223" s="13"/>
    </row>
    <row r="224" spans="1:3" ht="13" x14ac:dyDescent="0.15">
      <c r="A224" s="10"/>
      <c r="B224" s="13"/>
      <c r="C224" s="13"/>
    </row>
    <row r="225" spans="1:3" ht="13" x14ac:dyDescent="0.15">
      <c r="A225" s="10"/>
      <c r="B225" s="13"/>
      <c r="C225" s="13"/>
    </row>
    <row r="226" spans="1:3" ht="13" x14ac:dyDescent="0.15">
      <c r="A226" s="10"/>
      <c r="B226" s="13"/>
      <c r="C226" s="13"/>
    </row>
    <row r="227" spans="1:3" ht="13" x14ac:dyDescent="0.15">
      <c r="A227" s="10"/>
      <c r="B227" s="13"/>
      <c r="C227" s="13"/>
    </row>
    <row r="228" spans="1:3" ht="13" x14ac:dyDescent="0.15">
      <c r="A228" s="10"/>
      <c r="B228" s="13"/>
      <c r="C228" s="13"/>
    </row>
    <row r="229" spans="1:3" ht="13" x14ac:dyDescent="0.15">
      <c r="A229" s="10"/>
      <c r="B229" s="13"/>
      <c r="C229" s="13"/>
    </row>
    <row r="230" spans="1:3" ht="13" x14ac:dyDescent="0.15">
      <c r="A230" s="10"/>
      <c r="B230" s="13"/>
      <c r="C230" s="13"/>
    </row>
    <row r="231" spans="1:3" ht="13" x14ac:dyDescent="0.15">
      <c r="A231" s="10"/>
      <c r="B231" s="13"/>
      <c r="C231" s="13"/>
    </row>
    <row r="232" spans="1:3" ht="13" x14ac:dyDescent="0.15">
      <c r="A232" s="10"/>
      <c r="B232" s="13"/>
      <c r="C232" s="13"/>
    </row>
    <row r="233" spans="1:3" ht="13" x14ac:dyDescent="0.15">
      <c r="A233" s="10"/>
      <c r="B233" s="13"/>
      <c r="C233" s="13"/>
    </row>
    <row r="234" spans="1:3" ht="13" x14ac:dyDescent="0.15">
      <c r="A234" s="10"/>
      <c r="B234" s="13"/>
      <c r="C234" s="13"/>
    </row>
    <row r="235" spans="1:3" ht="13" x14ac:dyDescent="0.15">
      <c r="A235" s="10"/>
      <c r="B235" s="13"/>
      <c r="C235" s="13"/>
    </row>
    <row r="236" spans="1:3" ht="13" x14ac:dyDescent="0.15">
      <c r="A236" s="10"/>
      <c r="B236" s="13"/>
      <c r="C236" s="13"/>
    </row>
    <row r="237" spans="1:3" ht="13" x14ac:dyDescent="0.15">
      <c r="A237" s="10"/>
      <c r="B237" s="13"/>
      <c r="C237" s="13"/>
    </row>
    <row r="238" spans="1:3" ht="13" x14ac:dyDescent="0.15">
      <c r="A238" s="10"/>
      <c r="B238" s="13"/>
      <c r="C238" s="13"/>
    </row>
    <row r="239" spans="1:3" ht="13" x14ac:dyDescent="0.15">
      <c r="A239" s="10"/>
      <c r="B239" s="13"/>
      <c r="C239" s="13"/>
    </row>
    <row r="240" spans="1:3" ht="13" x14ac:dyDescent="0.15">
      <c r="A240" s="10"/>
      <c r="B240" s="13"/>
      <c r="C240" s="13"/>
    </row>
    <row r="241" spans="1:3" ht="13" x14ac:dyDescent="0.15">
      <c r="A241" s="10"/>
      <c r="B241" s="13"/>
      <c r="C241" s="13"/>
    </row>
    <row r="242" spans="1:3" ht="13" x14ac:dyDescent="0.15">
      <c r="A242" s="10"/>
      <c r="B242" s="13"/>
      <c r="C242" s="13"/>
    </row>
    <row r="243" spans="1:3" ht="13" x14ac:dyDescent="0.15">
      <c r="A243" s="10"/>
      <c r="B243" s="13"/>
      <c r="C243" s="13"/>
    </row>
    <row r="244" spans="1:3" ht="13" x14ac:dyDescent="0.15">
      <c r="A244" s="10"/>
      <c r="B244" s="13"/>
      <c r="C244" s="13"/>
    </row>
    <row r="245" spans="1:3" ht="13" x14ac:dyDescent="0.15">
      <c r="A245" s="10"/>
      <c r="B245" s="13"/>
      <c r="C245" s="13"/>
    </row>
    <row r="246" spans="1:3" ht="13" x14ac:dyDescent="0.15">
      <c r="A246" s="10"/>
      <c r="B246" s="13"/>
      <c r="C246" s="13"/>
    </row>
    <row r="247" spans="1:3" ht="13" x14ac:dyDescent="0.15">
      <c r="A247" s="10"/>
      <c r="B247" s="13"/>
      <c r="C247" s="13"/>
    </row>
    <row r="248" spans="1:3" ht="13" x14ac:dyDescent="0.15">
      <c r="A248" s="10"/>
      <c r="B248" s="13"/>
      <c r="C248" s="13"/>
    </row>
    <row r="249" spans="1:3" ht="13" x14ac:dyDescent="0.15">
      <c r="A249" s="10"/>
      <c r="B249" s="13"/>
      <c r="C249" s="13"/>
    </row>
    <row r="250" spans="1:3" ht="13" x14ac:dyDescent="0.15">
      <c r="A250" s="10"/>
      <c r="B250" s="13"/>
      <c r="C250" s="13"/>
    </row>
    <row r="251" spans="1:3" ht="13" x14ac:dyDescent="0.15">
      <c r="A251" s="10"/>
      <c r="B251" s="13"/>
      <c r="C251" s="13"/>
    </row>
    <row r="252" spans="1:3" ht="13" x14ac:dyDescent="0.15">
      <c r="A252" s="10"/>
      <c r="B252" s="13"/>
      <c r="C252" s="13"/>
    </row>
    <row r="253" spans="1:3" ht="13" x14ac:dyDescent="0.15">
      <c r="A253" s="10"/>
      <c r="B253" s="13"/>
      <c r="C253" s="13"/>
    </row>
    <row r="254" spans="1:3" ht="13" x14ac:dyDescent="0.15">
      <c r="A254" s="10"/>
      <c r="B254" s="13"/>
      <c r="C254" s="13"/>
    </row>
    <row r="255" spans="1:3" ht="13" x14ac:dyDescent="0.15">
      <c r="A255" s="10"/>
      <c r="B255" s="13"/>
      <c r="C255" s="13"/>
    </row>
    <row r="256" spans="1:3" ht="13" x14ac:dyDescent="0.15">
      <c r="A256" s="10"/>
      <c r="B256" s="13"/>
      <c r="C256" s="13"/>
    </row>
    <row r="257" spans="1:3" ht="13" x14ac:dyDescent="0.15">
      <c r="A257" s="10"/>
      <c r="B257" s="13"/>
      <c r="C257" s="13"/>
    </row>
    <row r="258" spans="1:3" ht="13" x14ac:dyDescent="0.15">
      <c r="A258" s="10"/>
      <c r="B258" s="13"/>
      <c r="C258" s="13"/>
    </row>
    <row r="259" spans="1:3" ht="13" x14ac:dyDescent="0.15">
      <c r="A259" s="10"/>
      <c r="B259" s="13"/>
      <c r="C259" s="13"/>
    </row>
    <row r="260" spans="1:3" ht="13" x14ac:dyDescent="0.15">
      <c r="A260" s="10"/>
      <c r="B260" s="13"/>
      <c r="C260" s="13"/>
    </row>
    <row r="261" spans="1:3" ht="13" x14ac:dyDescent="0.15">
      <c r="A261" s="10"/>
      <c r="B261" s="13"/>
      <c r="C261" s="13"/>
    </row>
    <row r="262" spans="1:3" ht="13" x14ac:dyDescent="0.15">
      <c r="A262" s="10"/>
      <c r="B262" s="13"/>
      <c r="C262" s="13"/>
    </row>
    <row r="263" spans="1:3" ht="13" x14ac:dyDescent="0.15">
      <c r="A263" s="10"/>
      <c r="B263" s="13"/>
      <c r="C263" s="13"/>
    </row>
    <row r="264" spans="1:3" ht="13" x14ac:dyDescent="0.15">
      <c r="A264" s="10"/>
      <c r="B264" s="13"/>
      <c r="C264" s="13"/>
    </row>
    <row r="265" spans="1:3" ht="13" x14ac:dyDescent="0.15">
      <c r="A265" s="10"/>
      <c r="B265" s="13"/>
      <c r="C265" s="13"/>
    </row>
    <row r="266" spans="1:3" ht="13" x14ac:dyDescent="0.15">
      <c r="A266" s="10"/>
      <c r="B266" s="13"/>
      <c r="C266" s="13"/>
    </row>
    <row r="267" spans="1:3" ht="13" x14ac:dyDescent="0.15">
      <c r="A267" s="10"/>
      <c r="B267" s="13"/>
      <c r="C267" s="13"/>
    </row>
    <row r="268" spans="1:3" ht="13" x14ac:dyDescent="0.15">
      <c r="A268" s="10"/>
      <c r="B268" s="13"/>
      <c r="C268" s="13"/>
    </row>
    <row r="269" spans="1:3" ht="13" x14ac:dyDescent="0.15">
      <c r="A269" s="10"/>
      <c r="B269" s="13"/>
      <c r="C269" s="13"/>
    </row>
    <row r="270" spans="1:3" ht="13" x14ac:dyDescent="0.15">
      <c r="A270" s="10"/>
      <c r="B270" s="13"/>
      <c r="C270" s="13"/>
    </row>
    <row r="271" spans="1:3" ht="13" x14ac:dyDescent="0.15">
      <c r="A271" s="10"/>
      <c r="B271" s="13"/>
      <c r="C271" s="13"/>
    </row>
    <row r="272" spans="1:3" ht="13" x14ac:dyDescent="0.15">
      <c r="A272" s="10"/>
      <c r="B272" s="13"/>
      <c r="C272" s="13"/>
    </row>
    <row r="273" spans="1:3" ht="13" x14ac:dyDescent="0.15">
      <c r="A273" s="10"/>
      <c r="B273" s="13"/>
      <c r="C273" s="13"/>
    </row>
    <row r="274" spans="1:3" ht="13" x14ac:dyDescent="0.15">
      <c r="A274" s="10"/>
      <c r="B274" s="13"/>
      <c r="C274" s="13"/>
    </row>
    <row r="275" spans="1:3" ht="13" x14ac:dyDescent="0.15">
      <c r="A275" s="10"/>
      <c r="B275" s="13"/>
      <c r="C275" s="13"/>
    </row>
    <row r="276" spans="1:3" ht="13" x14ac:dyDescent="0.15">
      <c r="A276" s="10"/>
      <c r="B276" s="13"/>
      <c r="C276" s="13"/>
    </row>
    <row r="277" spans="1:3" ht="13" x14ac:dyDescent="0.15">
      <c r="A277" s="10"/>
      <c r="B277" s="13"/>
      <c r="C277" s="13"/>
    </row>
    <row r="278" spans="1:3" ht="13" x14ac:dyDescent="0.15">
      <c r="A278" s="10"/>
      <c r="B278" s="13"/>
      <c r="C278" s="13"/>
    </row>
    <row r="279" spans="1:3" ht="13" x14ac:dyDescent="0.15">
      <c r="A279" s="10"/>
      <c r="B279" s="13"/>
      <c r="C279" s="13"/>
    </row>
    <row r="280" spans="1:3" ht="13" x14ac:dyDescent="0.15">
      <c r="A280" s="10"/>
      <c r="B280" s="13"/>
      <c r="C280" s="13"/>
    </row>
    <row r="281" spans="1:3" ht="13" x14ac:dyDescent="0.15">
      <c r="A281" s="10"/>
      <c r="B281" s="13"/>
      <c r="C281" s="13"/>
    </row>
    <row r="282" spans="1:3" ht="13" x14ac:dyDescent="0.15">
      <c r="A282" s="10"/>
      <c r="B282" s="13"/>
      <c r="C282" s="13"/>
    </row>
    <row r="283" spans="1:3" ht="13" x14ac:dyDescent="0.15">
      <c r="A283" s="10"/>
      <c r="B283" s="13"/>
      <c r="C283" s="13"/>
    </row>
    <row r="284" spans="1:3" ht="13" x14ac:dyDescent="0.15">
      <c r="A284" s="10"/>
      <c r="B284" s="13"/>
      <c r="C284" s="13"/>
    </row>
    <row r="285" spans="1:3" ht="13" x14ac:dyDescent="0.15">
      <c r="A285" s="10"/>
      <c r="B285" s="13"/>
      <c r="C285" s="13"/>
    </row>
    <row r="286" spans="1:3" ht="13" x14ac:dyDescent="0.15">
      <c r="A286" s="10"/>
      <c r="B286" s="13"/>
      <c r="C286" s="13"/>
    </row>
    <row r="287" spans="1:3" ht="13" x14ac:dyDescent="0.15">
      <c r="A287" s="10"/>
      <c r="B287" s="13"/>
      <c r="C287" s="13"/>
    </row>
    <row r="288" spans="1:3" ht="13" x14ac:dyDescent="0.15">
      <c r="A288" s="10"/>
      <c r="B288" s="13"/>
      <c r="C288" s="13"/>
    </row>
    <row r="289" spans="1:3" ht="13" x14ac:dyDescent="0.15">
      <c r="A289" s="10"/>
      <c r="B289" s="13"/>
      <c r="C289" s="13"/>
    </row>
    <row r="290" spans="1:3" ht="13" x14ac:dyDescent="0.15">
      <c r="A290" s="10"/>
      <c r="B290" s="13"/>
      <c r="C290" s="13"/>
    </row>
    <row r="291" spans="1:3" ht="13" x14ac:dyDescent="0.15">
      <c r="A291" s="10"/>
      <c r="B291" s="13"/>
      <c r="C291" s="13"/>
    </row>
    <row r="292" spans="1:3" ht="13" x14ac:dyDescent="0.15">
      <c r="A292" s="10"/>
      <c r="B292" s="13"/>
      <c r="C292" s="13"/>
    </row>
    <row r="293" spans="1:3" ht="13" x14ac:dyDescent="0.15">
      <c r="A293" s="10"/>
      <c r="B293" s="13"/>
      <c r="C293" s="13"/>
    </row>
    <row r="294" spans="1:3" ht="13" x14ac:dyDescent="0.15">
      <c r="A294" s="10"/>
      <c r="B294" s="13"/>
      <c r="C294" s="13"/>
    </row>
    <row r="295" spans="1:3" ht="13" x14ac:dyDescent="0.15">
      <c r="A295" s="10"/>
      <c r="B295" s="13"/>
      <c r="C295" s="13"/>
    </row>
    <row r="296" spans="1:3" ht="13" x14ac:dyDescent="0.15">
      <c r="A296" s="10"/>
      <c r="B296" s="13"/>
      <c r="C296" s="13"/>
    </row>
    <row r="297" spans="1:3" ht="13" x14ac:dyDescent="0.15">
      <c r="A297" s="10"/>
      <c r="B297" s="13"/>
      <c r="C297" s="13"/>
    </row>
    <row r="298" spans="1:3" ht="13" x14ac:dyDescent="0.15">
      <c r="A298" s="10"/>
      <c r="B298" s="13"/>
      <c r="C298" s="13"/>
    </row>
    <row r="299" spans="1:3" ht="13" x14ac:dyDescent="0.15">
      <c r="A299" s="10"/>
      <c r="B299" s="13"/>
      <c r="C299" s="13"/>
    </row>
    <row r="300" spans="1:3" ht="13" x14ac:dyDescent="0.15">
      <c r="A300" s="10"/>
      <c r="B300" s="13"/>
      <c r="C300" s="13"/>
    </row>
    <row r="301" spans="1:3" ht="13" x14ac:dyDescent="0.15">
      <c r="A301" s="10"/>
      <c r="B301" s="13"/>
      <c r="C301" s="13"/>
    </row>
    <row r="302" spans="1:3" ht="13" x14ac:dyDescent="0.15">
      <c r="A302" s="10"/>
      <c r="B302" s="13"/>
      <c r="C302" s="13"/>
    </row>
    <row r="303" spans="1:3" ht="13" x14ac:dyDescent="0.15">
      <c r="A303" s="10"/>
      <c r="B303" s="13"/>
      <c r="C303" s="13"/>
    </row>
    <row r="304" spans="1:3" ht="13" x14ac:dyDescent="0.15">
      <c r="A304" s="10"/>
      <c r="B304" s="13"/>
      <c r="C304" s="13"/>
    </row>
    <row r="305" spans="1:3" ht="13" x14ac:dyDescent="0.15">
      <c r="A305" s="10"/>
      <c r="B305" s="13"/>
      <c r="C305" s="13"/>
    </row>
    <row r="306" spans="1:3" ht="13" x14ac:dyDescent="0.15">
      <c r="A306" s="10"/>
      <c r="B306" s="13"/>
      <c r="C306" s="13"/>
    </row>
    <row r="307" spans="1:3" ht="13" x14ac:dyDescent="0.15">
      <c r="A307" s="10"/>
      <c r="B307" s="13"/>
      <c r="C307" s="13"/>
    </row>
    <row r="308" spans="1:3" ht="13" x14ac:dyDescent="0.15">
      <c r="A308" s="10"/>
      <c r="B308" s="13"/>
      <c r="C308" s="13"/>
    </row>
    <row r="309" spans="1:3" ht="13" x14ac:dyDescent="0.15">
      <c r="A309" s="10"/>
      <c r="B309" s="13"/>
      <c r="C309" s="13"/>
    </row>
    <row r="310" spans="1:3" ht="13" x14ac:dyDescent="0.15">
      <c r="A310" s="10"/>
      <c r="B310" s="13"/>
      <c r="C310" s="13"/>
    </row>
    <row r="311" spans="1:3" ht="13" x14ac:dyDescent="0.15">
      <c r="A311" s="10"/>
      <c r="B311" s="13"/>
      <c r="C311" s="13"/>
    </row>
    <row r="312" spans="1:3" ht="13" x14ac:dyDescent="0.15">
      <c r="A312" s="10"/>
      <c r="B312" s="13"/>
      <c r="C312" s="13"/>
    </row>
    <row r="313" spans="1:3" ht="13" x14ac:dyDescent="0.15">
      <c r="A313" s="10"/>
      <c r="B313" s="13"/>
      <c r="C313" s="13"/>
    </row>
    <row r="314" spans="1:3" ht="13" x14ac:dyDescent="0.15">
      <c r="A314" s="10"/>
      <c r="B314" s="13"/>
      <c r="C314" s="13"/>
    </row>
    <row r="315" spans="1:3" ht="13" x14ac:dyDescent="0.15">
      <c r="A315" s="10"/>
      <c r="B315" s="13"/>
      <c r="C315" s="13"/>
    </row>
    <row r="316" spans="1:3" ht="13" x14ac:dyDescent="0.15">
      <c r="A316" s="10"/>
      <c r="B316" s="13"/>
      <c r="C316" s="13"/>
    </row>
    <row r="317" spans="1:3" ht="13" x14ac:dyDescent="0.15">
      <c r="A317" s="10"/>
      <c r="B317" s="13"/>
      <c r="C317" s="13"/>
    </row>
    <row r="318" spans="1:3" ht="13" x14ac:dyDescent="0.15">
      <c r="A318" s="10"/>
      <c r="B318" s="13"/>
      <c r="C318" s="13"/>
    </row>
    <row r="319" spans="1:3" ht="13" x14ac:dyDescent="0.15">
      <c r="A319" s="10"/>
      <c r="B319" s="13"/>
      <c r="C319" s="13"/>
    </row>
    <row r="320" spans="1:3" ht="13" x14ac:dyDescent="0.15">
      <c r="A320" s="10"/>
      <c r="B320" s="13"/>
      <c r="C320" s="13"/>
    </row>
    <row r="321" spans="1:3" ht="13" x14ac:dyDescent="0.15">
      <c r="A321" s="10"/>
      <c r="B321" s="13"/>
      <c r="C321" s="13"/>
    </row>
    <row r="322" spans="1:3" ht="13" x14ac:dyDescent="0.15">
      <c r="A322" s="10"/>
      <c r="B322" s="13"/>
      <c r="C322" s="13"/>
    </row>
    <row r="323" spans="1:3" ht="13" x14ac:dyDescent="0.15">
      <c r="A323" s="10"/>
      <c r="B323" s="13"/>
      <c r="C323" s="13"/>
    </row>
    <row r="324" spans="1:3" ht="13" x14ac:dyDescent="0.15">
      <c r="A324" s="10"/>
      <c r="B324" s="13"/>
      <c r="C324" s="13"/>
    </row>
    <row r="325" spans="1:3" ht="13" x14ac:dyDescent="0.15">
      <c r="A325" s="10"/>
      <c r="B325" s="13"/>
      <c r="C325" s="13"/>
    </row>
    <row r="326" spans="1:3" ht="13" x14ac:dyDescent="0.15">
      <c r="A326" s="10"/>
      <c r="B326" s="13"/>
      <c r="C326" s="13"/>
    </row>
    <row r="327" spans="1:3" ht="13" x14ac:dyDescent="0.15">
      <c r="A327" s="10"/>
      <c r="B327" s="13"/>
      <c r="C327" s="13"/>
    </row>
    <row r="328" spans="1:3" ht="13" x14ac:dyDescent="0.15">
      <c r="A328" s="10"/>
      <c r="B328" s="13"/>
      <c r="C328" s="13"/>
    </row>
    <row r="329" spans="1:3" ht="13" x14ac:dyDescent="0.15">
      <c r="A329" s="10"/>
      <c r="B329" s="13"/>
      <c r="C329" s="13"/>
    </row>
    <row r="330" spans="1:3" ht="13" x14ac:dyDescent="0.15">
      <c r="A330" s="10"/>
      <c r="B330" s="13"/>
      <c r="C330" s="13"/>
    </row>
    <row r="331" spans="1:3" ht="13" x14ac:dyDescent="0.15">
      <c r="A331" s="10"/>
      <c r="B331" s="13"/>
      <c r="C331" s="13"/>
    </row>
    <row r="332" spans="1:3" ht="13" x14ac:dyDescent="0.15">
      <c r="A332" s="10"/>
      <c r="B332" s="13"/>
      <c r="C332" s="13"/>
    </row>
    <row r="333" spans="1:3" ht="13" x14ac:dyDescent="0.15">
      <c r="A333" s="10"/>
      <c r="B333" s="13"/>
      <c r="C333" s="13"/>
    </row>
    <row r="334" spans="1:3" ht="13" x14ac:dyDescent="0.15">
      <c r="A334" s="10"/>
      <c r="B334" s="13"/>
      <c r="C334" s="13"/>
    </row>
    <row r="335" spans="1:3" ht="13" x14ac:dyDescent="0.15">
      <c r="A335" s="10"/>
      <c r="B335" s="13"/>
      <c r="C335" s="13"/>
    </row>
    <row r="336" spans="1:3" ht="13" x14ac:dyDescent="0.15">
      <c r="A336" s="10"/>
      <c r="B336" s="13"/>
      <c r="C336" s="13"/>
    </row>
    <row r="337" spans="1:3" ht="13" x14ac:dyDescent="0.15">
      <c r="A337" s="10"/>
      <c r="B337" s="13"/>
      <c r="C337" s="13"/>
    </row>
    <row r="338" spans="1:3" ht="13" x14ac:dyDescent="0.15">
      <c r="A338" s="10"/>
      <c r="B338" s="13"/>
      <c r="C338" s="13"/>
    </row>
    <row r="339" spans="1:3" ht="13" x14ac:dyDescent="0.15">
      <c r="A339" s="10"/>
      <c r="B339" s="13"/>
      <c r="C339" s="13"/>
    </row>
    <row r="340" spans="1:3" ht="13" x14ac:dyDescent="0.15">
      <c r="A340" s="10"/>
      <c r="B340" s="13"/>
      <c r="C340" s="13"/>
    </row>
    <row r="341" spans="1:3" ht="13" x14ac:dyDescent="0.15">
      <c r="A341" s="10"/>
      <c r="B341" s="13"/>
      <c r="C341" s="13"/>
    </row>
    <row r="342" spans="1:3" ht="13" x14ac:dyDescent="0.15">
      <c r="A342" s="10"/>
      <c r="B342" s="13"/>
      <c r="C342" s="13"/>
    </row>
    <row r="343" spans="1:3" ht="13" x14ac:dyDescent="0.15">
      <c r="A343" s="10"/>
      <c r="B343" s="13"/>
      <c r="C343" s="13"/>
    </row>
    <row r="344" spans="1:3" ht="13" x14ac:dyDescent="0.15">
      <c r="A344" s="10"/>
      <c r="B344" s="13"/>
      <c r="C344" s="13"/>
    </row>
    <row r="345" spans="1:3" ht="13" x14ac:dyDescent="0.15">
      <c r="A345" s="10"/>
      <c r="B345" s="13"/>
      <c r="C345" s="13"/>
    </row>
    <row r="346" spans="1:3" ht="13" x14ac:dyDescent="0.15">
      <c r="A346" s="10"/>
      <c r="B346" s="13"/>
      <c r="C346" s="13"/>
    </row>
    <row r="347" spans="1:3" ht="13" x14ac:dyDescent="0.15">
      <c r="A347" s="10"/>
      <c r="B347" s="13"/>
      <c r="C347" s="13"/>
    </row>
    <row r="348" spans="1:3" ht="13" x14ac:dyDescent="0.15">
      <c r="A348" s="10"/>
      <c r="B348" s="13"/>
      <c r="C348" s="13"/>
    </row>
    <row r="349" spans="1:3" ht="13" x14ac:dyDescent="0.15">
      <c r="A349" s="10"/>
      <c r="B349" s="13"/>
      <c r="C349" s="13"/>
    </row>
    <row r="350" spans="1:3" ht="13" x14ac:dyDescent="0.15">
      <c r="A350" s="10"/>
      <c r="B350" s="13"/>
      <c r="C350" s="13"/>
    </row>
    <row r="351" spans="1:3" ht="13" x14ac:dyDescent="0.15">
      <c r="A351" s="10"/>
      <c r="B351" s="13"/>
      <c r="C351" s="13"/>
    </row>
    <row r="352" spans="1:3" ht="13" x14ac:dyDescent="0.15">
      <c r="A352" s="10"/>
      <c r="B352" s="13"/>
      <c r="C352" s="13"/>
    </row>
    <row r="353" spans="1:3" ht="13" x14ac:dyDescent="0.15">
      <c r="A353" s="10"/>
      <c r="B353" s="13"/>
      <c r="C353" s="13"/>
    </row>
    <row r="354" spans="1:3" ht="13" x14ac:dyDescent="0.15">
      <c r="A354" s="10"/>
      <c r="B354" s="13"/>
      <c r="C354" s="13"/>
    </row>
    <row r="355" spans="1:3" ht="13" x14ac:dyDescent="0.15">
      <c r="A355" s="10"/>
      <c r="B355" s="13"/>
      <c r="C355" s="13"/>
    </row>
    <row r="356" spans="1:3" ht="13" x14ac:dyDescent="0.15">
      <c r="A356" s="10"/>
      <c r="B356" s="13"/>
      <c r="C356" s="13"/>
    </row>
    <row r="357" spans="1:3" ht="13" x14ac:dyDescent="0.15">
      <c r="A357" s="10"/>
      <c r="B357" s="13"/>
      <c r="C357" s="13"/>
    </row>
    <row r="358" spans="1:3" ht="13" x14ac:dyDescent="0.15">
      <c r="A358" s="10"/>
      <c r="B358" s="13"/>
      <c r="C358" s="13"/>
    </row>
    <row r="359" spans="1:3" ht="13" x14ac:dyDescent="0.15">
      <c r="A359" s="10"/>
      <c r="B359" s="13"/>
      <c r="C359" s="13"/>
    </row>
    <row r="360" spans="1:3" ht="13" x14ac:dyDescent="0.15">
      <c r="A360" s="10"/>
      <c r="B360" s="13"/>
      <c r="C360" s="13"/>
    </row>
    <row r="361" spans="1:3" ht="13" x14ac:dyDescent="0.15">
      <c r="A361" s="10"/>
      <c r="B361" s="13"/>
      <c r="C361" s="13"/>
    </row>
    <row r="362" spans="1:3" ht="13" x14ac:dyDescent="0.15">
      <c r="A362" s="10"/>
      <c r="B362" s="13"/>
      <c r="C362" s="13"/>
    </row>
    <row r="363" spans="1:3" ht="13" x14ac:dyDescent="0.15">
      <c r="A363" s="10"/>
      <c r="B363" s="13"/>
      <c r="C363" s="13"/>
    </row>
    <row r="364" spans="1:3" ht="13" x14ac:dyDescent="0.15">
      <c r="A364" s="10"/>
      <c r="B364" s="13"/>
      <c r="C364" s="13"/>
    </row>
    <row r="365" spans="1:3" ht="13" x14ac:dyDescent="0.15">
      <c r="A365" s="10"/>
      <c r="B365" s="13"/>
      <c r="C365" s="13"/>
    </row>
    <row r="366" spans="1:3" ht="13" x14ac:dyDescent="0.15">
      <c r="A366" s="10"/>
      <c r="B366" s="13"/>
      <c r="C366" s="13"/>
    </row>
    <row r="367" spans="1:3" ht="13" x14ac:dyDescent="0.15">
      <c r="A367" s="10"/>
      <c r="B367" s="13"/>
      <c r="C367" s="13"/>
    </row>
    <row r="368" spans="1:3" ht="13" x14ac:dyDescent="0.15">
      <c r="A368" s="10"/>
      <c r="B368" s="13"/>
      <c r="C368" s="13"/>
    </row>
    <row r="369" spans="1:3" ht="13" x14ac:dyDescent="0.15">
      <c r="A369" s="10"/>
      <c r="B369" s="13"/>
      <c r="C369" s="13"/>
    </row>
    <row r="370" spans="1:3" ht="13" x14ac:dyDescent="0.15">
      <c r="A370" s="10"/>
      <c r="B370" s="13"/>
      <c r="C370" s="13"/>
    </row>
    <row r="371" spans="1:3" ht="13" x14ac:dyDescent="0.15">
      <c r="A371" s="10"/>
      <c r="B371" s="13"/>
      <c r="C371" s="13"/>
    </row>
    <row r="372" spans="1:3" ht="13" x14ac:dyDescent="0.15">
      <c r="A372" s="10"/>
      <c r="B372" s="13"/>
      <c r="C372" s="13"/>
    </row>
    <row r="373" spans="1:3" ht="13" x14ac:dyDescent="0.15">
      <c r="A373" s="10"/>
      <c r="B373" s="13"/>
      <c r="C373" s="13"/>
    </row>
    <row r="374" spans="1:3" ht="13" x14ac:dyDescent="0.15">
      <c r="A374" s="10"/>
      <c r="B374" s="13"/>
      <c r="C374" s="13"/>
    </row>
    <row r="375" spans="1:3" ht="13" x14ac:dyDescent="0.15">
      <c r="A375" s="10"/>
      <c r="B375" s="13"/>
      <c r="C375" s="13"/>
    </row>
    <row r="376" spans="1:3" ht="13" x14ac:dyDescent="0.15">
      <c r="A376" s="10"/>
      <c r="B376" s="13"/>
      <c r="C376" s="13"/>
    </row>
    <row r="377" spans="1:3" ht="13" x14ac:dyDescent="0.15">
      <c r="A377" s="10"/>
      <c r="B377" s="13"/>
      <c r="C377" s="13"/>
    </row>
    <row r="378" spans="1:3" ht="13" x14ac:dyDescent="0.15">
      <c r="A378" s="10"/>
      <c r="B378" s="13"/>
      <c r="C378" s="13"/>
    </row>
    <row r="379" spans="1:3" ht="13" x14ac:dyDescent="0.15">
      <c r="A379" s="10"/>
      <c r="B379" s="13"/>
      <c r="C379" s="13"/>
    </row>
    <row r="380" spans="1:3" ht="13" x14ac:dyDescent="0.15">
      <c r="A380" s="10"/>
      <c r="B380" s="13"/>
      <c r="C380" s="13"/>
    </row>
    <row r="381" spans="1:3" ht="13" x14ac:dyDescent="0.15">
      <c r="A381" s="10"/>
      <c r="B381" s="13"/>
      <c r="C381" s="13"/>
    </row>
    <row r="382" spans="1:3" ht="13" x14ac:dyDescent="0.15">
      <c r="A382" s="10"/>
      <c r="B382" s="13"/>
      <c r="C382" s="13"/>
    </row>
    <row r="383" spans="1:3" ht="13" x14ac:dyDescent="0.15">
      <c r="A383" s="10"/>
      <c r="B383" s="13"/>
      <c r="C383" s="13"/>
    </row>
    <row r="384" spans="1:3" ht="13" x14ac:dyDescent="0.15">
      <c r="A384" s="10"/>
      <c r="B384" s="13"/>
      <c r="C384" s="13"/>
    </row>
    <row r="385" spans="1:3" ht="13" x14ac:dyDescent="0.15">
      <c r="A385" s="10"/>
      <c r="B385" s="13"/>
      <c r="C385" s="13"/>
    </row>
    <row r="386" spans="1:3" ht="13" x14ac:dyDescent="0.15">
      <c r="A386" s="10"/>
      <c r="B386" s="13"/>
      <c r="C386" s="13"/>
    </row>
    <row r="387" spans="1:3" ht="13" x14ac:dyDescent="0.15">
      <c r="A387" s="10"/>
      <c r="B387" s="13"/>
      <c r="C387" s="13"/>
    </row>
    <row r="388" spans="1:3" ht="13" x14ac:dyDescent="0.15">
      <c r="A388" s="10"/>
      <c r="B388" s="13"/>
      <c r="C388" s="13"/>
    </row>
    <row r="389" spans="1:3" ht="13" x14ac:dyDescent="0.15">
      <c r="A389" s="10"/>
      <c r="B389" s="13"/>
      <c r="C389" s="13"/>
    </row>
    <row r="390" spans="1:3" ht="13" x14ac:dyDescent="0.15">
      <c r="A390" s="10"/>
      <c r="B390" s="13"/>
      <c r="C390" s="13"/>
    </row>
    <row r="391" spans="1:3" ht="13" x14ac:dyDescent="0.15">
      <c r="A391" s="10"/>
      <c r="B391" s="13"/>
      <c r="C391" s="13"/>
    </row>
    <row r="392" spans="1:3" ht="13" x14ac:dyDescent="0.15">
      <c r="A392" s="10"/>
      <c r="B392" s="13"/>
      <c r="C392" s="13"/>
    </row>
    <row r="393" spans="1:3" ht="13" x14ac:dyDescent="0.15">
      <c r="A393" s="10"/>
      <c r="B393" s="13"/>
      <c r="C393" s="13"/>
    </row>
    <row r="394" spans="1:3" ht="13" x14ac:dyDescent="0.15">
      <c r="A394" s="10"/>
      <c r="B394" s="13"/>
      <c r="C394" s="13"/>
    </row>
    <row r="395" spans="1:3" ht="13" x14ac:dyDescent="0.15">
      <c r="A395" s="10"/>
      <c r="B395" s="13"/>
      <c r="C395" s="13"/>
    </row>
    <row r="396" spans="1:3" ht="13" x14ac:dyDescent="0.15">
      <c r="A396" s="10"/>
      <c r="B396" s="13"/>
      <c r="C396" s="13"/>
    </row>
    <row r="397" spans="1:3" ht="13" x14ac:dyDescent="0.15">
      <c r="A397" s="10"/>
      <c r="B397" s="13"/>
      <c r="C397" s="13"/>
    </row>
    <row r="398" spans="1:3" ht="13" x14ac:dyDescent="0.15">
      <c r="A398" s="10"/>
      <c r="B398" s="13"/>
      <c r="C398" s="13"/>
    </row>
    <row r="399" spans="1:3" ht="13" x14ac:dyDescent="0.15">
      <c r="A399" s="10"/>
      <c r="B399" s="13"/>
      <c r="C399" s="13"/>
    </row>
    <row r="400" spans="1:3" ht="13" x14ac:dyDescent="0.15">
      <c r="A400" s="10"/>
      <c r="B400" s="13"/>
      <c r="C400" s="13"/>
    </row>
    <row r="401" spans="1:3" ht="13" x14ac:dyDescent="0.15">
      <c r="A401" s="10"/>
      <c r="B401" s="13"/>
      <c r="C401" s="13"/>
    </row>
    <row r="402" spans="1:3" ht="13" x14ac:dyDescent="0.15">
      <c r="A402" s="10"/>
      <c r="B402" s="13"/>
      <c r="C402" s="13"/>
    </row>
    <row r="403" spans="1:3" ht="13" x14ac:dyDescent="0.15">
      <c r="A403" s="10"/>
      <c r="B403" s="13"/>
      <c r="C403" s="13"/>
    </row>
    <row r="404" spans="1:3" ht="13" x14ac:dyDescent="0.15">
      <c r="A404" s="10"/>
      <c r="B404" s="13"/>
      <c r="C404" s="13"/>
    </row>
    <row r="405" spans="1:3" ht="13" x14ac:dyDescent="0.15">
      <c r="A405" s="10"/>
      <c r="B405" s="13"/>
      <c r="C405" s="13"/>
    </row>
    <row r="406" spans="1:3" ht="13" x14ac:dyDescent="0.15">
      <c r="A406" s="10"/>
      <c r="B406" s="13"/>
      <c r="C406" s="13"/>
    </row>
    <row r="407" spans="1:3" ht="13" x14ac:dyDescent="0.15">
      <c r="A407" s="10"/>
      <c r="B407" s="13"/>
      <c r="C407" s="13"/>
    </row>
    <row r="408" spans="1:3" ht="13" x14ac:dyDescent="0.15">
      <c r="A408" s="10"/>
      <c r="B408" s="13"/>
      <c r="C408" s="13"/>
    </row>
    <row r="409" spans="1:3" ht="13" x14ac:dyDescent="0.15">
      <c r="A409" s="10"/>
      <c r="B409" s="13"/>
      <c r="C409" s="13"/>
    </row>
    <row r="410" spans="1:3" ht="13" x14ac:dyDescent="0.15">
      <c r="A410" s="10"/>
      <c r="B410" s="13"/>
      <c r="C410" s="13"/>
    </row>
    <row r="411" spans="1:3" ht="13" x14ac:dyDescent="0.15">
      <c r="A411" s="10"/>
      <c r="B411" s="13"/>
      <c r="C411" s="13"/>
    </row>
    <row r="412" spans="1:3" ht="13" x14ac:dyDescent="0.15">
      <c r="A412" s="10"/>
      <c r="B412" s="13"/>
      <c r="C412" s="13"/>
    </row>
    <row r="413" spans="1:3" ht="13" x14ac:dyDescent="0.15">
      <c r="A413" s="10"/>
      <c r="B413" s="13"/>
      <c r="C413" s="13"/>
    </row>
    <row r="414" spans="1:3" ht="13" x14ac:dyDescent="0.15">
      <c r="A414" s="10"/>
      <c r="B414" s="13"/>
      <c r="C414" s="13"/>
    </row>
    <row r="415" spans="1:3" ht="13" x14ac:dyDescent="0.15">
      <c r="A415" s="10"/>
      <c r="B415" s="13"/>
      <c r="C415" s="13"/>
    </row>
    <row r="416" spans="1:3" ht="13" x14ac:dyDescent="0.15">
      <c r="A416" s="10"/>
      <c r="B416" s="13"/>
      <c r="C416" s="13"/>
    </row>
    <row r="417" spans="1:3" ht="13" x14ac:dyDescent="0.15">
      <c r="A417" s="10"/>
      <c r="B417" s="13"/>
      <c r="C417" s="13"/>
    </row>
    <row r="418" spans="1:3" ht="13" x14ac:dyDescent="0.15">
      <c r="A418" s="10"/>
      <c r="B418" s="13"/>
      <c r="C418" s="13"/>
    </row>
    <row r="419" spans="1:3" ht="13" x14ac:dyDescent="0.15">
      <c r="A419" s="10"/>
      <c r="B419" s="13"/>
      <c r="C419" s="13"/>
    </row>
    <row r="420" spans="1:3" ht="13" x14ac:dyDescent="0.15">
      <c r="A420" s="10"/>
      <c r="B420" s="13"/>
      <c r="C420" s="13"/>
    </row>
    <row r="421" spans="1:3" ht="13" x14ac:dyDescent="0.15">
      <c r="A421" s="10"/>
      <c r="B421" s="13"/>
      <c r="C421" s="13"/>
    </row>
    <row r="422" spans="1:3" ht="13" x14ac:dyDescent="0.15">
      <c r="A422" s="10"/>
      <c r="B422" s="13"/>
      <c r="C422" s="13"/>
    </row>
    <row r="423" spans="1:3" ht="13" x14ac:dyDescent="0.15">
      <c r="A423" s="10"/>
      <c r="B423" s="13"/>
      <c r="C423" s="13"/>
    </row>
    <row r="424" spans="1:3" ht="13" x14ac:dyDescent="0.15">
      <c r="A424" s="10"/>
      <c r="B424" s="13"/>
      <c r="C424" s="13"/>
    </row>
    <row r="425" spans="1:3" ht="13" x14ac:dyDescent="0.15">
      <c r="A425" s="10"/>
      <c r="B425" s="13"/>
      <c r="C425" s="13"/>
    </row>
    <row r="426" spans="1:3" ht="13" x14ac:dyDescent="0.15">
      <c r="A426" s="10"/>
      <c r="B426" s="13"/>
      <c r="C426" s="13"/>
    </row>
    <row r="427" spans="1:3" ht="13" x14ac:dyDescent="0.15">
      <c r="A427" s="10"/>
      <c r="B427" s="13"/>
      <c r="C427" s="13"/>
    </row>
    <row r="428" spans="1:3" ht="13" x14ac:dyDescent="0.15">
      <c r="A428" s="10"/>
      <c r="B428" s="13"/>
      <c r="C428" s="13"/>
    </row>
    <row r="429" spans="1:3" ht="13" x14ac:dyDescent="0.15">
      <c r="A429" s="10"/>
      <c r="B429" s="13"/>
      <c r="C429" s="13"/>
    </row>
    <row r="430" spans="1:3" ht="13" x14ac:dyDescent="0.15">
      <c r="A430" s="10"/>
      <c r="B430" s="13"/>
      <c r="C430" s="13"/>
    </row>
    <row r="431" spans="1:3" ht="13" x14ac:dyDescent="0.15">
      <c r="A431" s="10"/>
      <c r="B431" s="13"/>
      <c r="C431" s="13"/>
    </row>
    <row r="432" spans="1:3" ht="13" x14ac:dyDescent="0.15">
      <c r="A432" s="10"/>
      <c r="B432" s="13"/>
      <c r="C432" s="13"/>
    </row>
    <row r="433" spans="1:3" ht="13" x14ac:dyDescent="0.15">
      <c r="A433" s="10"/>
      <c r="B433" s="13"/>
      <c r="C433" s="13"/>
    </row>
    <row r="434" spans="1:3" ht="13" x14ac:dyDescent="0.15">
      <c r="A434" s="10"/>
      <c r="B434" s="13"/>
      <c r="C434" s="13"/>
    </row>
    <row r="435" spans="1:3" ht="13" x14ac:dyDescent="0.15">
      <c r="A435" s="10"/>
      <c r="B435" s="13"/>
      <c r="C435" s="13"/>
    </row>
    <row r="436" spans="1:3" ht="13" x14ac:dyDescent="0.15">
      <c r="A436" s="10"/>
      <c r="B436" s="13"/>
      <c r="C436" s="13"/>
    </row>
    <row r="437" spans="1:3" ht="13" x14ac:dyDescent="0.15">
      <c r="A437" s="10"/>
      <c r="B437" s="13"/>
      <c r="C437" s="13"/>
    </row>
    <row r="438" spans="1:3" ht="13" x14ac:dyDescent="0.15">
      <c r="A438" s="10"/>
      <c r="B438" s="13"/>
      <c r="C438" s="13"/>
    </row>
    <row r="439" spans="1:3" ht="13" x14ac:dyDescent="0.15">
      <c r="A439" s="10"/>
      <c r="B439" s="13"/>
      <c r="C439" s="13"/>
    </row>
    <row r="440" spans="1:3" ht="13" x14ac:dyDescent="0.15">
      <c r="A440" s="10"/>
      <c r="B440" s="13"/>
      <c r="C440" s="13"/>
    </row>
    <row r="441" spans="1:3" ht="13" x14ac:dyDescent="0.15">
      <c r="A441" s="10"/>
      <c r="B441" s="13"/>
      <c r="C441" s="13"/>
    </row>
    <row r="442" spans="1:3" ht="13" x14ac:dyDescent="0.15">
      <c r="A442" s="10"/>
      <c r="B442" s="13"/>
      <c r="C442" s="13"/>
    </row>
    <row r="443" spans="1:3" ht="13" x14ac:dyDescent="0.15">
      <c r="A443" s="10"/>
      <c r="B443" s="13"/>
      <c r="C443" s="13"/>
    </row>
    <row r="444" spans="1:3" ht="13" x14ac:dyDescent="0.15">
      <c r="A444" s="10"/>
      <c r="B444" s="13"/>
      <c r="C444" s="13"/>
    </row>
    <row r="445" spans="1:3" ht="13" x14ac:dyDescent="0.15">
      <c r="A445" s="10"/>
      <c r="B445" s="13"/>
      <c r="C445" s="13"/>
    </row>
    <row r="446" spans="1:3" ht="13" x14ac:dyDescent="0.15">
      <c r="A446" s="10"/>
      <c r="B446" s="13"/>
      <c r="C446" s="13"/>
    </row>
    <row r="447" spans="1:3" ht="13" x14ac:dyDescent="0.15">
      <c r="A447" s="10"/>
      <c r="B447" s="13"/>
      <c r="C447" s="13"/>
    </row>
    <row r="448" spans="1:3" ht="13" x14ac:dyDescent="0.15">
      <c r="A448" s="10"/>
      <c r="B448" s="13"/>
      <c r="C448" s="13"/>
    </row>
    <row r="449" spans="1:3" ht="13" x14ac:dyDescent="0.15">
      <c r="A449" s="10"/>
      <c r="B449" s="13"/>
      <c r="C449" s="13"/>
    </row>
    <row r="450" spans="1:3" ht="13" x14ac:dyDescent="0.15">
      <c r="A450" s="10"/>
      <c r="B450" s="13"/>
      <c r="C450" s="13"/>
    </row>
    <row r="451" spans="1:3" ht="13" x14ac:dyDescent="0.15">
      <c r="A451" s="10"/>
      <c r="B451" s="13"/>
      <c r="C451" s="13"/>
    </row>
    <row r="452" spans="1:3" ht="13" x14ac:dyDescent="0.15">
      <c r="A452" s="10"/>
      <c r="B452" s="13"/>
      <c r="C452" s="13"/>
    </row>
    <row r="453" spans="1:3" ht="13" x14ac:dyDescent="0.15">
      <c r="A453" s="10"/>
      <c r="B453" s="13"/>
      <c r="C453" s="13"/>
    </row>
    <row r="454" spans="1:3" ht="13" x14ac:dyDescent="0.15">
      <c r="A454" s="10"/>
      <c r="B454" s="13"/>
      <c r="C454" s="13"/>
    </row>
    <row r="455" spans="1:3" ht="13" x14ac:dyDescent="0.15">
      <c r="A455" s="10"/>
      <c r="B455" s="13"/>
      <c r="C455" s="13"/>
    </row>
    <row r="456" spans="1:3" ht="13" x14ac:dyDescent="0.15">
      <c r="A456" s="10"/>
      <c r="B456" s="13"/>
      <c r="C456" s="13"/>
    </row>
    <row r="457" spans="1:3" ht="13" x14ac:dyDescent="0.15">
      <c r="A457" s="10"/>
      <c r="B457" s="13"/>
      <c r="C457" s="13"/>
    </row>
    <row r="458" spans="1:3" ht="13" x14ac:dyDescent="0.15">
      <c r="A458" s="10"/>
      <c r="B458" s="13"/>
      <c r="C458" s="13"/>
    </row>
    <row r="459" spans="1:3" ht="13" x14ac:dyDescent="0.15">
      <c r="A459" s="10"/>
      <c r="B459" s="13"/>
      <c r="C459" s="13"/>
    </row>
    <row r="460" spans="1:3" ht="13" x14ac:dyDescent="0.15">
      <c r="A460" s="10"/>
      <c r="B460" s="13"/>
      <c r="C460" s="13"/>
    </row>
    <row r="461" spans="1:3" ht="13" x14ac:dyDescent="0.15">
      <c r="A461" s="10"/>
      <c r="B461" s="13"/>
      <c r="C461" s="13"/>
    </row>
    <row r="462" spans="1:3" ht="13" x14ac:dyDescent="0.15">
      <c r="A462" s="10"/>
      <c r="B462" s="13"/>
      <c r="C462" s="13"/>
    </row>
    <row r="463" spans="1:3" ht="13" x14ac:dyDescent="0.15">
      <c r="A463" s="10"/>
      <c r="B463" s="13"/>
      <c r="C463" s="13"/>
    </row>
    <row r="464" spans="1:3" ht="13" x14ac:dyDescent="0.15">
      <c r="A464" s="10"/>
      <c r="B464" s="13"/>
      <c r="C464" s="13"/>
    </row>
    <row r="465" spans="1:3" ht="13" x14ac:dyDescent="0.15">
      <c r="A465" s="10"/>
      <c r="B465" s="13"/>
      <c r="C465" s="13"/>
    </row>
    <row r="466" spans="1:3" ht="13" x14ac:dyDescent="0.15">
      <c r="A466" s="10"/>
      <c r="B466" s="13"/>
      <c r="C466" s="13"/>
    </row>
    <row r="467" spans="1:3" ht="13" x14ac:dyDescent="0.15">
      <c r="A467" s="10"/>
      <c r="B467" s="13"/>
      <c r="C467" s="13"/>
    </row>
    <row r="468" spans="1:3" ht="13" x14ac:dyDescent="0.15">
      <c r="A468" s="10"/>
      <c r="B468" s="13"/>
      <c r="C468" s="13"/>
    </row>
    <row r="469" spans="1:3" ht="13" x14ac:dyDescent="0.15">
      <c r="A469" s="10"/>
      <c r="B469" s="13"/>
      <c r="C469" s="13"/>
    </row>
    <row r="470" spans="1:3" ht="13" x14ac:dyDescent="0.15">
      <c r="A470" s="10"/>
      <c r="B470" s="13"/>
      <c r="C470" s="13"/>
    </row>
    <row r="471" spans="1:3" ht="13" x14ac:dyDescent="0.15">
      <c r="A471" s="10"/>
      <c r="B471" s="13"/>
      <c r="C471" s="13"/>
    </row>
    <row r="472" spans="1:3" ht="13" x14ac:dyDescent="0.15">
      <c r="A472" s="10"/>
      <c r="B472" s="13"/>
      <c r="C472" s="13"/>
    </row>
    <row r="473" spans="1:3" ht="13" x14ac:dyDescent="0.15">
      <c r="A473" s="10"/>
      <c r="B473" s="13"/>
      <c r="C473" s="13"/>
    </row>
    <row r="474" spans="1:3" ht="13" x14ac:dyDescent="0.15">
      <c r="A474" s="10"/>
      <c r="B474" s="13"/>
      <c r="C474" s="13"/>
    </row>
    <row r="475" spans="1:3" ht="13" x14ac:dyDescent="0.15">
      <c r="A475" s="10"/>
      <c r="B475" s="13"/>
      <c r="C475" s="13"/>
    </row>
    <row r="476" spans="1:3" ht="13" x14ac:dyDescent="0.15">
      <c r="A476" s="10"/>
      <c r="B476" s="13"/>
      <c r="C476" s="13"/>
    </row>
    <row r="477" spans="1:3" ht="13" x14ac:dyDescent="0.15">
      <c r="A477" s="10"/>
      <c r="B477" s="13"/>
      <c r="C477" s="13"/>
    </row>
    <row r="478" spans="1:3" ht="13" x14ac:dyDescent="0.15">
      <c r="A478" s="10"/>
      <c r="B478" s="13"/>
      <c r="C478" s="13"/>
    </row>
    <row r="479" spans="1:3" ht="13" x14ac:dyDescent="0.15">
      <c r="A479" s="10"/>
      <c r="B479" s="13"/>
      <c r="C479" s="13"/>
    </row>
    <row r="480" spans="1:3" ht="13" x14ac:dyDescent="0.15">
      <c r="A480" s="10"/>
      <c r="B480" s="13"/>
      <c r="C480" s="13"/>
    </row>
    <row r="481" spans="1:3" ht="13" x14ac:dyDescent="0.15">
      <c r="A481" s="10"/>
      <c r="B481" s="13"/>
      <c r="C481" s="13"/>
    </row>
    <row r="482" spans="1:3" ht="13" x14ac:dyDescent="0.15">
      <c r="A482" s="10"/>
      <c r="B482" s="13"/>
      <c r="C482" s="13"/>
    </row>
    <row r="483" spans="1:3" ht="13" x14ac:dyDescent="0.15">
      <c r="A483" s="10"/>
      <c r="B483" s="13"/>
      <c r="C483" s="13"/>
    </row>
    <row r="484" spans="1:3" ht="13" x14ac:dyDescent="0.15">
      <c r="A484" s="10"/>
      <c r="B484" s="13"/>
      <c r="C484" s="13"/>
    </row>
    <row r="485" spans="1:3" ht="13" x14ac:dyDescent="0.15">
      <c r="A485" s="10"/>
      <c r="B485" s="13"/>
      <c r="C485" s="13"/>
    </row>
    <row r="486" spans="1:3" ht="13" x14ac:dyDescent="0.15">
      <c r="A486" s="10"/>
      <c r="B486" s="13"/>
      <c r="C486" s="13"/>
    </row>
    <row r="487" spans="1:3" ht="13" x14ac:dyDescent="0.15">
      <c r="A487" s="10"/>
      <c r="B487" s="13"/>
      <c r="C487" s="13"/>
    </row>
    <row r="488" spans="1:3" ht="13" x14ac:dyDescent="0.15">
      <c r="A488" s="10"/>
      <c r="B488" s="13"/>
      <c r="C488" s="13"/>
    </row>
    <row r="489" spans="1:3" ht="13" x14ac:dyDescent="0.15">
      <c r="A489" s="10"/>
      <c r="B489" s="13"/>
      <c r="C489" s="13"/>
    </row>
    <row r="490" spans="1:3" ht="13" x14ac:dyDescent="0.15">
      <c r="A490" s="10"/>
      <c r="B490" s="13"/>
      <c r="C490" s="13"/>
    </row>
    <row r="491" spans="1:3" ht="13" x14ac:dyDescent="0.15">
      <c r="A491" s="10"/>
      <c r="B491" s="13"/>
      <c r="C491" s="13"/>
    </row>
    <row r="492" spans="1:3" ht="13" x14ac:dyDescent="0.15">
      <c r="A492" s="10"/>
      <c r="B492" s="13"/>
      <c r="C492" s="13"/>
    </row>
    <row r="493" spans="1:3" ht="13" x14ac:dyDescent="0.15">
      <c r="A493" s="10"/>
      <c r="B493" s="13"/>
      <c r="C493" s="13"/>
    </row>
    <row r="494" spans="1:3" ht="13" x14ac:dyDescent="0.15">
      <c r="A494" s="10"/>
      <c r="B494" s="13"/>
      <c r="C494" s="13"/>
    </row>
    <row r="495" spans="1:3" ht="13" x14ac:dyDescent="0.15">
      <c r="A495" s="10"/>
      <c r="B495" s="13"/>
      <c r="C495" s="13"/>
    </row>
    <row r="496" spans="1:3" ht="13" x14ac:dyDescent="0.15">
      <c r="A496" s="10"/>
      <c r="B496" s="13"/>
      <c r="C496" s="13"/>
    </row>
    <row r="497" spans="1:3" ht="13" x14ac:dyDescent="0.15">
      <c r="A497" s="10"/>
      <c r="B497" s="13"/>
      <c r="C497" s="13"/>
    </row>
    <row r="498" spans="1:3" ht="13" x14ac:dyDescent="0.15">
      <c r="A498" s="10"/>
      <c r="B498" s="13"/>
      <c r="C498" s="13"/>
    </row>
    <row r="499" spans="1:3" ht="13" x14ac:dyDescent="0.15">
      <c r="A499" s="10"/>
      <c r="B499" s="13"/>
      <c r="C499" s="13"/>
    </row>
    <row r="500" spans="1:3" ht="13" x14ac:dyDescent="0.15">
      <c r="A500" s="10"/>
      <c r="B500" s="13"/>
      <c r="C500" s="13"/>
    </row>
    <row r="501" spans="1:3" ht="13" x14ac:dyDescent="0.15">
      <c r="A501" s="10"/>
      <c r="B501" s="13"/>
      <c r="C501" s="13"/>
    </row>
    <row r="502" spans="1:3" ht="13" x14ac:dyDescent="0.15">
      <c r="A502" s="10"/>
      <c r="B502" s="13"/>
      <c r="C502" s="13"/>
    </row>
    <row r="503" spans="1:3" ht="13" x14ac:dyDescent="0.15">
      <c r="A503" s="10"/>
      <c r="B503" s="13"/>
      <c r="C503" s="13"/>
    </row>
    <row r="504" spans="1:3" ht="13" x14ac:dyDescent="0.15">
      <c r="A504" s="10"/>
      <c r="B504" s="13"/>
      <c r="C504" s="13"/>
    </row>
    <row r="505" spans="1:3" ht="13" x14ac:dyDescent="0.15">
      <c r="A505" s="10"/>
      <c r="B505" s="13"/>
      <c r="C505" s="13"/>
    </row>
    <row r="506" spans="1:3" ht="13" x14ac:dyDescent="0.15">
      <c r="A506" s="10"/>
      <c r="B506" s="13"/>
      <c r="C506" s="13"/>
    </row>
    <row r="507" spans="1:3" ht="13" x14ac:dyDescent="0.15">
      <c r="A507" s="10"/>
      <c r="B507" s="13"/>
      <c r="C507" s="13"/>
    </row>
    <row r="508" spans="1:3" ht="13" x14ac:dyDescent="0.15">
      <c r="A508" s="10"/>
      <c r="B508" s="13"/>
      <c r="C508" s="13"/>
    </row>
    <row r="509" spans="1:3" ht="13" x14ac:dyDescent="0.15">
      <c r="A509" s="10"/>
      <c r="B509" s="13"/>
      <c r="C509" s="13"/>
    </row>
    <row r="510" spans="1:3" ht="13" x14ac:dyDescent="0.15">
      <c r="A510" s="10"/>
      <c r="B510" s="13"/>
      <c r="C510" s="13"/>
    </row>
    <row r="511" spans="1:3" ht="13" x14ac:dyDescent="0.15">
      <c r="A511" s="10"/>
      <c r="B511" s="13"/>
      <c r="C511" s="13"/>
    </row>
    <row r="512" spans="1:3" ht="13" x14ac:dyDescent="0.15">
      <c r="A512" s="10"/>
      <c r="B512" s="13"/>
      <c r="C512" s="13"/>
    </row>
    <row r="513" spans="1:3" ht="13" x14ac:dyDescent="0.15">
      <c r="A513" s="10"/>
      <c r="B513" s="13"/>
      <c r="C513" s="13"/>
    </row>
    <row r="514" spans="1:3" ht="13" x14ac:dyDescent="0.15">
      <c r="A514" s="10"/>
      <c r="B514" s="13"/>
      <c r="C514" s="13"/>
    </row>
    <row r="515" spans="1:3" ht="13" x14ac:dyDescent="0.15">
      <c r="A515" s="10"/>
      <c r="B515" s="13"/>
      <c r="C515" s="13"/>
    </row>
    <row r="516" spans="1:3" ht="13" x14ac:dyDescent="0.15">
      <c r="A516" s="10"/>
      <c r="B516" s="13"/>
      <c r="C516" s="13"/>
    </row>
    <row r="517" spans="1:3" ht="13" x14ac:dyDescent="0.15">
      <c r="A517" s="10"/>
      <c r="B517" s="13"/>
      <c r="C517" s="13"/>
    </row>
    <row r="518" spans="1:3" ht="13" x14ac:dyDescent="0.15">
      <c r="A518" s="10"/>
      <c r="B518" s="13"/>
      <c r="C518" s="13"/>
    </row>
    <row r="519" spans="1:3" ht="13" x14ac:dyDescent="0.15">
      <c r="A519" s="10"/>
      <c r="B519" s="13"/>
      <c r="C519" s="13"/>
    </row>
    <row r="520" spans="1:3" ht="13" x14ac:dyDescent="0.15">
      <c r="A520" s="10"/>
      <c r="B520" s="13"/>
      <c r="C520" s="13"/>
    </row>
    <row r="521" spans="1:3" ht="13" x14ac:dyDescent="0.15">
      <c r="A521" s="10"/>
      <c r="B521" s="13"/>
      <c r="C521" s="13"/>
    </row>
    <row r="522" spans="1:3" ht="13" x14ac:dyDescent="0.15">
      <c r="A522" s="10"/>
      <c r="B522" s="13"/>
      <c r="C522" s="13"/>
    </row>
    <row r="523" spans="1:3" ht="13" x14ac:dyDescent="0.15">
      <c r="A523" s="10"/>
      <c r="B523" s="13"/>
      <c r="C523" s="13"/>
    </row>
    <row r="524" spans="1:3" ht="13" x14ac:dyDescent="0.15">
      <c r="A524" s="10"/>
      <c r="B524" s="13"/>
      <c r="C524" s="13"/>
    </row>
    <row r="525" spans="1:3" ht="13" x14ac:dyDescent="0.15">
      <c r="A525" s="10"/>
      <c r="B525" s="13"/>
      <c r="C525" s="13"/>
    </row>
    <row r="526" spans="1:3" ht="13" x14ac:dyDescent="0.15">
      <c r="A526" s="10"/>
      <c r="B526" s="13"/>
      <c r="C526" s="13"/>
    </row>
    <row r="527" spans="1:3" ht="13" x14ac:dyDescent="0.15">
      <c r="A527" s="10"/>
      <c r="B527" s="13"/>
      <c r="C527" s="13"/>
    </row>
    <row r="528" spans="1:3" ht="13" x14ac:dyDescent="0.15">
      <c r="A528" s="10"/>
      <c r="B528" s="13"/>
      <c r="C528" s="13"/>
    </row>
    <row r="529" spans="1:3" ht="13" x14ac:dyDescent="0.15">
      <c r="A529" s="10"/>
      <c r="B529" s="13"/>
      <c r="C529" s="13"/>
    </row>
    <row r="530" spans="1:3" ht="13" x14ac:dyDescent="0.15">
      <c r="A530" s="10"/>
      <c r="B530" s="13"/>
      <c r="C530" s="13"/>
    </row>
    <row r="531" spans="1:3" ht="13" x14ac:dyDescent="0.15">
      <c r="A531" s="10"/>
      <c r="B531" s="13"/>
      <c r="C531" s="13"/>
    </row>
    <row r="532" spans="1:3" ht="13" x14ac:dyDescent="0.15">
      <c r="A532" s="10"/>
      <c r="B532" s="13"/>
      <c r="C532" s="13"/>
    </row>
    <row r="533" spans="1:3" ht="13" x14ac:dyDescent="0.15">
      <c r="A533" s="10"/>
      <c r="B533" s="13"/>
      <c r="C533" s="13"/>
    </row>
    <row r="534" spans="1:3" ht="13" x14ac:dyDescent="0.15">
      <c r="A534" s="10"/>
      <c r="B534" s="13"/>
      <c r="C534" s="13"/>
    </row>
    <row r="535" spans="1:3" ht="13" x14ac:dyDescent="0.15">
      <c r="A535" s="10"/>
      <c r="B535" s="13"/>
      <c r="C535" s="13"/>
    </row>
    <row r="536" spans="1:3" ht="13" x14ac:dyDescent="0.15">
      <c r="A536" s="10"/>
      <c r="B536" s="13"/>
      <c r="C536" s="13"/>
    </row>
    <row r="537" spans="1:3" ht="13" x14ac:dyDescent="0.15">
      <c r="A537" s="10"/>
      <c r="B537" s="13"/>
      <c r="C537" s="13"/>
    </row>
    <row r="538" spans="1:3" ht="13" x14ac:dyDescent="0.15">
      <c r="A538" s="10"/>
      <c r="B538" s="13"/>
      <c r="C538" s="13"/>
    </row>
    <row r="539" spans="1:3" ht="13" x14ac:dyDescent="0.15">
      <c r="A539" s="10"/>
      <c r="B539" s="13"/>
      <c r="C539" s="13"/>
    </row>
    <row r="540" spans="1:3" ht="13" x14ac:dyDescent="0.15">
      <c r="A540" s="10"/>
      <c r="B540" s="13"/>
      <c r="C540" s="13"/>
    </row>
    <row r="541" spans="1:3" ht="13" x14ac:dyDescent="0.15">
      <c r="A541" s="10"/>
      <c r="B541" s="13"/>
      <c r="C541" s="13"/>
    </row>
    <row r="542" spans="1:3" ht="13" x14ac:dyDescent="0.15">
      <c r="A542" s="10"/>
      <c r="B542" s="13"/>
      <c r="C542" s="13"/>
    </row>
    <row r="543" spans="1:3" ht="13" x14ac:dyDescent="0.15">
      <c r="A543" s="10"/>
      <c r="B543" s="13"/>
      <c r="C543" s="13"/>
    </row>
    <row r="544" spans="1:3" ht="13" x14ac:dyDescent="0.15">
      <c r="A544" s="10"/>
      <c r="B544" s="13"/>
      <c r="C544" s="13"/>
    </row>
    <row r="545" spans="1:3" ht="13" x14ac:dyDescent="0.15">
      <c r="A545" s="10"/>
      <c r="B545" s="13"/>
      <c r="C545" s="13"/>
    </row>
    <row r="546" spans="1:3" ht="13" x14ac:dyDescent="0.15">
      <c r="A546" s="10"/>
      <c r="B546" s="13"/>
      <c r="C546" s="13"/>
    </row>
    <row r="547" spans="1:3" ht="13" x14ac:dyDescent="0.15">
      <c r="A547" s="10"/>
      <c r="B547" s="13"/>
      <c r="C547" s="13"/>
    </row>
    <row r="548" spans="1:3" ht="13" x14ac:dyDescent="0.15">
      <c r="A548" s="10"/>
      <c r="B548" s="13"/>
      <c r="C548" s="13"/>
    </row>
    <row r="549" spans="1:3" ht="13" x14ac:dyDescent="0.15">
      <c r="A549" s="10"/>
      <c r="B549" s="13"/>
      <c r="C549" s="13"/>
    </row>
    <row r="550" spans="1:3" ht="13" x14ac:dyDescent="0.15">
      <c r="A550" s="10"/>
      <c r="B550" s="13"/>
      <c r="C550" s="13"/>
    </row>
    <row r="551" spans="1:3" ht="13" x14ac:dyDescent="0.15">
      <c r="A551" s="10"/>
      <c r="B551" s="13"/>
      <c r="C551" s="13"/>
    </row>
    <row r="552" spans="1:3" ht="13" x14ac:dyDescent="0.15">
      <c r="A552" s="10"/>
      <c r="B552" s="13"/>
      <c r="C552" s="13"/>
    </row>
    <row r="553" spans="1:3" ht="13" x14ac:dyDescent="0.15">
      <c r="A553" s="10"/>
      <c r="B553" s="13"/>
      <c r="C553" s="13"/>
    </row>
    <row r="554" spans="1:3" ht="13" x14ac:dyDescent="0.15">
      <c r="A554" s="10"/>
      <c r="B554" s="13"/>
      <c r="C554" s="13"/>
    </row>
    <row r="555" spans="1:3" ht="13" x14ac:dyDescent="0.15">
      <c r="A555" s="10"/>
      <c r="B555" s="13"/>
      <c r="C555" s="13"/>
    </row>
    <row r="556" spans="1:3" ht="13" x14ac:dyDescent="0.15">
      <c r="A556" s="10"/>
      <c r="B556" s="13"/>
      <c r="C556" s="13"/>
    </row>
    <row r="557" spans="1:3" ht="13" x14ac:dyDescent="0.15">
      <c r="A557" s="10"/>
      <c r="B557" s="13"/>
      <c r="C557" s="13"/>
    </row>
    <row r="558" spans="1:3" ht="13" x14ac:dyDescent="0.15">
      <c r="A558" s="10"/>
      <c r="B558" s="13"/>
      <c r="C558" s="13"/>
    </row>
    <row r="559" spans="1:3" ht="13" x14ac:dyDescent="0.15">
      <c r="A559" s="10"/>
      <c r="B559" s="13"/>
      <c r="C559" s="13"/>
    </row>
    <row r="560" spans="1:3" ht="13" x14ac:dyDescent="0.15">
      <c r="A560" s="10"/>
      <c r="B560" s="13"/>
      <c r="C560" s="13"/>
    </row>
    <row r="561" spans="1:3" ht="13" x14ac:dyDescent="0.15">
      <c r="A561" s="10"/>
      <c r="B561" s="13"/>
      <c r="C561" s="13"/>
    </row>
    <row r="562" spans="1:3" ht="13" x14ac:dyDescent="0.15">
      <c r="A562" s="10"/>
      <c r="B562" s="13"/>
      <c r="C562" s="13"/>
    </row>
    <row r="563" spans="1:3" ht="13" x14ac:dyDescent="0.15">
      <c r="A563" s="10"/>
      <c r="B563" s="13"/>
      <c r="C563" s="13"/>
    </row>
    <row r="564" spans="1:3" ht="13" x14ac:dyDescent="0.15">
      <c r="A564" s="10"/>
      <c r="B564" s="13"/>
      <c r="C564" s="13"/>
    </row>
    <row r="565" spans="1:3" ht="13" x14ac:dyDescent="0.15">
      <c r="A565" s="10"/>
      <c r="B565" s="13"/>
      <c r="C565" s="13"/>
    </row>
    <row r="566" spans="1:3" ht="13" x14ac:dyDescent="0.15">
      <c r="A566" s="10"/>
      <c r="B566" s="13"/>
      <c r="C566" s="13"/>
    </row>
    <row r="567" spans="1:3" ht="13" x14ac:dyDescent="0.15">
      <c r="A567" s="10"/>
      <c r="B567" s="13"/>
      <c r="C567" s="13"/>
    </row>
    <row r="568" spans="1:3" ht="13" x14ac:dyDescent="0.15">
      <c r="A568" s="10"/>
      <c r="B568" s="13"/>
      <c r="C568" s="13"/>
    </row>
    <row r="569" spans="1:3" ht="13" x14ac:dyDescent="0.15">
      <c r="A569" s="10"/>
      <c r="B569" s="13"/>
      <c r="C569" s="13"/>
    </row>
    <row r="570" spans="1:3" ht="13" x14ac:dyDescent="0.15">
      <c r="A570" s="10"/>
      <c r="B570" s="13"/>
      <c r="C570" s="13"/>
    </row>
    <row r="571" spans="1:3" ht="13" x14ac:dyDescent="0.15">
      <c r="A571" s="10"/>
      <c r="B571" s="13"/>
      <c r="C571" s="13"/>
    </row>
    <row r="572" spans="1:3" ht="13" x14ac:dyDescent="0.15">
      <c r="A572" s="10"/>
      <c r="B572" s="13"/>
      <c r="C572" s="13"/>
    </row>
    <row r="573" spans="1:3" ht="13" x14ac:dyDescent="0.15">
      <c r="A573" s="10"/>
      <c r="B573" s="13"/>
      <c r="C573" s="13"/>
    </row>
    <row r="574" spans="1:3" ht="13" x14ac:dyDescent="0.15">
      <c r="A574" s="10"/>
      <c r="B574" s="13"/>
      <c r="C574" s="13"/>
    </row>
    <row r="575" spans="1:3" ht="13" x14ac:dyDescent="0.15">
      <c r="A575" s="10"/>
      <c r="B575" s="13"/>
      <c r="C575" s="13"/>
    </row>
    <row r="576" spans="1:3" ht="13" x14ac:dyDescent="0.15">
      <c r="A576" s="10"/>
      <c r="B576" s="13"/>
      <c r="C576" s="13"/>
    </row>
    <row r="577" spans="1:3" ht="13" x14ac:dyDescent="0.15">
      <c r="A577" s="10"/>
      <c r="B577" s="13"/>
      <c r="C577" s="13"/>
    </row>
    <row r="578" spans="1:3" ht="13" x14ac:dyDescent="0.15">
      <c r="A578" s="10"/>
      <c r="B578" s="13"/>
      <c r="C578" s="13"/>
    </row>
    <row r="579" spans="1:3" ht="13" x14ac:dyDescent="0.15">
      <c r="A579" s="10"/>
      <c r="B579" s="13"/>
      <c r="C579" s="13"/>
    </row>
    <row r="580" spans="1:3" ht="13" x14ac:dyDescent="0.15">
      <c r="A580" s="10"/>
      <c r="B580" s="13"/>
      <c r="C580" s="13"/>
    </row>
    <row r="581" spans="1:3" ht="13" x14ac:dyDescent="0.15">
      <c r="A581" s="10"/>
      <c r="B581" s="13"/>
      <c r="C581" s="13"/>
    </row>
    <row r="582" spans="1:3" ht="13" x14ac:dyDescent="0.15">
      <c r="A582" s="10"/>
      <c r="B582" s="13"/>
      <c r="C582" s="13"/>
    </row>
    <row r="583" spans="1:3" ht="13" x14ac:dyDescent="0.15">
      <c r="A583" s="10"/>
      <c r="B583" s="13"/>
      <c r="C583" s="13"/>
    </row>
    <row r="584" spans="1:3" ht="13" x14ac:dyDescent="0.15">
      <c r="A584" s="10"/>
      <c r="B584" s="13"/>
      <c r="C584" s="13"/>
    </row>
    <row r="585" spans="1:3" ht="13" x14ac:dyDescent="0.15">
      <c r="A585" s="10"/>
      <c r="B585" s="13"/>
      <c r="C585" s="13"/>
    </row>
    <row r="586" spans="1:3" ht="13" x14ac:dyDescent="0.15">
      <c r="A586" s="10"/>
      <c r="B586" s="13"/>
      <c r="C586" s="13"/>
    </row>
    <row r="587" spans="1:3" ht="13" x14ac:dyDescent="0.15">
      <c r="A587" s="10"/>
      <c r="B587" s="13"/>
      <c r="C587" s="13"/>
    </row>
    <row r="588" spans="1:3" ht="13" x14ac:dyDescent="0.15">
      <c r="A588" s="10"/>
      <c r="B588" s="13"/>
      <c r="C588" s="13"/>
    </row>
    <row r="589" spans="1:3" ht="13" x14ac:dyDescent="0.15">
      <c r="A589" s="10"/>
      <c r="B589" s="13"/>
      <c r="C589" s="13"/>
    </row>
    <row r="590" spans="1:3" ht="13" x14ac:dyDescent="0.15">
      <c r="A590" s="10"/>
      <c r="B590" s="13"/>
      <c r="C590" s="13"/>
    </row>
    <row r="591" spans="1:3" ht="13" x14ac:dyDescent="0.15">
      <c r="A591" s="10"/>
      <c r="B591" s="13"/>
      <c r="C591" s="13"/>
    </row>
    <row r="592" spans="1:3" ht="13" x14ac:dyDescent="0.15">
      <c r="A592" s="10"/>
      <c r="B592" s="13"/>
      <c r="C592" s="13"/>
    </row>
    <row r="593" spans="1:3" ht="13" x14ac:dyDescent="0.15">
      <c r="A593" s="10"/>
      <c r="B593" s="13"/>
      <c r="C593" s="13"/>
    </row>
    <row r="594" spans="1:3" ht="13" x14ac:dyDescent="0.15">
      <c r="A594" s="10"/>
      <c r="B594" s="13"/>
      <c r="C594" s="13"/>
    </row>
    <row r="595" spans="1:3" ht="13" x14ac:dyDescent="0.15">
      <c r="A595" s="10"/>
      <c r="B595" s="13"/>
      <c r="C595" s="13"/>
    </row>
    <row r="596" spans="1:3" ht="13" x14ac:dyDescent="0.15">
      <c r="A596" s="10"/>
      <c r="B596" s="13"/>
      <c r="C596" s="13"/>
    </row>
    <row r="597" spans="1:3" ht="13" x14ac:dyDescent="0.15">
      <c r="A597" s="10"/>
      <c r="B597" s="13"/>
      <c r="C597" s="13"/>
    </row>
    <row r="598" spans="1:3" ht="13" x14ac:dyDescent="0.15">
      <c r="A598" s="10"/>
      <c r="B598" s="13"/>
      <c r="C598" s="13"/>
    </row>
    <row r="599" spans="1:3" ht="13" x14ac:dyDescent="0.15">
      <c r="A599" s="10"/>
      <c r="B599" s="13"/>
      <c r="C599" s="13"/>
    </row>
    <row r="600" spans="1:3" ht="13" x14ac:dyDescent="0.15">
      <c r="A600" s="10"/>
      <c r="B600" s="13"/>
      <c r="C600" s="13"/>
    </row>
    <row r="601" spans="1:3" ht="13" x14ac:dyDescent="0.15">
      <c r="A601" s="10"/>
      <c r="B601" s="13"/>
      <c r="C601" s="13"/>
    </row>
    <row r="602" spans="1:3" ht="13" x14ac:dyDescent="0.15">
      <c r="A602" s="10"/>
      <c r="B602" s="13"/>
      <c r="C602" s="13"/>
    </row>
    <row r="603" spans="1:3" ht="13" x14ac:dyDescent="0.15">
      <c r="A603" s="10"/>
      <c r="B603" s="13"/>
      <c r="C603" s="13"/>
    </row>
    <row r="604" spans="1:3" ht="13" x14ac:dyDescent="0.15">
      <c r="A604" s="10"/>
      <c r="B604" s="13"/>
      <c r="C604" s="13"/>
    </row>
    <row r="605" spans="1:3" ht="13" x14ac:dyDescent="0.15">
      <c r="A605" s="10"/>
      <c r="B605" s="13"/>
      <c r="C605" s="13"/>
    </row>
    <row r="606" spans="1:3" ht="13" x14ac:dyDescent="0.15">
      <c r="A606" s="10"/>
      <c r="B606" s="13"/>
      <c r="C606" s="13"/>
    </row>
    <row r="607" spans="1:3" ht="13" x14ac:dyDescent="0.15">
      <c r="A607" s="10"/>
      <c r="B607" s="13"/>
      <c r="C607" s="13"/>
    </row>
    <row r="608" spans="1:3" ht="13" x14ac:dyDescent="0.15">
      <c r="A608" s="10"/>
      <c r="B608" s="13"/>
      <c r="C608" s="13"/>
    </row>
    <row r="609" spans="1:3" ht="13" x14ac:dyDescent="0.15">
      <c r="A609" s="10"/>
      <c r="B609" s="13"/>
      <c r="C609" s="13"/>
    </row>
    <row r="610" spans="1:3" ht="13" x14ac:dyDescent="0.15">
      <c r="A610" s="10"/>
      <c r="B610" s="13"/>
      <c r="C610" s="13"/>
    </row>
    <row r="611" spans="1:3" ht="13" x14ac:dyDescent="0.15">
      <c r="A611" s="10"/>
      <c r="B611" s="13"/>
      <c r="C611" s="13"/>
    </row>
    <row r="612" spans="1:3" ht="13" x14ac:dyDescent="0.15">
      <c r="A612" s="10"/>
      <c r="B612" s="13"/>
      <c r="C612" s="13"/>
    </row>
    <row r="613" spans="1:3" ht="13" x14ac:dyDescent="0.15">
      <c r="A613" s="10"/>
      <c r="B613" s="13"/>
      <c r="C613" s="13"/>
    </row>
    <row r="614" spans="1:3" ht="13" x14ac:dyDescent="0.15">
      <c r="A614" s="10"/>
      <c r="B614" s="13"/>
      <c r="C614" s="13"/>
    </row>
    <row r="615" spans="1:3" ht="13" x14ac:dyDescent="0.15">
      <c r="A615" s="10"/>
      <c r="B615" s="13"/>
      <c r="C615" s="13"/>
    </row>
    <row r="616" spans="1:3" ht="13" x14ac:dyDescent="0.15">
      <c r="A616" s="10"/>
      <c r="B616" s="13"/>
      <c r="C616" s="13"/>
    </row>
    <row r="617" spans="1:3" ht="13" x14ac:dyDescent="0.15">
      <c r="A617" s="10"/>
      <c r="B617" s="13"/>
      <c r="C617" s="13"/>
    </row>
    <row r="618" spans="1:3" ht="13" x14ac:dyDescent="0.15">
      <c r="A618" s="10"/>
      <c r="B618" s="13"/>
      <c r="C618" s="13"/>
    </row>
    <row r="619" spans="1:3" ht="13" x14ac:dyDescent="0.15">
      <c r="A619" s="10"/>
      <c r="B619" s="13"/>
      <c r="C619" s="13"/>
    </row>
    <row r="620" spans="1:3" ht="13" x14ac:dyDescent="0.15">
      <c r="A620" s="10"/>
      <c r="B620" s="13"/>
      <c r="C620" s="13"/>
    </row>
    <row r="621" spans="1:3" ht="13" x14ac:dyDescent="0.15">
      <c r="A621" s="10"/>
      <c r="B621" s="13"/>
      <c r="C621" s="13"/>
    </row>
    <row r="622" spans="1:3" ht="13" x14ac:dyDescent="0.15">
      <c r="A622" s="10"/>
      <c r="B622" s="13"/>
      <c r="C622" s="13"/>
    </row>
    <row r="623" spans="1:3" ht="13" x14ac:dyDescent="0.15">
      <c r="A623" s="10"/>
      <c r="B623" s="13"/>
      <c r="C623" s="13"/>
    </row>
    <row r="624" spans="1:3" ht="13" x14ac:dyDescent="0.15">
      <c r="A624" s="10"/>
      <c r="B624" s="13"/>
      <c r="C624" s="13"/>
    </row>
    <row r="625" spans="1:3" ht="13" x14ac:dyDescent="0.15">
      <c r="A625" s="10"/>
      <c r="B625" s="13"/>
      <c r="C625" s="13"/>
    </row>
    <row r="626" spans="1:3" ht="13" x14ac:dyDescent="0.15">
      <c r="A626" s="10"/>
      <c r="B626" s="13"/>
      <c r="C626" s="13"/>
    </row>
    <row r="627" spans="1:3" ht="13" x14ac:dyDescent="0.15">
      <c r="A627" s="10"/>
      <c r="B627" s="13"/>
      <c r="C627" s="13"/>
    </row>
    <row r="628" spans="1:3" ht="13" x14ac:dyDescent="0.15">
      <c r="A628" s="10"/>
      <c r="B628" s="13"/>
      <c r="C628" s="13"/>
    </row>
    <row r="629" spans="1:3" ht="13" x14ac:dyDescent="0.15">
      <c r="A629" s="10"/>
      <c r="B629" s="13"/>
      <c r="C629" s="13"/>
    </row>
    <row r="630" spans="1:3" ht="13" x14ac:dyDescent="0.15">
      <c r="A630" s="10"/>
      <c r="B630" s="13"/>
      <c r="C630" s="13"/>
    </row>
    <row r="631" spans="1:3" ht="13" x14ac:dyDescent="0.15">
      <c r="A631" s="10"/>
      <c r="B631" s="13"/>
      <c r="C631" s="13"/>
    </row>
    <row r="632" spans="1:3" ht="13" x14ac:dyDescent="0.15">
      <c r="A632" s="10"/>
      <c r="B632" s="13"/>
      <c r="C632" s="13"/>
    </row>
    <row r="633" spans="1:3" ht="13" x14ac:dyDescent="0.15">
      <c r="A633" s="10"/>
      <c r="B633" s="13"/>
      <c r="C633" s="13"/>
    </row>
    <row r="634" spans="1:3" ht="13" x14ac:dyDescent="0.15">
      <c r="A634" s="10"/>
      <c r="B634" s="13"/>
      <c r="C634" s="13"/>
    </row>
    <row r="635" spans="1:3" ht="13" x14ac:dyDescent="0.15">
      <c r="A635" s="10"/>
      <c r="B635" s="13"/>
      <c r="C635" s="13"/>
    </row>
    <row r="636" spans="1:3" ht="13" x14ac:dyDescent="0.15">
      <c r="A636" s="10"/>
      <c r="B636" s="13"/>
      <c r="C636" s="13"/>
    </row>
    <row r="637" spans="1:3" ht="13" x14ac:dyDescent="0.15">
      <c r="A637" s="10"/>
      <c r="B637" s="13"/>
      <c r="C637" s="13"/>
    </row>
    <row r="638" spans="1:3" ht="13" x14ac:dyDescent="0.15">
      <c r="A638" s="10"/>
      <c r="B638" s="13"/>
      <c r="C638" s="13"/>
    </row>
    <row r="639" spans="1:3" ht="13" x14ac:dyDescent="0.15">
      <c r="A639" s="10"/>
      <c r="B639" s="13"/>
      <c r="C639" s="13"/>
    </row>
    <row r="640" spans="1:3" ht="13" x14ac:dyDescent="0.15">
      <c r="A640" s="10"/>
      <c r="B640" s="13"/>
      <c r="C640" s="13"/>
    </row>
    <row r="641" spans="1:3" ht="13" x14ac:dyDescent="0.15">
      <c r="A641" s="10"/>
      <c r="B641" s="13"/>
      <c r="C641" s="13"/>
    </row>
    <row r="642" spans="1:3" ht="13" x14ac:dyDescent="0.15">
      <c r="A642" s="10"/>
      <c r="B642" s="13"/>
      <c r="C642" s="13"/>
    </row>
    <row r="643" spans="1:3" ht="13" x14ac:dyDescent="0.15">
      <c r="A643" s="10"/>
      <c r="B643" s="13"/>
      <c r="C643" s="13"/>
    </row>
    <row r="644" spans="1:3" ht="13" x14ac:dyDescent="0.15">
      <c r="A644" s="10"/>
      <c r="B644" s="13"/>
      <c r="C644" s="13"/>
    </row>
    <row r="645" spans="1:3" ht="13" x14ac:dyDescent="0.15">
      <c r="A645" s="10"/>
      <c r="B645" s="13"/>
      <c r="C645" s="13"/>
    </row>
    <row r="646" spans="1:3" ht="13" x14ac:dyDescent="0.15">
      <c r="A646" s="10"/>
      <c r="B646" s="13"/>
      <c r="C646" s="13"/>
    </row>
    <row r="647" spans="1:3" ht="13" x14ac:dyDescent="0.15">
      <c r="A647" s="10"/>
      <c r="B647" s="13"/>
      <c r="C647" s="13"/>
    </row>
    <row r="648" spans="1:3" ht="13" x14ac:dyDescent="0.15">
      <c r="A648" s="10"/>
      <c r="B648" s="13"/>
      <c r="C648" s="13"/>
    </row>
    <row r="649" spans="1:3" ht="13" x14ac:dyDescent="0.15">
      <c r="A649" s="10"/>
      <c r="B649" s="13"/>
      <c r="C649" s="13"/>
    </row>
    <row r="650" spans="1:3" ht="13" x14ac:dyDescent="0.15">
      <c r="A650" s="10"/>
      <c r="B650" s="13"/>
      <c r="C650" s="13"/>
    </row>
    <row r="651" spans="1:3" ht="13" x14ac:dyDescent="0.15">
      <c r="A651" s="10"/>
      <c r="B651" s="13"/>
      <c r="C651" s="13"/>
    </row>
    <row r="652" spans="1:3" ht="13" x14ac:dyDescent="0.15">
      <c r="A652" s="10"/>
      <c r="B652" s="13"/>
      <c r="C652" s="13"/>
    </row>
    <row r="653" spans="1:3" ht="13" x14ac:dyDescent="0.15">
      <c r="A653" s="10"/>
      <c r="B653" s="13"/>
      <c r="C653" s="13"/>
    </row>
    <row r="654" spans="1:3" ht="13" x14ac:dyDescent="0.15">
      <c r="A654" s="10"/>
      <c r="B654" s="13"/>
      <c r="C654" s="13"/>
    </row>
    <row r="655" spans="1:3" ht="13" x14ac:dyDescent="0.15">
      <c r="A655" s="10"/>
      <c r="B655" s="13"/>
      <c r="C655" s="13"/>
    </row>
    <row r="656" spans="1:3" ht="13" x14ac:dyDescent="0.15">
      <c r="A656" s="10"/>
      <c r="B656" s="13"/>
      <c r="C656" s="13"/>
    </row>
    <row r="657" spans="1:3" ht="13" x14ac:dyDescent="0.15">
      <c r="A657" s="10"/>
      <c r="B657" s="13"/>
      <c r="C657" s="13"/>
    </row>
    <row r="658" spans="1:3" ht="13" x14ac:dyDescent="0.15">
      <c r="A658" s="10"/>
      <c r="B658" s="13"/>
      <c r="C658" s="13"/>
    </row>
    <row r="659" spans="1:3" ht="13" x14ac:dyDescent="0.15">
      <c r="A659" s="10"/>
      <c r="B659" s="13"/>
      <c r="C659" s="13"/>
    </row>
    <row r="660" spans="1:3" ht="13" x14ac:dyDescent="0.15">
      <c r="A660" s="10"/>
      <c r="B660" s="13"/>
      <c r="C660" s="13"/>
    </row>
    <row r="661" spans="1:3" ht="13" x14ac:dyDescent="0.15">
      <c r="A661" s="10"/>
      <c r="B661" s="13"/>
      <c r="C661" s="13"/>
    </row>
    <row r="662" spans="1:3" ht="13" x14ac:dyDescent="0.15">
      <c r="A662" s="10"/>
      <c r="B662" s="13"/>
      <c r="C662" s="13"/>
    </row>
    <row r="663" spans="1:3" ht="13" x14ac:dyDescent="0.15">
      <c r="A663" s="10"/>
      <c r="B663" s="13"/>
      <c r="C663" s="13"/>
    </row>
    <row r="664" spans="1:3" ht="13" x14ac:dyDescent="0.15">
      <c r="A664" s="10"/>
      <c r="B664" s="13"/>
      <c r="C664" s="13"/>
    </row>
    <row r="665" spans="1:3" ht="13" x14ac:dyDescent="0.15">
      <c r="A665" s="10"/>
      <c r="B665" s="13"/>
      <c r="C665" s="13"/>
    </row>
    <row r="666" spans="1:3" ht="13" x14ac:dyDescent="0.15">
      <c r="A666" s="10"/>
      <c r="B666" s="13"/>
      <c r="C666" s="13"/>
    </row>
    <row r="667" spans="1:3" ht="13" x14ac:dyDescent="0.15">
      <c r="A667" s="10"/>
      <c r="B667" s="13"/>
      <c r="C667" s="13"/>
    </row>
    <row r="668" spans="1:3" ht="13" x14ac:dyDescent="0.15">
      <c r="A668" s="10"/>
      <c r="B668" s="13"/>
      <c r="C668" s="13"/>
    </row>
    <row r="669" spans="1:3" ht="13" x14ac:dyDescent="0.15">
      <c r="A669" s="10"/>
      <c r="B669" s="13"/>
      <c r="C669" s="13"/>
    </row>
    <row r="670" spans="1:3" ht="13" x14ac:dyDescent="0.15">
      <c r="A670" s="10"/>
      <c r="B670" s="13"/>
      <c r="C670" s="13"/>
    </row>
    <row r="671" spans="1:3" ht="13" x14ac:dyDescent="0.15">
      <c r="A671" s="10"/>
      <c r="B671" s="13"/>
      <c r="C671" s="13"/>
    </row>
    <row r="672" spans="1:3" ht="13" x14ac:dyDescent="0.15">
      <c r="A672" s="10"/>
      <c r="B672" s="13"/>
      <c r="C672" s="13"/>
    </row>
    <row r="673" spans="1:3" ht="13" x14ac:dyDescent="0.15">
      <c r="A673" s="10"/>
      <c r="B673" s="13"/>
      <c r="C673" s="13"/>
    </row>
    <row r="674" spans="1:3" ht="13" x14ac:dyDescent="0.15">
      <c r="A674" s="10"/>
      <c r="B674" s="13"/>
      <c r="C674" s="13"/>
    </row>
    <row r="675" spans="1:3" ht="13" x14ac:dyDescent="0.15">
      <c r="A675" s="10"/>
      <c r="B675" s="13"/>
      <c r="C675" s="13"/>
    </row>
    <row r="676" spans="1:3" ht="13" x14ac:dyDescent="0.15">
      <c r="A676" s="10"/>
      <c r="B676" s="13"/>
      <c r="C676" s="13"/>
    </row>
    <row r="677" spans="1:3" ht="13" x14ac:dyDescent="0.15">
      <c r="A677" s="10"/>
      <c r="B677" s="13"/>
      <c r="C677" s="13"/>
    </row>
    <row r="678" spans="1:3" ht="13" x14ac:dyDescent="0.15">
      <c r="A678" s="10"/>
      <c r="B678" s="13"/>
      <c r="C678" s="13"/>
    </row>
    <row r="679" spans="1:3" ht="13" x14ac:dyDescent="0.15">
      <c r="A679" s="10"/>
      <c r="B679" s="13"/>
      <c r="C679" s="13"/>
    </row>
    <row r="680" spans="1:3" ht="13" x14ac:dyDescent="0.15">
      <c r="A680" s="10"/>
      <c r="B680" s="13"/>
      <c r="C680" s="13"/>
    </row>
    <row r="681" spans="1:3" ht="13" x14ac:dyDescent="0.15">
      <c r="A681" s="10"/>
      <c r="B681" s="13"/>
      <c r="C681" s="13"/>
    </row>
    <row r="682" spans="1:3" ht="13" x14ac:dyDescent="0.15">
      <c r="A682" s="10"/>
      <c r="B682" s="13"/>
      <c r="C682" s="13"/>
    </row>
    <row r="683" spans="1:3" ht="13" x14ac:dyDescent="0.15">
      <c r="A683" s="10"/>
      <c r="B683" s="13"/>
      <c r="C683" s="13"/>
    </row>
    <row r="684" spans="1:3" ht="13" x14ac:dyDescent="0.15">
      <c r="A684" s="10"/>
      <c r="B684" s="13"/>
      <c r="C684" s="13"/>
    </row>
    <row r="685" spans="1:3" ht="13" x14ac:dyDescent="0.15">
      <c r="A685" s="10"/>
      <c r="B685" s="13"/>
      <c r="C685" s="13"/>
    </row>
    <row r="686" spans="1:3" ht="13" x14ac:dyDescent="0.15">
      <c r="A686" s="10"/>
      <c r="B686" s="13"/>
      <c r="C686" s="13"/>
    </row>
    <row r="687" spans="1:3" ht="13" x14ac:dyDescent="0.15">
      <c r="A687" s="10"/>
      <c r="B687" s="13"/>
      <c r="C687" s="13"/>
    </row>
    <row r="688" spans="1:3" ht="13" x14ac:dyDescent="0.15">
      <c r="A688" s="10"/>
      <c r="B688" s="13"/>
      <c r="C688" s="13"/>
    </row>
    <row r="689" spans="1:3" ht="13" x14ac:dyDescent="0.15">
      <c r="A689" s="10"/>
      <c r="B689" s="13"/>
      <c r="C689" s="13"/>
    </row>
    <row r="690" spans="1:3" ht="13" x14ac:dyDescent="0.15">
      <c r="A690" s="10"/>
      <c r="B690" s="13"/>
      <c r="C690" s="13"/>
    </row>
    <row r="691" spans="1:3" ht="13" x14ac:dyDescent="0.15">
      <c r="A691" s="10"/>
      <c r="B691" s="13"/>
      <c r="C691" s="13"/>
    </row>
    <row r="692" spans="1:3" ht="13" x14ac:dyDescent="0.15">
      <c r="A692" s="10"/>
      <c r="B692" s="13"/>
      <c r="C692" s="13"/>
    </row>
    <row r="693" spans="1:3" ht="13" x14ac:dyDescent="0.15">
      <c r="A693" s="10"/>
      <c r="B693" s="13"/>
      <c r="C693" s="13"/>
    </row>
    <row r="694" spans="1:3" ht="13" x14ac:dyDescent="0.15">
      <c r="A694" s="10"/>
      <c r="B694" s="13"/>
      <c r="C694" s="13"/>
    </row>
    <row r="695" spans="1:3" ht="13" x14ac:dyDescent="0.15">
      <c r="A695" s="10"/>
      <c r="B695" s="13"/>
      <c r="C695" s="13"/>
    </row>
    <row r="696" spans="1:3" ht="13" x14ac:dyDescent="0.15">
      <c r="A696" s="10"/>
      <c r="B696" s="13"/>
      <c r="C696" s="13"/>
    </row>
    <row r="697" spans="1:3" ht="13" x14ac:dyDescent="0.15">
      <c r="A697" s="10"/>
      <c r="B697" s="13"/>
      <c r="C697" s="13"/>
    </row>
    <row r="698" spans="1:3" ht="13" x14ac:dyDescent="0.15">
      <c r="A698" s="10"/>
      <c r="B698" s="13"/>
      <c r="C698" s="13"/>
    </row>
    <row r="699" spans="1:3" ht="13" x14ac:dyDescent="0.15">
      <c r="A699" s="10"/>
      <c r="B699" s="13"/>
      <c r="C699" s="13"/>
    </row>
    <row r="700" spans="1:3" ht="13" x14ac:dyDescent="0.15">
      <c r="A700" s="10"/>
      <c r="B700" s="13"/>
      <c r="C700" s="13"/>
    </row>
    <row r="701" spans="1:3" ht="13" x14ac:dyDescent="0.15">
      <c r="A701" s="10"/>
      <c r="B701" s="13"/>
      <c r="C701" s="13"/>
    </row>
    <row r="702" spans="1:3" ht="13" x14ac:dyDescent="0.15">
      <c r="A702" s="10"/>
      <c r="B702" s="13"/>
      <c r="C702" s="13"/>
    </row>
    <row r="703" spans="1:3" ht="13" x14ac:dyDescent="0.15">
      <c r="A703" s="10"/>
      <c r="B703" s="13"/>
      <c r="C703" s="13"/>
    </row>
    <row r="704" spans="1:3" ht="13" x14ac:dyDescent="0.15">
      <c r="A704" s="10"/>
      <c r="B704" s="13"/>
      <c r="C704" s="13"/>
    </row>
    <row r="705" spans="1:3" ht="13" x14ac:dyDescent="0.15">
      <c r="A705" s="10"/>
      <c r="B705" s="13"/>
      <c r="C705" s="13"/>
    </row>
    <row r="706" spans="1:3" ht="13" x14ac:dyDescent="0.15">
      <c r="A706" s="10"/>
      <c r="B706" s="13"/>
      <c r="C706" s="13"/>
    </row>
    <row r="707" spans="1:3" ht="13" x14ac:dyDescent="0.15">
      <c r="A707" s="10"/>
      <c r="B707" s="13"/>
      <c r="C707" s="13"/>
    </row>
    <row r="708" spans="1:3" ht="13" x14ac:dyDescent="0.15">
      <c r="A708" s="10"/>
      <c r="B708" s="13"/>
      <c r="C708" s="13"/>
    </row>
    <row r="709" spans="1:3" ht="13" x14ac:dyDescent="0.15">
      <c r="A709" s="10"/>
      <c r="B709" s="13"/>
      <c r="C709" s="13"/>
    </row>
    <row r="710" spans="1:3" ht="13" x14ac:dyDescent="0.15">
      <c r="A710" s="10"/>
      <c r="B710" s="13"/>
      <c r="C710" s="13"/>
    </row>
    <row r="711" spans="1:3" ht="13" x14ac:dyDescent="0.15">
      <c r="A711" s="10"/>
      <c r="B711" s="13"/>
      <c r="C711" s="13"/>
    </row>
    <row r="712" spans="1:3" ht="13" x14ac:dyDescent="0.15">
      <c r="A712" s="10"/>
      <c r="B712" s="13"/>
      <c r="C712" s="13"/>
    </row>
    <row r="713" spans="1:3" ht="13" x14ac:dyDescent="0.15">
      <c r="A713" s="10"/>
      <c r="B713" s="13"/>
      <c r="C713" s="13"/>
    </row>
    <row r="714" spans="1:3" ht="13" x14ac:dyDescent="0.15">
      <c r="A714" s="10"/>
      <c r="B714" s="13"/>
      <c r="C714" s="13"/>
    </row>
    <row r="715" spans="1:3" ht="13" x14ac:dyDescent="0.15">
      <c r="A715" s="10"/>
      <c r="B715" s="13"/>
      <c r="C715" s="13"/>
    </row>
    <row r="716" spans="1:3" ht="13" x14ac:dyDescent="0.15">
      <c r="A716" s="10"/>
      <c r="B716" s="13"/>
      <c r="C716" s="13"/>
    </row>
    <row r="717" spans="1:3" ht="13" x14ac:dyDescent="0.15">
      <c r="A717" s="10"/>
      <c r="B717" s="13"/>
      <c r="C717" s="13"/>
    </row>
    <row r="718" spans="1:3" ht="13" x14ac:dyDescent="0.15">
      <c r="A718" s="10"/>
      <c r="B718" s="13"/>
      <c r="C718" s="13"/>
    </row>
    <row r="719" spans="1:3" ht="13" x14ac:dyDescent="0.15">
      <c r="A719" s="10"/>
      <c r="B719" s="13"/>
      <c r="C719" s="13"/>
    </row>
    <row r="720" spans="1:3" ht="13" x14ac:dyDescent="0.15">
      <c r="A720" s="10"/>
      <c r="B720" s="13"/>
      <c r="C720" s="13"/>
    </row>
    <row r="721" spans="1:3" ht="13" x14ac:dyDescent="0.15">
      <c r="A721" s="10"/>
      <c r="B721" s="13"/>
      <c r="C721" s="13"/>
    </row>
    <row r="722" spans="1:3" ht="13" x14ac:dyDescent="0.15">
      <c r="A722" s="10"/>
      <c r="B722" s="13"/>
      <c r="C722" s="13"/>
    </row>
    <row r="723" spans="1:3" ht="13" x14ac:dyDescent="0.15">
      <c r="A723" s="10"/>
      <c r="B723" s="13"/>
      <c r="C723" s="13"/>
    </row>
    <row r="724" spans="1:3" ht="13" x14ac:dyDescent="0.15">
      <c r="A724" s="10"/>
      <c r="B724" s="13"/>
      <c r="C724" s="13"/>
    </row>
    <row r="725" spans="1:3" ht="13" x14ac:dyDescent="0.15">
      <c r="A725" s="10"/>
      <c r="B725" s="13"/>
      <c r="C725" s="13"/>
    </row>
    <row r="726" spans="1:3" ht="13" x14ac:dyDescent="0.15">
      <c r="A726" s="10"/>
      <c r="B726" s="13"/>
      <c r="C726" s="13"/>
    </row>
    <row r="727" spans="1:3" ht="13" x14ac:dyDescent="0.15">
      <c r="A727" s="10"/>
      <c r="B727" s="13"/>
      <c r="C727" s="13"/>
    </row>
    <row r="728" spans="1:3" ht="13" x14ac:dyDescent="0.15">
      <c r="A728" s="10"/>
      <c r="B728" s="13"/>
      <c r="C728" s="13"/>
    </row>
    <row r="729" spans="1:3" ht="13" x14ac:dyDescent="0.15">
      <c r="A729" s="10"/>
      <c r="B729" s="13"/>
      <c r="C729" s="13"/>
    </row>
    <row r="730" spans="1:3" ht="13" x14ac:dyDescent="0.15">
      <c r="A730" s="10"/>
      <c r="B730" s="13"/>
      <c r="C730" s="13"/>
    </row>
    <row r="731" spans="1:3" ht="13" x14ac:dyDescent="0.15">
      <c r="A731" s="10"/>
      <c r="B731" s="13"/>
      <c r="C731" s="13"/>
    </row>
    <row r="732" spans="1:3" ht="13" x14ac:dyDescent="0.15">
      <c r="A732" s="10"/>
      <c r="B732" s="13"/>
      <c r="C732" s="13"/>
    </row>
    <row r="733" spans="1:3" ht="13" x14ac:dyDescent="0.15">
      <c r="A733" s="10"/>
      <c r="B733" s="13"/>
      <c r="C733" s="13"/>
    </row>
    <row r="734" spans="1:3" ht="13" x14ac:dyDescent="0.15">
      <c r="A734" s="10"/>
      <c r="B734" s="13"/>
      <c r="C734" s="13"/>
    </row>
    <row r="735" spans="1:3" ht="13" x14ac:dyDescent="0.15">
      <c r="A735" s="10"/>
      <c r="B735" s="13"/>
      <c r="C735" s="13"/>
    </row>
    <row r="736" spans="1:3" ht="13" x14ac:dyDescent="0.15">
      <c r="A736" s="10"/>
      <c r="B736" s="13"/>
      <c r="C736" s="13"/>
    </row>
    <row r="737" spans="1:3" ht="13" x14ac:dyDescent="0.15">
      <c r="A737" s="10"/>
      <c r="B737" s="13"/>
      <c r="C737" s="13"/>
    </row>
    <row r="738" spans="1:3" ht="13" x14ac:dyDescent="0.15">
      <c r="A738" s="10"/>
      <c r="B738" s="13"/>
      <c r="C738" s="13"/>
    </row>
    <row r="739" spans="1:3" ht="13" x14ac:dyDescent="0.15">
      <c r="A739" s="10"/>
      <c r="B739" s="13"/>
      <c r="C739" s="13"/>
    </row>
    <row r="740" spans="1:3" ht="13" x14ac:dyDescent="0.15">
      <c r="A740" s="10"/>
      <c r="B740" s="13"/>
      <c r="C740" s="13"/>
    </row>
    <row r="741" spans="1:3" ht="13" x14ac:dyDescent="0.15">
      <c r="A741" s="10"/>
      <c r="B741" s="13"/>
      <c r="C741" s="13"/>
    </row>
    <row r="742" spans="1:3" ht="13" x14ac:dyDescent="0.15">
      <c r="A742" s="10"/>
      <c r="B742" s="13"/>
      <c r="C742" s="13"/>
    </row>
    <row r="743" spans="1:3" ht="13" x14ac:dyDescent="0.15">
      <c r="A743" s="10"/>
      <c r="B743" s="13"/>
      <c r="C743" s="13"/>
    </row>
    <row r="744" spans="1:3" ht="13" x14ac:dyDescent="0.15">
      <c r="A744" s="10"/>
      <c r="B744" s="13"/>
      <c r="C744" s="13"/>
    </row>
    <row r="745" spans="1:3" ht="13" x14ac:dyDescent="0.15">
      <c r="A745" s="10"/>
      <c r="B745" s="13"/>
      <c r="C745" s="13"/>
    </row>
    <row r="746" spans="1:3" ht="13" x14ac:dyDescent="0.15">
      <c r="A746" s="10"/>
      <c r="B746" s="13"/>
      <c r="C746" s="13"/>
    </row>
    <row r="747" spans="1:3" ht="13" x14ac:dyDescent="0.15">
      <c r="A747" s="10"/>
      <c r="B747" s="13"/>
      <c r="C747" s="13"/>
    </row>
    <row r="748" spans="1:3" ht="13" x14ac:dyDescent="0.15">
      <c r="A748" s="10"/>
      <c r="B748" s="13"/>
      <c r="C748" s="13"/>
    </row>
    <row r="749" spans="1:3" ht="13" x14ac:dyDescent="0.15">
      <c r="A749" s="10"/>
      <c r="B749" s="13"/>
      <c r="C749" s="13"/>
    </row>
    <row r="750" spans="1:3" ht="13" x14ac:dyDescent="0.15">
      <c r="A750" s="10"/>
      <c r="B750" s="13"/>
      <c r="C750" s="13"/>
    </row>
    <row r="751" spans="1:3" ht="13" x14ac:dyDescent="0.15">
      <c r="A751" s="10"/>
      <c r="B751" s="13"/>
      <c r="C751" s="13"/>
    </row>
    <row r="752" spans="1:3" ht="13" x14ac:dyDescent="0.15">
      <c r="A752" s="10"/>
      <c r="B752" s="13"/>
      <c r="C752" s="13"/>
    </row>
    <row r="753" spans="1:3" ht="13" x14ac:dyDescent="0.15">
      <c r="A753" s="10"/>
      <c r="B753" s="13"/>
      <c r="C753" s="13"/>
    </row>
    <row r="754" spans="1:3" ht="13" x14ac:dyDescent="0.15">
      <c r="A754" s="10"/>
      <c r="B754" s="13"/>
      <c r="C754" s="13"/>
    </row>
    <row r="755" spans="1:3" ht="13" x14ac:dyDescent="0.15">
      <c r="A755" s="10"/>
      <c r="B755" s="13"/>
      <c r="C755" s="13"/>
    </row>
    <row r="756" spans="1:3" ht="13" x14ac:dyDescent="0.15">
      <c r="A756" s="10"/>
      <c r="B756" s="13"/>
      <c r="C756" s="13"/>
    </row>
    <row r="757" spans="1:3" ht="13" x14ac:dyDescent="0.15">
      <c r="A757" s="10"/>
      <c r="B757" s="13"/>
      <c r="C757" s="13"/>
    </row>
    <row r="758" spans="1:3" ht="13" x14ac:dyDescent="0.15">
      <c r="A758" s="10"/>
      <c r="B758" s="13"/>
      <c r="C758" s="13"/>
    </row>
    <row r="759" spans="1:3" ht="13" x14ac:dyDescent="0.15">
      <c r="A759" s="10"/>
      <c r="B759" s="13"/>
      <c r="C759" s="13"/>
    </row>
    <row r="760" spans="1:3" ht="13" x14ac:dyDescent="0.15">
      <c r="A760" s="10"/>
      <c r="B760" s="13"/>
      <c r="C760" s="13"/>
    </row>
    <row r="761" spans="1:3" ht="13" x14ac:dyDescent="0.15">
      <c r="A761" s="10"/>
      <c r="B761" s="13"/>
      <c r="C761" s="13"/>
    </row>
    <row r="762" spans="1:3" ht="13" x14ac:dyDescent="0.15">
      <c r="A762" s="10"/>
      <c r="B762" s="13"/>
      <c r="C762" s="13"/>
    </row>
    <row r="763" spans="1:3" ht="13" x14ac:dyDescent="0.15">
      <c r="A763" s="10"/>
      <c r="B763" s="13"/>
      <c r="C763" s="13"/>
    </row>
    <row r="764" spans="1:3" ht="13" x14ac:dyDescent="0.15">
      <c r="A764" s="10"/>
      <c r="B764" s="13"/>
      <c r="C764" s="13"/>
    </row>
    <row r="765" spans="1:3" ht="13" x14ac:dyDescent="0.15">
      <c r="A765" s="10"/>
      <c r="B765" s="13"/>
      <c r="C765" s="13"/>
    </row>
    <row r="766" spans="1:3" ht="13" x14ac:dyDescent="0.15">
      <c r="A766" s="10"/>
      <c r="B766" s="13"/>
      <c r="C766" s="13"/>
    </row>
    <row r="767" spans="1:3" ht="13" x14ac:dyDescent="0.15">
      <c r="A767" s="10"/>
      <c r="B767" s="13"/>
      <c r="C767" s="13"/>
    </row>
    <row r="768" spans="1:3" ht="13" x14ac:dyDescent="0.15">
      <c r="A768" s="10"/>
      <c r="B768" s="13"/>
      <c r="C768" s="13"/>
    </row>
    <row r="769" spans="1:3" ht="13" x14ac:dyDescent="0.15">
      <c r="A769" s="10"/>
      <c r="B769" s="13"/>
      <c r="C769" s="13"/>
    </row>
    <row r="770" spans="1:3" ht="13" x14ac:dyDescent="0.15">
      <c r="A770" s="10"/>
      <c r="B770" s="13"/>
      <c r="C770" s="13"/>
    </row>
    <row r="771" spans="1:3" ht="13" x14ac:dyDescent="0.15">
      <c r="A771" s="10"/>
      <c r="B771" s="13"/>
      <c r="C771" s="13"/>
    </row>
    <row r="772" spans="1:3" ht="13" x14ac:dyDescent="0.15">
      <c r="A772" s="10"/>
      <c r="B772" s="13"/>
      <c r="C772" s="13"/>
    </row>
    <row r="773" spans="1:3" ht="13" x14ac:dyDescent="0.15">
      <c r="A773" s="10"/>
      <c r="B773" s="13"/>
      <c r="C773" s="13"/>
    </row>
    <row r="774" spans="1:3" ht="13" x14ac:dyDescent="0.15">
      <c r="A774" s="10"/>
      <c r="B774" s="13"/>
      <c r="C774" s="13"/>
    </row>
    <row r="775" spans="1:3" ht="13" x14ac:dyDescent="0.15">
      <c r="A775" s="10"/>
      <c r="B775" s="13"/>
      <c r="C775" s="13"/>
    </row>
    <row r="776" spans="1:3" ht="13" x14ac:dyDescent="0.15">
      <c r="A776" s="10"/>
      <c r="B776" s="13"/>
      <c r="C776" s="13"/>
    </row>
    <row r="777" spans="1:3" ht="13" x14ac:dyDescent="0.15">
      <c r="A777" s="10"/>
      <c r="B777" s="13"/>
      <c r="C777" s="13"/>
    </row>
    <row r="778" spans="1:3" ht="13" x14ac:dyDescent="0.15">
      <c r="A778" s="10"/>
      <c r="B778" s="13"/>
      <c r="C778" s="13"/>
    </row>
    <row r="779" spans="1:3" ht="13" x14ac:dyDescent="0.15">
      <c r="A779" s="10"/>
      <c r="B779" s="13"/>
      <c r="C779" s="13"/>
    </row>
    <row r="780" spans="1:3" ht="13" x14ac:dyDescent="0.15">
      <c r="A780" s="10"/>
      <c r="B780" s="13"/>
      <c r="C780" s="13"/>
    </row>
    <row r="781" spans="1:3" ht="13" x14ac:dyDescent="0.15">
      <c r="A781" s="10"/>
      <c r="B781" s="13"/>
      <c r="C781" s="13"/>
    </row>
    <row r="782" spans="1:3" ht="13" x14ac:dyDescent="0.15">
      <c r="A782" s="10"/>
      <c r="B782" s="13"/>
      <c r="C782" s="13"/>
    </row>
    <row r="783" spans="1:3" ht="13" x14ac:dyDescent="0.15">
      <c r="A783" s="10"/>
      <c r="B783" s="13"/>
      <c r="C783" s="13"/>
    </row>
    <row r="784" spans="1:3" ht="13" x14ac:dyDescent="0.15">
      <c r="A784" s="10"/>
      <c r="B784" s="13"/>
      <c r="C784" s="13"/>
    </row>
    <row r="785" spans="1:3" ht="13" x14ac:dyDescent="0.15">
      <c r="A785" s="10"/>
      <c r="B785" s="13"/>
      <c r="C785" s="13"/>
    </row>
    <row r="786" spans="1:3" ht="13" x14ac:dyDescent="0.15">
      <c r="A786" s="10"/>
      <c r="B786" s="13"/>
      <c r="C786" s="13"/>
    </row>
    <row r="787" spans="1:3" ht="13" x14ac:dyDescent="0.15">
      <c r="A787" s="10"/>
      <c r="B787" s="13"/>
      <c r="C787" s="13"/>
    </row>
    <row r="788" spans="1:3" ht="13" x14ac:dyDescent="0.15">
      <c r="A788" s="10"/>
      <c r="B788" s="13"/>
      <c r="C788" s="13"/>
    </row>
    <row r="789" spans="1:3" ht="13" x14ac:dyDescent="0.15">
      <c r="A789" s="10"/>
      <c r="B789" s="13"/>
      <c r="C789" s="13"/>
    </row>
    <row r="790" spans="1:3" ht="13" x14ac:dyDescent="0.15">
      <c r="A790" s="10"/>
      <c r="B790" s="13"/>
      <c r="C790" s="13"/>
    </row>
    <row r="791" spans="1:3" ht="13" x14ac:dyDescent="0.15">
      <c r="A791" s="10"/>
      <c r="B791" s="13"/>
      <c r="C791" s="13"/>
    </row>
    <row r="792" spans="1:3" ht="13" x14ac:dyDescent="0.15">
      <c r="A792" s="10"/>
      <c r="B792" s="13"/>
      <c r="C792" s="13"/>
    </row>
    <row r="793" spans="1:3" ht="13" x14ac:dyDescent="0.15">
      <c r="A793" s="10"/>
      <c r="B793" s="13"/>
      <c r="C793" s="13"/>
    </row>
    <row r="794" spans="1:3" ht="13" x14ac:dyDescent="0.15">
      <c r="A794" s="10"/>
      <c r="B794" s="13"/>
      <c r="C794" s="13"/>
    </row>
    <row r="795" spans="1:3" ht="13" x14ac:dyDescent="0.15">
      <c r="A795" s="10"/>
      <c r="B795" s="13"/>
      <c r="C795" s="13"/>
    </row>
    <row r="796" spans="1:3" ht="13" x14ac:dyDescent="0.15">
      <c r="A796" s="10"/>
      <c r="B796" s="13"/>
      <c r="C796" s="13"/>
    </row>
    <row r="797" spans="1:3" ht="13" x14ac:dyDescent="0.15">
      <c r="A797" s="10"/>
      <c r="B797" s="13"/>
      <c r="C797" s="13"/>
    </row>
    <row r="798" spans="1:3" ht="13" x14ac:dyDescent="0.15">
      <c r="A798" s="10"/>
      <c r="B798" s="13"/>
      <c r="C798" s="13"/>
    </row>
    <row r="799" spans="1:3" ht="13" x14ac:dyDescent="0.15">
      <c r="A799" s="10"/>
      <c r="B799" s="13"/>
      <c r="C799" s="13"/>
    </row>
    <row r="800" spans="1:3" ht="13" x14ac:dyDescent="0.15">
      <c r="A800" s="10"/>
      <c r="B800" s="13"/>
      <c r="C800" s="13"/>
    </row>
    <row r="801" spans="1:3" ht="13" x14ac:dyDescent="0.15">
      <c r="A801" s="10"/>
      <c r="B801" s="13"/>
      <c r="C801" s="13"/>
    </row>
    <row r="802" spans="1:3" ht="13" x14ac:dyDescent="0.15">
      <c r="A802" s="10"/>
      <c r="B802" s="13"/>
      <c r="C802" s="13"/>
    </row>
    <row r="803" spans="1:3" ht="13" x14ac:dyDescent="0.15">
      <c r="A803" s="10"/>
      <c r="B803" s="13"/>
      <c r="C803" s="13"/>
    </row>
    <row r="804" spans="1:3" ht="13" x14ac:dyDescent="0.15">
      <c r="A804" s="10"/>
      <c r="B804" s="13"/>
      <c r="C804" s="13"/>
    </row>
    <row r="805" spans="1:3" ht="13" x14ac:dyDescent="0.15">
      <c r="A805" s="10"/>
      <c r="B805" s="13"/>
      <c r="C805" s="13"/>
    </row>
    <row r="806" spans="1:3" ht="13" x14ac:dyDescent="0.15">
      <c r="A806" s="10"/>
      <c r="B806" s="13"/>
      <c r="C806" s="13"/>
    </row>
    <row r="807" spans="1:3" ht="13" x14ac:dyDescent="0.15">
      <c r="A807" s="10"/>
      <c r="B807" s="13"/>
      <c r="C807" s="13"/>
    </row>
    <row r="808" spans="1:3" ht="13" x14ac:dyDescent="0.15">
      <c r="A808" s="10"/>
      <c r="B808" s="13"/>
      <c r="C808" s="13"/>
    </row>
    <row r="809" spans="1:3" ht="13" x14ac:dyDescent="0.15">
      <c r="A809" s="10"/>
      <c r="B809" s="13"/>
      <c r="C809" s="13"/>
    </row>
    <row r="810" spans="1:3" ht="13" x14ac:dyDescent="0.15">
      <c r="A810" s="10"/>
      <c r="B810" s="13"/>
      <c r="C810" s="13"/>
    </row>
    <row r="811" spans="1:3" ht="13" x14ac:dyDescent="0.15">
      <c r="A811" s="10"/>
      <c r="B811" s="13"/>
      <c r="C811" s="13"/>
    </row>
    <row r="812" spans="1:3" ht="13" x14ac:dyDescent="0.15">
      <c r="A812" s="10"/>
      <c r="B812" s="13"/>
      <c r="C812" s="13"/>
    </row>
    <row r="813" spans="1:3" ht="13" x14ac:dyDescent="0.15">
      <c r="A813" s="10"/>
      <c r="B813" s="13"/>
      <c r="C813" s="13"/>
    </row>
    <row r="814" spans="1:3" ht="13" x14ac:dyDescent="0.15">
      <c r="A814" s="10"/>
      <c r="B814" s="13"/>
      <c r="C814" s="13"/>
    </row>
    <row r="815" spans="1:3" ht="13" x14ac:dyDescent="0.15">
      <c r="A815" s="10"/>
      <c r="B815" s="13"/>
      <c r="C815" s="13"/>
    </row>
    <row r="816" spans="1:3" ht="13" x14ac:dyDescent="0.15">
      <c r="A816" s="10"/>
      <c r="B816" s="13"/>
      <c r="C816" s="13"/>
    </row>
    <row r="817" spans="1:3" ht="13" x14ac:dyDescent="0.15">
      <c r="A817" s="10"/>
      <c r="B817" s="13"/>
      <c r="C817" s="13"/>
    </row>
    <row r="818" spans="1:3" ht="13" x14ac:dyDescent="0.15">
      <c r="A818" s="10"/>
      <c r="B818" s="13"/>
      <c r="C818" s="13"/>
    </row>
    <row r="819" spans="1:3" ht="13" x14ac:dyDescent="0.15">
      <c r="A819" s="10"/>
      <c r="B819" s="13"/>
      <c r="C819" s="13"/>
    </row>
    <row r="820" spans="1:3" ht="13" x14ac:dyDescent="0.15">
      <c r="A820" s="10"/>
      <c r="B820" s="13"/>
      <c r="C820" s="13"/>
    </row>
    <row r="821" spans="1:3" ht="13" x14ac:dyDescent="0.15">
      <c r="A821" s="10"/>
      <c r="B821" s="13"/>
      <c r="C821" s="13"/>
    </row>
    <row r="822" spans="1:3" ht="13" x14ac:dyDescent="0.15">
      <c r="A822" s="10"/>
      <c r="B822" s="13"/>
      <c r="C822" s="13"/>
    </row>
    <row r="823" spans="1:3" ht="13" x14ac:dyDescent="0.15">
      <c r="A823" s="10"/>
      <c r="B823" s="13"/>
      <c r="C823" s="13"/>
    </row>
    <row r="824" spans="1:3" ht="13" x14ac:dyDescent="0.15">
      <c r="A824" s="10"/>
      <c r="B824" s="13"/>
      <c r="C824" s="13"/>
    </row>
    <row r="825" spans="1:3" ht="13" x14ac:dyDescent="0.15">
      <c r="A825" s="10"/>
      <c r="B825" s="13"/>
      <c r="C825" s="13"/>
    </row>
    <row r="826" spans="1:3" ht="13" x14ac:dyDescent="0.15">
      <c r="A826" s="10"/>
      <c r="B826" s="13"/>
      <c r="C826" s="13"/>
    </row>
    <row r="827" spans="1:3" ht="13" x14ac:dyDescent="0.15">
      <c r="A827" s="10"/>
      <c r="B827" s="13"/>
      <c r="C827" s="13"/>
    </row>
    <row r="828" spans="1:3" ht="13" x14ac:dyDescent="0.15">
      <c r="A828" s="10"/>
      <c r="B828" s="13"/>
      <c r="C828" s="13"/>
    </row>
    <row r="829" spans="1:3" ht="13" x14ac:dyDescent="0.15">
      <c r="A829" s="10"/>
      <c r="B829" s="13"/>
      <c r="C829" s="13"/>
    </row>
    <row r="830" spans="1:3" ht="13" x14ac:dyDescent="0.15">
      <c r="A830" s="10"/>
      <c r="B830" s="13"/>
      <c r="C830" s="13"/>
    </row>
    <row r="831" spans="1:3" ht="13" x14ac:dyDescent="0.15">
      <c r="A831" s="10"/>
      <c r="B831" s="13"/>
      <c r="C831" s="13"/>
    </row>
    <row r="832" spans="1:3" ht="13" x14ac:dyDescent="0.15">
      <c r="A832" s="10"/>
      <c r="B832" s="13"/>
      <c r="C832" s="13"/>
    </row>
    <row r="833" spans="1:3" ht="13" x14ac:dyDescent="0.15">
      <c r="A833" s="10"/>
      <c r="B833" s="13"/>
      <c r="C833" s="13"/>
    </row>
    <row r="834" spans="1:3" ht="13" x14ac:dyDescent="0.15">
      <c r="A834" s="10"/>
      <c r="B834" s="13"/>
      <c r="C834" s="13"/>
    </row>
    <row r="835" spans="1:3" ht="13" x14ac:dyDescent="0.15">
      <c r="A835" s="10"/>
      <c r="B835" s="13"/>
      <c r="C835" s="13"/>
    </row>
    <row r="836" spans="1:3" ht="13" x14ac:dyDescent="0.15">
      <c r="A836" s="10"/>
      <c r="B836" s="13"/>
      <c r="C836" s="13"/>
    </row>
    <row r="837" spans="1:3" ht="13" x14ac:dyDescent="0.15">
      <c r="A837" s="10"/>
      <c r="B837" s="13"/>
      <c r="C837" s="13"/>
    </row>
    <row r="838" spans="1:3" ht="13" x14ac:dyDescent="0.15">
      <c r="A838" s="10"/>
      <c r="B838" s="13"/>
      <c r="C838" s="13"/>
    </row>
    <row r="839" spans="1:3" ht="13" x14ac:dyDescent="0.15">
      <c r="A839" s="10"/>
      <c r="B839" s="13"/>
      <c r="C839" s="13"/>
    </row>
    <row r="840" spans="1:3" ht="13" x14ac:dyDescent="0.15">
      <c r="A840" s="10"/>
      <c r="B840" s="13"/>
      <c r="C840" s="13"/>
    </row>
    <row r="841" spans="1:3" ht="13" x14ac:dyDescent="0.15">
      <c r="A841" s="10"/>
      <c r="B841" s="13"/>
      <c r="C841" s="13"/>
    </row>
    <row r="842" spans="1:3" ht="13" x14ac:dyDescent="0.15">
      <c r="A842" s="10"/>
      <c r="B842" s="13"/>
      <c r="C842" s="13"/>
    </row>
    <row r="843" spans="1:3" ht="13" x14ac:dyDescent="0.15">
      <c r="A843" s="10"/>
      <c r="B843" s="13"/>
      <c r="C843" s="13"/>
    </row>
    <row r="844" spans="1:3" ht="13" x14ac:dyDescent="0.15">
      <c r="A844" s="10"/>
      <c r="B844" s="13"/>
      <c r="C844" s="13"/>
    </row>
    <row r="845" spans="1:3" ht="13" x14ac:dyDescent="0.15">
      <c r="A845" s="10"/>
      <c r="B845" s="13"/>
      <c r="C845" s="13"/>
    </row>
    <row r="846" spans="1:3" ht="13" x14ac:dyDescent="0.15">
      <c r="A846" s="10"/>
      <c r="B846" s="13"/>
      <c r="C846" s="13"/>
    </row>
    <row r="847" spans="1:3" ht="13" x14ac:dyDescent="0.15">
      <c r="A847" s="10"/>
      <c r="B847" s="13"/>
      <c r="C847" s="13"/>
    </row>
    <row r="848" spans="1:3" ht="13" x14ac:dyDescent="0.15">
      <c r="A848" s="10"/>
      <c r="B848" s="13"/>
      <c r="C848" s="13"/>
    </row>
    <row r="849" spans="1:3" ht="13" x14ac:dyDescent="0.15">
      <c r="A849" s="10"/>
      <c r="B849" s="13"/>
      <c r="C849" s="13"/>
    </row>
    <row r="850" spans="1:3" ht="13" x14ac:dyDescent="0.15">
      <c r="A850" s="10"/>
      <c r="B850" s="13"/>
      <c r="C850" s="13"/>
    </row>
    <row r="851" spans="1:3" ht="13" x14ac:dyDescent="0.15">
      <c r="A851" s="10"/>
      <c r="B851" s="13"/>
      <c r="C851" s="13"/>
    </row>
    <row r="852" spans="1:3" ht="13" x14ac:dyDescent="0.15">
      <c r="A852" s="10"/>
      <c r="B852" s="13"/>
      <c r="C852" s="13"/>
    </row>
    <row r="853" spans="1:3" ht="13" x14ac:dyDescent="0.15">
      <c r="A853" s="10"/>
      <c r="B853" s="13"/>
      <c r="C853" s="13"/>
    </row>
    <row r="854" spans="1:3" ht="13" x14ac:dyDescent="0.15">
      <c r="A854" s="10"/>
      <c r="B854" s="13"/>
      <c r="C854" s="13"/>
    </row>
    <row r="855" spans="1:3" ht="13" x14ac:dyDescent="0.15">
      <c r="A855" s="10"/>
      <c r="B855" s="13"/>
      <c r="C855" s="13"/>
    </row>
    <row r="856" spans="1:3" ht="13" x14ac:dyDescent="0.15">
      <c r="A856" s="10"/>
      <c r="B856" s="13"/>
      <c r="C856" s="13"/>
    </row>
    <row r="857" spans="1:3" ht="13" x14ac:dyDescent="0.15">
      <c r="A857" s="10"/>
      <c r="B857" s="13"/>
      <c r="C857" s="13"/>
    </row>
    <row r="858" spans="1:3" ht="13" x14ac:dyDescent="0.15">
      <c r="A858" s="10"/>
      <c r="B858" s="13"/>
      <c r="C858" s="13"/>
    </row>
    <row r="859" spans="1:3" ht="13" x14ac:dyDescent="0.15">
      <c r="A859" s="10"/>
      <c r="B859" s="13"/>
      <c r="C859" s="13"/>
    </row>
    <row r="860" spans="1:3" ht="13" x14ac:dyDescent="0.15">
      <c r="A860" s="10"/>
      <c r="B860" s="13"/>
      <c r="C860" s="13"/>
    </row>
    <row r="861" spans="1:3" ht="13" x14ac:dyDescent="0.15">
      <c r="A861" s="10"/>
      <c r="B861" s="13"/>
      <c r="C861" s="13"/>
    </row>
    <row r="862" spans="1:3" ht="13" x14ac:dyDescent="0.15">
      <c r="A862" s="10"/>
      <c r="B862" s="13"/>
      <c r="C862" s="13"/>
    </row>
    <row r="863" spans="1:3" ht="13" x14ac:dyDescent="0.15">
      <c r="A863" s="10"/>
      <c r="B863" s="13"/>
      <c r="C863" s="13"/>
    </row>
    <row r="864" spans="1:3" ht="13" x14ac:dyDescent="0.15">
      <c r="A864" s="10"/>
      <c r="B864" s="13"/>
      <c r="C864" s="13"/>
    </row>
    <row r="865" spans="1:3" ht="13" x14ac:dyDescent="0.15">
      <c r="A865" s="10"/>
      <c r="B865" s="13"/>
      <c r="C865" s="13"/>
    </row>
    <row r="866" spans="1:3" ht="13" x14ac:dyDescent="0.15">
      <c r="A866" s="10"/>
      <c r="B866" s="13"/>
      <c r="C866" s="13"/>
    </row>
    <row r="867" spans="1:3" ht="13" x14ac:dyDescent="0.15">
      <c r="A867" s="10"/>
      <c r="B867" s="13"/>
      <c r="C867" s="13"/>
    </row>
    <row r="868" spans="1:3" ht="13" x14ac:dyDescent="0.15">
      <c r="A868" s="10"/>
      <c r="B868" s="13"/>
      <c r="C868" s="13"/>
    </row>
    <row r="869" spans="1:3" ht="13" x14ac:dyDescent="0.15">
      <c r="A869" s="10"/>
      <c r="B869" s="13"/>
      <c r="C869" s="13"/>
    </row>
    <row r="870" spans="1:3" ht="13" x14ac:dyDescent="0.15">
      <c r="A870" s="10"/>
      <c r="B870" s="13"/>
      <c r="C870" s="13"/>
    </row>
    <row r="871" spans="1:3" ht="13" x14ac:dyDescent="0.15">
      <c r="A871" s="10"/>
      <c r="B871" s="13"/>
      <c r="C871" s="13"/>
    </row>
    <row r="872" spans="1:3" ht="13" x14ac:dyDescent="0.15">
      <c r="A872" s="10"/>
      <c r="B872" s="13"/>
      <c r="C872" s="13"/>
    </row>
    <row r="873" spans="1:3" ht="13" x14ac:dyDescent="0.15">
      <c r="A873" s="10"/>
      <c r="B873" s="13"/>
      <c r="C873" s="13"/>
    </row>
    <row r="874" spans="1:3" ht="13" x14ac:dyDescent="0.15">
      <c r="A874" s="10"/>
      <c r="B874" s="13"/>
      <c r="C874" s="13"/>
    </row>
    <row r="875" spans="1:3" ht="13" x14ac:dyDescent="0.15">
      <c r="A875" s="10"/>
      <c r="B875" s="13"/>
      <c r="C875" s="13"/>
    </row>
    <row r="876" spans="1:3" ht="13" x14ac:dyDescent="0.15">
      <c r="A876" s="10"/>
      <c r="B876" s="13"/>
      <c r="C876" s="13"/>
    </row>
    <row r="877" spans="1:3" ht="13" x14ac:dyDescent="0.15">
      <c r="A877" s="10"/>
      <c r="B877" s="13"/>
      <c r="C877" s="13"/>
    </row>
    <row r="878" spans="1:3" ht="13" x14ac:dyDescent="0.15">
      <c r="A878" s="10"/>
      <c r="B878" s="13"/>
      <c r="C878" s="13"/>
    </row>
    <row r="879" spans="1:3" ht="13" x14ac:dyDescent="0.15">
      <c r="A879" s="10"/>
      <c r="B879" s="13"/>
      <c r="C879" s="13"/>
    </row>
    <row r="880" spans="1:3" ht="13" x14ac:dyDescent="0.15">
      <c r="A880" s="10"/>
      <c r="B880" s="13"/>
      <c r="C880" s="13"/>
    </row>
    <row r="881" spans="1:3" ht="13" x14ac:dyDescent="0.15">
      <c r="A881" s="10"/>
      <c r="B881" s="13"/>
      <c r="C881" s="13"/>
    </row>
    <row r="882" spans="1:3" ht="13" x14ac:dyDescent="0.15">
      <c r="A882" s="10"/>
      <c r="B882" s="13"/>
      <c r="C882" s="13"/>
    </row>
    <row r="883" spans="1:3" ht="13" x14ac:dyDescent="0.15">
      <c r="A883" s="10"/>
      <c r="B883" s="13"/>
      <c r="C883" s="13"/>
    </row>
    <row r="884" spans="1:3" ht="13" x14ac:dyDescent="0.15">
      <c r="A884" s="10"/>
      <c r="B884" s="13"/>
      <c r="C884" s="13"/>
    </row>
    <row r="885" spans="1:3" ht="13" x14ac:dyDescent="0.15">
      <c r="A885" s="10"/>
      <c r="B885" s="13"/>
      <c r="C885" s="13"/>
    </row>
    <row r="886" spans="1:3" ht="13" x14ac:dyDescent="0.15">
      <c r="A886" s="10"/>
      <c r="B886" s="13"/>
      <c r="C886" s="13"/>
    </row>
    <row r="887" spans="1:3" ht="13" x14ac:dyDescent="0.15">
      <c r="A887" s="10"/>
      <c r="B887" s="13"/>
      <c r="C887" s="13"/>
    </row>
    <row r="888" spans="1:3" ht="13" x14ac:dyDescent="0.15">
      <c r="A888" s="10"/>
      <c r="B888" s="13"/>
      <c r="C888" s="13"/>
    </row>
    <row r="889" spans="1:3" ht="13" x14ac:dyDescent="0.15">
      <c r="A889" s="10"/>
      <c r="B889" s="13"/>
      <c r="C889" s="13"/>
    </row>
    <row r="890" spans="1:3" ht="13" x14ac:dyDescent="0.15">
      <c r="A890" s="10"/>
      <c r="B890" s="13"/>
      <c r="C890" s="13"/>
    </row>
    <row r="891" spans="1:3" ht="13" x14ac:dyDescent="0.15">
      <c r="A891" s="10"/>
      <c r="B891" s="13"/>
      <c r="C891" s="13"/>
    </row>
    <row r="892" spans="1:3" ht="13" x14ac:dyDescent="0.15">
      <c r="A892" s="10"/>
      <c r="B892" s="13"/>
      <c r="C892" s="13"/>
    </row>
    <row r="893" spans="1:3" ht="13" x14ac:dyDescent="0.15">
      <c r="A893" s="10"/>
      <c r="B893" s="13"/>
      <c r="C893" s="13"/>
    </row>
    <row r="894" spans="1:3" ht="13" x14ac:dyDescent="0.15">
      <c r="A894" s="10"/>
      <c r="B894" s="13"/>
      <c r="C894" s="13"/>
    </row>
    <row r="895" spans="1:3" ht="13" x14ac:dyDescent="0.15">
      <c r="A895" s="10"/>
      <c r="B895" s="13"/>
      <c r="C895" s="13"/>
    </row>
    <row r="896" spans="1:3" ht="13" x14ac:dyDescent="0.15">
      <c r="A896" s="10"/>
      <c r="B896" s="13"/>
      <c r="C896" s="13"/>
    </row>
    <row r="897" spans="1:3" ht="13" x14ac:dyDescent="0.15">
      <c r="A897" s="10"/>
      <c r="B897" s="13"/>
      <c r="C897" s="13"/>
    </row>
    <row r="898" spans="1:3" ht="13" x14ac:dyDescent="0.15">
      <c r="A898" s="10"/>
      <c r="B898" s="13"/>
      <c r="C898" s="13"/>
    </row>
    <row r="899" spans="1:3" ht="13" x14ac:dyDescent="0.15">
      <c r="A899" s="10"/>
      <c r="B899" s="13"/>
      <c r="C899" s="13"/>
    </row>
    <row r="900" spans="1:3" ht="13" x14ac:dyDescent="0.15">
      <c r="A900" s="10"/>
      <c r="B900" s="13"/>
      <c r="C900" s="13"/>
    </row>
    <row r="901" spans="1:3" ht="13" x14ac:dyDescent="0.15">
      <c r="A901" s="10"/>
      <c r="B901" s="13"/>
      <c r="C901" s="13"/>
    </row>
    <row r="902" spans="1:3" ht="13" x14ac:dyDescent="0.15">
      <c r="A902" s="10"/>
      <c r="B902" s="13"/>
      <c r="C902" s="13"/>
    </row>
    <row r="903" spans="1:3" ht="13" x14ac:dyDescent="0.15">
      <c r="A903" s="10"/>
      <c r="B903" s="13"/>
      <c r="C903" s="13"/>
    </row>
    <row r="904" spans="1:3" ht="13" x14ac:dyDescent="0.15">
      <c r="A904" s="10"/>
      <c r="B904" s="13"/>
      <c r="C904" s="13"/>
    </row>
    <row r="905" spans="1:3" ht="13" x14ac:dyDescent="0.15">
      <c r="A905" s="10"/>
      <c r="B905" s="13"/>
      <c r="C905" s="13"/>
    </row>
    <row r="906" spans="1:3" ht="13" x14ac:dyDescent="0.15">
      <c r="A906" s="10"/>
      <c r="B906" s="13"/>
      <c r="C906" s="13"/>
    </row>
    <row r="907" spans="1:3" ht="13" x14ac:dyDescent="0.15">
      <c r="A907" s="10"/>
      <c r="B907" s="13"/>
      <c r="C907" s="13"/>
    </row>
    <row r="908" spans="1:3" ht="13" x14ac:dyDescent="0.15">
      <c r="A908" s="10"/>
      <c r="B908" s="13"/>
      <c r="C908" s="13"/>
    </row>
    <row r="909" spans="1:3" ht="13" x14ac:dyDescent="0.15">
      <c r="A909" s="10"/>
      <c r="B909" s="13"/>
      <c r="C909" s="13"/>
    </row>
    <row r="910" spans="1:3" ht="13" x14ac:dyDescent="0.15">
      <c r="A910" s="10"/>
      <c r="B910" s="13"/>
      <c r="C910" s="13"/>
    </row>
    <row r="911" spans="1:3" ht="13" x14ac:dyDescent="0.15">
      <c r="A911" s="10"/>
      <c r="B911" s="13"/>
      <c r="C911" s="13"/>
    </row>
    <row r="912" spans="1:3" ht="13" x14ac:dyDescent="0.15">
      <c r="A912" s="10"/>
      <c r="B912" s="13"/>
      <c r="C912" s="13"/>
    </row>
    <row r="913" spans="1:3" ht="13" x14ac:dyDescent="0.15">
      <c r="A913" s="10"/>
      <c r="B913" s="13"/>
      <c r="C913" s="13"/>
    </row>
    <row r="914" spans="1:3" ht="13" x14ac:dyDescent="0.15">
      <c r="A914" s="10"/>
      <c r="B914" s="13"/>
      <c r="C914" s="13"/>
    </row>
    <row r="915" spans="1:3" ht="13" x14ac:dyDescent="0.15">
      <c r="A915" s="10"/>
      <c r="B915" s="13"/>
      <c r="C915" s="13"/>
    </row>
    <row r="916" spans="1:3" ht="13" x14ac:dyDescent="0.15">
      <c r="A916" s="10"/>
      <c r="B916" s="13"/>
      <c r="C916" s="13"/>
    </row>
    <row r="917" spans="1:3" ht="13" x14ac:dyDescent="0.15">
      <c r="A917" s="10"/>
      <c r="B917" s="13"/>
      <c r="C917" s="13"/>
    </row>
    <row r="918" spans="1:3" ht="13" x14ac:dyDescent="0.15">
      <c r="A918" s="10"/>
      <c r="B918" s="13"/>
      <c r="C918" s="13"/>
    </row>
    <row r="919" spans="1:3" ht="13" x14ac:dyDescent="0.15">
      <c r="A919" s="10"/>
      <c r="B919" s="13"/>
      <c r="C919" s="13"/>
    </row>
    <row r="920" spans="1:3" ht="13" x14ac:dyDescent="0.15">
      <c r="A920" s="10"/>
      <c r="B920" s="13"/>
      <c r="C920" s="13"/>
    </row>
    <row r="921" spans="1:3" ht="13" x14ac:dyDescent="0.15">
      <c r="A921" s="10"/>
      <c r="B921" s="13"/>
      <c r="C921" s="13"/>
    </row>
    <row r="922" spans="1:3" ht="13" x14ac:dyDescent="0.15">
      <c r="A922" s="10"/>
      <c r="B922" s="13"/>
      <c r="C922" s="13"/>
    </row>
    <row r="923" spans="1:3" ht="13" x14ac:dyDescent="0.15">
      <c r="A923" s="10"/>
      <c r="B923" s="13"/>
      <c r="C923" s="13"/>
    </row>
    <row r="924" spans="1:3" ht="13" x14ac:dyDescent="0.15">
      <c r="A924" s="10"/>
      <c r="B924" s="13"/>
      <c r="C924" s="13"/>
    </row>
    <row r="925" spans="1:3" ht="13" x14ac:dyDescent="0.15">
      <c r="A925" s="10"/>
      <c r="B925" s="13"/>
      <c r="C925" s="13"/>
    </row>
    <row r="926" spans="1:3" ht="13" x14ac:dyDescent="0.15">
      <c r="A926" s="10"/>
      <c r="B926" s="13"/>
      <c r="C926" s="13"/>
    </row>
    <row r="927" spans="1:3" ht="13" x14ac:dyDescent="0.15">
      <c r="A927" s="10"/>
      <c r="B927" s="13"/>
      <c r="C927" s="13"/>
    </row>
    <row r="928" spans="1:3" ht="13" x14ac:dyDescent="0.15">
      <c r="A928" s="10"/>
      <c r="B928" s="13"/>
      <c r="C928" s="13"/>
    </row>
    <row r="929" spans="1:3" ht="13" x14ac:dyDescent="0.15">
      <c r="A929" s="10"/>
      <c r="B929" s="13"/>
      <c r="C929" s="13"/>
    </row>
    <row r="930" spans="1:3" ht="13" x14ac:dyDescent="0.15">
      <c r="A930" s="10"/>
      <c r="B930" s="13"/>
      <c r="C930" s="13"/>
    </row>
    <row r="931" spans="1:3" ht="13" x14ac:dyDescent="0.15">
      <c r="A931" s="10"/>
      <c r="B931" s="13"/>
      <c r="C931" s="13"/>
    </row>
    <row r="932" spans="1:3" ht="13" x14ac:dyDescent="0.15">
      <c r="A932" s="10"/>
      <c r="B932" s="13"/>
      <c r="C932" s="13"/>
    </row>
    <row r="933" spans="1:3" ht="13" x14ac:dyDescent="0.15">
      <c r="A933" s="10"/>
      <c r="B933" s="13"/>
      <c r="C933" s="13"/>
    </row>
    <row r="934" spans="1:3" ht="13" x14ac:dyDescent="0.15">
      <c r="A934" s="10"/>
      <c r="B934" s="13"/>
      <c r="C934" s="13"/>
    </row>
    <row r="935" spans="1:3" ht="13" x14ac:dyDescent="0.15">
      <c r="A935" s="10"/>
      <c r="B935" s="13"/>
      <c r="C935" s="13"/>
    </row>
    <row r="936" spans="1:3" ht="13" x14ac:dyDescent="0.15">
      <c r="A936" s="10"/>
      <c r="B936" s="13"/>
      <c r="C936" s="13"/>
    </row>
    <row r="937" spans="1:3" ht="13" x14ac:dyDescent="0.15">
      <c r="A937" s="10"/>
      <c r="B937" s="13"/>
      <c r="C937" s="13"/>
    </row>
    <row r="938" spans="1:3" ht="13" x14ac:dyDescent="0.15">
      <c r="A938" s="10"/>
      <c r="B938" s="13"/>
      <c r="C938" s="13"/>
    </row>
    <row r="939" spans="1:3" ht="13" x14ac:dyDescent="0.15">
      <c r="A939" s="10"/>
      <c r="B939" s="13"/>
      <c r="C939" s="13"/>
    </row>
    <row r="940" spans="1:3" ht="13" x14ac:dyDescent="0.15">
      <c r="A940" s="10"/>
      <c r="B940" s="13"/>
      <c r="C940" s="13"/>
    </row>
    <row r="941" spans="1:3" ht="13" x14ac:dyDescent="0.15">
      <c r="A941" s="10"/>
      <c r="B941" s="13"/>
      <c r="C941" s="13"/>
    </row>
    <row r="942" spans="1:3" ht="13" x14ac:dyDescent="0.15">
      <c r="A942" s="10"/>
      <c r="B942" s="13"/>
      <c r="C942" s="13"/>
    </row>
    <row r="943" spans="1:3" ht="13" x14ac:dyDescent="0.15">
      <c r="A943" s="10"/>
      <c r="B943" s="13"/>
      <c r="C943" s="13"/>
    </row>
    <row r="944" spans="1:3" ht="13" x14ac:dyDescent="0.15">
      <c r="A944" s="10"/>
      <c r="B944" s="13"/>
      <c r="C944" s="13"/>
    </row>
    <row r="945" spans="1:3" ht="13" x14ac:dyDescent="0.15">
      <c r="A945" s="10"/>
      <c r="B945" s="13"/>
      <c r="C945" s="13"/>
    </row>
    <row r="946" spans="1:3" ht="13" x14ac:dyDescent="0.15">
      <c r="A946" s="10"/>
      <c r="B946" s="13"/>
      <c r="C946" s="13"/>
    </row>
    <row r="947" spans="1:3" ht="13" x14ac:dyDescent="0.15">
      <c r="A947" s="10"/>
      <c r="B947" s="13"/>
      <c r="C947" s="13"/>
    </row>
    <row r="948" spans="1:3" ht="13" x14ac:dyDescent="0.15">
      <c r="A948" s="10"/>
      <c r="B948" s="13"/>
      <c r="C948" s="13"/>
    </row>
    <row r="949" spans="1:3" ht="13" x14ac:dyDescent="0.15">
      <c r="A949" s="10"/>
      <c r="B949" s="13"/>
      <c r="C949" s="13"/>
    </row>
    <row r="950" spans="1:3" ht="13" x14ac:dyDescent="0.15">
      <c r="A950" s="10"/>
      <c r="B950" s="13"/>
      <c r="C950" s="13"/>
    </row>
    <row r="951" spans="1:3" ht="13" x14ac:dyDescent="0.15">
      <c r="A951" s="10"/>
      <c r="B951" s="13"/>
      <c r="C951" s="13"/>
    </row>
    <row r="952" spans="1:3" ht="13" x14ac:dyDescent="0.15">
      <c r="A952" s="10"/>
      <c r="B952" s="13"/>
      <c r="C952" s="13"/>
    </row>
    <row r="953" spans="1:3" ht="13" x14ac:dyDescent="0.15">
      <c r="A953" s="10"/>
      <c r="B953" s="13"/>
      <c r="C953" s="13"/>
    </row>
    <row r="954" spans="1:3" ht="13" x14ac:dyDescent="0.15">
      <c r="A954" s="10"/>
      <c r="B954" s="13"/>
      <c r="C954" s="13"/>
    </row>
    <row r="955" spans="1:3" ht="13" x14ac:dyDescent="0.15">
      <c r="A955" s="10"/>
      <c r="B955" s="13"/>
      <c r="C955" s="13"/>
    </row>
    <row r="956" spans="1:3" ht="13" x14ac:dyDescent="0.15">
      <c r="A956" s="10"/>
      <c r="B956" s="13"/>
      <c r="C956" s="13"/>
    </row>
    <row r="957" spans="1:3" ht="13" x14ac:dyDescent="0.15">
      <c r="A957" s="10"/>
      <c r="B957" s="13"/>
      <c r="C957" s="13"/>
    </row>
    <row r="958" spans="1:3" ht="13" x14ac:dyDescent="0.15">
      <c r="A958" s="10"/>
      <c r="B958" s="13"/>
      <c r="C958" s="13"/>
    </row>
    <row r="959" spans="1:3" ht="13" x14ac:dyDescent="0.15">
      <c r="A959" s="10"/>
      <c r="B959" s="13"/>
      <c r="C959" s="13"/>
    </row>
    <row r="960" spans="1:3" ht="13" x14ac:dyDescent="0.15">
      <c r="A960" s="10"/>
      <c r="B960" s="13"/>
      <c r="C960" s="13"/>
    </row>
    <row r="961" spans="1:3" ht="13" x14ac:dyDescent="0.15">
      <c r="A961" s="10"/>
      <c r="B961" s="13"/>
      <c r="C961" s="13"/>
    </row>
    <row r="962" spans="1:3" ht="13" x14ac:dyDescent="0.15">
      <c r="A962" s="10"/>
      <c r="B962" s="13"/>
      <c r="C962" s="13"/>
    </row>
    <row r="963" spans="1:3" ht="13" x14ac:dyDescent="0.15">
      <c r="A963" s="10"/>
      <c r="B963" s="13"/>
      <c r="C963" s="13"/>
    </row>
    <row r="964" spans="1:3" ht="13" x14ac:dyDescent="0.15">
      <c r="A964" s="10"/>
      <c r="B964" s="13"/>
      <c r="C964" s="13"/>
    </row>
    <row r="965" spans="1:3" ht="13" x14ac:dyDescent="0.15">
      <c r="A965" s="10"/>
      <c r="B965" s="13"/>
      <c r="C965" s="13"/>
    </row>
    <row r="966" spans="1:3" ht="13" x14ac:dyDescent="0.15">
      <c r="A966" s="10"/>
      <c r="B966" s="13"/>
      <c r="C966" s="13"/>
    </row>
    <row r="967" spans="1:3" ht="13" x14ac:dyDescent="0.15">
      <c r="A967" s="10"/>
      <c r="B967" s="13"/>
      <c r="C967" s="13"/>
    </row>
    <row r="968" spans="1:3" ht="13" x14ac:dyDescent="0.15">
      <c r="A968" s="10"/>
      <c r="B968" s="13"/>
      <c r="C968" s="13"/>
    </row>
    <row r="969" spans="1:3" ht="13" x14ac:dyDescent="0.15">
      <c r="A969" s="10"/>
      <c r="B969" s="13"/>
      <c r="C969" s="13"/>
    </row>
    <row r="970" spans="1:3" ht="13" x14ac:dyDescent="0.15">
      <c r="A970" s="10"/>
      <c r="B970" s="13"/>
      <c r="C970" s="13"/>
    </row>
    <row r="971" spans="1:3" ht="13" x14ac:dyDescent="0.15">
      <c r="A971" s="10"/>
      <c r="B971" s="13"/>
      <c r="C971" s="13"/>
    </row>
    <row r="972" spans="1:3" ht="13" x14ac:dyDescent="0.15">
      <c r="A972" s="10"/>
      <c r="B972" s="13"/>
      <c r="C972" s="13"/>
    </row>
    <row r="973" spans="1:3" ht="13" x14ac:dyDescent="0.15">
      <c r="A973" s="10"/>
      <c r="B973" s="13"/>
      <c r="C973" s="13"/>
    </row>
    <row r="974" spans="1:3" ht="13" x14ac:dyDescent="0.15">
      <c r="A974" s="10"/>
      <c r="B974" s="13"/>
      <c r="C974" s="13"/>
    </row>
    <row r="975" spans="1:3" ht="13" x14ac:dyDescent="0.15">
      <c r="A975" s="10"/>
      <c r="B975" s="13"/>
      <c r="C975" s="13"/>
    </row>
    <row r="976" spans="1:3" ht="13" x14ac:dyDescent="0.15">
      <c r="A976" s="10"/>
      <c r="B976" s="13"/>
      <c r="C976" s="13"/>
    </row>
    <row r="977" spans="1:3" ht="13" x14ac:dyDescent="0.15">
      <c r="A977" s="10"/>
      <c r="B977" s="13"/>
      <c r="C977" s="13"/>
    </row>
    <row r="978" spans="1:3" ht="13" x14ac:dyDescent="0.15">
      <c r="A978" s="10"/>
      <c r="B978" s="13"/>
      <c r="C978" s="13"/>
    </row>
    <row r="979" spans="1:3" ht="13" x14ac:dyDescent="0.15">
      <c r="A979" s="10"/>
      <c r="B979" s="13"/>
      <c r="C979" s="13"/>
    </row>
    <row r="980" spans="1:3" ht="13" x14ac:dyDescent="0.15">
      <c r="A980" s="10"/>
      <c r="B980" s="13"/>
      <c r="C980" s="13"/>
    </row>
    <row r="981" spans="1:3" ht="13" x14ac:dyDescent="0.15">
      <c r="A981" s="10"/>
      <c r="B981" s="13"/>
      <c r="C981" s="13"/>
    </row>
    <row r="982" spans="1:3" ht="13" x14ac:dyDescent="0.15">
      <c r="A982" s="10"/>
      <c r="B982" s="13"/>
      <c r="C982" s="13"/>
    </row>
    <row r="983" spans="1:3" ht="13" x14ac:dyDescent="0.15">
      <c r="A983" s="10"/>
      <c r="B983" s="13"/>
      <c r="C983" s="13"/>
    </row>
    <row r="984" spans="1:3" ht="13" x14ac:dyDescent="0.15">
      <c r="A984" s="10"/>
      <c r="B984" s="13"/>
      <c r="C984" s="13"/>
    </row>
    <row r="985" spans="1:3" ht="13" x14ac:dyDescent="0.15">
      <c r="A985" s="10"/>
      <c r="B985" s="13"/>
      <c r="C985" s="13"/>
    </row>
    <row r="986" spans="1:3" ht="13" x14ac:dyDescent="0.15">
      <c r="A986" s="10"/>
      <c r="B986" s="13"/>
      <c r="C986" s="13"/>
    </row>
    <row r="987" spans="1:3" ht="13" x14ac:dyDescent="0.15">
      <c r="A987" s="10"/>
      <c r="B987" s="13"/>
      <c r="C987" s="13"/>
    </row>
    <row r="988" spans="1:3" ht="13" x14ac:dyDescent="0.15">
      <c r="A988" s="10"/>
      <c r="B988" s="13"/>
      <c r="C988" s="13"/>
    </row>
    <row r="989" spans="1:3" ht="13" x14ac:dyDescent="0.15">
      <c r="A989" s="10"/>
      <c r="B989" s="13"/>
      <c r="C989" s="13"/>
    </row>
    <row r="990" spans="1:3" ht="13" x14ac:dyDescent="0.15">
      <c r="A990" s="10"/>
      <c r="B990" s="13"/>
      <c r="C990" s="13"/>
    </row>
    <row r="991" spans="1:3" ht="13" x14ac:dyDescent="0.15">
      <c r="A991" s="10"/>
      <c r="B991" s="13"/>
      <c r="C991" s="13"/>
    </row>
    <row r="992" spans="1:3" ht="13" x14ac:dyDescent="0.15">
      <c r="A992" s="10"/>
      <c r="B992" s="13"/>
      <c r="C992" s="13"/>
    </row>
    <row r="993" spans="1:3" ht="13" x14ac:dyDescent="0.15">
      <c r="A993" s="10"/>
      <c r="B993" s="13"/>
      <c r="C993" s="13"/>
    </row>
    <row r="994" spans="1:3" ht="13" x14ac:dyDescent="0.15">
      <c r="A994" s="10"/>
      <c r="B994" s="13"/>
      <c r="C994" s="13"/>
    </row>
    <row r="995" spans="1:3" ht="13" x14ac:dyDescent="0.15">
      <c r="A995" s="10"/>
      <c r="B995" s="13"/>
      <c r="C995" s="13"/>
    </row>
    <row r="996" spans="1:3" ht="13" x14ac:dyDescent="0.15">
      <c r="A996" s="10"/>
      <c r="B996" s="13"/>
      <c r="C996" s="13"/>
    </row>
    <row r="997" spans="1:3" ht="13" x14ac:dyDescent="0.15">
      <c r="A997" s="10"/>
      <c r="B997" s="13"/>
      <c r="C997" s="13"/>
    </row>
  </sheetData>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outlinePr summaryBelow="0" summaryRight="0"/>
  </sheetPr>
  <dimension ref="A1:D997"/>
  <sheetViews>
    <sheetView workbookViewId="0"/>
  </sheetViews>
  <sheetFormatPr baseColWidth="10" defaultColWidth="12.6640625" defaultRowHeight="15.75" customHeight="1" x14ac:dyDescent="0.15"/>
  <cols>
    <col min="1" max="1" width="71.5" customWidth="1"/>
    <col min="2" max="4" width="37.6640625" customWidth="1"/>
  </cols>
  <sheetData>
    <row r="1" spans="1:4" x14ac:dyDescent="0.2">
      <c r="A1" s="1"/>
      <c r="B1" s="22" t="str">
        <f ca="1">IFERROR(__xludf.DUMMYFUNCTION("IMPORTRANGE(""https://docs.google.com/spreadsheets/u/0/d/1_NcUY7_L0-VKMwwoDwesshr7eGsHFBVPNg4YI6jkjhk"", ""A96!B1:B22"")"),"Noelle Labadens")</f>
        <v>Noelle Labadens</v>
      </c>
      <c r="C1" s="10" t="str">
        <f ca="1">IFERROR(__xludf.DUMMYFUNCTION("IMPORTRANGE(""https://docs.google.com/spreadsheets/u/0/d/1tjgC5crHxYL6PIwdjQvl-Lz18xb2WRifl2-5aQ8KGT8"", ""A96!B1:B22"")"),"Jake Stafford")</f>
        <v>Jake Stafford</v>
      </c>
      <c r="D1" s="2" t="s">
        <v>1</v>
      </c>
    </row>
    <row r="2" spans="1:4" ht="15.75" customHeight="1" x14ac:dyDescent="0.15">
      <c r="A2" s="3" t="s">
        <v>2</v>
      </c>
      <c r="B2" s="15" t="str">
        <f ca="1">IFERROR(__xludf.DUMMYFUNCTION("""COMPUTED_VALUE"""),"55915-56679 FOR")</f>
        <v>55915-56679 FOR</v>
      </c>
      <c r="C2" s="15" t="str">
        <f ca="1">IFERROR(__xludf.DUMMYFUNCTION("""COMPUTED_VALUE"""),"Start: 55195 Stop:56679 FOR")</f>
        <v>Start: 55195 Stop:56679 FOR</v>
      </c>
      <c r="D2" s="4"/>
    </row>
    <row r="3" spans="1:4" ht="15.75" customHeight="1" x14ac:dyDescent="0.15">
      <c r="A3" s="5" t="s">
        <v>3</v>
      </c>
      <c r="B3" s="17" t="str">
        <f ca="1">IFERROR(__xludf.DUMMYFUNCTION("""COMPUTED_VALUE"""),"DNA Master: 95, Phamerator: 96")</f>
        <v>DNA Master: 95, Phamerator: 96</v>
      </c>
      <c r="C3" s="17" t="str">
        <f ca="1">IFERROR(__xludf.DUMMYFUNCTION("""COMPUTED_VALUE"""),"96 in pham, 96 in DNAM")</f>
        <v>96 in pham, 96 in DNAM</v>
      </c>
      <c r="D3" s="6"/>
    </row>
    <row r="4" spans="1:4" ht="15.75" customHeight="1" x14ac:dyDescent="0.15">
      <c r="A4" s="5" t="s">
        <v>4</v>
      </c>
      <c r="B4" s="17" t="str">
        <f ca="1">IFERROR(__xludf.DUMMYFUNCTION("""COMPUTED_VALUE"""),"pham 219713")</f>
        <v>pham 219713</v>
      </c>
      <c r="C4" s="17" t="str">
        <f ca="1">IFERROR(__xludf.DUMMYFUNCTION("""COMPUTED_VALUE"""),"219713 3/17/25 ")</f>
        <v xml:space="preserve">219713 3/17/25 </v>
      </c>
      <c r="D4" s="6"/>
    </row>
    <row r="5" spans="1:4" ht="15.75" customHeight="1" x14ac:dyDescent="0.15">
      <c r="A5" s="5" t="s">
        <v>5</v>
      </c>
      <c r="B5" s="17" t="str">
        <f ca="1">IFERROR(__xludf.DUMMYFUNCTION("""COMPUTED_VALUE"""),"Kovu_94, Laroye_94")</f>
        <v>Kovu_94, Laroye_94</v>
      </c>
      <c r="C5" s="17" t="str">
        <f ca="1">IFERROR(__xludf.DUMMYFUNCTION("""COMPUTED_VALUE"""),"Edmundo_93, Kovu_94")</f>
        <v>Edmundo_93, Kovu_94</v>
      </c>
      <c r="D5" s="6"/>
    </row>
    <row r="6" spans="1:4" ht="15.75" customHeight="1" x14ac:dyDescent="0.15">
      <c r="A6" s="5" t="s">
        <v>6</v>
      </c>
      <c r="B6" s="17" t="str">
        <f ca="1">IFERROR(__xludf.DUMMYFUNCTION("""COMPUTED_VALUE"""),"Glimmer call, GeneMark called start at 56050")</f>
        <v>Glimmer call, GeneMark called start at 56050</v>
      </c>
      <c r="C6" s="17" t="str">
        <f ca="1">IFERROR(__xludf.DUMMYFUNCTION("""COMPUTED_VALUE"""),"Glimmer called 55195, Genemark called 56050")</f>
        <v>Glimmer called 55195, Genemark called 56050</v>
      </c>
      <c r="D6" s="6"/>
    </row>
    <row r="7" spans="1:4" ht="15.75" customHeight="1" x14ac:dyDescent="0.15">
      <c r="A7" s="5" t="s">
        <v>7</v>
      </c>
      <c r="B7" s="17" t="str">
        <f ca="1">IFERROR(__xludf.DUMMYFUNCTION("""COMPUTED_VALUE"""),"weird looking at the start. captures all potential, but it goes way over the start of the actual gene. Almost like the extra coding potential at the start covers for the lack of potential at the end of the previou gene.")</f>
        <v>weird looking at the start. captures all potential, but it goes way over the start of the actual gene. Almost like the extra coding potential at the start covers for the lack of potential at the end of the previou gene.</v>
      </c>
      <c r="C7" s="17" t="str">
        <f ca="1">IFERROR(__xludf.DUMMYFUNCTION("""COMPUTED_VALUE"""),"Has coding potential, all is included")</f>
        <v>Has coding potential, all is included</v>
      </c>
      <c r="D7" s="6"/>
    </row>
    <row r="8" spans="1:4" ht="15.75" customHeight="1" x14ac:dyDescent="0.15">
      <c r="A8" s="5" t="s">
        <v>8</v>
      </c>
      <c r="B8" s="17" t="str">
        <f ca="1">IFERROR(__xludf.DUMMYFUNCTION("""COMPUTED_VALUE"""),"yes")</f>
        <v>yes</v>
      </c>
      <c r="C8" s="17" t="str">
        <f ca="1">IFERROR(__xludf.DUMMYFUNCTION("""COMPUTED_VALUE"""),"longest ORF")</f>
        <v>longest ORF</v>
      </c>
      <c r="D8" s="6"/>
    </row>
    <row r="9" spans="1:4" ht="15.75" customHeight="1" x14ac:dyDescent="0.15">
      <c r="A9" s="5" t="s">
        <v>9</v>
      </c>
      <c r="B9" s="17" t="str">
        <f ca="1">IFERROR(__xludf.DUMMYFUNCTION("""COMPUTED_VALUE"""),"64 nt overlap")</f>
        <v>64 nt overlap</v>
      </c>
      <c r="C9" s="17" t="str">
        <f ca="1">IFERROR(__xludf.DUMMYFUNCTION("""COMPUTED_VALUE"""),"Gap of 64 nucleotides, 3' end of previous gene is 55979, start of current gene is 55915")</f>
        <v>Gap of 64 nucleotides, 3' end of previous gene is 55979, start of current gene is 55915</v>
      </c>
      <c r="D9" s="6"/>
    </row>
    <row r="10" spans="1:4" ht="15.75" customHeight="1" x14ac:dyDescent="0.15">
      <c r="A10" s="5" t="s">
        <v>10</v>
      </c>
      <c r="B10" s="17" t="str">
        <f ca="1">IFERROR(__xludf.DUMMYFUNCTION("""COMPUTED_VALUE"""),"Z score: 2.641, start 2 has the same z score. Start 3 is GeneMark's call but it has an awful z score")</f>
        <v>Z score: 2.641, start 2 has the same z score. Start 3 is GeneMark's call but it has an awful z score</v>
      </c>
      <c r="C10" s="17" t="str">
        <f ca="1">IFERROR(__xludf.DUMMYFUNCTION("""COMPUTED_VALUE"""),"Start#1 zscore: 2.641, Start#2 zscore: 2.641, Start#5 zscore: 2.479 ")</f>
        <v xml:space="preserve">Start#1 zscore: 2.641, Start#2 zscore: 2.641, Start#5 zscore: 2.479 </v>
      </c>
      <c r="D10" s="6"/>
    </row>
    <row r="11" spans="1:4" ht="15.75" customHeight="1" x14ac:dyDescent="0.15">
      <c r="A11" s="5" t="s">
        <v>11</v>
      </c>
      <c r="B11" s="17" t="str">
        <f ca="1">IFERROR(__xludf.DUMMYFUNCTION("""COMPUTED_VALUE"""),"Kovu_94, 81%, 2e-43 q:1, s:10")</f>
        <v>Kovu_94, 81%, 2e-43 q:1, s:10</v>
      </c>
      <c r="C11" s="17" t="str">
        <f ca="1">IFERROR(__xludf.DUMMYFUNCTION("""COMPUTED_VALUE"""),"Kovu_94 92.52% Identity, 8e-172. LiSara_91 95% Identity, 3e-132")</f>
        <v>Kovu_94 92.52% Identity, 8e-172. LiSara_91 95% Identity, 3e-132</v>
      </c>
      <c r="D11" s="6"/>
    </row>
    <row r="12" spans="1:4" ht="15.75" customHeight="1" x14ac:dyDescent="0.15">
      <c r="A12" s="5" t="s">
        <v>12</v>
      </c>
      <c r="B12" s="17" t="str">
        <f ca="1">IFERROR(__xludf.DUMMYFUNCTION("""COMPUTED_VALUE"""),"no, 88.9%")</f>
        <v>no, 88.9%</v>
      </c>
      <c r="C12" s="17" t="str">
        <f ca="1">IFERROR(__xludf.DUMMYFUNCTION("""COMPUTED_VALUE"""),"Found in 9/67 genes, called 88.8% of the time when present. All genes with similar start are in the AL domain")</f>
        <v>Found in 9/67 genes, called 88.8% of the time when present. All genes with similar start are in the AL domain</v>
      </c>
      <c r="D12" s="6"/>
    </row>
    <row r="13" spans="1:4" ht="15.75" customHeight="1" x14ac:dyDescent="0.15">
      <c r="A13" s="5" t="s">
        <v>13</v>
      </c>
      <c r="B13" s="17" t="str">
        <f ca="1">IFERROR(__xludf.DUMMYFUNCTION("""COMPUTED_VALUE"""),"no. This start is called in most if not all members of pham. the other z scores are bad. the overlap is similar to Kovu, and I beleive it helps out the privious gene. ")</f>
        <v xml:space="preserve">no. This start is called in most if not all members of pham. the other z scores are bad. the overlap is similar to Kovu, and I beleive it helps out the privious gene. </v>
      </c>
      <c r="C13" s="17" t="str">
        <f ca="1">IFERROR(__xludf.DUMMYFUNCTION("""COMPUTED_VALUE"""),"No, start found and called most of the time in phages in the domain AL. Longest ORF.")</f>
        <v>No, start found and called most of the time in phages in the domain AL. Longest ORF.</v>
      </c>
      <c r="D13" s="6"/>
    </row>
    <row r="14" spans="1:4" ht="15.75" customHeight="1" x14ac:dyDescent="0.15">
      <c r="A14" s="5" t="s">
        <v>14</v>
      </c>
      <c r="B14" s="17" t="str">
        <f ca="1">IFERROR(__xludf.DUMMYFUNCTION("""COMPUTED_VALUE"""),"Kovu_94 e-139, Salgado_94 e-108")</f>
        <v>Kovu_94 e-139, Salgado_94 e-108</v>
      </c>
      <c r="C14" s="17" t="str">
        <f ca="1">IFERROR(__xludf.DUMMYFUNCTION("""COMPUTED_VALUE"""),"Kovu_94 4e-139, LiSara_91 7e-108")</f>
        <v>Kovu_94 4e-139, LiSara_91 7e-108</v>
      </c>
      <c r="D14" s="6"/>
    </row>
    <row r="15" spans="1:4" ht="15.75" customHeight="1" x14ac:dyDescent="0.15">
      <c r="A15" s="5" t="s">
        <v>15</v>
      </c>
      <c r="B15" s="17" t="str">
        <f ca="1">IFERROR(__xludf.DUMMYFUNCTION("""COMPUTED_VALUE"""),"Cas4 exonuclease, Kovu_94")</f>
        <v>Cas4 exonuclease, Kovu_94</v>
      </c>
      <c r="C15" s="17" t="str">
        <f ca="1">IFERROR(__xludf.DUMMYFUNCTION("""COMPUTED_VALUE"""),"Kovu_94 (Cas4 exonuclease), LiSara_91 (exonuclease)")</f>
        <v>Kovu_94 (Cas4 exonuclease), LiSara_91 (exonuclease)</v>
      </c>
      <c r="D15" s="6"/>
    </row>
    <row r="16" spans="1:4" ht="15.75" customHeight="1" x14ac:dyDescent="0.15">
      <c r="A16" s="5" t="s">
        <v>16</v>
      </c>
      <c r="B16" s="17" t="str">
        <f ca="1">IFERROR(__xludf.DUMMYFUNCTION("""COMPUTED_VALUE"""),"yes, all genes to be expected")</f>
        <v>yes, all genes to be expected</v>
      </c>
      <c r="C16" s="17" t="str">
        <f ca="1">IFERROR(__xludf.DUMMYFUNCTION("""COMPUTED_VALUE"""),"yes, gene is located in similar area of Kovu, similar in Kovu from 89 through 98")</f>
        <v>yes, gene is located in similar area of Kovu, similar in Kovu from 89 through 98</v>
      </c>
      <c r="D16" s="6"/>
    </row>
    <row r="17" spans="1:4" ht="15.75" customHeight="1" x14ac:dyDescent="0.15">
      <c r="A17" s="5" t="s">
        <v>17</v>
      </c>
      <c r="B17" s="17" t="str">
        <f ca="1">IFERROR(__xludf.DUMMYFUNCTION("""COMPUTED_VALUE"""),"CRISPR-associated exonuclease Cas4; CRISPR Cas adaptation type I-C, HYDROLASE-DNA complex; 4.26A {Alkalihalobacillus halodurans C-125}; 99.78%, q:69.69% t:81.19%. yes. no.")</f>
        <v>CRISPR-associated exonuclease Cas4; CRISPR Cas adaptation type I-C, HYDROLASE-DNA complex; 4.26A {Alkalihalobacillus halodurans C-125}; 99.78%, q:69.69% t:81.19%. yes. no.</v>
      </c>
      <c r="C17" s="17" t="str">
        <f ca="1">IFERROR(__xludf.DUMMYFUNCTION("""COMPUTED_VALUE""")," CRISPR-associated exonuclease Cas4; CRISPR Cas adaptation type I-C, HYDROLASE-DNA complex; 4.26A {Alkalihalobacillus halodurans C-125}, 99.78% Prob, 69.69%allq, 81.19%allt. The functional domain is in the target part of the alignment. I feel that these m"&amp;"atches may need further exploration.")</f>
        <v xml:space="preserve"> CRISPR-associated exonuclease Cas4; CRISPR Cas adaptation type I-C, HYDROLASE-DNA complex; 4.26A {Alkalihalobacillus halodurans C-125}, 99.78% Prob, 69.69%allq, 81.19%allt. The functional domain is in the target part of the alignment. I feel that these matches may need further exploration.</v>
      </c>
      <c r="D17" s="6"/>
    </row>
    <row r="18" spans="1:4" ht="15.75" customHeight="1" x14ac:dyDescent="0.15">
      <c r="A18" s="5" t="s">
        <v>18</v>
      </c>
      <c r="B18" s="17" t="str">
        <f ca="1">IFERROR(__xludf.DUMMYFUNCTION("""COMPUTED_VALUE"""),"none")</f>
        <v>none</v>
      </c>
      <c r="C18" s="17" t="str">
        <f ca="1">IFERROR(__xludf.DUMMYFUNCTION("""COMPUTED_VALUE"""),"none")</f>
        <v>none</v>
      </c>
      <c r="D18" s="6"/>
    </row>
    <row r="19" spans="1:4" ht="15.75" customHeight="1" x14ac:dyDescent="0.15">
      <c r="A19" s="5" t="s">
        <v>19</v>
      </c>
      <c r="B19" s="17" t="str">
        <f ca="1">IFERROR(__xludf.DUMMYFUNCTION("""COMPUTED_VALUE"""),"none")</f>
        <v>none</v>
      </c>
      <c r="C19" s="17" t="str">
        <f ca="1">IFERROR(__xludf.DUMMYFUNCTION("""COMPUTED_VALUE"""),"none")</f>
        <v>none</v>
      </c>
      <c r="D19" s="6"/>
    </row>
    <row r="20" spans="1:4" ht="15.75" customHeight="1" x14ac:dyDescent="0.15">
      <c r="A20" s="5" t="s">
        <v>20</v>
      </c>
      <c r="B20" s="17" t="str">
        <f ca="1">IFERROR(__xludf.DUMMYFUNCTION("""COMPUTED_VALUE"""),"Cas4 family exonuclease. match to 4R5Q_A. similar call in all phams. added familiy like in phages approved functions list.")</f>
        <v>Cas4 family exonuclease. match to 4R5Q_A. similar call in all phams. added familiy like in phages approved functions list.</v>
      </c>
      <c r="C20" s="17" t="str">
        <f ca="1">IFERROR(__xludf.DUMMYFUNCTION("""COMPUTED_VALUE"""),"I think that this gene's function is a Cas4 exonuclease. Most homologous genes is either a Cas4 exonuclease or just a exonuclease.")</f>
        <v>I think that this gene's function is a Cas4 exonuclease. Most homologous genes is either a Cas4 exonuclease or just a exonuclease.</v>
      </c>
      <c r="D20" s="6"/>
    </row>
    <row r="21" spans="1:4" x14ac:dyDescent="0.2">
      <c r="A21" s="7"/>
      <c r="B21" s="19"/>
      <c r="C21" s="19"/>
      <c r="D21" s="8"/>
    </row>
    <row r="22" spans="1:4" ht="15.75" customHeight="1" x14ac:dyDescent="0.15">
      <c r="A22" s="9" t="s">
        <v>21</v>
      </c>
      <c r="B22" s="19"/>
      <c r="C22" s="19"/>
      <c r="D22" s="8"/>
    </row>
    <row r="23" spans="1:4" ht="15.75" customHeight="1" x14ac:dyDescent="0.15">
      <c r="A23" s="10"/>
      <c r="B23" s="13"/>
      <c r="C23" s="13"/>
    </row>
    <row r="24" spans="1:4" ht="15.75" customHeight="1" x14ac:dyDescent="0.15">
      <c r="A24" s="10"/>
      <c r="B24" s="13"/>
      <c r="C24" s="13"/>
    </row>
    <row r="25" spans="1:4" ht="15.75" customHeight="1" x14ac:dyDescent="0.15">
      <c r="A25" s="10"/>
      <c r="B25" s="13"/>
      <c r="C25" s="13"/>
    </row>
    <row r="26" spans="1:4" ht="15.75" customHeight="1" x14ac:dyDescent="0.15">
      <c r="A26" s="10"/>
      <c r="B26" s="13"/>
      <c r="C26" s="13"/>
    </row>
    <row r="27" spans="1:4" ht="15.75" customHeight="1" x14ac:dyDescent="0.15">
      <c r="A27" s="10"/>
      <c r="B27" s="13"/>
      <c r="C27" s="13"/>
    </row>
    <row r="28" spans="1:4" ht="15.75" customHeight="1" x14ac:dyDescent="0.15">
      <c r="A28" s="10"/>
      <c r="B28" s="13"/>
      <c r="C28" s="13"/>
    </row>
    <row r="29" spans="1:4" ht="15.75" customHeight="1" x14ac:dyDescent="0.15">
      <c r="A29" s="10"/>
      <c r="B29" s="13"/>
      <c r="C29" s="13"/>
    </row>
    <row r="30" spans="1:4" ht="15.75" customHeight="1" x14ac:dyDescent="0.15">
      <c r="A30" s="10"/>
      <c r="B30" s="13"/>
      <c r="C30" s="13"/>
    </row>
    <row r="31" spans="1:4" ht="15.75" customHeight="1" x14ac:dyDescent="0.15">
      <c r="A31" s="10"/>
      <c r="B31" s="13"/>
      <c r="C31" s="13"/>
    </row>
    <row r="32" spans="1:4" ht="15.75" customHeight="1" x14ac:dyDescent="0.15">
      <c r="A32" s="10"/>
      <c r="B32" s="13"/>
      <c r="C32" s="13"/>
    </row>
    <row r="33" spans="1:3" ht="15.75" customHeight="1" x14ac:dyDescent="0.15">
      <c r="A33" s="10"/>
      <c r="B33" s="13"/>
      <c r="C33" s="13"/>
    </row>
    <row r="34" spans="1:3" ht="15.75" customHeight="1" x14ac:dyDescent="0.15">
      <c r="A34" s="10"/>
      <c r="B34" s="13"/>
      <c r="C34" s="13"/>
    </row>
    <row r="35" spans="1:3" ht="15.75" customHeight="1" x14ac:dyDescent="0.15">
      <c r="A35" s="10"/>
      <c r="B35" s="13"/>
      <c r="C35" s="13"/>
    </row>
    <row r="36" spans="1:3" ht="15.75" customHeight="1" x14ac:dyDescent="0.15">
      <c r="A36" s="10"/>
      <c r="B36" s="13"/>
      <c r="C36" s="13"/>
    </row>
    <row r="37" spans="1:3" ht="15.75" customHeight="1" x14ac:dyDescent="0.15">
      <c r="A37" s="10"/>
      <c r="B37" s="13"/>
      <c r="C37" s="13"/>
    </row>
    <row r="38" spans="1:3" ht="15.75" customHeight="1" x14ac:dyDescent="0.15">
      <c r="A38" s="10"/>
      <c r="B38" s="13"/>
      <c r="C38" s="13"/>
    </row>
    <row r="39" spans="1:3" ht="13" x14ac:dyDescent="0.15">
      <c r="A39" s="10"/>
      <c r="B39" s="13"/>
      <c r="C39" s="13"/>
    </row>
    <row r="40" spans="1:3" ht="13" x14ac:dyDescent="0.15">
      <c r="A40" s="10"/>
      <c r="B40" s="13"/>
      <c r="C40" s="13"/>
    </row>
    <row r="41" spans="1:3" ht="13" x14ac:dyDescent="0.15">
      <c r="A41" s="10"/>
      <c r="B41" s="13"/>
      <c r="C41" s="13"/>
    </row>
    <row r="42" spans="1:3" ht="13" x14ac:dyDescent="0.15">
      <c r="A42" s="10"/>
      <c r="B42" s="13"/>
      <c r="C42" s="13"/>
    </row>
    <row r="43" spans="1:3" ht="13" x14ac:dyDescent="0.15">
      <c r="A43" s="10"/>
      <c r="B43" s="13"/>
      <c r="C43" s="13"/>
    </row>
    <row r="44" spans="1:3" ht="13" x14ac:dyDescent="0.15">
      <c r="A44" s="10"/>
      <c r="B44" s="13"/>
      <c r="C44" s="13"/>
    </row>
    <row r="45" spans="1:3" ht="13" x14ac:dyDescent="0.15">
      <c r="A45" s="10"/>
      <c r="B45" s="13"/>
      <c r="C45" s="13"/>
    </row>
    <row r="46" spans="1:3" ht="13" x14ac:dyDescent="0.15">
      <c r="A46" s="10"/>
      <c r="B46" s="13"/>
      <c r="C46" s="13"/>
    </row>
    <row r="47" spans="1:3" ht="13" x14ac:dyDescent="0.15">
      <c r="A47" s="10"/>
      <c r="B47" s="13"/>
      <c r="C47" s="13"/>
    </row>
    <row r="48" spans="1:3" ht="13" x14ac:dyDescent="0.15">
      <c r="A48" s="10"/>
      <c r="B48" s="13"/>
      <c r="C48" s="13"/>
    </row>
    <row r="49" spans="1:3" ht="13" x14ac:dyDescent="0.15">
      <c r="A49" s="10"/>
      <c r="B49" s="13"/>
      <c r="C49" s="13"/>
    </row>
    <row r="50" spans="1:3" ht="13" x14ac:dyDescent="0.15">
      <c r="A50" s="10"/>
      <c r="B50" s="13"/>
      <c r="C50" s="13"/>
    </row>
    <row r="51" spans="1:3" ht="13" x14ac:dyDescent="0.15">
      <c r="A51" s="10"/>
      <c r="B51" s="13"/>
      <c r="C51" s="13"/>
    </row>
    <row r="52" spans="1:3" ht="13" x14ac:dyDescent="0.15">
      <c r="A52" s="10"/>
      <c r="B52" s="13"/>
      <c r="C52" s="13"/>
    </row>
    <row r="53" spans="1:3" ht="13" x14ac:dyDescent="0.15">
      <c r="A53" s="10"/>
      <c r="B53" s="13"/>
      <c r="C53" s="13"/>
    </row>
    <row r="54" spans="1:3" ht="13" x14ac:dyDescent="0.15">
      <c r="A54" s="10"/>
      <c r="B54" s="13"/>
      <c r="C54" s="13"/>
    </row>
    <row r="55" spans="1:3" ht="13" x14ac:dyDescent="0.15">
      <c r="A55" s="10"/>
      <c r="B55" s="13"/>
      <c r="C55" s="13"/>
    </row>
    <row r="56" spans="1:3" ht="13" x14ac:dyDescent="0.15">
      <c r="A56" s="10"/>
      <c r="B56" s="13"/>
      <c r="C56" s="13"/>
    </row>
    <row r="57" spans="1:3" ht="13" x14ac:dyDescent="0.15">
      <c r="A57" s="10"/>
      <c r="B57" s="13"/>
      <c r="C57" s="13"/>
    </row>
    <row r="58" spans="1:3" ht="13" x14ac:dyDescent="0.15">
      <c r="A58" s="10"/>
      <c r="B58" s="13"/>
      <c r="C58" s="13"/>
    </row>
    <row r="59" spans="1:3" ht="13" x14ac:dyDescent="0.15">
      <c r="A59" s="10"/>
      <c r="B59" s="13"/>
      <c r="C59" s="13"/>
    </row>
    <row r="60" spans="1:3" ht="13" x14ac:dyDescent="0.15">
      <c r="A60" s="10"/>
      <c r="B60" s="13"/>
      <c r="C60" s="13"/>
    </row>
    <row r="61" spans="1:3" ht="13" x14ac:dyDescent="0.15">
      <c r="A61" s="10"/>
      <c r="B61" s="13"/>
      <c r="C61" s="13"/>
    </row>
    <row r="62" spans="1:3" ht="13" x14ac:dyDescent="0.15">
      <c r="A62" s="10"/>
      <c r="B62" s="13"/>
      <c r="C62" s="13"/>
    </row>
    <row r="63" spans="1:3" ht="13" x14ac:dyDescent="0.15">
      <c r="A63" s="10"/>
      <c r="B63" s="13"/>
      <c r="C63" s="13"/>
    </row>
    <row r="64" spans="1:3" ht="13" x14ac:dyDescent="0.15">
      <c r="A64" s="10"/>
      <c r="B64" s="13"/>
      <c r="C64" s="13"/>
    </row>
    <row r="65" spans="1:3" ht="13" x14ac:dyDescent="0.15">
      <c r="A65" s="10"/>
      <c r="B65" s="13"/>
      <c r="C65" s="13"/>
    </row>
    <row r="66" spans="1:3" ht="13" x14ac:dyDescent="0.15">
      <c r="A66" s="10"/>
      <c r="B66" s="13"/>
      <c r="C66" s="13"/>
    </row>
    <row r="67" spans="1:3" ht="13" x14ac:dyDescent="0.15">
      <c r="A67" s="10"/>
      <c r="B67" s="13"/>
      <c r="C67" s="13"/>
    </row>
    <row r="68" spans="1:3" ht="13" x14ac:dyDescent="0.15">
      <c r="A68" s="10"/>
      <c r="B68" s="13"/>
      <c r="C68" s="13"/>
    </row>
    <row r="69" spans="1:3" ht="13" x14ac:dyDescent="0.15">
      <c r="A69" s="10"/>
      <c r="B69" s="13"/>
      <c r="C69" s="13"/>
    </row>
    <row r="70" spans="1:3" ht="13" x14ac:dyDescent="0.15">
      <c r="A70" s="10"/>
      <c r="B70" s="13"/>
      <c r="C70" s="13"/>
    </row>
    <row r="71" spans="1:3" ht="13" x14ac:dyDescent="0.15">
      <c r="A71" s="10"/>
      <c r="B71" s="13"/>
      <c r="C71" s="13"/>
    </row>
    <row r="72" spans="1:3" ht="13" x14ac:dyDescent="0.15">
      <c r="A72" s="10"/>
      <c r="B72" s="13"/>
      <c r="C72" s="13"/>
    </row>
    <row r="73" spans="1:3" ht="13" x14ac:dyDescent="0.15">
      <c r="A73" s="10"/>
      <c r="B73" s="13"/>
      <c r="C73" s="13"/>
    </row>
    <row r="74" spans="1:3" ht="13" x14ac:dyDescent="0.15">
      <c r="A74" s="10"/>
      <c r="B74" s="13"/>
      <c r="C74" s="13"/>
    </row>
    <row r="75" spans="1:3" ht="13" x14ac:dyDescent="0.15">
      <c r="A75" s="10"/>
      <c r="B75" s="13"/>
      <c r="C75" s="13"/>
    </row>
    <row r="76" spans="1:3" ht="13" x14ac:dyDescent="0.15">
      <c r="A76" s="10"/>
      <c r="B76" s="13"/>
      <c r="C76" s="13"/>
    </row>
    <row r="77" spans="1:3" ht="13" x14ac:dyDescent="0.15">
      <c r="A77" s="10"/>
      <c r="B77" s="13"/>
      <c r="C77" s="13"/>
    </row>
    <row r="78" spans="1:3" ht="13" x14ac:dyDescent="0.15">
      <c r="A78" s="10"/>
      <c r="B78" s="13"/>
      <c r="C78" s="13"/>
    </row>
    <row r="79" spans="1:3" ht="13" x14ac:dyDescent="0.15">
      <c r="A79" s="10"/>
      <c r="B79" s="13"/>
      <c r="C79" s="13"/>
    </row>
    <row r="80" spans="1:3" ht="13" x14ac:dyDescent="0.15">
      <c r="A80" s="10"/>
      <c r="B80" s="13"/>
      <c r="C80" s="13"/>
    </row>
    <row r="81" spans="1:3" ht="13" x14ac:dyDescent="0.15">
      <c r="A81" s="10"/>
      <c r="B81" s="13"/>
      <c r="C81" s="13"/>
    </row>
    <row r="82" spans="1:3" ht="13" x14ac:dyDescent="0.15">
      <c r="A82" s="10"/>
      <c r="B82" s="13"/>
      <c r="C82" s="13"/>
    </row>
    <row r="83" spans="1:3" ht="13" x14ac:dyDescent="0.15">
      <c r="A83" s="10"/>
      <c r="B83" s="13"/>
      <c r="C83" s="13"/>
    </row>
    <row r="84" spans="1:3" ht="13" x14ac:dyDescent="0.15">
      <c r="A84" s="10"/>
      <c r="B84" s="13"/>
      <c r="C84" s="13"/>
    </row>
    <row r="85" spans="1:3" ht="13" x14ac:dyDescent="0.15">
      <c r="A85" s="10"/>
      <c r="B85" s="13"/>
      <c r="C85" s="13"/>
    </row>
    <row r="86" spans="1:3" ht="13" x14ac:dyDescent="0.15">
      <c r="A86" s="10"/>
      <c r="B86" s="13"/>
      <c r="C86" s="13"/>
    </row>
    <row r="87" spans="1:3" ht="13" x14ac:dyDescent="0.15">
      <c r="A87" s="10"/>
      <c r="B87" s="13"/>
      <c r="C87" s="13"/>
    </row>
    <row r="88" spans="1:3" ht="13" x14ac:dyDescent="0.15">
      <c r="A88" s="10"/>
      <c r="B88" s="13"/>
      <c r="C88" s="13"/>
    </row>
    <row r="89" spans="1:3" ht="13" x14ac:dyDescent="0.15">
      <c r="A89" s="10"/>
      <c r="B89" s="13"/>
      <c r="C89" s="13"/>
    </row>
    <row r="90" spans="1:3" ht="13" x14ac:dyDescent="0.15">
      <c r="A90" s="10"/>
      <c r="B90" s="13"/>
      <c r="C90" s="13"/>
    </row>
    <row r="91" spans="1:3" ht="13" x14ac:dyDescent="0.15">
      <c r="A91" s="10"/>
      <c r="B91" s="13"/>
      <c r="C91" s="13"/>
    </row>
    <row r="92" spans="1:3" ht="13" x14ac:dyDescent="0.15">
      <c r="A92" s="10"/>
      <c r="B92" s="13"/>
      <c r="C92" s="13"/>
    </row>
    <row r="93" spans="1:3" ht="13" x14ac:dyDescent="0.15">
      <c r="A93" s="10"/>
      <c r="B93" s="13"/>
      <c r="C93" s="13"/>
    </row>
    <row r="94" spans="1:3" ht="13" x14ac:dyDescent="0.15">
      <c r="A94" s="10"/>
      <c r="B94" s="13"/>
      <c r="C94" s="13"/>
    </row>
    <row r="95" spans="1:3" ht="13" x14ac:dyDescent="0.15">
      <c r="A95" s="10"/>
      <c r="B95" s="13"/>
      <c r="C95" s="13"/>
    </row>
    <row r="96" spans="1:3" ht="13" x14ac:dyDescent="0.15">
      <c r="A96" s="10"/>
      <c r="B96" s="13"/>
      <c r="C96" s="13"/>
    </row>
    <row r="97" spans="1:3" ht="13" x14ac:dyDescent="0.15">
      <c r="A97" s="10"/>
      <c r="B97" s="13"/>
      <c r="C97" s="13"/>
    </row>
    <row r="98" spans="1:3" ht="13" x14ac:dyDescent="0.15">
      <c r="A98" s="10"/>
      <c r="B98" s="13"/>
      <c r="C98" s="13"/>
    </row>
    <row r="99" spans="1:3" ht="13" x14ac:dyDescent="0.15">
      <c r="A99" s="10"/>
      <c r="B99" s="13"/>
      <c r="C99" s="13"/>
    </row>
    <row r="100" spans="1:3" ht="13" x14ac:dyDescent="0.15">
      <c r="A100" s="10"/>
      <c r="B100" s="13"/>
      <c r="C100" s="13"/>
    </row>
    <row r="101" spans="1:3" ht="13" x14ac:dyDescent="0.15">
      <c r="A101" s="10"/>
      <c r="B101" s="13"/>
      <c r="C101" s="13"/>
    </row>
    <row r="102" spans="1:3" ht="13" x14ac:dyDescent="0.15">
      <c r="A102" s="10"/>
      <c r="B102" s="13"/>
      <c r="C102" s="13"/>
    </row>
    <row r="103" spans="1:3" ht="13" x14ac:dyDescent="0.15">
      <c r="A103" s="10"/>
      <c r="B103" s="13"/>
      <c r="C103" s="13"/>
    </row>
    <row r="104" spans="1:3" ht="13" x14ac:dyDescent="0.15">
      <c r="A104" s="10"/>
      <c r="B104" s="13"/>
      <c r="C104" s="13"/>
    </row>
    <row r="105" spans="1:3" ht="13" x14ac:dyDescent="0.15">
      <c r="A105" s="10"/>
      <c r="B105" s="13"/>
      <c r="C105" s="13"/>
    </row>
    <row r="106" spans="1:3" ht="13" x14ac:dyDescent="0.15">
      <c r="A106" s="10"/>
      <c r="B106" s="13"/>
      <c r="C106" s="13"/>
    </row>
    <row r="107" spans="1:3" ht="13" x14ac:dyDescent="0.15">
      <c r="A107" s="10"/>
      <c r="B107" s="13"/>
      <c r="C107" s="13"/>
    </row>
    <row r="108" spans="1:3" ht="13" x14ac:dyDescent="0.15">
      <c r="A108" s="10"/>
      <c r="B108" s="13"/>
      <c r="C108" s="13"/>
    </row>
    <row r="109" spans="1:3" ht="13" x14ac:dyDescent="0.15">
      <c r="A109" s="10"/>
      <c r="B109" s="13"/>
      <c r="C109" s="13"/>
    </row>
    <row r="110" spans="1:3" ht="13" x14ac:dyDescent="0.15">
      <c r="A110" s="10"/>
      <c r="B110" s="13"/>
      <c r="C110" s="13"/>
    </row>
    <row r="111" spans="1:3" ht="13" x14ac:dyDescent="0.15">
      <c r="A111" s="10"/>
      <c r="B111" s="13"/>
      <c r="C111" s="13"/>
    </row>
    <row r="112" spans="1:3" ht="13" x14ac:dyDescent="0.15">
      <c r="A112" s="10"/>
      <c r="B112" s="13"/>
      <c r="C112" s="13"/>
    </row>
    <row r="113" spans="1:3" ht="13" x14ac:dyDescent="0.15">
      <c r="A113" s="10"/>
      <c r="B113" s="13"/>
      <c r="C113" s="13"/>
    </row>
    <row r="114" spans="1:3" ht="13" x14ac:dyDescent="0.15">
      <c r="A114" s="10"/>
      <c r="B114" s="13"/>
      <c r="C114" s="13"/>
    </row>
    <row r="115" spans="1:3" ht="13" x14ac:dyDescent="0.15">
      <c r="A115" s="10"/>
      <c r="B115" s="13"/>
      <c r="C115" s="13"/>
    </row>
    <row r="116" spans="1:3" ht="13" x14ac:dyDescent="0.15">
      <c r="A116" s="10"/>
      <c r="B116" s="13"/>
      <c r="C116" s="13"/>
    </row>
    <row r="117" spans="1:3" ht="13" x14ac:dyDescent="0.15">
      <c r="A117" s="10"/>
      <c r="B117" s="13"/>
      <c r="C117" s="13"/>
    </row>
    <row r="118" spans="1:3" ht="13" x14ac:dyDescent="0.15">
      <c r="A118" s="10"/>
      <c r="B118" s="13"/>
      <c r="C118" s="13"/>
    </row>
    <row r="119" spans="1:3" ht="13" x14ac:dyDescent="0.15">
      <c r="A119" s="10"/>
      <c r="B119" s="13"/>
      <c r="C119" s="13"/>
    </row>
    <row r="120" spans="1:3" ht="13" x14ac:dyDescent="0.15">
      <c r="A120" s="10"/>
      <c r="B120" s="13"/>
      <c r="C120" s="13"/>
    </row>
    <row r="121" spans="1:3" ht="13" x14ac:dyDescent="0.15">
      <c r="A121" s="10"/>
      <c r="B121" s="13"/>
      <c r="C121" s="13"/>
    </row>
    <row r="122" spans="1:3" ht="13" x14ac:dyDescent="0.15">
      <c r="A122" s="10"/>
      <c r="B122" s="13"/>
      <c r="C122" s="13"/>
    </row>
    <row r="123" spans="1:3" ht="13" x14ac:dyDescent="0.15">
      <c r="A123" s="10"/>
      <c r="B123" s="13"/>
      <c r="C123" s="13"/>
    </row>
    <row r="124" spans="1:3" ht="13" x14ac:dyDescent="0.15">
      <c r="A124" s="10"/>
      <c r="B124" s="13"/>
      <c r="C124" s="13"/>
    </row>
    <row r="125" spans="1:3" ht="13" x14ac:dyDescent="0.15">
      <c r="A125" s="10"/>
      <c r="B125" s="13"/>
      <c r="C125" s="13"/>
    </row>
    <row r="126" spans="1:3" ht="13" x14ac:dyDescent="0.15">
      <c r="A126" s="10"/>
      <c r="B126" s="13"/>
      <c r="C126" s="13"/>
    </row>
    <row r="127" spans="1:3" ht="13" x14ac:dyDescent="0.15">
      <c r="A127" s="10"/>
      <c r="B127" s="13"/>
      <c r="C127" s="13"/>
    </row>
    <row r="128" spans="1:3" ht="13" x14ac:dyDescent="0.15">
      <c r="A128" s="10"/>
      <c r="B128" s="13"/>
      <c r="C128" s="13"/>
    </row>
    <row r="129" spans="1:3" ht="13" x14ac:dyDescent="0.15">
      <c r="A129" s="10"/>
      <c r="B129" s="13"/>
      <c r="C129" s="13"/>
    </row>
    <row r="130" spans="1:3" ht="13" x14ac:dyDescent="0.15">
      <c r="A130" s="10"/>
      <c r="B130" s="13"/>
      <c r="C130" s="13"/>
    </row>
    <row r="131" spans="1:3" ht="13" x14ac:dyDescent="0.15">
      <c r="A131" s="10"/>
      <c r="B131" s="13"/>
      <c r="C131" s="13"/>
    </row>
    <row r="132" spans="1:3" ht="13" x14ac:dyDescent="0.15">
      <c r="A132" s="10"/>
      <c r="B132" s="13"/>
      <c r="C132" s="13"/>
    </row>
    <row r="133" spans="1:3" ht="13" x14ac:dyDescent="0.15">
      <c r="A133" s="10"/>
      <c r="B133" s="13"/>
      <c r="C133" s="13"/>
    </row>
    <row r="134" spans="1:3" ht="13" x14ac:dyDescent="0.15">
      <c r="A134" s="10"/>
      <c r="B134" s="13"/>
      <c r="C134" s="13"/>
    </row>
    <row r="135" spans="1:3" ht="13" x14ac:dyDescent="0.15">
      <c r="A135" s="10"/>
      <c r="B135" s="13"/>
      <c r="C135" s="13"/>
    </row>
    <row r="136" spans="1:3" ht="13" x14ac:dyDescent="0.15">
      <c r="A136" s="10"/>
      <c r="B136" s="13"/>
      <c r="C136" s="13"/>
    </row>
    <row r="137" spans="1:3" ht="13" x14ac:dyDescent="0.15">
      <c r="A137" s="10"/>
      <c r="B137" s="13"/>
      <c r="C137" s="13"/>
    </row>
    <row r="138" spans="1:3" ht="13" x14ac:dyDescent="0.15">
      <c r="A138" s="10"/>
      <c r="B138" s="13"/>
      <c r="C138" s="13"/>
    </row>
    <row r="139" spans="1:3" ht="13" x14ac:dyDescent="0.15">
      <c r="A139" s="10"/>
      <c r="B139" s="13"/>
      <c r="C139" s="13"/>
    </row>
    <row r="140" spans="1:3" ht="13" x14ac:dyDescent="0.15">
      <c r="A140" s="10"/>
      <c r="B140" s="13"/>
      <c r="C140" s="13"/>
    </row>
    <row r="141" spans="1:3" ht="13" x14ac:dyDescent="0.15">
      <c r="A141" s="10"/>
      <c r="B141" s="13"/>
      <c r="C141" s="13"/>
    </row>
    <row r="142" spans="1:3" ht="13" x14ac:dyDescent="0.15">
      <c r="A142" s="10"/>
      <c r="B142" s="13"/>
      <c r="C142" s="13"/>
    </row>
    <row r="143" spans="1:3" ht="13" x14ac:dyDescent="0.15">
      <c r="A143" s="10"/>
      <c r="B143" s="13"/>
      <c r="C143" s="13"/>
    </row>
    <row r="144" spans="1:3" ht="13" x14ac:dyDescent="0.15">
      <c r="A144" s="10"/>
      <c r="B144" s="13"/>
      <c r="C144" s="13"/>
    </row>
    <row r="145" spans="1:3" ht="13" x14ac:dyDescent="0.15">
      <c r="A145" s="10"/>
      <c r="B145" s="13"/>
      <c r="C145" s="13"/>
    </row>
    <row r="146" spans="1:3" ht="13" x14ac:dyDescent="0.15">
      <c r="A146" s="10"/>
      <c r="B146" s="13"/>
      <c r="C146" s="13"/>
    </row>
    <row r="147" spans="1:3" ht="13" x14ac:dyDescent="0.15">
      <c r="A147" s="10"/>
      <c r="B147" s="13"/>
      <c r="C147" s="13"/>
    </row>
    <row r="148" spans="1:3" ht="13" x14ac:dyDescent="0.15">
      <c r="A148" s="10"/>
      <c r="B148" s="13"/>
      <c r="C148" s="13"/>
    </row>
    <row r="149" spans="1:3" ht="13" x14ac:dyDescent="0.15">
      <c r="A149" s="10"/>
      <c r="B149" s="13"/>
      <c r="C149" s="13"/>
    </row>
    <row r="150" spans="1:3" ht="13" x14ac:dyDescent="0.15">
      <c r="A150" s="10"/>
      <c r="B150" s="13"/>
      <c r="C150" s="13"/>
    </row>
    <row r="151" spans="1:3" ht="13" x14ac:dyDescent="0.15">
      <c r="A151" s="10"/>
      <c r="B151" s="13"/>
      <c r="C151" s="13"/>
    </row>
    <row r="152" spans="1:3" ht="13" x14ac:dyDescent="0.15">
      <c r="A152" s="10"/>
      <c r="B152" s="13"/>
      <c r="C152" s="13"/>
    </row>
    <row r="153" spans="1:3" ht="13" x14ac:dyDescent="0.15">
      <c r="A153" s="10"/>
      <c r="B153" s="13"/>
      <c r="C153" s="13"/>
    </row>
    <row r="154" spans="1:3" ht="13" x14ac:dyDescent="0.15">
      <c r="A154" s="10"/>
      <c r="B154" s="13"/>
      <c r="C154" s="13"/>
    </row>
    <row r="155" spans="1:3" ht="13" x14ac:dyDescent="0.15">
      <c r="A155" s="10"/>
      <c r="B155" s="13"/>
      <c r="C155" s="13"/>
    </row>
    <row r="156" spans="1:3" ht="13" x14ac:dyDescent="0.15">
      <c r="A156" s="10"/>
      <c r="B156" s="13"/>
      <c r="C156" s="13"/>
    </row>
    <row r="157" spans="1:3" ht="13" x14ac:dyDescent="0.15">
      <c r="A157" s="10"/>
      <c r="B157" s="13"/>
      <c r="C157" s="13"/>
    </row>
    <row r="158" spans="1:3" ht="13" x14ac:dyDescent="0.15">
      <c r="A158" s="10"/>
      <c r="B158" s="13"/>
      <c r="C158" s="13"/>
    </row>
    <row r="159" spans="1:3" ht="13" x14ac:dyDescent="0.15">
      <c r="A159" s="10"/>
      <c r="B159" s="13"/>
      <c r="C159" s="13"/>
    </row>
    <row r="160" spans="1:3" ht="13" x14ac:dyDescent="0.15">
      <c r="A160" s="10"/>
      <c r="B160" s="13"/>
      <c r="C160" s="13"/>
    </row>
    <row r="161" spans="1:3" ht="13" x14ac:dyDescent="0.15">
      <c r="A161" s="10"/>
      <c r="B161" s="13"/>
      <c r="C161" s="13"/>
    </row>
    <row r="162" spans="1:3" ht="13" x14ac:dyDescent="0.15">
      <c r="A162" s="10"/>
      <c r="B162" s="13"/>
      <c r="C162" s="13"/>
    </row>
    <row r="163" spans="1:3" ht="13" x14ac:dyDescent="0.15">
      <c r="A163" s="10"/>
      <c r="B163" s="13"/>
      <c r="C163" s="13"/>
    </row>
    <row r="164" spans="1:3" ht="13" x14ac:dyDescent="0.15">
      <c r="A164" s="10"/>
      <c r="B164" s="13"/>
      <c r="C164" s="13"/>
    </row>
    <row r="165" spans="1:3" ht="13" x14ac:dyDescent="0.15">
      <c r="A165" s="10"/>
      <c r="B165" s="13"/>
      <c r="C165" s="13"/>
    </row>
    <row r="166" spans="1:3" ht="13" x14ac:dyDescent="0.15">
      <c r="A166" s="10"/>
      <c r="B166" s="13"/>
      <c r="C166" s="13"/>
    </row>
    <row r="167" spans="1:3" ht="13" x14ac:dyDescent="0.15">
      <c r="A167" s="10"/>
      <c r="B167" s="13"/>
      <c r="C167" s="13"/>
    </row>
    <row r="168" spans="1:3" ht="13" x14ac:dyDescent="0.15">
      <c r="A168" s="10"/>
      <c r="B168" s="13"/>
      <c r="C168" s="13"/>
    </row>
    <row r="169" spans="1:3" ht="13" x14ac:dyDescent="0.15">
      <c r="A169" s="10"/>
      <c r="B169" s="13"/>
      <c r="C169" s="13"/>
    </row>
    <row r="170" spans="1:3" ht="13" x14ac:dyDescent="0.15">
      <c r="A170" s="10"/>
      <c r="B170" s="13"/>
      <c r="C170" s="13"/>
    </row>
    <row r="171" spans="1:3" ht="13" x14ac:dyDescent="0.15">
      <c r="A171" s="10"/>
      <c r="B171" s="13"/>
      <c r="C171" s="13"/>
    </row>
    <row r="172" spans="1:3" ht="13" x14ac:dyDescent="0.15">
      <c r="A172" s="10"/>
      <c r="B172" s="13"/>
      <c r="C172" s="13"/>
    </row>
    <row r="173" spans="1:3" ht="13" x14ac:dyDescent="0.15">
      <c r="A173" s="10"/>
      <c r="B173" s="13"/>
      <c r="C173" s="13"/>
    </row>
    <row r="174" spans="1:3" ht="13" x14ac:dyDescent="0.15">
      <c r="A174" s="10"/>
      <c r="B174" s="13"/>
      <c r="C174" s="13"/>
    </row>
    <row r="175" spans="1:3" ht="13" x14ac:dyDescent="0.15">
      <c r="A175" s="10"/>
      <c r="B175" s="13"/>
      <c r="C175" s="13"/>
    </row>
    <row r="176" spans="1:3" ht="13" x14ac:dyDescent="0.15">
      <c r="A176" s="10"/>
      <c r="B176" s="13"/>
      <c r="C176" s="13"/>
    </row>
    <row r="177" spans="1:3" ht="13" x14ac:dyDescent="0.15">
      <c r="A177" s="10"/>
      <c r="B177" s="13"/>
      <c r="C177" s="13"/>
    </row>
    <row r="178" spans="1:3" ht="13" x14ac:dyDescent="0.15">
      <c r="A178" s="10"/>
      <c r="B178" s="13"/>
      <c r="C178" s="13"/>
    </row>
    <row r="179" spans="1:3" ht="13" x14ac:dyDescent="0.15">
      <c r="A179" s="10"/>
      <c r="B179" s="13"/>
      <c r="C179" s="13"/>
    </row>
    <row r="180" spans="1:3" ht="13" x14ac:dyDescent="0.15">
      <c r="A180" s="10"/>
      <c r="B180" s="13"/>
      <c r="C180" s="13"/>
    </row>
    <row r="181" spans="1:3" ht="13" x14ac:dyDescent="0.15">
      <c r="A181" s="10"/>
      <c r="B181" s="13"/>
      <c r="C181" s="13"/>
    </row>
    <row r="182" spans="1:3" ht="13" x14ac:dyDescent="0.15">
      <c r="A182" s="10"/>
      <c r="B182" s="13"/>
      <c r="C182" s="13"/>
    </row>
    <row r="183" spans="1:3" ht="13" x14ac:dyDescent="0.15">
      <c r="A183" s="10"/>
      <c r="B183" s="13"/>
      <c r="C183" s="13"/>
    </row>
    <row r="184" spans="1:3" ht="13" x14ac:dyDescent="0.15">
      <c r="A184" s="10"/>
      <c r="B184" s="13"/>
      <c r="C184" s="13"/>
    </row>
    <row r="185" spans="1:3" ht="13" x14ac:dyDescent="0.15">
      <c r="A185" s="10"/>
      <c r="B185" s="13"/>
      <c r="C185" s="13"/>
    </row>
    <row r="186" spans="1:3" ht="13" x14ac:dyDescent="0.15">
      <c r="A186" s="10"/>
      <c r="B186" s="13"/>
      <c r="C186" s="13"/>
    </row>
    <row r="187" spans="1:3" ht="13" x14ac:dyDescent="0.15">
      <c r="A187" s="10"/>
      <c r="B187" s="13"/>
      <c r="C187" s="13"/>
    </row>
    <row r="188" spans="1:3" ht="13" x14ac:dyDescent="0.15">
      <c r="A188" s="10"/>
      <c r="B188" s="13"/>
      <c r="C188" s="13"/>
    </row>
    <row r="189" spans="1:3" ht="13" x14ac:dyDescent="0.15">
      <c r="A189" s="10"/>
      <c r="B189" s="13"/>
      <c r="C189" s="13"/>
    </row>
    <row r="190" spans="1:3" ht="13" x14ac:dyDescent="0.15">
      <c r="A190" s="10"/>
      <c r="B190" s="13"/>
      <c r="C190" s="13"/>
    </row>
    <row r="191" spans="1:3" ht="13" x14ac:dyDescent="0.15">
      <c r="A191" s="10"/>
      <c r="B191" s="13"/>
      <c r="C191" s="13"/>
    </row>
    <row r="192" spans="1:3" ht="13" x14ac:dyDescent="0.15">
      <c r="A192" s="10"/>
      <c r="B192" s="13"/>
      <c r="C192" s="13"/>
    </row>
    <row r="193" spans="1:3" ht="13" x14ac:dyDescent="0.15">
      <c r="A193" s="10"/>
      <c r="B193" s="13"/>
      <c r="C193" s="13"/>
    </row>
    <row r="194" spans="1:3" ht="13" x14ac:dyDescent="0.15">
      <c r="A194" s="10"/>
      <c r="B194" s="13"/>
      <c r="C194" s="13"/>
    </row>
    <row r="195" spans="1:3" ht="13" x14ac:dyDescent="0.15">
      <c r="A195" s="10"/>
      <c r="B195" s="13"/>
      <c r="C195" s="13"/>
    </row>
    <row r="196" spans="1:3" ht="13" x14ac:dyDescent="0.15">
      <c r="A196" s="10"/>
      <c r="B196" s="13"/>
      <c r="C196" s="13"/>
    </row>
    <row r="197" spans="1:3" ht="13" x14ac:dyDescent="0.15">
      <c r="A197" s="10"/>
      <c r="B197" s="13"/>
      <c r="C197" s="13"/>
    </row>
    <row r="198" spans="1:3" ht="13" x14ac:dyDescent="0.15">
      <c r="A198" s="10"/>
      <c r="B198" s="13"/>
      <c r="C198" s="13"/>
    </row>
    <row r="199" spans="1:3" ht="13" x14ac:dyDescent="0.15">
      <c r="A199" s="10"/>
      <c r="B199" s="13"/>
      <c r="C199" s="13"/>
    </row>
    <row r="200" spans="1:3" ht="13" x14ac:dyDescent="0.15">
      <c r="A200" s="10"/>
      <c r="B200" s="13"/>
      <c r="C200" s="13"/>
    </row>
    <row r="201" spans="1:3" ht="13" x14ac:dyDescent="0.15">
      <c r="A201" s="10"/>
      <c r="B201" s="13"/>
      <c r="C201" s="13"/>
    </row>
    <row r="202" spans="1:3" ht="13" x14ac:dyDescent="0.15">
      <c r="A202" s="10"/>
      <c r="B202" s="13"/>
      <c r="C202" s="13"/>
    </row>
    <row r="203" spans="1:3" ht="13" x14ac:dyDescent="0.15">
      <c r="A203" s="10"/>
      <c r="B203" s="13"/>
      <c r="C203" s="13"/>
    </row>
    <row r="204" spans="1:3" ht="13" x14ac:dyDescent="0.15">
      <c r="A204" s="10"/>
      <c r="B204" s="13"/>
      <c r="C204" s="13"/>
    </row>
    <row r="205" spans="1:3" ht="13" x14ac:dyDescent="0.15">
      <c r="A205" s="10"/>
      <c r="B205" s="13"/>
      <c r="C205" s="13"/>
    </row>
    <row r="206" spans="1:3" ht="13" x14ac:dyDescent="0.15">
      <c r="A206" s="10"/>
      <c r="B206" s="13"/>
      <c r="C206" s="13"/>
    </row>
    <row r="207" spans="1:3" ht="13" x14ac:dyDescent="0.15">
      <c r="A207" s="10"/>
      <c r="B207" s="13"/>
      <c r="C207" s="13"/>
    </row>
    <row r="208" spans="1:3" ht="13" x14ac:dyDescent="0.15">
      <c r="A208" s="10"/>
      <c r="B208" s="13"/>
      <c r="C208" s="13"/>
    </row>
    <row r="209" spans="1:3" ht="13" x14ac:dyDescent="0.15">
      <c r="A209" s="10"/>
      <c r="B209" s="13"/>
      <c r="C209" s="13"/>
    </row>
    <row r="210" spans="1:3" ht="13" x14ac:dyDescent="0.15">
      <c r="A210" s="10"/>
      <c r="B210" s="13"/>
      <c r="C210" s="13"/>
    </row>
    <row r="211" spans="1:3" ht="13" x14ac:dyDescent="0.15">
      <c r="A211" s="10"/>
      <c r="B211" s="13"/>
      <c r="C211" s="13"/>
    </row>
    <row r="212" spans="1:3" ht="13" x14ac:dyDescent="0.15">
      <c r="A212" s="10"/>
      <c r="B212" s="13"/>
      <c r="C212" s="13"/>
    </row>
    <row r="213" spans="1:3" ht="13" x14ac:dyDescent="0.15">
      <c r="A213" s="10"/>
      <c r="B213" s="13"/>
      <c r="C213" s="13"/>
    </row>
    <row r="214" spans="1:3" ht="13" x14ac:dyDescent="0.15">
      <c r="A214" s="10"/>
      <c r="B214" s="13"/>
      <c r="C214" s="13"/>
    </row>
    <row r="215" spans="1:3" ht="13" x14ac:dyDescent="0.15">
      <c r="A215" s="10"/>
      <c r="B215" s="13"/>
      <c r="C215" s="13"/>
    </row>
    <row r="216" spans="1:3" ht="13" x14ac:dyDescent="0.15">
      <c r="A216" s="10"/>
      <c r="B216" s="13"/>
      <c r="C216" s="13"/>
    </row>
    <row r="217" spans="1:3" ht="13" x14ac:dyDescent="0.15">
      <c r="A217" s="10"/>
      <c r="B217" s="13"/>
      <c r="C217" s="13"/>
    </row>
    <row r="218" spans="1:3" ht="13" x14ac:dyDescent="0.15">
      <c r="A218" s="10"/>
      <c r="B218" s="13"/>
      <c r="C218" s="13"/>
    </row>
    <row r="219" spans="1:3" ht="13" x14ac:dyDescent="0.15">
      <c r="A219" s="10"/>
      <c r="B219" s="13"/>
      <c r="C219" s="13"/>
    </row>
    <row r="220" spans="1:3" ht="13" x14ac:dyDescent="0.15">
      <c r="A220" s="10"/>
      <c r="B220" s="13"/>
      <c r="C220" s="13"/>
    </row>
    <row r="221" spans="1:3" ht="13" x14ac:dyDescent="0.15">
      <c r="A221" s="10"/>
      <c r="B221" s="13"/>
      <c r="C221" s="13"/>
    </row>
    <row r="222" spans="1:3" ht="13" x14ac:dyDescent="0.15">
      <c r="A222" s="10"/>
      <c r="B222" s="13"/>
      <c r="C222" s="13"/>
    </row>
    <row r="223" spans="1:3" ht="13" x14ac:dyDescent="0.15">
      <c r="A223" s="10"/>
      <c r="B223" s="13"/>
      <c r="C223" s="13"/>
    </row>
    <row r="224" spans="1:3" ht="13" x14ac:dyDescent="0.15">
      <c r="A224" s="10"/>
      <c r="B224" s="13"/>
      <c r="C224" s="13"/>
    </row>
    <row r="225" spans="1:3" ht="13" x14ac:dyDescent="0.15">
      <c r="A225" s="10"/>
      <c r="B225" s="13"/>
      <c r="C225" s="13"/>
    </row>
    <row r="226" spans="1:3" ht="13" x14ac:dyDescent="0.15">
      <c r="A226" s="10"/>
      <c r="B226" s="13"/>
      <c r="C226" s="13"/>
    </row>
    <row r="227" spans="1:3" ht="13" x14ac:dyDescent="0.15">
      <c r="A227" s="10"/>
      <c r="B227" s="13"/>
      <c r="C227" s="13"/>
    </row>
    <row r="228" spans="1:3" ht="13" x14ac:dyDescent="0.15">
      <c r="A228" s="10"/>
      <c r="B228" s="13"/>
      <c r="C228" s="13"/>
    </row>
    <row r="229" spans="1:3" ht="13" x14ac:dyDescent="0.15">
      <c r="A229" s="10"/>
      <c r="B229" s="13"/>
      <c r="C229" s="13"/>
    </row>
    <row r="230" spans="1:3" ht="13" x14ac:dyDescent="0.15">
      <c r="A230" s="10"/>
      <c r="B230" s="13"/>
      <c r="C230" s="13"/>
    </row>
    <row r="231" spans="1:3" ht="13" x14ac:dyDescent="0.15">
      <c r="A231" s="10"/>
      <c r="B231" s="13"/>
      <c r="C231" s="13"/>
    </row>
    <row r="232" spans="1:3" ht="13" x14ac:dyDescent="0.15">
      <c r="A232" s="10"/>
      <c r="B232" s="13"/>
      <c r="C232" s="13"/>
    </row>
    <row r="233" spans="1:3" ht="13" x14ac:dyDescent="0.15">
      <c r="A233" s="10"/>
      <c r="B233" s="13"/>
      <c r="C233" s="13"/>
    </row>
    <row r="234" spans="1:3" ht="13" x14ac:dyDescent="0.15">
      <c r="A234" s="10"/>
      <c r="B234" s="13"/>
      <c r="C234" s="13"/>
    </row>
    <row r="235" spans="1:3" ht="13" x14ac:dyDescent="0.15">
      <c r="A235" s="10"/>
      <c r="B235" s="13"/>
      <c r="C235" s="13"/>
    </row>
    <row r="236" spans="1:3" ht="13" x14ac:dyDescent="0.15">
      <c r="A236" s="10"/>
      <c r="B236" s="13"/>
      <c r="C236" s="13"/>
    </row>
    <row r="237" spans="1:3" ht="13" x14ac:dyDescent="0.15">
      <c r="A237" s="10"/>
      <c r="B237" s="13"/>
      <c r="C237" s="13"/>
    </row>
    <row r="238" spans="1:3" ht="13" x14ac:dyDescent="0.15">
      <c r="A238" s="10"/>
      <c r="B238" s="13"/>
      <c r="C238" s="13"/>
    </row>
    <row r="239" spans="1:3" ht="13" x14ac:dyDescent="0.15">
      <c r="A239" s="10"/>
      <c r="B239" s="13"/>
      <c r="C239" s="13"/>
    </row>
    <row r="240" spans="1:3" ht="13" x14ac:dyDescent="0.15">
      <c r="A240" s="10"/>
      <c r="B240" s="13"/>
      <c r="C240" s="13"/>
    </row>
    <row r="241" spans="1:3" ht="13" x14ac:dyDescent="0.15">
      <c r="A241" s="10"/>
      <c r="B241" s="13"/>
      <c r="C241" s="13"/>
    </row>
    <row r="242" spans="1:3" ht="13" x14ac:dyDescent="0.15">
      <c r="A242" s="10"/>
      <c r="B242" s="13"/>
      <c r="C242" s="13"/>
    </row>
    <row r="243" spans="1:3" ht="13" x14ac:dyDescent="0.15">
      <c r="A243" s="10"/>
      <c r="B243" s="13"/>
      <c r="C243" s="13"/>
    </row>
    <row r="244" spans="1:3" ht="13" x14ac:dyDescent="0.15">
      <c r="A244" s="10"/>
      <c r="B244" s="13"/>
      <c r="C244" s="13"/>
    </row>
    <row r="245" spans="1:3" ht="13" x14ac:dyDescent="0.15">
      <c r="A245" s="10"/>
      <c r="B245" s="13"/>
      <c r="C245" s="13"/>
    </row>
    <row r="246" spans="1:3" ht="13" x14ac:dyDescent="0.15">
      <c r="A246" s="10"/>
      <c r="B246" s="13"/>
      <c r="C246" s="13"/>
    </row>
    <row r="247" spans="1:3" ht="13" x14ac:dyDescent="0.15">
      <c r="A247" s="10"/>
      <c r="B247" s="13"/>
      <c r="C247" s="13"/>
    </row>
    <row r="248" spans="1:3" ht="13" x14ac:dyDescent="0.15">
      <c r="A248" s="10"/>
      <c r="B248" s="13"/>
      <c r="C248" s="13"/>
    </row>
    <row r="249" spans="1:3" ht="13" x14ac:dyDescent="0.15">
      <c r="A249" s="10"/>
      <c r="B249" s="13"/>
      <c r="C249" s="13"/>
    </row>
    <row r="250" spans="1:3" ht="13" x14ac:dyDescent="0.15">
      <c r="A250" s="10"/>
      <c r="B250" s="13"/>
      <c r="C250" s="13"/>
    </row>
    <row r="251" spans="1:3" ht="13" x14ac:dyDescent="0.15">
      <c r="A251" s="10"/>
      <c r="B251" s="13"/>
      <c r="C251" s="13"/>
    </row>
    <row r="252" spans="1:3" ht="13" x14ac:dyDescent="0.15">
      <c r="A252" s="10"/>
      <c r="B252" s="13"/>
      <c r="C252" s="13"/>
    </row>
    <row r="253" spans="1:3" ht="13" x14ac:dyDescent="0.15">
      <c r="A253" s="10"/>
      <c r="B253" s="13"/>
      <c r="C253" s="13"/>
    </row>
    <row r="254" spans="1:3" ht="13" x14ac:dyDescent="0.15">
      <c r="A254" s="10"/>
      <c r="B254" s="13"/>
      <c r="C254" s="13"/>
    </row>
    <row r="255" spans="1:3" ht="13" x14ac:dyDescent="0.15">
      <c r="A255" s="10"/>
      <c r="B255" s="13"/>
      <c r="C255" s="13"/>
    </row>
    <row r="256" spans="1:3" ht="13" x14ac:dyDescent="0.15">
      <c r="A256" s="10"/>
      <c r="B256" s="13"/>
      <c r="C256" s="13"/>
    </row>
    <row r="257" spans="1:3" ht="13" x14ac:dyDescent="0.15">
      <c r="A257" s="10"/>
      <c r="B257" s="13"/>
      <c r="C257" s="13"/>
    </row>
    <row r="258" spans="1:3" ht="13" x14ac:dyDescent="0.15">
      <c r="A258" s="10"/>
      <c r="B258" s="13"/>
      <c r="C258" s="13"/>
    </row>
    <row r="259" spans="1:3" ht="13" x14ac:dyDescent="0.15">
      <c r="A259" s="10"/>
      <c r="B259" s="13"/>
      <c r="C259" s="13"/>
    </row>
    <row r="260" spans="1:3" ht="13" x14ac:dyDescent="0.15">
      <c r="A260" s="10"/>
      <c r="B260" s="13"/>
      <c r="C260" s="13"/>
    </row>
    <row r="261" spans="1:3" ht="13" x14ac:dyDescent="0.15">
      <c r="A261" s="10"/>
      <c r="B261" s="13"/>
      <c r="C261" s="13"/>
    </row>
    <row r="262" spans="1:3" ht="13" x14ac:dyDescent="0.15">
      <c r="A262" s="10"/>
      <c r="B262" s="13"/>
      <c r="C262" s="13"/>
    </row>
    <row r="263" spans="1:3" ht="13" x14ac:dyDescent="0.15">
      <c r="A263" s="10"/>
      <c r="B263" s="13"/>
      <c r="C263" s="13"/>
    </row>
    <row r="264" spans="1:3" ht="13" x14ac:dyDescent="0.15">
      <c r="A264" s="10"/>
      <c r="B264" s="13"/>
      <c r="C264" s="13"/>
    </row>
    <row r="265" spans="1:3" ht="13" x14ac:dyDescent="0.15">
      <c r="A265" s="10"/>
      <c r="B265" s="13"/>
      <c r="C265" s="13"/>
    </row>
    <row r="266" spans="1:3" ht="13" x14ac:dyDescent="0.15">
      <c r="A266" s="10"/>
      <c r="B266" s="13"/>
      <c r="C266" s="13"/>
    </row>
    <row r="267" spans="1:3" ht="13" x14ac:dyDescent="0.15">
      <c r="A267" s="10"/>
      <c r="B267" s="13"/>
      <c r="C267" s="13"/>
    </row>
    <row r="268" spans="1:3" ht="13" x14ac:dyDescent="0.15">
      <c r="A268" s="10"/>
      <c r="B268" s="13"/>
      <c r="C268" s="13"/>
    </row>
    <row r="269" spans="1:3" ht="13" x14ac:dyDescent="0.15">
      <c r="A269" s="10"/>
      <c r="B269" s="13"/>
      <c r="C269" s="13"/>
    </row>
    <row r="270" spans="1:3" ht="13" x14ac:dyDescent="0.15">
      <c r="A270" s="10"/>
      <c r="B270" s="13"/>
      <c r="C270" s="13"/>
    </row>
    <row r="271" spans="1:3" ht="13" x14ac:dyDescent="0.15">
      <c r="A271" s="10"/>
      <c r="B271" s="13"/>
      <c r="C271" s="13"/>
    </row>
    <row r="272" spans="1:3" ht="13" x14ac:dyDescent="0.15">
      <c r="A272" s="10"/>
      <c r="B272" s="13"/>
      <c r="C272" s="13"/>
    </row>
    <row r="273" spans="1:3" ht="13" x14ac:dyDescent="0.15">
      <c r="A273" s="10"/>
      <c r="B273" s="13"/>
      <c r="C273" s="13"/>
    </row>
    <row r="274" spans="1:3" ht="13" x14ac:dyDescent="0.15">
      <c r="A274" s="10"/>
      <c r="B274" s="13"/>
      <c r="C274" s="13"/>
    </row>
    <row r="275" spans="1:3" ht="13" x14ac:dyDescent="0.15">
      <c r="A275" s="10"/>
      <c r="B275" s="13"/>
      <c r="C275" s="13"/>
    </row>
    <row r="276" spans="1:3" ht="13" x14ac:dyDescent="0.15">
      <c r="A276" s="10"/>
      <c r="B276" s="13"/>
      <c r="C276" s="13"/>
    </row>
    <row r="277" spans="1:3" ht="13" x14ac:dyDescent="0.15">
      <c r="A277" s="10"/>
      <c r="B277" s="13"/>
      <c r="C277" s="13"/>
    </row>
    <row r="278" spans="1:3" ht="13" x14ac:dyDescent="0.15">
      <c r="A278" s="10"/>
      <c r="B278" s="13"/>
      <c r="C278" s="13"/>
    </row>
    <row r="279" spans="1:3" ht="13" x14ac:dyDescent="0.15">
      <c r="A279" s="10"/>
      <c r="B279" s="13"/>
      <c r="C279" s="13"/>
    </row>
    <row r="280" spans="1:3" ht="13" x14ac:dyDescent="0.15">
      <c r="A280" s="10"/>
      <c r="B280" s="13"/>
      <c r="C280" s="13"/>
    </row>
    <row r="281" spans="1:3" ht="13" x14ac:dyDescent="0.15">
      <c r="A281" s="10"/>
      <c r="B281" s="13"/>
      <c r="C281" s="13"/>
    </row>
    <row r="282" spans="1:3" ht="13" x14ac:dyDescent="0.15">
      <c r="A282" s="10"/>
      <c r="B282" s="13"/>
      <c r="C282" s="13"/>
    </row>
    <row r="283" spans="1:3" ht="13" x14ac:dyDescent="0.15">
      <c r="A283" s="10"/>
      <c r="B283" s="13"/>
      <c r="C283" s="13"/>
    </row>
    <row r="284" spans="1:3" ht="13" x14ac:dyDescent="0.15">
      <c r="A284" s="10"/>
      <c r="B284" s="13"/>
      <c r="C284" s="13"/>
    </row>
    <row r="285" spans="1:3" ht="13" x14ac:dyDescent="0.15">
      <c r="A285" s="10"/>
      <c r="B285" s="13"/>
      <c r="C285" s="13"/>
    </row>
    <row r="286" spans="1:3" ht="13" x14ac:dyDescent="0.15">
      <c r="A286" s="10"/>
      <c r="B286" s="13"/>
      <c r="C286" s="13"/>
    </row>
    <row r="287" spans="1:3" ht="13" x14ac:dyDescent="0.15">
      <c r="A287" s="10"/>
      <c r="B287" s="13"/>
      <c r="C287" s="13"/>
    </row>
    <row r="288" spans="1:3" ht="13" x14ac:dyDescent="0.15">
      <c r="A288" s="10"/>
      <c r="B288" s="13"/>
      <c r="C288" s="13"/>
    </row>
    <row r="289" spans="1:3" ht="13" x14ac:dyDescent="0.15">
      <c r="A289" s="10"/>
      <c r="B289" s="13"/>
      <c r="C289" s="13"/>
    </row>
    <row r="290" spans="1:3" ht="13" x14ac:dyDescent="0.15">
      <c r="A290" s="10"/>
      <c r="B290" s="13"/>
      <c r="C290" s="13"/>
    </row>
    <row r="291" spans="1:3" ht="13" x14ac:dyDescent="0.15">
      <c r="A291" s="10"/>
      <c r="B291" s="13"/>
      <c r="C291" s="13"/>
    </row>
    <row r="292" spans="1:3" ht="13" x14ac:dyDescent="0.15">
      <c r="A292" s="10"/>
      <c r="B292" s="13"/>
      <c r="C292" s="13"/>
    </row>
    <row r="293" spans="1:3" ht="13" x14ac:dyDescent="0.15">
      <c r="A293" s="10"/>
      <c r="B293" s="13"/>
      <c r="C293" s="13"/>
    </row>
    <row r="294" spans="1:3" ht="13" x14ac:dyDescent="0.15">
      <c r="A294" s="10"/>
      <c r="B294" s="13"/>
      <c r="C294" s="13"/>
    </row>
    <row r="295" spans="1:3" ht="13" x14ac:dyDescent="0.15">
      <c r="A295" s="10"/>
      <c r="B295" s="13"/>
      <c r="C295" s="13"/>
    </row>
    <row r="296" spans="1:3" ht="13" x14ac:dyDescent="0.15">
      <c r="A296" s="10"/>
      <c r="B296" s="13"/>
      <c r="C296" s="13"/>
    </row>
    <row r="297" spans="1:3" ht="13" x14ac:dyDescent="0.15">
      <c r="A297" s="10"/>
      <c r="B297" s="13"/>
      <c r="C297" s="13"/>
    </row>
    <row r="298" spans="1:3" ht="13" x14ac:dyDescent="0.15">
      <c r="A298" s="10"/>
      <c r="B298" s="13"/>
      <c r="C298" s="13"/>
    </row>
    <row r="299" spans="1:3" ht="13" x14ac:dyDescent="0.15">
      <c r="A299" s="10"/>
      <c r="B299" s="13"/>
      <c r="C299" s="13"/>
    </row>
    <row r="300" spans="1:3" ht="13" x14ac:dyDescent="0.15">
      <c r="A300" s="10"/>
      <c r="B300" s="13"/>
      <c r="C300" s="13"/>
    </row>
    <row r="301" spans="1:3" ht="13" x14ac:dyDescent="0.15">
      <c r="A301" s="10"/>
      <c r="B301" s="13"/>
      <c r="C301" s="13"/>
    </row>
    <row r="302" spans="1:3" ht="13" x14ac:dyDescent="0.15">
      <c r="A302" s="10"/>
      <c r="B302" s="13"/>
      <c r="C302" s="13"/>
    </row>
    <row r="303" spans="1:3" ht="13" x14ac:dyDescent="0.15">
      <c r="A303" s="10"/>
      <c r="B303" s="13"/>
      <c r="C303" s="13"/>
    </row>
    <row r="304" spans="1:3" ht="13" x14ac:dyDescent="0.15">
      <c r="A304" s="10"/>
      <c r="B304" s="13"/>
      <c r="C304" s="13"/>
    </row>
    <row r="305" spans="1:3" ht="13" x14ac:dyDescent="0.15">
      <c r="A305" s="10"/>
      <c r="B305" s="13"/>
      <c r="C305" s="13"/>
    </row>
    <row r="306" spans="1:3" ht="13" x14ac:dyDescent="0.15">
      <c r="A306" s="10"/>
      <c r="B306" s="13"/>
      <c r="C306" s="13"/>
    </row>
    <row r="307" spans="1:3" ht="13" x14ac:dyDescent="0.15">
      <c r="A307" s="10"/>
      <c r="B307" s="13"/>
      <c r="C307" s="13"/>
    </row>
    <row r="308" spans="1:3" ht="13" x14ac:dyDescent="0.15">
      <c r="A308" s="10"/>
      <c r="B308" s="13"/>
      <c r="C308" s="13"/>
    </row>
    <row r="309" spans="1:3" ht="13" x14ac:dyDescent="0.15">
      <c r="A309" s="10"/>
      <c r="B309" s="13"/>
      <c r="C309" s="13"/>
    </row>
    <row r="310" spans="1:3" ht="13" x14ac:dyDescent="0.15">
      <c r="A310" s="10"/>
      <c r="B310" s="13"/>
      <c r="C310" s="13"/>
    </row>
    <row r="311" spans="1:3" ht="13" x14ac:dyDescent="0.15">
      <c r="A311" s="10"/>
      <c r="B311" s="13"/>
      <c r="C311" s="13"/>
    </row>
    <row r="312" spans="1:3" ht="13" x14ac:dyDescent="0.15">
      <c r="A312" s="10"/>
      <c r="B312" s="13"/>
      <c r="C312" s="13"/>
    </row>
    <row r="313" spans="1:3" ht="13" x14ac:dyDescent="0.15">
      <c r="A313" s="10"/>
      <c r="B313" s="13"/>
      <c r="C313" s="13"/>
    </row>
    <row r="314" spans="1:3" ht="13" x14ac:dyDescent="0.15">
      <c r="A314" s="10"/>
      <c r="B314" s="13"/>
      <c r="C314" s="13"/>
    </row>
    <row r="315" spans="1:3" ht="13" x14ac:dyDescent="0.15">
      <c r="A315" s="10"/>
      <c r="B315" s="13"/>
      <c r="C315" s="13"/>
    </row>
    <row r="316" spans="1:3" ht="13" x14ac:dyDescent="0.15">
      <c r="A316" s="10"/>
      <c r="B316" s="13"/>
      <c r="C316" s="13"/>
    </row>
    <row r="317" spans="1:3" ht="13" x14ac:dyDescent="0.15">
      <c r="A317" s="10"/>
      <c r="B317" s="13"/>
      <c r="C317" s="13"/>
    </row>
    <row r="318" spans="1:3" ht="13" x14ac:dyDescent="0.15">
      <c r="A318" s="10"/>
      <c r="B318" s="13"/>
      <c r="C318" s="13"/>
    </row>
    <row r="319" spans="1:3" ht="13" x14ac:dyDescent="0.15">
      <c r="A319" s="10"/>
      <c r="B319" s="13"/>
      <c r="C319" s="13"/>
    </row>
    <row r="320" spans="1:3" ht="13" x14ac:dyDescent="0.15">
      <c r="A320" s="10"/>
      <c r="B320" s="13"/>
      <c r="C320" s="13"/>
    </row>
    <row r="321" spans="1:3" ht="13" x14ac:dyDescent="0.15">
      <c r="A321" s="10"/>
      <c r="B321" s="13"/>
      <c r="C321" s="13"/>
    </row>
    <row r="322" spans="1:3" ht="13" x14ac:dyDescent="0.15">
      <c r="A322" s="10"/>
      <c r="B322" s="13"/>
      <c r="C322" s="13"/>
    </row>
    <row r="323" spans="1:3" ht="13" x14ac:dyDescent="0.15">
      <c r="A323" s="10"/>
      <c r="B323" s="13"/>
      <c r="C323" s="13"/>
    </row>
    <row r="324" spans="1:3" ht="13" x14ac:dyDescent="0.15">
      <c r="A324" s="10"/>
      <c r="B324" s="13"/>
      <c r="C324" s="13"/>
    </row>
    <row r="325" spans="1:3" ht="13" x14ac:dyDescent="0.15">
      <c r="A325" s="10"/>
      <c r="B325" s="13"/>
      <c r="C325" s="13"/>
    </row>
    <row r="326" spans="1:3" ht="13" x14ac:dyDescent="0.15">
      <c r="A326" s="10"/>
      <c r="B326" s="13"/>
      <c r="C326" s="13"/>
    </row>
    <row r="327" spans="1:3" ht="13" x14ac:dyDescent="0.15">
      <c r="A327" s="10"/>
      <c r="B327" s="13"/>
      <c r="C327" s="13"/>
    </row>
    <row r="328" spans="1:3" ht="13" x14ac:dyDescent="0.15">
      <c r="A328" s="10"/>
      <c r="B328" s="13"/>
      <c r="C328" s="13"/>
    </row>
    <row r="329" spans="1:3" ht="13" x14ac:dyDescent="0.15">
      <c r="A329" s="10"/>
      <c r="B329" s="13"/>
      <c r="C329" s="13"/>
    </row>
    <row r="330" spans="1:3" ht="13" x14ac:dyDescent="0.15">
      <c r="A330" s="10"/>
      <c r="B330" s="13"/>
      <c r="C330" s="13"/>
    </row>
    <row r="331" spans="1:3" ht="13" x14ac:dyDescent="0.15">
      <c r="A331" s="10"/>
      <c r="B331" s="13"/>
      <c r="C331" s="13"/>
    </row>
    <row r="332" spans="1:3" ht="13" x14ac:dyDescent="0.15">
      <c r="A332" s="10"/>
      <c r="B332" s="13"/>
      <c r="C332" s="13"/>
    </row>
    <row r="333" spans="1:3" ht="13" x14ac:dyDescent="0.15">
      <c r="A333" s="10"/>
      <c r="B333" s="13"/>
      <c r="C333" s="13"/>
    </row>
    <row r="334" spans="1:3" ht="13" x14ac:dyDescent="0.15">
      <c r="A334" s="10"/>
      <c r="B334" s="13"/>
      <c r="C334" s="13"/>
    </row>
    <row r="335" spans="1:3" ht="13" x14ac:dyDescent="0.15">
      <c r="A335" s="10"/>
      <c r="B335" s="13"/>
      <c r="C335" s="13"/>
    </row>
    <row r="336" spans="1:3" ht="13" x14ac:dyDescent="0.15">
      <c r="A336" s="10"/>
      <c r="B336" s="13"/>
      <c r="C336" s="13"/>
    </row>
    <row r="337" spans="1:3" ht="13" x14ac:dyDescent="0.15">
      <c r="A337" s="10"/>
      <c r="B337" s="13"/>
      <c r="C337" s="13"/>
    </row>
    <row r="338" spans="1:3" ht="13" x14ac:dyDescent="0.15">
      <c r="A338" s="10"/>
      <c r="B338" s="13"/>
      <c r="C338" s="13"/>
    </row>
    <row r="339" spans="1:3" ht="13" x14ac:dyDescent="0.15">
      <c r="A339" s="10"/>
      <c r="B339" s="13"/>
      <c r="C339" s="13"/>
    </row>
    <row r="340" spans="1:3" ht="13" x14ac:dyDescent="0.15">
      <c r="A340" s="10"/>
      <c r="B340" s="13"/>
      <c r="C340" s="13"/>
    </row>
    <row r="341" spans="1:3" ht="13" x14ac:dyDescent="0.15">
      <c r="A341" s="10"/>
      <c r="B341" s="13"/>
      <c r="C341" s="13"/>
    </row>
    <row r="342" spans="1:3" ht="13" x14ac:dyDescent="0.15">
      <c r="A342" s="10"/>
      <c r="B342" s="13"/>
      <c r="C342" s="13"/>
    </row>
    <row r="343" spans="1:3" ht="13" x14ac:dyDescent="0.15">
      <c r="A343" s="10"/>
      <c r="B343" s="13"/>
      <c r="C343" s="13"/>
    </row>
    <row r="344" spans="1:3" ht="13" x14ac:dyDescent="0.15">
      <c r="A344" s="10"/>
      <c r="B344" s="13"/>
      <c r="C344" s="13"/>
    </row>
    <row r="345" spans="1:3" ht="13" x14ac:dyDescent="0.15">
      <c r="A345" s="10"/>
      <c r="B345" s="13"/>
      <c r="C345" s="13"/>
    </row>
    <row r="346" spans="1:3" ht="13" x14ac:dyDescent="0.15">
      <c r="A346" s="10"/>
      <c r="B346" s="13"/>
      <c r="C346" s="13"/>
    </row>
    <row r="347" spans="1:3" ht="13" x14ac:dyDescent="0.15">
      <c r="A347" s="10"/>
      <c r="B347" s="13"/>
      <c r="C347" s="13"/>
    </row>
    <row r="348" spans="1:3" ht="13" x14ac:dyDescent="0.15">
      <c r="A348" s="10"/>
      <c r="B348" s="13"/>
      <c r="C348" s="13"/>
    </row>
    <row r="349" spans="1:3" ht="13" x14ac:dyDescent="0.15">
      <c r="A349" s="10"/>
      <c r="B349" s="13"/>
      <c r="C349" s="13"/>
    </row>
    <row r="350" spans="1:3" ht="13" x14ac:dyDescent="0.15">
      <c r="A350" s="10"/>
      <c r="B350" s="13"/>
      <c r="C350" s="13"/>
    </row>
    <row r="351" spans="1:3" ht="13" x14ac:dyDescent="0.15">
      <c r="A351" s="10"/>
      <c r="B351" s="13"/>
      <c r="C351" s="13"/>
    </row>
    <row r="352" spans="1:3" ht="13" x14ac:dyDescent="0.15">
      <c r="A352" s="10"/>
      <c r="B352" s="13"/>
      <c r="C352" s="13"/>
    </row>
    <row r="353" spans="1:3" ht="13" x14ac:dyDescent="0.15">
      <c r="A353" s="10"/>
      <c r="B353" s="13"/>
      <c r="C353" s="13"/>
    </row>
    <row r="354" spans="1:3" ht="13" x14ac:dyDescent="0.15">
      <c r="A354" s="10"/>
      <c r="B354" s="13"/>
      <c r="C354" s="13"/>
    </row>
    <row r="355" spans="1:3" ht="13" x14ac:dyDescent="0.15">
      <c r="A355" s="10"/>
      <c r="B355" s="13"/>
      <c r="C355" s="13"/>
    </row>
    <row r="356" spans="1:3" ht="13" x14ac:dyDescent="0.15">
      <c r="A356" s="10"/>
      <c r="B356" s="13"/>
      <c r="C356" s="13"/>
    </row>
    <row r="357" spans="1:3" ht="13" x14ac:dyDescent="0.15">
      <c r="A357" s="10"/>
      <c r="B357" s="13"/>
      <c r="C357" s="13"/>
    </row>
    <row r="358" spans="1:3" ht="13" x14ac:dyDescent="0.15">
      <c r="A358" s="10"/>
      <c r="B358" s="13"/>
      <c r="C358" s="13"/>
    </row>
    <row r="359" spans="1:3" ht="13" x14ac:dyDescent="0.15">
      <c r="A359" s="10"/>
      <c r="B359" s="13"/>
      <c r="C359" s="13"/>
    </row>
    <row r="360" spans="1:3" ht="13" x14ac:dyDescent="0.15">
      <c r="A360" s="10"/>
      <c r="B360" s="13"/>
      <c r="C360" s="13"/>
    </row>
    <row r="361" spans="1:3" ht="13" x14ac:dyDescent="0.15">
      <c r="A361" s="10"/>
      <c r="B361" s="13"/>
      <c r="C361" s="13"/>
    </row>
    <row r="362" spans="1:3" ht="13" x14ac:dyDescent="0.15">
      <c r="A362" s="10"/>
      <c r="B362" s="13"/>
      <c r="C362" s="13"/>
    </row>
    <row r="363" spans="1:3" ht="13" x14ac:dyDescent="0.15">
      <c r="A363" s="10"/>
      <c r="B363" s="13"/>
      <c r="C363" s="13"/>
    </row>
    <row r="364" spans="1:3" ht="13" x14ac:dyDescent="0.15">
      <c r="A364" s="10"/>
      <c r="B364" s="13"/>
      <c r="C364" s="13"/>
    </row>
    <row r="365" spans="1:3" ht="13" x14ac:dyDescent="0.15">
      <c r="A365" s="10"/>
      <c r="B365" s="13"/>
      <c r="C365" s="13"/>
    </row>
    <row r="366" spans="1:3" ht="13" x14ac:dyDescent="0.15">
      <c r="A366" s="10"/>
      <c r="B366" s="13"/>
      <c r="C366" s="13"/>
    </row>
    <row r="367" spans="1:3" ht="13" x14ac:dyDescent="0.15">
      <c r="A367" s="10"/>
      <c r="B367" s="13"/>
      <c r="C367" s="13"/>
    </row>
    <row r="368" spans="1:3" ht="13" x14ac:dyDescent="0.15">
      <c r="A368" s="10"/>
      <c r="B368" s="13"/>
      <c r="C368" s="13"/>
    </row>
    <row r="369" spans="1:3" ht="13" x14ac:dyDescent="0.15">
      <c r="A369" s="10"/>
      <c r="B369" s="13"/>
      <c r="C369" s="13"/>
    </row>
    <row r="370" spans="1:3" ht="13" x14ac:dyDescent="0.15">
      <c r="A370" s="10"/>
      <c r="B370" s="13"/>
      <c r="C370" s="13"/>
    </row>
    <row r="371" spans="1:3" ht="13" x14ac:dyDescent="0.15">
      <c r="A371" s="10"/>
      <c r="B371" s="13"/>
      <c r="C371" s="13"/>
    </row>
    <row r="372" spans="1:3" ht="13" x14ac:dyDescent="0.15">
      <c r="A372" s="10"/>
      <c r="B372" s="13"/>
      <c r="C372" s="13"/>
    </row>
    <row r="373" spans="1:3" ht="13" x14ac:dyDescent="0.15">
      <c r="A373" s="10"/>
      <c r="B373" s="13"/>
      <c r="C373" s="13"/>
    </row>
    <row r="374" spans="1:3" ht="13" x14ac:dyDescent="0.15">
      <c r="A374" s="10"/>
      <c r="B374" s="13"/>
      <c r="C374" s="13"/>
    </row>
    <row r="375" spans="1:3" ht="13" x14ac:dyDescent="0.15">
      <c r="A375" s="10"/>
      <c r="B375" s="13"/>
      <c r="C375" s="13"/>
    </row>
    <row r="376" spans="1:3" ht="13" x14ac:dyDescent="0.15">
      <c r="A376" s="10"/>
      <c r="B376" s="13"/>
      <c r="C376" s="13"/>
    </row>
    <row r="377" spans="1:3" ht="13" x14ac:dyDescent="0.15">
      <c r="A377" s="10"/>
      <c r="B377" s="13"/>
      <c r="C377" s="13"/>
    </row>
    <row r="378" spans="1:3" ht="13" x14ac:dyDescent="0.15">
      <c r="A378" s="10"/>
      <c r="B378" s="13"/>
      <c r="C378" s="13"/>
    </row>
    <row r="379" spans="1:3" ht="13" x14ac:dyDescent="0.15">
      <c r="A379" s="10"/>
      <c r="B379" s="13"/>
      <c r="C379" s="13"/>
    </row>
    <row r="380" spans="1:3" ht="13" x14ac:dyDescent="0.15">
      <c r="A380" s="10"/>
      <c r="B380" s="13"/>
      <c r="C380" s="13"/>
    </row>
    <row r="381" spans="1:3" ht="13" x14ac:dyDescent="0.15">
      <c r="A381" s="10"/>
      <c r="B381" s="13"/>
      <c r="C381" s="13"/>
    </row>
    <row r="382" spans="1:3" ht="13" x14ac:dyDescent="0.15">
      <c r="A382" s="10"/>
      <c r="B382" s="13"/>
      <c r="C382" s="13"/>
    </row>
    <row r="383" spans="1:3" ht="13" x14ac:dyDescent="0.15">
      <c r="A383" s="10"/>
      <c r="B383" s="13"/>
      <c r="C383" s="13"/>
    </row>
    <row r="384" spans="1:3" ht="13" x14ac:dyDescent="0.15">
      <c r="A384" s="10"/>
      <c r="B384" s="13"/>
      <c r="C384" s="13"/>
    </row>
    <row r="385" spans="1:3" ht="13" x14ac:dyDescent="0.15">
      <c r="A385" s="10"/>
      <c r="B385" s="13"/>
      <c r="C385" s="13"/>
    </row>
    <row r="386" spans="1:3" ht="13" x14ac:dyDescent="0.15">
      <c r="A386" s="10"/>
      <c r="B386" s="13"/>
      <c r="C386" s="13"/>
    </row>
    <row r="387" spans="1:3" ht="13" x14ac:dyDescent="0.15">
      <c r="A387" s="10"/>
      <c r="B387" s="13"/>
      <c r="C387" s="13"/>
    </row>
    <row r="388" spans="1:3" ht="13" x14ac:dyDescent="0.15">
      <c r="A388" s="10"/>
      <c r="B388" s="13"/>
      <c r="C388" s="13"/>
    </row>
    <row r="389" spans="1:3" ht="13" x14ac:dyDescent="0.15">
      <c r="A389" s="10"/>
      <c r="B389" s="13"/>
      <c r="C389" s="13"/>
    </row>
    <row r="390" spans="1:3" ht="13" x14ac:dyDescent="0.15">
      <c r="A390" s="10"/>
      <c r="B390" s="13"/>
      <c r="C390" s="13"/>
    </row>
    <row r="391" spans="1:3" ht="13" x14ac:dyDescent="0.15">
      <c r="A391" s="10"/>
      <c r="B391" s="13"/>
      <c r="C391" s="13"/>
    </row>
    <row r="392" spans="1:3" ht="13" x14ac:dyDescent="0.15">
      <c r="A392" s="10"/>
      <c r="B392" s="13"/>
      <c r="C392" s="13"/>
    </row>
    <row r="393" spans="1:3" ht="13" x14ac:dyDescent="0.15">
      <c r="A393" s="10"/>
      <c r="B393" s="13"/>
      <c r="C393" s="13"/>
    </row>
    <row r="394" spans="1:3" ht="13" x14ac:dyDescent="0.15">
      <c r="A394" s="10"/>
      <c r="B394" s="13"/>
      <c r="C394" s="13"/>
    </row>
    <row r="395" spans="1:3" ht="13" x14ac:dyDescent="0.15">
      <c r="A395" s="10"/>
      <c r="B395" s="13"/>
      <c r="C395" s="13"/>
    </row>
    <row r="396" spans="1:3" ht="13" x14ac:dyDescent="0.15">
      <c r="A396" s="10"/>
      <c r="B396" s="13"/>
      <c r="C396" s="13"/>
    </row>
    <row r="397" spans="1:3" ht="13" x14ac:dyDescent="0.15">
      <c r="A397" s="10"/>
      <c r="B397" s="13"/>
      <c r="C397" s="13"/>
    </row>
    <row r="398" spans="1:3" ht="13" x14ac:dyDescent="0.15">
      <c r="A398" s="10"/>
      <c r="B398" s="13"/>
      <c r="C398" s="13"/>
    </row>
    <row r="399" spans="1:3" ht="13" x14ac:dyDescent="0.15">
      <c r="A399" s="10"/>
      <c r="B399" s="13"/>
      <c r="C399" s="13"/>
    </row>
    <row r="400" spans="1:3" ht="13" x14ac:dyDescent="0.15">
      <c r="A400" s="10"/>
      <c r="B400" s="13"/>
      <c r="C400" s="13"/>
    </row>
    <row r="401" spans="1:3" ht="13" x14ac:dyDescent="0.15">
      <c r="A401" s="10"/>
      <c r="B401" s="13"/>
      <c r="C401" s="13"/>
    </row>
    <row r="402" spans="1:3" ht="13" x14ac:dyDescent="0.15">
      <c r="A402" s="10"/>
      <c r="B402" s="13"/>
      <c r="C402" s="13"/>
    </row>
    <row r="403" spans="1:3" ht="13" x14ac:dyDescent="0.15">
      <c r="A403" s="10"/>
      <c r="B403" s="13"/>
      <c r="C403" s="13"/>
    </row>
    <row r="404" spans="1:3" ht="13" x14ac:dyDescent="0.15">
      <c r="A404" s="10"/>
      <c r="B404" s="13"/>
      <c r="C404" s="13"/>
    </row>
    <row r="405" spans="1:3" ht="13" x14ac:dyDescent="0.15">
      <c r="A405" s="10"/>
      <c r="B405" s="13"/>
      <c r="C405" s="13"/>
    </row>
    <row r="406" spans="1:3" ht="13" x14ac:dyDescent="0.15">
      <c r="A406" s="10"/>
      <c r="B406" s="13"/>
      <c r="C406" s="13"/>
    </row>
    <row r="407" spans="1:3" ht="13" x14ac:dyDescent="0.15">
      <c r="A407" s="10"/>
      <c r="B407" s="13"/>
      <c r="C407" s="13"/>
    </row>
    <row r="408" spans="1:3" ht="13" x14ac:dyDescent="0.15">
      <c r="A408" s="10"/>
      <c r="B408" s="13"/>
      <c r="C408" s="13"/>
    </row>
    <row r="409" spans="1:3" ht="13" x14ac:dyDescent="0.15">
      <c r="A409" s="10"/>
      <c r="B409" s="13"/>
      <c r="C409" s="13"/>
    </row>
    <row r="410" spans="1:3" ht="13" x14ac:dyDescent="0.15">
      <c r="A410" s="10"/>
      <c r="B410" s="13"/>
      <c r="C410" s="13"/>
    </row>
    <row r="411" spans="1:3" ht="13" x14ac:dyDescent="0.15">
      <c r="A411" s="10"/>
      <c r="B411" s="13"/>
      <c r="C411" s="13"/>
    </row>
    <row r="412" spans="1:3" ht="13" x14ac:dyDescent="0.15">
      <c r="A412" s="10"/>
      <c r="B412" s="13"/>
      <c r="C412" s="13"/>
    </row>
    <row r="413" spans="1:3" ht="13" x14ac:dyDescent="0.15">
      <c r="A413" s="10"/>
      <c r="B413" s="13"/>
      <c r="C413" s="13"/>
    </row>
    <row r="414" spans="1:3" ht="13" x14ac:dyDescent="0.15">
      <c r="A414" s="10"/>
      <c r="B414" s="13"/>
      <c r="C414" s="13"/>
    </row>
    <row r="415" spans="1:3" ht="13" x14ac:dyDescent="0.15">
      <c r="A415" s="10"/>
      <c r="B415" s="13"/>
      <c r="C415" s="13"/>
    </row>
    <row r="416" spans="1:3" ht="13" x14ac:dyDescent="0.15">
      <c r="A416" s="10"/>
      <c r="B416" s="13"/>
      <c r="C416" s="13"/>
    </row>
    <row r="417" spans="1:3" ht="13" x14ac:dyDescent="0.15">
      <c r="A417" s="10"/>
      <c r="B417" s="13"/>
      <c r="C417" s="13"/>
    </row>
    <row r="418" spans="1:3" ht="13" x14ac:dyDescent="0.15">
      <c r="A418" s="10"/>
      <c r="B418" s="13"/>
      <c r="C418" s="13"/>
    </row>
    <row r="419" spans="1:3" ht="13" x14ac:dyDescent="0.15">
      <c r="A419" s="10"/>
      <c r="B419" s="13"/>
      <c r="C419" s="13"/>
    </row>
    <row r="420" spans="1:3" ht="13" x14ac:dyDescent="0.15">
      <c r="A420" s="10"/>
      <c r="B420" s="13"/>
      <c r="C420" s="13"/>
    </row>
    <row r="421" spans="1:3" ht="13" x14ac:dyDescent="0.15">
      <c r="A421" s="10"/>
      <c r="B421" s="13"/>
      <c r="C421" s="13"/>
    </row>
    <row r="422" spans="1:3" ht="13" x14ac:dyDescent="0.15">
      <c r="A422" s="10"/>
      <c r="B422" s="13"/>
      <c r="C422" s="13"/>
    </row>
    <row r="423" spans="1:3" ht="13" x14ac:dyDescent="0.15">
      <c r="A423" s="10"/>
      <c r="B423" s="13"/>
      <c r="C423" s="13"/>
    </row>
    <row r="424" spans="1:3" ht="13" x14ac:dyDescent="0.15">
      <c r="A424" s="10"/>
      <c r="B424" s="13"/>
      <c r="C424" s="13"/>
    </row>
    <row r="425" spans="1:3" ht="13" x14ac:dyDescent="0.15">
      <c r="A425" s="10"/>
      <c r="B425" s="13"/>
      <c r="C425" s="13"/>
    </row>
    <row r="426" spans="1:3" ht="13" x14ac:dyDescent="0.15">
      <c r="A426" s="10"/>
      <c r="B426" s="13"/>
      <c r="C426" s="13"/>
    </row>
    <row r="427" spans="1:3" ht="13" x14ac:dyDescent="0.15">
      <c r="A427" s="10"/>
      <c r="B427" s="13"/>
      <c r="C427" s="13"/>
    </row>
    <row r="428" spans="1:3" ht="13" x14ac:dyDescent="0.15">
      <c r="A428" s="10"/>
      <c r="B428" s="13"/>
      <c r="C428" s="13"/>
    </row>
    <row r="429" spans="1:3" ht="13" x14ac:dyDescent="0.15">
      <c r="A429" s="10"/>
      <c r="B429" s="13"/>
      <c r="C429" s="13"/>
    </row>
    <row r="430" spans="1:3" ht="13" x14ac:dyDescent="0.15">
      <c r="A430" s="10"/>
      <c r="B430" s="13"/>
      <c r="C430" s="13"/>
    </row>
    <row r="431" spans="1:3" ht="13" x14ac:dyDescent="0.15">
      <c r="A431" s="10"/>
      <c r="B431" s="13"/>
      <c r="C431" s="13"/>
    </row>
    <row r="432" spans="1:3" ht="13" x14ac:dyDescent="0.15">
      <c r="A432" s="10"/>
      <c r="B432" s="13"/>
      <c r="C432" s="13"/>
    </row>
    <row r="433" spans="1:3" ht="13" x14ac:dyDescent="0.15">
      <c r="A433" s="10"/>
      <c r="B433" s="13"/>
      <c r="C433" s="13"/>
    </row>
    <row r="434" spans="1:3" ht="13" x14ac:dyDescent="0.15">
      <c r="A434" s="10"/>
      <c r="B434" s="13"/>
      <c r="C434" s="13"/>
    </row>
    <row r="435" spans="1:3" ht="13" x14ac:dyDescent="0.15">
      <c r="A435" s="10"/>
      <c r="B435" s="13"/>
      <c r="C435" s="13"/>
    </row>
    <row r="436" spans="1:3" ht="13" x14ac:dyDescent="0.15">
      <c r="A436" s="10"/>
      <c r="B436" s="13"/>
      <c r="C436" s="13"/>
    </row>
    <row r="437" spans="1:3" ht="13" x14ac:dyDescent="0.15">
      <c r="A437" s="10"/>
      <c r="B437" s="13"/>
      <c r="C437" s="13"/>
    </row>
    <row r="438" spans="1:3" ht="13" x14ac:dyDescent="0.15">
      <c r="A438" s="10"/>
      <c r="B438" s="13"/>
      <c r="C438" s="13"/>
    </row>
    <row r="439" spans="1:3" ht="13" x14ac:dyDescent="0.15">
      <c r="A439" s="10"/>
      <c r="B439" s="13"/>
      <c r="C439" s="13"/>
    </row>
    <row r="440" spans="1:3" ht="13" x14ac:dyDescent="0.15">
      <c r="A440" s="10"/>
      <c r="B440" s="13"/>
      <c r="C440" s="13"/>
    </row>
    <row r="441" spans="1:3" ht="13" x14ac:dyDescent="0.15">
      <c r="A441" s="10"/>
      <c r="B441" s="13"/>
      <c r="C441" s="13"/>
    </row>
    <row r="442" spans="1:3" ht="13" x14ac:dyDescent="0.15">
      <c r="A442" s="10"/>
      <c r="B442" s="13"/>
      <c r="C442" s="13"/>
    </row>
    <row r="443" spans="1:3" ht="13" x14ac:dyDescent="0.15">
      <c r="A443" s="10"/>
      <c r="B443" s="13"/>
      <c r="C443" s="13"/>
    </row>
    <row r="444" spans="1:3" ht="13" x14ac:dyDescent="0.15">
      <c r="A444" s="10"/>
      <c r="B444" s="13"/>
      <c r="C444" s="13"/>
    </row>
    <row r="445" spans="1:3" ht="13" x14ac:dyDescent="0.15">
      <c r="A445" s="10"/>
      <c r="B445" s="13"/>
      <c r="C445" s="13"/>
    </row>
    <row r="446" spans="1:3" ht="13" x14ac:dyDescent="0.15">
      <c r="A446" s="10"/>
      <c r="B446" s="13"/>
      <c r="C446" s="13"/>
    </row>
    <row r="447" spans="1:3" ht="13" x14ac:dyDescent="0.15">
      <c r="A447" s="10"/>
      <c r="B447" s="13"/>
      <c r="C447" s="13"/>
    </row>
    <row r="448" spans="1:3" ht="13" x14ac:dyDescent="0.15">
      <c r="A448" s="10"/>
      <c r="B448" s="13"/>
      <c r="C448" s="13"/>
    </row>
    <row r="449" spans="1:3" ht="13" x14ac:dyDescent="0.15">
      <c r="A449" s="10"/>
      <c r="B449" s="13"/>
      <c r="C449" s="13"/>
    </row>
    <row r="450" spans="1:3" ht="13" x14ac:dyDescent="0.15">
      <c r="A450" s="10"/>
      <c r="B450" s="13"/>
      <c r="C450" s="13"/>
    </row>
    <row r="451" spans="1:3" ht="13" x14ac:dyDescent="0.15">
      <c r="A451" s="10"/>
      <c r="B451" s="13"/>
      <c r="C451" s="13"/>
    </row>
    <row r="452" spans="1:3" ht="13" x14ac:dyDescent="0.15">
      <c r="A452" s="10"/>
      <c r="B452" s="13"/>
      <c r="C452" s="13"/>
    </row>
    <row r="453" spans="1:3" ht="13" x14ac:dyDescent="0.15">
      <c r="A453" s="10"/>
      <c r="B453" s="13"/>
      <c r="C453" s="13"/>
    </row>
    <row r="454" spans="1:3" ht="13" x14ac:dyDescent="0.15">
      <c r="A454" s="10"/>
      <c r="B454" s="13"/>
      <c r="C454" s="13"/>
    </row>
    <row r="455" spans="1:3" ht="13" x14ac:dyDescent="0.15">
      <c r="A455" s="10"/>
      <c r="B455" s="13"/>
      <c r="C455" s="13"/>
    </row>
    <row r="456" spans="1:3" ht="13" x14ac:dyDescent="0.15">
      <c r="A456" s="10"/>
      <c r="B456" s="13"/>
      <c r="C456" s="13"/>
    </row>
    <row r="457" spans="1:3" ht="13" x14ac:dyDescent="0.15">
      <c r="A457" s="10"/>
      <c r="B457" s="13"/>
      <c r="C457" s="13"/>
    </row>
    <row r="458" spans="1:3" ht="13" x14ac:dyDescent="0.15">
      <c r="A458" s="10"/>
      <c r="B458" s="13"/>
      <c r="C458" s="13"/>
    </row>
    <row r="459" spans="1:3" ht="13" x14ac:dyDescent="0.15">
      <c r="A459" s="10"/>
      <c r="B459" s="13"/>
      <c r="C459" s="13"/>
    </row>
    <row r="460" spans="1:3" ht="13" x14ac:dyDescent="0.15">
      <c r="A460" s="10"/>
      <c r="B460" s="13"/>
      <c r="C460" s="13"/>
    </row>
    <row r="461" spans="1:3" ht="13" x14ac:dyDescent="0.15">
      <c r="A461" s="10"/>
      <c r="B461" s="13"/>
      <c r="C461" s="13"/>
    </row>
    <row r="462" spans="1:3" ht="13" x14ac:dyDescent="0.15">
      <c r="A462" s="10"/>
      <c r="B462" s="13"/>
      <c r="C462" s="13"/>
    </row>
    <row r="463" spans="1:3" ht="13" x14ac:dyDescent="0.15">
      <c r="A463" s="10"/>
      <c r="B463" s="13"/>
      <c r="C463" s="13"/>
    </row>
    <row r="464" spans="1:3" ht="13" x14ac:dyDescent="0.15">
      <c r="A464" s="10"/>
      <c r="B464" s="13"/>
      <c r="C464" s="13"/>
    </row>
    <row r="465" spans="1:3" ht="13" x14ac:dyDescent="0.15">
      <c r="A465" s="10"/>
      <c r="B465" s="13"/>
      <c r="C465" s="13"/>
    </row>
    <row r="466" spans="1:3" ht="13" x14ac:dyDescent="0.15">
      <c r="A466" s="10"/>
      <c r="B466" s="13"/>
      <c r="C466" s="13"/>
    </row>
    <row r="467" spans="1:3" ht="13" x14ac:dyDescent="0.15">
      <c r="A467" s="10"/>
      <c r="B467" s="13"/>
      <c r="C467" s="13"/>
    </row>
    <row r="468" spans="1:3" ht="13" x14ac:dyDescent="0.15">
      <c r="A468" s="10"/>
      <c r="B468" s="13"/>
      <c r="C468" s="13"/>
    </row>
    <row r="469" spans="1:3" ht="13" x14ac:dyDescent="0.15">
      <c r="A469" s="10"/>
      <c r="B469" s="13"/>
      <c r="C469" s="13"/>
    </row>
    <row r="470" spans="1:3" ht="13" x14ac:dyDescent="0.15">
      <c r="A470" s="10"/>
      <c r="B470" s="13"/>
      <c r="C470" s="13"/>
    </row>
    <row r="471" spans="1:3" ht="13" x14ac:dyDescent="0.15">
      <c r="A471" s="10"/>
      <c r="B471" s="13"/>
      <c r="C471" s="13"/>
    </row>
    <row r="472" spans="1:3" ht="13" x14ac:dyDescent="0.15">
      <c r="A472" s="10"/>
      <c r="B472" s="13"/>
      <c r="C472" s="13"/>
    </row>
    <row r="473" spans="1:3" ht="13" x14ac:dyDescent="0.15">
      <c r="A473" s="10"/>
      <c r="B473" s="13"/>
      <c r="C473" s="13"/>
    </row>
    <row r="474" spans="1:3" ht="13" x14ac:dyDescent="0.15">
      <c r="A474" s="10"/>
      <c r="B474" s="13"/>
      <c r="C474" s="13"/>
    </row>
    <row r="475" spans="1:3" ht="13" x14ac:dyDescent="0.15">
      <c r="A475" s="10"/>
      <c r="B475" s="13"/>
      <c r="C475" s="13"/>
    </row>
    <row r="476" spans="1:3" ht="13" x14ac:dyDescent="0.15">
      <c r="A476" s="10"/>
      <c r="B476" s="13"/>
      <c r="C476" s="13"/>
    </row>
    <row r="477" spans="1:3" ht="13" x14ac:dyDescent="0.15">
      <c r="A477" s="10"/>
      <c r="B477" s="13"/>
      <c r="C477" s="13"/>
    </row>
    <row r="478" spans="1:3" ht="13" x14ac:dyDescent="0.15">
      <c r="A478" s="10"/>
      <c r="B478" s="13"/>
      <c r="C478" s="13"/>
    </row>
    <row r="479" spans="1:3" ht="13" x14ac:dyDescent="0.15">
      <c r="A479" s="10"/>
      <c r="B479" s="13"/>
      <c r="C479" s="13"/>
    </row>
    <row r="480" spans="1:3" ht="13" x14ac:dyDescent="0.15">
      <c r="A480" s="10"/>
      <c r="B480" s="13"/>
      <c r="C480" s="13"/>
    </row>
    <row r="481" spans="1:3" ht="13" x14ac:dyDescent="0.15">
      <c r="A481" s="10"/>
      <c r="B481" s="13"/>
      <c r="C481" s="13"/>
    </row>
    <row r="482" spans="1:3" ht="13" x14ac:dyDescent="0.15">
      <c r="A482" s="10"/>
      <c r="B482" s="13"/>
      <c r="C482" s="13"/>
    </row>
    <row r="483" spans="1:3" ht="13" x14ac:dyDescent="0.15">
      <c r="A483" s="10"/>
      <c r="B483" s="13"/>
      <c r="C483" s="13"/>
    </row>
    <row r="484" spans="1:3" ht="13" x14ac:dyDescent="0.15">
      <c r="A484" s="10"/>
      <c r="B484" s="13"/>
      <c r="C484" s="13"/>
    </row>
    <row r="485" spans="1:3" ht="13" x14ac:dyDescent="0.15">
      <c r="A485" s="10"/>
      <c r="B485" s="13"/>
      <c r="C485" s="13"/>
    </row>
    <row r="486" spans="1:3" ht="13" x14ac:dyDescent="0.15">
      <c r="A486" s="10"/>
      <c r="B486" s="13"/>
      <c r="C486" s="13"/>
    </row>
    <row r="487" spans="1:3" ht="13" x14ac:dyDescent="0.15">
      <c r="A487" s="10"/>
      <c r="B487" s="13"/>
      <c r="C487" s="13"/>
    </row>
    <row r="488" spans="1:3" ht="13" x14ac:dyDescent="0.15">
      <c r="A488" s="10"/>
      <c r="B488" s="13"/>
      <c r="C488" s="13"/>
    </row>
    <row r="489" spans="1:3" ht="13" x14ac:dyDescent="0.15">
      <c r="A489" s="10"/>
      <c r="B489" s="13"/>
      <c r="C489" s="13"/>
    </row>
    <row r="490" spans="1:3" ht="13" x14ac:dyDescent="0.15">
      <c r="A490" s="10"/>
      <c r="B490" s="13"/>
      <c r="C490" s="13"/>
    </row>
    <row r="491" spans="1:3" ht="13" x14ac:dyDescent="0.15">
      <c r="A491" s="10"/>
      <c r="B491" s="13"/>
      <c r="C491" s="13"/>
    </row>
    <row r="492" spans="1:3" ht="13" x14ac:dyDescent="0.15">
      <c r="A492" s="10"/>
      <c r="B492" s="13"/>
      <c r="C492" s="13"/>
    </row>
    <row r="493" spans="1:3" ht="13" x14ac:dyDescent="0.15">
      <c r="A493" s="10"/>
      <c r="B493" s="13"/>
      <c r="C493" s="13"/>
    </row>
    <row r="494" spans="1:3" ht="13" x14ac:dyDescent="0.15">
      <c r="A494" s="10"/>
      <c r="B494" s="13"/>
      <c r="C494" s="13"/>
    </row>
    <row r="495" spans="1:3" ht="13" x14ac:dyDescent="0.15">
      <c r="A495" s="10"/>
      <c r="B495" s="13"/>
      <c r="C495" s="13"/>
    </row>
    <row r="496" spans="1:3" ht="13" x14ac:dyDescent="0.15">
      <c r="A496" s="10"/>
      <c r="B496" s="13"/>
      <c r="C496" s="13"/>
    </row>
    <row r="497" spans="1:3" ht="13" x14ac:dyDescent="0.15">
      <c r="A497" s="10"/>
      <c r="B497" s="13"/>
      <c r="C497" s="13"/>
    </row>
    <row r="498" spans="1:3" ht="13" x14ac:dyDescent="0.15">
      <c r="A498" s="10"/>
      <c r="B498" s="13"/>
      <c r="C498" s="13"/>
    </row>
    <row r="499" spans="1:3" ht="13" x14ac:dyDescent="0.15">
      <c r="A499" s="10"/>
      <c r="B499" s="13"/>
      <c r="C499" s="13"/>
    </row>
    <row r="500" spans="1:3" ht="13" x14ac:dyDescent="0.15">
      <c r="A500" s="10"/>
      <c r="B500" s="13"/>
      <c r="C500" s="13"/>
    </row>
    <row r="501" spans="1:3" ht="13" x14ac:dyDescent="0.15">
      <c r="A501" s="10"/>
      <c r="B501" s="13"/>
      <c r="C501" s="13"/>
    </row>
    <row r="502" spans="1:3" ht="13" x14ac:dyDescent="0.15">
      <c r="A502" s="10"/>
      <c r="B502" s="13"/>
      <c r="C502" s="13"/>
    </row>
    <row r="503" spans="1:3" ht="13" x14ac:dyDescent="0.15">
      <c r="A503" s="10"/>
      <c r="B503" s="13"/>
      <c r="C503" s="13"/>
    </row>
    <row r="504" spans="1:3" ht="13" x14ac:dyDescent="0.15">
      <c r="A504" s="10"/>
      <c r="B504" s="13"/>
      <c r="C504" s="13"/>
    </row>
    <row r="505" spans="1:3" ht="13" x14ac:dyDescent="0.15">
      <c r="A505" s="10"/>
      <c r="B505" s="13"/>
      <c r="C505" s="13"/>
    </row>
    <row r="506" spans="1:3" ht="13" x14ac:dyDescent="0.15">
      <c r="A506" s="10"/>
      <c r="B506" s="13"/>
      <c r="C506" s="13"/>
    </row>
    <row r="507" spans="1:3" ht="13" x14ac:dyDescent="0.15">
      <c r="A507" s="10"/>
      <c r="B507" s="13"/>
      <c r="C507" s="13"/>
    </row>
    <row r="508" spans="1:3" ht="13" x14ac:dyDescent="0.15">
      <c r="A508" s="10"/>
      <c r="B508" s="13"/>
      <c r="C508" s="13"/>
    </row>
    <row r="509" spans="1:3" ht="13" x14ac:dyDescent="0.15">
      <c r="A509" s="10"/>
      <c r="B509" s="13"/>
      <c r="C509" s="13"/>
    </row>
    <row r="510" spans="1:3" ht="13" x14ac:dyDescent="0.15">
      <c r="A510" s="10"/>
      <c r="B510" s="13"/>
      <c r="C510" s="13"/>
    </row>
    <row r="511" spans="1:3" ht="13" x14ac:dyDescent="0.15">
      <c r="A511" s="10"/>
      <c r="B511" s="13"/>
      <c r="C511" s="13"/>
    </row>
    <row r="512" spans="1:3" ht="13" x14ac:dyDescent="0.15">
      <c r="A512" s="10"/>
      <c r="B512" s="13"/>
      <c r="C512" s="13"/>
    </row>
    <row r="513" spans="1:3" ht="13" x14ac:dyDescent="0.15">
      <c r="A513" s="10"/>
      <c r="B513" s="13"/>
      <c r="C513" s="13"/>
    </row>
    <row r="514" spans="1:3" ht="13" x14ac:dyDescent="0.15">
      <c r="A514" s="10"/>
      <c r="B514" s="13"/>
      <c r="C514" s="13"/>
    </row>
    <row r="515" spans="1:3" ht="13" x14ac:dyDescent="0.15">
      <c r="A515" s="10"/>
      <c r="B515" s="13"/>
      <c r="C515" s="13"/>
    </row>
    <row r="516" spans="1:3" ht="13" x14ac:dyDescent="0.15">
      <c r="A516" s="10"/>
      <c r="B516" s="13"/>
      <c r="C516" s="13"/>
    </row>
    <row r="517" spans="1:3" ht="13" x14ac:dyDescent="0.15">
      <c r="A517" s="10"/>
      <c r="B517" s="13"/>
      <c r="C517" s="13"/>
    </row>
    <row r="518" spans="1:3" ht="13" x14ac:dyDescent="0.15">
      <c r="A518" s="10"/>
      <c r="B518" s="13"/>
      <c r="C518" s="13"/>
    </row>
    <row r="519" spans="1:3" ht="13" x14ac:dyDescent="0.15">
      <c r="A519" s="10"/>
      <c r="B519" s="13"/>
      <c r="C519" s="13"/>
    </row>
    <row r="520" spans="1:3" ht="13" x14ac:dyDescent="0.15">
      <c r="A520" s="10"/>
      <c r="B520" s="13"/>
      <c r="C520" s="13"/>
    </row>
    <row r="521" spans="1:3" ht="13" x14ac:dyDescent="0.15">
      <c r="A521" s="10"/>
      <c r="B521" s="13"/>
      <c r="C521" s="13"/>
    </row>
    <row r="522" spans="1:3" ht="13" x14ac:dyDescent="0.15">
      <c r="A522" s="10"/>
      <c r="B522" s="13"/>
      <c r="C522" s="13"/>
    </row>
    <row r="523" spans="1:3" ht="13" x14ac:dyDescent="0.15">
      <c r="A523" s="10"/>
      <c r="B523" s="13"/>
      <c r="C523" s="13"/>
    </row>
    <row r="524" spans="1:3" ht="13" x14ac:dyDescent="0.15">
      <c r="A524" s="10"/>
      <c r="B524" s="13"/>
      <c r="C524" s="13"/>
    </row>
    <row r="525" spans="1:3" ht="13" x14ac:dyDescent="0.15">
      <c r="A525" s="10"/>
      <c r="B525" s="13"/>
      <c r="C525" s="13"/>
    </row>
    <row r="526" spans="1:3" ht="13" x14ac:dyDescent="0.15">
      <c r="A526" s="10"/>
      <c r="B526" s="13"/>
      <c r="C526" s="13"/>
    </row>
    <row r="527" spans="1:3" ht="13" x14ac:dyDescent="0.15">
      <c r="A527" s="10"/>
      <c r="B527" s="13"/>
      <c r="C527" s="13"/>
    </row>
    <row r="528" spans="1:3" ht="13" x14ac:dyDescent="0.15">
      <c r="A528" s="10"/>
      <c r="B528" s="13"/>
      <c r="C528" s="13"/>
    </row>
    <row r="529" spans="1:3" ht="13" x14ac:dyDescent="0.15">
      <c r="A529" s="10"/>
      <c r="B529" s="13"/>
      <c r="C529" s="13"/>
    </row>
    <row r="530" spans="1:3" ht="13" x14ac:dyDescent="0.15">
      <c r="A530" s="10"/>
      <c r="B530" s="13"/>
      <c r="C530" s="13"/>
    </row>
    <row r="531" spans="1:3" ht="13" x14ac:dyDescent="0.15">
      <c r="A531" s="10"/>
      <c r="B531" s="13"/>
      <c r="C531" s="13"/>
    </row>
    <row r="532" spans="1:3" ht="13" x14ac:dyDescent="0.15">
      <c r="A532" s="10"/>
      <c r="B532" s="13"/>
      <c r="C532" s="13"/>
    </row>
    <row r="533" spans="1:3" ht="13" x14ac:dyDescent="0.15">
      <c r="A533" s="10"/>
      <c r="B533" s="13"/>
      <c r="C533" s="13"/>
    </row>
    <row r="534" spans="1:3" ht="13" x14ac:dyDescent="0.15">
      <c r="A534" s="10"/>
      <c r="B534" s="13"/>
      <c r="C534" s="13"/>
    </row>
    <row r="535" spans="1:3" ht="13" x14ac:dyDescent="0.15">
      <c r="A535" s="10"/>
      <c r="B535" s="13"/>
      <c r="C535" s="13"/>
    </row>
    <row r="536" spans="1:3" ht="13" x14ac:dyDescent="0.15">
      <c r="A536" s="10"/>
      <c r="B536" s="13"/>
      <c r="C536" s="13"/>
    </row>
    <row r="537" spans="1:3" ht="13" x14ac:dyDescent="0.15">
      <c r="A537" s="10"/>
      <c r="B537" s="13"/>
      <c r="C537" s="13"/>
    </row>
    <row r="538" spans="1:3" ht="13" x14ac:dyDescent="0.15">
      <c r="A538" s="10"/>
      <c r="B538" s="13"/>
      <c r="C538" s="13"/>
    </row>
    <row r="539" spans="1:3" ht="13" x14ac:dyDescent="0.15">
      <c r="A539" s="10"/>
      <c r="B539" s="13"/>
      <c r="C539" s="13"/>
    </row>
    <row r="540" spans="1:3" ht="13" x14ac:dyDescent="0.15">
      <c r="A540" s="10"/>
      <c r="B540" s="13"/>
      <c r="C540" s="13"/>
    </row>
    <row r="541" spans="1:3" ht="13" x14ac:dyDescent="0.15">
      <c r="A541" s="10"/>
      <c r="B541" s="13"/>
      <c r="C541" s="13"/>
    </row>
    <row r="542" spans="1:3" ht="13" x14ac:dyDescent="0.15">
      <c r="A542" s="10"/>
      <c r="B542" s="13"/>
      <c r="C542" s="13"/>
    </row>
    <row r="543" spans="1:3" ht="13" x14ac:dyDescent="0.15">
      <c r="A543" s="10"/>
      <c r="B543" s="13"/>
      <c r="C543" s="13"/>
    </row>
    <row r="544" spans="1:3" ht="13" x14ac:dyDescent="0.15">
      <c r="A544" s="10"/>
      <c r="B544" s="13"/>
      <c r="C544" s="13"/>
    </row>
    <row r="545" spans="1:3" ht="13" x14ac:dyDescent="0.15">
      <c r="A545" s="10"/>
      <c r="B545" s="13"/>
      <c r="C545" s="13"/>
    </row>
    <row r="546" spans="1:3" ht="13" x14ac:dyDescent="0.15">
      <c r="A546" s="10"/>
      <c r="B546" s="13"/>
      <c r="C546" s="13"/>
    </row>
    <row r="547" spans="1:3" ht="13" x14ac:dyDescent="0.15">
      <c r="A547" s="10"/>
      <c r="B547" s="13"/>
      <c r="C547" s="13"/>
    </row>
    <row r="548" spans="1:3" ht="13" x14ac:dyDescent="0.15">
      <c r="A548" s="10"/>
      <c r="B548" s="13"/>
      <c r="C548" s="13"/>
    </row>
    <row r="549" spans="1:3" ht="13" x14ac:dyDescent="0.15">
      <c r="A549" s="10"/>
      <c r="B549" s="13"/>
      <c r="C549" s="13"/>
    </row>
    <row r="550" spans="1:3" ht="13" x14ac:dyDescent="0.15">
      <c r="A550" s="10"/>
      <c r="B550" s="13"/>
      <c r="C550" s="13"/>
    </row>
    <row r="551" spans="1:3" ht="13" x14ac:dyDescent="0.15">
      <c r="A551" s="10"/>
      <c r="B551" s="13"/>
      <c r="C551" s="13"/>
    </row>
    <row r="552" spans="1:3" ht="13" x14ac:dyDescent="0.15">
      <c r="A552" s="10"/>
      <c r="B552" s="13"/>
      <c r="C552" s="13"/>
    </row>
    <row r="553" spans="1:3" ht="13" x14ac:dyDescent="0.15">
      <c r="A553" s="10"/>
      <c r="B553" s="13"/>
      <c r="C553" s="13"/>
    </row>
    <row r="554" spans="1:3" ht="13" x14ac:dyDescent="0.15">
      <c r="A554" s="10"/>
      <c r="B554" s="13"/>
      <c r="C554" s="13"/>
    </row>
    <row r="555" spans="1:3" ht="13" x14ac:dyDescent="0.15">
      <c r="A555" s="10"/>
      <c r="B555" s="13"/>
      <c r="C555" s="13"/>
    </row>
    <row r="556" spans="1:3" ht="13" x14ac:dyDescent="0.15">
      <c r="A556" s="10"/>
      <c r="B556" s="13"/>
      <c r="C556" s="13"/>
    </row>
    <row r="557" spans="1:3" ht="13" x14ac:dyDescent="0.15">
      <c r="A557" s="10"/>
      <c r="B557" s="13"/>
      <c r="C557" s="13"/>
    </row>
    <row r="558" spans="1:3" ht="13" x14ac:dyDescent="0.15">
      <c r="A558" s="10"/>
      <c r="B558" s="13"/>
      <c r="C558" s="13"/>
    </row>
    <row r="559" spans="1:3" ht="13" x14ac:dyDescent="0.15">
      <c r="A559" s="10"/>
      <c r="B559" s="13"/>
      <c r="C559" s="13"/>
    </row>
    <row r="560" spans="1:3" ht="13" x14ac:dyDescent="0.15">
      <c r="A560" s="10"/>
      <c r="B560" s="13"/>
      <c r="C560" s="13"/>
    </row>
    <row r="561" spans="1:3" ht="13" x14ac:dyDescent="0.15">
      <c r="A561" s="10"/>
      <c r="B561" s="13"/>
      <c r="C561" s="13"/>
    </row>
    <row r="562" spans="1:3" ht="13" x14ac:dyDescent="0.15">
      <c r="A562" s="10"/>
      <c r="B562" s="13"/>
      <c r="C562" s="13"/>
    </row>
    <row r="563" spans="1:3" ht="13" x14ac:dyDescent="0.15">
      <c r="A563" s="10"/>
      <c r="B563" s="13"/>
      <c r="C563" s="13"/>
    </row>
    <row r="564" spans="1:3" ht="13" x14ac:dyDescent="0.15">
      <c r="A564" s="10"/>
      <c r="B564" s="13"/>
      <c r="C564" s="13"/>
    </row>
    <row r="565" spans="1:3" ht="13" x14ac:dyDescent="0.15">
      <c r="A565" s="10"/>
      <c r="B565" s="13"/>
      <c r="C565" s="13"/>
    </row>
    <row r="566" spans="1:3" ht="13" x14ac:dyDescent="0.15">
      <c r="A566" s="10"/>
      <c r="B566" s="13"/>
      <c r="C566" s="13"/>
    </row>
    <row r="567" spans="1:3" ht="13" x14ac:dyDescent="0.15">
      <c r="A567" s="10"/>
      <c r="B567" s="13"/>
      <c r="C567" s="13"/>
    </row>
    <row r="568" spans="1:3" ht="13" x14ac:dyDescent="0.15">
      <c r="A568" s="10"/>
      <c r="B568" s="13"/>
      <c r="C568" s="13"/>
    </row>
    <row r="569" spans="1:3" ht="13" x14ac:dyDescent="0.15">
      <c r="A569" s="10"/>
      <c r="B569" s="13"/>
      <c r="C569" s="13"/>
    </row>
    <row r="570" spans="1:3" ht="13" x14ac:dyDescent="0.15">
      <c r="A570" s="10"/>
      <c r="B570" s="13"/>
      <c r="C570" s="13"/>
    </row>
    <row r="571" spans="1:3" ht="13" x14ac:dyDescent="0.15">
      <c r="A571" s="10"/>
      <c r="B571" s="13"/>
      <c r="C571" s="13"/>
    </row>
    <row r="572" spans="1:3" ht="13" x14ac:dyDescent="0.15">
      <c r="A572" s="10"/>
      <c r="B572" s="13"/>
      <c r="C572" s="13"/>
    </row>
    <row r="573" spans="1:3" ht="13" x14ac:dyDescent="0.15">
      <c r="A573" s="10"/>
      <c r="B573" s="13"/>
      <c r="C573" s="13"/>
    </row>
    <row r="574" spans="1:3" ht="13" x14ac:dyDescent="0.15">
      <c r="A574" s="10"/>
      <c r="B574" s="13"/>
      <c r="C574" s="13"/>
    </row>
    <row r="575" spans="1:3" ht="13" x14ac:dyDescent="0.15">
      <c r="A575" s="10"/>
      <c r="B575" s="13"/>
      <c r="C575" s="13"/>
    </row>
    <row r="576" spans="1:3" ht="13" x14ac:dyDescent="0.15">
      <c r="A576" s="10"/>
      <c r="B576" s="13"/>
      <c r="C576" s="13"/>
    </row>
    <row r="577" spans="1:3" ht="13" x14ac:dyDescent="0.15">
      <c r="A577" s="10"/>
      <c r="B577" s="13"/>
      <c r="C577" s="13"/>
    </row>
    <row r="578" spans="1:3" ht="13" x14ac:dyDescent="0.15">
      <c r="A578" s="10"/>
      <c r="B578" s="13"/>
      <c r="C578" s="13"/>
    </row>
    <row r="579" spans="1:3" ht="13" x14ac:dyDescent="0.15">
      <c r="A579" s="10"/>
      <c r="B579" s="13"/>
      <c r="C579" s="13"/>
    </row>
    <row r="580" spans="1:3" ht="13" x14ac:dyDescent="0.15">
      <c r="A580" s="10"/>
      <c r="B580" s="13"/>
      <c r="C580" s="13"/>
    </row>
    <row r="581" spans="1:3" ht="13" x14ac:dyDescent="0.15">
      <c r="A581" s="10"/>
      <c r="B581" s="13"/>
      <c r="C581" s="13"/>
    </row>
    <row r="582" spans="1:3" ht="13" x14ac:dyDescent="0.15">
      <c r="A582" s="10"/>
      <c r="B582" s="13"/>
      <c r="C582" s="13"/>
    </row>
    <row r="583" spans="1:3" ht="13" x14ac:dyDescent="0.15">
      <c r="A583" s="10"/>
      <c r="B583" s="13"/>
      <c r="C583" s="13"/>
    </row>
    <row r="584" spans="1:3" ht="13" x14ac:dyDescent="0.15">
      <c r="A584" s="10"/>
      <c r="B584" s="13"/>
      <c r="C584" s="13"/>
    </row>
    <row r="585" spans="1:3" ht="13" x14ac:dyDescent="0.15">
      <c r="A585" s="10"/>
      <c r="B585" s="13"/>
      <c r="C585" s="13"/>
    </row>
    <row r="586" spans="1:3" ht="13" x14ac:dyDescent="0.15">
      <c r="A586" s="10"/>
      <c r="B586" s="13"/>
      <c r="C586" s="13"/>
    </row>
    <row r="587" spans="1:3" ht="13" x14ac:dyDescent="0.15">
      <c r="A587" s="10"/>
      <c r="B587" s="13"/>
      <c r="C587" s="13"/>
    </row>
    <row r="588" spans="1:3" ht="13" x14ac:dyDescent="0.15">
      <c r="A588" s="10"/>
      <c r="B588" s="13"/>
      <c r="C588" s="13"/>
    </row>
    <row r="589" spans="1:3" ht="13" x14ac:dyDescent="0.15">
      <c r="A589" s="10"/>
      <c r="B589" s="13"/>
      <c r="C589" s="13"/>
    </row>
    <row r="590" spans="1:3" ht="13" x14ac:dyDescent="0.15">
      <c r="A590" s="10"/>
      <c r="B590" s="13"/>
      <c r="C590" s="13"/>
    </row>
    <row r="591" spans="1:3" ht="13" x14ac:dyDescent="0.15">
      <c r="A591" s="10"/>
      <c r="B591" s="13"/>
      <c r="C591" s="13"/>
    </row>
    <row r="592" spans="1:3" ht="13" x14ac:dyDescent="0.15">
      <c r="A592" s="10"/>
      <c r="B592" s="13"/>
      <c r="C592" s="13"/>
    </row>
    <row r="593" spans="1:3" ht="13" x14ac:dyDescent="0.15">
      <c r="A593" s="10"/>
      <c r="B593" s="13"/>
      <c r="C593" s="13"/>
    </row>
    <row r="594" spans="1:3" ht="13" x14ac:dyDescent="0.15">
      <c r="A594" s="10"/>
      <c r="B594" s="13"/>
      <c r="C594" s="13"/>
    </row>
    <row r="595" spans="1:3" ht="13" x14ac:dyDescent="0.15">
      <c r="A595" s="10"/>
      <c r="B595" s="13"/>
      <c r="C595" s="13"/>
    </row>
    <row r="596" spans="1:3" ht="13" x14ac:dyDescent="0.15">
      <c r="A596" s="10"/>
      <c r="B596" s="13"/>
      <c r="C596" s="13"/>
    </row>
    <row r="597" spans="1:3" ht="13" x14ac:dyDescent="0.15">
      <c r="A597" s="10"/>
      <c r="B597" s="13"/>
      <c r="C597" s="13"/>
    </row>
    <row r="598" spans="1:3" ht="13" x14ac:dyDescent="0.15">
      <c r="A598" s="10"/>
      <c r="B598" s="13"/>
      <c r="C598" s="13"/>
    </row>
    <row r="599" spans="1:3" ht="13" x14ac:dyDescent="0.15">
      <c r="A599" s="10"/>
      <c r="B599" s="13"/>
      <c r="C599" s="13"/>
    </row>
    <row r="600" spans="1:3" ht="13" x14ac:dyDescent="0.15">
      <c r="A600" s="10"/>
      <c r="B600" s="13"/>
      <c r="C600" s="13"/>
    </row>
    <row r="601" spans="1:3" ht="13" x14ac:dyDescent="0.15">
      <c r="A601" s="10"/>
      <c r="B601" s="13"/>
      <c r="C601" s="13"/>
    </row>
    <row r="602" spans="1:3" ht="13" x14ac:dyDescent="0.15">
      <c r="A602" s="10"/>
      <c r="B602" s="13"/>
      <c r="C602" s="13"/>
    </row>
    <row r="603" spans="1:3" ht="13" x14ac:dyDescent="0.15">
      <c r="A603" s="10"/>
      <c r="B603" s="13"/>
      <c r="C603" s="13"/>
    </row>
    <row r="604" spans="1:3" ht="13" x14ac:dyDescent="0.15">
      <c r="A604" s="10"/>
      <c r="B604" s="13"/>
      <c r="C604" s="13"/>
    </row>
    <row r="605" spans="1:3" ht="13" x14ac:dyDescent="0.15">
      <c r="A605" s="10"/>
      <c r="B605" s="13"/>
      <c r="C605" s="13"/>
    </row>
    <row r="606" spans="1:3" ht="13" x14ac:dyDescent="0.15">
      <c r="A606" s="10"/>
      <c r="B606" s="13"/>
      <c r="C606" s="13"/>
    </row>
    <row r="607" spans="1:3" ht="13" x14ac:dyDescent="0.15">
      <c r="A607" s="10"/>
      <c r="B607" s="13"/>
      <c r="C607" s="13"/>
    </row>
    <row r="608" spans="1:3" ht="13" x14ac:dyDescent="0.15">
      <c r="A608" s="10"/>
      <c r="B608" s="13"/>
      <c r="C608" s="13"/>
    </row>
    <row r="609" spans="1:3" ht="13" x14ac:dyDescent="0.15">
      <c r="A609" s="10"/>
      <c r="B609" s="13"/>
      <c r="C609" s="13"/>
    </row>
    <row r="610" spans="1:3" ht="13" x14ac:dyDescent="0.15">
      <c r="A610" s="10"/>
      <c r="B610" s="13"/>
      <c r="C610" s="13"/>
    </row>
    <row r="611" spans="1:3" ht="13" x14ac:dyDescent="0.15">
      <c r="A611" s="10"/>
      <c r="B611" s="13"/>
      <c r="C611" s="13"/>
    </row>
    <row r="612" spans="1:3" ht="13" x14ac:dyDescent="0.15">
      <c r="A612" s="10"/>
      <c r="B612" s="13"/>
      <c r="C612" s="13"/>
    </row>
    <row r="613" spans="1:3" ht="13" x14ac:dyDescent="0.15">
      <c r="A613" s="10"/>
      <c r="B613" s="13"/>
      <c r="C613" s="13"/>
    </row>
    <row r="614" spans="1:3" ht="13" x14ac:dyDescent="0.15">
      <c r="A614" s="10"/>
      <c r="B614" s="13"/>
      <c r="C614" s="13"/>
    </row>
    <row r="615" spans="1:3" ht="13" x14ac:dyDescent="0.15">
      <c r="A615" s="10"/>
      <c r="B615" s="13"/>
      <c r="C615" s="13"/>
    </row>
    <row r="616" spans="1:3" ht="13" x14ac:dyDescent="0.15">
      <c r="A616" s="10"/>
      <c r="B616" s="13"/>
      <c r="C616" s="13"/>
    </row>
    <row r="617" spans="1:3" ht="13" x14ac:dyDescent="0.15">
      <c r="A617" s="10"/>
      <c r="B617" s="13"/>
      <c r="C617" s="13"/>
    </row>
    <row r="618" spans="1:3" ht="13" x14ac:dyDescent="0.15">
      <c r="A618" s="10"/>
      <c r="B618" s="13"/>
      <c r="C618" s="13"/>
    </row>
    <row r="619" spans="1:3" ht="13" x14ac:dyDescent="0.15">
      <c r="A619" s="10"/>
      <c r="B619" s="13"/>
      <c r="C619" s="13"/>
    </row>
    <row r="620" spans="1:3" ht="13" x14ac:dyDescent="0.15">
      <c r="A620" s="10"/>
      <c r="B620" s="13"/>
      <c r="C620" s="13"/>
    </row>
    <row r="621" spans="1:3" ht="13" x14ac:dyDescent="0.15">
      <c r="A621" s="10"/>
      <c r="B621" s="13"/>
      <c r="C621" s="13"/>
    </row>
    <row r="622" spans="1:3" ht="13" x14ac:dyDescent="0.15">
      <c r="A622" s="10"/>
      <c r="B622" s="13"/>
      <c r="C622" s="13"/>
    </row>
    <row r="623" spans="1:3" ht="13" x14ac:dyDescent="0.15">
      <c r="A623" s="10"/>
      <c r="B623" s="13"/>
      <c r="C623" s="13"/>
    </row>
    <row r="624" spans="1:3" ht="13" x14ac:dyDescent="0.15">
      <c r="A624" s="10"/>
      <c r="B624" s="13"/>
      <c r="C624" s="13"/>
    </row>
    <row r="625" spans="1:3" ht="13" x14ac:dyDescent="0.15">
      <c r="A625" s="10"/>
      <c r="B625" s="13"/>
      <c r="C625" s="13"/>
    </row>
    <row r="626" spans="1:3" ht="13" x14ac:dyDescent="0.15">
      <c r="A626" s="10"/>
      <c r="B626" s="13"/>
      <c r="C626" s="13"/>
    </row>
    <row r="627" spans="1:3" ht="13" x14ac:dyDescent="0.15">
      <c r="A627" s="10"/>
      <c r="B627" s="13"/>
      <c r="C627" s="13"/>
    </row>
    <row r="628" spans="1:3" ht="13" x14ac:dyDescent="0.15">
      <c r="A628" s="10"/>
      <c r="B628" s="13"/>
      <c r="C628" s="13"/>
    </row>
    <row r="629" spans="1:3" ht="13" x14ac:dyDescent="0.15">
      <c r="A629" s="10"/>
      <c r="B629" s="13"/>
      <c r="C629" s="13"/>
    </row>
    <row r="630" spans="1:3" ht="13" x14ac:dyDescent="0.15">
      <c r="A630" s="10"/>
      <c r="B630" s="13"/>
      <c r="C630" s="13"/>
    </row>
    <row r="631" spans="1:3" ht="13" x14ac:dyDescent="0.15">
      <c r="A631" s="10"/>
      <c r="B631" s="13"/>
      <c r="C631" s="13"/>
    </row>
    <row r="632" spans="1:3" ht="13" x14ac:dyDescent="0.15">
      <c r="A632" s="10"/>
      <c r="B632" s="13"/>
      <c r="C632" s="13"/>
    </row>
    <row r="633" spans="1:3" ht="13" x14ac:dyDescent="0.15">
      <c r="A633" s="10"/>
      <c r="B633" s="13"/>
      <c r="C633" s="13"/>
    </row>
    <row r="634" spans="1:3" ht="13" x14ac:dyDescent="0.15">
      <c r="A634" s="10"/>
      <c r="B634" s="13"/>
      <c r="C634" s="13"/>
    </row>
    <row r="635" spans="1:3" ht="13" x14ac:dyDescent="0.15">
      <c r="A635" s="10"/>
      <c r="B635" s="13"/>
      <c r="C635" s="13"/>
    </row>
    <row r="636" spans="1:3" ht="13" x14ac:dyDescent="0.15">
      <c r="A636" s="10"/>
      <c r="B636" s="13"/>
      <c r="C636" s="13"/>
    </row>
    <row r="637" spans="1:3" ht="13" x14ac:dyDescent="0.15">
      <c r="A637" s="10"/>
      <c r="B637" s="13"/>
      <c r="C637" s="13"/>
    </row>
    <row r="638" spans="1:3" ht="13" x14ac:dyDescent="0.15">
      <c r="A638" s="10"/>
      <c r="B638" s="13"/>
      <c r="C638" s="13"/>
    </row>
    <row r="639" spans="1:3" ht="13" x14ac:dyDescent="0.15">
      <c r="A639" s="10"/>
      <c r="B639" s="13"/>
      <c r="C639" s="13"/>
    </row>
    <row r="640" spans="1:3" ht="13" x14ac:dyDescent="0.15">
      <c r="A640" s="10"/>
      <c r="B640" s="13"/>
      <c r="C640" s="13"/>
    </row>
    <row r="641" spans="1:3" ht="13" x14ac:dyDescent="0.15">
      <c r="A641" s="10"/>
      <c r="B641" s="13"/>
      <c r="C641" s="13"/>
    </row>
    <row r="642" spans="1:3" ht="13" x14ac:dyDescent="0.15">
      <c r="A642" s="10"/>
      <c r="B642" s="13"/>
      <c r="C642" s="13"/>
    </row>
    <row r="643" spans="1:3" ht="13" x14ac:dyDescent="0.15">
      <c r="A643" s="10"/>
      <c r="B643" s="13"/>
      <c r="C643" s="13"/>
    </row>
    <row r="644" spans="1:3" ht="13" x14ac:dyDescent="0.15">
      <c r="A644" s="10"/>
      <c r="B644" s="13"/>
      <c r="C644" s="13"/>
    </row>
    <row r="645" spans="1:3" ht="13" x14ac:dyDescent="0.15">
      <c r="A645" s="10"/>
      <c r="B645" s="13"/>
      <c r="C645" s="13"/>
    </row>
    <row r="646" spans="1:3" ht="13" x14ac:dyDescent="0.15">
      <c r="A646" s="10"/>
      <c r="B646" s="13"/>
      <c r="C646" s="13"/>
    </row>
    <row r="647" spans="1:3" ht="13" x14ac:dyDescent="0.15">
      <c r="A647" s="10"/>
      <c r="B647" s="13"/>
      <c r="C647" s="13"/>
    </row>
    <row r="648" spans="1:3" ht="13" x14ac:dyDescent="0.15">
      <c r="A648" s="10"/>
      <c r="B648" s="13"/>
      <c r="C648" s="13"/>
    </row>
    <row r="649" spans="1:3" ht="13" x14ac:dyDescent="0.15">
      <c r="A649" s="10"/>
      <c r="B649" s="13"/>
      <c r="C649" s="13"/>
    </row>
    <row r="650" spans="1:3" ht="13" x14ac:dyDescent="0.15">
      <c r="A650" s="10"/>
      <c r="B650" s="13"/>
      <c r="C650" s="13"/>
    </row>
    <row r="651" spans="1:3" ht="13" x14ac:dyDescent="0.15">
      <c r="A651" s="10"/>
      <c r="B651" s="13"/>
      <c r="C651" s="13"/>
    </row>
    <row r="652" spans="1:3" ht="13" x14ac:dyDescent="0.15">
      <c r="A652" s="10"/>
      <c r="B652" s="13"/>
      <c r="C652" s="13"/>
    </row>
    <row r="653" spans="1:3" ht="13" x14ac:dyDescent="0.15">
      <c r="A653" s="10"/>
      <c r="B653" s="13"/>
      <c r="C653" s="13"/>
    </row>
    <row r="654" spans="1:3" ht="13" x14ac:dyDescent="0.15">
      <c r="A654" s="10"/>
      <c r="B654" s="13"/>
      <c r="C654" s="13"/>
    </row>
    <row r="655" spans="1:3" ht="13" x14ac:dyDescent="0.15">
      <c r="A655" s="10"/>
      <c r="B655" s="13"/>
      <c r="C655" s="13"/>
    </row>
    <row r="656" spans="1:3" ht="13" x14ac:dyDescent="0.15">
      <c r="A656" s="10"/>
      <c r="B656" s="13"/>
      <c r="C656" s="13"/>
    </row>
    <row r="657" spans="1:3" ht="13" x14ac:dyDescent="0.15">
      <c r="A657" s="10"/>
      <c r="B657" s="13"/>
      <c r="C657" s="13"/>
    </row>
    <row r="658" spans="1:3" ht="13" x14ac:dyDescent="0.15">
      <c r="A658" s="10"/>
      <c r="B658" s="13"/>
      <c r="C658" s="13"/>
    </row>
    <row r="659" spans="1:3" ht="13" x14ac:dyDescent="0.15">
      <c r="A659" s="10"/>
      <c r="B659" s="13"/>
      <c r="C659" s="13"/>
    </row>
    <row r="660" spans="1:3" ht="13" x14ac:dyDescent="0.15">
      <c r="A660" s="10"/>
      <c r="B660" s="13"/>
      <c r="C660" s="13"/>
    </row>
    <row r="661" spans="1:3" ht="13" x14ac:dyDescent="0.15">
      <c r="A661" s="10"/>
      <c r="B661" s="13"/>
      <c r="C661" s="13"/>
    </row>
    <row r="662" spans="1:3" ht="13" x14ac:dyDescent="0.15">
      <c r="A662" s="10"/>
      <c r="B662" s="13"/>
      <c r="C662" s="13"/>
    </row>
    <row r="663" spans="1:3" ht="13" x14ac:dyDescent="0.15">
      <c r="A663" s="10"/>
      <c r="B663" s="13"/>
      <c r="C663" s="13"/>
    </row>
    <row r="664" spans="1:3" ht="13" x14ac:dyDescent="0.15">
      <c r="A664" s="10"/>
      <c r="B664" s="13"/>
      <c r="C664" s="13"/>
    </row>
    <row r="665" spans="1:3" ht="13" x14ac:dyDescent="0.15">
      <c r="A665" s="10"/>
      <c r="B665" s="13"/>
      <c r="C665" s="13"/>
    </row>
    <row r="666" spans="1:3" ht="13" x14ac:dyDescent="0.15">
      <c r="A666" s="10"/>
      <c r="B666" s="13"/>
      <c r="C666" s="13"/>
    </row>
    <row r="667" spans="1:3" ht="13" x14ac:dyDescent="0.15">
      <c r="A667" s="10"/>
      <c r="B667" s="13"/>
      <c r="C667" s="13"/>
    </row>
    <row r="668" spans="1:3" ht="13" x14ac:dyDescent="0.15">
      <c r="A668" s="10"/>
      <c r="B668" s="13"/>
      <c r="C668" s="13"/>
    </row>
    <row r="669" spans="1:3" ht="13" x14ac:dyDescent="0.15">
      <c r="A669" s="10"/>
      <c r="B669" s="13"/>
      <c r="C669" s="13"/>
    </row>
    <row r="670" spans="1:3" ht="13" x14ac:dyDescent="0.15">
      <c r="A670" s="10"/>
      <c r="B670" s="13"/>
      <c r="C670" s="13"/>
    </row>
    <row r="671" spans="1:3" ht="13" x14ac:dyDescent="0.15">
      <c r="A671" s="10"/>
      <c r="B671" s="13"/>
      <c r="C671" s="13"/>
    </row>
    <row r="672" spans="1:3" ht="13" x14ac:dyDescent="0.15">
      <c r="A672" s="10"/>
      <c r="B672" s="13"/>
      <c r="C672" s="13"/>
    </row>
    <row r="673" spans="1:3" ht="13" x14ac:dyDescent="0.15">
      <c r="A673" s="10"/>
      <c r="B673" s="13"/>
      <c r="C673" s="13"/>
    </row>
    <row r="674" spans="1:3" ht="13" x14ac:dyDescent="0.15">
      <c r="A674" s="10"/>
      <c r="B674" s="13"/>
      <c r="C674" s="13"/>
    </row>
    <row r="675" spans="1:3" ht="13" x14ac:dyDescent="0.15">
      <c r="A675" s="10"/>
      <c r="B675" s="13"/>
      <c r="C675" s="13"/>
    </row>
    <row r="676" spans="1:3" ht="13" x14ac:dyDescent="0.15">
      <c r="A676" s="10"/>
      <c r="B676" s="13"/>
      <c r="C676" s="13"/>
    </row>
    <row r="677" spans="1:3" ht="13" x14ac:dyDescent="0.15">
      <c r="A677" s="10"/>
      <c r="B677" s="13"/>
      <c r="C677" s="13"/>
    </row>
    <row r="678" spans="1:3" ht="13" x14ac:dyDescent="0.15">
      <c r="A678" s="10"/>
      <c r="B678" s="13"/>
      <c r="C678" s="13"/>
    </row>
    <row r="679" spans="1:3" ht="13" x14ac:dyDescent="0.15">
      <c r="A679" s="10"/>
      <c r="B679" s="13"/>
      <c r="C679" s="13"/>
    </row>
    <row r="680" spans="1:3" ht="13" x14ac:dyDescent="0.15">
      <c r="A680" s="10"/>
      <c r="B680" s="13"/>
      <c r="C680" s="13"/>
    </row>
    <row r="681" spans="1:3" ht="13" x14ac:dyDescent="0.15">
      <c r="A681" s="10"/>
      <c r="B681" s="13"/>
      <c r="C681" s="13"/>
    </row>
    <row r="682" spans="1:3" ht="13" x14ac:dyDescent="0.15">
      <c r="A682" s="10"/>
      <c r="B682" s="13"/>
      <c r="C682" s="13"/>
    </row>
    <row r="683" spans="1:3" ht="13" x14ac:dyDescent="0.15">
      <c r="A683" s="10"/>
      <c r="B683" s="13"/>
      <c r="C683" s="13"/>
    </row>
    <row r="684" spans="1:3" ht="13" x14ac:dyDescent="0.15">
      <c r="A684" s="10"/>
      <c r="B684" s="13"/>
      <c r="C684" s="13"/>
    </row>
    <row r="685" spans="1:3" ht="13" x14ac:dyDescent="0.15">
      <c r="A685" s="10"/>
      <c r="B685" s="13"/>
      <c r="C685" s="13"/>
    </row>
    <row r="686" spans="1:3" ht="13" x14ac:dyDescent="0.15">
      <c r="A686" s="10"/>
      <c r="B686" s="13"/>
      <c r="C686" s="13"/>
    </row>
    <row r="687" spans="1:3" ht="13" x14ac:dyDescent="0.15">
      <c r="A687" s="10"/>
      <c r="B687" s="13"/>
      <c r="C687" s="13"/>
    </row>
    <row r="688" spans="1:3" ht="13" x14ac:dyDescent="0.15">
      <c r="A688" s="10"/>
      <c r="B688" s="13"/>
      <c r="C688" s="13"/>
    </row>
    <row r="689" spans="1:3" ht="13" x14ac:dyDescent="0.15">
      <c r="A689" s="10"/>
      <c r="B689" s="13"/>
      <c r="C689" s="13"/>
    </row>
    <row r="690" spans="1:3" ht="13" x14ac:dyDescent="0.15">
      <c r="A690" s="10"/>
      <c r="B690" s="13"/>
      <c r="C690" s="13"/>
    </row>
    <row r="691" spans="1:3" ht="13" x14ac:dyDescent="0.15">
      <c r="A691" s="10"/>
      <c r="B691" s="13"/>
      <c r="C691" s="13"/>
    </row>
    <row r="692" spans="1:3" ht="13" x14ac:dyDescent="0.15">
      <c r="A692" s="10"/>
      <c r="B692" s="13"/>
      <c r="C692" s="13"/>
    </row>
    <row r="693" spans="1:3" ht="13" x14ac:dyDescent="0.15">
      <c r="A693" s="10"/>
      <c r="B693" s="13"/>
      <c r="C693" s="13"/>
    </row>
    <row r="694" spans="1:3" ht="13" x14ac:dyDescent="0.15">
      <c r="A694" s="10"/>
      <c r="B694" s="13"/>
      <c r="C694" s="13"/>
    </row>
    <row r="695" spans="1:3" ht="13" x14ac:dyDescent="0.15">
      <c r="A695" s="10"/>
      <c r="B695" s="13"/>
      <c r="C695" s="13"/>
    </row>
    <row r="696" spans="1:3" ht="13" x14ac:dyDescent="0.15">
      <c r="A696" s="10"/>
      <c r="B696" s="13"/>
      <c r="C696" s="13"/>
    </row>
    <row r="697" spans="1:3" ht="13" x14ac:dyDescent="0.15">
      <c r="A697" s="10"/>
      <c r="B697" s="13"/>
      <c r="C697" s="13"/>
    </row>
    <row r="698" spans="1:3" ht="13" x14ac:dyDescent="0.15">
      <c r="A698" s="10"/>
      <c r="B698" s="13"/>
      <c r="C698" s="13"/>
    </row>
    <row r="699" spans="1:3" ht="13" x14ac:dyDescent="0.15">
      <c r="A699" s="10"/>
      <c r="B699" s="13"/>
      <c r="C699" s="13"/>
    </row>
    <row r="700" spans="1:3" ht="13" x14ac:dyDescent="0.15">
      <c r="A700" s="10"/>
      <c r="B700" s="13"/>
      <c r="C700" s="13"/>
    </row>
    <row r="701" spans="1:3" ht="13" x14ac:dyDescent="0.15">
      <c r="A701" s="10"/>
      <c r="B701" s="13"/>
      <c r="C701" s="13"/>
    </row>
    <row r="702" spans="1:3" ht="13" x14ac:dyDescent="0.15">
      <c r="A702" s="10"/>
      <c r="B702" s="13"/>
      <c r="C702" s="13"/>
    </row>
    <row r="703" spans="1:3" ht="13" x14ac:dyDescent="0.15">
      <c r="A703" s="10"/>
      <c r="B703" s="13"/>
      <c r="C703" s="13"/>
    </row>
    <row r="704" spans="1:3" ht="13" x14ac:dyDescent="0.15">
      <c r="A704" s="10"/>
      <c r="B704" s="13"/>
      <c r="C704" s="13"/>
    </row>
    <row r="705" spans="1:3" ht="13" x14ac:dyDescent="0.15">
      <c r="A705" s="10"/>
      <c r="B705" s="13"/>
      <c r="C705" s="13"/>
    </row>
    <row r="706" spans="1:3" ht="13" x14ac:dyDescent="0.15">
      <c r="A706" s="10"/>
      <c r="B706" s="13"/>
      <c r="C706" s="13"/>
    </row>
    <row r="707" spans="1:3" ht="13" x14ac:dyDescent="0.15">
      <c r="A707" s="10"/>
      <c r="B707" s="13"/>
      <c r="C707" s="13"/>
    </row>
    <row r="708" spans="1:3" ht="13" x14ac:dyDescent="0.15">
      <c r="A708" s="10"/>
      <c r="B708" s="13"/>
      <c r="C708" s="13"/>
    </row>
    <row r="709" spans="1:3" ht="13" x14ac:dyDescent="0.15">
      <c r="A709" s="10"/>
      <c r="B709" s="13"/>
      <c r="C709" s="13"/>
    </row>
    <row r="710" spans="1:3" ht="13" x14ac:dyDescent="0.15">
      <c r="A710" s="10"/>
      <c r="B710" s="13"/>
      <c r="C710" s="13"/>
    </row>
    <row r="711" spans="1:3" ht="13" x14ac:dyDescent="0.15">
      <c r="A711" s="10"/>
      <c r="B711" s="13"/>
      <c r="C711" s="13"/>
    </row>
    <row r="712" spans="1:3" ht="13" x14ac:dyDescent="0.15">
      <c r="A712" s="10"/>
      <c r="B712" s="13"/>
      <c r="C712" s="13"/>
    </row>
    <row r="713" spans="1:3" ht="13" x14ac:dyDescent="0.15">
      <c r="A713" s="10"/>
      <c r="B713" s="13"/>
      <c r="C713" s="13"/>
    </row>
    <row r="714" spans="1:3" ht="13" x14ac:dyDescent="0.15">
      <c r="A714" s="10"/>
      <c r="B714" s="13"/>
      <c r="C714" s="13"/>
    </row>
    <row r="715" spans="1:3" ht="13" x14ac:dyDescent="0.15">
      <c r="A715" s="10"/>
      <c r="B715" s="13"/>
      <c r="C715" s="13"/>
    </row>
    <row r="716" spans="1:3" ht="13" x14ac:dyDescent="0.15">
      <c r="A716" s="10"/>
      <c r="B716" s="13"/>
      <c r="C716" s="13"/>
    </row>
    <row r="717" spans="1:3" ht="13" x14ac:dyDescent="0.15">
      <c r="A717" s="10"/>
      <c r="B717" s="13"/>
      <c r="C717" s="13"/>
    </row>
    <row r="718" spans="1:3" ht="13" x14ac:dyDescent="0.15">
      <c r="A718" s="10"/>
      <c r="B718" s="13"/>
      <c r="C718" s="13"/>
    </row>
    <row r="719" spans="1:3" ht="13" x14ac:dyDescent="0.15">
      <c r="A719" s="10"/>
      <c r="B719" s="13"/>
      <c r="C719" s="13"/>
    </row>
    <row r="720" spans="1:3" ht="13" x14ac:dyDescent="0.15">
      <c r="A720" s="10"/>
      <c r="B720" s="13"/>
      <c r="C720" s="13"/>
    </row>
    <row r="721" spans="1:3" ht="13" x14ac:dyDescent="0.15">
      <c r="A721" s="10"/>
      <c r="B721" s="13"/>
      <c r="C721" s="13"/>
    </row>
    <row r="722" spans="1:3" ht="13" x14ac:dyDescent="0.15">
      <c r="A722" s="10"/>
      <c r="B722" s="13"/>
      <c r="C722" s="13"/>
    </row>
    <row r="723" spans="1:3" ht="13" x14ac:dyDescent="0.15">
      <c r="A723" s="10"/>
      <c r="B723" s="13"/>
      <c r="C723" s="13"/>
    </row>
    <row r="724" spans="1:3" ht="13" x14ac:dyDescent="0.15">
      <c r="A724" s="10"/>
      <c r="B724" s="13"/>
      <c r="C724" s="13"/>
    </row>
    <row r="725" spans="1:3" ht="13" x14ac:dyDescent="0.15">
      <c r="A725" s="10"/>
      <c r="B725" s="13"/>
      <c r="C725" s="13"/>
    </row>
    <row r="726" spans="1:3" ht="13" x14ac:dyDescent="0.15">
      <c r="A726" s="10"/>
      <c r="B726" s="13"/>
      <c r="C726" s="13"/>
    </row>
    <row r="727" spans="1:3" ht="13" x14ac:dyDescent="0.15">
      <c r="A727" s="10"/>
      <c r="B727" s="13"/>
      <c r="C727" s="13"/>
    </row>
    <row r="728" spans="1:3" ht="13" x14ac:dyDescent="0.15">
      <c r="A728" s="10"/>
      <c r="B728" s="13"/>
      <c r="C728" s="13"/>
    </row>
    <row r="729" spans="1:3" ht="13" x14ac:dyDescent="0.15">
      <c r="A729" s="10"/>
      <c r="B729" s="13"/>
      <c r="C729" s="13"/>
    </row>
    <row r="730" spans="1:3" ht="13" x14ac:dyDescent="0.15">
      <c r="A730" s="10"/>
      <c r="B730" s="13"/>
      <c r="C730" s="13"/>
    </row>
    <row r="731" spans="1:3" ht="13" x14ac:dyDescent="0.15">
      <c r="A731" s="10"/>
      <c r="B731" s="13"/>
      <c r="C731" s="13"/>
    </row>
    <row r="732" spans="1:3" ht="13" x14ac:dyDescent="0.15">
      <c r="A732" s="10"/>
      <c r="B732" s="13"/>
      <c r="C732" s="13"/>
    </row>
    <row r="733" spans="1:3" ht="13" x14ac:dyDescent="0.15">
      <c r="A733" s="10"/>
      <c r="B733" s="13"/>
      <c r="C733" s="13"/>
    </row>
    <row r="734" spans="1:3" ht="13" x14ac:dyDescent="0.15">
      <c r="A734" s="10"/>
      <c r="B734" s="13"/>
      <c r="C734" s="13"/>
    </row>
    <row r="735" spans="1:3" ht="13" x14ac:dyDescent="0.15">
      <c r="A735" s="10"/>
      <c r="B735" s="13"/>
      <c r="C735" s="13"/>
    </row>
    <row r="736" spans="1:3" ht="13" x14ac:dyDescent="0.15">
      <c r="A736" s="10"/>
      <c r="B736" s="13"/>
      <c r="C736" s="13"/>
    </row>
    <row r="737" spans="1:3" ht="13" x14ac:dyDescent="0.15">
      <c r="A737" s="10"/>
      <c r="B737" s="13"/>
      <c r="C737" s="13"/>
    </row>
    <row r="738" spans="1:3" ht="13" x14ac:dyDescent="0.15">
      <c r="A738" s="10"/>
      <c r="B738" s="13"/>
      <c r="C738" s="13"/>
    </row>
    <row r="739" spans="1:3" ht="13" x14ac:dyDescent="0.15">
      <c r="A739" s="10"/>
      <c r="B739" s="13"/>
      <c r="C739" s="13"/>
    </row>
    <row r="740" spans="1:3" ht="13" x14ac:dyDescent="0.15">
      <c r="A740" s="10"/>
      <c r="B740" s="13"/>
      <c r="C740" s="13"/>
    </row>
    <row r="741" spans="1:3" ht="13" x14ac:dyDescent="0.15">
      <c r="A741" s="10"/>
      <c r="B741" s="13"/>
      <c r="C741" s="13"/>
    </row>
    <row r="742" spans="1:3" ht="13" x14ac:dyDescent="0.15">
      <c r="A742" s="10"/>
      <c r="B742" s="13"/>
      <c r="C742" s="13"/>
    </row>
    <row r="743" spans="1:3" ht="13" x14ac:dyDescent="0.15">
      <c r="A743" s="10"/>
      <c r="B743" s="13"/>
      <c r="C743" s="13"/>
    </row>
    <row r="744" spans="1:3" ht="13" x14ac:dyDescent="0.15">
      <c r="A744" s="10"/>
      <c r="B744" s="13"/>
      <c r="C744" s="13"/>
    </row>
    <row r="745" spans="1:3" ht="13" x14ac:dyDescent="0.15">
      <c r="A745" s="10"/>
      <c r="B745" s="13"/>
      <c r="C745" s="13"/>
    </row>
    <row r="746" spans="1:3" ht="13" x14ac:dyDescent="0.15">
      <c r="A746" s="10"/>
      <c r="B746" s="13"/>
      <c r="C746" s="13"/>
    </row>
    <row r="747" spans="1:3" ht="13" x14ac:dyDescent="0.15">
      <c r="A747" s="10"/>
      <c r="B747" s="13"/>
      <c r="C747" s="13"/>
    </row>
    <row r="748" spans="1:3" ht="13" x14ac:dyDescent="0.15">
      <c r="A748" s="10"/>
      <c r="B748" s="13"/>
      <c r="C748" s="13"/>
    </row>
    <row r="749" spans="1:3" ht="13" x14ac:dyDescent="0.15">
      <c r="A749" s="10"/>
      <c r="B749" s="13"/>
      <c r="C749" s="13"/>
    </row>
    <row r="750" spans="1:3" ht="13" x14ac:dyDescent="0.15">
      <c r="A750" s="10"/>
      <c r="B750" s="13"/>
      <c r="C750" s="13"/>
    </row>
    <row r="751" spans="1:3" ht="13" x14ac:dyDescent="0.15">
      <c r="A751" s="10"/>
      <c r="B751" s="13"/>
      <c r="C751" s="13"/>
    </row>
    <row r="752" spans="1:3" ht="13" x14ac:dyDescent="0.15">
      <c r="A752" s="10"/>
      <c r="B752" s="13"/>
      <c r="C752" s="13"/>
    </row>
    <row r="753" spans="1:3" ht="13" x14ac:dyDescent="0.15">
      <c r="A753" s="10"/>
      <c r="B753" s="13"/>
      <c r="C753" s="13"/>
    </row>
    <row r="754" spans="1:3" ht="13" x14ac:dyDescent="0.15">
      <c r="A754" s="10"/>
      <c r="B754" s="13"/>
      <c r="C754" s="13"/>
    </row>
    <row r="755" spans="1:3" ht="13" x14ac:dyDescent="0.15">
      <c r="A755" s="10"/>
      <c r="B755" s="13"/>
      <c r="C755" s="13"/>
    </row>
    <row r="756" spans="1:3" ht="13" x14ac:dyDescent="0.15">
      <c r="A756" s="10"/>
      <c r="B756" s="13"/>
      <c r="C756" s="13"/>
    </row>
    <row r="757" spans="1:3" ht="13" x14ac:dyDescent="0.15">
      <c r="A757" s="10"/>
      <c r="B757" s="13"/>
      <c r="C757" s="13"/>
    </row>
    <row r="758" spans="1:3" ht="13" x14ac:dyDescent="0.15">
      <c r="A758" s="10"/>
      <c r="B758" s="13"/>
      <c r="C758" s="13"/>
    </row>
    <row r="759" spans="1:3" ht="13" x14ac:dyDescent="0.15">
      <c r="A759" s="10"/>
      <c r="B759" s="13"/>
      <c r="C759" s="13"/>
    </row>
    <row r="760" spans="1:3" ht="13" x14ac:dyDescent="0.15">
      <c r="A760" s="10"/>
      <c r="B760" s="13"/>
      <c r="C760" s="13"/>
    </row>
    <row r="761" spans="1:3" ht="13" x14ac:dyDescent="0.15">
      <c r="A761" s="10"/>
      <c r="B761" s="13"/>
      <c r="C761" s="13"/>
    </row>
    <row r="762" spans="1:3" ht="13" x14ac:dyDescent="0.15">
      <c r="A762" s="10"/>
      <c r="B762" s="13"/>
      <c r="C762" s="13"/>
    </row>
    <row r="763" spans="1:3" ht="13" x14ac:dyDescent="0.15">
      <c r="A763" s="10"/>
      <c r="B763" s="13"/>
      <c r="C763" s="13"/>
    </row>
    <row r="764" spans="1:3" ht="13" x14ac:dyDescent="0.15">
      <c r="A764" s="10"/>
      <c r="B764" s="13"/>
      <c r="C764" s="13"/>
    </row>
    <row r="765" spans="1:3" ht="13" x14ac:dyDescent="0.15">
      <c r="A765" s="10"/>
      <c r="B765" s="13"/>
      <c r="C765" s="13"/>
    </row>
    <row r="766" spans="1:3" ht="13" x14ac:dyDescent="0.15">
      <c r="A766" s="10"/>
      <c r="B766" s="13"/>
      <c r="C766" s="13"/>
    </row>
    <row r="767" spans="1:3" ht="13" x14ac:dyDescent="0.15">
      <c r="A767" s="10"/>
      <c r="B767" s="13"/>
      <c r="C767" s="13"/>
    </row>
    <row r="768" spans="1:3" ht="13" x14ac:dyDescent="0.15">
      <c r="A768" s="10"/>
      <c r="B768" s="13"/>
      <c r="C768" s="13"/>
    </row>
    <row r="769" spans="1:3" ht="13" x14ac:dyDescent="0.15">
      <c r="A769" s="10"/>
      <c r="B769" s="13"/>
      <c r="C769" s="13"/>
    </row>
    <row r="770" spans="1:3" ht="13" x14ac:dyDescent="0.15">
      <c r="A770" s="10"/>
      <c r="B770" s="13"/>
      <c r="C770" s="13"/>
    </row>
    <row r="771" spans="1:3" ht="13" x14ac:dyDescent="0.15">
      <c r="A771" s="10"/>
      <c r="B771" s="13"/>
      <c r="C771" s="13"/>
    </row>
    <row r="772" spans="1:3" ht="13" x14ac:dyDescent="0.15">
      <c r="A772" s="10"/>
      <c r="B772" s="13"/>
      <c r="C772" s="13"/>
    </row>
    <row r="773" spans="1:3" ht="13" x14ac:dyDescent="0.15">
      <c r="A773" s="10"/>
      <c r="B773" s="13"/>
      <c r="C773" s="13"/>
    </row>
    <row r="774" spans="1:3" ht="13" x14ac:dyDescent="0.15">
      <c r="A774" s="10"/>
      <c r="B774" s="13"/>
      <c r="C774" s="13"/>
    </row>
    <row r="775" spans="1:3" ht="13" x14ac:dyDescent="0.15">
      <c r="A775" s="10"/>
      <c r="B775" s="13"/>
      <c r="C775" s="13"/>
    </row>
    <row r="776" spans="1:3" ht="13" x14ac:dyDescent="0.15">
      <c r="A776" s="10"/>
      <c r="B776" s="13"/>
      <c r="C776" s="13"/>
    </row>
    <row r="777" spans="1:3" ht="13" x14ac:dyDescent="0.15">
      <c r="A777" s="10"/>
      <c r="B777" s="13"/>
      <c r="C777" s="13"/>
    </row>
    <row r="778" spans="1:3" ht="13" x14ac:dyDescent="0.15">
      <c r="A778" s="10"/>
      <c r="B778" s="13"/>
      <c r="C778" s="13"/>
    </row>
    <row r="779" spans="1:3" ht="13" x14ac:dyDescent="0.15">
      <c r="A779" s="10"/>
      <c r="B779" s="13"/>
      <c r="C779" s="13"/>
    </row>
    <row r="780" spans="1:3" ht="13" x14ac:dyDescent="0.15">
      <c r="A780" s="10"/>
      <c r="B780" s="13"/>
      <c r="C780" s="13"/>
    </row>
    <row r="781" spans="1:3" ht="13" x14ac:dyDescent="0.15">
      <c r="A781" s="10"/>
      <c r="B781" s="13"/>
      <c r="C781" s="13"/>
    </row>
    <row r="782" spans="1:3" ht="13" x14ac:dyDescent="0.15">
      <c r="A782" s="10"/>
      <c r="B782" s="13"/>
      <c r="C782" s="13"/>
    </row>
    <row r="783" spans="1:3" ht="13" x14ac:dyDescent="0.15">
      <c r="A783" s="10"/>
      <c r="B783" s="13"/>
      <c r="C783" s="13"/>
    </row>
    <row r="784" spans="1:3" ht="13" x14ac:dyDescent="0.15">
      <c r="A784" s="10"/>
      <c r="B784" s="13"/>
      <c r="C784" s="13"/>
    </row>
    <row r="785" spans="1:3" ht="13" x14ac:dyDescent="0.15">
      <c r="A785" s="10"/>
      <c r="B785" s="13"/>
      <c r="C785" s="13"/>
    </row>
    <row r="786" spans="1:3" ht="13" x14ac:dyDescent="0.15">
      <c r="A786" s="10"/>
      <c r="B786" s="13"/>
      <c r="C786" s="13"/>
    </row>
    <row r="787" spans="1:3" ht="13" x14ac:dyDescent="0.15">
      <c r="A787" s="10"/>
      <c r="B787" s="13"/>
      <c r="C787" s="13"/>
    </row>
    <row r="788" spans="1:3" ht="13" x14ac:dyDescent="0.15">
      <c r="A788" s="10"/>
      <c r="B788" s="13"/>
      <c r="C788" s="13"/>
    </row>
    <row r="789" spans="1:3" ht="13" x14ac:dyDescent="0.15">
      <c r="A789" s="10"/>
      <c r="B789" s="13"/>
      <c r="C789" s="13"/>
    </row>
    <row r="790" spans="1:3" ht="13" x14ac:dyDescent="0.15">
      <c r="A790" s="10"/>
      <c r="B790" s="13"/>
      <c r="C790" s="13"/>
    </row>
    <row r="791" spans="1:3" ht="13" x14ac:dyDescent="0.15">
      <c r="A791" s="10"/>
      <c r="B791" s="13"/>
      <c r="C791" s="13"/>
    </row>
    <row r="792" spans="1:3" ht="13" x14ac:dyDescent="0.15">
      <c r="A792" s="10"/>
      <c r="B792" s="13"/>
      <c r="C792" s="13"/>
    </row>
    <row r="793" spans="1:3" ht="13" x14ac:dyDescent="0.15">
      <c r="A793" s="10"/>
      <c r="B793" s="13"/>
      <c r="C793" s="13"/>
    </row>
    <row r="794" spans="1:3" ht="13" x14ac:dyDescent="0.15">
      <c r="A794" s="10"/>
      <c r="B794" s="13"/>
      <c r="C794" s="13"/>
    </row>
    <row r="795" spans="1:3" ht="13" x14ac:dyDescent="0.15">
      <c r="A795" s="10"/>
      <c r="B795" s="13"/>
      <c r="C795" s="13"/>
    </row>
    <row r="796" spans="1:3" ht="13" x14ac:dyDescent="0.15">
      <c r="A796" s="10"/>
      <c r="B796" s="13"/>
      <c r="C796" s="13"/>
    </row>
    <row r="797" spans="1:3" ht="13" x14ac:dyDescent="0.15">
      <c r="A797" s="10"/>
      <c r="B797" s="13"/>
      <c r="C797" s="13"/>
    </row>
    <row r="798" spans="1:3" ht="13" x14ac:dyDescent="0.15">
      <c r="A798" s="10"/>
      <c r="B798" s="13"/>
      <c r="C798" s="13"/>
    </row>
    <row r="799" spans="1:3" ht="13" x14ac:dyDescent="0.15">
      <c r="A799" s="10"/>
      <c r="B799" s="13"/>
      <c r="C799" s="13"/>
    </row>
    <row r="800" spans="1:3" ht="13" x14ac:dyDescent="0.15">
      <c r="A800" s="10"/>
      <c r="B800" s="13"/>
      <c r="C800" s="13"/>
    </row>
    <row r="801" spans="1:3" ht="13" x14ac:dyDescent="0.15">
      <c r="A801" s="10"/>
      <c r="B801" s="13"/>
      <c r="C801" s="13"/>
    </row>
    <row r="802" spans="1:3" ht="13" x14ac:dyDescent="0.15">
      <c r="A802" s="10"/>
      <c r="B802" s="13"/>
      <c r="C802" s="13"/>
    </row>
    <row r="803" spans="1:3" ht="13" x14ac:dyDescent="0.15">
      <c r="A803" s="10"/>
      <c r="B803" s="13"/>
      <c r="C803" s="13"/>
    </row>
    <row r="804" spans="1:3" ht="13" x14ac:dyDescent="0.15">
      <c r="A804" s="10"/>
      <c r="B804" s="13"/>
      <c r="C804" s="13"/>
    </row>
    <row r="805" spans="1:3" ht="13" x14ac:dyDescent="0.15">
      <c r="A805" s="10"/>
      <c r="B805" s="13"/>
      <c r="C805" s="13"/>
    </row>
    <row r="806" spans="1:3" ht="13" x14ac:dyDescent="0.15">
      <c r="A806" s="10"/>
      <c r="B806" s="13"/>
      <c r="C806" s="13"/>
    </row>
    <row r="807" spans="1:3" ht="13" x14ac:dyDescent="0.15">
      <c r="A807" s="10"/>
      <c r="B807" s="13"/>
      <c r="C807" s="13"/>
    </row>
    <row r="808" spans="1:3" ht="13" x14ac:dyDescent="0.15">
      <c r="A808" s="10"/>
      <c r="B808" s="13"/>
      <c r="C808" s="13"/>
    </row>
    <row r="809" spans="1:3" ht="13" x14ac:dyDescent="0.15">
      <c r="A809" s="10"/>
      <c r="B809" s="13"/>
      <c r="C809" s="13"/>
    </row>
    <row r="810" spans="1:3" ht="13" x14ac:dyDescent="0.15">
      <c r="A810" s="10"/>
      <c r="B810" s="13"/>
      <c r="C810" s="13"/>
    </row>
    <row r="811" spans="1:3" ht="13" x14ac:dyDescent="0.15">
      <c r="A811" s="10"/>
      <c r="B811" s="13"/>
      <c r="C811" s="13"/>
    </row>
    <row r="812" spans="1:3" ht="13" x14ac:dyDescent="0.15">
      <c r="A812" s="10"/>
      <c r="B812" s="13"/>
      <c r="C812" s="13"/>
    </row>
    <row r="813" spans="1:3" ht="13" x14ac:dyDescent="0.15">
      <c r="A813" s="10"/>
      <c r="B813" s="13"/>
      <c r="C813" s="13"/>
    </row>
    <row r="814" spans="1:3" ht="13" x14ac:dyDescent="0.15">
      <c r="A814" s="10"/>
      <c r="B814" s="13"/>
      <c r="C814" s="13"/>
    </row>
    <row r="815" spans="1:3" ht="13" x14ac:dyDescent="0.15">
      <c r="A815" s="10"/>
      <c r="B815" s="13"/>
      <c r="C815" s="13"/>
    </row>
    <row r="816" spans="1:3" ht="13" x14ac:dyDescent="0.15">
      <c r="A816" s="10"/>
      <c r="B816" s="13"/>
      <c r="C816" s="13"/>
    </row>
    <row r="817" spans="1:3" ht="13" x14ac:dyDescent="0.15">
      <c r="A817" s="10"/>
      <c r="B817" s="13"/>
      <c r="C817" s="13"/>
    </row>
    <row r="818" spans="1:3" ht="13" x14ac:dyDescent="0.15">
      <c r="A818" s="10"/>
      <c r="B818" s="13"/>
      <c r="C818" s="13"/>
    </row>
    <row r="819" spans="1:3" ht="13" x14ac:dyDescent="0.15">
      <c r="A819" s="10"/>
      <c r="B819" s="13"/>
      <c r="C819" s="13"/>
    </row>
    <row r="820" spans="1:3" ht="13" x14ac:dyDescent="0.15">
      <c r="A820" s="10"/>
      <c r="B820" s="13"/>
      <c r="C820" s="13"/>
    </row>
    <row r="821" spans="1:3" ht="13" x14ac:dyDescent="0.15">
      <c r="A821" s="10"/>
      <c r="B821" s="13"/>
      <c r="C821" s="13"/>
    </row>
    <row r="822" spans="1:3" ht="13" x14ac:dyDescent="0.15">
      <c r="A822" s="10"/>
      <c r="B822" s="13"/>
      <c r="C822" s="13"/>
    </row>
    <row r="823" spans="1:3" ht="13" x14ac:dyDescent="0.15">
      <c r="A823" s="10"/>
      <c r="B823" s="13"/>
      <c r="C823" s="13"/>
    </row>
    <row r="824" spans="1:3" ht="13" x14ac:dyDescent="0.15">
      <c r="A824" s="10"/>
      <c r="B824" s="13"/>
      <c r="C824" s="13"/>
    </row>
    <row r="825" spans="1:3" ht="13" x14ac:dyDescent="0.15">
      <c r="A825" s="10"/>
      <c r="B825" s="13"/>
      <c r="C825" s="13"/>
    </row>
    <row r="826" spans="1:3" ht="13" x14ac:dyDescent="0.15">
      <c r="A826" s="10"/>
      <c r="B826" s="13"/>
      <c r="C826" s="13"/>
    </row>
    <row r="827" spans="1:3" ht="13" x14ac:dyDescent="0.15">
      <c r="A827" s="10"/>
      <c r="B827" s="13"/>
      <c r="C827" s="13"/>
    </row>
    <row r="828" spans="1:3" ht="13" x14ac:dyDescent="0.15">
      <c r="A828" s="10"/>
      <c r="B828" s="13"/>
      <c r="C828" s="13"/>
    </row>
    <row r="829" spans="1:3" ht="13" x14ac:dyDescent="0.15">
      <c r="A829" s="10"/>
      <c r="B829" s="13"/>
      <c r="C829" s="13"/>
    </row>
    <row r="830" spans="1:3" ht="13" x14ac:dyDescent="0.15">
      <c r="A830" s="10"/>
      <c r="B830" s="13"/>
      <c r="C830" s="13"/>
    </row>
    <row r="831" spans="1:3" ht="13" x14ac:dyDescent="0.15">
      <c r="A831" s="10"/>
      <c r="B831" s="13"/>
      <c r="C831" s="13"/>
    </row>
    <row r="832" spans="1:3" ht="13" x14ac:dyDescent="0.15">
      <c r="A832" s="10"/>
      <c r="B832" s="13"/>
      <c r="C832" s="13"/>
    </row>
    <row r="833" spans="1:3" ht="13" x14ac:dyDescent="0.15">
      <c r="A833" s="10"/>
      <c r="B833" s="13"/>
      <c r="C833" s="13"/>
    </row>
    <row r="834" spans="1:3" ht="13" x14ac:dyDescent="0.15">
      <c r="A834" s="10"/>
      <c r="B834" s="13"/>
      <c r="C834" s="13"/>
    </row>
    <row r="835" spans="1:3" ht="13" x14ac:dyDescent="0.15">
      <c r="A835" s="10"/>
      <c r="B835" s="13"/>
      <c r="C835" s="13"/>
    </row>
    <row r="836" spans="1:3" ht="13" x14ac:dyDescent="0.15">
      <c r="A836" s="10"/>
      <c r="B836" s="13"/>
      <c r="C836" s="13"/>
    </row>
    <row r="837" spans="1:3" ht="13" x14ac:dyDescent="0.15">
      <c r="A837" s="10"/>
      <c r="B837" s="13"/>
      <c r="C837" s="13"/>
    </row>
    <row r="838" spans="1:3" ht="13" x14ac:dyDescent="0.15">
      <c r="A838" s="10"/>
      <c r="B838" s="13"/>
      <c r="C838" s="13"/>
    </row>
    <row r="839" spans="1:3" ht="13" x14ac:dyDescent="0.15">
      <c r="A839" s="10"/>
      <c r="B839" s="13"/>
      <c r="C839" s="13"/>
    </row>
    <row r="840" spans="1:3" ht="13" x14ac:dyDescent="0.15">
      <c r="A840" s="10"/>
      <c r="B840" s="13"/>
      <c r="C840" s="13"/>
    </row>
    <row r="841" spans="1:3" ht="13" x14ac:dyDescent="0.15">
      <c r="A841" s="10"/>
      <c r="B841" s="13"/>
      <c r="C841" s="13"/>
    </row>
    <row r="842" spans="1:3" ht="13" x14ac:dyDescent="0.15">
      <c r="A842" s="10"/>
      <c r="B842" s="13"/>
      <c r="C842" s="13"/>
    </row>
    <row r="843" spans="1:3" ht="13" x14ac:dyDescent="0.15">
      <c r="A843" s="10"/>
      <c r="B843" s="13"/>
      <c r="C843" s="13"/>
    </row>
    <row r="844" spans="1:3" ht="13" x14ac:dyDescent="0.15">
      <c r="A844" s="10"/>
      <c r="B844" s="13"/>
      <c r="C844" s="13"/>
    </row>
    <row r="845" spans="1:3" ht="13" x14ac:dyDescent="0.15">
      <c r="A845" s="10"/>
      <c r="B845" s="13"/>
      <c r="C845" s="13"/>
    </row>
    <row r="846" spans="1:3" ht="13" x14ac:dyDescent="0.15">
      <c r="A846" s="10"/>
      <c r="B846" s="13"/>
      <c r="C846" s="13"/>
    </row>
    <row r="847" spans="1:3" ht="13" x14ac:dyDescent="0.15">
      <c r="A847" s="10"/>
      <c r="B847" s="13"/>
      <c r="C847" s="13"/>
    </row>
    <row r="848" spans="1:3" ht="13" x14ac:dyDescent="0.15">
      <c r="A848" s="10"/>
      <c r="B848" s="13"/>
      <c r="C848" s="13"/>
    </row>
    <row r="849" spans="1:3" ht="13" x14ac:dyDescent="0.15">
      <c r="A849" s="10"/>
      <c r="B849" s="13"/>
      <c r="C849" s="13"/>
    </row>
    <row r="850" spans="1:3" ht="13" x14ac:dyDescent="0.15">
      <c r="A850" s="10"/>
      <c r="B850" s="13"/>
      <c r="C850" s="13"/>
    </row>
    <row r="851" spans="1:3" ht="13" x14ac:dyDescent="0.15">
      <c r="A851" s="10"/>
      <c r="B851" s="13"/>
      <c r="C851" s="13"/>
    </row>
    <row r="852" spans="1:3" ht="13" x14ac:dyDescent="0.15">
      <c r="A852" s="10"/>
      <c r="B852" s="13"/>
      <c r="C852" s="13"/>
    </row>
    <row r="853" spans="1:3" ht="13" x14ac:dyDescent="0.15">
      <c r="A853" s="10"/>
      <c r="B853" s="13"/>
      <c r="C853" s="13"/>
    </row>
    <row r="854" spans="1:3" ht="13" x14ac:dyDescent="0.15">
      <c r="A854" s="10"/>
      <c r="B854" s="13"/>
      <c r="C854" s="13"/>
    </row>
    <row r="855" spans="1:3" ht="13" x14ac:dyDescent="0.15">
      <c r="A855" s="10"/>
      <c r="B855" s="13"/>
      <c r="C855" s="13"/>
    </row>
    <row r="856" spans="1:3" ht="13" x14ac:dyDescent="0.15">
      <c r="A856" s="10"/>
      <c r="B856" s="13"/>
      <c r="C856" s="13"/>
    </row>
    <row r="857" spans="1:3" ht="13" x14ac:dyDescent="0.15">
      <c r="A857" s="10"/>
      <c r="B857" s="13"/>
      <c r="C857" s="13"/>
    </row>
    <row r="858" spans="1:3" ht="13" x14ac:dyDescent="0.15">
      <c r="A858" s="10"/>
      <c r="B858" s="13"/>
      <c r="C858" s="13"/>
    </row>
    <row r="859" spans="1:3" ht="13" x14ac:dyDescent="0.15">
      <c r="A859" s="10"/>
      <c r="B859" s="13"/>
      <c r="C859" s="13"/>
    </row>
    <row r="860" spans="1:3" ht="13" x14ac:dyDescent="0.15">
      <c r="A860" s="10"/>
      <c r="B860" s="13"/>
      <c r="C860" s="13"/>
    </row>
    <row r="861" spans="1:3" ht="13" x14ac:dyDescent="0.15">
      <c r="A861" s="10"/>
      <c r="B861" s="13"/>
      <c r="C861" s="13"/>
    </row>
    <row r="862" spans="1:3" ht="13" x14ac:dyDescent="0.15">
      <c r="A862" s="10"/>
      <c r="B862" s="13"/>
      <c r="C862" s="13"/>
    </row>
    <row r="863" spans="1:3" ht="13" x14ac:dyDescent="0.15">
      <c r="A863" s="10"/>
      <c r="B863" s="13"/>
      <c r="C863" s="13"/>
    </row>
    <row r="864" spans="1:3" ht="13" x14ac:dyDescent="0.15">
      <c r="A864" s="10"/>
      <c r="B864" s="13"/>
      <c r="C864" s="13"/>
    </row>
    <row r="865" spans="1:3" ht="13" x14ac:dyDescent="0.15">
      <c r="A865" s="10"/>
      <c r="B865" s="13"/>
      <c r="C865" s="13"/>
    </row>
    <row r="866" spans="1:3" ht="13" x14ac:dyDescent="0.15">
      <c r="A866" s="10"/>
      <c r="B866" s="13"/>
      <c r="C866" s="13"/>
    </row>
    <row r="867" spans="1:3" ht="13" x14ac:dyDescent="0.15">
      <c r="A867" s="10"/>
      <c r="B867" s="13"/>
      <c r="C867" s="13"/>
    </row>
    <row r="868" spans="1:3" ht="13" x14ac:dyDescent="0.15">
      <c r="A868" s="10"/>
      <c r="B868" s="13"/>
      <c r="C868" s="13"/>
    </row>
    <row r="869" spans="1:3" ht="13" x14ac:dyDescent="0.15">
      <c r="A869" s="10"/>
      <c r="B869" s="13"/>
      <c r="C869" s="13"/>
    </row>
    <row r="870" spans="1:3" ht="13" x14ac:dyDescent="0.15">
      <c r="A870" s="10"/>
      <c r="B870" s="13"/>
      <c r="C870" s="13"/>
    </row>
    <row r="871" spans="1:3" ht="13" x14ac:dyDescent="0.15">
      <c r="A871" s="10"/>
      <c r="B871" s="13"/>
      <c r="C871" s="13"/>
    </row>
    <row r="872" spans="1:3" ht="13" x14ac:dyDescent="0.15">
      <c r="A872" s="10"/>
      <c r="B872" s="13"/>
      <c r="C872" s="13"/>
    </row>
    <row r="873" spans="1:3" ht="13" x14ac:dyDescent="0.15">
      <c r="A873" s="10"/>
      <c r="B873" s="13"/>
      <c r="C873" s="13"/>
    </row>
    <row r="874" spans="1:3" ht="13" x14ac:dyDescent="0.15">
      <c r="A874" s="10"/>
      <c r="B874" s="13"/>
      <c r="C874" s="13"/>
    </row>
    <row r="875" spans="1:3" ht="13" x14ac:dyDescent="0.15">
      <c r="A875" s="10"/>
      <c r="B875" s="13"/>
      <c r="C875" s="13"/>
    </row>
    <row r="876" spans="1:3" ht="13" x14ac:dyDescent="0.15">
      <c r="A876" s="10"/>
      <c r="B876" s="13"/>
      <c r="C876" s="13"/>
    </row>
    <row r="877" spans="1:3" ht="13" x14ac:dyDescent="0.15">
      <c r="A877" s="10"/>
      <c r="B877" s="13"/>
      <c r="C877" s="13"/>
    </row>
    <row r="878" spans="1:3" ht="13" x14ac:dyDescent="0.15">
      <c r="A878" s="10"/>
      <c r="B878" s="13"/>
      <c r="C878" s="13"/>
    </row>
    <row r="879" spans="1:3" ht="13" x14ac:dyDescent="0.15">
      <c r="A879" s="10"/>
      <c r="B879" s="13"/>
      <c r="C879" s="13"/>
    </row>
    <row r="880" spans="1:3" ht="13" x14ac:dyDescent="0.15">
      <c r="A880" s="10"/>
      <c r="B880" s="13"/>
      <c r="C880" s="13"/>
    </row>
    <row r="881" spans="1:3" ht="13" x14ac:dyDescent="0.15">
      <c r="A881" s="10"/>
      <c r="B881" s="13"/>
      <c r="C881" s="13"/>
    </row>
    <row r="882" spans="1:3" ht="13" x14ac:dyDescent="0.15">
      <c r="A882" s="10"/>
      <c r="B882" s="13"/>
      <c r="C882" s="13"/>
    </row>
    <row r="883" spans="1:3" ht="13" x14ac:dyDescent="0.15">
      <c r="A883" s="10"/>
      <c r="B883" s="13"/>
      <c r="C883" s="13"/>
    </row>
    <row r="884" spans="1:3" ht="13" x14ac:dyDescent="0.15">
      <c r="A884" s="10"/>
      <c r="B884" s="13"/>
      <c r="C884" s="13"/>
    </row>
    <row r="885" spans="1:3" ht="13" x14ac:dyDescent="0.15">
      <c r="A885" s="10"/>
      <c r="B885" s="13"/>
      <c r="C885" s="13"/>
    </row>
    <row r="886" spans="1:3" ht="13" x14ac:dyDescent="0.15">
      <c r="A886" s="10"/>
      <c r="B886" s="13"/>
      <c r="C886" s="13"/>
    </row>
    <row r="887" spans="1:3" ht="13" x14ac:dyDescent="0.15">
      <c r="A887" s="10"/>
      <c r="B887" s="13"/>
      <c r="C887" s="13"/>
    </row>
    <row r="888" spans="1:3" ht="13" x14ac:dyDescent="0.15">
      <c r="A888" s="10"/>
      <c r="B888" s="13"/>
      <c r="C888" s="13"/>
    </row>
    <row r="889" spans="1:3" ht="13" x14ac:dyDescent="0.15">
      <c r="A889" s="10"/>
      <c r="B889" s="13"/>
      <c r="C889" s="13"/>
    </row>
    <row r="890" spans="1:3" ht="13" x14ac:dyDescent="0.15">
      <c r="A890" s="10"/>
      <c r="B890" s="13"/>
      <c r="C890" s="13"/>
    </row>
    <row r="891" spans="1:3" ht="13" x14ac:dyDescent="0.15">
      <c r="A891" s="10"/>
      <c r="B891" s="13"/>
      <c r="C891" s="13"/>
    </row>
    <row r="892" spans="1:3" ht="13" x14ac:dyDescent="0.15">
      <c r="A892" s="10"/>
      <c r="B892" s="13"/>
      <c r="C892" s="13"/>
    </row>
    <row r="893" spans="1:3" ht="13" x14ac:dyDescent="0.15">
      <c r="A893" s="10"/>
      <c r="B893" s="13"/>
      <c r="C893" s="13"/>
    </row>
    <row r="894" spans="1:3" ht="13" x14ac:dyDescent="0.15">
      <c r="A894" s="10"/>
      <c r="B894" s="13"/>
      <c r="C894" s="13"/>
    </row>
    <row r="895" spans="1:3" ht="13" x14ac:dyDescent="0.15">
      <c r="A895" s="10"/>
      <c r="B895" s="13"/>
      <c r="C895" s="13"/>
    </row>
    <row r="896" spans="1:3" ht="13" x14ac:dyDescent="0.15">
      <c r="A896" s="10"/>
      <c r="B896" s="13"/>
      <c r="C896" s="13"/>
    </row>
    <row r="897" spans="1:3" ht="13" x14ac:dyDescent="0.15">
      <c r="A897" s="10"/>
      <c r="B897" s="13"/>
      <c r="C897" s="13"/>
    </row>
    <row r="898" spans="1:3" ht="13" x14ac:dyDescent="0.15">
      <c r="A898" s="10"/>
      <c r="B898" s="13"/>
      <c r="C898" s="13"/>
    </row>
    <row r="899" spans="1:3" ht="13" x14ac:dyDescent="0.15">
      <c r="A899" s="10"/>
      <c r="B899" s="13"/>
      <c r="C899" s="13"/>
    </row>
    <row r="900" spans="1:3" ht="13" x14ac:dyDescent="0.15">
      <c r="A900" s="10"/>
      <c r="B900" s="13"/>
      <c r="C900" s="13"/>
    </row>
    <row r="901" spans="1:3" ht="13" x14ac:dyDescent="0.15">
      <c r="A901" s="10"/>
      <c r="B901" s="13"/>
      <c r="C901" s="13"/>
    </row>
    <row r="902" spans="1:3" ht="13" x14ac:dyDescent="0.15">
      <c r="A902" s="10"/>
      <c r="B902" s="13"/>
      <c r="C902" s="13"/>
    </row>
    <row r="903" spans="1:3" ht="13" x14ac:dyDescent="0.15">
      <c r="A903" s="10"/>
      <c r="B903" s="13"/>
      <c r="C903" s="13"/>
    </row>
    <row r="904" spans="1:3" ht="13" x14ac:dyDescent="0.15">
      <c r="A904" s="10"/>
      <c r="B904" s="13"/>
      <c r="C904" s="13"/>
    </row>
    <row r="905" spans="1:3" ht="13" x14ac:dyDescent="0.15">
      <c r="A905" s="10"/>
      <c r="B905" s="13"/>
      <c r="C905" s="13"/>
    </row>
    <row r="906" spans="1:3" ht="13" x14ac:dyDescent="0.15">
      <c r="A906" s="10"/>
      <c r="B906" s="13"/>
      <c r="C906" s="13"/>
    </row>
    <row r="907" spans="1:3" ht="13" x14ac:dyDescent="0.15">
      <c r="A907" s="10"/>
      <c r="B907" s="13"/>
      <c r="C907" s="13"/>
    </row>
    <row r="908" spans="1:3" ht="13" x14ac:dyDescent="0.15">
      <c r="A908" s="10"/>
      <c r="B908" s="13"/>
      <c r="C908" s="13"/>
    </row>
    <row r="909" spans="1:3" ht="13" x14ac:dyDescent="0.15">
      <c r="A909" s="10"/>
      <c r="B909" s="13"/>
      <c r="C909" s="13"/>
    </row>
    <row r="910" spans="1:3" ht="13" x14ac:dyDescent="0.15">
      <c r="A910" s="10"/>
      <c r="B910" s="13"/>
      <c r="C910" s="13"/>
    </row>
    <row r="911" spans="1:3" ht="13" x14ac:dyDescent="0.15">
      <c r="A911" s="10"/>
      <c r="B911" s="13"/>
      <c r="C911" s="13"/>
    </row>
    <row r="912" spans="1:3" ht="13" x14ac:dyDescent="0.15">
      <c r="A912" s="10"/>
      <c r="B912" s="13"/>
      <c r="C912" s="13"/>
    </row>
    <row r="913" spans="1:3" ht="13" x14ac:dyDescent="0.15">
      <c r="A913" s="10"/>
      <c r="B913" s="13"/>
      <c r="C913" s="13"/>
    </row>
    <row r="914" spans="1:3" ht="13" x14ac:dyDescent="0.15">
      <c r="A914" s="10"/>
      <c r="B914" s="13"/>
      <c r="C914" s="13"/>
    </row>
    <row r="915" spans="1:3" ht="13" x14ac:dyDescent="0.15">
      <c r="A915" s="10"/>
      <c r="B915" s="13"/>
      <c r="C915" s="13"/>
    </row>
    <row r="916" spans="1:3" ht="13" x14ac:dyDescent="0.15">
      <c r="A916" s="10"/>
      <c r="B916" s="13"/>
      <c r="C916" s="13"/>
    </row>
    <row r="917" spans="1:3" ht="13" x14ac:dyDescent="0.15">
      <c r="A917" s="10"/>
      <c r="B917" s="13"/>
      <c r="C917" s="13"/>
    </row>
    <row r="918" spans="1:3" ht="13" x14ac:dyDescent="0.15">
      <c r="A918" s="10"/>
      <c r="B918" s="13"/>
      <c r="C918" s="13"/>
    </row>
    <row r="919" spans="1:3" ht="13" x14ac:dyDescent="0.15">
      <c r="A919" s="10"/>
      <c r="B919" s="13"/>
      <c r="C919" s="13"/>
    </row>
    <row r="920" spans="1:3" ht="13" x14ac:dyDescent="0.15">
      <c r="A920" s="10"/>
      <c r="B920" s="13"/>
      <c r="C920" s="13"/>
    </row>
    <row r="921" spans="1:3" ht="13" x14ac:dyDescent="0.15">
      <c r="A921" s="10"/>
      <c r="B921" s="13"/>
      <c r="C921" s="13"/>
    </row>
    <row r="922" spans="1:3" ht="13" x14ac:dyDescent="0.15">
      <c r="A922" s="10"/>
      <c r="B922" s="13"/>
      <c r="C922" s="13"/>
    </row>
    <row r="923" spans="1:3" ht="13" x14ac:dyDescent="0.15">
      <c r="A923" s="10"/>
      <c r="B923" s="13"/>
      <c r="C923" s="13"/>
    </row>
    <row r="924" spans="1:3" ht="13" x14ac:dyDescent="0.15">
      <c r="A924" s="10"/>
      <c r="B924" s="13"/>
      <c r="C924" s="13"/>
    </row>
    <row r="925" spans="1:3" ht="13" x14ac:dyDescent="0.15">
      <c r="A925" s="10"/>
      <c r="B925" s="13"/>
      <c r="C925" s="13"/>
    </row>
    <row r="926" spans="1:3" ht="13" x14ac:dyDescent="0.15">
      <c r="A926" s="10"/>
      <c r="B926" s="13"/>
      <c r="C926" s="13"/>
    </row>
    <row r="927" spans="1:3" ht="13" x14ac:dyDescent="0.15">
      <c r="A927" s="10"/>
      <c r="B927" s="13"/>
      <c r="C927" s="13"/>
    </row>
    <row r="928" spans="1:3" ht="13" x14ac:dyDescent="0.15">
      <c r="A928" s="10"/>
      <c r="B928" s="13"/>
      <c r="C928" s="13"/>
    </row>
    <row r="929" spans="1:3" ht="13" x14ac:dyDescent="0.15">
      <c r="A929" s="10"/>
      <c r="B929" s="13"/>
      <c r="C929" s="13"/>
    </row>
    <row r="930" spans="1:3" ht="13" x14ac:dyDescent="0.15">
      <c r="A930" s="10"/>
      <c r="B930" s="13"/>
      <c r="C930" s="13"/>
    </row>
    <row r="931" spans="1:3" ht="13" x14ac:dyDescent="0.15">
      <c r="A931" s="10"/>
      <c r="B931" s="13"/>
      <c r="C931" s="13"/>
    </row>
    <row r="932" spans="1:3" ht="13" x14ac:dyDescent="0.15">
      <c r="A932" s="10"/>
      <c r="B932" s="13"/>
      <c r="C932" s="13"/>
    </row>
    <row r="933" spans="1:3" ht="13" x14ac:dyDescent="0.15">
      <c r="A933" s="10"/>
      <c r="B933" s="13"/>
      <c r="C933" s="13"/>
    </row>
    <row r="934" spans="1:3" ht="13" x14ac:dyDescent="0.15">
      <c r="A934" s="10"/>
      <c r="B934" s="13"/>
      <c r="C934" s="13"/>
    </row>
    <row r="935" spans="1:3" ht="13" x14ac:dyDescent="0.15">
      <c r="A935" s="10"/>
      <c r="B935" s="13"/>
      <c r="C935" s="13"/>
    </row>
    <row r="936" spans="1:3" ht="13" x14ac:dyDescent="0.15">
      <c r="A936" s="10"/>
      <c r="B936" s="13"/>
      <c r="C936" s="13"/>
    </row>
    <row r="937" spans="1:3" ht="13" x14ac:dyDescent="0.15">
      <c r="A937" s="10"/>
      <c r="B937" s="13"/>
      <c r="C937" s="13"/>
    </row>
    <row r="938" spans="1:3" ht="13" x14ac:dyDescent="0.15">
      <c r="A938" s="10"/>
      <c r="B938" s="13"/>
      <c r="C938" s="13"/>
    </row>
    <row r="939" spans="1:3" ht="13" x14ac:dyDescent="0.15">
      <c r="A939" s="10"/>
      <c r="B939" s="13"/>
      <c r="C939" s="13"/>
    </row>
    <row r="940" spans="1:3" ht="13" x14ac:dyDescent="0.15">
      <c r="A940" s="10"/>
      <c r="B940" s="13"/>
      <c r="C940" s="13"/>
    </row>
    <row r="941" spans="1:3" ht="13" x14ac:dyDescent="0.15">
      <c r="A941" s="10"/>
      <c r="B941" s="13"/>
      <c r="C941" s="13"/>
    </row>
    <row r="942" spans="1:3" ht="13" x14ac:dyDescent="0.15">
      <c r="A942" s="10"/>
      <c r="B942" s="13"/>
      <c r="C942" s="13"/>
    </row>
    <row r="943" spans="1:3" ht="13" x14ac:dyDescent="0.15">
      <c r="A943" s="10"/>
      <c r="B943" s="13"/>
      <c r="C943" s="13"/>
    </row>
    <row r="944" spans="1:3" ht="13" x14ac:dyDescent="0.15">
      <c r="A944" s="10"/>
      <c r="B944" s="13"/>
      <c r="C944" s="13"/>
    </row>
    <row r="945" spans="1:3" ht="13" x14ac:dyDescent="0.15">
      <c r="A945" s="10"/>
      <c r="B945" s="13"/>
      <c r="C945" s="13"/>
    </row>
    <row r="946" spans="1:3" ht="13" x14ac:dyDescent="0.15">
      <c r="A946" s="10"/>
      <c r="B946" s="13"/>
      <c r="C946" s="13"/>
    </row>
    <row r="947" spans="1:3" ht="13" x14ac:dyDescent="0.15">
      <c r="A947" s="10"/>
      <c r="B947" s="13"/>
      <c r="C947" s="13"/>
    </row>
    <row r="948" spans="1:3" ht="13" x14ac:dyDescent="0.15">
      <c r="A948" s="10"/>
      <c r="B948" s="13"/>
      <c r="C948" s="13"/>
    </row>
    <row r="949" spans="1:3" ht="13" x14ac:dyDescent="0.15">
      <c r="A949" s="10"/>
      <c r="B949" s="13"/>
      <c r="C949" s="13"/>
    </row>
    <row r="950" spans="1:3" ht="13" x14ac:dyDescent="0.15">
      <c r="A950" s="10"/>
      <c r="B950" s="13"/>
      <c r="C950" s="13"/>
    </row>
    <row r="951" spans="1:3" ht="13" x14ac:dyDescent="0.15">
      <c r="A951" s="10"/>
      <c r="B951" s="13"/>
      <c r="C951" s="13"/>
    </row>
    <row r="952" spans="1:3" ht="13" x14ac:dyDescent="0.15">
      <c r="A952" s="10"/>
      <c r="B952" s="13"/>
      <c r="C952" s="13"/>
    </row>
    <row r="953" spans="1:3" ht="13" x14ac:dyDescent="0.15">
      <c r="A953" s="10"/>
      <c r="B953" s="13"/>
      <c r="C953" s="13"/>
    </row>
    <row r="954" spans="1:3" ht="13" x14ac:dyDescent="0.15">
      <c r="A954" s="10"/>
      <c r="B954" s="13"/>
      <c r="C954" s="13"/>
    </row>
    <row r="955" spans="1:3" ht="13" x14ac:dyDescent="0.15">
      <c r="A955" s="10"/>
      <c r="B955" s="13"/>
      <c r="C955" s="13"/>
    </row>
    <row r="956" spans="1:3" ht="13" x14ac:dyDescent="0.15">
      <c r="A956" s="10"/>
      <c r="B956" s="13"/>
      <c r="C956" s="13"/>
    </row>
    <row r="957" spans="1:3" ht="13" x14ac:dyDescent="0.15">
      <c r="A957" s="10"/>
      <c r="B957" s="13"/>
      <c r="C957" s="13"/>
    </row>
    <row r="958" spans="1:3" ht="13" x14ac:dyDescent="0.15">
      <c r="A958" s="10"/>
      <c r="B958" s="13"/>
      <c r="C958" s="13"/>
    </row>
    <row r="959" spans="1:3" ht="13" x14ac:dyDescent="0.15">
      <c r="A959" s="10"/>
      <c r="B959" s="13"/>
      <c r="C959" s="13"/>
    </row>
    <row r="960" spans="1:3" ht="13" x14ac:dyDescent="0.15">
      <c r="A960" s="10"/>
      <c r="B960" s="13"/>
      <c r="C960" s="13"/>
    </row>
    <row r="961" spans="1:3" ht="13" x14ac:dyDescent="0.15">
      <c r="A961" s="10"/>
      <c r="B961" s="13"/>
      <c r="C961" s="13"/>
    </row>
    <row r="962" spans="1:3" ht="13" x14ac:dyDescent="0.15">
      <c r="A962" s="10"/>
      <c r="B962" s="13"/>
      <c r="C962" s="13"/>
    </row>
    <row r="963" spans="1:3" ht="13" x14ac:dyDescent="0.15">
      <c r="A963" s="10"/>
      <c r="B963" s="13"/>
      <c r="C963" s="13"/>
    </row>
    <row r="964" spans="1:3" ht="13" x14ac:dyDescent="0.15">
      <c r="A964" s="10"/>
      <c r="B964" s="13"/>
      <c r="C964" s="13"/>
    </row>
    <row r="965" spans="1:3" ht="13" x14ac:dyDescent="0.15">
      <c r="A965" s="10"/>
      <c r="B965" s="13"/>
      <c r="C965" s="13"/>
    </row>
    <row r="966" spans="1:3" ht="13" x14ac:dyDescent="0.15">
      <c r="A966" s="10"/>
      <c r="B966" s="13"/>
      <c r="C966" s="13"/>
    </row>
    <row r="967" spans="1:3" ht="13" x14ac:dyDescent="0.15">
      <c r="A967" s="10"/>
      <c r="B967" s="13"/>
      <c r="C967" s="13"/>
    </row>
    <row r="968" spans="1:3" ht="13" x14ac:dyDescent="0.15">
      <c r="A968" s="10"/>
      <c r="B968" s="13"/>
      <c r="C968" s="13"/>
    </row>
    <row r="969" spans="1:3" ht="13" x14ac:dyDescent="0.15">
      <c r="A969" s="10"/>
      <c r="B969" s="13"/>
      <c r="C969" s="13"/>
    </row>
    <row r="970" spans="1:3" ht="13" x14ac:dyDescent="0.15">
      <c r="A970" s="10"/>
      <c r="B970" s="13"/>
      <c r="C970" s="13"/>
    </row>
    <row r="971" spans="1:3" ht="13" x14ac:dyDescent="0.15">
      <c r="A971" s="10"/>
      <c r="B971" s="13"/>
      <c r="C971" s="13"/>
    </row>
    <row r="972" spans="1:3" ht="13" x14ac:dyDescent="0.15">
      <c r="A972" s="10"/>
      <c r="B972" s="13"/>
      <c r="C972" s="13"/>
    </row>
    <row r="973" spans="1:3" ht="13" x14ac:dyDescent="0.15">
      <c r="A973" s="10"/>
      <c r="B973" s="13"/>
      <c r="C973" s="13"/>
    </row>
    <row r="974" spans="1:3" ht="13" x14ac:dyDescent="0.15">
      <c r="A974" s="10"/>
      <c r="B974" s="13"/>
      <c r="C974" s="13"/>
    </row>
    <row r="975" spans="1:3" ht="13" x14ac:dyDescent="0.15">
      <c r="A975" s="10"/>
      <c r="B975" s="13"/>
      <c r="C975" s="13"/>
    </row>
    <row r="976" spans="1:3" ht="13" x14ac:dyDescent="0.15">
      <c r="A976" s="10"/>
      <c r="B976" s="13"/>
      <c r="C976" s="13"/>
    </row>
    <row r="977" spans="1:3" ht="13" x14ac:dyDescent="0.15">
      <c r="A977" s="10"/>
      <c r="B977" s="13"/>
      <c r="C977" s="13"/>
    </row>
    <row r="978" spans="1:3" ht="13" x14ac:dyDescent="0.15">
      <c r="A978" s="10"/>
      <c r="B978" s="13"/>
      <c r="C978" s="13"/>
    </row>
    <row r="979" spans="1:3" ht="13" x14ac:dyDescent="0.15">
      <c r="A979" s="10"/>
      <c r="B979" s="13"/>
      <c r="C979" s="13"/>
    </row>
    <row r="980" spans="1:3" ht="13" x14ac:dyDescent="0.15">
      <c r="A980" s="10"/>
      <c r="B980" s="13"/>
      <c r="C980" s="13"/>
    </row>
    <row r="981" spans="1:3" ht="13" x14ac:dyDescent="0.15">
      <c r="A981" s="10"/>
      <c r="B981" s="13"/>
      <c r="C981" s="13"/>
    </row>
    <row r="982" spans="1:3" ht="13" x14ac:dyDescent="0.15">
      <c r="A982" s="10"/>
      <c r="B982" s="13"/>
      <c r="C982" s="13"/>
    </row>
    <row r="983" spans="1:3" ht="13" x14ac:dyDescent="0.15">
      <c r="A983" s="10"/>
      <c r="B983" s="13"/>
      <c r="C983" s="13"/>
    </row>
    <row r="984" spans="1:3" ht="13" x14ac:dyDescent="0.15">
      <c r="A984" s="10"/>
      <c r="B984" s="13"/>
      <c r="C984" s="13"/>
    </row>
    <row r="985" spans="1:3" ht="13" x14ac:dyDescent="0.15">
      <c r="A985" s="10"/>
      <c r="B985" s="13"/>
      <c r="C985" s="13"/>
    </row>
    <row r="986" spans="1:3" ht="13" x14ac:dyDescent="0.15">
      <c r="A986" s="10"/>
      <c r="B986" s="13"/>
      <c r="C986" s="13"/>
    </row>
    <row r="987" spans="1:3" ht="13" x14ac:dyDescent="0.15">
      <c r="A987" s="10"/>
      <c r="B987" s="13"/>
      <c r="C987" s="13"/>
    </row>
    <row r="988" spans="1:3" ht="13" x14ac:dyDescent="0.15">
      <c r="A988" s="10"/>
      <c r="B988" s="13"/>
      <c r="C988" s="13"/>
    </row>
    <row r="989" spans="1:3" ht="13" x14ac:dyDescent="0.15">
      <c r="A989" s="10"/>
      <c r="B989" s="13"/>
      <c r="C989" s="13"/>
    </row>
    <row r="990" spans="1:3" ht="13" x14ac:dyDescent="0.15">
      <c r="A990" s="10"/>
      <c r="B990" s="13"/>
      <c r="C990" s="13"/>
    </row>
    <row r="991" spans="1:3" ht="13" x14ac:dyDescent="0.15">
      <c r="A991" s="10"/>
      <c r="B991" s="13"/>
      <c r="C991" s="13"/>
    </row>
    <row r="992" spans="1:3" ht="13" x14ac:dyDescent="0.15">
      <c r="A992" s="10"/>
      <c r="B992" s="13"/>
      <c r="C992" s="13"/>
    </row>
    <row r="993" spans="1:3" ht="13" x14ac:dyDescent="0.15">
      <c r="A993" s="10"/>
      <c r="B993" s="13"/>
      <c r="C993" s="13"/>
    </row>
    <row r="994" spans="1:3" ht="13" x14ac:dyDescent="0.15">
      <c r="A994" s="10"/>
      <c r="B994" s="13"/>
      <c r="C994" s="13"/>
    </row>
    <row r="995" spans="1:3" ht="13" x14ac:dyDescent="0.15">
      <c r="A995" s="10"/>
      <c r="B995" s="13"/>
      <c r="C995" s="13"/>
    </row>
    <row r="996" spans="1:3" ht="13" x14ac:dyDescent="0.15">
      <c r="A996" s="10"/>
      <c r="B996" s="13"/>
      <c r="C996" s="13"/>
    </row>
    <row r="997" spans="1:3" ht="13" x14ac:dyDescent="0.15">
      <c r="A997" s="10"/>
      <c r="B997" s="13"/>
      <c r="C997" s="13"/>
    </row>
  </sheetData>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outlinePr summaryBelow="0" summaryRight="0"/>
  </sheetPr>
  <dimension ref="A1:Z997"/>
  <sheetViews>
    <sheetView workbookViewId="0"/>
  </sheetViews>
  <sheetFormatPr baseColWidth="10" defaultColWidth="12.6640625" defaultRowHeight="15.75" customHeight="1" x14ac:dyDescent="0.15"/>
  <cols>
    <col min="1" max="1" width="71.5" customWidth="1"/>
    <col min="2" max="4" width="37.6640625" customWidth="1"/>
  </cols>
  <sheetData>
    <row r="1" spans="1:26" x14ac:dyDescent="0.2">
      <c r="A1" s="33"/>
      <c r="B1" s="22" t="str">
        <f ca="1">IFERROR(__xludf.DUMMYFUNCTION("IMPORTRANGE(""https://docs.google.com/spreadsheets/u/0/d/19yPRVnLV0A_2o92-w6L11RYWj24Qqnerv8i8p-ngiq4"", ""A97!B1:B22"")"),"Jackson Root")</f>
        <v>Jackson Root</v>
      </c>
      <c r="C1" s="22" t="str">
        <f ca="1">IFERROR(__xludf.DUMMYFUNCTION("IMPORTRANGE(""https://docs.google.com/spreadsheets/u/0/d/13SmE7eku7nG0PwUe_FIOCUfCnXVjPMNZ0Q_x8FW6s5I"", ""A97!B1:B22"")"),"Josiah Bolton")</f>
        <v>Josiah Bolton</v>
      </c>
      <c r="D1" s="2" t="s">
        <v>1</v>
      </c>
      <c r="E1" s="22"/>
      <c r="F1" s="22"/>
      <c r="G1" s="22"/>
      <c r="H1" s="22"/>
      <c r="I1" s="22"/>
      <c r="J1" s="22"/>
      <c r="K1" s="22"/>
      <c r="L1" s="22"/>
      <c r="M1" s="22"/>
      <c r="N1" s="22"/>
      <c r="O1" s="22"/>
      <c r="P1" s="22"/>
      <c r="Q1" s="22"/>
      <c r="R1" s="22"/>
      <c r="S1" s="22"/>
      <c r="T1" s="22"/>
      <c r="U1" s="22"/>
      <c r="V1" s="22"/>
      <c r="W1" s="22"/>
      <c r="X1" s="22"/>
      <c r="Y1" s="22"/>
      <c r="Z1" s="22"/>
    </row>
    <row r="2" spans="1:26" ht="15.75" customHeight="1" x14ac:dyDescent="0.15">
      <c r="A2" s="3" t="s">
        <v>2</v>
      </c>
      <c r="B2" s="15" t="str">
        <f ca="1">IFERROR(__xludf.DUMMYFUNCTION("""COMPUTED_VALUE"""),"Stop: 58337  For")</f>
        <v>Stop: 58337  For</v>
      </c>
      <c r="C2" s="15" t="str">
        <f ca="1">IFERROR(__xludf.DUMMYFUNCTION("""COMPUTED_VALUE"""),"56676-58337 FOR")</f>
        <v>56676-58337 FOR</v>
      </c>
      <c r="D2" s="4"/>
    </row>
    <row r="3" spans="1:26" ht="15.75" customHeight="1" x14ac:dyDescent="0.15">
      <c r="A3" s="5" t="s">
        <v>3</v>
      </c>
      <c r="B3" s="17" t="str">
        <f ca="1">IFERROR(__xludf.DUMMYFUNCTION("""COMPUTED_VALUE"""),"Pham: 97   DNA: 96")</f>
        <v>Pham: 97   DNA: 96</v>
      </c>
      <c r="C3" s="17" t="str">
        <f ca="1">IFERROR(__xludf.DUMMYFUNCTION("""COMPUTED_VALUE"""),"96 in DNA Master
97 on Phamerator.")</f>
        <v>96 in DNA Master
97 on Phamerator.</v>
      </c>
      <c r="D3" s="6"/>
    </row>
    <row r="4" spans="1:26" ht="15.75" customHeight="1" x14ac:dyDescent="0.15">
      <c r="A4" s="5" t="s">
        <v>4</v>
      </c>
      <c r="B4" s="17" t="str">
        <f ca="1">IFERROR(__xludf.DUMMYFUNCTION("""COMPUTED_VALUE"""),"pham 221627  03/19/25")</f>
        <v>pham 221627  03/19/25</v>
      </c>
      <c r="C4" s="17" t="str">
        <f ca="1">IFERROR(__xludf.DUMMYFUNCTION("""COMPUTED_VALUE"""),"222764 3/24/25")</f>
        <v>222764 3/24/25</v>
      </c>
      <c r="D4" s="6"/>
    </row>
    <row r="5" spans="1:26" ht="15.75" customHeight="1" x14ac:dyDescent="0.15">
      <c r="A5" s="5" t="s">
        <v>5</v>
      </c>
      <c r="B5" s="17"/>
      <c r="C5" s="17" t="str">
        <f ca="1">IFERROR(__xludf.DUMMYFUNCTION("""COMPUTED_VALUE"""),"Kovu 95 and Edmundo 94.")</f>
        <v>Kovu 95 and Edmundo 94.</v>
      </c>
      <c r="D5" s="6"/>
    </row>
    <row r="6" spans="1:26" ht="15.75" customHeight="1" x14ac:dyDescent="0.15">
      <c r="A6" s="5" t="s">
        <v>6</v>
      </c>
      <c r="B6" s="17" t="str">
        <f ca="1">IFERROR(__xludf.DUMMYFUNCTION("""COMPUTED_VALUE"""),"Both call 56676")</f>
        <v>Both call 56676</v>
      </c>
      <c r="C6" s="17" t="str">
        <f ca="1">IFERROR(__xludf.DUMMYFUNCTION("""COMPUTED_VALUE"""),"Both call at 56676.")</f>
        <v>Both call at 56676.</v>
      </c>
      <c r="D6" s="6"/>
    </row>
    <row r="7" spans="1:26" ht="15.75" customHeight="1" x14ac:dyDescent="0.15">
      <c r="A7" s="5" t="s">
        <v>7</v>
      </c>
      <c r="B7" s="17" t="str">
        <f ca="1">IFERROR(__xludf.DUMMYFUNCTION("""COMPUTED_VALUE"""),"there is great coding potential, all potential captured")</f>
        <v>there is great coding potential, all potential captured</v>
      </c>
      <c r="C7" s="17" t="str">
        <f ca="1">IFERROR(__xludf.DUMMYFUNCTION("""COMPUTED_VALUE"""),"There is coding potential and all of it is captured.")</f>
        <v>There is coding potential and all of it is captured.</v>
      </c>
      <c r="D7" s="6"/>
    </row>
    <row r="8" spans="1:26" ht="15.75" customHeight="1" x14ac:dyDescent="0.15">
      <c r="A8" s="5" t="s">
        <v>8</v>
      </c>
      <c r="B8" s="17" t="str">
        <f ca="1">IFERROR(__xludf.DUMMYFUNCTION("""COMPUTED_VALUE"""),"yes")</f>
        <v>yes</v>
      </c>
      <c r="C8" s="17" t="str">
        <f ca="1">IFERROR(__xludf.DUMMYFUNCTION("""COMPUTED_VALUE"""),"This is the longest ORF.")</f>
        <v>This is the longest ORF.</v>
      </c>
      <c r="D8" s="6"/>
    </row>
    <row r="9" spans="1:26" ht="15.75" customHeight="1" x14ac:dyDescent="0.15">
      <c r="A9" s="5" t="s">
        <v>9</v>
      </c>
      <c r="B9" s="17" t="str">
        <f ca="1">IFERROR(__xludf.DUMMYFUNCTION("""COMPUTED_VALUE"""),"Gap with 95 (DNA): 1 Bp;  Gap w/ 97 (DNA): 78 Bp")</f>
        <v>Gap with 95 (DNA): 1 Bp;  Gap w/ 97 (DNA): 78 Bp</v>
      </c>
      <c r="C9" s="17" t="str">
        <f ca="1">IFERROR(__xludf.DUMMYFUNCTION("""COMPUTED_VALUE"""),"3 nucleotide bp overlap.")</f>
        <v>3 nucleotide bp overlap.</v>
      </c>
      <c r="D9" s="6"/>
    </row>
    <row r="10" spans="1:26" ht="15.75" customHeight="1" x14ac:dyDescent="0.15">
      <c r="A10" s="5" t="s">
        <v>10</v>
      </c>
      <c r="B10" s="17" t="str">
        <f ca="1">IFERROR(__xludf.DUMMYFUNCTION("""COMPUTED_VALUE"""),"Current start has the best RBS Score, the next one thats closets in score is start 17, which isnt close")</f>
        <v>Current start has the best RBS Score, the next one thats closets in score is start 17, which isnt close</v>
      </c>
      <c r="C10" s="17" t="str">
        <f ca="1">IFERROR(__xludf.DUMMYFUNCTION("""COMPUTED_VALUE"""),"z score is 2.623 and the final score is -3.241. This is the best score.")</f>
        <v>z score is 2.623 and the final score is -3.241. This is the best score.</v>
      </c>
      <c r="D10" s="6"/>
    </row>
    <row r="11" spans="1:26" ht="15.75" customHeight="1" x14ac:dyDescent="0.15">
      <c r="A11" s="5" t="s">
        <v>11</v>
      </c>
      <c r="B11" s="17" t="str">
        <f ca="1">IFERROR(__xludf.DUMMYFUNCTION("""COMPUTED_VALUE"""),"Kovu; % identity: 97.65%; E-val: 0.0e0; Q1:T1")</f>
        <v>Kovu; % identity: 97.65%; E-val: 0.0e0; Q1:T1</v>
      </c>
      <c r="C11" s="17" t="str">
        <f ca="1">IFERROR(__xludf.DUMMYFUNCTION("""COMPUTED_VALUE"""),"Kovu 95 with an e value of 0e0 and % identities being 97.65% with q1-553:s1-553.")</f>
        <v>Kovu 95 with an e value of 0e0 and % identities being 97.65% with q1-553:s1-553.</v>
      </c>
      <c r="D11" s="6"/>
    </row>
    <row r="12" spans="1:26" ht="15.75" customHeight="1" x14ac:dyDescent="0.15">
      <c r="A12" s="5" t="s">
        <v>12</v>
      </c>
      <c r="B12" s="17" t="str">
        <f ca="1">IFERROR(__xludf.DUMMYFUNCTION("""COMPUTED_VALUE"""),"start is conserved (9/34), called 100% when present (9/9)")</f>
        <v>start is conserved (9/34), called 100% when present (9/9)</v>
      </c>
      <c r="C12" s="17" t="str">
        <f ca="1">IFERROR(__xludf.DUMMYFUNCTION("""COMPUTED_VALUE"""),"Start 171 is conserved in the whole AL cluster and is called 100% of time when present.")</f>
        <v>Start 171 is conserved in the whole AL cluster and is called 100% of time when present.</v>
      </c>
      <c r="D12" s="6"/>
    </row>
    <row r="13" spans="1:26" ht="15.75" customHeight="1" x14ac:dyDescent="0.15">
      <c r="A13" s="5" t="s">
        <v>13</v>
      </c>
      <c r="B13" s="17" t="str">
        <f ca="1">IFERROR(__xludf.DUMMYFUNCTION("""COMPUTED_VALUE"""),"no start change")</f>
        <v>no start change</v>
      </c>
      <c r="C13" s="17" t="str">
        <f ca="1">IFERROR(__xludf.DUMMYFUNCTION("""COMPUTED_VALUE"""),"No start change because of the z value and final score.")</f>
        <v>No start change because of the z value and final score.</v>
      </c>
      <c r="D13" s="6"/>
    </row>
    <row r="14" spans="1:26" ht="15.75" customHeight="1" x14ac:dyDescent="0.15">
      <c r="A14" s="5" t="s">
        <v>14</v>
      </c>
      <c r="B14" s="17" t="str">
        <f ca="1">IFERROR(__xludf.DUMMYFUNCTION("""COMPUTED_VALUE"""),"Kovu_95: 0.0; Edmundo_94: 0.0")</f>
        <v>Kovu_95: 0.0; Edmundo_94: 0.0</v>
      </c>
      <c r="C14" s="17" t="str">
        <f ca="1">IFERROR(__xludf.DUMMYFUNCTION("""COMPUTED_VALUE"""),"Kovu 95 with 0.0")</f>
        <v>Kovu 95 with 0.0</v>
      </c>
      <c r="D14" s="6"/>
    </row>
    <row r="15" spans="1:26" ht="15.75" customHeight="1" x14ac:dyDescent="0.15">
      <c r="A15" s="5" t="s">
        <v>15</v>
      </c>
      <c r="B15" s="17" t="str">
        <f ca="1">IFERROR(__xludf.DUMMYFUNCTION("""COMPUTED_VALUE"""),"Kovu and Edmundo: DNA helicase")</f>
        <v>Kovu and Edmundo: DNA helicase</v>
      </c>
      <c r="C15" s="17" t="str">
        <f ca="1">IFERROR(__xludf.DUMMYFUNCTION("""COMPUTED_VALUE"""),"Kovu 95 is a DNA Helicase.")</f>
        <v>Kovu 95 is a DNA Helicase.</v>
      </c>
      <c r="D15" s="6"/>
    </row>
    <row r="16" spans="1:26" ht="15.75" customHeight="1" x14ac:dyDescent="0.15">
      <c r="A16" s="5" t="s">
        <v>16</v>
      </c>
      <c r="B16" s="17" t="str">
        <f ca="1">IFERROR(__xludf.DUMMYFUNCTION("""COMPUTED_VALUE"""),"found in the same environment as Kovu_95")</f>
        <v>found in the same environment as Kovu_95</v>
      </c>
      <c r="C16" s="17" t="str">
        <f ca="1">IFERROR(__xludf.DUMMYFUNCTION("""COMPUTED_VALUE"""),"This function would be expected in the egenome.")</f>
        <v>This function would be expected in the egenome.</v>
      </c>
      <c r="D16" s="6"/>
    </row>
    <row r="17" spans="1:4" ht="15.75" customHeight="1" x14ac:dyDescent="0.15">
      <c r="A17" s="5" t="s">
        <v>17</v>
      </c>
      <c r="B17" s="17" t="str">
        <f ca="1">IFERROR(__xludf.DUMMYFUNCTION("""COMPUTED_VALUE"""),"chromatin remodeler, possible helicase; %Q: 78.3%; %T: 29.08%, Function domain is not in target alignment")</f>
        <v>chromatin remodeler, possible helicase; %Q: 78.3%; %T: 29.08%, Function domain is not in target alignment</v>
      </c>
      <c r="C17" s="17" t="str">
        <f ca="1">IFERROR(__xludf.DUMMYFUNCTION("""COMPUTED_VALUE"""),"Chromatin-remodeling ATPase INO80; Chromatin, Remodeller, Nucleosome, DNA Binding, Histones, DNA repair, ATPase, Helicase, Sliding, Complex, DNA BINDING PROTEIN; HET: ADP;{Homo sapiens} Probability: 100%, % alignment of query is 76.17% and the % alignment"&amp;" of query is 32.71% and is in target part of alignment.")</f>
        <v>Chromatin-remodeling ATPase INO80; Chromatin, Remodeller, Nucleosome, DNA Binding, Histones, DNA repair, ATPase, Helicase, Sliding, Complex, DNA BINDING PROTEIN; HET: ADP;{Homo sapiens} Probability: 100%, % alignment of query is 76.17% and the % alignment of query is 32.71% and is in target part of alignment.</v>
      </c>
      <c r="D17" s="6"/>
    </row>
    <row r="18" spans="1:4" ht="15.75" customHeight="1" x14ac:dyDescent="0.15">
      <c r="A18" s="5" t="s">
        <v>18</v>
      </c>
      <c r="B18" s="17" t="str">
        <f ca="1">IFERROR(__xludf.DUMMYFUNCTION("""COMPUTED_VALUE"""),"there are conserved domains")</f>
        <v>there are conserved domains</v>
      </c>
      <c r="C18" s="17" t="str">
        <f ca="1">IFERROR(__xludf.DUMMYFUNCTION("""COMPUTED_VALUE"""),"Most conserved domains result in DNA Helicase.")</f>
        <v>Most conserved domains result in DNA Helicase.</v>
      </c>
      <c r="D18" s="6"/>
    </row>
    <row r="19" spans="1:4" ht="15.75" customHeight="1" x14ac:dyDescent="0.15">
      <c r="A19" s="5" t="s">
        <v>19</v>
      </c>
      <c r="B19" s="17" t="str">
        <f ca="1">IFERROR(__xludf.DUMMYFUNCTION("""COMPUTED_VALUE"""),"not a membrane protien, mostlikey inside the membrane")</f>
        <v>not a membrane protien, mostlikey inside the membrane</v>
      </c>
      <c r="C19" s="17" t="str">
        <f ca="1">IFERROR(__xludf.DUMMYFUNCTION("""COMPUTED_VALUE"""),"None.")</f>
        <v>None.</v>
      </c>
      <c r="D19" s="6"/>
    </row>
    <row r="20" spans="1:4" ht="15.75" customHeight="1" x14ac:dyDescent="0.15">
      <c r="A20" s="5" t="s">
        <v>20</v>
      </c>
      <c r="B20" s="17" t="str">
        <f ca="1">IFERROR(__xludf.DUMMYFUNCTION("""COMPUTED_VALUE"""),"DNA helicase; there were many hits that were DNA helicases as well as ATP-depentent helicases, but as the approved funtion calls tells us to not call the ATP-depentent helicase, its called as DNA helicase. ")</f>
        <v xml:space="preserve">DNA helicase; there were many hits that were DNA helicases as well as ATP-depentent helicases, but as the approved funtion calls tells us to not call the ATP-depentent helicase, its called as DNA helicase. </v>
      </c>
      <c r="C20" s="17" t="str">
        <f ca="1">IFERROR(__xludf.DUMMYFUNCTION("""COMPUTED_VALUE"""),"DNA helicase based on the evidence from HHPred, DNA Master, Phamerator, and PhagesDB.")</f>
        <v>DNA helicase based on the evidence from HHPred, DNA Master, Phamerator, and PhagesDB.</v>
      </c>
      <c r="D20" s="6"/>
    </row>
    <row r="21" spans="1:4" x14ac:dyDescent="0.2">
      <c r="A21" s="7"/>
      <c r="B21" s="19"/>
      <c r="C21" s="19"/>
      <c r="D21" s="8"/>
    </row>
    <row r="22" spans="1:4" ht="15.75" customHeight="1" x14ac:dyDescent="0.15">
      <c r="A22" s="9" t="s">
        <v>21</v>
      </c>
      <c r="B22" s="19"/>
      <c r="C22" s="19"/>
      <c r="D22" s="8"/>
    </row>
    <row r="23" spans="1:4" ht="15.75" customHeight="1" x14ac:dyDescent="0.15">
      <c r="A23" s="10"/>
      <c r="B23" s="13"/>
      <c r="C23" s="13"/>
    </row>
    <row r="24" spans="1:4" ht="15.75" customHeight="1" x14ac:dyDescent="0.15">
      <c r="A24" s="10"/>
      <c r="B24" s="13"/>
      <c r="C24" s="13"/>
    </row>
    <row r="25" spans="1:4" ht="15.75" customHeight="1" x14ac:dyDescent="0.15">
      <c r="A25" s="10"/>
      <c r="B25" s="13"/>
      <c r="C25" s="13"/>
    </row>
    <row r="26" spans="1:4" ht="15.75" customHeight="1" x14ac:dyDescent="0.15">
      <c r="A26" s="10"/>
      <c r="B26" s="13"/>
      <c r="C26" s="13"/>
    </row>
    <row r="27" spans="1:4" ht="15.75" customHeight="1" x14ac:dyDescent="0.15">
      <c r="A27" s="10"/>
      <c r="B27" s="13"/>
      <c r="C27" s="13"/>
    </row>
    <row r="28" spans="1:4" ht="15.75" customHeight="1" x14ac:dyDescent="0.15">
      <c r="A28" s="10"/>
      <c r="B28" s="13"/>
      <c r="C28" s="13"/>
    </row>
    <row r="29" spans="1:4" ht="15.75" customHeight="1" x14ac:dyDescent="0.15">
      <c r="A29" s="10"/>
      <c r="B29" s="13"/>
      <c r="C29" s="13"/>
    </row>
    <row r="30" spans="1:4" ht="15.75" customHeight="1" x14ac:dyDescent="0.15">
      <c r="A30" s="10"/>
      <c r="B30" s="13"/>
      <c r="C30" s="13"/>
    </row>
    <row r="31" spans="1:4" ht="15.75" customHeight="1" x14ac:dyDescent="0.15">
      <c r="A31" s="10"/>
      <c r="B31" s="13"/>
      <c r="C31" s="13"/>
    </row>
    <row r="32" spans="1:4" ht="15.75" customHeight="1" x14ac:dyDescent="0.15">
      <c r="A32" s="10"/>
      <c r="B32" s="13"/>
      <c r="C32" s="13"/>
    </row>
    <row r="33" spans="1:3" ht="15.75" customHeight="1" x14ac:dyDescent="0.15">
      <c r="A33" s="10"/>
      <c r="B33" s="13"/>
      <c r="C33" s="13"/>
    </row>
    <row r="34" spans="1:3" ht="15.75" customHeight="1" x14ac:dyDescent="0.15">
      <c r="A34" s="10"/>
      <c r="B34" s="13"/>
      <c r="C34" s="13"/>
    </row>
    <row r="35" spans="1:3" ht="15.75" customHeight="1" x14ac:dyDescent="0.15">
      <c r="A35" s="10"/>
      <c r="B35" s="13"/>
      <c r="C35" s="13"/>
    </row>
    <row r="36" spans="1:3" ht="15.75" customHeight="1" x14ac:dyDescent="0.15">
      <c r="A36" s="10"/>
      <c r="B36" s="13"/>
      <c r="C36" s="13"/>
    </row>
    <row r="37" spans="1:3" ht="15.75" customHeight="1" x14ac:dyDescent="0.15">
      <c r="A37" s="10"/>
      <c r="B37" s="13"/>
      <c r="C37" s="13"/>
    </row>
    <row r="38" spans="1:3" ht="15.75" customHeight="1" x14ac:dyDescent="0.15">
      <c r="A38" s="10"/>
      <c r="B38" s="13"/>
      <c r="C38" s="13"/>
    </row>
    <row r="39" spans="1:3" ht="13" x14ac:dyDescent="0.15">
      <c r="A39" s="10"/>
      <c r="B39" s="13"/>
      <c r="C39" s="13"/>
    </row>
    <row r="40" spans="1:3" ht="13" x14ac:dyDescent="0.15">
      <c r="A40" s="10"/>
      <c r="B40" s="13"/>
      <c r="C40" s="13"/>
    </row>
    <row r="41" spans="1:3" ht="13" x14ac:dyDescent="0.15">
      <c r="A41" s="10"/>
      <c r="B41" s="13"/>
      <c r="C41" s="13"/>
    </row>
    <row r="42" spans="1:3" ht="13" x14ac:dyDescent="0.15">
      <c r="A42" s="10"/>
      <c r="B42" s="13"/>
      <c r="C42" s="13"/>
    </row>
    <row r="43" spans="1:3" ht="13" x14ac:dyDescent="0.15">
      <c r="A43" s="10"/>
      <c r="B43" s="13"/>
      <c r="C43" s="13"/>
    </row>
    <row r="44" spans="1:3" ht="13" x14ac:dyDescent="0.15">
      <c r="A44" s="10"/>
      <c r="B44" s="13"/>
      <c r="C44" s="13"/>
    </row>
    <row r="45" spans="1:3" ht="13" x14ac:dyDescent="0.15">
      <c r="A45" s="10"/>
      <c r="B45" s="13"/>
      <c r="C45" s="13"/>
    </row>
    <row r="46" spans="1:3" ht="13" x14ac:dyDescent="0.15">
      <c r="A46" s="10"/>
      <c r="B46" s="13"/>
      <c r="C46" s="13"/>
    </row>
    <row r="47" spans="1:3" ht="13" x14ac:dyDescent="0.15">
      <c r="A47" s="10"/>
      <c r="B47" s="13"/>
      <c r="C47" s="13"/>
    </row>
    <row r="48" spans="1:3" ht="13" x14ac:dyDescent="0.15">
      <c r="A48" s="10"/>
      <c r="B48" s="13"/>
      <c r="C48" s="13"/>
    </row>
    <row r="49" spans="1:3" ht="13" x14ac:dyDescent="0.15">
      <c r="A49" s="10"/>
      <c r="B49" s="13"/>
      <c r="C49" s="13"/>
    </row>
    <row r="50" spans="1:3" ht="13" x14ac:dyDescent="0.15">
      <c r="A50" s="10"/>
      <c r="B50" s="13"/>
      <c r="C50" s="13"/>
    </row>
    <row r="51" spans="1:3" ht="13" x14ac:dyDescent="0.15">
      <c r="A51" s="10"/>
      <c r="B51" s="13"/>
      <c r="C51" s="13"/>
    </row>
    <row r="52" spans="1:3" ht="13" x14ac:dyDescent="0.15">
      <c r="A52" s="10"/>
      <c r="B52" s="13"/>
      <c r="C52" s="13"/>
    </row>
    <row r="53" spans="1:3" ht="13" x14ac:dyDescent="0.15">
      <c r="A53" s="10"/>
      <c r="B53" s="13"/>
      <c r="C53" s="13"/>
    </row>
    <row r="54" spans="1:3" ht="13" x14ac:dyDescent="0.15">
      <c r="A54" s="10"/>
      <c r="B54" s="13"/>
      <c r="C54" s="13"/>
    </row>
    <row r="55" spans="1:3" ht="13" x14ac:dyDescent="0.15">
      <c r="A55" s="10"/>
      <c r="B55" s="13"/>
      <c r="C55" s="13"/>
    </row>
    <row r="56" spans="1:3" ht="13" x14ac:dyDescent="0.15">
      <c r="A56" s="10"/>
      <c r="B56" s="13"/>
      <c r="C56" s="13"/>
    </row>
    <row r="57" spans="1:3" ht="13" x14ac:dyDescent="0.15">
      <c r="A57" s="10"/>
      <c r="B57" s="13"/>
      <c r="C57" s="13"/>
    </row>
    <row r="58" spans="1:3" ht="13" x14ac:dyDescent="0.15">
      <c r="A58" s="10"/>
      <c r="B58" s="13"/>
      <c r="C58" s="13"/>
    </row>
    <row r="59" spans="1:3" ht="13" x14ac:dyDescent="0.15">
      <c r="A59" s="10"/>
      <c r="B59" s="13"/>
      <c r="C59" s="13"/>
    </row>
    <row r="60" spans="1:3" ht="13" x14ac:dyDescent="0.15">
      <c r="A60" s="10"/>
      <c r="B60" s="13"/>
      <c r="C60" s="13"/>
    </row>
    <row r="61" spans="1:3" ht="13" x14ac:dyDescent="0.15">
      <c r="A61" s="10"/>
      <c r="B61" s="13"/>
      <c r="C61" s="13"/>
    </row>
    <row r="62" spans="1:3" ht="13" x14ac:dyDescent="0.15">
      <c r="A62" s="10"/>
      <c r="B62" s="13"/>
      <c r="C62" s="13"/>
    </row>
    <row r="63" spans="1:3" ht="13" x14ac:dyDescent="0.15">
      <c r="A63" s="10"/>
      <c r="B63" s="13"/>
      <c r="C63" s="13"/>
    </row>
    <row r="64" spans="1:3" ht="13" x14ac:dyDescent="0.15">
      <c r="A64" s="10"/>
      <c r="B64" s="13"/>
      <c r="C64" s="13"/>
    </row>
    <row r="65" spans="1:3" ht="13" x14ac:dyDescent="0.15">
      <c r="A65" s="10"/>
      <c r="B65" s="13"/>
      <c r="C65" s="13"/>
    </row>
    <row r="66" spans="1:3" ht="13" x14ac:dyDescent="0.15">
      <c r="A66" s="10"/>
      <c r="B66" s="13"/>
      <c r="C66" s="13"/>
    </row>
    <row r="67" spans="1:3" ht="13" x14ac:dyDescent="0.15">
      <c r="A67" s="10"/>
      <c r="B67" s="13"/>
      <c r="C67" s="13"/>
    </row>
    <row r="68" spans="1:3" ht="13" x14ac:dyDescent="0.15">
      <c r="A68" s="10"/>
      <c r="B68" s="13"/>
      <c r="C68" s="13"/>
    </row>
    <row r="69" spans="1:3" ht="13" x14ac:dyDescent="0.15">
      <c r="A69" s="10"/>
      <c r="B69" s="13"/>
      <c r="C69" s="13"/>
    </row>
    <row r="70" spans="1:3" ht="13" x14ac:dyDescent="0.15">
      <c r="A70" s="10"/>
      <c r="B70" s="13"/>
      <c r="C70" s="13"/>
    </row>
    <row r="71" spans="1:3" ht="13" x14ac:dyDescent="0.15">
      <c r="A71" s="10"/>
      <c r="B71" s="13"/>
      <c r="C71" s="13"/>
    </row>
    <row r="72" spans="1:3" ht="13" x14ac:dyDescent="0.15">
      <c r="A72" s="10"/>
      <c r="B72" s="13"/>
      <c r="C72" s="13"/>
    </row>
    <row r="73" spans="1:3" ht="13" x14ac:dyDescent="0.15">
      <c r="A73" s="10"/>
      <c r="B73" s="13"/>
      <c r="C73" s="13"/>
    </row>
    <row r="74" spans="1:3" ht="13" x14ac:dyDescent="0.15">
      <c r="A74" s="10"/>
      <c r="B74" s="13"/>
      <c r="C74" s="13"/>
    </row>
    <row r="75" spans="1:3" ht="13" x14ac:dyDescent="0.15">
      <c r="A75" s="10"/>
      <c r="B75" s="13"/>
      <c r="C75" s="13"/>
    </row>
    <row r="76" spans="1:3" ht="13" x14ac:dyDescent="0.15">
      <c r="A76" s="10"/>
      <c r="B76" s="13"/>
      <c r="C76" s="13"/>
    </row>
    <row r="77" spans="1:3" ht="13" x14ac:dyDescent="0.15">
      <c r="A77" s="10"/>
      <c r="B77" s="13"/>
      <c r="C77" s="13"/>
    </row>
    <row r="78" spans="1:3" ht="13" x14ac:dyDescent="0.15">
      <c r="A78" s="10"/>
      <c r="B78" s="13"/>
      <c r="C78" s="13"/>
    </row>
    <row r="79" spans="1:3" ht="13" x14ac:dyDescent="0.15">
      <c r="A79" s="10"/>
      <c r="B79" s="13"/>
      <c r="C79" s="13"/>
    </row>
    <row r="80" spans="1:3" ht="13" x14ac:dyDescent="0.15">
      <c r="A80" s="10"/>
      <c r="B80" s="13"/>
      <c r="C80" s="13"/>
    </row>
    <row r="81" spans="1:3" ht="13" x14ac:dyDescent="0.15">
      <c r="A81" s="10"/>
      <c r="B81" s="13"/>
      <c r="C81" s="13"/>
    </row>
    <row r="82" spans="1:3" ht="13" x14ac:dyDescent="0.15">
      <c r="A82" s="10"/>
      <c r="B82" s="13"/>
      <c r="C82" s="13"/>
    </row>
    <row r="83" spans="1:3" ht="13" x14ac:dyDescent="0.15">
      <c r="A83" s="10"/>
      <c r="B83" s="13"/>
      <c r="C83" s="13"/>
    </row>
    <row r="84" spans="1:3" ht="13" x14ac:dyDescent="0.15">
      <c r="A84" s="10"/>
      <c r="B84" s="13"/>
      <c r="C84" s="13"/>
    </row>
    <row r="85" spans="1:3" ht="13" x14ac:dyDescent="0.15">
      <c r="A85" s="10"/>
      <c r="B85" s="13"/>
      <c r="C85" s="13"/>
    </row>
    <row r="86" spans="1:3" ht="13" x14ac:dyDescent="0.15">
      <c r="A86" s="10"/>
      <c r="B86" s="13"/>
      <c r="C86" s="13"/>
    </row>
    <row r="87" spans="1:3" ht="13" x14ac:dyDescent="0.15">
      <c r="A87" s="10"/>
      <c r="B87" s="13"/>
      <c r="C87" s="13"/>
    </row>
    <row r="88" spans="1:3" ht="13" x14ac:dyDescent="0.15">
      <c r="A88" s="10"/>
      <c r="B88" s="13"/>
      <c r="C88" s="13"/>
    </row>
    <row r="89" spans="1:3" ht="13" x14ac:dyDescent="0.15">
      <c r="A89" s="10"/>
      <c r="B89" s="13"/>
      <c r="C89" s="13"/>
    </row>
    <row r="90" spans="1:3" ht="13" x14ac:dyDescent="0.15">
      <c r="A90" s="10"/>
      <c r="B90" s="13"/>
      <c r="C90" s="13"/>
    </row>
    <row r="91" spans="1:3" ht="13" x14ac:dyDescent="0.15">
      <c r="A91" s="10"/>
      <c r="B91" s="13"/>
      <c r="C91" s="13"/>
    </row>
    <row r="92" spans="1:3" ht="13" x14ac:dyDescent="0.15">
      <c r="A92" s="10"/>
      <c r="B92" s="13"/>
      <c r="C92" s="13"/>
    </row>
    <row r="93" spans="1:3" ht="13" x14ac:dyDescent="0.15">
      <c r="A93" s="10"/>
      <c r="B93" s="13"/>
      <c r="C93" s="13"/>
    </row>
    <row r="94" spans="1:3" ht="13" x14ac:dyDescent="0.15">
      <c r="A94" s="10"/>
      <c r="B94" s="13"/>
      <c r="C94" s="13"/>
    </row>
    <row r="95" spans="1:3" ht="13" x14ac:dyDescent="0.15">
      <c r="A95" s="10"/>
      <c r="B95" s="13"/>
      <c r="C95" s="13"/>
    </row>
    <row r="96" spans="1:3" ht="13" x14ac:dyDescent="0.15">
      <c r="A96" s="10"/>
      <c r="B96" s="13"/>
      <c r="C96" s="13"/>
    </row>
    <row r="97" spans="1:3" ht="13" x14ac:dyDescent="0.15">
      <c r="A97" s="10"/>
      <c r="B97" s="13"/>
      <c r="C97" s="13"/>
    </row>
    <row r="98" spans="1:3" ht="13" x14ac:dyDescent="0.15">
      <c r="A98" s="10"/>
      <c r="B98" s="13"/>
      <c r="C98" s="13"/>
    </row>
    <row r="99" spans="1:3" ht="13" x14ac:dyDescent="0.15">
      <c r="A99" s="10"/>
      <c r="B99" s="13"/>
      <c r="C99" s="13"/>
    </row>
    <row r="100" spans="1:3" ht="13" x14ac:dyDescent="0.15">
      <c r="A100" s="10"/>
      <c r="B100" s="13"/>
      <c r="C100" s="13"/>
    </row>
    <row r="101" spans="1:3" ht="13" x14ac:dyDescent="0.15">
      <c r="A101" s="10"/>
      <c r="B101" s="13"/>
      <c r="C101" s="13"/>
    </row>
    <row r="102" spans="1:3" ht="13" x14ac:dyDescent="0.15">
      <c r="A102" s="10"/>
      <c r="B102" s="13"/>
      <c r="C102" s="13"/>
    </row>
    <row r="103" spans="1:3" ht="13" x14ac:dyDescent="0.15">
      <c r="A103" s="10"/>
      <c r="B103" s="13"/>
      <c r="C103" s="13"/>
    </row>
    <row r="104" spans="1:3" ht="13" x14ac:dyDescent="0.15">
      <c r="A104" s="10"/>
      <c r="B104" s="13"/>
      <c r="C104" s="13"/>
    </row>
    <row r="105" spans="1:3" ht="13" x14ac:dyDescent="0.15">
      <c r="A105" s="10"/>
      <c r="B105" s="13"/>
      <c r="C105" s="13"/>
    </row>
    <row r="106" spans="1:3" ht="13" x14ac:dyDescent="0.15">
      <c r="A106" s="10"/>
      <c r="B106" s="13"/>
      <c r="C106" s="13"/>
    </row>
    <row r="107" spans="1:3" ht="13" x14ac:dyDescent="0.15">
      <c r="A107" s="10"/>
      <c r="B107" s="13"/>
      <c r="C107" s="13"/>
    </row>
    <row r="108" spans="1:3" ht="13" x14ac:dyDescent="0.15">
      <c r="A108" s="10"/>
      <c r="B108" s="13"/>
      <c r="C108" s="13"/>
    </row>
    <row r="109" spans="1:3" ht="13" x14ac:dyDescent="0.15">
      <c r="A109" s="10"/>
      <c r="B109" s="13"/>
      <c r="C109" s="13"/>
    </row>
    <row r="110" spans="1:3" ht="13" x14ac:dyDescent="0.15">
      <c r="A110" s="10"/>
      <c r="B110" s="13"/>
      <c r="C110" s="13"/>
    </row>
    <row r="111" spans="1:3" ht="13" x14ac:dyDescent="0.15">
      <c r="A111" s="10"/>
      <c r="B111" s="13"/>
      <c r="C111" s="13"/>
    </row>
    <row r="112" spans="1:3" ht="13" x14ac:dyDescent="0.15">
      <c r="A112" s="10"/>
      <c r="B112" s="13"/>
      <c r="C112" s="13"/>
    </row>
    <row r="113" spans="1:3" ht="13" x14ac:dyDescent="0.15">
      <c r="A113" s="10"/>
      <c r="B113" s="13"/>
      <c r="C113" s="13"/>
    </row>
    <row r="114" spans="1:3" ht="13" x14ac:dyDescent="0.15">
      <c r="A114" s="10"/>
      <c r="B114" s="13"/>
      <c r="C114" s="13"/>
    </row>
    <row r="115" spans="1:3" ht="13" x14ac:dyDescent="0.15">
      <c r="A115" s="10"/>
      <c r="B115" s="13"/>
      <c r="C115" s="13"/>
    </row>
    <row r="116" spans="1:3" ht="13" x14ac:dyDescent="0.15">
      <c r="A116" s="10"/>
      <c r="B116" s="13"/>
      <c r="C116" s="13"/>
    </row>
    <row r="117" spans="1:3" ht="13" x14ac:dyDescent="0.15">
      <c r="A117" s="10"/>
      <c r="B117" s="13"/>
      <c r="C117" s="13"/>
    </row>
    <row r="118" spans="1:3" ht="13" x14ac:dyDescent="0.15">
      <c r="A118" s="10"/>
      <c r="B118" s="13"/>
      <c r="C118" s="13"/>
    </row>
    <row r="119" spans="1:3" ht="13" x14ac:dyDescent="0.15">
      <c r="A119" s="10"/>
      <c r="B119" s="13"/>
      <c r="C119" s="13"/>
    </row>
    <row r="120" spans="1:3" ht="13" x14ac:dyDescent="0.15">
      <c r="A120" s="10"/>
      <c r="B120" s="13"/>
      <c r="C120" s="13"/>
    </row>
    <row r="121" spans="1:3" ht="13" x14ac:dyDescent="0.15">
      <c r="A121" s="10"/>
      <c r="B121" s="13"/>
      <c r="C121" s="13"/>
    </row>
    <row r="122" spans="1:3" ht="13" x14ac:dyDescent="0.15">
      <c r="A122" s="10"/>
      <c r="B122" s="13"/>
      <c r="C122" s="13"/>
    </row>
    <row r="123" spans="1:3" ht="13" x14ac:dyDescent="0.15">
      <c r="A123" s="10"/>
      <c r="B123" s="13"/>
      <c r="C123" s="13"/>
    </row>
    <row r="124" spans="1:3" ht="13" x14ac:dyDescent="0.15">
      <c r="A124" s="10"/>
      <c r="B124" s="13"/>
      <c r="C124" s="13"/>
    </row>
    <row r="125" spans="1:3" ht="13" x14ac:dyDescent="0.15">
      <c r="A125" s="10"/>
      <c r="B125" s="13"/>
      <c r="C125" s="13"/>
    </row>
    <row r="126" spans="1:3" ht="13" x14ac:dyDescent="0.15">
      <c r="A126" s="10"/>
      <c r="B126" s="13"/>
      <c r="C126" s="13"/>
    </row>
    <row r="127" spans="1:3" ht="13" x14ac:dyDescent="0.15">
      <c r="A127" s="10"/>
      <c r="B127" s="13"/>
      <c r="C127" s="13"/>
    </row>
    <row r="128" spans="1:3" ht="13" x14ac:dyDescent="0.15">
      <c r="A128" s="10"/>
      <c r="B128" s="13"/>
      <c r="C128" s="13"/>
    </row>
    <row r="129" spans="1:3" ht="13" x14ac:dyDescent="0.15">
      <c r="A129" s="10"/>
      <c r="B129" s="13"/>
      <c r="C129" s="13"/>
    </row>
    <row r="130" spans="1:3" ht="13" x14ac:dyDescent="0.15">
      <c r="A130" s="10"/>
      <c r="B130" s="13"/>
      <c r="C130" s="13"/>
    </row>
    <row r="131" spans="1:3" ht="13" x14ac:dyDescent="0.15">
      <c r="A131" s="10"/>
      <c r="B131" s="13"/>
      <c r="C131" s="13"/>
    </row>
    <row r="132" spans="1:3" ht="13" x14ac:dyDescent="0.15">
      <c r="A132" s="10"/>
      <c r="B132" s="13"/>
      <c r="C132" s="13"/>
    </row>
    <row r="133" spans="1:3" ht="13" x14ac:dyDescent="0.15">
      <c r="A133" s="10"/>
      <c r="B133" s="13"/>
      <c r="C133" s="13"/>
    </row>
    <row r="134" spans="1:3" ht="13" x14ac:dyDescent="0.15">
      <c r="A134" s="10"/>
      <c r="B134" s="13"/>
      <c r="C134" s="13"/>
    </row>
    <row r="135" spans="1:3" ht="13" x14ac:dyDescent="0.15">
      <c r="A135" s="10"/>
      <c r="B135" s="13"/>
      <c r="C135" s="13"/>
    </row>
    <row r="136" spans="1:3" ht="13" x14ac:dyDescent="0.15">
      <c r="A136" s="10"/>
      <c r="B136" s="13"/>
      <c r="C136" s="13"/>
    </row>
    <row r="137" spans="1:3" ht="13" x14ac:dyDescent="0.15">
      <c r="A137" s="10"/>
      <c r="B137" s="13"/>
      <c r="C137" s="13"/>
    </row>
    <row r="138" spans="1:3" ht="13" x14ac:dyDescent="0.15">
      <c r="A138" s="10"/>
      <c r="B138" s="13"/>
      <c r="C138" s="13"/>
    </row>
    <row r="139" spans="1:3" ht="13" x14ac:dyDescent="0.15">
      <c r="A139" s="10"/>
      <c r="B139" s="13"/>
      <c r="C139" s="13"/>
    </row>
    <row r="140" spans="1:3" ht="13" x14ac:dyDescent="0.15">
      <c r="A140" s="10"/>
      <c r="B140" s="13"/>
      <c r="C140" s="13"/>
    </row>
    <row r="141" spans="1:3" ht="13" x14ac:dyDescent="0.15">
      <c r="A141" s="10"/>
      <c r="B141" s="13"/>
      <c r="C141" s="13"/>
    </row>
    <row r="142" spans="1:3" ht="13" x14ac:dyDescent="0.15">
      <c r="A142" s="10"/>
      <c r="B142" s="13"/>
      <c r="C142" s="13"/>
    </row>
    <row r="143" spans="1:3" ht="13" x14ac:dyDescent="0.15">
      <c r="A143" s="10"/>
      <c r="B143" s="13"/>
      <c r="C143" s="13"/>
    </row>
    <row r="144" spans="1:3" ht="13" x14ac:dyDescent="0.15">
      <c r="A144" s="10"/>
      <c r="B144" s="13"/>
      <c r="C144" s="13"/>
    </row>
    <row r="145" spans="1:3" ht="13" x14ac:dyDescent="0.15">
      <c r="A145" s="10"/>
      <c r="B145" s="13"/>
      <c r="C145" s="13"/>
    </row>
    <row r="146" spans="1:3" ht="13" x14ac:dyDescent="0.15">
      <c r="A146" s="10"/>
      <c r="B146" s="13"/>
      <c r="C146" s="13"/>
    </row>
    <row r="147" spans="1:3" ht="13" x14ac:dyDescent="0.15">
      <c r="A147" s="10"/>
      <c r="B147" s="13"/>
      <c r="C147" s="13"/>
    </row>
    <row r="148" spans="1:3" ht="13" x14ac:dyDescent="0.15">
      <c r="A148" s="10"/>
      <c r="B148" s="13"/>
      <c r="C148" s="13"/>
    </row>
    <row r="149" spans="1:3" ht="13" x14ac:dyDescent="0.15">
      <c r="A149" s="10"/>
      <c r="B149" s="13"/>
      <c r="C149" s="13"/>
    </row>
    <row r="150" spans="1:3" ht="13" x14ac:dyDescent="0.15">
      <c r="A150" s="10"/>
      <c r="B150" s="13"/>
      <c r="C150" s="13"/>
    </row>
    <row r="151" spans="1:3" ht="13" x14ac:dyDescent="0.15">
      <c r="A151" s="10"/>
      <c r="B151" s="13"/>
      <c r="C151" s="13"/>
    </row>
    <row r="152" spans="1:3" ht="13" x14ac:dyDescent="0.15">
      <c r="A152" s="10"/>
      <c r="B152" s="13"/>
      <c r="C152" s="13"/>
    </row>
    <row r="153" spans="1:3" ht="13" x14ac:dyDescent="0.15">
      <c r="A153" s="10"/>
      <c r="B153" s="13"/>
      <c r="C153" s="13"/>
    </row>
    <row r="154" spans="1:3" ht="13" x14ac:dyDescent="0.15">
      <c r="A154" s="10"/>
      <c r="B154" s="13"/>
      <c r="C154" s="13"/>
    </row>
    <row r="155" spans="1:3" ht="13" x14ac:dyDescent="0.15">
      <c r="A155" s="10"/>
      <c r="B155" s="13"/>
      <c r="C155" s="13"/>
    </row>
    <row r="156" spans="1:3" ht="13" x14ac:dyDescent="0.15">
      <c r="A156" s="10"/>
      <c r="B156" s="13"/>
      <c r="C156" s="13"/>
    </row>
    <row r="157" spans="1:3" ht="13" x14ac:dyDescent="0.15">
      <c r="A157" s="10"/>
      <c r="B157" s="13"/>
      <c r="C157" s="13"/>
    </row>
    <row r="158" spans="1:3" ht="13" x14ac:dyDescent="0.15">
      <c r="A158" s="10"/>
      <c r="B158" s="13"/>
      <c r="C158" s="13"/>
    </row>
    <row r="159" spans="1:3" ht="13" x14ac:dyDescent="0.15">
      <c r="A159" s="10"/>
      <c r="B159" s="13"/>
      <c r="C159" s="13"/>
    </row>
    <row r="160" spans="1:3" ht="13" x14ac:dyDescent="0.15">
      <c r="A160" s="10"/>
      <c r="B160" s="13"/>
      <c r="C160" s="13"/>
    </row>
    <row r="161" spans="1:3" ht="13" x14ac:dyDescent="0.15">
      <c r="A161" s="10"/>
      <c r="B161" s="13"/>
      <c r="C161" s="13"/>
    </row>
    <row r="162" spans="1:3" ht="13" x14ac:dyDescent="0.15">
      <c r="A162" s="10"/>
      <c r="B162" s="13"/>
      <c r="C162" s="13"/>
    </row>
    <row r="163" spans="1:3" ht="13" x14ac:dyDescent="0.15">
      <c r="A163" s="10"/>
      <c r="B163" s="13"/>
      <c r="C163" s="13"/>
    </row>
    <row r="164" spans="1:3" ht="13" x14ac:dyDescent="0.15">
      <c r="A164" s="10"/>
      <c r="B164" s="13"/>
      <c r="C164" s="13"/>
    </row>
    <row r="165" spans="1:3" ht="13" x14ac:dyDescent="0.15">
      <c r="A165" s="10"/>
      <c r="B165" s="13"/>
      <c r="C165" s="13"/>
    </row>
    <row r="166" spans="1:3" ht="13" x14ac:dyDescent="0.15">
      <c r="A166" s="10"/>
      <c r="B166" s="13"/>
      <c r="C166" s="13"/>
    </row>
    <row r="167" spans="1:3" ht="13" x14ac:dyDescent="0.15">
      <c r="A167" s="10"/>
      <c r="B167" s="13"/>
      <c r="C167" s="13"/>
    </row>
    <row r="168" spans="1:3" ht="13" x14ac:dyDescent="0.15">
      <c r="A168" s="10"/>
      <c r="B168" s="13"/>
      <c r="C168" s="13"/>
    </row>
    <row r="169" spans="1:3" ht="13" x14ac:dyDescent="0.15">
      <c r="A169" s="10"/>
      <c r="B169" s="13"/>
      <c r="C169" s="13"/>
    </row>
    <row r="170" spans="1:3" ht="13" x14ac:dyDescent="0.15">
      <c r="A170" s="10"/>
      <c r="B170" s="13"/>
      <c r="C170" s="13"/>
    </row>
    <row r="171" spans="1:3" ht="13" x14ac:dyDescent="0.15">
      <c r="A171" s="10"/>
      <c r="B171" s="13"/>
      <c r="C171" s="13"/>
    </row>
    <row r="172" spans="1:3" ht="13" x14ac:dyDescent="0.15">
      <c r="A172" s="10"/>
      <c r="B172" s="13"/>
      <c r="C172" s="13"/>
    </row>
    <row r="173" spans="1:3" ht="13" x14ac:dyDescent="0.15">
      <c r="A173" s="10"/>
      <c r="B173" s="13"/>
      <c r="C173" s="13"/>
    </row>
    <row r="174" spans="1:3" ht="13" x14ac:dyDescent="0.15">
      <c r="A174" s="10"/>
      <c r="B174" s="13"/>
      <c r="C174" s="13"/>
    </row>
    <row r="175" spans="1:3" ht="13" x14ac:dyDescent="0.15">
      <c r="A175" s="10"/>
      <c r="B175" s="13"/>
      <c r="C175" s="13"/>
    </row>
    <row r="176" spans="1:3" ht="13" x14ac:dyDescent="0.15">
      <c r="A176" s="10"/>
      <c r="B176" s="13"/>
      <c r="C176" s="13"/>
    </row>
    <row r="177" spans="1:3" ht="13" x14ac:dyDescent="0.15">
      <c r="A177" s="10"/>
      <c r="B177" s="13"/>
      <c r="C177" s="13"/>
    </row>
    <row r="178" spans="1:3" ht="13" x14ac:dyDescent="0.15">
      <c r="A178" s="10"/>
      <c r="B178" s="13"/>
      <c r="C178" s="13"/>
    </row>
    <row r="179" spans="1:3" ht="13" x14ac:dyDescent="0.15">
      <c r="A179" s="10"/>
      <c r="B179" s="13"/>
      <c r="C179" s="13"/>
    </row>
    <row r="180" spans="1:3" ht="13" x14ac:dyDescent="0.15">
      <c r="A180" s="10"/>
      <c r="B180" s="13"/>
      <c r="C180" s="13"/>
    </row>
    <row r="181" spans="1:3" ht="13" x14ac:dyDescent="0.15">
      <c r="A181" s="10"/>
      <c r="B181" s="13"/>
      <c r="C181" s="13"/>
    </row>
    <row r="182" spans="1:3" ht="13" x14ac:dyDescent="0.15">
      <c r="A182" s="10"/>
      <c r="B182" s="13"/>
      <c r="C182" s="13"/>
    </row>
    <row r="183" spans="1:3" ht="13" x14ac:dyDescent="0.15">
      <c r="A183" s="10"/>
      <c r="B183" s="13"/>
      <c r="C183" s="13"/>
    </row>
    <row r="184" spans="1:3" ht="13" x14ac:dyDescent="0.15">
      <c r="A184" s="10"/>
      <c r="B184" s="13"/>
      <c r="C184" s="13"/>
    </row>
    <row r="185" spans="1:3" ht="13" x14ac:dyDescent="0.15">
      <c r="A185" s="10"/>
      <c r="B185" s="13"/>
      <c r="C185" s="13"/>
    </row>
    <row r="186" spans="1:3" ht="13" x14ac:dyDescent="0.15">
      <c r="A186" s="10"/>
      <c r="B186" s="13"/>
      <c r="C186" s="13"/>
    </row>
    <row r="187" spans="1:3" ht="13" x14ac:dyDescent="0.15">
      <c r="A187" s="10"/>
      <c r="B187" s="13"/>
      <c r="C187" s="13"/>
    </row>
    <row r="188" spans="1:3" ht="13" x14ac:dyDescent="0.15">
      <c r="A188" s="10"/>
      <c r="B188" s="13"/>
      <c r="C188" s="13"/>
    </row>
    <row r="189" spans="1:3" ht="13" x14ac:dyDescent="0.15">
      <c r="A189" s="10"/>
      <c r="B189" s="13"/>
      <c r="C189" s="13"/>
    </row>
    <row r="190" spans="1:3" ht="13" x14ac:dyDescent="0.15">
      <c r="A190" s="10"/>
      <c r="B190" s="13"/>
      <c r="C190" s="13"/>
    </row>
    <row r="191" spans="1:3" ht="13" x14ac:dyDescent="0.15">
      <c r="A191" s="10"/>
      <c r="B191" s="13"/>
      <c r="C191" s="13"/>
    </row>
    <row r="192" spans="1:3" ht="13" x14ac:dyDescent="0.15">
      <c r="A192" s="10"/>
      <c r="B192" s="13"/>
      <c r="C192" s="13"/>
    </row>
    <row r="193" spans="1:3" ht="13" x14ac:dyDescent="0.15">
      <c r="A193" s="10"/>
      <c r="B193" s="13"/>
      <c r="C193" s="13"/>
    </row>
    <row r="194" spans="1:3" ht="13" x14ac:dyDescent="0.15">
      <c r="A194" s="10"/>
      <c r="B194" s="13"/>
      <c r="C194" s="13"/>
    </row>
    <row r="195" spans="1:3" ht="13" x14ac:dyDescent="0.15">
      <c r="A195" s="10"/>
      <c r="B195" s="13"/>
      <c r="C195" s="13"/>
    </row>
    <row r="196" spans="1:3" ht="13" x14ac:dyDescent="0.15">
      <c r="A196" s="10"/>
      <c r="B196" s="13"/>
      <c r="C196" s="13"/>
    </row>
    <row r="197" spans="1:3" ht="13" x14ac:dyDescent="0.15">
      <c r="A197" s="10"/>
      <c r="B197" s="13"/>
      <c r="C197" s="13"/>
    </row>
    <row r="198" spans="1:3" ht="13" x14ac:dyDescent="0.15">
      <c r="A198" s="10"/>
      <c r="B198" s="13"/>
      <c r="C198" s="13"/>
    </row>
    <row r="199" spans="1:3" ht="13" x14ac:dyDescent="0.15">
      <c r="A199" s="10"/>
      <c r="B199" s="13"/>
      <c r="C199" s="13"/>
    </row>
    <row r="200" spans="1:3" ht="13" x14ac:dyDescent="0.15">
      <c r="A200" s="10"/>
      <c r="B200" s="13"/>
      <c r="C200" s="13"/>
    </row>
    <row r="201" spans="1:3" ht="13" x14ac:dyDescent="0.15">
      <c r="A201" s="10"/>
      <c r="B201" s="13"/>
      <c r="C201" s="13"/>
    </row>
    <row r="202" spans="1:3" ht="13" x14ac:dyDescent="0.15">
      <c r="A202" s="10"/>
      <c r="B202" s="13"/>
      <c r="C202" s="13"/>
    </row>
    <row r="203" spans="1:3" ht="13" x14ac:dyDescent="0.15">
      <c r="A203" s="10"/>
      <c r="B203" s="13"/>
      <c r="C203" s="13"/>
    </row>
    <row r="204" spans="1:3" ht="13" x14ac:dyDescent="0.15">
      <c r="A204" s="10"/>
      <c r="B204" s="13"/>
      <c r="C204" s="13"/>
    </row>
    <row r="205" spans="1:3" ht="13" x14ac:dyDescent="0.15">
      <c r="A205" s="10"/>
      <c r="B205" s="13"/>
      <c r="C205" s="13"/>
    </row>
    <row r="206" spans="1:3" ht="13" x14ac:dyDescent="0.15">
      <c r="A206" s="10"/>
      <c r="B206" s="13"/>
      <c r="C206" s="13"/>
    </row>
    <row r="207" spans="1:3" ht="13" x14ac:dyDescent="0.15">
      <c r="A207" s="10"/>
      <c r="B207" s="13"/>
      <c r="C207" s="13"/>
    </row>
    <row r="208" spans="1:3" ht="13" x14ac:dyDescent="0.15">
      <c r="A208" s="10"/>
      <c r="B208" s="13"/>
      <c r="C208" s="13"/>
    </row>
    <row r="209" spans="1:3" ht="13" x14ac:dyDescent="0.15">
      <c r="A209" s="10"/>
      <c r="B209" s="13"/>
      <c r="C209" s="13"/>
    </row>
    <row r="210" spans="1:3" ht="13" x14ac:dyDescent="0.15">
      <c r="A210" s="10"/>
      <c r="B210" s="13"/>
      <c r="C210" s="13"/>
    </row>
    <row r="211" spans="1:3" ht="13" x14ac:dyDescent="0.15">
      <c r="A211" s="10"/>
      <c r="B211" s="13"/>
      <c r="C211" s="13"/>
    </row>
    <row r="212" spans="1:3" ht="13" x14ac:dyDescent="0.15">
      <c r="A212" s="10"/>
      <c r="B212" s="13"/>
      <c r="C212" s="13"/>
    </row>
    <row r="213" spans="1:3" ht="13" x14ac:dyDescent="0.15">
      <c r="A213" s="10"/>
      <c r="B213" s="13"/>
      <c r="C213" s="13"/>
    </row>
    <row r="214" spans="1:3" ht="13" x14ac:dyDescent="0.15">
      <c r="A214" s="10"/>
      <c r="B214" s="13"/>
      <c r="C214" s="13"/>
    </row>
    <row r="215" spans="1:3" ht="13" x14ac:dyDescent="0.15">
      <c r="A215" s="10"/>
      <c r="B215" s="13"/>
      <c r="C215" s="13"/>
    </row>
    <row r="216" spans="1:3" ht="13" x14ac:dyDescent="0.15">
      <c r="A216" s="10"/>
      <c r="B216" s="13"/>
      <c r="C216" s="13"/>
    </row>
    <row r="217" spans="1:3" ht="13" x14ac:dyDescent="0.15">
      <c r="A217" s="10"/>
      <c r="B217" s="13"/>
      <c r="C217" s="13"/>
    </row>
    <row r="218" spans="1:3" ht="13" x14ac:dyDescent="0.15">
      <c r="A218" s="10"/>
      <c r="B218" s="13"/>
      <c r="C218" s="13"/>
    </row>
    <row r="219" spans="1:3" ht="13" x14ac:dyDescent="0.15">
      <c r="A219" s="10"/>
      <c r="B219" s="13"/>
      <c r="C219" s="13"/>
    </row>
    <row r="220" spans="1:3" ht="13" x14ac:dyDescent="0.15">
      <c r="A220" s="10"/>
      <c r="B220" s="13"/>
      <c r="C220" s="13"/>
    </row>
    <row r="221" spans="1:3" ht="13" x14ac:dyDescent="0.15">
      <c r="A221" s="10"/>
      <c r="B221" s="13"/>
      <c r="C221" s="13"/>
    </row>
    <row r="222" spans="1:3" ht="13" x14ac:dyDescent="0.15">
      <c r="A222" s="10"/>
      <c r="B222" s="13"/>
      <c r="C222" s="13"/>
    </row>
    <row r="223" spans="1:3" ht="13" x14ac:dyDescent="0.15">
      <c r="A223" s="10"/>
      <c r="B223" s="13"/>
      <c r="C223" s="13"/>
    </row>
    <row r="224" spans="1:3" ht="13" x14ac:dyDescent="0.15">
      <c r="A224" s="10"/>
      <c r="B224" s="13"/>
      <c r="C224" s="13"/>
    </row>
    <row r="225" spans="1:3" ht="13" x14ac:dyDescent="0.15">
      <c r="A225" s="10"/>
      <c r="B225" s="13"/>
      <c r="C225" s="13"/>
    </row>
    <row r="226" spans="1:3" ht="13" x14ac:dyDescent="0.15">
      <c r="A226" s="10"/>
      <c r="B226" s="13"/>
      <c r="C226" s="13"/>
    </row>
    <row r="227" spans="1:3" ht="13" x14ac:dyDescent="0.15">
      <c r="A227" s="10"/>
      <c r="B227" s="13"/>
      <c r="C227" s="13"/>
    </row>
    <row r="228" spans="1:3" ht="13" x14ac:dyDescent="0.15">
      <c r="A228" s="10"/>
      <c r="B228" s="13"/>
      <c r="C228" s="13"/>
    </row>
    <row r="229" spans="1:3" ht="13" x14ac:dyDescent="0.15">
      <c r="A229" s="10"/>
      <c r="B229" s="13"/>
      <c r="C229" s="13"/>
    </row>
    <row r="230" spans="1:3" ht="13" x14ac:dyDescent="0.15">
      <c r="A230" s="10"/>
      <c r="B230" s="13"/>
      <c r="C230" s="13"/>
    </row>
    <row r="231" spans="1:3" ht="13" x14ac:dyDescent="0.15">
      <c r="A231" s="10"/>
      <c r="B231" s="13"/>
      <c r="C231" s="13"/>
    </row>
    <row r="232" spans="1:3" ht="13" x14ac:dyDescent="0.15">
      <c r="A232" s="10"/>
      <c r="B232" s="13"/>
      <c r="C232" s="13"/>
    </row>
    <row r="233" spans="1:3" ht="13" x14ac:dyDescent="0.15">
      <c r="A233" s="10"/>
      <c r="B233" s="13"/>
      <c r="C233" s="13"/>
    </row>
    <row r="234" spans="1:3" ht="13" x14ac:dyDescent="0.15">
      <c r="A234" s="10"/>
      <c r="B234" s="13"/>
      <c r="C234" s="13"/>
    </row>
    <row r="235" spans="1:3" ht="13" x14ac:dyDescent="0.15">
      <c r="A235" s="10"/>
      <c r="B235" s="13"/>
      <c r="C235" s="13"/>
    </row>
    <row r="236" spans="1:3" ht="13" x14ac:dyDescent="0.15">
      <c r="A236" s="10"/>
      <c r="B236" s="13"/>
      <c r="C236" s="13"/>
    </row>
    <row r="237" spans="1:3" ht="13" x14ac:dyDescent="0.15">
      <c r="A237" s="10"/>
      <c r="B237" s="13"/>
      <c r="C237" s="13"/>
    </row>
    <row r="238" spans="1:3" ht="13" x14ac:dyDescent="0.15">
      <c r="A238" s="10"/>
      <c r="B238" s="13"/>
      <c r="C238" s="13"/>
    </row>
    <row r="239" spans="1:3" ht="13" x14ac:dyDescent="0.15">
      <c r="A239" s="10"/>
      <c r="B239" s="13"/>
      <c r="C239" s="13"/>
    </row>
    <row r="240" spans="1:3" ht="13" x14ac:dyDescent="0.15">
      <c r="A240" s="10"/>
      <c r="B240" s="13"/>
      <c r="C240" s="13"/>
    </row>
    <row r="241" spans="1:3" ht="13" x14ac:dyDescent="0.15">
      <c r="A241" s="10"/>
      <c r="B241" s="13"/>
      <c r="C241" s="13"/>
    </row>
    <row r="242" spans="1:3" ht="13" x14ac:dyDescent="0.15">
      <c r="A242" s="10"/>
      <c r="B242" s="13"/>
      <c r="C242" s="13"/>
    </row>
    <row r="243" spans="1:3" ht="13" x14ac:dyDescent="0.15">
      <c r="A243" s="10"/>
      <c r="B243" s="13"/>
      <c r="C243" s="13"/>
    </row>
    <row r="244" spans="1:3" ht="13" x14ac:dyDescent="0.15">
      <c r="A244" s="10"/>
      <c r="B244" s="13"/>
      <c r="C244" s="13"/>
    </row>
    <row r="245" spans="1:3" ht="13" x14ac:dyDescent="0.15">
      <c r="A245" s="10"/>
      <c r="B245" s="13"/>
      <c r="C245" s="13"/>
    </row>
    <row r="246" spans="1:3" ht="13" x14ac:dyDescent="0.15">
      <c r="A246" s="10"/>
      <c r="B246" s="13"/>
      <c r="C246" s="13"/>
    </row>
    <row r="247" spans="1:3" ht="13" x14ac:dyDescent="0.15">
      <c r="A247" s="10"/>
      <c r="B247" s="13"/>
      <c r="C247" s="13"/>
    </row>
    <row r="248" spans="1:3" ht="13" x14ac:dyDescent="0.15">
      <c r="A248" s="10"/>
      <c r="B248" s="13"/>
      <c r="C248" s="13"/>
    </row>
    <row r="249" spans="1:3" ht="13" x14ac:dyDescent="0.15">
      <c r="A249" s="10"/>
      <c r="B249" s="13"/>
      <c r="C249" s="13"/>
    </row>
    <row r="250" spans="1:3" ht="13" x14ac:dyDescent="0.15">
      <c r="A250" s="10"/>
      <c r="B250" s="13"/>
      <c r="C250" s="13"/>
    </row>
    <row r="251" spans="1:3" ht="13" x14ac:dyDescent="0.15">
      <c r="A251" s="10"/>
      <c r="B251" s="13"/>
      <c r="C251" s="13"/>
    </row>
    <row r="252" spans="1:3" ht="13" x14ac:dyDescent="0.15">
      <c r="A252" s="10"/>
      <c r="B252" s="13"/>
      <c r="C252" s="13"/>
    </row>
    <row r="253" spans="1:3" ht="13" x14ac:dyDescent="0.15">
      <c r="A253" s="10"/>
      <c r="B253" s="13"/>
      <c r="C253" s="13"/>
    </row>
    <row r="254" spans="1:3" ht="13" x14ac:dyDescent="0.15">
      <c r="A254" s="10"/>
      <c r="B254" s="13"/>
      <c r="C254" s="13"/>
    </row>
    <row r="255" spans="1:3" ht="13" x14ac:dyDescent="0.15">
      <c r="A255" s="10"/>
      <c r="B255" s="13"/>
      <c r="C255" s="13"/>
    </row>
    <row r="256" spans="1:3" ht="13" x14ac:dyDescent="0.15">
      <c r="A256" s="10"/>
      <c r="B256" s="13"/>
      <c r="C256" s="13"/>
    </row>
    <row r="257" spans="1:3" ht="13" x14ac:dyDescent="0.15">
      <c r="A257" s="10"/>
      <c r="B257" s="13"/>
      <c r="C257" s="13"/>
    </row>
    <row r="258" spans="1:3" ht="13" x14ac:dyDescent="0.15">
      <c r="A258" s="10"/>
      <c r="B258" s="13"/>
      <c r="C258" s="13"/>
    </row>
    <row r="259" spans="1:3" ht="13" x14ac:dyDescent="0.15">
      <c r="A259" s="10"/>
      <c r="B259" s="13"/>
      <c r="C259" s="13"/>
    </row>
    <row r="260" spans="1:3" ht="13" x14ac:dyDescent="0.15">
      <c r="A260" s="10"/>
      <c r="B260" s="13"/>
      <c r="C260" s="13"/>
    </row>
    <row r="261" spans="1:3" ht="13" x14ac:dyDescent="0.15">
      <c r="A261" s="10"/>
      <c r="B261" s="13"/>
      <c r="C261" s="13"/>
    </row>
    <row r="262" spans="1:3" ht="13" x14ac:dyDescent="0.15">
      <c r="A262" s="10"/>
      <c r="B262" s="13"/>
      <c r="C262" s="13"/>
    </row>
    <row r="263" spans="1:3" ht="13" x14ac:dyDescent="0.15">
      <c r="A263" s="10"/>
      <c r="B263" s="13"/>
      <c r="C263" s="13"/>
    </row>
    <row r="264" spans="1:3" ht="13" x14ac:dyDescent="0.15">
      <c r="A264" s="10"/>
      <c r="B264" s="13"/>
      <c r="C264" s="13"/>
    </row>
    <row r="265" spans="1:3" ht="13" x14ac:dyDescent="0.15">
      <c r="A265" s="10"/>
      <c r="B265" s="13"/>
      <c r="C265" s="13"/>
    </row>
    <row r="266" spans="1:3" ht="13" x14ac:dyDescent="0.15">
      <c r="A266" s="10"/>
      <c r="B266" s="13"/>
      <c r="C266" s="13"/>
    </row>
    <row r="267" spans="1:3" ht="13" x14ac:dyDescent="0.15">
      <c r="A267" s="10"/>
      <c r="B267" s="13"/>
      <c r="C267" s="13"/>
    </row>
    <row r="268" spans="1:3" ht="13" x14ac:dyDescent="0.15">
      <c r="A268" s="10"/>
      <c r="B268" s="13"/>
      <c r="C268" s="13"/>
    </row>
    <row r="269" spans="1:3" ht="13" x14ac:dyDescent="0.15">
      <c r="A269" s="10"/>
      <c r="B269" s="13"/>
      <c r="C269" s="13"/>
    </row>
    <row r="270" spans="1:3" ht="13" x14ac:dyDescent="0.15">
      <c r="A270" s="10"/>
      <c r="B270" s="13"/>
      <c r="C270" s="13"/>
    </row>
    <row r="271" spans="1:3" ht="13" x14ac:dyDescent="0.15">
      <c r="A271" s="10"/>
      <c r="B271" s="13"/>
      <c r="C271" s="13"/>
    </row>
    <row r="272" spans="1:3" ht="13" x14ac:dyDescent="0.15">
      <c r="A272" s="10"/>
      <c r="B272" s="13"/>
      <c r="C272" s="13"/>
    </row>
    <row r="273" spans="1:3" ht="13" x14ac:dyDescent="0.15">
      <c r="A273" s="10"/>
      <c r="B273" s="13"/>
      <c r="C273" s="13"/>
    </row>
    <row r="274" spans="1:3" ht="13" x14ac:dyDescent="0.15">
      <c r="A274" s="10"/>
      <c r="B274" s="13"/>
      <c r="C274" s="13"/>
    </row>
    <row r="275" spans="1:3" ht="13" x14ac:dyDescent="0.15">
      <c r="A275" s="10"/>
      <c r="B275" s="13"/>
      <c r="C275" s="13"/>
    </row>
    <row r="276" spans="1:3" ht="13" x14ac:dyDescent="0.15">
      <c r="A276" s="10"/>
      <c r="B276" s="13"/>
      <c r="C276" s="13"/>
    </row>
    <row r="277" spans="1:3" ht="13" x14ac:dyDescent="0.15">
      <c r="A277" s="10"/>
      <c r="B277" s="13"/>
      <c r="C277" s="13"/>
    </row>
    <row r="278" spans="1:3" ht="13" x14ac:dyDescent="0.15">
      <c r="A278" s="10"/>
      <c r="B278" s="13"/>
      <c r="C278" s="13"/>
    </row>
    <row r="279" spans="1:3" ht="13" x14ac:dyDescent="0.15">
      <c r="A279" s="10"/>
      <c r="B279" s="13"/>
      <c r="C279" s="13"/>
    </row>
    <row r="280" spans="1:3" ht="13" x14ac:dyDescent="0.15">
      <c r="A280" s="10"/>
      <c r="B280" s="13"/>
      <c r="C280" s="13"/>
    </row>
    <row r="281" spans="1:3" ht="13" x14ac:dyDescent="0.15">
      <c r="A281" s="10"/>
      <c r="B281" s="13"/>
      <c r="C281" s="13"/>
    </row>
    <row r="282" spans="1:3" ht="13" x14ac:dyDescent="0.15">
      <c r="A282" s="10"/>
      <c r="B282" s="13"/>
      <c r="C282" s="13"/>
    </row>
    <row r="283" spans="1:3" ht="13" x14ac:dyDescent="0.15">
      <c r="A283" s="10"/>
      <c r="B283" s="13"/>
      <c r="C283" s="13"/>
    </row>
    <row r="284" spans="1:3" ht="13" x14ac:dyDescent="0.15">
      <c r="A284" s="10"/>
      <c r="B284" s="13"/>
      <c r="C284" s="13"/>
    </row>
    <row r="285" spans="1:3" ht="13" x14ac:dyDescent="0.15">
      <c r="A285" s="10"/>
      <c r="B285" s="13"/>
      <c r="C285" s="13"/>
    </row>
    <row r="286" spans="1:3" ht="13" x14ac:dyDescent="0.15">
      <c r="A286" s="10"/>
      <c r="B286" s="13"/>
      <c r="C286" s="13"/>
    </row>
    <row r="287" spans="1:3" ht="13" x14ac:dyDescent="0.15">
      <c r="A287" s="10"/>
      <c r="B287" s="13"/>
      <c r="C287" s="13"/>
    </row>
    <row r="288" spans="1:3" ht="13" x14ac:dyDescent="0.15">
      <c r="A288" s="10"/>
      <c r="B288" s="13"/>
      <c r="C288" s="13"/>
    </row>
    <row r="289" spans="1:3" ht="13" x14ac:dyDescent="0.15">
      <c r="A289" s="10"/>
      <c r="B289" s="13"/>
      <c r="C289" s="13"/>
    </row>
    <row r="290" spans="1:3" ht="13" x14ac:dyDescent="0.15">
      <c r="A290" s="10"/>
      <c r="B290" s="13"/>
      <c r="C290" s="13"/>
    </row>
    <row r="291" spans="1:3" ht="13" x14ac:dyDescent="0.15">
      <c r="A291" s="10"/>
      <c r="B291" s="13"/>
      <c r="C291" s="13"/>
    </row>
    <row r="292" spans="1:3" ht="13" x14ac:dyDescent="0.15">
      <c r="A292" s="10"/>
      <c r="B292" s="13"/>
      <c r="C292" s="13"/>
    </row>
    <row r="293" spans="1:3" ht="13" x14ac:dyDescent="0.15">
      <c r="A293" s="10"/>
      <c r="B293" s="13"/>
      <c r="C293" s="13"/>
    </row>
    <row r="294" spans="1:3" ht="13" x14ac:dyDescent="0.15">
      <c r="A294" s="10"/>
      <c r="B294" s="13"/>
      <c r="C294" s="13"/>
    </row>
    <row r="295" spans="1:3" ht="13" x14ac:dyDescent="0.15">
      <c r="A295" s="10"/>
      <c r="B295" s="13"/>
      <c r="C295" s="13"/>
    </row>
    <row r="296" spans="1:3" ht="13" x14ac:dyDescent="0.15">
      <c r="A296" s="10"/>
      <c r="B296" s="13"/>
      <c r="C296" s="13"/>
    </row>
    <row r="297" spans="1:3" ht="13" x14ac:dyDescent="0.15">
      <c r="A297" s="10"/>
      <c r="B297" s="13"/>
      <c r="C297" s="13"/>
    </row>
    <row r="298" spans="1:3" ht="13" x14ac:dyDescent="0.15">
      <c r="A298" s="10"/>
      <c r="B298" s="13"/>
      <c r="C298" s="13"/>
    </row>
    <row r="299" spans="1:3" ht="13" x14ac:dyDescent="0.15">
      <c r="A299" s="10"/>
      <c r="B299" s="13"/>
      <c r="C299" s="13"/>
    </row>
    <row r="300" spans="1:3" ht="13" x14ac:dyDescent="0.15">
      <c r="A300" s="10"/>
      <c r="B300" s="13"/>
      <c r="C300" s="13"/>
    </row>
    <row r="301" spans="1:3" ht="13" x14ac:dyDescent="0.15">
      <c r="A301" s="10"/>
      <c r="B301" s="13"/>
      <c r="C301" s="13"/>
    </row>
    <row r="302" spans="1:3" ht="13" x14ac:dyDescent="0.15">
      <c r="A302" s="10"/>
      <c r="B302" s="13"/>
      <c r="C302" s="13"/>
    </row>
    <row r="303" spans="1:3" ht="13" x14ac:dyDescent="0.15">
      <c r="A303" s="10"/>
      <c r="B303" s="13"/>
      <c r="C303" s="13"/>
    </row>
    <row r="304" spans="1:3" ht="13" x14ac:dyDescent="0.15">
      <c r="A304" s="10"/>
      <c r="B304" s="13"/>
      <c r="C304" s="13"/>
    </row>
    <row r="305" spans="1:3" ht="13" x14ac:dyDescent="0.15">
      <c r="A305" s="10"/>
      <c r="B305" s="13"/>
      <c r="C305" s="13"/>
    </row>
    <row r="306" spans="1:3" ht="13" x14ac:dyDescent="0.15">
      <c r="A306" s="10"/>
      <c r="B306" s="13"/>
      <c r="C306" s="13"/>
    </row>
    <row r="307" spans="1:3" ht="13" x14ac:dyDescent="0.15">
      <c r="A307" s="10"/>
      <c r="B307" s="13"/>
      <c r="C307" s="13"/>
    </row>
    <row r="308" spans="1:3" ht="13" x14ac:dyDescent="0.15">
      <c r="A308" s="10"/>
      <c r="B308" s="13"/>
      <c r="C308" s="13"/>
    </row>
    <row r="309" spans="1:3" ht="13" x14ac:dyDescent="0.15">
      <c r="A309" s="10"/>
      <c r="B309" s="13"/>
      <c r="C309" s="13"/>
    </row>
    <row r="310" spans="1:3" ht="13" x14ac:dyDescent="0.15">
      <c r="A310" s="10"/>
      <c r="B310" s="13"/>
      <c r="C310" s="13"/>
    </row>
    <row r="311" spans="1:3" ht="13" x14ac:dyDescent="0.15">
      <c r="A311" s="10"/>
      <c r="B311" s="13"/>
      <c r="C311" s="13"/>
    </row>
    <row r="312" spans="1:3" ht="13" x14ac:dyDescent="0.15">
      <c r="A312" s="10"/>
      <c r="B312" s="13"/>
      <c r="C312" s="13"/>
    </row>
    <row r="313" spans="1:3" ht="13" x14ac:dyDescent="0.15">
      <c r="A313" s="10"/>
      <c r="B313" s="13"/>
      <c r="C313" s="13"/>
    </row>
    <row r="314" spans="1:3" ht="13" x14ac:dyDescent="0.15">
      <c r="A314" s="10"/>
      <c r="B314" s="13"/>
      <c r="C314" s="13"/>
    </row>
    <row r="315" spans="1:3" ht="13" x14ac:dyDescent="0.15">
      <c r="A315" s="10"/>
      <c r="B315" s="13"/>
      <c r="C315" s="13"/>
    </row>
    <row r="316" spans="1:3" ht="13" x14ac:dyDescent="0.15">
      <c r="A316" s="10"/>
      <c r="B316" s="13"/>
      <c r="C316" s="13"/>
    </row>
    <row r="317" spans="1:3" ht="13" x14ac:dyDescent="0.15">
      <c r="A317" s="10"/>
      <c r="B317" s="13"/>
      <c r="C317" s="13"/>
    </row>
    <row r="318" spans="1:3" ht="13" x14ac:dyDescent="0.15">
      <c r="A318" s="10"/>
      <c r="B318" s="13"/>
      <c r="C318" s="13"/>
    </row>
    <row r="319" spans="1:3" ht="13" x14ac:dyDescent="0.15">
      <c r="A319" s="10"/>
      <c r="B319" s="13"/>
      <c r="C319" s="13"/>
    </row>
    <row r="320" spans="1:3" ht="13" x14ac:dyDescent="0.15">
      <c r="A320" s="10"/>
      <c r="B320" s="13"/>
      <c r="C320" s="13"/>
    </row>
    <row r="321" spans="1:3" ht="13" x14ac:dyDescent="0.15">
      <c r="A321" s="10"/>
      <c r="B321" s="13"/>
      <c r="C321" s="13"/>
    </row>
    <row r="322" spans="1:3" ht="13" x14ac:dyDescent="0.15">
      <c r="A322" s="10"/>
      <c r="B322" s="13"/>
      <c r="C322" s="13"/>
    </row>
    <row r="323" spans="1:3" ht="13" x14ac:dyDescent="0.15">
      <c r="A323" s="10"/>
      <c r="B323" s="13"/>
      <c r="C323" s="13"/>
    </row>
    <row r="324" spans="1:3" ht="13" x14ac:dyDescent="0.15">
      <c r="A324" s="10"/>
      <c r="B324" s="13"/>
      <c r="C324" s="13"/>
    </row>
    <row r="325" spans="1:3" ht="13" x14ac:dyDescent="0.15">
      <c r="A325" s="10"/>
      <c r="B325" s="13"/>
      <c r="C325" s="13"/>
    </row>
    <row r="326" spans="1:3" ht="13" x14ac:dyDescent="0.15">
      <c r="A326" s="10"/>
      <c r="B326" s="13"/>
      <c r="C326" s="13"/>
    </row>
    <row r="327" spans="1:3" ht="13" x14ac:dyDescent="0.15">
      <c r="A327" s="10"/>
      <c r="B327" s="13"/>
      <c r="C327" s="13"/>
    </row>
    <row r="328" spans="1:3" ht="13" x14ac:dyDescent="0.15">
      <c r="A328" s="10"/>
      <c r="B328" s="13"/>
      <c r="C328" s="13"/>
    </row>
    <row r="329" spans="1:3" ht="13" x14ac:dyDescent="0.15">
      <c r="A329" s="10"/>
      <c r="B329" s="13"/>
      <c r="C329" s="13"/>
    </row>
    <row r="330" spans="1:3" ht="13" x14ac:dyDescent="0.15">
      <c r="A330" s="10"/>
      <c r="B330" s="13"/>
      <c r="C330" s="13"/>
    </row>
    <row r="331" spans="1:3" ht="13" x14ac:dyDescent="0.15">
      <c r="A331" s="10"/>
      <c r="B331" s="13"/>
      <c r="C331" s="13"/>
    </row>
    <row r="332" spans="1:3" ht="13" x14ac:dyDescent="0.15">
      <c r="A332" s="10"/>
      <c r="B332" s="13"/>
      <c r="C332" s="13"/>
    </row>
    <row r="333" spans="1:3" ht="13" x14ac:dyDescent="0.15">
      <c r="A333" s="10"/>
      <c r="B333" s="13"/>
      <c r="C333" s="13"/>
    </row>
    <row r="334" spans="1:3" ht="13" x14ac:dyDescent="0.15">
      <c r="A334" s="10"/>
      <c r="B334" s="13"/>
      <c r="C334" s="13"/>
    </row>
    <row r="335" spans="1:3" ht="13" x14ac:dyDescent="0.15">
      <c r="A335" s="10"/>
      <c r="B335" s="13"/>
      <c r="C335" s="13"/>
    </row>
    <row r="336" spans="1:3" ht="13" x14ac:dyDescent="0.15">
      <c r="A336" s="10"/>
      <c r="B336" s="13"/>
      <c r="C336" s="13"/>
    </row>
    <row r="337" spans="1:3" ht="13" x14ac:dyDescent="0.15">
      <c r="A337" s="10"/>
      <c r="B337" s="13"/>
      <c r="C337" s="13"/>
    </row>
    <row r="338" spans="1:3" ht="13" x14ac:dyDescent="0.15">
      <c r="A338" s="10"/>
      <c r="B338" s="13"/>
      <c r="C338" s="13"/>
    </row>
    <row r="339" spans="1:3" ht="13" x14ac:dyDescent="0.15">
      <c r="A339" s="10"/>
      <c r="B339" s="13"/>
      <c r="C339" s="13"/>
    </row>
    <row r="340" spans="1:3" ht="13" x14ac:dyDescent="0.15">
      <c r="A340" s="10"/>
      <c r="B340" s="13"/>
      <c r="C340" s="13"/>
    </row>
    <row r="341" spans="1:3" ht="13" x14ac:dyDescent="0.15">
      <c r="A341" s="10"/>
      <c r="B341" s="13"/>
      <c r="C341" s="13"/>
    </row>
    <row r="342" spans="1:3" ht="13" x14ac:dyDescent="0.15">
      <c r="A342" s="10"/>
      <c r="B342" s="13"/>
      <c r="C342" s="13"/>
    </row>
    <row r="343" spans="1:3" ht="13" x14ac:dyDescent="0.15">
      <c r="A343" s="10"/>
      <c r="B343" s="13"/>
      <c r="C343" s="13"/>
    </row>
    <row r="344" spans="1:3" ht="13" x14ac:dyDescent="0.15">
      <c r="A344" s="10"/>
      <c r="B344" s="13"/>
      <c r="C344" s="13"/>
    </row>
    <row r="345" spans="1:3" ht="13" x14ac:dyDescent="0.15">
      <c r="A345" s="10"/>
      <c r="B345" s="13"/>
      <c r="C345" s="13"/>
    </row>
    <row r="346" spans="1:3" ht="13" x14ac:dyDescent="0.15">
      <c r="A346" s="10"/>
      <c r="B346" s="13"/>
      <c r="C346" s="13"/>
    </row>
    <row r="347" spans="1:3" ht="13" x14ac:dyDescent="0.15">
      <c r="A347" s="10"/>
      <c r="B347" s="13"/>
      <c r="C347" s="13"/>
    </row>
    <row r="348" spans="1:3" ht="13" x14ac:dyDescent="0.15">
      <c r="A348" s="10"/>
      <c r="B348" s="13"/>
      <c r="C348" s="13"/>
    </row>
    <row r="349" spans="1:3" ht="13" x14ac:dyDescent="0.15">
      <c r="A349" s="10"/>
      <c r="B349" s="13"/>
      <c r="C349" s="13"/>
    </row>
    <row r="350" spans="1:3" ht="13" x14ac:dyDescent="0.15">
      <c r="A350" s="10"/>
      <c r="B350" s="13"/>
      <c r="C350" s="13"/>
    </row>
    <row r="351" spans="1:3" ht="13" x14ac:dyDescent="0.15">
      <c r="A351" s="10"/>
      <c r="B351" s="13"/>
      <c r="C351" s="13"/>
    </row>
    <row r="352" spans="1:3" ht="13" x14ac:dyDescent="0.15">
      <c r="A352" s="10"/>
      <c r="B352" s="13"/>
      <c r="C352" s="13"/>
    </row>
    <row r="353" spans="1:3" ht="13" x14ac:dyDescent="0.15">
      <c r="A353" s="10"/>
      <c r="B353" s="13"/>
      <c r="C353" s="13"/>
    </row>
    <row r="354" spans="1:3" ht="13" x14ac:dyDescent="0.15">
      <c r="A354" s="10"/>
      <c r="B354" s="13"/>
      <c r="C354" s="13"/>
    </row>
    <row r="355" spans="1:3" ht="13" x14ac:dyDescent="0.15">
      <c r="A355" s="10"/>
      <c r="B355" s="13"/>
      <c r="C355" s="13"/>
    </row>
    <row r="356" spans="1:3" ht="13" x14ac:dyDescent="0.15">
      <c r="A356" s="10"/>
      <c r="B356" s="13"/>
      <c r="C356" s="13"/>
    </row>
    <row r="357" spans="1:3" ht="13" x14ac:dyDescent="0.15">
      <c r="A357" s="10"/>
      <c r="B357" s="13"/>
      <c r="C357" s="13"/>
    </row>
    <row r="358" spans="1:3" ht="13" x14ac:dyDescent="0.15">
      <c r="A358" s="10"/>
      <c r="B358" s="13"/>
      <c r="C358" s="13"/>
    </row>
    <row r="359" spans="1:3" ht="13" x14ac:dyDescent="0.15">
      <c r="A359" s="10"/>
      <c r="B359" s="13"/>
      <c r="C359" s="13"/>
    </row>
    <row r="360" spans="1:3" ht="13" x14ac:dyDescent="0.15">
      <c r="A360" s="10"/>
      <c r="B360" s="13"/>
      <c r="C360" s="13"/>
    </row>
    <row r="361" spans="1:3" ht="13" x14ac:dyDescent="0.15">
      <c r="A361" s="10"/>
      <c r="B361" s="13"/>
      <c r="C361" s="13"/>
    </row>
    <row r="362" spans="1:3" ht="13" x14ac:dyDescent="0.15">
      <c r="A362" s="10"/>
      <c r="B362" s="13"/>
      <c r="C362" s="13"/>
    </row>
    <row r="363" spans="1:3" ht="13" x14ac:dyDescent="0.15">
      <c r="A363" s="10"/>
      <c r="B363" s="13"/>
      <c r="C363" s="13"/>
    </row>
    <row r="364" spans="1:3" ht="13" x14ac:dyDescent="0.15">
      <c r="A364" s="10"/>
      <c r="B364" s="13"/>
      <c r="C364" s="13"/>
    </row>
    <row r="365" spans="1:3" ht="13" x14ac:dyDescent="0.15">
      <c r="A365" s="10"/>
      <c r="B365" s="13"/>
      <c r="C365" s="13"/>
    </row>
    <row r="366" spans="1:3" ht="13" x14ac:dyDescent="0.15">
      <c r="A366" s="10"/>
      <c r="B366" s="13"/>
      <c r="C366" s="13"/>
    </row>
    <row r="367" spans="1:3" ht="13" x14ac:dyDescent="0.15">
      <c r="A367" s="10"/>
      <c r="B367" s="13"/>
      <c r="C367" s="13"/>
    </row>
    <row r="368" spans="1:3" ht="13" x14ac:dyDescent="0.15">
      <c r="A368" s="10"/>
      <c r="B368" s="13"/>
      <c r="C368" s="13"/>
    </row>
    <row r="369" spans="1:3" ht="13" x14ac:dyDescent="0.15">
      <c r="A369" s="10"/>
      <c r="B369" s="13"/>
      <c r="C369" s="13"/>
    </row>
    <row r="370" spans="1:3" ht="13" x14ac:dyDescent="0.15">
      <c r="A370" s="10"/>
      <c r="B370" s="13"/>
      <c r="C370" s="13"/>
    </row>
    <row r="371" spans="1:3" ht="13" x14ac:dyDescent="0.15">
      <c r="A371" s="10"/>
      <c r="B371" s="13"/>
      <c r="C371" s="13"/>
    </row>
    <row r="372" spans="1:3" ht="13" x14ac:dyDescent="0.15">
      <c r="A372" s="10"/>
      <c r="B372" s="13"/>
      <c r="C372" s="13"/>
    </row>
    <row r="373" spans="1:3" ht="13" x14ac:dyDescent="0.15">
      <c r="A373" s="10"/>
      <c r="B373" s="13"/>
      <c r="C373" s="13"/>
    </row>
    <row r="374" spans="1:3" ht="13" x14ac:dyDescent="0.15">
      <c r="A374" s="10"/>
      <c r="B374" s="13"/>
      <c r="C374" s="13"/>
    </row>
    <row r="375" spans="1:3" ht="13" x14ac:dyDescent="0.15">
      <c r="A375" s="10"/>
      <c r="B375" s="13"/>
      <c r="C375" s="13"/>
    </row>
    <row r="376" spans="1:3" ht="13" x14ac:dyDescent="0.15">
      <c r="A376" s="10"/>
      <c r="B376" s="13"/>
      <c r="C376" s="13"/>
    </row>
    <row r="377" spans="1:3" ht="13" x14ac:dyDescent="0.15">
      <c r="A377" s="10"/>
      <c r="B377" s="13"/>
      <c r="C377" s="13"/>
    </row>
    <row r="378" spans="1:3" ht="13" x14ac:dyDescent="0.15">
      <c r="A378" s="10"/>
      <c r="B378" s="13"/>
      <c r="C378" s="13"/>
    </row>
    <row r="379" spans="1:3" ht="13" x14ac:dyDescent="0.15">
      <c r="A379" s="10"/>
      <c r="B379" s="13"/>
      <c r="C379" s="13"/>
    </row>
    <row r="380" spans="1:3" ht="13" x14ac:dyDescent="0.15">
      <c r="A380" s="10"/>
      <c r="B380" s="13"/>
      <c r="C380" s="13"/>
    </row>
    <row r="381" spans="1:3" ht="13" x14ac:dyDescent="0.15">
      <c r="A381" s="10"/>
      <c r="B381" s="13"/>
      <c r="C381" s="13"/>
    </row>
    <row r="382" spans="1:3" ht="13" x14ac:dyDescent="0.15">
      <c r="A382" s="10"/>
      <c r="B382" s="13"/>
      <c r="C382" s="13"/>
    </row>
    <row r="383" spans="1:3" ht="13" x14ac:dyDescent="0.15">
      <c r="A383" s="10"/>
      <c r="B383" s="13"/>
      <c r="C383" s="13"/>
    </row>
    <row r="384" spans="1:3" ht="13" x14ac:dyDescent="0.15">
      <c r="A384" s="10"/>
      <c r="B384" s="13"/>
      <c r="C384" s="13"/>
    </row>
    <row r="385" spans="1:3" ht="13" x14ac:dyDescent="0.15">
      <c r="A385" s="10"/>
      <c r="B385" s="13"/>
      <c r="C385" s="13"/>
    </row>
    <row r="386" spans="1:3" ht="13" x14ac:dyDescent="0.15">
      <c r="A386" s="10"/>
      <c r="B386" s="13"/>
      <c r="C386" s="13"/>
    </row>
    <row r="387" spans="1:3" ht="13" x14ac:dyDescent="0.15">
      <c r="A387" s="10"/>
      <c r="B387" s="13"/>
      <c r="C387" s="13"/>
    </row>
    <row r="388" spans="1:3" ht="13" x14ac:dyDescent="0.15">
      <c r="A388" s="10"/>
      <c r="B388" s="13"/>
      <c r="C388" s="13"/>
    </row>
    <row r="389" spans="1:3" ht="13" x14ac:dyDescent="0.15">
      <c r="A389" s="10"/>
      <c r="B389" s="13"/>
      <c r="C389" s="13"/>
    </row>
    <row r="390" spans="1:3" ht="13" x14ac:dyDescent="0.15">
      <c r="A390" s="10"/>
      <c r="B390" s="13"/>
      <c r="C390" s="13"/>
    </row>
    <row r="391" spans="1:3" ht="13" x14ac:dyDescent="0.15">
      <c r="A391" s="10"/>
      <c r="B391" s="13"/>
      <c r="C391" s="13"/>
    </row>
    <row r="392" spans="1:3" ht="13" x14ac:dyDescent="0.15">
      <c r="A392" s="10"/>
      <c r="B392" s="13"/>
      <c r="C392" s="13"/>
    </row>
    <row r="393" spans="1:3" ht="13" x14ac:dyDescent="0.15">
      <c r="A393" s="10"/>
      <c r="B393" s="13"/>
      <c r="C393" s="13"/>
    </row>
    <row r="394" spans="1:3" ht="13" x14ac:dyDescent="0.15">
      <c r="A394" s="10"/>
      <c r="B394" s="13"/>
      <c r="C394" s="13"/>
    </row>
    <row r="395" spans="1:3" ht="13" x14ac:dyDescent="0.15">
      <c r="A395" s="10"/>
      <c r="B395" s="13"/>
      <c r="C395" s="13"/>
    </row>
    <row r="396" spans="1:3" ht="13" x14ac:dyDescent="0.15">
      <c r="A396" s="10"/>
      <c r="B396" s="13"/>
      <c r="C396" s="13"/>
    </row>
    <row r="397" spans="1:3" ht="13" x14ac:dyDescent="0.15">
      <c r="A397" s="10"/>
      <c r="B397" s="13"/>
      <c r="C397" s="13"/>
    </row>
    <row r="398" spans="1:3" ht="13" x14ac:dyDescent="0.15">
      <c r="A398" s="10"/>
      <c r="B398" s="13"/>
      <c r="C398" s="13"/>
    </row>
    <row r="399" spans="1:3" ht="13" x14ac:dyDescent="0.15">
      <c r="A399" s="10"/>
      <c r="B399" s="13"/>
      <c r="C399" s="13"/>
    </row>
    <row r="400" spans="1:3" ht="13" x14ac:dyDescent="0.15">
      <c r="A400" s="10"/>
      <c r="B400" s="13"/>
      <c r="C400" s="13"/>
    </row>
    <row r="401" spans="1:3" ht="13" x14ac:dyDescent="0.15">
      <c r="A401" s="10"/>
      <c r="B401" s="13"/>
      <c r="C401" s="13"/>
    </row>
    <row r="402" spans="1:3" ht="13" x14ac:dyDescent="0.15">
      <c r="A402" s="10"/>
      <c r="B402" s="13"/>
      <c r="C402" s="13"/>
    </row>
    <row r="403" spans="1:3" ht="13" x14ac:dyDescent="0.15">
      <c r="A403" s="10"/>
      <c r="B403" s="13"/>
      <c r="C403" s="13"/>
    </row>
    <row r="404" spans="1:3" ht="13" x14ac:dyDescent="0.15">
      <c r="A404" s="10"/>
      <c r="B404" s="13"/>
      <c r="C404" s="13"/>
    </row>
    <row r="405" spans="1:3" ht="13" x14ac:dyDescent="0.15">
      <c r="A405" s="10"/>
      <c r="B405" s="13"/>
      <c r="C405" s="13"/>
    </row>
    <row r="406" spans="1:3" ht="13" x14ac:dyDescent="0.15">
      <c r="A406" s="10"/>
      <c r="B406" s="13"/>
      <c r="C406" s="13"/>
    </row>
    <row r="407" spans="1:3" ht="13" x14ac:dyDescent="0.15">
      <c r="A407" s="10"/>
      <c r="B407" s="13"/>
      <c r="C407" s="13"/>
    </row>
    <row r="408" spans="1:3" ht="13" x14ac:dyDescent="0.15">
      <c r="A408" s="10"/>
      <c r="B408" s="13"/>
      <c r="C408" s="13"/>
    </row>
    <row r="409" spans="1:3" ht="13" x14ac:dyDescent="0.15">
      <c r="A409" s="10"/>
      <c r="B409" s="13"/>
      <c r="C409" s="13"/>
    </row>
    <row r="410" spans="1:3" ht="13" x14ac:dyDescent="0.15">
      <c r="A410" s="10"/>
      <c r="B410" s="13"/>
      <c r="C410" s="13"/>
    </row>
    <row r="411" spans="1:3" ht="13" x14ac:dyDescent="0.15">
      <c r="A411" s="10"/>
      <c r="B411" s="13"/>
      <c r="C411" s="13"/>
    </row>
    <row r="412" spans="1:3" ht="13" x14ac:dyDescent="0.15">
      <c r="A412" s="10"/>
      <c r="B412" s="13"/>
      <c r="C412" s="13"/>
    </row>
    <row r="413" spans="1:3" ht="13" x14ac:dyDescent="0.15">
      <c r="A413" s="10"/>
      <c r="B413" s="13"/>
      <c r="C413" s="13"/>
    </row>
    <row r="414" spans="1:3" ht="13" x14ac:dyDescent="0.15">
      <c r="A414" s="10"/>
      <c r="B414" s="13"/>
      <c r="C414" s="13"/>
    </row>
    <row r="415" spans="1:3" ht="13" x14ac:dyDescent="0.15">
      <c r="A415" s="10"/>
      <c r="B415" s="13"/>
      <c r="C415" s="13"/>
    </row>
    <row r="416" spans="1:3" ht="13" x14ac:dyDescent="0.15">
      <c r="A416" s="10"/>
      <c r="B416" s="13"/>
      <c r="C416" s="13"/>
    </row>
    <row r="417" spans="1:3" ht="13" x14ac:dyDescent="0.15">
      <c r="A417" s="10"/>
      <c r="B417" s="13"/>
      <c r="C417" s="13"/>
    </row>
    <row r="418" spans="1:3" ht="13" x14ac:dyDescent="0.15">
      <c r="A418" s="10"/>
      <c r="B418" s="13"/>
      <c r="C418" s="13"/>
    </row>
    <row r="419" spans="1:3" ht="13" x14ac:dyDescent="0.15">
      <c r="A419" s="10"/>
      <c r="B419" s="13"/>
      <c r="C419" s="13"/>
    </row>
    <row r="420" spans="1:3" ht="13" x14ac:dyDescent="0.15">
      <c r="A420" s="10"/>
      <c r="B420" s="13"/>
      <c r="C420" s="13"/>
    </row>
    <row r="421" spans="1:3" ht="13" x14ac:dyDescent="0.15">
      <c r="A421" s="10"/>
      <c r="B421" s="13"/>
      <c r="C421" s="13"/>
    </row>
    <row r="422" spans="1:3" ht="13" x14ac:dyDescent="0.15">
      <c r="A422" s="10"/>
      <c r="B422" s="13"/>
      <c r="C422" s="13"/>
    </row>
    <row r="423" spans="1:3" ht="13" x14ac:dyDescent="0.15">
      <c r="A423" s="10"/>
      <c r="B423" s="13"/>
      <c r="C423" s="13"/>
    </row>
    <row r="424" spans="1:3" ht="13" x14ac:dyDescent="0.15">
      <c r="A424" s="10"/>
      <c r="B424" s="13"/>
      <c r="C424" s="13"/>
    </row>
    <row r="425" spans="1:3" ht="13" x14ac:dyDescent="0.15">
      <c r="A425" s="10"/>
      <c r="B425" s="13"/>
      <c r="C425" s="13"/>
    </row>
    <row r="426" spans="1:3" ht="13" x14ac:dyDescent="0.15">
      <c r="A426" s="10"/>
      <c r="B426" s="13"/>
      <c r="C426" s="13"/>
    </row>
    <row r="427" spans="1:3" ht="13" x14ac:dyDescent="0.15">
      <c r="A427" s="10"/>
      <c r="B427" s="13"/>
      <c r="C427" s="13"/>
    </row>
    <row r="428" spans="1:3" ht="13" x14ac:dyDescent="0.15">
      <c r="A428" s="10"/>
      <c r="B428" s="13"/>
      <c r="C428" s="13"/>
    </row>
    <row r="429" spans="1:3" ht="13" x14ac:dyDescent="0.15">
      <c r="A429" s="10"/>
      <c r="B429" s="13"/>
      <c r="C429" s="13"/>
    </row>
    <row r="430" spans="1:3" ht="13" x14ac:dyDescent="0.15">
      <c r="A430" s="10"/>
      <c r="B430" s="13"/>
      <c r="C430" s="13"/>
    </row>
    <row r="431" spans="1:3" ht="13" x14ac:dyDescent="0.15">
      <c r="A431" s="10"/>
      <c r="B431" s="13"/>
      <c r="C431" s="13"/>
    </row>
    <row r="432" spans="1:3" ht="13" x14ac:dyDescent="0.15">
      <c r="A432" s="10"/>
      <c r="B432" s="13"/>
      <c r="C432" s="13"/>
    </row>
    <row r="433" spans="1:3" ht="13" x14ac:dyDescent="0.15">
      <c r="A433" s="10"/>
      <c r="B433" s="13"/>
      <c r="C433" s="13"/>
    </row>
    <row r="434" spans="1:3" ht="13" x14ac:dyDescent="0.15">
      <c r="A434" s="10"/>
      <c r="B434" s="13"/>
      <c r="C434" s="13"/>
    </row>
    <row r="435" spans="1:3" ht="13" x14ac:dyDescent="0.15">
      <c r="A435" s="10"/>
      <c r="B435" s="13"/>
      <c r="C435" s="13"/>
    </row>
    <row r="436" spans="1:3" ht="13" x14ac:dyDescent="0.15">
      <c r="A436" s="10"/>
      <c r="B436" s="13"/>
      <c r="C436" s="13"/>
    </row>
    <row r="437" spans="1:3" ht="13" x14ac:dyDescent="0.15">
      <c r="A437" s="10"/>
      <c r="B437" s="13"/>
      <c r="C437" s="13"/>
    </row>
    <row r="438" spans="1:3" ht="13" x14ac:dyDescent="0.15">
      <c r="A438" s="10"/>
      <c r="B438" s="13"/>
      <c r="C438" s="13"/>
    </row>
    <row r="439" spans="1:3" ht="13" x14ac:dyDescent="0.15">
      <c r="A439" s="10"/>
      <c r="B439" s="13"/>
      <c r="C439" s="13"/>
    </row>
    <row r="440" spans="1:3" ht="13" x14ac:dyDescent="0.15">
      <c r="A440" s="10"/>
      <c r="B440" s="13"/>
      <c r="C440" s="13"/>
    </row>
    <row r="441" spans="1:3" ht="13" x14ac:dyDescent="0.15">
      <c r="A441" s="10"/>
      <c r="B441" s="13"/>
      <c r="C441" s="13"/>
    </row>
    <row r="442" spans="1:3" ht="13" x14ac:dyDescent="0.15">
      <c r="A442" s="10"/>
      <c r="B442" s="13"/>
      <c r="C442" s="13"/>
    </row>
    <row r="443" spans="1:3" ht="13" x14ac:dyDescent="0.15">
      <c r="A443" s="10"/>
      <c r="B443" s="13"/>
      <c r="C443" s="13"/>
    </row>
    <row r="444" spans="1:3" ht="13" x14ac:dyDescent="0.15">
      <c r="A444" s="10"/>
      <c r="B444" s="13"/>
      <c r="C444" s="13"/>
    </row>
    <row r="445" spans="1:3" ht="13" x14ac:dyDescent="0.15">
      <c r="A445" s="10"/>
      <c r="B445" s="13"/>
      <c r="C445" s="13"/>
    </row>
    <row r="446" spans="1:3" ht="13" x14ac:dyDescent="0.15">
      <c r="A446" s="10"/>
      <c r="B446" s="13"/>
      <c r="C446" s="13"/>
    </row>
    <row r="447" spans="1:3" ht="13" x14ac:dyDescent="0.15">
      <c r="A447" s="10"/>
      <c r="B447" s="13"/>
      <c r="C447" s="13"/>
    </row>
    <row r="448" spans="1:3" ht="13" x14ac:dyDescent="0.15">
      <c r="A448" s="10"/>
      <c r="B448" s="13"/>
      <c r="C448" s="13"/>
    </row>
    <row r="449" spans="1:3" ht="13" x14ac:dyDescent="0.15">
      <c r="A449" s="10"/>
      <c r="B449" s="13"/>
      <c r="C449" s="13"/>
    </row>
    <row r="450" spans="1:3" ht="13" x14ac:dyDescent="0.15">
      <c r="A450" s="10"/>
      <c r="B450" s="13"/>
      <c r="C450" s="13"/>
    </row>
    <row r="451" spans="1:3" ht="13" x14ac:dyDescent="0.15">
      <c r="A451" s="10"/>
      <c r="B451" s="13"/>
      <c r="C451" s="13"/>
    </row>
    <row r="452" spans="1:3" ht="13" x14ac:dyDescent="0.15">
      <c r="A452" s="10"/>
      <c r="B452" s="13"/>
      <c r="C452" s="13"/>
    </row>
    <row r="453" spans="1:3" ht="13" x14ac:dyDescent="0.15">
      <c r="A453" s="10"/>
      <c r="B453" s="13"/>
      <c r="C453" s="13"/>
    </row>
    <row r="454" spans="1:3" ht="13" x14ac:dyDescent="0.15">
      <c r="A454" s="10"/>
      <c r="B454" s="13"/>
      <c r="C454" s="13"/>
    </row>
    <row r="455" spans="1:3" ht="13" x14ac:dyDescent="0.15">
      <c r="A455" s="10"/>
      <c r="B455" s="13"/>
      <c r="C455" s="13"/>
    </row>
    <row r="456" spans="1:3" ht="13" x14ac:dyDescent="0.15">
      <c r="A456" s="10"/>
      <c r="B456" s="13"/>
      <c r="C456" s="13"/>
    </row>
    <row r="457" spans="1:3" ht="13" x14ac:dyDescent="0.15">
      <c r="A457" s="10"/>
      <c r="B457" s="13"/>
      <c r="C457" s="13"/>
    </row>
    <row r="458" spans="1:3" ht="13" x14ac:dyDescent="0.15">
      <c r="A458" s="10"/>
      <c r="B458" s="13"/>
      <c r="C458" s="13"/>
    </row>
    <row r="459" spans="1:3" ht="13" x14ac:dyDescent="0.15">
      <c r="A459" s="10"/>
      <c r="B459" s="13"/>
      <c r="C459" s="13"/>
    </row>
    <row r="460" spans="1:3" ht="13" x14ac:dyDescent="0.15">
      <c r="A460" s="10"/>
      <c r="B460" s="13"/>
      <c r="C460" s="13"/>
    </row>
    <row r="461" spans="1:3" ht="13" x14ac:dyDescent="0.15">
      <c r="A461" s="10"/>
      <c r="B461" s="13"/>
      <c r="C461" s="13"/>
    </row>
    <row r="462" spans="1:3" ht="13" x14ac:dyDescent="0.15">
      <c r="A462" s="10"/>
      <c r="B462" s="13"/>
      <c r="C462" s="13"/>
    </row>
    <row r="463" spans="1:3" ht="13" x14ac:dyDescent="0.15">
      <c r="A463" s="10"/>
      <c r="B463" s="13"/>
      <c r="C463" s="13"/>
    </row>
    <row r="464" spans="1:3" ht="13" x14ac:dyDescent="0.15">
      <c r="A464" s="10"/>
      <c r="B464" s="13"/>
      <c r="C464" s="13"/>
    </row>
    <row r="465" spans="1:3" ht="13" x14ac:dyDescent="0.15">
      <c r="A465" s="10"/>
      <c r="B465" s="13"/>
      <c r="C465" s="13"/>
    </row>
    <row r="466" spans="1:3" ht="13" x14ac:dyDescent="0.15">
      <c r="A466" s="10"/>
      <c r="B466" s="13"/>
      <c r="C466" s="13"/>
    </row>
    <row r="467" spans="1:3" ht="13" x14ac:dyDescent="0.15">
      <c r="A467" s="10"/>
      <c r="B467" s="13"/>
      <c r="C467" s="13"/>
    </row>
    <row r="468" spans="1:3" ht="13" x14ac:dyDescent="0.15">
      <c r="A468" s="10"/>
      <c r="B468" s="13"/>
      <c r="C468" s="13"/>
    </row>
    <row r="469" spans="1:3" ht="13" x14ac:dyDescent="0.15">
      <c r="A469" s="10"/>
      <c r="B469" s="13"/>
      <c r="C469" s="13"/>
    </row>
    <row r="470" spans="1:3" ht="13" x14ac:dyDescent="0.15">
      <c r="A470" s="10"/>
      <c r="B470" s="13"/>
      <c r="C470" s="13"/>
    </row>
    <row r="471" spans="1:3" ht="13" x14ac:dyDescent="0.15">
      <c r="A471" s="10"/>
      <c r="B471" s="13"/>
      <c r="C471" s="13"/>
    </row>
    <row r="472" spans="1:3" ht="13" x14ac:dyDescent="0.15">
      <c r="A472" s="10"/>
      <c r="B472" s="13"/>
      <c r="C472" s="13"/>
    </row>
    <row r="473" spans="1:3" ht="13" x14ac:dyDescent="0.15">
      <c r="A473" s="10"/>
      <c r="B473" s="13"/>
      <c r="C473" s="13"/>
    </row>
    <row r="474" spans="1:3" ht="13" x14ac:dyDescent="0.15">
      <c r="A474" s="10"/>
      <c r="B474" s="13"/>
      <c r="C474" s="13"/>
    </row>
    <row r="475" spans="1:3" ht="13" x14ac:dyDescent="0.15">
      <c r="A475" s="10"/>
      <c r="B475" s="13"/>
      <c r="C475" s="13"/>
    </row>
    <row r="476" spans="1:3" ht="13" x14ac:dyDescent="0.15">
      <c r="A476" s="10"/>
      <c r="B476" s="13"/>
      <c r="C476" s="13"/>
    </row>
    <row r="477" spans="1:3" ht="13" x14ac:dyDescent="0.15">
      <c r="A477" s="10"/>
      <c r="B477" s="13"/>
      <c r="C477" s="13"/>
    </row>
    <row r="478" spans="1:3" ht="13" x14ac:dyDescent="0.15">
      <c r="A478" s="10"/>
      <c r="B478" s="13"/>
      <c r="C478" s="13"/>
    </row>
    <row r="479" spans="1:3" ht="13" x14ac:dyDescent="0.15">
      <c r="A479" s="10"/>
      <c r="B479" s="13"/>
      <c r="C479" s="13"/>
    </row>
    <row r="480" spans="1:3" ht="13" x14ac:dyDescent="0.15">
      <c r="A480" s="10"/>
      <c r="B480" s="13"/>
      <c r="C480" s="13"/>
    </row>
    <row r="481" spans="1:3" ht="13" x14ac:dyDescent="0.15">
      <c r="A481" s="10"/>
      <c r="B481" s="13"/>
      <c r="C481" s="13"/>
    </row>
    <row r="482" spans="1:3" ht="13" x14ac:dyDescent="0.15">
      <c r="A482" s="10"/>
      <c r="B482" s="13"/>
      <c r="C482" s="13"/>
    </row>
    <row r="483" spans="1:3" ht="13" x14ac:dyDescent="0.15">
      <c r="A483" s="10"/>
      <c r="B483" s="13"/>
      <c r="C483" s="13"/>
    </row>
    <row r="484" spans="1:3" ht="13" x14ac:dyDescent="0.15">
      <c r="A484" s="10"/>
      <c r="B484" s="13"/>
      <c r="C484" s="13"/>
    </row>
    <row r="485" spans="1:3" ht="13" x14ac:dyDescent="0.15">
      <c r="A485" s="10"/>
      <c r="B485" s="13"/>
      <c r="C485" s="13"/>
    </row>
    <row r="486" spans="1:3" ht="13" x14ac:dyDescent="0.15">
      <c r="A486" s="10"/>
      <c r="B486" s="13"/>
      <c r="C486" s="13"/>
    </row>
    <row r="487" spans="1:3" ht="13" x14ac:dyDescent="0.15">
      <c r="A487" s="10"/>
      <c r="B487" s="13"/>
      <c r="C487" s="13"/>
    </row>
    <row r="488" spans="1:3" ht="13" x14ac:dyDescent="0.15">
      <c r="A488" s="10"/>
      <c r="B488" s="13"/>
      <c r="C488" s="13"/>
    </row>
    <row r="489" spans="1:3" ht="13" x14ac:dyDescent="0.15">
      <c r="A489" s="10"/>
      <c r="B489" s="13"/>
      <c r="C489" s="13"/>
    </row>
    <row r="490" spans="1:3" ht="13" x14ac:dyDescent="0.15">
      <c r="A490" s="10"/>
      <c r="B490" s="13"/>
      <c r="C490" s="13"/>
    </row>
    <row r="491" spans="1:3" ht="13" x14ac:dyDescent="0.15">
      <c r="A491" s="10"/>
      <c r="B491" s="13"/>
      <c r="C491" s="13"/>
    </row>
    <row r="492" spans="1:3" ht="13" x14ac:dyDescent="0.15">
      <c r="A492" s="10"/>
      <c r="B492" s="13"/>
      <c r="C492" s="13"/>
    </row>
    <row r="493" spans="1:3" ht="13" x14ac:dyDescent="0.15">
      <c r="A493" s="10"/>
      <c r="B493" s="13"/>
      <c r="C493" s="13"/>
    </row>
    <row r="494" spans="1:3" ht="13" x14ac:dyDescent="0.15">
      <c r="A494" s="10"/>
      <c r="B494" s="13"/>
      <c r="C494" s="13"/>
    </row>
    <row r="495" spans="1:3" ht="13" x14ac:dyDescent="0.15">
      <c r="A495" s="10"/>
      <c r="B495" s="13"/>
      <c r="C495" s="13"/>
    </row>
    <row r="496" spans="1:3" ht="13" x14ac:dyDescent="0.15">
      <c r="A496" s="10"/>
      <c r="B496" s="13"/>
      <c r="C496" s="13"/>
    </row>
    <row r="497" spans="1:3" ht="13" x14ac:dyDescent="0.15">
      <c r="A497" s="10"/>
      <c r="B497" s="13"/>
      <c r="C497" s="13"/>
    </row>
    <row r="498" spans="1:3" ht="13" x14ac:dyDescent="0.15">
      <c r="A498" s="10"/>
      <c r="B498" s="13"/>
      <c r="C498" s="13"/>
    </row>
    <row r="499" spans="1:3" ht="13" x14ac:dyDescent="0.15">
      <c r="A499" s="10"/>
      <c r="B499" s="13"/>
      <c r="C499" s="13"/>
    </row>
    <row r="500" spans="1:3" ht="13" x14ac:dyDescent="0.15">
      <c r="A500" s="10"/>
      <c r="B500" s="13"/>
      <c r="C500" s="13"/>
    </row>
    <row r="501" spans="1:3" ht="13" x14ac:dyDescent="0.15">
      <c r="A501" s="10"/>
      <c r="B501" s="13"/>
      <c r="C501" s="13"/>
    </row>
    <row r="502" spans="1:3" ht="13" x14ac:dyDescent="0.15">
      <c r="A502" s="10"/>
      <c r="B502" s="13"/>
      <c r="C502" s="13"/>
    </row>
    <row r="503" spans="1:3" ht="13" x14ac:dyDescent="0.15">
      <c r="A503" s="10"/>
      <c r="B503" s="13"/>
      <c r="C503" s="13"/>
    </row>
    <row r="504" spans="1:3" ht="13" x14ac:dyDescent="0.15">
      <c r="A504" s="10"/>
      <c r="B504" s="13"/>
      <c r="C504" s="13"/>
    </row>
    <row r="505" spans="1:3" ht="13" x14ac:dyDescent="0.15">
      <c r="A505" s="10"/>
      <c r="B505" s="13"/>
      <c r="C505" s="13"/>
    </row>
    <row r="506" spans="1:3" ht="13" x14ac:dyDescent="0.15">
      <c r="A506" s="10"/>
      <c r="B506" s="13"/>
      <c r="C506" s="13"/>
    </row>
    <row r="507" spans="1:3" ht="13" x14ac:dyDescent="0.15">
      <c r="A507" s="10"/>
      <c r="B507" s="13"/>
      <c r="C507" s="13"/>
    </row>
    <row r="508" spans="1:3" ht="13" x14ac:dyDescent="0.15">
      <c r="A508" s="10"/>
      <c r="B508" s="13"/>
      <c r="C508" s="13"/>
    </row>
    <row r="509" spans="1:3" ht="13" x14ac:dyDescent="0.15">
      <c r="A509" s="10"/>
      <c r="B509" s="13"/>
      <c r="C509" s="13"/>
    </row>
    <row r="510" spans="1:3" ht="13" x14ac:dyDescent="0.15">
      <c r="A510" s="10"/>
      <c r="B510" s="13"/>
      <c r="C510" s="13"/>
    </row>
    <row r="511" spans="1:3" ht="13" x14ac:dyDescent="0.15">
      <c r="A511" s="10"/>
      <c r="B511" s="13"/>
      <c r="C511" s="13"/>
    </row>
    <row r="512" spans="1:3" ht="13" x14ac:dyDescent="0.15">
      <c r="A512" s="10"/>
      <c r="B512" s="13"/>
      <c r="C512" s="13"/>
    </row>
    <row r="513" spans="1:3" ht="13" x14ac:dyDescent="0.15">
      <c r="A513" s="10"/>
      <c r="B513" s="13"/>
      <c r="C513" s="13"/>
    </row>
    <row r="514" spans="1:3" ht="13" x14ac:dyDescent="0.15">
      <c r="A514" s="10"/>
      <c r="B514" s="13"/>
      <c r="C514" s="13"/>
    </row>
    <row r="515" spans="1:3" ht="13" x14ac:dyDescent="0.15">
      <c r="A515" s="10"/>
      <c r="B515" s="13"/>
      <c r="C515" s="13"/>
    </row>
    <row r="516" spans="1:3" ht="13" x14ac:dyDescent="0.15">
      <c r="A516" s="10"/>
      <c r="B516" s="13"/>
      <c r="C516" s="13"/>
    </row>
    <row r="517" spans="1:3" ht="13" x14ac:dyDescent="0.15">
      <c r="A517" s="10"/>
      <c r="B517" s="13"/>
      <c r="C517" s="13"/>
    </row>
    <row r="518" spans="1:3" ht="13" x14ac:dyDescent="0.15">
      <c r="A518" s="10"/>
      <c r="B518" s="13"/>
      <c r="C518" s="13"/>
    </row>
    <row r="519" spans="1:3" ht="13" x14ac:dyDescent="0.15">
      <c r="A519" s="10"/>
      <c r="B519" s="13"/>
      <c r="C519" s="13"/>
    </row>
    <row r="520" spans="1:3" ht="13" x14ac:dyDescent="0.15">
      <c r="A520" s="10"/>
      <c r="B520" s="13"/>
      <c r="C520" s="13"/>
    </row>
    <row r="521" spans="1:3" ht="13" x14ac:dyDescent="0.15">
      <c r="A521" s="10"/>
      <c r="B521" s="13"/>
      <c r="C521" s="13"/>
    </row>
    <row r="522" spans="1:3" ht="13" x14ac:dyDescent="0.15">
      <c r="A522" s="10"/>
      <c r="B522" s="13"/>
      <c r="C522" s="13"/>
    </row>
    <row r="523" spans="1:3" ht="13" x14ac:dyDescent="0.15">
      <c r="A523" s="10"/>
      <c r="B523" s="13"/>
      <c r="C523" s="13"/>
    </row>
    <row r="524" spans="1:3" ht="13" x14ac:dyDescent="0.15">
      <c r="A524" s="10"/>
      <c r="B524" s="13"/>
      <c r="C524" s="13"/>
    </row>
    <row r="525" spans="1:3" ht="13" x14ac:dyDescent="0.15">
      <c r="A525" s="10"/>
      <c r="B525" s="13"/>
      <c r="C525" s="13"/>
    </row>
    <row r="526" spans="1:3" ht="13" x14ac:dyDescent="0.15">
      <c r="A526" s="10"/>
      <c r="B526" s="13"/>
      <c r="C526" s="13"/>
    </row>
    <row r="527" spans="1:3" ht="13" x14ac:dyDescent="0.15">
      <c r="A527" s="10"/>
      <c r="B527" s="13"/>
      <c r="C527" s="13"/>
    </row>
    <row r="528" spans="1:3" ht="13" x14ac:dyDescent="0.15">
      <c r="A528" s="10"/>
      <c r="B528" s="13"/>
      <c r="C528" s="13"/>
    </row>
    <row r="529" spans="1:3" ht="13" x14ac:dyDescent="0.15">
      <c r="A529" s="10"/>
      <c r="B529" s="13"/>
      <c r="C529" s="13"/>
    </row>
    <row r="530" spans="1:3" ht="13" x14ac:dyDescent="0.15">
      <c r="A530" s="10"/>
      <c r="B530" s="13"/>
      <c r="C530" s="13"/>
    </row>
    <row r="531" spans="1:3" ht="13" x14ac:dyDescent="0.15">
      <c r="A531" s="10"/>
      <c r="B531" s="13"/>
      <c r="C531" s="13"/>
    </row>
    <row r="532" spans="1:3" ht="13" x14ac:dyDescent="0.15">
      <c r="A532" s="10"/>
      <c r="B532" s="13"/>
      <c r="C532" s="13"/>
    </row>
    <row r="533" spans="1:3" ht="13" x14ac:dyDescent="0.15">
      <c r="A533" s="10"/>
      <c r="B533" s="13"/>
      <c r="C533" s="13"/>
    </row>
    <row r="534" spans="1:3" ht="13" x14ac:dyDescent="0.15">
      <c r="A534" s="10"/>
      <c r="B534" s="13"/>
      <c r="C534" s="13"/>
    </row>
    <row r="535" spans="1:3" ht="13" x14ac:dyDescent="0.15">
      <c r="A535" s="10"/>
      <c r="B535" s="13"/>
      <c r="C535" s="13"/>
    </row>
    <row r="536" spans="1:3" ht="13" x14ac:dyDescent="0.15">
      <c r="A536" s="10"/>
      <c r="B536" s="13"/>
      <c r="C536" s="13"/>
    </row>
    <row r="537" spans="1:3" ht="13" x14ac:dyDescent="0.15">
      <c r="A537" s="10"/>
      <c r="B537" s="13"/>
      <c r="C537" s="13"/>
    </row>
    <row r="538" spans="1:3" ht="13" x14ac:dyDescent="0.15">
      <c r="A538" s="10"/>
      <c r="B538" s="13"/>
      <c r="C538" s="13"/>
    </row>
    <row r="539" spans="1:3" ht="13" x14ac:dyDescent="0.15">
      <c r="A539" s="10"/>
      <c r="B539" s="13"/>
      <c r="C539" s="13"/>
    </row>
    <row r="540" spans="1:3" ht="13" x14ac:dyDescent="0.15">
      <c r="A540" s="10"/>
      <c r="B540" s="13"/>
      <c r="C540" s="13"/>
    </row>
    <row r="541" spans="1:3" ht="13" x14ac:dyDescent="0.15">
      <c r="A541" s="10"/>
      <c r="B541" s="13"/>
      <c r="C541" s="13"/>
    </row>
    <row r="542" spans="1:3" ht="13" x14ac:dyDescent="0.15">
      <c r="A542" s="10"/>
      <c r="B542" s="13"/>
      <c r="C542" s="13"/>
    </row>
    <row r="543" spans="1:3" ht="13" x14ac:dyDescent="0.15">
      <c r="A543" s="10"/>
      <c r="B543" s="13"/>
      <c r="C543" s="13"/>
    </row>
    <row r="544" spans="1:3" ht="13" x14ac:dyDescent="0.15">
      <c r="A544" s="10"/>
      <c r="B544" s="13"/>
      <c r="C544" s="13"/>
    </row>
    <row r="545" spans="1:3" ht="13" x14ac:dyDescent="0.15">
      <c r="A545" s="10"/>
      <c r="B545" s="13"/>
      <c r="C545" s="13"/>
    </row>
    <row r="546" spans="1:3" ht="13" x14ac:dyDescent="0.15">
      <c r="A546" s="10"/>
      <c r="B546" s="13"/>
      <c r="C546" s="13"/>
    </row>
    <row r="547" spans="1:3" ht="13" x14ac:dyDescent="0.15">
      <c r="A547" s="10"/>
      <c r="B547" s="13"/>
      <c r="C547" s="13"/>
    </row>
    <row r="548" spans="1:3" ht="13" x14ac:dyDescent="0.15">
      <c r="A548" s="10"/>
      <c r="B548" s="13"/>
      <c r="C548" s="13"/>
    </row>
    <row r="549" spans="1:3" ht="13" x14ac:dyDescent="0.15">
      <c r="A549" s="10"/>
      <c r="B549" s="13"/>
      <c r="C549" s="13"/>
    </row>
    <row r="550" spans="1:3" ht="13" x14ac:dyDescent="0.15">
      <c r="A550" s="10"/>
      <c r="B550" s="13"/>
      <c r="C550" s="13"/>
    </row>
    <row r="551" spans="1:3" ht="13" x14ac:dyDescent="0.15">
      <c r="A551" s="10"/>
      <c r="B551" s="13"/>
      <c r="C551" s="13"/>
    </row>
    <row r="552" spans="1:3" ht="13" x14ac:dyDescent="0.15">
      <c r="A552" s="10"/>
      <c r="B552" s="13"/>
      <c r="C552" s="13"/>
    </row>
    <row r="553" spans="1:3" ht="13" x14ac:dyDescent="0.15">
      <c r="A553" s="10"/>
      <c r="B553" s="13"/>
      <c r="C553" s="13"/>
    </row>
    <row r="554" spans="1:3" ht="13" x14ac:dyDescent="0.15">
      <c r="A554" s="10"/>
      <c r="B554" s="13"/>
      <c r="C554" s="13"/>
    </row>
    <row r="555" spans="1:3" ht="13" x14ac:dyDescent="0.15">
      <c r="A555" s="10"/>
      <c r="B555" s="13"/>
      <c r="C555" s="13"/>
    </row>
    <row r="556" spans="1:3" ht="13" x14ac:dyDescent="0.15">
      <c r="A556" s="10"/>
      <c r="B556" s="13"/>
      <c r="C556" s="13"/>
    </row>
    <row r="557" spans="1:3" ht="13" x14ac:dyDescent="0.15">
      <c r="A557" s="10"/>
      <c r="B557" s="13"/>
      <c r="C557" s="13"/>
    </row>
    <row r="558" spans="1:3" ht="13" x14ac:dyDescent="0.15">
      <c r="A558" s="10"/>
      <c r="B558" s="13"/>
      <c r="C558" s="13"/>
    </row>
    <row r="559" spans="1:3" ht="13" x14ac:dyDescent="0.15">
      <c r="A559" s="10"/>
      <c r="B559" s="13"/>
      <c r="C559" s="13"/>
    </row>
    <row r="560" spans="1:3" ht="13" x14ac:dyDescent="0.15">
      <c r="A560" s="10"/>
      <c r="B560" s="13"/>
      <c r="C560" s="13"/>
    </row>
    <row r="561" spans="1:3" ht="13" x14ac:dyDescent="0.15">
      <c r="A561" s="10"/>
      <c r="B561" s="13"/>
      <c r="C561" s="13"/>
    </row>
    <row r="562" spans="1:3" ht="13" x14ac:dyDescent="0.15">
      <c r="A562" s="10"/>
      <c r="B562" s="13"/>
      <c r="C562" s="13"/>
    </row>
    <row r="563" spans="1:3" ht="13" x14ac:dyDescent="0.15">
      <c r="A563" s="10"/>
      <c r="B563" s="13"/>
      <c r="C563" s="13"/>
    </row>
    <row r="564" spans="1:3" ht="13" x14ac:dyDescent="0.15">
      <c r="A564" s="10"/>
      <c r="B564" s="13"/>
      <c r="C564" s="13"/>
    </row>
    <row r="565" spans="1:3" ht="13" x14ac:dyDescent="0.15">
      <c r="A565" s="10"/>
      <c r="B565" s="13"/>
      <c r="C565" s="13"/>
    </row>
    <row r="566" spans="1:3" ht="13" x14ac:dyDescent="0.15">
      <c r="A566" s="10"/>
      <c r="B566" s="13"/>
      <c r="C566" s="13"/>
    </row>
    <row r="567" spans="1:3" ht="13" x14ac:dyDescent="0.15">
      <c r="A567" s="10"/>
      <c r="B567" s="13"/>
      <c r="C567" s="13"/>
    </row>
    <row r="568" spans="1:3" ht="13" x14ac:dyDescent="0.15">
      <c r="A568" s="10"/>
      <c r="B568" s="13"/>
      <c r="C568" s="13"/>
    </row>
    <row r="569" spans="1:3" ht="13" x14ac:dyDescent="0.15">
      <c r="A569" s="10"/>
      <c r="B569" s="13"/>
      <c r="C569" s="13"/>
    </row>
    <row r="570" spans="1:3" ht="13" x14ac:dyDescent="0.15">
      <c r="A570" s="10"/>
      <c r="B570" s="13"/>
      <c r="C570" s="13"/>
    </row>
    <row r="571" spans="1:3" ht="13" x14ac:dyDescent="0.15">
      <c r="A571" s="10"/>
      <c r="B571" s="13"/>
      <c r="C571" s="13"/>
    </row>
    <row r="572" spans="1:3" ht="13" x14ac:dyDescent="0.15">
      <c r="A572" s="10"/>
      <c r="B572" s="13"/>
      <c r="C572" s="13"/>
    </row>
    <row r="573" spans="1:3" ht="13" x14ac:dyDescent="0.15">
      <c r="A573" s="10"/>
      <c r="B573" s="13"/>
      <c r="C573" s="13"/>
    </row>
    <row r="574" spans="1:3" ht="13" x14ac:dyDescent="0.15">
      <c r="A574" s="10"/>
      <c r="B574" s="13"/>
      <c r="C574" s="13"/>
    </row>
    <row r="575" spans="1:3" ht="13" x14ac:dyDescent="0.15">
      <c r="A575" s="10"/>
      <c r="B575" s="13"/>
      <c r="C575" s="13"/>
    </row>
    <row r="576" spans="1:3" ht="13" x14ac:dyDescent="0.15">
      <c r="A576" s="10"/>
      <c r="B576" s="13"/>
      <c r="C576" s="13"/>
    </row>
    <row r="577" spans="1:3" ht="13" x14ac:dyDescent="0.15">
      <c r="A577" s="10"/>
      <c r="B577" s="13"/>
      <c r="C577" s="13"/>
    </row>
    <row r="578" spans="1:3" ht="13" x14ac:dyDescent="0.15">
      <c r="A578" s="10"/>
      <c r="B578" s="13"/>
      <c r="C578" s="13"/>
    </row>
    <row r="579" spans="1:3" ht="13" x14ac:dyDescent="0.15">
      <c r="A579" s="10"/>
      <c r="B579" s="13"/>
      <c r="C579" s="13"/>
    </row>
    <row r="580" spans="1:3" ht="13" x14ac:dyDescent="0.15">
      <c r="A580" s="10"/>
      <c r="B580" s="13"/>
      <c r="C580" s="13"/>
    </row>
    <row r="581" spans="1:3" ht="13" x14ac:dyDescent="0.15">
      <c r="A581" s="10"/>
      <c r="B581" s="13"/>
      <c r="C581" s="13"/>
    </row>
    <row r="582" spans="1:3" ht="13" x14ac:dyDescent="0.15">
      <c r="A582" s="10"/>
      <c r="B582" s="13"/>
      <c r="C582" s="13"/>
    </row>
    <row r="583" spans="1:3" ht="13" x14ac:dyDescent="0.15">
      <c r="A583" s="10"/>
      <c r="B583" s="13"/>
      <c r="C583" s="13"/>
    </row>
    <row r="584" spans="1:3" ht="13" x14ac:dyDescent="0.15">
      <c r="A584" s="10"/>
      <c r="B584" s="13"/>
      <c r="C584" s="13"/>
    </row>
    <row r="585" spans="1:3" ht="13" x14ac:dyDescent="0.15">
      <c r="A585" s="10"/>
      <c r="B585" s="13"/>
      <c r="C585" s="13"/>
    </row>
    <row r="586" spans="1:3" ht="13" x14ac:dyDescent="0.15">
      <c r="A586" s="10"/>
      <c r="B586" s="13"/>
      <c r="C586" s="13"/>
    </row>
    <row r="587" spans="1:3" ht="13" x14ac:dyDescent="0.15">
      <c r="A587" s="10"/>
      <c r="B587" s="13"/>
      <c r="C587" s="13"/>
    </row>
    <row r="588" spans="1:3" ht="13" x14ac:dyDescent="0.15">
      <c r="A588" s="10"/>
      <c r="B588" s="13"/>
      <c r="C588" s="13"/>
    </row>
    <row r="589" spans="1:3" ht="13" x14ac:dyDescent="0.15">
      <c r="A589" s="10"/>
      <c r="B589" s="13"/>
      <c r="C589" s="13"/>
    </row>
    <row r="590" spans="1:3" ht="13" x14ac:dyDescent="0.15">
      <c r="A590" s="10"/>
      <c r="B590" s="13"/>
      <c r="C590" s="13"/>
    </row>
    <row r="591" spans="1:3" ht="13" x14ac:dyDescent="0.15">
      <c r="A591" s="10"/>
      <c r="B591" s="13"/>
      <c r="C591" s="13"/>
    </row>
    <row r="592" spans="1:3" ht="13" x14ac:dyDescent="0.15">
      <c r="A592" s="10"/>
      <c r="B592" s="13"/>
      <c r="C592" s="13"/>
    </row>
    <row r="593" spans="1:3" ht="13" x14ac:dyDescent="0.15">
      <c r="A593" s="10"/>
      <c r="B593" s="13"/>
      <c r="C593" s="13"/>
    </row>
    <row r="594" spans="1:3" ht="13" x14ac:dyDescent="0.15">
      <c r="A594" s="10"/>
      <c r="B594" s="13"/>
      <c r="C594" s="13"/>
    </row>
    <row r="595" spans="1:3" ht="13" x14ac:dyDescent="0.15">
      <c r="A595" s="10"/>
      <c r="B595" s="13"/>
      <c r="C595" s="13"/>
    </row>
    <row r="596" spans="1:3" ht="13" x14ac:dyDescent="0.15">
      <c r="A596" s="10"/>
      <c r="B596" s="13"/>
      <c r="C596" s="13"/>
    </row>
    <row r="597" spans="1:3" ht="13" x14ac:dyDescent="0.15">
      <c r="A597" s="10"/>
      <c r="B597" s="13"/>
      <c r="C597" s="13"/>
    </row>
    <row r="598" spans="1:3" ht="13" x14ac:dyDescent="0.15">
      <c r="A598" s="10"/>
      <c r="B598" s="13"/>
      <c r="C598" s="13"/>
    </row>
    <row r="599" spans="1:3" ht="13" x14ac:dyDescent="0.15">
      <c r="A599" s="10"/>
      <c r="B599" s="13"/>
      <c r="C599" s="13"/>
    </row>
    <row r="600" spans="1:3" ht="13" x14ac:dyDescent="0.15">
      <c r="A600" s="10"/>
      <c r="B600" s="13"/>
      <c r="C600" s="13"/>
    </row>
    <row r="601" spans="1:3" ht="13" x14ac:dyDescent="0.15">
      <c r="A601" s="10"/>
      <c r="B601" s="13"/>
      <c r="C601" s="13"/>
    </row>
    <row r="602" spans="1:3" ht="13" x14ac:dyDescent="0.15">
      <c r="A602" s="10"/>
      <c r="B602" s="13"/>
      <c r="C602" s="13"/>
    </row>
    <row r="603" spans="1:3" ht="13" x14ac:dyDescent="0.15">
      <c r="A603" s="10"/>
      <c r="B603" s="13"/>
      <c r="C603" s="13"/>
    </row>
    <row r="604" spans="1:3" ht="13" x14ac:dyDescent="0.15">
      <c r="A604" s="10"/>
      <c r="B604" s="13"/>
      <c r="C604" s="13"/>
    </row>
    <row r="605" spans="1:3" ht="13" x14ac:dyDescent="0.15">
      <c r="A605" s="10"/>
      <c r="B605" s="13"/>
      <c r="C605" s="13"/>
    </row>
    <row r="606" spans="1:3" ht="13" x14ac:dyDescent="0.15">
      <c r="A606" s="10"/>
      <c r="B606" s="13"/>
      <c r="C606" s="13"/>
    </row>
    <row r="607" spans="1:3" ht="13" x14ac:dyDescent="0.15">
      <c r="A607" s="10"/>
      <c r="B607" s="13"/>
      <c r="C607" s="13"/>
    </row>
    <row r="608" spans="1:3" ht="13" x14ac:dyDescent="0.15">
      <c r="A608" s="10"/>
      <c r="B608" s="13"/>
      <c r="C608" s="13"/>
    </row>
    <row r="609" spans="1:3" ht="13" x14ac:dyDescent="0.15">
      <c r="A609" s="10"/>
      <c r="B609" s="13"/>
      <c r="C609" s="13"/>
    </row>
    <row r="610" spans="1:3" ht="13" x14ac:dyDescent="0.15">
      <c r="A610" s="10"/>
      <c r="B610" s="13"/>
      <c r="C610" s="13"/>
    </row>
    <row r="611" spans="1:3" ht="13" x14ac:dyDescent="0.15">
      <c r="A611" s="10"/>
      <c r="B611" s="13"/>
      <c r="C611" s="13"/>
    </row>
    <row r="612" spans="1:3" ht="13" x14ac:dyDescent="0.15">
      <c r="A612" s="10"/>
      <c r="B612" s="13"/>
      <c r="C612" s="13"/>
    </row>
    <row r="613" spans="1:3" ht="13" x14ac:dyDescent="0.15">
      <c r="A613" s="10"/>
      <c r="B613" s="13"/>
      <c r="C613" s="13"/>
    </row>
    <row r="614" spans="1:3" ht="13" x14ac:dyDescent="0.15">
      <c r="A614" s="10"/>
      <c r="B614" s="13"/>
      <c r="C614" s="13"/>
    </row>
    <row r="615" spans="1:3" ht="13" x14ac:dyDescent="0.15">
      <c r="A615" s="10"/>
      <c r="B615" s="13"/>
      <c r="C615" s="13"/>
    </row>
    <row r="616" spans="1:3" ht="13" x14ac:dyDescent="0.15">
      <c r="A616" s="10"/>
      <c r="B616" s="13"/>
      <c r="C616" s="13"/>
    </row>
    <row r="617" spans="1:3" ht="13" x14ac:dyDescent="0.15">
      <c r="A617" s="10"/>
      <c r="B617" s="13"/>
      <c r="C617" s="13"/>
    </row>
    <row r="618" spans="1:3" ht="13" x14ac:dyDescent="0.15">
      <c r="A618" s="10"/>
      <c r="B618" s="13"/>
      <c r="C618" s="13"/>
    </row>
    <row r="619" spans="1:3" ht="13" x14ac:dyDescent="0.15">
      <c r="A619" s="10"/>
      <c r="B619" s="13"/>
      <c r="C619" s="13"/>
    </row>
    <row r="620" spans="1:3" ht="13" x14ac:dyDescent="0.15">
      <c r="A620" s="10"/>
      <c r="B620" s="13"/>
      <c r="C620" s="13"/>
    </row>
    <row r="621" spans="1:3" ht="13" x14ac:dyDescent="0.15">
      <c r="A621" s="10"/>
      <c r="B621" s="13"/>
      <c r="C621" s="13"/>
    </row>
    <row r="622" spans="1:3" ht="13" x14ac:dyDescent="0.15">
      <c r="A622" s="10"/>
      <c r="B622" s="13"/>
      <c r="C622" s="13"/>
    </row>
    <row r="623" spans="1:3" ht="13" x14ac:dyDescent="0.15">
      <c r="A623" s="10"/>
      <c r="B623" s="13"/>
      <c r="C623" s="13"/>
    </row>
    <row r="624" spans="1:3" ht="13" x14ac:dyDescent="0.15">
      <c r="A624" s="10"/>
      <c r="B624" s="13"/>
      <c r="C624" s="13"/>
    </row>
    <row r="625" spans="1:3" ht="13" x14ac:dyDescent="0.15">
      <c r="A625" s="10"/>
      <c r="B625" s="13"/>
      <c r="C625" s="13"/>
    </row>
    <row r="626" spans="1:3" ht="13" x14ac:dyDescent="0.15">
      <c r="A626" s="10"/>
      <c r="B626" s="13"/>
      <c r="C626" s="13"/>
    </row>
    <row r="627" spans="1:3" ht="13" x14ac:dyDescent="0.15">
      <c r="A627" s="10"/>
      <c r="B627" s="13"/>
      <c r="C627" s="13"/>
    </row>
    <row r="628" spans="1:3" ht="13" x14ac:dyDescent="0.15">
      <c r="A628" s="10"/>
      <c r="B628" s="13"/>
      <c r="C628" s="13"/>
    </row>
    <row r="629" spans="1:3" ht="13" x14ac:dyDescent="0.15">
      <c r="A629" s="10"/>
      <c r="B629" s="13"/>
      <c r="C629" s="13"/>
    </row>
    <row r="630" spans="1:3" ht="13" x14ac:dyDescent="0.15">
      <c r="A630" s="10"/>
      <c r="B630" s="13"/>
      <c r="C630" s="13"/>
    </row>
    <row r="631" spans="1:3" ht="13" x14ac:dyDescent="0.15">
      <c r="A631" s="10"/>
      <c r="B631" s="13"/>
      <c r="C631" s="13"/>
    </row>
    <row r="632" spans="1:3" ht="13" x14ac:dyDescent="0.15">
      <c r="A632" s="10"/>
      <c r="B632" s="13"/>
      <c r="C632" s="13"/>
    </row>
    <row r="633" spans="1:3" ht="13" x14ac:dyDescent="0.15">
      <c r="A633" s="10"/>
      <c r="B633" s="13"/>
      <c r="C633" s="13"/>
    </row>
    <row r="634" spans="1:3" ht="13" x14ac:dyDescent="0.15">
      <c r="A634" s="10"/>
      <c r="B634" s="13"/>
      <c r="C634" s="13"/>
    </row>
    <row r="635" spans="1:3" ht="13" x14ac:dyDescent="0.15">
      <c r="A635" s="10"/>
      <c r="B635" s="13"/>
      <c r="C635" s="13"/>
    </row>
    <row r="636" spans="1:3" ht="13" x14ac:dyDescent="0.15">
      <c r="A636" s="10"/>
      <c r="B636" s="13"/>
      <c r="C636" s="13"/>
    </row>
    <row r="637" spans="1:3" ht="13" x14ac:dyDescent="0.15">
      <c r="A637" s="10"/>
      <c r="B637" s="13"/>
      <c r="C637" s="13"/>
    </row>
    <row r="638" spans="1:3" ht="13" x14ac:dyDescent="0.15">
      <c r="A638" s="10"/>
      <c r="B638" s="13"/>
      <c r="C638" s="13"/>
    </row>
    <row r="639" spans="1:3" ht="13" x14ac:dyDescent="0.15">
      <c r="A639" s="10"/>
      <c r="B639" s="13"/>
      <c r="C639" s="13"/>
    </row>
    <row r="640" spans="1:3" ht="13" x14ac:dyDescent="0.15">
      <c r="A640" s="10"/>
      <c r="B640" s="13"/>
      <c r="C640" s="13"/>
    </row>
    <row r="641" spans="1:3" ht="13" x14ac:dyDescent="0.15">
      <c r="A641" s="10"/>
      <c r="B641" s="13"/>
      <c r="C641" s="13"/>
    </row>
    <row r="642" spans="1:3" ht="13" x14ac:dyDescent="0.15">
      <c r="A642" s="10"/>
      <c r="B642" s="13"/>
      <c r="C642" s="13"/>
    </row>
    <row r="643" spans="1:3" ht="13" x14ac:dyDescent="0.15">
      <c r="A643" s="10"/>
      <c r="B643" s="13"/>
      <c r="C643" s="13"/>
    </row>
    <row r="644" spans="1:3" ht="13" x14ac:dyDescent="0.15">
      <c r="A644" s="10"/>
      <c r="B644" s="13"/>
      <c r="C644" s="13"/>
    </row>
    <row r="645" spans="1:3" ht="13" x14ac:dyDescent="0.15">
      <c r="A645" s="10"/>
      <c r="B645" s="13"/>
      <c r="C645" s="13"/>
    </row>
    <row r="646" spans="1:3" ht="13" x14ac:dyDescent="0.15">
      <c r="A646" s="10"/>
      <c r="B646" s="13"/>
      <c r="C646" s="13"/>
    </row>
    <row r="647" spans="1:3" ht="13" x14ac:dyDescent="0.15">
      <c r="A647" s="10"/>
      <c r="B647" s="13"/>
      <c r="C647" s="13"/>
    </row>
    <row r="648" spans="1:3" ht="13" x14ac:dyDescent="0.15">
      <c r="A648" s="10"/>
      <c r="B648" s="13"/>
      <c r="C648" s="13"/>
    </row>
    <row r="649" spans="1:3" ht="13" x14ac:dyDescent="0.15">
      <c r="A649" s="10"/>
      <c r="B649" s="13"/>
      <c r="C649" s="13"/>
    </row>
    <row r="650" spans="1:3" ht="13" x14ac:dyDescent="0.15">
      <c r="A650" s="10"/>
      <c r="B650" s="13"/>
      <c r="C650" s="13"/>
    </row>
    <row r="651" spans="1:3" ht="13" x14ac:dyDescent="0.15">
      <c r="A651" s="10"/>
      <c r="B651" s="13"/>
      <c r="C651" s="13"/>
    </row>
    <row r="652" spans="1:3" ht="13" x14ac:dyDescent="0.15">
      <c r="A652" s="10"/>
      <c r="B652" s="13"/>
      <c r="C652" s="13"/>
    </row>
    <row r="653" spans="1:3" ht="13" x14ac:dyDescent="0.15">
      <c r="A653" s="10"/>
      <c r="B653" s="13"/>
      <c r="C653" s="13"/>
    </row>
    <row r="654" spans="1:3" ht="13" x14ac:dyDescent="0.15">
      <c r="A654" s="10"/>
      <c r="B654" s="13"/>
      <c r="C654" s="13"/>
    </row>
    <row r="655" spans="1:3" ht="13" x14ac:dyDescent="0.15">
      <c r="A655" s="10"/>
      <c r="B655" s="13"/>
      <c r="C655" s="13"/>
    </row>
    <row r="656" spans="1:3" ht="13" x14ac:dyDescent="0.15">
      <c r="A656" s="10"/>
      <c r="B656" s="13"/>
      <c r="C656" s="13"/>
    </row>
    <row r="657" spans="1:3" ht="13" x14ac:dyDescent="0.15">
      <c r="A657" s="10"/>
      <c r="B657" s="13"/>
      <c r="C657" s="13"/>
    </row>
    <row r="658" spans="1:3" ht="13" x14ac:dyDescent="0.15">
      <c r="A658" s="10"/>
      <c r="B658" s="13"/>
      <c r="C658" s="13"/>
    </row>
    <row r="659" spans="1:3" ht="13" x14ac:dyDescent="0.15">
      <c r="A659" s="10"/>
      <c r="B659" s="13"/>
      <c r="C659" s="13"/>
    </row>
    <row r="660" spans="1:3" ht="13" x14ac:dyDescent="0.15">
      <c r="A660" s="10"/>
      <c r="B660" s="13"/>
      <c r="C660" s="13"/>
    </row>
    <row r="661" spans="1:3" ht="13" x14ac:dyDescent="0.15">
      <c r="A661" s="10"/>
      <c r="B661" s="13"/>
      <c r="C661" s="13"/>
    </row>
    <row r="662" spans="1:3" ht="13" x14ac:dyDescent="0.15">
      <c r="A662" s="10"/>
      <c r="B662" s="13"/>
      <c r="C662" s="13"/>
    </row>
    <row r="663" spans="1:3" ht="13" x14ac:dyDescent="0.15">
      <c r="A663" s="10"/>
      <c r="B663" s="13"/>
      <c r="C663" s="13"/>
    </row>
    <row r="664" spans="1:3" ht="13" x14ac:dyDescent="0.15">
      <c r="A664" s="10"/>
      <c r="B664" s="13"/>
      <c r="C664" s="13"/>
    </row>
    <row r="665" spans="1:3" ht="13" x14ac:dyDescent="0.15">
      <c r="A665" s="10"/>
      <c r="B665" s="13"/>
      <c r="C665" s="13"/>
    </row>
    <row r="666" spans="1:3" ht="13" x14ac:dyDescent="0.15">
      <c r="A666" s="10"/>
      <c r="B666" s="13"/>
      <c r="C666" s="13"/>
    </row>
    <row r="667" spans="1:3" ht="13" x14ac:dyDescent="0.15">
      <c r="A667" s="10"/>
      <c r="B667" s="13"/>
      <c r="C667" s="13"/>
    </row>
    <row r="668" spans="1:3" ht="13" x14ac:dyDescent="0.15">
      <c r="A668" s="10"/>
      <c r="B668" s="13"/>
      <c r="C668" s="13"/>
    </row>
    <row r="669" spans="1:3" ht="13" x14ac:dyDescent="0.15">
      <c r="A669" s="10"/>
      <c r="B669" s="13"/>
      <c r="C669" s="13"/>
    </row>
    <row r="670" spans="1:3" ht="13" x14ac:dyDescent="0.15">
      <c r="A670" s="10"/>
      <c r="B670" s="13"/>
      <c r="C670" s="13"/>
    </row>
    <row r="671" spans="1:3" ht="13" x14ac:dyDescent="0.15">
      <c r="A671" s="10"/>
      <c r="B671" s="13"/>
      <c r="C671" s="13"/>
    </row>
    <row r="672" spans="1:3" ht="13" x14ac:dyDescent="0.15">
      <c r="A672" s="10"/>
      <c r="B672" s="13"/>
      <c r="C672" s="13"/>
    </row>
    <row r="673" spans="1:3" ht="13" x14ac:dyDescent="0.15">
      <c r="A673" s="10"/>
      <c r="B673" s="13"/>
      <c r="C673" s="13"/>
    </row>
    <row r="674" spans="1:3" ht="13" x14ac:dyDescent="0.15">
      <c r="A674" s="10"/>
      <c r="B674" s="13"/>
      <c r="C674" s="13"/>
    </row>
    <row r="675" spans="1:3" ht="13" x14ac:dyDescent="0.15">
      <c r="A675" s="10"/>
      <c r="B675" s="13"/>
      <c r="C675" s="13"/>
    </row>
    <row r="676" spans="1:3" ht="13" x14ac:dyDescent="0.15">
      <c r="A676" s="10"/>
      <c r="B676" s="13"/>
      <c r="C676" s="13"/>
    </row>
    <row r="677" spans="1:3" ht="13" x14ac:dyDescent="0.15">
      <c r="A677" s="10"/>
      <c r="B677" s="13"/>
      <c r="C677" s="13"/>
    </row>
    <row r="678" spans="1:3" ht="13" x14ac:dyDescent="0.15">
      <c r="A678" s="10"/>
      <c r="B678" s="13"/>
      <c r="C678" s="13"/>
    </row>
    <row r="679" spans="1:3" ht="13" x14ac:dyDescent="0.15">
      <c r="A679" s="10"/>
      <c r="B679" s="13"/>
      <c r="C679" s="13"/>
    </row>
    <row r="680" spans="1:3" ht="13" x14ac:dyDescent="0.15">
      <c r="A680" s="10"/>
      <c r="B680" s="13"/>
      <c r="C680" s="13"/>
    </row>
    <row r="681" spans="1:3" ht="13" x14ac:dyDescent="0.15">
      <c r="A681" s="10"/>
      <c r="B681" s="13"/>
      <c r="C681" s="13"/>
    </row>
    <row r="682" spans="1:3" ht="13" x14ac:dyDescent="0.15">
      <c r="A682" s="10"/>
      <c r="B682" s="13"/>
      <c r="C682" s="13"/>
    </row>
    <row r="683" spans="1:3" ht="13" x14ac:dyDescent="0.15">
      <c r="A683" s="10"/>
      <c r="B683" s="13"/>
      <c r="C683" s="13"/>
    </row>
    <row r="684" spans="1:3" ht="13" x14ac:dyDescent="0.15">
      <c r="A684" s="10"/>
      <c r="B684" s="13"/>
      <c r="C684" s="13"/>
    </row>
    <row r="685" spans="1:3" ht="13" x14ac:dyDescent="0.15">
      <c r="A685" s="10"/>
      <c r="B685" s="13"/>
      <c r="C685" s="13"/>
    </row>
    <row r="686" spans="1:3" ht="13" x14ac:dyDescent="0.15">
      <c r="A686" s="10"/>
      <c r="B686" s="13"/>
      <c r="C686" s="13"/>
    </row>
    <row r="687" spans="1:3" ht="13" x14ac:dyDescent="0.15">
      <c r="A687" s="10"/>
      <c r="B687" s="13"/>
      <c r="C687" s="13"/>
    </row>
    <row r="688" spans="1:3" ht="13" x14ac:dyDescent="0.15">
      <c r="A688" s="10"/>
      <c r="B688" s="13"/>
      <c r="C688" s="13"/>
    </row>
    <row r="689" spans="1:3" ht="13" x14ac:dyDescent="0.15">
      <c r="A689" s="10"/>
      <c r="B689" s="13"/>
      <c r="C689" s="13"/>
    </row>
    <row r="690" spans="1:3" ht="13" x14ac:dyDescent="0.15">
      <c r="A690" s="10"/>
      <c r="B690" s="13"/>
      <c r="C690" s="13"/>
    </row>
    <row r="691" spans="1:3" ht="13" x14ac:dyDescent="0.15">
      <c r="A691" s="10"/>
      <c r="B691" s="13"/>
      <c r="C691" s="13"/>
    </row>
    <row r="692" spans="1:3" ht="13" x14ac:dyDescent="0.15">
      <c r="A692" s="10"/>
      <c r="B692" s="13"/>
      <c r="C692" s="13"/>
    </row>
    <row r="693" spans="1:3" ht="13" x14ac:dyDescent="0.15">
      <c r="A693" s="10"/>
      <c r="B693" s="13"/>
      <c r="C693" s="13"/>
    </row>
    <row r="694" spans="1:3" ht="13" x14ac:dyDescent="0.15">
      <c r="A694" s="10"/>
      <c r="B694" s="13"/>
      <c r="C694" s="13"/>
    </row>
    <row r="695" spans="1:3" ht="13" x14ac:dyDescent="0.15">
      <c r="A695" s="10"/>
      <c r="B695" s="13"/>
      <c r="C695" s="13"/>
    </row>
    <row r="696" spans="1:3" ht="13" x14ac:dyDescent="0.15">
      <c r="A696" s="10"/>
      <c r="B696" s="13"/>
      <c r="C696" s="13"/>
    </row>
    <row r="697" spans="1:3" ht="13" x14ac:dyDescent="0.15">
      <c r="A697" s="10"/>
      <c r="B697" s="13"/>
      <c r="C697" s="13"/>
    </row>
    <row r="698" spans="1:3" ht="13" x14ac:dyDescent="0.15">
      <c r="A698" s="10"/>
      <c r="B698" s="13"/>
      <c r="C698" s="13"/>
    </row>
    <row r="699" spans="1:3" ht="13" x14ac:dyDescent="0.15">
      <c r="A699" s="10"/>
      <c r="B699" s="13"/>
      <c r="C699" s="13"/>
    </row>
    <row r="700" spans="1:3" ht="13" x14ac:dyDescent="0.15">
      <c r="A700" s="10"/>
      <c r="B700" s="13"/>
      <c r="C700" s="13"/>
    </row>
    <row r="701" spans="1:3" ht="13" x14ac:dyDescent="0.15">
      <c r="A701" s="10"/>
      <c r="B701" s="13"/>
      <c r="C701" s="13"/>
    </row>
    <row r="702" spans="1:3" ht="13" x14ac:dyDescent="0.15">
      <c r="A702" s="10"/>
      <c r="B702" s="13"/>
      <c r="C702" s="13"/>
    </row>
    <row r="703" spans="1:3" ht="13" x14ac:dyDescent="0.15">
      <c r="A703" s="10"/>
      <c r="B703" s="13"/>
      <c r="C703" s="13"/>
    </row>
    <row r="704" spans="1:3" ht="13" x14ac:dyDescent="0.15">
      <c r="A704" s="10"/>
      <c r="B704" s="13"/>
      <c r="C704" s="13"/>
    </row>
    <row r="705" spans="1:3" ht="13" x14ac:dyDescent="0.15">
      <c r="A705" s="10"/>
      <c r="B705" s="13"/>
      <c r="C705" s="13"/>
    </row>
    <row r="706" spans="1:3" ht="13" x14ac:dyDescent="0.15">
      <c r="A706" s="10"/>
      <c r="B706" s="13"/>
      <c r="C706" s="13"/>
    </row>
    <row r="707" spans="1:3" ht="13" x14ac:dyDescent="0.15">
      <c r="A707" s="10"/>
      <c r="B707" s="13"/>
      <c r="C707" s="13"/>
    </row>
    <row r="708" spans="1:3" ht="13" x14ac:dyDescent="0.15">
      <c r="A708" s="10"/>
      <c r="B708" s="13"/>
      <c r="C708" s="13"/>
    </row>
    <row r="709" spans="1:3" ht="13" x14ac:dyDescent="0.15">
      <c r="A709" s="10"/>
      <c r="B709" s="13"/>
      <c r="C709" s="13"/>
    </row>
    <row r="710" spans="1:3" ht="13" x14ac:dyDescent="0.15">
      <c r="A710" s="10"/>
      <c r="B710" s="13"/>
      <c r="C710" s="13"/>
    </row>
    <row r="711" spans="1:3" ht="13" x14ac:dyDescent="0.15">
      <c r="A711" s="10"/>
      <c r="B711" s="13"/>
      <c r="C711" s="13"/>
    </row>
    <row r="712" spans="1:3" ht="13" x14ac:dyDescent="0.15">
      <c r="A712" s="10"/>
      <c r="B712" s="13"/>
      <c r="C712" s="13"/>
    </row>
    <row r="713" spans="1:3" ht="13" x14ac:dyDescent="0.15">
      <c r="A713" s="10"/>
      <c r="B713" s="13"/>
      <c r="C713" s="13"/>
    </row>
    <row r="714" spans="1:3" ht="13" x14ac:dyDescent="0.15">
      <c r="A714" s="10"/>
      <c r="B714" s="13"/>
      <c r="C714" s="13"/>
    </row>
    <row r="715" spans="1:3" ht="13" x14ac:dyDescent="0.15">
      <c r="A715" s="10"/>
      <c r="B715" s="13"/>
      <c r="C715" s="13"/>
    </row>
    <row r="716" spans="1:3" ht="13" x14ac:dyDescent="0.15">
      <c r="A716" s="10"/>
      <c r="B716" s="13"/>
      <c r="C716" s="13"/>
    </row>
    <row r="717" spans="1:3" ht="13" x14ac:dyDescent="0.15">
      <c r="A717" s="10"/>
      <c r="B717" s="13"/>
      <c r="C717" s="13"/>
    </row>
    <row r="718" spans="1:3" ht="13" x14ac:dyDescent="0.15">
      <c r="A718" s="10"/>
      <c r="B718" s="13"/>
      <c r="C718" s="13"/>
    </row>
    <row r="719" spans="1:3" ht="13" x14ac:dyDescent="0.15">
      <c r="A719" s="10"/>
      <c r="B719" s="13"/>
      <c r="C719" s="13"/>
    </row>
    <row r="720" spans="1:3" ht="13" x14ac:dyDescent="0.15">
      <c r="A720" s="10"/>
      <c r="B720" s="13"/>
      <c r="C720" s="13"/>
    </row>
    <row r="721" spans="1:3" ht="13" x14ac:dyDescent="0.15">
      <c r="A721" s="10"/>
      <c r="B721" s="13"/>
      <c r="C721" s="13"/>
    </row>
    <row r="722" spans="1:3" ht="13" x14ac:dyDescent="0.15">
      <c r="A722" s="10"/>
      <c r="B722" s="13"/>
      <c r="C722" s="13"/>
    </row>
    <row r="723" spans="1:3" ht="13" x14ac:dyDescent="0.15">
      <c r="A723" s="10"/>
      <c r="B723" s="13"/>
      <c r="C723" s="13"/>
    </row>
    <row r="724" spans="1:3" ht="13" x14ac:dyDescent="0.15">
      <c r="A724" s="10"/>
      <c r="B724" s="13"/>
      <c r="C724" s="13"/>
    </row>
    <row r="725" spans="1:3" ht="13" x14ac:dyDescent="0.15">
      <c r="A725" s="10"/>
      <c r="B725" s="13"/>
      <c r="C725" s="13"/>
    </row>
    <row r="726" spans="1:3" ht="13" x14ac:dyDescent="0.15">
      <c r="A726" s="10"/>
      <c r="B726" s="13"/>
      <c r="C726" s="13"/>
    </row>
    <row r="727" spans="1:3" ht="13" x14ac:dyDescent="0.15">
      <c r="A727" s="10"/>
      <c r="B727" s="13"/>
      <c r="C727" s="13"/>
    </row>
    <row r="728" spans="1:3" ht="13" x14ac:dyDescent="0.15">
      <c r="A728" s="10"/>
      <c r="B728" s="13"/>
      <c r="C728" s="13"/>
    </row>
    <row r="729" spans="1:3" ht="13" x14ac:dyDescent="0.15">
      <c r="A729" s="10"/>
      <c r="B729" s="13"/>
      <c r="C729" s="13"/>
    </row>
    <row r="730" spans="1:3" ht="13" x14ac:dyDescent="0.15">
      <c r="A730" s="10"/>
      <c r="B730" s="13"/>
      <c r="C730" s="13"/>
    </row>
    <row r="731" spans="1:3" ht="13" x14ac:dyDescent="0.15">
      <c r="A731" s="10"/>
      <c r="B731" s="13"/>
      <c r="C731" s="13"/>
    </row>
    <row r="732" spans="1:3" ht="13" x14ac:dyDescent="0.15">
      <c r="A732" s="10"/>
      <c r="B732" s="13"/>
      <c r="C732" s="13"/>
    </row>
    <row r="733" spans="1:3" ht="13" x14ac:dyDescent="0.15">
      <c r="A733" s="10"/>
      <c r="B733" s="13"/>
      <c r="C733" s="13"/>
    </row>
    <row r="734" spans="1:3" ht="13" x14ac:dyDescent="0.15">
      <c r="A734" s="10"/>
      <c r="B734" s="13"/>
      <c r="C734" s="13"/>
    </row>
    <row r="735" spans="1:3" ht="13" x14ac:dyDescent="0.15">
      <c r="A735" s="10"/>
      <c r="B735" s="13"/>
      <c r="C735" s="13"/>
    </row>
    <row r="736" spans="1:3" ht="13" x14ac:dyDescent="0.15">
      <c r="A736" s="10"/>
      <c r="B736" s="13"/>
      <c r="C736" s="13"/>
    </row>
    <row r="737" spans="1:3" ht="13" x14ac:dyDescent="0.15">
      <c r="A737" s="10"/>
      <c r="B737" s="13"/>
      <c r="C737" s="13"/>
    </row>
    <row r="738" spans="1:3" ht="13" x14ac:dyDescent="0.15">
      <c r="A738" s="10"/>
      <c r="B738" s="13"/>
      <c r="C738" s="13"/>
    </row>
    <row r="739" spans="1:3" ht="13" x14ac:dyDescent="0.15">
      <c r="A739" s="10"/>
      <c r="B739" s="13"/>
      <c r="C739" s="13"/>
    </row>
    <row r="740" spans="1:3" ht="13" x14ac:dyDescent="0.15">
      <c r="A740" s="10"/>
      <c r="B740" s="13"/>
      <c r="C740" s="13"/>
    </row>
    <row r="741" spans="1:3" ht="13" x14ac:dyDescent="0.15">
      <c r="A741" s="10"/>
      <c r="B741" s="13"/>
      <c r="C741" s="13"/>
    </row>
    <row r="742" spans="1:3" ht="13" x14ac:dyDescent="0.15">
      <c r="A742" s="10"/>
      <c r="B742" s="13"/>
      <c r="C742" s="13"/>
    </row>
    <row r="743" spans="1:3" ht="13" x14ac:dyDescent="0.15">
      <c r="A743" s="10"/>
      <c r="B743" s="13"/>
      <c r="C743" s="13"/>
    </row>
    <row r="744" spans="1:3" ht="13" x14ac:dyDescent="0.15">
      <c r="A744" s="10"/>
      <c r="B744" s="13"/>
      <c r="C744" s="13"/>
    </row>
    <row r="745" spans="1:3" ht="13" x14ac:dyDescent="0.15">
      <c r="A745" s="10"/>
      <c r="B745" s="13"/>
      <c r="C745" s="13"/>
    </row>
    <row r="746" spans="1:3" ht="13" x14ac:dyDescent="0.15">
      <c r="A746" s="10"/>
      <c r="B746" s="13"/>
      <c r="C746" s="13"/>
    </row>
    <row r="747" spans="1:3" ht="13" x14ac:dyDescent="0.15">
      <c r="A747" s="10"/>
      <c r="B747" s="13"/>
      <c r="C747" s="13"/>
    </row>
    <row r="748" spans="1:3" ht="13" x14ac:dyDescent="0.15">
      <c r="A748" s="10"/>
      <c r="B748" s="13"/>
      <c r="C748" s="13"/>
    </row>
    <row r="749" spans="1:3" ht="13" x14ac:dyDescent="0.15">
      <c r="A749" s="10"/>
      <c r="B749" s="13"/>
      <c r="C749" s="13"/>
    </row>
    <row r="750" spans="1:3" ht="13" x14ac:dyDescent="0.15">
      <c r="A750" s="10"/>
      <c r="B750" s="13"/>
      <c r="C750" s="13"/>
    </row>
    <row r="751" spans="1:3" ht="13" x14ac:dyDescent="0.15">
      <c r="A751" s="10"/>
      <c r="B751" s="13"/>
      <c r="C751" s="13"/>
    </row>
    <row r="752" spans="1:3" ht="13" x14ac:dyDescent="0.15">
      <c r="A752" s="10"/>
      <c r="B752" s="13"/>
      <c r="C752" s="13"/>
    </row>
    <row r="753" spans="1:3" ht="13" x14ac:dyDescent="0.15">
      <c r="A753" s="10"/>
      <c r="B753" s="13"/>
      <c r="C753" s="13"/>
    </row>
    <row r="754" spans="1:3" ht="13" x14ac:dyDescent="0.15">
      <c r="A754" s="10"/>
      <c r="B754" s="13"/>
      <c r="C754" s="13"/>
    </row>
    <row r="755" spans="1:3" ht="13" x14ac:dyDescent="0.15">
      <c r="A755" s="10"/>
      <c r="B755" s="13"/>
      <c r="C755" s="13"/>
    </row>
    <row r="756" spans="1:3" ht="13" x14ac:dyDescent="0.15">
      <c r="A756" s="10"/>
      <c r="B756" s="13"/>
      <c r="C756" s="13"/>
    </row>
    <row r="757" spans="1:3" ht="13" x14ac:dyDescent="0.15">
      <c r="A757" s="10"/>
      <c r="B757" s="13"/>
      <c r="C757" s="13"/>
    </row>
    <row r="758" spans="1:3" ht="13" x14ac:dyDescent="0.15">
      <c r="A758" s="10"/>
      <c r="B758" s="13"/>
      <c r="C758" s="13"/>
    </row>
    <row r="759" spans="1:3" ht="13" x14ac:dyDescent="0.15">
      <c r="A759" s="10"/>
      <c r="B759" s="13"/>
      <c r="C759" s="13"/>
    </row>
    <row r="760" spans="1:3" ht="13" x14ac:dyDescent="0.15">
      <c r="A760" s="10"/>
      <c r="B760" s="13"/>
      <c r="C760" s="13"/>
    </row>
    <row r="761" spans="1:3" ht="13" x14ac:dyDescent="0.15">
      <c r="A761" s="10"/>
      <c r="B761" s="13"/>
      <c r="C761" s="13"/>
    </row>
    <row r="762" spans="1:3" ht="13" x14ac:dyDescent="0.15">
      <c r="A762" s="10"/>
      <c r="B762" s="13"/>
      <c r="C762" s="13"/>
    </row>
    <row r="763" spans="1:3" ht="13" x14ac:dyDescent="0.15">
      <c r="A763" s="10"/>
      <c r="B763" s="13"/>
      <c r="C763" s="13"/>
    </row>
    <row r="764" spans="1:3" ht="13" x14ac:dyDescent="0.15">
      <c r="A764" s="10"/>
      <c r="B764" s="13"/>
      <c r="C764" s="13"/>
    </row>
    <row r="765" spans="1:3" ht="13" x14ac:dyDescent="0.15">
      <c r="A765" s="10"/>
      <c r="B765" s="13"/>
      <c r="C765" s="13"/>
    </row>
    <row r="766" spans="1:3" ht="13" x14ac:dyDescent="0.15">
      <c r="A766" s="10"/>
      <c r="B766" s="13"/>
      <c r="C766" s="13"/>
    </row>
    <row r="767" spans="1:3" ht="13" x14ac:dyDescent="0.15">
      <c r="A767" s="10"/>
      <c r="B767" s="13"/>
      <c r="C767" s="13"/>
    </row>
    <row r="768" spans="1:3" ht="13" x14ac:dyDescent="0.15">
      <c r="A768" s="10"/>
      <c r="B768" s="13"/>
      <c r="C768" s="13"/>
    </row>
    <row r="769" spans="1:3" ht="13" x14ac:dyDescent="0.15">
      <c r="A769" s="10"/>
      <c r="B769" s="13"/>
      <c r="C769" s="13"/>
    </row>
    <row r="770" spans="1:3" ht="13" x14ac:dyDescent="0.15">
      <c r="A770" s="10"/>
      <c r="B770" s="13"/>
      <c r="C770" s="13"/>
    </row>
    <row r="771" spans="1:3" ht="13" x14ac:dyDescent="0.15">
      <c r="A771" s="10"/>
      <c r="B771" s="13"/>
      <c r="C771" s="13"/>
    </row>
    <row r="772" spans="1:3" ht="13" x14ac:dyDescent="0.15">
      <c r="A772" s="10"/>
      <c r="B772" s="13"/>
      <c r="C772" s="13"/>
    </row>
    <row r="773" spans="1:3" ht="13" x14ac:dyDescent="0.15">
      <c r="A773" s="10"/>
      <c r="B773" s="13"/>
      <c r="C773" s="13"/>
    </row>
    <row r="774" spans="1:3" ht="13" x14ac:dyDescent="0.15">
      <c r="A774" s="10"/>
      <c r="B774" s="13"/>
      <c r="C774" s="13"/>
    </row>
    <row r="775" spans="1:3" ht="13" x14ac:dyDescent="0.15">
      <c r="A775" s="10"/>
      <c r="B775" s="13"/>
      <c r="C775" s="13"/>
    </row>
    <row r="776" spans="1:3" ht="13" x14ac:dyDescent="0.15">
      <c r="A776" s="10"/>
      <c r="B776" s="13"/>
      <c r="C776" s="13"/>
    </row>
    <row r="777" spans="1:3" ht="13" x14ac:dyDescent="0.15">
      <c r="A777" s="10"/>
      <c r="B777" s="13"/>
      <c r="C777" s="13"/>
    </row>
    <row r="778" spans="1:3" ht="13" x14ac:dyDescent="0.15">
      <c r="A778" s="10"/>
      <c r="B778" s="13"/>
      <c r="C778" s="13"/>
    </row>
    <row r="779" spans="1:3" ht="13" x14ac:dyDescent="0.15">
      <c r="A779" s="10"/>
      <c r="B779" s="13"/>
      <c r="C779" s="13"/>
    </row>
    <row r="780" spans="1:3" ht="13" x14ac:dyDescent="0.15">
      <c r="A780" s="10"/>
      <c r="B780" s="13"/>
      <c r="C780" s="13"/>
    </row>
    <row r="781" spans="1:3" ht="13" x14ac:dyDescent="0.15">
      <c r="A781" s="10"/>
      <c r="B781" s="13"/>
      <c r="C781" s="13"/>
    </row>
    <row r="782" spans="1:3" ht="13" x14ac:dyDescent="0.15">
      <c r="A782" s="10"/>
      <c r="B782" s="13"/>
      <c r="C782" s="13"/>
    </row>
    <row r="783" spans="1:3" ht="13" x14ac:dyDescent="0.15">
      <c r="A783" s="10"/>
      <c r="B783" s="13"/>
      <c r="C783" s="13"/>
    </row>
    <row r="784" spans="1:3" ht="13" x14ac:dyDescent="0.15">
      <c r="A784" s="10"/>
      <c r="B784" s="13"/>
      <c r="C784" s="13"/>
    </row>
    <row r="785" spans="1:3" ht="13" x14ac:dyDescent="0.15">
      <c r="A785" s="10"/>
      <c r="B785" s="13"/>
      <c r="C785" s="13"/>
    </row>
    <row r="786" spans="1:3" ht="13" x14ac:dyDescent="0.15">
      <c r="A786" s="10"/>
      <c r="B786" s="13"/>
      <c r="C786" s="13"/>
    </row>
    <row r="787" spans="1:3" ht="13" x14ac:dyDescent="0.15">
      <c r="A787" s="10"/>
      <c r="B787" s="13"/>
      <c r="C787" s="13"/>
    </row>
    <row r="788" spans="1:3" ht="13" x14ac:dyDescent="0.15">
      <c r="A788" s="10"/>
      <c r="B788" s="13"/>
      <c r="C788" s="13"/>
    </row>
    <row r="789" spans="1:3" ht="13" x14ac:dyDescent="0.15">
      <c r="A789" s="10"/>
      <c r="B789" s="13"/>
      <c r="C789" s="13"/>
    </row>
    <row r="790" spans="1:3" ht="13" x14ac:dyDescent="0.15">
      <c r="A790" s="10"/>
      <c r="B790" s="13"/>
      <c r="C790" s="13"/>
    </row>
    <row r="791" spans="1:3" ht="13" x14ac:dyDescent="0.15">
      <c r="A791" s="10"/>
      <c r="B791" s="13"/>
      <c r="C791" s="13"/>
    </row>
    <row r="792" spans="1:3" ht="13" x14ac:dyDescent="0.15">
      <c r="A792" s="10"/>
      <c r="B792" s="13"/>
      <c r="C792" s="13"/>
    </row>
    <row r="793" spans="1:3" ht="13" x14ac:dyDescent="0.15">
      <c r="A793" s="10"/>
      <c r="B793" s="13"/>
      <c r="C793" s="13"/>
    </row>
    <row r="794" spans="1:3" ht="13" x14ac:dyDescent="0.15">
      <c r="A794" s="10"/>
      <c r="B794" s="13"/>
      <c r="C794" s="13"/>
    </row>
    <row r="795" spans="1:3" ht="13" x14ac:dyDescent="0.15">
      <c r="A795" s="10"/>
      <c r="B795" s="13"/>
      <c r="C795" s="13"/>
    </row>
    <row r="796" spans="1:3" ht="13" x14ac:dyDescent="0.15">
      <c r="A796" s="10"/>
      <c r="B796" s="13"/>
      <c r="C796" s="13"/>
    </row>
    <row r="797" spans="1:3" ht="13" x14ac:dyDescent="0.15">
      <c r="A797" s="10"/>
      <c r="B797" s="13"/>
      <c r="C797" s="13"/>
    </row>
    <row r="798" spans="1:3" ht="13" x14ac:dyDescent="0.15">
      <c r="A798" s="10"/>
      <c r="B798" s="13"/>
      <c r="C798" s="13"/>
    </row>
    <row r="799" spans="1:3" ht="13" x14ac:dyDescent="0.15">
      <c r="A799" s="10"/>
      <c r="B799" s="13"/>
      <c r="C799" s="13"/>
    </row>
    <row r="800" spans="1:3" ht="13" x14ac:dyDescent="0.15">
      <c r="A800" s="10"/>
      <c r="B800" s="13"/>
      <c r="C800" s="13"/>
    </row>
    <row r="801" spans="1:3" ht="13" x14ac:dyDescent="0.15">
      <c r="A801" s="10"/>
      <c r="B801" s="13"/>
      <c r="C801" s="13"/>
    </row>
    <row r="802" spans="1:3" ht="13" x14ac:dyDescent="0.15">
      <c r="A802" s="10"/>
      <c r="B802" s="13"/>
      <c r="C802" s="13"/>
    </row>
    <row r="803" spans="1:3" ht="13" x14ac:dyDescent="0.15">
      <c r="A803" s="10"/>
      <c r="B803" s="13"/>
      <c r="C803" s="13"/>
    </row>
    <row r="804" spans="1:3" ht="13" x14ac:dyDescent="0.15">
      <c r="A804" s="10"/>
      <c r="B804" s="13"/>
      <c r="C804" s="13"/>
    </row>
    <row r="805" spans="1:3" ht="13" x14ac:dyDescent="0.15">
      <c r="A805" s="10"/>
      <c r="B805" s="13"/>
      <c r="C805" s="13"/>
    </row>
    <row r="806" spans="1:3" ht="13" x14ac:dyDescent="0.15">
      <c r="A806" s="10"/>
      <c r="B806" s="13"/>
      <c r="C806" s="13"/>
    </row>
    <row r="807" spans="1:3" ht="13" x14ac:dyDescent="0.15">
      <c r="A807" s="10"/>
      <c r="B807" s="13"/>
      <c r="C807" s="13"/>
    </row>
    <row r="808" spans="1:3" ht="13" x14ac:dyDescent="0.15">
      <c r="A808" s="10"/>
      <c r="B808" s="13"/>
      <c r="C808" s="13"/>
    </row>
    <row r="809" spans="1:3" ht="13" x14ac:dyDescent="0.15">
      <c r="A809" s="10"/>
      <c r="B809" s="13"/>
      <c r="C809" s="13"/>
    </row>
    <row r="810" spans="1:3" ht="13" x14ac:dyDescent="0.15">
      <c r="A810" s="10"/>
      <c r="B810" s="13"/>
      <c r="C810" s="13"/>
    </row>
    <row r="811" spans="1:3" ht="13" x14ac:dyDescent="0.15">
      <c r="A811" s="10"/>
      <c r="B811" s="13"/>
      <c r="C811" s="13"/>
    </row>
    <row r="812" spans="1:3" ht="13" x14ac:dyDescent="0.15">
      <c r="A812" s="10"/>
      <c r="B812" s="13"/>
      <c r="C812" s="13"/>
    </row>
    <row r="813" spans="1:3" ht="13" x14ac:dyDescent="0.15">
      <c r="A813" s="10"/>
      <c r="B813" s="13"/>
      <c r="C813" s="13"/>
    </row>
    <row r="814" spans="1:3" ht="13" x14ac:dyDescent="0.15">
      <c r="A814" s="10"/>
      <c r="B814" s="13"/>
      <c r="C814" s="13"/>
    </row>
    <row r="815" spans="1:3" ht="13" x14ac:dyDescent="0.15">
      <c r="A815" s="10"/>
      <c r="B815" s="13"/>
      <c r="C815" s="13"/>
    </row>
    <row r="816" spans="1:3" ht="13" x14ac:dyDescent="0.15">
      <c r="A816" s="10"/>
      <c r="B816" s="13"/>
      <c r="C816" s="13"/>
    </row>
    <row r="817" spans="1:3" ht="13" x14ac:dyDescent="0.15">
      <c r="A817" s="10"/>
      <c r="B817" s="13"/>
      <c r="C817" s="13"/>
    </row>
    <row r="818" spans="1:3" ht="13" x14ac:dyDescent="0.15">
      <c r="A818" s="10"/>
      <c r="B818" s="13"/>
      <c r="C818" s="13"/>
    </row>
    <row r="819" spans="1:3" ht="13" x14ac:dyDescent="0.15">
      <c r="A819" s="10"/>
      <c r="B819" s="13"/>
      <c r="C819" s="13"/>
    </row>
    <row r="820" spans="1:3" ht="13" x14ac:dyDescent="0.15">
      <c r="A820" s="10"/>
      <c r="B820" s="13"/>
      <c r="C820" s="13"/>
    </row>
    <row r="821" spans="1:3" ht="13" x14ac:dyDescent="0.15">
      <c r="A821" s="10"/>
      <c r="B821" s="13"/>
      <c r="C821" s="13"/>
    </row>
    <row r="822" spans="1:3" ht="13" x14ac:dyDescent="0.15">
      <c r="A822" s="10"/>
      <c r="B822" s="13"/>
      <c r="C822" s="13"/>
    </row>
    <row r="823" spans="1:3" ht="13" x14ac:dyDescent="0.15">
      <c r="A823" s="10"/>
      <c r="B823" s="13"/>
      <c r="C823" s="13"/>
    </row>
    <row r="824" spans="1:3" ht="13" x14ac:dyDescent="0.15">
      <c r="A824" s="10"/>
      <c r="B824" s="13"/>
      <c r="C824" s="13"/>
    </row>
    <row r="825" spans="1:3" ht="13" x14ac:dyDescent="0.15">
      <c r="A825" s="10"/>
      <c r="B825" s="13"/>
      <c r="C825" s="13"/>
    </row>
    <row r="826" spans="1:3" ht="13" x14ac:dyDescent="0.15">
      <c r="A826" s="10"/>
      <c r="B826" s="13"/>
      <c r="C826" s="13"/>
    </row>
    <row r="827" spans="1:3" ht="13" x14ac:dyDescent="0.15">
      <c r="A827" s="10"/>
      <c r="B827" s="13"/>
      <c r="C827" s="13"/>
    </row>
    <row r="828" spans="1:3" ht="13" x14ac:dyDescent="0.15">
      <c r="A828" s="10"/>
      <c r="B828" s="13"/>
      <c r="C828" s="13"/>
    </row>
    <row r="829" spans="1:3" ht="13" x14ac:dyDescent="0.15">
      <c r="A829" s="10"/>
      <c r="B829" s="13"/>
      <c r="C829" s="13"/>
    </row>
    <row r="830" spans="1:3" ht="13" x14ac:dyDescent="0.15">
      <c r="A830" s="10"/>
      <c r="B830" s="13"/>
      <c r="C830" s="13"/>
    </row>
    <row r="831" spans="1:3" ht="13" x14ac:dyDescent="0.15">
      <c r="A831" s="10"/>
      <c r="B831" s="13"/>
      <c r="C831" s="13"/>
    </row>
    <row r="832" spans="1:3" ht="13" x14ac:dyDescent="0.15">
      <c r="A832" s="10"/>
      <c r="B832" s="13"/>
      <c r="C832" s="13"/>
    </row>
    <row r="833" spans="1:3" ht="13" x14ac:dyDescent="0.15">
      <c r="A833" s="10"/>
      <c r="B833" s="13"/>
      <c r="C833" s="13"/>
    </row>
    <row r="834" spans="1:3" ht="13" x14ac:dyDescent="0.15">
      <c r="A834" s="10"/>
      <c r="B834" s="13"/>
      <c r="C834" s="13"/>
    </row>
    <row r="835" spans="1:3" ht="13" x14ac:dyDescent="0.15">
      <c r="A835" s="10"/>
      <c r="B835" s="13"/>
      <c r="C835" s="13"/>
    </row>
    <row r="836" spans="1:3" ht="13" x14ac:dyDescent="0.15">
      <c r="A836" s="10"/>
      <c r="B836" s="13"/>
      <c r="C836" s="13"/>
    </row>
    <row r="837" spans="1:3" ht="13" x14ac:dyDescent="0.15">
      <c r="A837" s="10"/>
      <c r="B837" s="13"/>
      <c r="C837" s="13"/>
    </row>
    <row r="838" spans="1:3" ht="13" x14ac:dyDescent="0.15">
      <c r="A838" s="10"/>
      <c r="B838" s="13"/>
      <c r="C838" s="13"/>
    </row>
    <row r="839" spans="1:3" ht="13" x14ac:dyDescent="0.15">
      <c r="A839" s="10"/>
      <c r="B839" s="13"/>
      <c r="C839" s="13"/>
    </row>
    <row r="840" spans="1:3" ht="13" x14ac:dyDescent="0.15">
      <c r="A840" s="10"/>
      <c r="B840" s="13"/>
      <c r="C840" s="13"/>
    </row>
    <row r="841" spans="1:3" ht="13" x14ac:dyDescent="0.15">
      <c r="A841" s="10"/>
      <c r="B841" s="13"/>
      <c r="C841" s="13"/>
    </row>
    <row r="842" spans="1:3" ht="13" x14ac:dyDescent="0.15">
      <c r="A842" s="10"/>
      <c r="B842" s="13"/>
      <c r="C842" s="13"/>
    </row>
    <row r="843" spans="1:3" ht="13" x14ac:dyDescent="0.15">
      <c r="A843" s="10"/>
      <c r="B843" s="13"/>
      <c r="C843" s="13"/>
    </row>
    <row r="844" spans="1:3" ht="13" x14ac:dyDescent="0.15">
      <c r="A844" s="10"/>
      <c r="B844" s="13"/>
      <c r="C844" s="13"/>
    </row>
    <row r="845" spans="1:3" ht="13" x14ac:dyDescent="0.15">
      <c r="A845" s="10"/>
      <c r="B845" s="13"/>
      <c r="C845" s="13"/>
    </row>
    <row r="846" spans="1:3" ht="13" x14ac:dyDescent="0.15">
      <c r="A846" s="10"/>
      <c r="B846" s="13"/>
      <c r="C846" s="13"/>
    </row>
    <row r="847" spans="1:3" ht="13" x14ac:dyDescent="0.15">
      <c r="A847" s="10"/>
      <c r="B847" s="13"/>
      <c r="C847" s="13"/>
    </row>
    <row r="848" spans="1:3" ht="13" x14ac:dyDescent="0.15">
      <c r="A848" s="10"/>
      <c r="B848" s="13"/>
      <c r="C848" s="13"/>
    </row>
    <row r="849" spans="1:3" ht="13" x14ac:dyDescent="0.15">
      <c r="A849" s="10"/>
      <c r="B849" s="13"/>
      <c r="C849" s="13"/>
    </row>
    <row r="850" spans="1:3" ht="13" x14ac:dyDescent="0.15">
      <c r="A850" s="10"/>
      <c r="B850" s="13"/>
      <c r="C850" s="13"/>
    </row>
    <row r="851" spans="1:3" ht="13" x14ac:dyDescent="0.15">
      <c r="A851" s="10"/>
      <c r="B851" s="13"/>
      <c r="C851" s="13"/>
    </row>
    <row r="852" spans="1:3" ht="13" x14ac:dyDescent="0.15">
      <c r="A852" s="10"/>
      <c r="B852" s="13"/>
      <c r="C852" s="13"/>
    </row>
    <row r="853" spans="1:3" ht="13" x14ac:dyDescent="0.15">
      <c r="A853" s="10"/>
      <c r="B853" s="13"/>
      <c r="C853" s="13"/>
    </row>
    <row r="854" spans="1:3" ht="13" x14ac:dyDescent="0.15">
      <c r="A854" s="10"/>
      <c r="B854" s="13"/>
      <c r="C854" s="13"/>
    </row>
    <row r="855" spans="1:3" ht="13" x14ac:dyDescent="0.15">
      <c r="A855" s="10"/>
      <c r="B855" s="13"/>
      <c r="C855" s="13"/>
    </row>
    <row r="856" spans="1:3" ht="13" x14ac:dyDescent="0.15">
      <c r="A856" s="10"/>
      <c r="B856" s="13"/>
      <c r="C856" s="13"/>
    </row>
    <row r="857" spans="1:3" ht="13" x14ac:dyDescent="0.15">
      <c r="A857" s="10"/>
      <c r="B857" s="13"/>
      <c r="C857" s="13"/>
    </row>
    <row r="858" spans="1:3" ht="13" x14ac:dyDescent="0.15">
      <c r="A858" s="10"/>
      <c r="B858" s="13"/>
      <c r="C858" s="13"/>
    </row>
    <row r="859" spans="1:3" ht="13" x14ac:dyDescent="0.15">
      <c r="A859" s="10"/>
      <c r="B859" s="13"/>
      <c r="C859" s="13"/>
    </row>
    <row r="860" spans="1:3" ht="13" x14ac:dyDescent="0.15">
      <c r="A860" s="10"/>
      <c r="B860" s="13"/>
      <c r="C860" s="13"/>
    </row>
    <row r="861" spans="1:3" ht="13" x14ac:dyDescent="0.15">
      <c r="A861" s="10"/>
      <c r="B861" s="13"/>
      <c r="C861" s="13"/>
    </row>
    <row r="862" spans="1:3" ht="13" x14ac:dyDescent="0.15">
      <c r="A862" s="10"/>
      <c r="B862" s="13"/>
      <c r="C862" s="13"/>
    </row>
    <row r="863" spans="1:3" ht="13" x14ac:dyDescent="0.15">
      <c r="A863" s="10"/>
      <c r="B863" s="13"/>
      <c r="C863" s="13"/>
    </row>
    <row r="864" spans="1:3" ht="13" x14ac:dyDescent="0.15">
      <c r="A864" s="10"/>
      <c r="B864" s="13"/>
      <c r="C864" s="13"/>
    </row>
    <row r="865" spans="1:3" ht="13" x14ac:dyDescent="0.15">
      <c r="A865" s="10"/>
      <c r="B865" s="13"/>
      <c r="C865" s="13"/>
    </row>
    <row r="866" spans="1:3" ht="13" x14ac:dyDescent="0.15">
      <c r="A866" s="10"/>
      <c r="B866" s="13"/>
      <c r="C866" s="13"/>
    </row>
    <row r="867" spans="1:3" ht="13" x14ac:dyDescent="0.15">
      <c r="A867" s="10"/>
      <c r="B867" s="13"/>
      <c r="C867" s="13"/>
    </row>
    <row r="868" spans="1:3" ht="13" x14ac:dyDescent="0.15">
      <c r="A868" s="10"/>
      <c r="B868" s="13"/>
      <c r="C868" s="13"/>
    </row>
    <row r="869" spans="1:3" ht="13" x14ac:dyDescent="0.15">
      <c r="A869" s="10"/>
      <c r="B869" s="13"/>
      <c r="C869" s="13"/>
    </row>
    <row r="870" spans="1:3" ht="13" x14ac:dyDescent="0.15">
      <c r="A870" s="10"/>
      <c r="B870" s="13"/>
      <c r="C870" s="13"/>
    </row>
    <row r="871" spans="1:3" ht="13" x14ac:dyDescent="0.15">
      <c r="A871" s="10"/>
      <c r="B871" s="13"/>
      <c r="C871" s="13"/>
    </row>
    <row r="872" spans="1:3" ht="13" x14ac:dyDescent="0.15">
      <c r="A872" s="10"/>
      <c r="B872" s="13"/>
      <c r="C872" s="13"/>
    </row>
    <row r="873" spans="1:3" ht="13" x14ac:dyDescent="0.15">
      <c r="A873" s="10"/>
      <c r="B873" s="13"/>
      <c r="C873" s="13"/>
    </row>
    <row r="874" spans="1:3" ht="13" x14ac:dyDescent="0.15">
      <c r="A874" s="10"/>
      <c r="B874" s="13"/>
      <c r="C874" s="13"/>
    </row>
    <row r="875" spans="1:3" ht="13" x14ac:dyDescent="0.15">
      <c r="A875" s="10"/>
      <c r="B875" s="13"/>
      <c r="C875" s="13"/>
    </row>
    <row r="876" spans="1:3" ht="13" x14ac:dyDescent="0.15">
      <c r="A876" s="10"/>
      <c r="B876" s="13"/>
      <c r="C876" s="13"/>
    </row>
    <row r="877" spans="1:3" ht="13" x14ac:dyDescent="0.15">
      <c r="A877" s="10"/>
      <c r="B877" s="13"/>
      <c r="C877" s="13"/>
    </row>
    <row r="878" spans="1:3" ht="13" x14ac:dyDescent="0.15">
      <c r="A878" s="10"/>
      <c r="B878" s="13"/>
      <c r="C878" s="13"/>
    </row>
    <row r="879" spans="1:3" ht="13" x14ac:dyDescent="0.15">
      <c r="A879" s="10"/>
      <c r="B879" s="13"/>
      <c r="C879" s="13"/>
    </row>
    <row r="880" spans="1:3" ht="13" x14ac:dyDescent="0.15">
      <c r="A880" s="10"/>
      <c r="B880" s="13"/>
      <c r="C880" s="13"/>
    </row>
    <row r="881" spans="1:3" ht="13" x14ac:dyDescent="0.15">
      <c r="A881" s="10"/>
      <c r="B881" s="13"/>
      <c r="C881" s="13"/>
    </row>
    <row r="882" spans="1:3" ht="13" x14ac:dyDescent="0.15">
      <c r="A882" s="10"/>
      <c r="B882" s="13"/>
      <c r="C882" s="13"/>
    </row>
    <row r="883" spans="1:3" ht="13" x14ac:dyDescent="0.15">
      <c r="A883" s="10"/>
      <c r="B883" s="13"/>
      <c r="C883" s="13"/>
    </row>
    <row r="884" spans="1:3" ht="13" x14ac:dyDescent="0.15">
      <c r="A884" s="10"/>
      <c r="B884" s="13"/>
      <c r="C884" s="13"/>
    </row>
    <row r="885" spans="1:3" ht="13" x14ac:dyDescent="0.15">
      <c r="A885" s="10"/>
      <c r="B885" s="13"/>
      <c r="C885" s="13"/>
    </row>
    <row r="886" spans="1:3" ht="13" x14ac:dyDescent="0.15">
      <c r="A886" s="10"/>
      <c r="B886" s="13"/>
      <c r="C886" s="13"/>
    </row>
    <row r="887" spans="1:3" ht="13" x14ac:dyDescent="0.15">
      <c r="A887" s="10"/>
      <c r="B887" s="13"/>
      <c r="C887" s="13"/>
    </row>
    <row r="888" spans="1:3" ht="13" x14ac:dyDescent="0.15">
      <c r="A888" s="10"/>
      <c r="B888" s="13"/>
      <c r="C888" s="13"/>
    </row>
    <row r="889" spans="1:3" ht="13" x14ac:dyDescent="0.15">
      <c r="A889" s="10"/>
      <c r="B889" s="13"/>
      <c r="C889" s="13"/>
    </row>
    <row r="890" spans="1:3" ht="13" x14ac:dyDescent="0.15">
      <c r="A890" s="10"/>
      <c r="B890" s="13"/>
      <c r="C890" s="13"/>
    </row>
    <row r="891" spans="1:3" ht="13" x14ac:dyDescent="0.15">
      <c r="A891" s="10"/>
      <c r="B891" s="13"/>
      <c r="C891" s="13"/>
    </row>
    <row r="892" spans="1:3" ht="13" x14ac:dyDescent="0.15">
      <c r="A892" s="10"/>
      <c r="B892" s="13"/>
      <c r="C892" s="13"/>
    </row>
    <row r="893" spans="1:3" ht="13" x14ac:dyDescent="0.15">
      <c r="A893" s="10"/>
      <c r="B893" s="13"/>
      <c r="C893" s="13"/>
    </row>
    <row r="894" spans="1:3" ht="13" x14ac:dyDescent="0.15">
      <c r="A894" s="10"/>
      <c r="B894" s="13"/>
      <c r="C894" s="13"/>
    </row>
    <row r="895" spans="1:3" ht="13" x14ac:dyDescent="0.15">
      <c r="A895" s="10"/>
      <c r="B895" s="13"/>
      <c r="C895" s="13"/>
    </row>
    <row r="896" spans="1:3" ht="13" x14ac:dyDescent="0.15">
      <c r="A896" s="10"/>
      <c r="B896" s="13"/>
      <c r="C896" s="13"/>
    </row>
    <row r="897" spans="1:3" ht="13" x14ac:dyDescent="0.15">
      <c r="A897" s="10"/>
      <c r="B897" s="13"/>
      <c r="C897" s="13"/>
    </row>
    <row r="898" spans="1:3" ht="13" x14ac:dyDescent="0.15">
      <c r="A898" s="10"/>
      <c r="B898" s="13"/>
      <c r="C898" s="13"/>
    </row>
    <row r="899" spans="1:3" ht="13" x14ac:dyDescent="0.15">
      <c r="A899" s="10"/>
      <c r="B899" s="13"/>
      <c r="C899" s="13"/>
    </row>
    <row r="900" spans="1:3" ht="13" x14ac:dyDescent="0.15">
      <c r="A900" s="10"/>
      <c r="B900" s="13"/>
      <c r="C900" s="13"/>
    </row>
    <row r="901" spans="1:3" ht="13" x14ac:dyDescent="0.15">
      <c r="A901" s="10"/>
      <c r="B901" s="13"/>
      <c r="C901" s="13"/>
    </row>
    <row r="902" spans="1:3" ht="13" x14ac:dyDescent="0.15">
      <c r="A902" s="10"/>
      <c r="B902" s="13"/>
      <c r="C902" s="13"/>
    </row>
    <row r="903" spans="1:3" ht="13" x14ac:dyDescent="0.15">
      <c r="A903" s="10"/>
      <c r="B903" s="13"/>
      <c r="C903" s="13"/>
    </row>
    <row r="904" spans="1:3" ht="13" x14ac:dyDescent="0.15">
      <c r="A904" s="10"/>
      <c r="B904" s="13"/>
      <c r="C904" s="13"/>
    </row>
    <row r="905" spans="1:3" ht="13" x14ac:dyDescent="0.15">
      <c r="A905" s="10"/>
      <c r="B905" s="13"/>
      <c r="C905" s="13"/>
    </row>
    <row r="906" spans="1:3" ht="13" x14ac:dyDescent="0.15">
      <c r="A906" s="10"/>
      <c r="B906" s="13"/>
      <c r="C906" s="13"/>
    </row>
    <row r="907" spans="1:3" ht="13" x14ac:dyDescent="0.15">
      <c r="A907" s="10"/>
      <c r="B907" s="13"/>
      <c r="C907" s="13"/>
    </row>
    <row r="908" spans="1:3" ht="13" x14ac:dyDescent="0.15">
      <c r="A908" s="10"/>
      <c r="B908" s="13"/>
      <c r="C908" s="13"/>
    </row>
    <row r="909" spans="1:3" ht="13" x14ac:dyDescent="0.15">
      <c r="A909" s="10"/>
      <c r="B909" s="13"/>
      <c r="C909" s="13"/>
    </row>
    <row r="910" spans="1:3" ht="13" x14ac:dyDescent="0.15">
      <c r="A910" s="10"/>
      <c r="B910" s="13"/>
      <c r="C910" s="13"/>
    </row>
    <row r="911" spans="1:3" ht="13" x14ac:dyDescent="0.15">
      <c r="A911" s="10"/>
      <c r="B911" s="13"/>
      <c r="C911" s="13"/>
    </row>
    <row r="912" spans="1:3" ht="13" x14ac:dyDescent="0.15">
      <c r="A912" s="10"/>
      <c r="B912" s="13"/>
      <c r="C912" s="13"/>
    </row>
    <row r="913" spans="1:3" ht="13" x14ac:dyDescent="0.15">
      <c r="A913" s="10"/>
      <c r="B913" s="13"/>
      <c r="C913" s="13"/>
    </row>
    <row r="914" spans="1:3" ht="13" x14ac:dyDescent="0.15">
      <c r="A914" s="10"/>
      <c r="B914" s="13"/>
      <c r="C914" s="13"/>
    </row>
    <row r="915" spans="1:3" ht="13" x14ac:dyDescent="0.15">
      <c r="A915" s="10"/>
      <c r="B915" s="13"/>
      <c r="C915" s="13"/>
    </row>
    <row r="916" spans="1:3" ht="13" x14ac:dyDescent="0.15">
      <c r="A916" s="10"/>
      <c r="B916" s="13"/>
      <c r="C916" s="13"/>
    </row>
    <row r="917" spans="1:3" ht="13" x14ac:dyDescent="0.15">
      <c r="A917" s="10"/>
      <c r="B917" s="13"/>
      <c r="C917" s="13"/>
    </row>
    <row r="918" spans="1:3" ht="13" x14ac:dyDescent="0.15">
      <c r="A918" s="10"/>
      <c r="B918" s="13"/>
      <c r="C918" s="13"/>
    </row>
    <row r="919" spans="1:3" ht="13" x14ac:dyDescent="0.15">
      <c r="A919" s="10"/>
      <c r="B919" s="13"/>
      <c r="C919" s="13"/>
    </row>
    <row r="920" spans="1:3" ht="13" x14ac:dyDescent="0.15">
      <c r="A920" s="10"/>
      <c r="B920" s="13"/>
      <c r="C920" s="13"/>
    </row>
    <row r="921" spans="1:3" ht="13" x14ac:dyDescent="0.15">
      <c r="A921" s="10"/>
      <c r="B921" s="13"/>
      <c r="C921" s="13"/>
    </row>
    <row r="922" spans="1:3" ht="13" x14ac:dyDescent="0.15">
      <c r="A922" s="10"/>
      <c r="B922" s="13"/>
      <c r="C922" s="13"/>
    </row>
    <row r="923" spans="1:3" ht="13" x14ac:dyDescent="0.15">
      <c r="A923" s="10"/>
      <c r="B923" s="13"/>
      <c r="C923" s="13"/>
    </row>
    <row r="924" spans="1:3" ht="13" x14ac:dyDescent="0.15">
      <c r="A924" s="10"/>
      <c r="B924" s="13"/>
      <c r="C924" s="13"/>
    </row>
    <row r="925" spans="1:3" ht="13" x14ac:dyDescent="0.15">
      <c r="A925" s="10"/>
      <c r="B925" s="13"/>
      <c r="C925" s="13"/>
    </row>
    <row r="926" spans="1:3" ht="13" x14ac:dyDescent="0.15">
      <c r="A926" s="10"/>
      <c r="B926" s="13"/>
      <c r="C926" s="13"/>
    </row>
    <row r="927" spans="1:3" ht="13" x14ac:dyDescent="0.15">
      <c r="A927" s="10"/>
      <c r="B927" s="13"/>
      <c r="C927" s="13"/>
    </row>
    <row r="928" spans="1:3" ht="13" x14ac:dyDescent="0.15">
      <c r="A928" s="10"/>
      <c r="B928" s="13"/>
      <c r="C928" s="13"/>
    </row>
    <row r="929" spans="1:3" ht="13" x14ac:dyDescent="0.15">
      <c r="A929" s="10"/>
      <c r="B929" s="13"/>
      <c r="C929" s="13"/>
    </row>
    <row r="930" spans="1:3" ht="13" x14ac:dyDescent="0.15">
      <c r="A930" s="10"/>
      <c r="B930" s="13"/>
      <c r="C930" s="13"/>
    </row>
    <row r="931" spans="1:3" ht="13" x14ac:dyDescent="0.15">
      <c r="A931" s="10"/>
      <c r="B931" s="13"/>
      <c r="C931" s="13"/>
    </row>
    <row r="932" spans="1:3" ht="13" x14ac:dyDescent="0.15">
      <c r="A932" s="10"/>
      <c r="B932" s="13"/>
      <c r="C932" s="13"/>
    </row>
    <row r="933" spans="1:3" ht="13" x14ac:dyDescent="0.15">
      <c r="A933" s="10"/>
      <c r="B933" s="13"/>
      <c r="C933" s="13"/>
    </row>
    <row r="934" spans="1:3" ht="13" x14ac:dyDescent="0.15">
      <c r="A934" s="10"/>
      <c r="B934" s="13"/>
      <c r="C934" s="13"/>
    </row>
    <row r="935" spans="1:3" ht="13" x14ac:dyDescent="0.15">
      <c r="A935" s="10"/>
      <c r="B935" s="13"/>
      <c r="C935" s="13"/>
    </row>
    <row r="936" spans="1:3" ht="13" x14ac:dyDescent="0.15">
      <c r="A936" s="10"/>
      <c r="B936" s="13"/>
      <c r="C936" s="13"/>
    </row>
    <row r="937" spans="1:3" ht="13" x14ac:dyDescent="0.15">
      <c r="A937" s="10"/>
      <c r="B937" s="13"/>
      <c r="C937" s="13"/>
    </row>
    <row r="938" spans="1:3" ht="13" x14ac:dyDescent="0.15">
      <c r="A938" s="10"/>
      <c r="B938" s="13"/>
      <c r="C938" s="13"/>
    </row>
    <row r="939" spans="1:3" ht="13" x14ac:dyDescent="0.15">
      <c r="A939" s="10"/>
      <c r="B939" s="13"/>
      <c r="C939" s="13"/>
    </row>
    <row r="940" spans="1:3" ht="13" x14ac:dyDescent="0.15">
      <c r="A940" s="10"/>
      <c r="B940" s="13"/>
      <c r="C940" s="13"/>
    </row>
    <row r="941" spans="1:3" ht="13" x14ac:dyDescent="0.15">
      <c r="A941" s="10"/>
      <c r="B941" s="13"/>
      <c r="C941" s="13"/>
    </row>
    <row r="942" spans="1:3" ht="13" x14ac:dyDescent="0.15">
      <c r="A942" s="10"/>
      <c r="B942" s="13"/>
      <c r="C942" s="13"/>
    </row>
    <row r="943" spans="1:3" ht="13" x14ac:dyDescent="0.15">
      <c r="A943" s="10"/>
      <c r="B943" s="13"/>
      <c r="C943" s="13"/>
    </row>
    <row r="944" spans="1:3" ht="13" x14ac:dyDescent="0.15">
      <c r="A944" s="10"/>
      <c r="B944" s="13"/>
      <c r="C944" s="13"/>
    </row>
    <row r="945" spans="1:3" ht="13" x14ac:dyDescent="0.15">
      <c r="A945" s="10"/>
      <c r="B945" s="13"/>
      <c r="C945" s="13"/>
    </row>
    <row r="946" spans="1:3" ht="13" x14ac:dyDescent="0.15">
      <c r="A946" s="10"/>
      <c r="B946" s="13"/>
      <c r="C946" s="13"/>
    </row>
    <row r="947" spans="1:3" ht="13" x14ac:dyDescent="0.15">
      <c r="A947" s="10"/>
      <c r="B947" s="13"/>
      <c r="C947" s="13"/>
    </row>
    <row r="948" spans="1:3" ht="13" x14ac:dyDescent="0.15">
      <c r="A948" s="10"/>
      <c r="B948" s="13"/>
      <c r="C948" s="13"/>
    </row>
    <row r="949" spans="1:3" ht="13" x14ac:dyDescent="0.15">
      <c r="A949" s="10"/>
      <c r="B949" s="13"/>
      <c r="C949" s="13"/>
    </row>
    <row r="950" spans="1:3" ht="13" x14ac:dyDescent="0.15">
      <c r="A950" s="10"/>
      <c r="B950" s="13"/>
      <c r="C950" s="13"/>
    </row>
    <row r="951" spans="1:3" ht="13" x14ac:dyDescent="0.15">
      <c r="A951" s="10"/>
      <c r="B951" s="13"/>
      <c r="C951" s="13"/>
    </row>
    <row r="952" spans="1:3" ht="13" x14ac:dyDescent="0.15">
      <c r="A952" s="10"/>
      <c r="B952" s="13"/>
      <c r="C952" s="13"/>
    </row>
    <row r="953" spans="1:3" ht="13" x14ac:dyDescent="0.15">
      <c r="A953" s="10"/>
      <c r="B953" s="13"/>
      <c r="C953" s="13"/>
    </row>
    <row r="954" spans="1:3" ht="13" x14ac:dyDescent="0.15">
      <c r="A954" s="10"/>
      <c r="B954" s="13"/>
      <c r="C954" s="13"/>
    </row>
    <row r="955" spans="1:3" ht="13" x14ac:dyDescent="0.15">
      <c r="A955" s="10"/>
      <c r="B955" s="13"/>
      <c r="C955" s="13"/>
    </row>
    <row r="956" spans="1:3" ht="13" x14ac:dyDescent="0.15">
      <c r="A956" s="10"/>
      <c r="B956" s="13"/>
      <c r="C956" s="13"/>
    </row>
    <row r="957" spans="1:3" ht="13" x14ac:dyDescent="0.15">
      <c r="A957" s="10"/>
      <c r="B957" s="13"/>
      <c r="C957" s="13"/>
    </row>
    <row r="958" spans="1:3" ht="13" x14ac:dyDescent="0.15">
      <c r="A958" s="10"/>
      <c r="B958" s="13"/>
      <c r="C958" s="13"/>
    </row>
    <row r="959" spans="1:3" ht="13" x14ac:dyDescent="0.15">
      <c r="A959" s="10"/>
      <c r="B959" s="13"/>
      <c r="C959" s="13"/>
    </row>
    <row r="960" spans="1:3" ht="13" x14ac:dyDescent="0.15">
      <c r="A960" s="10"/>
      <c r="B960" s="13"/>
      <c r="C960" s="13"/>
    </row>
    <row r="961" spans="1:3" ht="13" x14ac:dyDescent="0.15">
      <c r="A961" s="10"/>
      <c r="B961" s="13"/>
      <c r="C961" s="13"/>
    </row>
    <row r="962" spans="1:3" ht="13" x14ac:dyDescent="0.15">
      <c r="A962" s="10"/>
      <c r="B962" s="13"/>
      <c r="C962" s="13"/>
    </row>
    <row r="963" spans="1:3" ht="13" x14ac:dyDescent="0.15">
      <c r="A963" s="10"/>
      <c r="B963" s="13"/>
      <c r="C963" s="13"/>
    </row>
    <row r="964" spans="1:3" ht="13" x14ac:dyDescent="0.15">
      <c r="A964" s="10"/>
      <c r="B964" s="13"/>
      <c r="C964" s="13"/>
    </row>
    <row r="965" spans="1:3" ht="13" x14ac:dyDescent="0.15">
      <c r="A965" s="10"/>
      <c r="B965" s="13"/>
      <c r="C965" s="13"/>
    </row>
    <row r="966" spans="1:3" ht="13" x14ac:dyDescent="0.15">
      <c r="A966" s="10"/>
      <c r="B966" s="13"/>
      <c r="C966" s="13"/>
    </row>
    <row r="967" spans="1:3" ht="13" x14ac:dyDescent="0.15">
      <c r="A967" s="10"/>
      <c r="B967" s="13"/>
      <c r="C967" s="13"/>
    </row>
    <row r="968" spans="1:3" ht="13" x14ac:dyDescent="0.15">
      <c r="A968" s="10"/>
      <c r="B968" s="13"/>
      <c r="C968" s="13"/>
    </row>
    <row r="969" spans="1:3" ht="13" x14ac:dyDescent="0.15">
      <c r="A969" s="10"/>
      <c r="B969" s="13"/>
      <c r="C969" s="13"/>
    </row>
    <row r="970" spans="1:3" ht="13" x14ac:dyDescent="0.15">
      <c r="A970" s="10"/>
      <c r="B970" s="13"/>
      <c r="C970" s="13"/>
    </row>
    <row r="971" spans="1:3" ht="13" x14ac:dyDescent="0.15">
      <c r="A971" s="10"/>
      <c r="B971" s="13"/>
      <c r="C971" s="13"/>
    </row>
    <row r="972" spans="1:3" ht="13" x14ac:dyDescent="0.15">
      <c r="A972" s="10"/>
      <c r="B972" s="13"/>
      <c r="C972" s="13"/>
    </row>
    <row r="973" spans="1:3" ht="13" x14ac:dyDescent="0.15">
      <c r="A973" s="10"/>
      <c r="B973" s="13"/>
      <c r="C973" s="13"/>
    </row>
    <row r="974" spans="1:3" ht="13" x14ac:dyDescent="0.15">
      <c r="A974" s="10"/>
      <c r="B974" s="13"/>
      <c r="C974" s="13"/>
    </row>
    <row r="975" spans="1:3" ht="13" x14ac:dyDescent="0.15">
      <c r="A975" s="10"/>
      <c r="B975" s="13"/>
      <c r="C975" s="13"/>
    </row>
    <row r="976" spans="1:3" ht="13" x14ac:dyDescent="0.15">
      <c r="A976" s="10"/>
      <c r="B976" s="13"/>
      <c r="C976" s="13"/>
    </row>
    <row r="977" spans="1:3" ht="13" x14ac:dyDescent="0.15">
      <c r="A977" s="10"/>
      <c r="B977" s="13"/>
      <c r="C977" s="13"/>
    </row>
    <row r="978" spans="1:3" ht="13" x14ac:dyDescent="0.15">
      <c r="A978" s="10"/>
      <c r="B978" s="13"/>
      <c r="C978" s="13"/>
    </row>
    <row r="979" spans="1:3" ht="13" x14ac:dyDescent="0.15">
      <c r="A979" s="10"/>
      <c r="B979" s="13"/>
      <c r="C979" s="13"/>
    </row>
    <row r="980" spans="1:3" ht="13" x14ac:dyDescent="0.15">
      <c r="A980" s="10"/>
      <c r="B980" s="13"/>
      <c r="C980" s="13"/>
    </row>
    <row r="981" spans="1:3" ht="13" x14ac:dyDescent="0.15">
      <c r="A981" s="10"/>
      <c r="B981" s="13"/>
      <c r="C981" s="13"/>
    </row>
    <row r="982" spans="1:3" ht="13" x14ac:dyDescent="0.15">
      <c r="A982" s="10"/>
      <c r="B982" s="13"/>
      <c r="C982" s="13"/>
    </row>
    <row r="983" spans="1:3" ht="13" x14ac:dyDescent="0.15">
      <c r="A983" s="10"/>
      <c r="B983" s="13"/>
      <c r="C983" s="13"/>
    </row>
    <row r="984" spans="1:3" ht="13" x14ac:dyDescent="0.15">
      <c r="A984" s="10"/>
      <c r="B984" s="13"/>
      <c r="C984" s="13"/>
    </row>
    <row r="985" spans="1:3" ht="13" x14ac:dyDescent="0.15">
      <c r="A985" s="10"/>
      <c r="B985" s="13"/>
      <c r="C985" s="13"/>
    </row>
    <row r="986" spans="1:3" ht="13" x14ac:dyDescent="0.15">
      <c r="A986" s="10"/>
      <c r="B986" s="13"/>
      <c r="C986" s="13"/>
    </row>
    <row r="987" spans="1:3" ht="13" x14ac:dyDescent="0.15">
      <c r="A987" s="10"/>
      <c r="B987" s="13"/>
      <c r="C987" s="13"/>
    </row>
    <row r="988" spans="1:3" ht="13" x14ac:dyDescent="0.15">
      <c r="A988" s="10"/>
      <c r="B988" s="13"/>
      <c r="C988" s="13"/>
    </row>
    <row r="989" spans="1:3" ht="13" x14ac:dyDescent="0.15">
      <c r="A989" s="10"/>
      <c r="B989" s="13"/>
      <c r="C989" s="13"/>
    </row>
    <row r="990" spans="1:3" ht="13" x14ac:dyDescent="0.15">
      <c r="A990" s="10"/>
      <c r="B990" s="13"/>
      <c r="C990" s="13"/>
    </row>
    <row r="991" spans="1:3" ht="13" x14ac:dyDescent="0.15">
      <c r="A991" s="10"/>
      <c r="B991" s="13"/>
      <c r="C991" s="13"/>
    </row>
    <row r="992" spans="1:3" ht="13" x14ac:dyDescent="0.15">
      <c r="A992" s="10"/>
      <c r="B992" s="13"/>
      <c r="C992" s="13"/>
    </row>
    <row r="993" spans="1:3" ht="13" x14ac:dyDescent="0.15">
      <c r="A993" s="10"/>
      <c r="B993" s="13"/>
      <c r="C993" s="13"/>
    </row>
    <row r="994" spans="1:3" ht="13" x14ac:dyDescent="0.15">
      <c r="A994" s="10"/>
      <c r="B994" s="13"/>
      <c r="C994" s="13"/>
    </row>
    <row r="995" spans="1:3" ht="13" x14ac:dyDescent="0.15">
      <c r="A995" s="10"/>
      <c r="B995" s="13"/>
      <c r="C995" s="13"/>
    </row>
    <row r="996" spans="1:3" ht="13" x14ac:dyDescent="0.15">
      <c r="A996" s="10"/>
      <c r="B996" s="13"/>
      <c r="C996" s="13"/>
    </row>
    <row r="997" spans="1:3" ht="13" x14ac:dyDescent="0.15">
      <c r="A997" s="10"/>
      <c r="B997" s="13"/>
      <c r="C997" s="13"/>
    </row>
  </sheetData>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outlinePr summaryBelow="0" summaryRight="0"/>
  </sheetPr>
  <dimension ref="A1:D997"/>
  <sheetViews>
    <sheetView workbookViewId="0"/>
  </sheetViews>
  <sheetFormatPr baseColWidth="10" defaultColWidth="12.6640625" defaultRowHeight="15.75" customHeight="1" x14ac:dyDescent="0.15"/>
  <cols>
    <col min="1" max="1" width="71.5" customWidth="1"/>
    <col min="2" max="4" width="37.6640625" customWidth="1"/>
  </cols>
  <sheetData>
    <row r="1" spans="1:4" ht="15.75" customHeight="1" x14ac:dyDescent="0.15">
      <c r="A1" s="1"/>
      <c r="B1" s="12" t="str">
        <f ca="1">IFERROR(__xludf.DUMMYFUNCTION("IMPORTRANGE(""https://docs.google.com/spreadsheets/d/1C06Vs6H0Eg3__x1-dePLdZcY_bo1r3ReCeWRxqLlaS4"",""A98!B1:B22"")"),"Layla Baldwin")</f>
        <v>Layla Baldwin</v>
      </c>
      <c r="C1" s="12" t="str">
        <f ca="1">IFERROR(__xludf.DUMMYFUNCTION("IMPORTRANGE(""https://docs.google.com/spreadsheets/d/1Eq2M_a4_TeZImjU1FJcBSaIp6Xib8-RIHm3cQ24mbRI"", ""A98!B1:B22"")
"),"Zachary Edwards")</f>
        <v>Zachary Edwards</v>
      </c>
      <c r="D1" s="12" t="str">
        <f ca="1">IFERROR(__xludf.DUMMYFUNCTION("IMPORTRANGE(""https://docs.google.com/spreadsheets/u/0/d/1e6QLf1_HeiTNz7JOFlwsfbt48UsSPCJuGTSppexqIJc"", ""97!B1:B22"")"),"Tyler Thibodeaux")</f>
        <v>Tyler Thibodeaux</v>
      </c>
    </row>
    <row r="2" spans="1:4" ht="15.75" customHeight="1" x14ac:dyDescent="0.15">
      <c r="A2" s="3" t="s">
        <v>2</v>
      </c>
      <c r="B2" s="15" t="str">
        <f ca="1">IFERROR(__xludf.DUMMYFUNCTION("""COMPUTED_VALUE"""),"58415-58876, Forward")</f>
        <v>58415-58876, Forward</v>
      </c>
      <c r="C2" s="15" t="str">
        <f ca="1">IFERROR(__xludf.DUMMYFUNCTION("""COMPUTED_VALUE"""),"PHAM Start:58415 Stop:58876
DNAM Start:58415 Stop:58876
FOR")</f>
        <v>PHAM Start:58415 Stop:58876
DNAM Start:58415 Stop:58876
FOR</v>
      </c>
      <c r="D2" s="15" t="str">
        <f ca="1">IFERROR(__xludf.DUMMYFUNCTION("""COMPUTED_VALUE"""),"58415 to 58876 (Forward)")</f>
        <v>58415 to 58876 (Forward)</v>
      </c>
    </row>
    <row r="3" spans="1:4" ht="15.75" customHeight="1" x14ac:dyDescent="0.15">
      <c r="A3" s="5" t="s">
        <v>3</v>
      </c>
      <c r="B3" s="17" t="str">
        <f ca="1">IFERROR(__xludf.DUMMYFUNCTION("""COMPUTED_VALUE"""),"98 in Pham and PDB, 97 in DNAM")</f>
        <v>98 in Pham and PDB, 97 in DNAM</v>
      </c>
      <c r="C3" s="17" t="str">
        <f ca="1">IFERROR(__xludf.DUMMYFUNCTION("""COMPUTED_VALUE"""),"PHAM:98
DNAM:97")</f>
        <v>PHAM:98
DNAM:97</v>
      </c>
      <c r="D3" s="17" t="str">
        <f ca="1">IFERROR(__xludf.DUMMYFUNCTION("""COMPUTED_VALUE"""),"DNAm: 97, PHAM: 98")</f>
        <v>DNAm: 97, PHAM: 98</v>
      </c>
    </row>
    <row r="4" spans="1:4" ht="15.75" customHeight="1" x14ac:dyDescent="0.15">
      <c r="A4" s="5" t="s">
        <v>4</v>
      </c>
      <c r="B4" s="17" t="str">
        <f ca="1">IFERROR(__xludf.DUMMYFUNCTION("""COMPUTED_VALUE"""),"5910 - 3/5/25")</f>
        <v>5910 - 3/5/25</v>
      </c>
      <c r="C4" s="17" t="str">
        <f ca="1">IFERROR(__xludf.DUMMYFUNCTION("""COMPUTED_VALUE"""),"5910 3/19/25")</f>
        <v>5910 3/19/25</v>
      </c>
      <c r="D4" s="17" t="str">
        <f ca="1">IFERROR(__xludf.DUMMYFUNCTION("""COMPUTED_VALUE"""),"pham 5910, 3-21-25")</f>
        <v>pham 5910, 3-21-25</v>
      </c>
    </row>
    <row r="5" spans="1:4" ht="15.75" customHeight="1" x14ac:dyDescent="0.15">
      <c r="A5" s="5" t="s">
        <v>5</v>
      </c>
      <c r="B5" s="17" t="str">
        <f ca="1">IFERROR(__xludf.DUMMYFUNCTION("""COMPUTED_VALUE"""),"Edmundo_96, Kovu_96, LiSara_94")</f>
        <v>Edmundo_96, Kovu_96, LiSara_94</v>
      </c>
      <c r="C5" s="17" t="str">
        <f ca="1">IFERROR(__xludf.DUMMYFUNCTION("""COMPUTED_VALUE"""),"Kovu_96")</f>
        <v>Kovu_96</v>
      </c>
      <c r="D5" s="17"/>
    </row>
    <row r="6" spans="1:4" ht="15.75" customHeight="1" x14ac:dyDescent="0.15">
      <c r="A6" s="5" t="s">
        <v>6</v>
      </c>
      <c r="B6" s="17" t="str">
        <f ca="1">IFERROR(__xludf.DUMMYFUNCTION("""COMPUTED_VALUE"""),"Both call")</f>
        <v>Both call</v>
      </c>
      <c r="C6" s="17" t="str">
        <f ca="1">IFERROR(__xludf.DUMMYFUNCTION("""COMPUTED_VALUE"""),"Both call it a gene")</f>
        <v>Both call it a gene</v>
      </c>
      <c r="D6" s="17" t="str">
        <f ca="1">IFERROR(__xludf.DUMMYFUNCTION("""COMPUTED_VALUE"""),"Original Glimmer call @bp 58415, BOTH CALL for this ")</f>
        <v xml:space="preserve">Original Glimmer call @bp 58415, BOTH CALL for this </v>
      </c>
    </row>
    <row r="7" spans="1:4" ht="15.75" customHeight="1" x14ac:dyDescent="0.15">
      <c r="A7" s="5" t="s">
        <v>7</v>
      </c>
      <c r="B7" s="17" t="str">
        <f ca="1">IFERROR(__xludf.DUMMYFUNCTION("""COMPUTED_VALUE"""),"Called start doesn't capture potential, previous one does. Overall good potential")</f>
        <v>Called start doesn't capture potential, previous one does. Overall good potential</v>
      </c>
      <c r="C7" s="17" t="str">
        <f ca="1">IFERROR(__xludf.DUMMYFUNCTION("""COMPUTED_VALUE"""),"Yes")</f>
        <v>Yes</v>
      </c>
      <c r="D7" s="17" t="str">
        <f ca="1">IFERROR(__xludf.DUMMYFUNCTION("""COMPUTED_VALUE"""),"Good Coding Potential, It is included within the start. ")</f>
        <v xml:space="preserve">Good Coding Potential, It is included within the start. </v>
      </c>
    </row>
    <row r="8" spans="1:4" ht="15.75" customHeight="1" x14ac:dyDescent="0.15">
      <c r="A8" s="5" t="s">
        <v>8</v>
      </c>
      <c r="B8" s="17" t="str">
        <f ca="1">IFERROR(__xludf.DUMMYFUNCTION("""COMPUTED_VALUE"""),"No, one previous start")</f>
        <v>No, one previous start</v>
      </c>
      <c r="C8" s="17" t="str">
        <f ca="1">IFERROR(__xludf.DUMMYFUNCTION("""COMPUTED_VALUE"""),"No")</f>
        <v>No</v>
      </c>
      <c r="D8" s="17" t="str">
        <f ca="1">IFERROR(__xludf.DUMMYFUNCTION("""COMPUTED_VALUE"""),"It is not the longest because there is another start before the chosen one")</f>
        <v>It is not the longest because there is another start before the chosen one</v>
      </c>
    </row>
    <row r="9" spans="1:4" ht="15.75" customHeight="1" x14ac:dyDescent="0.15">
      <c r="A9" s="5" t="s">
        <v>9</v>
      </c>
      <c r="B9" s="17" t="str">
        <f ca="1">IFERROR(__xludf.DUMMYFUNCTION("""COMPUTED_VALUE"""),"78 bp gap with previous gene. ")</f>
        <v xml:space="preserve">78 bp gap with previous gene. </v>
      </c>
      <c r="C9" s="17" t="str">
        <f ca="1">IFERROR(__xludf.DUMMYFUNCTION("""COMPUTED_VALUE"""),"78 NT gap")</f>
        <v>78 NT gap</v>
      </c>
      <c r="D9" s="17" t="str">
        <f ca="1">IFERROR(__xludf.DUMMYFUNCTION("""COMPUTED_VALUE"""),"78 gap")</f>
        <v>78 gap</v>
      </c>
    </row>
    <row r="10" spans="1:4" ht="15.75" customHeight="1" x14ac:dyDescent="0.15">
      <c r="A10" s="5" t="s">
        <v>10</v>
      </c>
      <c r="B10" s="17" t="str">
        <f ca="1">IFERROR(__xludf.DUMMYFUNCTION("""COMPUTED_VALUE"""),"Chosen start has best Z and final. Z = 2.883 and final = -2.601. Previous start scores Z = 2.108, final -4.348")</f>
        <v>Chosen start has best Z and final. Z = 2.883 and final = -2.601. Previous start scores Z = 2.108, final -4.348</v>
      </c>
      <c r="C10" s="17" t="str">
        <f ca="1">IFERROR(__xludf.DUMMYFUNCTION("""COMPUTED_VALUE"""),"Current: 2.883 (58415) 
Earlier: 2.108 (58358)")</f>
        <v>Current: 2.883 (58415) 
Earlier: 2.108 (58358)</v>
      </c>
      <c r="D10" s="17" t="str">
        <f ca="1">IFERROR(__xludf.DUMMYFUNCTION("""COMPUTED_VALUE"""),"Zscore: 2.8, It is the best, but the previous start also has a 2.1 score")</f>
        <v>Zscore: 2.8, It is the best, but the previous start also has a 2.1 score</v>
      </c>
    </row>
    <row r="11" spans="1:4" ht="15.75" customHeight="1" x14ac:dyDescent="0.15">
      <c r="A11" s="5" t="s">
        <v>11</v>
      </c>
      <c r="B11" s="17" t="str">
        <f ca="1">IFERROR(__xludf.DUMMYFUNCTION("""COMPUTED_VALUE"""),"Kovu, % identity = 66.43, e value = 0, q 13:s 2")</f>
        <v>Kovu, % identity = 66.43, e value = 0, q 13:s 2</v>
      </c>
      <c r="C11" s="17" t="str">
        <f ca="1">IFERROR(__xludf.DUMMYFUNCTION("""COMPUTED_VALUE"""),"Kovu_96
E:0
%ID:66.43
13:2")</f>
        <v>Kovu_96
E:0
%ID:66.43
13:2</v>
      </c>
      <c r="D11" s="17" t="str">
        <f ca="1">IFERROR(__xludf.DUMMYFUNCTION("""COMPUTED_VALUE"""),"gamma-glutamyl cyclotransferase [Arthrobacter phage Kovu], 67% identity, e= 2e-54, q13:s2")</f>
        <v>gamma-glutamyl cyclotransferase [Arthrobacter phage Kovu], 67% identity, e= 2e-54, q13:s2</v>
      </c>
    </row>
    <row r="12" spans="1:4" ht="15.75" customHeight="1" x14ac:dyDescent="0.15">
      <c r="A12" s="5" t="s">
        <v>12</v>
      </c>
      <c r="B12" s="17" t="str">
        <f ca="1">IFERROR(__xludf.DUMMYFUNCTION("""COMPUTED_VALUE"""),"Found in 2/11 genes in pham. Called 100% of time when present. Previous start was found in same two, but wasn't called")</f>
        <v>Found in 2/11 genes in pham. Called 100% of time when present. Previous start was found in same two, but wasn't called</v>
      </c>
      <c r="C12" s="17" t="str">
        <f ca="1">IFERROR(__xludf.DUMMYFUNCTION("""COMPUTED_VALUE"""),"2 of 11 call current start")</f>
        <v>2 of 11 call current start</v>
      </c>
      <c r="D12" s="17" t="str">
        <f ca="1">IFERROR(__xludf.DUMMYFUNCTION("""COMPUTED_VALUE"""),"It is only conserved in kovu and Apokipo, and is called 100% of the time")</f>
        <v>It is only conserved in kovu and Apokipo, and is called 100% of the time</v>
      </c>
    </row>
    <row r="13" spans="1:4" ht="15.75" customHeight="1" x14ac:dyDescent="0.15">
      <c r="A13" s="5" t="s">
        <v>13</v>
      </c>
      <c r="B13" s="17" t="str">
        <f ca="1">IFERROR(__xludf.DUMMYFUNCTION("""COMPUTED_VALUE"""),"Yes, we would need to capture all potential, so moving the start back would do that, it would also help with the excessive gap we have with the current start. Scores are good, but not the best")</f>
        <v>Yes, we would need to capture all potential, so moving the start back would do that, it would also help with the excessive gap we have with the current start. Scores are good, but not the best</v>
      </c>
      <c r="C13" s="17" t="str">
        <f ca="1">IFERROR(__xludf.DUMMYFUNCTION("""COMPUTED_VALUE"""),"Not enough Evidence")</f>
        <v>Not enough Evidence</v>
      </c>
      <c r="D13" s="17" t="str">
        <f ca="1">IFERROR(__xludf.DUMMYFUNCTION("""COMPUTED_VALUE"""),"No")</f>
        <v>No</v>
      </c>
    </row>
    <row r="14" spans="1:4" ht="15.75" customHeight="1" x14ac:dyDescent="0.15">
      <c r="A14" s="5" t="s">
        <v>14</v>
      </c>
      <c r="B14" s="17" t="str">
        <f ca="1">IFERROR(__xludf.DUMMYFUNCTION("""COMPUTED_VALUE"""),"Kovu_96, gamma-glutamyl cyclotransferase, e = 7e-47. Shrooms_96 hypothetical protein e = 1e-30")</f>
        <v>Kovu_96, gamma-glutamyl cyclotransferase, e = 7e-47. Shrooms_96 hypothetical protein e = 1e-30</v>
      </c>
      <c r="C14" s="17" t="str">
        <f ca="1">IFERROR(__xludf.DUMMYFUNCTION("""COMPUTED_VALUE"""),"Kovu_96 E:2e-54")</f>
        <v>Kovu_96 E:2e-54</v>
      </c>
      <c r="D14" s="17" t="str">
        <f ca="1">IFERROR(__xludf.DUMMYFUNCTION("""COMPUTED_VALUE"""),"Kovu_96, gamma-glutamyl cyclotransferase, e= 7e-47")</f>
        <v>Kovu_96, gamma-glutamyl cyclotransferase, e= 7e-47</v>
      </c>
    </row>
    <row r="15" spans="1:4" ht="15.75" customHeight="1" x14ac:dyDescent="0.15">
      <c r="A15" s="5" t="s">
        <v>15</v>
      </c>
      <c r="B15" s="17" t="str">
        <f ca="1">IFERROR(__xludf.DUMMYFUNCTION("""COMPUTED_VALUE"""),"Edmundo_96 - hydrolase, Waltz - 94, gamma-glutamyl cyclotransferase, Shrooms_96 hypothetical ")</f>
        <v xml:space="preserve">Edmundo_96 - hydrolase, Waltz - 94, gamma-glutamyl cyclotransferase, Shrooms_96 hypothetical </v>
      </c>
      <c r="C15" s="17" t="str">
        <f ca="1">IFERROR(__xludf.DUMMYFUNCTION("""COMPUTED_VALUE"""),"Gamma-glutamyl cyclotransferase")</f>
        <v>Gamma-glutamyl cyclotransferase</v>
      </c>
      <c r="D15" s="17" t="str">
        <f ca="1">IFERROR(__xludf.DUMMYFUNCTION("""COMPUTED_VALUE""")," Kovu_96, gamma-glutamyl cyclotransferase")</f>
        <v xml:space="preserve"> Kovu_96, gamma-glutamyl cyclotransferase</v>
      </c>
    </row>
    <row r="16" spans="1:4" ht="15.75" customHeight="1" x14ac:dyDescent="0.15">
      <c r="A16" s="5" t="s">
        <v>16</v>
      </c>
      <c r="B16" s="17" t="str">
        <f ca="1">IFERROR(__xludf.DUMMYFUNCTION("""COMPUTED_VALUE"""),"Yes, this would be expected to be apart of the same family. ")</f>
        <v xml:space="preserve">Yes, this would be expected to be apart of the same family. </v>
      </c>
      <c r="C16" s="17" t="str">
        <f ca="1">IFERROR(__xludf.DUMMYFUNCTION("""COMPUTED_VALUE"""),"Same genetic envornment as Kovu")</f>
        <v>Same genetic envornment as Kovu</v>
      </c>
      <c r="D16" s="17" t="str">
        <f ca="1">IFERROR(__xludf.DUMMYFUNCTION("""COMPUTED_VALUE"""),"It is found in the same genetic enviornment as kovu")</f>
        <v>It is found in the same genetic enviornment as kovu</v>
      </c>
    </row>
    <row r="17" spans="1:4" ht="15.75" customHeight="1" x14ac:dyDescent="0.15">
      <c r="A17" s="5" t="s">
        <v>17</v>
      </c>
      <c r="B17" s="17" t="str">
        <f ca="1">IFERROR(__xludf.DUMMYFUNCTION("""COMPUTED_VALUE"""),"Glutamyl-tRNA amidotransferase; GGCT-like domain, urea, uropathogenic E. coli, HYDROLASE; HET: MSE; 1.45A {Escherichia coli}, probability = 99.48, aoq = 80.4, aot = 89.8, functional domain is in the target part of alignment")</f>
        <v>Glutamyl-tRNA amidotransferase; GGCT-like domain, urea, uropathogenic E. coli, HYDROLASE; HET: MSE; 1.45A {Escherichia coli}, probability = 99.48, aoq = 80.4, aot = 89.8, functional domain is in the target part of alignment</v>
      </c>
      <c r="C17" s="17" t="str">
        <f ca="1">IFERROR(__xludf.DUMMYFUNCTION("""COMPUTED_VALUE"""),"1V30_A Hypothetical UPF0131 protein PH0828; ALPHA+BETA, STRUCTURAL GENOMICS, UNKNOWN FUNCTION; HET: NHE; 1.4A {Pyrococcus horikoshii} SCOP: d.269.1.1, l.1.1.1
Probability: 99.7%,
Align T: 75.81%
Align Q: 93.54%")</f>
        <v>1V30_A Hypothetical UPF0131 protein PH0828; ALPHA+BETA, STRUCTURAL GENOMICS, UNKNOWN FUNCTION; HET: NHE; 1.4A {Pyrococcus horikoshii} SCOP: d.269.1.1, l.1.1.1
Probability: 99.7%,
Align T: 75.81%
Align Q: 93.54%</v>
      </c>
      <c r="D17" s="17" t="str">
        <f ca="1">IFERROR(__xludf.DUMMYFUNCTION("""COMPUTED_VALUE"""),"Gamma-glutamyl cyclotransferase, %prob=99.5%, %Q= .6%, %T=.18%, The functional domain is in the target alignment. ")</f>
        <v xml:space="preserve">Gamma-glutamyl cyclotransferase, %prob=99.5%, %Q= .6%, %T=.18%, The functional domain is in the target alignment. </v>
      </c>
    </row>
    <row r="18" spans="1:4" ht="15.75" customHeight="1" x14ac:dyDescent="0.15">
      <c r="A18" s="5" t="s">
        <v>18</v>
      </c>
      <c r="B18" s="17" t="str">
        <f ca="1">IFERROR(__xludf.DUMMYFUNCTION("""COMPUTED_VALUE"""),"Gammaglutamyl cyclotransferase, 1.44e-10. Uncharacterized conserved protein 3.89e-10. GGCT like 4.6e-8.")</f>
        <v>Gammaglutamyl cyclotransferase, 1.44e-10. Uncharacterized conserved protein 3.89e-10. GGCT like 4.6e-8.</v>
      </c>
      <c r="C18" s="17" t="str">
        <f ca="1">IFERROR(__xludf.DUMMYFUNCTION("""COMPUTED_VALUE"""),"GGACT
COG2105
GGCT_like")</f>
        <v>GGACT
COG2105
GGCT_like</v>
      </c>
      <c r="D18" s="17" t="str">
        <f ca="1">IFERROR(__xludf.DUMMYFUNCTION("""COMPUTED_VALUE"""),"Gamma-glutamyl cyclotransferase")</f>
        <v>Gamma-glutamyl cyclotransferase</v>
      </c>
    </row>
    <row r="19" spans="1:4" ht="15.75" customHeight="1" x14ac:dyDescent="0.15">
      <c r="A19" s="5" t="s">
        <v>19</v>
      </c>
      <c r="B19" s="17" t="str">
        <f ca="1">IFERROR(__xludf.DUMMYFUNCTION("""COMPUTED_VALUE"""),"No")</f>
        <v>No</v>
      </c>
      <c r="C19" s="17" t="str">
        <f ca="1">IFERROR(__xludf.DUMMYFUNCTION("""COMPUTED_VALUE"""),"No")</f>
        <v>No</v>
      </c>
      <c r="D19" s="17" t="str">
        <f ca="1">IFERROR(__xludf.DUMMYFUNCTION("""COMPUTED_VALUE"""),"None")</f>
        <v>None</v>
      </c>
    </row>
    <row r="20" spans="1:4" ht="15.75" customHeight="1" x14ac:dyDescent="0.15">
      <c r="A20" s="5" t="s">
        <v>20</v>
      </c>
      <c r="B20" s="17" t="str">
        <f ca="1">IFERROR(__xludf.DUMMYFUNCTION("""COMPUTED_VALUE"""),"Aminotransferase, supported by synteny, HHPred")</f>
        <v>Aminotransferase, supported by synteny, HHPred</v>
      </c>
      <c r="C20" s="17" t="str">
        <f ca="1">IFERROR(__xludf.DUMMYFUNCTION("""COMPUTED_VALUE"""),"Hypotehtical Protein, although several have a function there's not enough evidence to support it here, in addition some of the compared alignments have a look like the Kovu function")</f>
        <v>Hypotehtical Protein, although several have a function there's not enough evidence to support it here, in addition some of the compared alignments have a look like the Kovu function</v>
      </c>
      <c r="D20" s="17" t="str">
        <f ca="1">IFERROR(__xludf.DUMMYFUNCTION("""COMPUTED_VALUE"""),"Gamma-glutamyl cyclotransferase. This due to HHpred, NCBI blast, Phagesdb blast, conserved domains on phamerator, synteny with the same protein function.  ")</f>
        <v xml:space="preserve">Gamma-glutamyl cyclotransferase. This due to HHpred, NCBI blast, Phagesdb blast, conserved domains on phamerator, synteny with the same protein function.  </v>
      </c>
    </row>
    <row r="21" spans="1:4" x14ac:dyDescent="0.2">
      <c r="A21" s="7"/>
      <c r="B21" s="19"/>
      <c r="C21" s="19"/>
      <c r="D21" s="19"/>
    </row>
    <row r="22" spans="1:4" ht="15.75" customHeight="1" x14ac:dyDescent="0.15">
      <c r="A22" s="9" t="s">
        <v>21</v>
      </c>
      <c r="B22" s="19" t="str">
        <f ca="1">IFERROR(__xludf.DUMMYFUNCTION("""COMPUTED_VALUE"""),"Aminotransferase? Gamma-glutamyl cyclotransferase")</f>
        <v>Aminotransferase? Gamma-glutamyl cyclotransferase</v>
      </c>
      <c r="C22" s="19"/>
      <c r="D22" s="19"/>
    </row>
    <row r="23" spans="1:4" ht="15.75" customHeight="1" x14ac:dyDescent="0.15">
      <c r="A23" s="10"/>
      <c r="B23" s="13"/>
      <c r="C23" s="13"/>
      <c r="D23" s="13"/>
    </row>
    <row r="24" spans="1:4" ht="15.75" customHeight="1" x14ac:dyDescent="0.15">
      <c r="A24" s="10"/>
      <c r="B24" s="13"/>
      <c r="C24" s="13"/>
      <c r="D24" s="13"/>
    </row>
    <row r="25" spans="1:4" ht="15.75" customHeight="1" x14ac:dyDescent="0.15">
      <c r="A25" s="10"/>
      <c r="B25" s="13"/>
      <c r="C25" s="13"/>
      <c r="D25" s="13"/>
    </row>
    <row r="26" spans="1:4" ht="15.75" customHeight="1" x14ac:dyDescent="0.15">
      <c r="A26" s="10"/>
      <c r="B26" s="13"/>
      <c r="C26" s="13"/>
      <c r="D26" s="13"/>
    </row>
    <row r="27" spans="1:4" ht="15.75" customHeight="1" x14ac:dyDescent="0.15">
      <c r="A27" s="10"/>
      <c r="B27" s="13"/>
      <c r="C27" s="13"/>
      <c r="D27" s="13"/>
    </row>
    <row r="28" spans="1:4" ht="15.75" customHeight="1" x14ac:dyDescent="0.15">
      <c r="A28" s="10"/>
      <c r="B28" s="13"/>
      <c r="C28" s="13"/>
      <c r="D28" s="13"/>
    </row>
    <row r="29" spans="1:4" ht="15.75" customHeight="1" x14ac:dyDescent="0.15">
      <c r="A29" s="10"/>
      <c r="B29" s="13"/>
      <c r="C29" s="13"/>
      <c r="D29" s="13"/>
    </row>
    <row r="30" spans="1:4" ht="15.75" customHeight="1" x14ac:dyDescent="0.15">
      <c r="A30" s="10"/>
      <c r="B30" s="13"/>
      <c r="C30" s="13"/>
      <c r="D30" s="13"/>
    </row>
    <row r="31" spans="1:4" ht="15.75" customHeight="1" x14ac:dyDescent="0.15">
      <c r="A31" s="10"/>
      <c r="B31" s="13"/>
      <c r="C31" s="13"/>
      <c r="D31" s="13"/>
    </row>
    <row r="32" spans="1:4" ht="15.75" customHeight="1" x14ac:dyDescent="0.15">
      <c r="A32" s="10"/>
      <c r="B32" s="13"/>
      <c r="C32" s="13"/>
      <c r="D32" s="13"/>
    </row>
    <row r="33" spans="1:4" ht="15.75" customHeight="1" x14ac:dyDescent="0.15">
      <c r="A33" s="10"/>
      <c r="B33" s="13"/>
      <c r="C33" s="13"/>
      <c r="D33" s="13"/>
    </row>
    <row r="34" spans="1:4" ht="15.75" customHeight="1" x14ac:dyDescent="0.15">
      <c r="A34" s="10"/>
      <c r="B34" s="13"/>
      <c r="C34" s="13"/>
      <c r="D34" s="13"/>
    </row>
    <row r="35" spans="1:4" ht="15.75" customHeight="1" x14ac:dyDescent="0.15">
      <c r="A35" s="10"/>
      <c r="B35" s="13"/>
      <c r="C35" s="13"/>
      <c r="D35" s="13"/>
    </row>
    <row r="36" spans="1:4" ht="15.75" customHeight="1" x14ac:dyDescent="0.15">
      <c r="A36" s="10"/>
      <c r="B36" s="13"/>
      <c r="C36" s="13"/>
      <c r="D36" s="13"/>
    </row>
    <row r="37" spans="1:4" ht="15.75" customHeight="1" x14ac:dyDescent="0.15">
      <c r="A37" s="10"/>
      <c r="B37" s="13"/>
      <c r="C37" s="13"/>
      <c r="D37" s="13"/>
    </row>
    <row r="38" spans="1:4" ht="15.75" customHeight="1" x14ac:dyDescent="0.15">
      <c r="A38" s="10"/>
      <c r="B38" s="13"/>
      <c r="C38" s="13"/>
      <c r="D38" s="13"/>
    </row>
    <row r="39" spans="1:4" ht="13" x14ac:dyDescent="0.15">
      <c r="A39" s="10"/>
      <c r="B39" s="13"/>
      <c r="C39" s="13"/>
      <c r="D39" s="13"/>
    </row>
    <row r="40" spans="1:4" ht="13" x14ac:dyDescent="0.15">
      <c r="A40" s="10"/>
      <c r="B40" s="13"/>
      <c r="C40" s="13"/>
      <c r="D40" s="13"/>
    </row>
    <row r="41" spans="1:4" ht="13" x14ac:dyDescent="0.15">
      <c r="A41" s="10"/>
      <c r="B41" s="13"/>
      <c r="C41" s="13"/>
      <c r="D41" s="13"/>
    </row>
    <row r="42" spans="1:4" ht="13" x14ac:dyDescent="0.15">
      <c r="A42" s="10"/>
      <c r="B42" s="13"/>
      <c r="C42" s="13"/>
      <c r="D42" s="13"/>
    </row>
    <row r="43" spans="1:4" ht="13" x14ac:dyDescent="0.15">
      <c r="A43" s="10"/>
      <c r="B43" s="13"/>
      <c r="C43" s="13"/>
      <c r="D43" s="13"/>
    </row>
    <row r="44" spans="1:4" ht="13" x14ac:dyDescent="0.15">
      <c r="A44" s="10"/>
      <c r="B44" s="13"/>
      <c r="C44" s="13"/>
      <c r="D44" s="13"/>
    </row>
    <row r="45" spans="1:4" ht="13" x14ac:dyDescent="0.15">
      <c r="A45" s="10"/>
      <c r="B45" s="13"/>
      <c r="C45" s="13"/>
      <c r="D45" s="13"/>
    </row>
    <row r="46" spans="1:4" ht="13" x14ac:dyDescent="0.15">
      <c r="A46" s="10"/>
      <c r="B46" s="13"/>
      <c r="C46" s="13"/>
      <c r="D46" s="13"/>
    </row>
    <row r="47" spans="1:4" ht="13" x14ac:dyDescent="0.15">
      <c r="A47" s="10"/>
      <c r="B47" s="13"/>
      <c r="C47" s="13"/>
      <c r="D47" s="13"/>
    </row>
    <row r="48" spans="1:4" ht="13" x14ac:dyDescent="0.15">
      <c r="A48" s="10"/>
      <c r="B48" s="13"/>
      <c r="C48" s="13"/>
      <c r="D48" s="13"/>
    </row>
    <row r="49" spans="1:4" ht="13" x14ac:dyDescent="0.15">
      <c r="A49" s="10"/>
      <c r="B49" s="13"/>
      <c r="C49" s="13"/>
      <c r="D49" s="13"/>
    </row>
    <row r="50" spans="1:4" ht="13" x14ac:dyDescent="0.15">
      <c r="A50" s="10"/>
      <c r="B50" s="13"/>
      <c r="C50" s="13"/>
      <c r="D50" s="13"/>
    </row>
    <row r="51" spans="1:4" ht="13" x14ac:dyDescent="0.15">
      <c r="A51" s="10"/>
      <c r="B51" s="13"/>
      <c r="C51" s="13"/>
      <c r="D51" s="13"/>
    </row>
    <row r="52" spans="1:4" ht="13" x14ac:dyDescent="0.15">
      <c r="A52" s="10"/>
      <c r="B52" s="13"/>
      <c r="C52" s="13"/>
      <c r="D52" s="13"/>
    </row>
    <row r="53" spans="1:4" ht="13" x14ac:dyDescent="0.15">
      <c r="A53" s="10"/>
      <c r="B53" s="13"/>
      <c r="C53" s="13"/>
      <c r="D53" s="13"/>
    </row>
    <row r="54" spans="1:4" ht="13" x14ac:dyDescent="0.15">
      <c r="A54" s="10"/>
      <c r="B54" s="13"/>
      <c r="C54" s="13"/>
      <c r="D54" s="13"/>
    </row>
    <row r="55" spans="1:4" ht="13" x14ac:dyDescent="0.15">
      <c r="A55" s="10"/>
      <c r="B55" s="13"/>
      <c r="C55" s="13"/>
      <c r="D55" s="13"/>
    </row>
    <row r="56" spans="1:4" ht="13" x14ac:dyDescent="0.15">
      <c r="A56" s="10"/>
      <c r="B56" s="13"/>
      <c r="C56" s="13"/>
      <c r="D56" s="13"/>
    </row>
    <row r="57" spans="1:4" ht="13" x14ac:dyDescent="0.15">
      <c r="A57" s="10"/>
      <c r="B57" s="13"/>
      <c r="C57" s="13"/>
      <c r="D57" s="13"/>
    </row>
    <row r="58" spans="1:4" ht="13" x14ac:dyDescent="0.15">
      <c r="A58" s="10"/>
      <c r="B58" s="13"/>
      <c r="C58" s="13"/>
      <c r="D58" s="13"/>
    </row>
    <row r="59" spans="1:4" ht="13" x14ac:dyDescent="0.15">
      <c r="A59" s="10"/>
      <c r="B59" s="13"/>
      <c r="C59" s="13"/>
      <c r="D59" s="13"/>
    </row>
    <row r="60" spans="1:4" ht="13" x14ac:dyDescent="0.15">
      <c r="A60" s="10"/>
      <c r="B60" s="13"/>
      <c r="C60" s="13"/>
      <c r="D60" s="13"/>
    </row>
    <row r="61" spans="1:4" ht="13" x14ac:dyDescent="0.15">
      <c r="A61" s="10"/>
      <c r="B61" s="13"/>
      <c r="C61" s="13"/>
      <c r="D61" s="13"/>
    </row>
    <row r="62" spans="1:4" ht="13" x14ac:dyDescent="0.15">
      <c r="A62" s="10"/>
      <c r="B62" s="13"/>
      <c r="C62" s="13"/>
      <c r="D62" s="13"/>
    </row>
    <row r="63" spans="1:4" ht="13" x14ac:dyDescent="0.15">
      <c r="A63" s="10"/>
      <c r="B63" s="13"/>
      <c r="C63" s="13"/>
      <c r="D63" s="13"/>
    </row>
    <row r="64" spans="1:4" ht="13" x14ac:dyDescent="0.15">
      <c r="A64" s="10"/>
      <c r="B64" s="13"/>
      <c r="C64" s="13"/>
      <c r="D64" s="13"/>
    </row>
    <row r="65" spans="1:4" ht="13" x14ac:dyDescent="0.15">
      <c r="A65" s="10"/>
      <c r="B65" s="13"/>
      <c r="C65" s="13"/>
      <c r="D65" s="13"/>
    </row>
    <row r="66" spans="1:4" ht="13" x14ac:dyDescent="0.15">
      <c r="A66" s="10"/>
      <c r="B66" s="13"/>
      <c r="C66" s="13"/>
      <c r="D66" s="13"/>
    </row>
    <row r="67" spans="1:4" ht="13" x14ac:dyDescent="0.15">
      <c r="A67" s="10"/>
      <c r="B67" s="13"/>
      <c r="C67" s="13"/>
      <c r="D67" s="13"/>
    </row>
    <row r="68" spans="1:4" ht="13" x14ac:dyDescent="0.15">
      <c r="A68" s="10"/>
      <c r="B68" s="13"/>
      <c r="C68" s="13"/>
      <c r="D68" s="13"/>
    </row>
    <row r="69" spans="1:4" ht="13" x14ac:dyDescent="0.15">
      <c r="A69" s="10"/>
      <c r="B69" s="13"/>
      <c r="C69" s="13"/>
      <c r="D69" s="13"/>
    </row>
    <row r="70" spans="1:4" ht="13" x14ac:dyDescent="0.15">
      <c r="A70" s="10"/>
      <c r="B70" s="13"/>
      <c r="C70" s="13"/>
      <c r="D70" s="13"/>
    </row>
    <row r="71" spans="1:4" ht="13" x14ac:dyDescent="0.15">
      <c r="A71" s="10"/>
      <c r="B71" s="13"/>
      <c r="C71" s="13"/>
      <c r="D71" s="13"/>
    </row>
    <row r="72" spans="1:4" ht="13" x14ac:dyDescent="0.15">
      <c r="A72" s="10"/>
      <c r="B72" s="13"/>
      <c r="C72" s="13"/>
      <c r="D72" s="13"/>
    </row>
    <row r="73" spans="1:4" ht="13" x14ac:dyDescent="0.15">
      <c r="A73" s="10"/>
      <c r="B73" s="13"/>
      <c r="C73" s="13"/>
      <c r="D73" s="13"/>
    </row>
    <row r="74" spans="1:4" ht="13" x14ac:dyDescent="0.15">
      <c r="A74" s="10"/>
      <c r="B74" s="13"/>
      <c r="C74" s="13"/>
      <c r="D74" s="13"/>
    </row>
    <row r="75" spans="1:4" ht="13" x14ac:dyDescent="0.15">
      <c r="A75" s="10"/>
      <c r="B75" s="13"/>
      <c r="C75" s="13"/>
      <c r="D75" s="13"/>
    </row>
    <row r="76" spans="1:4" ht="13" x14ac:dyDescent="0.15">
      <c r="A76" s="10"/>
      <c r="B76" s="13"/>
      <c r="C76" s="13"/>
      <c r="D76" s="13"/>
    </row>
    <row r="77" spans="1:4" ht="13" x14ac:dyDescent="0.15">
      <c r="A77" s="10"/>
      <c r="B77" s="13"/>
      <c r="C77" s="13"/>
      <c r="D77" s="13"/>
    </row>
    <row r="78" spans="1:4" ht="13" x14ac:dyDescent="0.15">
      <c r="A78" s="10"/>
      <c r="B78" s="13"/>
      <c r="C78" s="13"/>
      <c r="D78" s="13"/>
    </row>
    <row r="79" spans="1:4" ht="13" x14ac:dyDescent="0.15">
      <c r="A79" s="10"/>
      <c r="B79" s="13"/>
      <c r="C79" s="13"/>
      <c r="D79" s="13"/>
    </row>
    <row r="80" spans="1:4" ht="13" x14ac:dyDescent="0.15">
      <c r="A80" s="10"/>
      <c r="B80" s="13"/>
      <c r="C80" s="13"/>
      <c r="D80" s="13"/>
    </row>
    <row r="81" spans="1:4" ht="13" x14ac:dyDescent="0.15">
      <c r="A81" s="10"/>
      <c r="B81" s="13"/>
      <c r="C81" s="13"/>
      <c r="D81" s="13"/>
    </row>
    <row r="82" spans="1:4" ht="13" x14ac:dyDescent="0.15">
      <c r="A82" s="10"/>
      <c r="B82" s="13"/>
      <c r="C82" s="13"/>
      <c r="D82" s="13"/>
    </row>
    <row r="83" spans="1:4" ht="13" x14ac:dyDescent="0.15">
      <c r="A83" s="10"/>
      <c r="B83" s="13"/>
      <c r="C83" s="13"/>
      <c r="D83" s="13"/>
    </row>
    <row r="84" spans="1:4" ht="13" x14ac:dyDescent="0.15">
      <c r="A84" s="10"/>
      <c r="B84" s="13"/>
      <c r="C84" s="13"/>
      <c r="D84" s="13"/>
    </row>
    <row r="85" spans="1:4" ht="13" x14ac:dyDescent="0.15">
      <c r="A85" s="10"/>
      <c r="B85" s="13"/>
      <c r="C85" s="13"/>
      <c r="D85" s="13"/>
    </row>
    <row r="86" spans="1:4" ht="13" x14ac:dyDescent="0.15">
      <c r="A86" s="10"/>
      <c r="B86" s="13"/>
      <c r="C86" s="13"/>
      <c r="D86" s="13"/>
    </row>
    <row r="87" spans="1:4" ht="13" x14ac:dyDescent="0.15">
      <c r="A87" s="10"/>
      <c r="B87" s="13"/>
      <c r="C87" s="13"/>
      <c r="D87" s="13"/>
    </row>
    <row r="88" spans="1:4" ht="13" x14ac:dyDescent="0.15">
      <c r="A88" s="10"/>
      <c r="B88" s="13"/>
      <c r="C88" s="13"/>
      <c r="D88" s="13"/>
    </row>
    <row r="89" spans="1:4" ht="13" x14ac:dyDescent="0.15">
      <c r="A89" s="10"/>
      <c r="B89" s="13"/>
      <c r="C89" s="13"/>
      <c r="D89" s="13"/>
    </row>
    <row r="90" spans="1:4" ht="13" x14ac:dyDescent="0.15">
      <c r="A90" s="10"/>
      <c r="B90" s="13"/>
      <c r="C90" s="13"/>
      <c r="D90" s="13"/>
    </row>
    <row r="91" spans="1:4" ht="13" x14ac:dyDescent="0.15">
      <c r="A91" s="10"/>
      <c r="B91" s="13"/>
      <c r="C91" s="13"/>
      <c r="D91" s="13"/>
    </row>
    <row r="92" spans="1:4" ht="13" x14ac:dyDescent="0.15">
      <c r="A92" s="10"/>
      <c r="B92" s="13"/>
      <c r="C92" s="13"/>
      <c r="D92" s="13"/>
    </row>
    <row r="93" spans="1:4" ht="13" x14ac:dyDescent="0.15">
      <c r="A93" s="10"/>
      <c r="B93" s="13"/>
      <c r="C93" s="13"/>
      <c r="D93" s="13"/>
    </row>
    <row r="94" spans="1:4" ht="13" x14ac:dyDescent="0.15">
      <c r="A94" s="10"/>
      <c r="B94" s="13"/>
      <c r="C94" s="13"/>
      <c r="D94" s="13"/>
    </row>
    <row r="95" spans="1:4" ht="13" x14ac:dyDescent="0.15">
      <c r="A95" s="10"/>
      <c r="B95" s="13"/>
      <c r="C95" s="13"/>
      <c r="D95" s="13"/>
    </row>
    <row r="96" spans="1:4" ht="13" x14ac:dyDescent="0.15">
      <c r="A96" s="10"/>
      <c r="B96" s="13"/>
      <c r="C96" s="13"/>
      <c r="D96" s="13"/>
    </row>
    <row r="97" spans="1:4" ht="13" x14ac:dyDescent="0.15">
      <c r="A97" s="10"/>
      <c r="B97" s="13"/>
      <c r="C97" s="13"/>
      <c r="D97" s="13"/>
    </row>
    <row r="98" spans="1:4" ht="13" x14ac:dyDescent="0.15">
      <c r="A98" s="10"/>
      <c r="B98" s="13"/>
      <c r="C98" s="13"/>
      <c r="D98" s="13"/>
    </row>
    <row r="99" spans="1:4" ht="13" x14ac:dyDescent="0.15">
      <c r="A99" s="10"/>
      <c r="B99" s="13"/>
      <c r="C99" s="13"/>
      <c r="D99" s="13"/>
    </row>
    <row r="100" spans="1:4" ht="13" x14ac:dyDescent="0.15">
      <c r="A100" s="10"/>
      <c r="B100" s="13"/>
      <c r="C100" s="13"/>
      <c r="D100" s="13"/>
    </row>
    <row r="101" spans="1:4" ht="13" x14ac:dyDescent="0.15">
      <c r="A101" s="10"/>
      <c r="B101" s="13"/>
      <c r="C101" s="13"/>
      <c r="D101" s="13"/>
    </row>
    <row r="102" spans="1:4" ht="13" x14ac:dyDescent="0.15">
      <c r="A102" s="10"/>
      <c r="B102" s="13"/>
      <c r="C102" s="13"/>
      <c r="D102" s="13"/>
    </row>
    <row r="103" spans="1:4" ht="13" x14ac:dyDescent="0.15">
      <c r="A103" s="10"/>
      <c r="B103" s="13"/>
      <c r="C103" s="13"/>
      <c r="D103" s="13"/>
    </row>
    <row r="104" spans="1:4" ht="13" x14ac:dyDescent="0.15">
      <c r="A104" s="10"/>
      <c r="B104" s="13"/>
      <c r="C104" s="13"/>
      <c r="D104" s="13"/>
    </row>
    <row r="105" spans="1:4" ht="13" x14ac:dyDescent="0.15">
      <c r="A105" s="10"/>
      <c r="B105" s="13"/>
      <c r="C105" s="13"/>
      <c r="D105" s="13"/>
    </row>
    <row r="106" spans="1:4" ht="13" x14ac:dyDescent="0.15">
      <c r="A106" s="10"/>
      <c r="B106" s="13"/>
      <c r="C106" s="13"/>
      <c r="D106" s="13"/>
    </row>
    <row r="107" spans="1:4" ht="13" x14ac:dyDescent="0.15">
      <c r="A107" s="10"/>
      <c r="B107" s="13"/>
      <c r="C107" s="13"/>
      <c r="D107" s="13"/>
    </row>
    <row r="108" spans="1:4" ht="13" x14ac:dyDescent="0.15">
      <c r="A108" s="10"/>
      <c r="B108" s="13"/>
      <c r="C108" s="13"/>
      <c r="D108" s="13"/>
    </row>
    <row r="109" spans="1:4" ht="13" x14ac:dyDescent="0.15">
      <c r="A109" s="10"/>
      <c r="B109" s="13"/>
      <c r="C109" s="13"/>
      <c r="D109" s="13"/>
    </row>
    <row r="110" spans="1:4" ht="13" x14ac:dyDescent="0.15">
      <c r="A110" s="10"/>
      <c r="B110" s="13"/>
      <c r="C110" s="13"/>
      <c r="D110" s="13"/>
    </row>
    <row r="111" spans="1:4" ht="13" x14ac:dyDescent="0.15">
      <c r="A111" s="10"/>
      <c r="B111" s="13"/>
      <c r="C111" s="13"/>
      <c r="D111" s="13"/>
    </row>
    <row r="112" spans="1:4" ht="13" x14ac:dyDescent="0.15">
      <c r="A112" s="10"/>
      <c r="B112" s="13"/>
      <c r="C112" s="13"/>
      <c r="D112" s="13"/>
    </row>
    <row r="113" spans="1:4" ht="13" x14ac:dyDescent="0.15">
      <c r="A113" s="10"/>
      <c r="B113" s="13"/>
      <c r="C113" s="13"/>
      <c r="D113" s="13"/>
    </row>
    <row r="114" spans="1:4" ht="13" x14ac:dyDescent="0.15">
      <c r="A114" s="10"/>
      <c r="B114" s="13"/>
      <c r="C114" s="13"/>
      <c r="D114" s="13"/>
    </row>
    <row r="115" spans="1:4" ht="13" x14ac:dyDescent="0.15">
      <c r="A115" s="10"/>
      <c r="B115" s="13"/>
      <c r="C115" s="13"/>
      <c r="D115" s="13"/>
    </row>
    <row r="116" spans="1:4" ht="13" x14ac:dyDescent="0.15">
      <c r="A116" s="10"/>
      <c r="B116" s="13"/>
      <c r="C116" s="13"/>
      <c r="D116" s="13"/>
    </row>
    <row r="117" spans="1:4" ht="13" x14ac:dyDescent="0.15">
      <c r="A117" s="10"/>
      <c r="B117" s="13"/>
      <c r="C117" s="13"/>
      <c r="D117" s="13"/>
    </row>
    <row r="118" spans="1:4" ht="13" x14ac:dyDescent="0.15">
      <c r="A118" s="10"/>
      <c r="B118" s="13"/>
      <c r="C118" s="13"/>
      <c r="D118" s="13"/>
    </row>
    <row r="119" spans="1:4" ht="13" x14ac:dyDescent="0.15">
      <c r="A119" s="10"/>
      <c r="B119" s="13"/>
      <c r="C119" s="13"/>
      <c r="D119" s="13"/>
    </row>
    <row r="120" spans="1:4" ht="13" x14ac:dyDescent="0.15">
      <c r="A120" s="10"/>
      <c r="B120" s="13"/>
      <c r="C120" s="13"/>
      <c r="D120" s="13"/>
    </row>
    <row r="121" spans="1:4" ht="13" x14ac:dyDescent="0.15">
      <c r="A121" s="10"/>
      <c r="B121" s="13"/>
      <c r="C121" s="13"/>
      <c r="D121" s="13"/>
    </row>
    <row r="122" spans="1:4" ht="13" x14ac:dyDescent="0.15">
      <c r="A122" s="10"/>
      <c r="B122" s="13"/>
      <c r="C122" s="13"/>
      <c r="D122" s="13"/>
    </row>
    <row r="123" spans="1:4" ht="13" x14ac:dyDescent="0.15">
      <c r="A123" s="10"/>
      <c r="B123" s="13"/>
      <c r="C123" s="13"/>
      <c r="D123" s="13"/>
    </row>
    <row r="124" spans="1:4" ht="13" x14ac:dyDescent="0.15">
      <c r="A124" s="10"/>
      <c r="B124" s="13"/>
      <c r="C124" s="13"/>
      <c r="D124" s="13"/>
    </row>
    <row r="125" spans="1:4" ht="13" x14ac:dyDescent="0.15">
      <c r="A125" s="10"/>
      <c r="B125" s="13"/>
      <c r="C125" s="13"/>
      <c r="D125" s="13"/>
    </row>
    <row r="126" spans="1:4" ht="13" x14ac:dyDescent="0.15">
      <c r="A126" s="10"/>
      <c r="B126" s="13"/>
      <c r="C126" s="13"/>
      <c r="D126" s="13"/>
    </row>
    <row r="127" spans="1:4" ht="13" x14ac:dyDescent="0.15">
      <c r="A127" s="10"/>
      <c r="B127" s="13"/>
      <c r="C127" s="13"/>
      <c r="D127" s="13"/>
    </row>
    <row r="128" spans="1:4" ht="13" x14ac:dyDescent="0.15">
      <c r="A128" s="10"/>
      <c r="B128" s="13"/>
      <c r="C128" s="13"/>
      <c r="D128" s="13"/>
    </row>
    <row r="129" spans="1:4" ht="13" x14ac:dyDescent="0.15">
      <c r="A129" s="10"/>
      <c r="B129" s="13"/>
      <c r="C129" s="13"/>
      <c r="D129" s="13"/>
    </row>
    <row r="130" spans="1:4" ht="13" x14ac:dyDescent="0.15">
      <c r="A130" s="10"/>
      <c r="B130" s="13"/>
      <c r="C130" s="13"/>
      <c r="D130" s="13"/>
    </row>
    <row r="131" spans="1:4" ht="13" x14ac:dyDescent="0.15">
      <c r="A131" s="10"/>
      <c r="B131" s="13"/>
      <c r="C131" s="13"/>
      <c r="D131" s="13"/>
    </row>
    <row r="132" spans="1:4" ht="13" x14ac:dyDescent="0.15">
      <c r="A132" s="10"/>
      <c r="B132" s="13"/>
      <c r="C132" s="13"/>
      <c r="D132" s="13"/>
    </row>
    <row r="133" spans="1:4" ht="13" x14ac:dyDescent="0.15">
      <c r="A133" s="10"/>
      <c r="B133" s="13"/>
      <c r="C133" s="13"/>
      <c r="D133" s="13"/>
    </row>
    <row r="134" spans="1:4" ht="13" x14ac:dyDescent="0.15">
      <c r="A134" s="10"/>
      <c r="B134" s="13"/>
      <c r="C134" s="13"/>
      <c r="D134" s="13"/>
    </row>
    <row r="135" spans="1:4" ht="13" x14ac:dyDescent="0.15">
      <c r="A135" s="10"/>
      <c r="B135" s="13"/>
      <c r="C135" s="13"/>
      <c r="D135" s="13"/>
    </row>
    <row r="136" spans="1:4" ht="13" x14ac:dyDescent="0.15">
      <c r="A136" s="10"/>
      <c r="B136" s="13"/>
      <c r="C136" s="13"/>
      <c r="D136" s="13"/>
    </row>
    <row r="137" spans="1:4" ht="13" x14ac:dyDescent="0.15">
      <c r="A137" s="10"/>
      <c r="B137" s="13"/>
      <c r="C137" s="13"/>
      <c r="D137" s="13"/>
    </row>
    <row r="138" spans="1:4" ht="13" x14ac:dyDescent="0.15">
      <c r="A138" s="10"/>
      <c r="B138" s="13"/>
      <c r="C138" s="13"/>
      <c r="D138" s="13"/>
    </row>
    <row r="139" spans="1:4" ht="13" x14ac:dyDescent="0.15">
      <c r="A139" s="10"/>
      <c r="B139" s="13"/>
      <c r="C139" s="13"/>
      <c r="D139" s="13"/>
    </row>
    <row r="140" spans="1:4" ht="13" x14ac:dyDescent="0.15">
      <c r="A140" s="10"/>
      <c r="B140" s="13"/>
      <c r="C140" s="13"/>
      <c r="D140" s="13"/>
    </row>
    <row r="141" spans="1:4" ht="13" x14ac:dyDescent="0.15">
      <c r="A141" s="10"/>
      <c r="B141" s="13"/>
      <c r="C141" s="13"/>
      <c r="D141" s="13"/>
    </row>
    <row r="142" spans="1:4" ht="13" x14ac:dyDescent="0.15">
      <c r="A142" s="10"/>
      <c r="B142" s="13"/>
      <c r="C142" s="13"/>
      <c r="D142" s="13"/>
    </row>
    <row r="143" spans="1:4" ht="13" x14ac:dyDescent="0.15">
      <c r="A143" s="10"/>
      <c r="B143" s="13"/>
      <c r="C143" s="13"/>
      <c r="D143" s="13"/>
    </row>
    <row r="144" spans="1:4" ht="13" x14ac:dyDescent="0.15">
      <c r="A144" s="10"/>
      <c r="B144" s="13"/>
      <c r="C144" s="13"/>
      <c r="D144" s="13"/>
    </row>
    <row r="145" spans="1:4" ht="13" x14ac:dyDescent="0.15">
      <c r="A145" s="10"/>
      <c r="B145" s="13"/>
      <c r="C145" s="13"/>
      <c r="D145" s="13"/>
    </row>
    <row r="146" spans="1:4" ht="13" x14ac:dyDescent="0.15">
      <c r="A146" s="10"/>
      <c r="B146" s="13"/>
      <c r="C146" s="13"/>
      <c r="D146" s="13"/>
    </row>
    <row r="147" spans="1:4" ht="13" x14ac:dyDescent="0.15">
      <c r="A147" s="10"/>
      <c r="B147" s="13"/>
      <c r="C147" s="13"/>
      <c r="D147" s="13"/>
    </row>
    <row r="148" spans="1:4" ht="13" x14ac:dyDescent="0.15">
      <c r="A148" s="10"/>
      <c r="B148" s="13"/>
      <c r="C148" s="13"/>
      <c r="D148" s="13"/>
    </row>
    <row r="149" spans="1:4" ht="13" x14ac:dyDescent="0.15">
      <c r="A149" s="10"/>
      <c r="B149" s="13"/>
      <c r="C149" s="13"/>
      <c r="D149" s="13"/>
    </row>
    <row r="150" spans="1:4" ht="13" x14ac:dyDescent="0.15">
      <c r="A150" s="10"/>
      <c r="B150" s="13"/>
      <c r="C150" s="13"/>
      <c r="D150" s="13"/>
    </row>
    <row r="151" spans="1:4" ht="13" x14ac:dyDescent="0.15">
      <c r="A151" s="10"/>
      <c r="B151" s="13"/>
      <c r="C151" s="13"/>
      <c r="D151" s="13"/>
    </row>
    <row r="152" spans="1:4" ht="13" x14ac:dyDescent="0.15">
      <c r="A152" s="10"/>
      <c r="B152" s="13"/>
      <c r="C152" s="13"/>
      <c r="D152" s="13"/>
    </row>
    <row r="153" spans="1:4" ht="13" x14ac:dyDescent="0.15">
      <c r="A153" s="10"/>
      <c r="B153" s="13"/>
      <c r="C153" s="13"/>
      <c r="D153" s="13"/>
    </row>
    <row r="154" spans="1:4" ht="13" x14ac:dyDescent="0.15">
      <c r="A154" s="10"/>
      <c r="B154" s="13"/>
      <c r="C154" s="13"/>
      <c r="D154" s="13"/>
    </row>
    <row r="155" spans="1:4" ht="13" x14ac:dyDescent="0.15">
      <c r="A155" s="10"/>
      <c r="B155" s="13"/>
      <c r="C155" s="13"/>
      <c r="D155" s="13"/>
    </row>
    <row r="156" spans="1:4" ht="13" x14ac:dyDescent="0.15">
      <c r="A156" s="10"/>
      <c r="B156" s="13"/>
      <c r="C156" s="13"/>
      <c r="D156" s="13"/>
    </row>
    <row r="157" spans="1:4" ht="13" x14ac:dyDescent="0.15">
      <c r="A157" s="10"/>
      <c r="B157" s="13"/>
      <c r="C157" s="13"/>
      <c r="D157" s="13"/>
    </row>
    <row r="158" spans="1:4" ht="13" x14ac:dyDescent="0.15">
      <c r="A158" s="10"/>
      <c r="B158" s="13"/>
      <c r="C158" s="13"/>
      <c r="D158" s="13"/>
    </row>
    <row r="159" spans="1:4" ht="13" x14ac:dyDescent="0.15">
      <c r="A159" s="10"/>
      <c r="B159" s="13"/>
      <c r="C159" s="13"/>
      <c r="D159" s="13"/>
    </row>
    <row r="160" spans="1:4" ht="13" x14ac:dyDescent="0.15">
      <c r="A160" s="10"/>
      <c r="B160" s="13"/>
      <c r="C160" s="13"/>
      <c r="D160" s="13"/>
    </row>
    <row r="161" spans="1:4" ht="13" x14ac:dyDescent="0.15">
      <c r="A161" s="10"/>
      <c r="B161" s="13"/>
      <c r="C161" s="13"/>
      <c r="D161" s="13"/>
    </row>
    <row r="162" spans="1:4" ht="13" x14ac:dyDescent="0.15">
      <c r="A162" s="10"/>
      <c r="B162" s="13"/>
      <c r="C162" s="13"/>
      <c r="D162" s="13"/>
    </row>
    <row r="163" spans="1:4" ht="13" x14ac:dyDescent="0.15">
      <c r="A163" s="10"/>
      <c r="B163" s="13"/>
      <c r="C163" s="13"/>
      <c r="D163" s="13"/>
    </row>
    <row r="164" spans="1:4" ht="13" x14ac:dyDescent="0.15">
      <c r="A164" s="10"/>
      <c r="B164" s="13"/>
      <c r="C164" s="13"/>
      <c r="D164" s="13"/>
    </row>
    <row r="165" spans="1:4" ht="13" x14ac:dyDescent="0.15">
      <c r="A165" s="10"/>
      <c r="B165" s="13"/>
      <c r="C165" s="13"/>
      <c r="D165" s="13"/>
    </row>
    <row r="166" spans="1:4" ht="13" x14ac:dyDescent="0.15">
      <c r="A166" s="10"/>
      <c r="B166" s="13"/>
      <c r="C166" s="13"/>
      <c r="D166" s="13"/>
    </row>
    <row r="167" spans="1:4" ht="13" x14ac:dyDescent="0.15">
      <c r="A167" s="10"/>
      <c r="B167" s="13"/>
      <c r="C167" s="13"/>
      <c r="D167" s="13"/>
    </row>
    <row r="168" spans="1:4" ht="13" x14ac:dyDescent="0.15">
      <c r="A168" s="10"/>
      <c r="B168" s="13"/>
      <c r="C168" s="13"/>
      <c r="D168" s="13"/>
    </row>
    <row r="169" spans="1:4" ht="13" x14ac:dyDescent="0.15">
      <c r="A169" s="10"/>
      <c r="B169" s="13"/>
      <c r="C169" s="13"/>
      <c r="D169" s="13"/>
    </row>
    <row r="170" spans="1:4" ht="13" x14ac:dyDescent="0.15">
      <c r="A170" s="10"/>
      <c r="B170" s="13"/>
      <c r="C170" s="13"/>
      <c r="D170" s="13"/>
    </row>
    <row r="171" spans="1:4" ht="13" x14ac:dyDescent="0.15">
      <c r="A171" s="10"/>
      <c r="B171" s="13"/>
      <c r="C171" s="13"/>
      <c r="D171" s="13"/>
    </row>
    <row r="172" spans="1:4" ht="13" x14ac:dyDescent="0.15">
      <c r="A172" s="10"/>
      <c r="B172" s="13"/>
      <c r="C172" s="13"/>
      <c r="D172" s="13"/>
    </row>
    <row r="173" spans="1:4" ht="13" x14ac:dyDescent="0.15">
      <c r="A173" s="10"/>
      <c r="B173" s="13"/>
      <c r="C173" s="13"/>
      <c r="D173" s="13"/>
    </row>
    <row r="174" spans="1:4" ht="13" x14ac:dyDescent="0.15">
      <c r="A174" s="10"/>
      <c r="B174" s="13"/>
      <c r="C174" s="13"/>
      <c r="D174" s="13"/>
    </row>
    <row r="175" spans="1:4" ht="13" x14ac:dyDescent="0.15">
      <c r="A175" s="10"/>
      <c r="B175" s="13"/>
      <c r="C175" s="13"/>
      <c r="D175" s="13"/>
    </row>
    <row r="176" spans="1:4" ht="13" x14ac:dyDescent="0.15">
      <c r="A176" s="10"/>
      <c r="B176" s="13"/>
      <c r="C176" s="13"/>
      <c r="D176" s="13"/>
    </row>
    <row r="177" spans="1:4" ht="13" x14ac:dyDescent="0.15">
      <c r="A177" s="10"/>
      <c r="B177" s="13"/>
      <c r="C177" s="13"/>
      <c r="D177" s="13"/>
    </row>
    <row r="178" spans="1:4" ht="13" x14ac:dyDescent="0.15">
      <c r="A178" s="10"/>
      <c r="B178" s="13"/>
      <c r="C178" s="13"/>
      <c r="D178" s="13"/>
    </row>
    <row r="179" spans="1:4" ht="13" x14ac:dyDescent="0.15">
      <c r="A179" s="10"/>
      <c r="B179" s="13"/>
      <c r="C179" s="13"/>
      <c r="D179" s="13"/>
    </row>
    <row r="180" spans="1:4" ht="13" x14ac:dyDescent="0.15">
      <c r="A180" s="10"/>
      <c r="B180" s="13"/>
      <c r="C180" s="13"/>
      <c r="D180" s="13"/>
    </row>
    <row r="181" spans="1:4" ht="13" x14ac:dyDescent="0.15">
      <c r="A181" s="10"/>
      <c r="B181" s="13"/>
      <c r="C181" s="13"/>
      <c r="D181" s="13"/>
    </row>
    <row r="182" spans="1:4" ht="13" x14ac:dyDescent="0.15">
      <c r="A182" s="10"/>
      <c r="B182" s="13"/>
      <c r="C182" s="13"/>
      <c r="D182" s="13"/>
    </row>
    <row r="183" spans="1:4" ht="13" x14ac:dyDescent="0.15">
      <c r="A183" s="10"/>
      <c r="B183" s="13"/>
      <c r="C183" s="13"/>
      <c r="D183" s="13"/>
    </row>
    <row r="184" spans="1:4" ht="13" x14ac:dyDescent="0.15">
      <c r="A184" s="10"/>
      <c r="B184" s="13"/>
      <c r="C184" s="13"/>
      <c r="D184" s="13"/>
    </row>
    <row r="185" spans="1:4" ht="13" x14ac:dyDescent="0.15">
      <c r="A185" s="10"/>
      <c r="B185" s="13"/>
      <c r="C185" s="13"/>
      <c r="D185" s="13"/>
    </row>
    <row r="186" spans="1:4" ht="13" x14ac:dyDescent="0.15">
      <c r="A186" s="10"/>
      <c r="B186" s="13"/>
      <c r="C186" s="13"/>
      <c r="D186" s="13"/>
    </row>
    <row r="187" spans="1:4" ht="13" x14ac:dyDescent="0.15">
      <c r="A187" s="10"/>
      <c r="B187" s="13"/>
      <c r="C187" s="13"/>
      <c r="D187" s="13"/>
    </row>
    <row r="188" spans="1:4" ht="13" x14ac:dyDescent="0.15">
      <c r="A188" s="10"/>
      <c r="B188" s="13"/>
      <c r="C188" s="13"/>
      <c r="D188" s="13"/>
    </row>
    <row r="189" spans="1:4" ht="13" x14ac:dyDescent="0.15">
      <c r="A189" s="10"/>
      <c r="B189" s="13"/>
      <c r="C189" s="13"/>
      <c r="D189" s="13"/>
    </row>
    <row r="190" spans="1:4" ht="13" x14ac:dyDescent="0.15">
      <c r="A190" s="10"/>
      <c r="B190" s="13"/>
      <c r="C190" s="13"/>
      <c r="D190" s="13"/>
    </row>
    <row r="191" spans="1:4" ht="13" x14ac:dyDescent="0.15">
      <c r="A191" s="10"/>
      <c r="B191" s="13"/>
      <c r="C191" s="13"/>
      <c r="D191" s="13"/>
    </row>
    <row r="192" spans="1:4" ht="13" x14ac:dyDescent="0.15">
      <c r="A192" s="10"/>
      <c r="B192" s="13"/>
      <c r="C192" s="13"/>
      <c r="D192" s="13"/>
    </row>
    <row r="193" spans="1:4" ht="13" x14ac:dyDescent="0.15">
      <c r="A193" s="10"/>
      <c r="B193" s="13"/>
      <c r="C193" s="13"/>
      <c r="D193" s="13"/>
    </row>
    <row r="194" spans="1:4" ht="13" x14ac:dyDescent="0.15">
      <c r="A194" s="10"/>
      <c r="B194" s="13"/>
      <c r="C194" s="13"/>
      <c r="D194" s="13"/>
    </row>
    <row r="195" spans="1:4" ht="13" x14ac:dyDescent="0.15">
      <c r="A195" s="10"/>
      <c r="B195" s="13"/>
      <c r="C195" s="13"/>
      <c r="D195" s="13"/>
    </row>
    <row r="196" spans="1:4" ht="13" x14ac:dyDescent="0.15">
      <c r="A196" s="10"/>
      <c r="B196" s="13"/>
      <c r="C196" s="13"/>
      <c r="D196" s="13"/>
    </row>
    <row r="197" spans="1:4" ht="13" x14ac:dyDescent="0.15">
      <c r="A197" s="10"/>
      <c r="B197" s="13"/>
      <c r="C197" s="13"/>
      <c r="D197" s="13"/>
    </row>
    <row r="198" spans="1:4" ht="13" x14ac:dyDescent="0.15">
      <c r="A198" s="10"/>
      <c r="B198" s="13"/>
      <c r="C198" s="13"/>
      <c r="D198" s="13"/>
    </row>
    <row r="199" spans="1:4" ht="13" x14ac:dyDescent="0.15">
      <c r="A199" s="10"/>
      <c r="B199" s="13"/>
      <c r="C199" s="13"/>
      <c r="D199" s="13"/>
    </row>
    <row r="200" spans="1:4" ht="13" x14ac:dyDescent="0.15">
      <c r="A200" s="10"/>
      <c r="B200" s="13"/>
      <c r="C200" s="13"/>
      <c r="D200" s="13"/>
    </row>
    <row r="201" spans="1:4" ht="13" x14ac:dyDescent="0.15">
      <c r="A201" s="10"/>
      <c r="B201" s="13"/>
      <c r="C201" s="13"/>
      <c r="D201" s="13"/>
    </row>
    <row r="202" spans="1:4" ht="13" x14ac:dyDescent="0.15">
      <c r="A202" s="10"/>
      <c r="B202" s="13"/>
      <c r="C202" s="13"/>
      <c r="D202" s="13"/>
    </row>
    <row r="203" spans="1:4" ht="13" x14ac:dyDescent="0.15">
      <c r="A203" s="10"/>
      <c r="B203" s="13"/>
      <c r="C203" s="13"/>
      <c r="D203" s="13"/>
    </row>
    <row r="204" spans="1:4" ht="13" x14ac:dyDescent="0.15">
      <c r="A204" s="10"/>
      <c r="B204" s="13"/>
      <c r="C204" s="13"/>
      <c r="D204" s="13"/>
    </row>
    <row r="205" spans="1:4" ht="13" x14ac:dyDescent="0.15">
      <c r="A205" s="10"/>
      <c r="B205" s="13"/>
      <c r="C205" s="13"/>
      <c r="D205" s="13"/>
    </row>
    <row r="206" spans="1:4" ht="13" x14ac:dyDescent="0.15">
      <c r="A206" s="10"/>
      <c r="B206" s="13"/>
      <c r="C206" s="13"/>
      <c r="D206" s="13"/>
    </row>
    <row r="207" spans="1:4" ht="13" x14ac:dyDescent="0.15">
      <c r="A207" s="10"/>
      <c r="B207" s="13"/>
      <c r="C207" s="13"/>
      <c r="D207" s="13"/>
    </row>
    <row r="208" spans="1:4" ht="13" x14ac:dyDescent="0.15">
      <c r="A208" s="10"/>
      <c r="B208" s="13"/>
      <c r="C208" s="13"/>
      <c r="D208" s="13"/>
    </row>
    <row r="209" spans="1:4" ht="13" x14ac:dyDescent="0.15">
      <c r="A209" s="10"/>
      <c r="B209" s="13"/>
      <c r="C209" s="13"/>
      <c r="D209" s="13"/>
    </row>
    <row r="210" spans="1:4" ht="13" x14ac:dyDescent="0.15">
      <c r="A210" s="10"/>
      <c r="B210" s="13"/>
      <c r="C210" s="13"/>
      <c r="D210" s="13"/>
    </row>
    <row r="211" spans="1:4" ht="13" x14ac:dyDescent="0.15">
      <c r="A211" s="10"/>
      <c r="B211" s="13"/>
      <c r="C211" s="13"/>
      <c r="D211" s="13"/>
    </row>
    <row r="212" spans="1:4" ht="13" x14ac:dyDescent="0.15">
      <c r="A212" s="10"/>
      <c r="B212" s="13"/>
      <c r="C212" s="13"/>
      <c r="D212" s="13"/>
    </row>
    <row r="213" spans="1:4" ht="13" x14ac:dyDescent="0.15">
      <c r="A213" s="10"/>
      <c r="B213" s="13"/>
      <c r="C213" s="13"/>
      <c r="D213" s="13"/>
    </row>
    <row r="214" spans="1:4" ht="13" x14ac:dyDescent="0.15">
      <c r="A214" s="10"/>
      <c r="B214" s="13"/>
      <c r="C214" s="13"/>
      <c r="D214" s="13"/>
    </row>
    <row r="215" spans="1:4" ht="13" x14ac:dyDescent="0.15">
      <c r="A215" s="10"/>
      <c r="B215" s="13"/>
      <c r="C215" s="13"/>
      <c r="D215" s="13"/>
    </row>
    <row r="216" spans="1:4" ht="13" x14ac:dyDescent="0.15">
      <c r="A216" s="10"/>
      <c r="B216" s="13"/>
      <c r="C216" s="13"/>
      <c r="D216" s="13"/>
    </row>
    <row r="217" spans="1:4" ht="13" x14ac:dyDescent="0.15">
      <c r="A217" s="10"/>
      <c r="B217" s="13"/>
      <c r="C217" s="13"/>
      <c r="D217" s="13"/>
    </row>
    <row r="218" spans="1:4" ht="13" x14ac:dyDescent="0.15">
      <c r="A218" s="10"/>
      <c r="B218" s="13"/>
      <c r="C218" s="13"/>
      <c r="D218" s="13"/>
    </row>
    <row r="219" spans="1:4" ht="13" x14ac:dyDescent="0.15">
      <c r="A219" s="10"/>
      <c r="B219" s="13"/>
      <c r="C219" s="13"/>
      <c r="D219" s="13"/>
    </row>
    <row r="220" spans="1:4" ht="13" x14ac:dyDescent="0.15">
      <c r="A220" s="10"/>
      <c r="B220" s="13"/>
      <c r="C220" s="13"/>
      <c r="D220" s="13"/>
    </row>
    <row r="221" spans="1:4" ht="13" x14ac:dyDescent="0.15">
      <c r="A221" s="10"/>
      <c r="B221" s="13"/>
      <c r="C221" s="13"/>
      <c r="D221" s="13"/>
    </row>
    <row r="222" spans="1:4" ht="13" x14ac:dyDescent="0.15">
      <c r="A222" s="10"/>
      <c r="B222" s="13"/>
      <c r="C222" s="13"/>
      <c r="D222" s="13"/>
    </row>
    <row r="223" spans="1:4" ht="13" x14ac:dyDescent="0.15">
      <c r="A223" s="10"/>
      <c r="B223" s="13"/>
      <c r="C223" s="13"/>
      <c r="D223" s="13"/>
    </row>
    <row r="224" spans="1:4" ht="13" x14ac:dyDescent="0.15">
      <c r="A224" s="10"/>
      <c r="B224" s="13"/>
      <c r="C224" s="13"/>
      <c r="D224" s="13"/>
    </row>
    <row r="225" spans="1:4" ht="13" x14ac:dyDescent="0.15">
      <c r="A225" s="10"/>
      <c r="B225" s="13"/>
      <c r="C225" s="13"/>
      <c r="D225" s="13"/>
    </row>
    <row r="226" spans="1:4" ht="13" x14ac:dyDescent="0.15">
      <c r="A226" s="10"/>
      <c r="B226" s="13"/>
      <c r="C226" s="13"/>
      <c r="D226" s="13"/>
    </row>
    <row r="227" spans="1:4" ht="13" x14ac:dyDescent="0.15">
      <c r="A227" s="10"/>
      <c r="B227" s="13"/>
      <c r="C227" s="13"/>
      <c r="D227" s="13"/>
    </row>
    <row r="228" spans="1:4" ht="13" x14ac:dyDescent="0.15">
      <c r="A228" s="10"/>
      <c r="B228" s="13"/>
      <c r="C228" s="13"/>
      <c r="D228" s="13"/>
    </row>
    <row r="229" spans="1:4" ht="13" x14ac:dyDescent="0.15">
      <c r="A229" s="10"/>
      <c r="B229" s="13"/>
      <c r="C229" s="13"/>
      <c r="D229" s="13"/>
    </row>
    <row r="230" spans="1:4" ht="13" x14ac:dyDescent="0.15">
      <c r="A230" s="10"/>
      <c r="B230" s="13"/>
      <c r="C230" s="13"/>
      <c r="D230" s="13"/>
    </row>
    <row r="231" spans="1:4" ht="13" x14ac:dyDescent="0.15">
      <c r="A231" s="10"/>
      <c r="B231" s="13"/>
      <c r="C231" s="13"/>
      <c r="D231" s="13"/>
    </row>
    <row r="232" spans="1:4" ht="13" x14ac:dyDescent="0.15">
      <c r="A232" s="10"/>
      <c r="B232" s="13"/>
      <c r="C232" s="13"/>
      <c r="D232" s="13"/>
    </row>
    <row r="233" spans="1:4" ht="13" x14ac:dyDescent="0.15">
      <c r="A233" s="10"/>
      <c r="B233" s="13"/>
      <c r="C233" s="13"/>
      <c r="D233" s="13"/>
    </row>
    <row r="234" spans="1:4" ht="13" x14ac:dyDescent="0.15">
      <c r="A234" s="10"/>
      <c r="B234" s="13"/>
      <c r="C234" s="13"/>
      <c r="D234" s="13"/>
    </row>
    <row r="235" spans="1:4" ht="13" x14ac:dyDescent="0.15">
      <c r="A235" s="10"/>
      <c r="B235" s="13"/>
      <c r="C235" s="13"/>
      <c r="D235" s="13"/>
    </row>
    <row r="236" spans="1:4" ht="13" x14ac:dyDescent="0.15">
      <c r="A236" s="10"/>
      <c r="B236" s="13"/>
      <c r="C236" s="13"/>
      <c r="D236" s="13"/>
    </row>
    <row r="237" spans="1:4" ht="13" x14ac:dyDescent="0.15">
      <c r="A237" s="10"/>
      <c r="B237" s="13"/>
      <c r="C237" s="13"/>
      <c r="D237" s="13"/>
    </row>
    <row r="238" spans="1:4" ht="13" x14ac:dyDescent="0.15">
      <c r="A238" s="10"/>
      <c r="B238" s="13"/>
      <c r="C238" s="13"/>
      <c r="D238" s="13"/>
    </row>
    <row r="239" spans="1:4" ht="13" x14ac:dyDescent="0.15">
      <c r="A239" s="10"/>
      <c r="B239" s="13"/>
      <c r="C239" s="13"/>
      <c r="D239" s="13"/>
    </row>
    <row r="240" spans="1:4" ht="13" x14ac:dyDescent="0.15">
      <c r="A240" s="10"/>
      <c r="B240" s="13"/>
      <c r="C240" s="13"/>
      <c r="D240" s="13"/>
    </row>
    <row r="241" spans="1:4" ht="13" x14ac:dyDescent="0.15">
      <c r="A241" s="10"/>
      <c r="B241" s="13"/>
      <c r="C241" s="13"/>
      <c r="D241" s="13"/>
    </row>
    <row r="242" spans="1:4" ht="13" x14ac:dyDescent="0.15">
      <c r="A242" s="10"/>
      <c r="B242" s="13"/>
      <c r="C242" s="13"/>
      <c r="D242" s="13"/>
    </row>
    <row r="243" spans="1:4" ht="13" x14ac:dyDescent="0.15">
      <c r="A243" s="10"/>
      <c r="B243" s="13"/>
      <c r="C243" s="13"/>
      <c r="D243" s="13"/>
    </row>
    <row r="244" spans="1:4" ht="13" x14ac:dyDescent="0.15">
      <c r="A244" s="10"/>
      <c r="B244" s="13"/>
      <c r="C244" s="13"/>
      <c r="D244" s="13"/>
    </row>
    <row r="245" spans="1:4" ht="13" x14ac:dyDescent="0.15">
      <c r="A245" s="10"/>
      <c r="B245" s="13"/>
      <c r="C245" s="13"/>
      <c r="D245" s="13"/>
    </row>
    <row r="246" spans="1:4" ht="13" x14ac:dyDescent="0.15">
      <c r="A246" s="10"/>
      <c r="B246" s="13"/>
      <c r="C246" s="13"/>
      <c r="D246" s="13"/>
    </row>
    <row r="247" spans="1:4" ht="13" x14ac:dyDescent="0.15">
      <c r="A247" s="10"/>
      <c r="B247" s="13"/>
      <c r="C247" s="13"/>
      <c r="D247" s="13"/>
    </row>
    <row r="248" spans="1:4" ht="13" x14ac:dyDescent="0.15">
      <c r="A248" s="10"/>
      <c r="B248" s="13"/>
      <c r="C248" s="13"/>
      <c r="D248" s="13"/>
    </row>
    <row r="249" spans="1:4" ht="13" x14ac:dyDescent="0.15">
      <c r="A249" s="10"/>
      <c r="B249" s="13"/>
      <c r="C249" s="13"/>
      <c r="D249" s="13"/>
    </row>
    <row r="250" spans="1:4" ht="13" x14ac:dyDescent="0.15">
      <c r="A250" s="10"/>
      <c r="B250" s="13"/>
      <c r="C250" s="13"/>
      <c r="D250" s="13"/>
    </row>
    <row r="251" spans="1:4" ht="13" x14ac:dyDescent="0.15">
      <c r="A251" s="10"/>
      <c r="B251" s="13"/>
      <c r="C251" s="13"/>
      <c r="D251" s="13"/>
    </row>
    <row r="252" spans="1:4" ht="13" x14ac:dyDescent="0.15">
      <c r="A252" s="10"/>
      <c r="B252" s="13"/>
      <c r="C252" s="13"/>
      <c r="D252" s="13"/>
    </row>
    <row r="253" spans="1:4" ht="13" x14ac:dyDescent="0.15">
      <c r="A253" s="10"/>
      <c r="B253" s="13"/>
      <c r="C253" s="13"/>
      <c r="D253" s="13"/>
    </row>
    <row r="254" spans="1:4" ht="13" x14ac:dyDescent="0.15">
      <c r="A254" s="10"/>
      <c r="B254" s="13"/>
      <c r="C254" s="13"/>
      <c r="D254" s="13"/>
    </row>
    <row r="255" spans="1:4" ht="13" x14ac:dyDescent="0.15">
      <c r="A255" s="10"/>
      <c r="B255" s="13"/>
      <c r="C255" s="13"/>
      <c r="D255" s="13"/>
    </row>
    <row r="256" spans="1:4" ht="13" x14ac:dyDescent="0.15">
      <c r="A256" s="10"/>
      <c r="B256" s="13"/>
      <c r="C256" s="13"/>
      <c r="D256" s="13"/>
    </row>
    <row r="257" spans="1:4" ht="13" x14ac:dyDescent="0.15">
      <c r="A257" s="10"/>
      <c r="B257" s="13"/>
      <c r="C257" s="13"/>
      <c r="D257" s="13"/>
    </row>
    <row r="258" spans="1:4" ht="13" x14ac:dyDescent="0.15">
      <c r="A258" s="10"/>
      <c r="B258" s="13"/>
      <c r="C258" s="13"/>
      <c r="D258" s="13"/>
    </row>
    <row r="259" spans="1:4" ht="13" x14ac:dyDescent="0.15">
      <c r="A259" s="10"/>
      <c r="B259" s="13"/>
      <c r="C259" s="13"/>
      <c r="D259" s="13"/>
    </row>
    <row r="260" spans="1:4" ht="13" x14ac:dyDescent="0.15">
      <c r="A260" s="10"/>
      <c r="B260" s="13"/>
      <c r="C260" s="13"/>
      <c r="D260" s="13"/>
    </row>
    <row r="261" spans="1:4" ht="13" x14ac:dyDescent="0.15">
      <c r="A261" s="10"/>
      <c r="B261" s="13"/>
      <c r="C261" s="13"/>
      <c r="D261" s="13"/>
    </row>
    <row r="262" spans="1:4" ht="13" x14ac:dyDescent="0.15">
      <c r="A262" s="10"/>
      <c r="B262" s="13"/>
      <c r="C262" s="13"/>
      <c r="D262" s="13"/>
    </row>
    <row r="263" spans="1:4" ht="13" x14ac:dyDescent="0.15">
      <c r="A263" s="10"/>
      <c r="B263" s="13"/>
      <c r="C263" s="13"/>
      <c r="D263" s="13"/>
    </row>
    <row r="264" spans="1:4" ht="13" x14ac:dyDescent="0.15">
      <c r="A264" s="10"/>
      <c r="B264" s="13"/>
      <c r="C264" s="13"/>
      <c r="D264" s="13"/>
    </row>
    <row r="265" spans="1:4" ht="13" x14ac:dyDescent="0.15">
      <c r="A265" s="10"/>
      <c r="B265" s="13"/>
      <c r="C265" s="13"/>
      <c r="D265" s="13"/>
    </row>
    <row r="266" spans="1:4" ht="13" x14ac:dyDescent="0.15">
      <c r="A266" s="10"/>
      <c r="B266" s="13"/>
      <c r="C266" s="13"/>
      <c r="D266" s="13"/>
    </row>
    <row r="267" spans="1:4" ht="13" x14ac:dyDescent="0.15">
      <c r="A267" s="10"/>
      <c r="B267" s="13"/>
      <c r="C267" s="13"/>
      <c r="D267" s="13"/>
    </row>
    <row r="268" spans="1:4" ht="13" x14ac:dyDescent="0.15">
      <c r="A268" s="10"/>
      <c r="B268" s="13"/>
      <c r="C268" s="13"/>
      <c r="D268" s="13"/>
    </row>
    <row r="269" spans="1:4" ht="13" x14ac:dyDescent="0.15">
      <c r="A269" s="10"/>
      <c r="B269" s="13"/>
      <c r="C269" s="13"/>
      <c r="D269" s="13"/>
    </row>
    <row r="270" spans="1:4" ht="13" x14ac:dyDescent="0.15">
      <c r="A270" s="10"/>
      <c r="B270" s="13"/>
      <c r="C270" s="13"/>
      <c r="D270" s="13"/>
    </row>
    <row r="271" spans="1:4" ht="13" x14ac:dyDescent="0.15">
      <c r="A271" s="10"/>
      <c r="B271" s="13"/>
      <c r="C271" s="13"/>
      <c r="D271" s="13"/>
    </row>
    <row r="272" spans="1:4" ht="13" x14ac:dyDescent="0.15">
      <c r="A272" s="10"/>
      <c r="B272" s="13"/>
      <c r="C272" s="13"/>
      <c r="D272" s="13"/>
    </row>
    <row r="273" spans="1:4" ht="13" x14ac:dyDescent="0.15">
      <c r="A273" s="10"/>
      <c r="B273" s="13"/>
      <c r="C273" s="13"/>
      <c r="D273" s="13"/>
    </row>
    <row r="274" spans="1:4" ht="13" x14ac:dyDescent="0.15">
      <c r="A274" s="10"/>
      <c r="B274" s="13"/>
      <c r="C274" s="13"/>
      <c r="D274" s="13"/>
    </row>
    <row r="275" spans="1:4" ht="13" x14ac:dyDescent="0.15">
      <c r="A275" s="10"/>
      <c r="B275" s="13"/>
      <c r="C275" s="13"/>
      <c r="D275" s="13"/>
    </row>
    <row r="276" spans="1:4" ht="13" x14ac:dyDescent="0.15">
      <c r="A276" s="10"/>
      <c r="B276" s="13"/>
      <c r="C276" s="13"/>
      <c r="D276" s="13"/>
    </row>
    <row r="277" spans="1:4" ht="13" x14ac:dyDescent="0.15">
      <c r="A277" s="10"/>
      <c r="B277" s="13"/>
      <c r="C277" s="13"/>
      <c r="D277" s="13"/>
    </row>
    <row r="278" spans="1:4" ht="13" x14ac:dyDescent="0.15">
      <c r="A278" s="10"/>
      <c r="B278" s="13"/>
      <c r="C278" s="13"/>
      <c r="D278" s="13"/>
    </row>
    <row r="279" spans="1:4" ht="13" x14ac:dyDescent="0.15">
      <c r="A279" s="10"/>
      <c r="B279" s="13"/>
      <c r="C279" s="13"/>
      <c r="D279" s="13"/>
    </row>
    <row r="280" spans="1:4" ht="13" x14ac:dyDescent="0.15">
      <c r="A280" s="10"/>
      <c r="B280" s="13"/>
      <c r="C280" s="13"/>
      <c r="D280" s="13"/>
    </row>
    <row r="281" spans="1:4" ht="13" x14ac:dyDescent="0.15">
      <c r="A281" s="10"/>
      <c r="B281" s="13"/>
      <c r="C281" s="13"/>
      <c r="D281" s="13"/>
    </row>
    <row r="282" spans="1:4" ht="13" x14ac:dyDescent="0.15">
      <c r="A282" s="10"/>
      <c r="B282" s="13"/>
      <c r="C282" s="13"/>
      <c r="D282" s="13"/>
    </row>
    <row r="283" spans="1:4" ht="13" x14ac:dyDescent="0.15">
      <c r="A283" s="10"/>
      <c r="B283" s="13"/>
      <c r="C283" s="13"/>
      <c r="D283" s="13"/>
    </row>
    <row r="284" spans="1:4" ht="13" x14ac:dyDescent="0.15">
      <c r="A284" s="10"/>
      <c r="B284" s="13"/>
      <c r="C284" s="13"/>
      <c r="D284" s="13"/>
    </row>
    <row r="285" spans="1:4" ht="13" x14ac:dyDescent="0.15">
      <c r="A285" s="10"/>
      <c r="B285" s="13"/>
      <c r="C285" s="13"/>
      <c r="D285" s="13"/>
    </row>
    <row r="286" spans="1:4" ht="13" x14ac:dyDescent="0.15">
      <c r="A286" s="10"/>
      <c r="B286" s="13"/>
      <c r="C286" s="13"/>
      <c r="D286" s="13"/>
    </row>
    <row r="287" spans="1:4" ht="13" x14ac:dyDescent="0.15">
      <c r="A287" s="10"/>
      <c r="B287" s="13"/>
      <c r="C287" s="13"/>
      <c r="D287" s="13"/>
    </row>
    <row r="288" spans="1:4" ht="13" x14ac:dyDescent="0.15">
      <c r="A288" s="10"/>
      <c r="B288" s="13"/>
      <c r="C288" s="13"/>
      <c r="D288" s="13"/>
    </row>
    <row r="289" spans="1:4" ht="13" x14ac:dyDescent="0.15">
      <c r="A289" s="10"/>
      <c r="B289" s="13"/>
      <c r="C289" s="13"/>
      <c r="D289" s="13"/>
    </row>
    <row r="290" spans="1:4" ht="13" x14ac:dyDescent="0.15">
      <c r="A290" s="10"/>
      <c r="B290" s="13"/>
      <c r="C290" s="13"/>
      <c r="D290" s="13"/>
    </row>
    <row r="291" spans="1:4" ht="13" x14ac:dyDescent="0.15">
      <c r="A291" s="10"/>
      <c r="B291" s="13"/>
      <c r="C291" s="13"/>
      <c r="D291" s="13"/>
    </row>
    <row r="292" spans="1:4" ht="13" x14ac:dyDescent="0.15">
      <c r="A292" s="10"/>
      <c r="B292" s="13"/>
      <c r="C292" s="13"/>
      <c r="D292" s="13"/>
    </row>
    <row r="293" spans="1:4" ht="13" x14ac:dyDescent="0.15">
      <c r="A293" s="10"/>
      <c r="B293" s="13"/>
      <c r="C293" s="13"/>
      <c r="D293" s="13"/>
    </row>
    <row r="294" spans="1:4" ht="13" x14ac:dyDescent="0.15">
      <c r="A294" s="10"/>
      <c r="B294" s="13"/>
      <c r="C294" s="13"/>
      <c r="D294" s="13"/>
    </row>
    <row r="295" spans="1:4" ht="13" x14ac:dyDescent="0.15">
      <c r="A295" s="10"/>
      <c r="B295" s="13"/>
      <c r="C295" s="13"/>
      <c r="D295" s="13"/>
    </row>
    <row r="296" spans="1:4" ht="13" x14ac:dyDescent="0.15">
      <c r="A296" s="10"/>
      <c r="B296" s="13"/>
      <c r="C296" s="13"/>
      <c r="D296" s="13"/>
    </row>
    <row r="297" spans="1:4" ht="13" x14ac:dyDescent="0.15">
      <c r="A297" s="10"/>
      <c r="B297" s="13"/>
      <c r="C297" s="13"/>
      <c r="D297" s="13"/>
    </row>
    <row r="298" spans="1:4" ht="13" x14ac:dyDescent="0.15">
      <c r="A298" s="10"/>
      <c r="B298" s="13"/>
      <c r="C298" s="13"/>
      <c r="D298" s="13"/>
    </row>
    <row r="299" spans="1:4" ht="13" x14ac:dyDescent="0.15">
      <c r="A299" s="10"/>
      <c r="B299" s="13"/>
      <c r="C299" s="13"/>
      <c r="D299" s="13"/>
    </row>
    <row r="300" spans="1:4" ht="13" x14ac:dyDescent="0.15">
      <c r="A300" s="10"/>
      <c r="B300" s="13"/>
      <c r="C300" s="13"/>
      <c r="D300" s="13"/>
    </row>
    <row r="301" spans="1:4" ht="13" x14ac:dyDescent="0.15">
      <c r="A301" s="10"/>
      <c r="B301" s="13"/>
      <c r="C301" s="13"/>
      <c r="D301" s="13"/>
    </row>
    <row r="302" spans="1:4" ht="13" x14ac:dyDescent="0.15">
      <c r="A302" s="10"/>
      <c r="B302" s="13"/>
      <c r="C302" s="13"/>
      <c r="D302" s="13"/>
    </row>
    <row r="303" spans="1:4" ht="13" x14ac:dyDescent="0.15">
      <c r="A303" s="10"/>
      <c r="B303" s="13"/>
      <c r="C303" s="13"/>
      <c r="D303" s="13"/>
    </row>
    <row r="304" spans="1:4" ht="13" x14ac:dyDescent="0.15">
      <c r="A304" s="10"/>
      <c r="B304" s="13"/>
      <c r="C304" s="13"/>
      <c r="D304" s="13"/>
    </row>
    <row r="305" spans="1:4" ht="13" x14ac:dyDescent="0.15">
      <c r="A305" s="10"/>
      <c r="B305" s="13"/>
      <c r="C305" s="13"/>
      <c r="D305" s="13"/>
    </row>
    <row r="306" spans="1:4" ht="13" x14ac:dyDescent="0.15">
      <c r="A306" s="10"/>
      <c r="B306" s="13"/>
      <c r="C306" s="13"/>
      <c r="D306" s="13"/>
    </row>
    <row r="307" spans="1:4" ht="13" x14ac:dyDescent="0.15">
      <c r="A307" s="10"/>
      <c r="B307" s="13"/>
      <c r="C307" s="13"/>
      <c r="D307" s="13"/>
    </row>
    <row r="308" spans="1:4" ht="13" x14ac:dyDescent="0.15">
      <c r="A308" s="10"/>
      <c r="B308" s="13"/>
      <c r="C308" s="13"/>
      <c r="D308" s="13"/>
    </row>
    <row r="309" spans="1:4" ht="13" x14ac:dyDescent="0.15">
      <c r="A309" s="10"/>
      <c r="B309" s="13"/>
      <c r="C309" s="13"/>
      <c r="D309" s="13"/>
    </row>
    <row r="310" spans="1:4" ht="13" x14ac:dyDescent="0.15">
      <c r="A310" s="10"/>
      <c r="B310" s="13"/>
      <c r="C310" s="13"/>
      <c r="D310" s="13"/>
    </row>
    <row r="311" spans="1:4" ht="13" x14ac:dyDescent="0.15">
      <c r="A311" s="10"/>
      <c r="B311" s="13"/>
      <c r="C311" s="13"/>
      <c r="D311" s="13"/>
    </row>
    <row r="312" spans="1:4" ht="13" x14ac:dyDescent="0.15">
      <c r="A312" s="10"/>
      <c r="B312" s="13"/>
      <c r="C312" s="13"/>
      <c r="D312" s="13"/>
    </row>
    <row r="313" spans="1:4" ht="13" x14ac:dyDescent="0.15">
      <c r="A313" s="10"/>
      <c r="B313" s="13"/>
      <c r="C313" s="13"/>
      <c r="D313" s="13"/>
    </row>
    <row r="314" spans="1:4" ht="13" x14ac:dyDescent="0.15">
      <c r="A314" s="10"/>
      <c r="B314" s="13"/>
      <c r="C314" s="13"/>
      <c r="D314" s="13"/>
    </row>
    <row r="315" spans="1:4" ht="13" x14ac:dyDescent="0.15">
      <c r="A315" s="10"/>
      <c r="B315" s="13"/>
      <c r="C315" s="13"/>
      <c r="D315" s="13"/>
    </row>
    <row r="316" spans="1:4" ht="13" x14ac:dyDescent="0.15">
      <c r="A316" s="10"/>
      <c r="B316" s="13"/>
      <c r="C316" s="13"/>
      <c r="D316" s="13"/>
    </row>
    <row r="317" spans="1:4" ht="13" x14ac:dyDescent="0.15">
      <c r="A317" s="10"/>
      <c r="B317" s="13"/>
      <c r="C317" s="13"/>
      <c r="D317" s="13"/>
    </row>
    <row r="318" spans="1:4" ht="13" x14ac:dyDescent="0.15">
      <c r="A318" s="10"/>
      <c r="B318" s="13"/>
      <c r="C318" s="13"/>
      <c r="D318" s="13"/>
    </row>
    <row r="319" spans="1:4" ht="13" x14ac:dyDescent="0.15">
      <c r="A319" s="10"/>
      <c r="B319" s="13"/>
      <c r="C319" s="13"/>
      <c r="D319" s="13"/>
    </row>
    <row r="320" spans="1:4" ht="13" x14ac:dyDescent="0.15">
      <c r="A320" s="10"/>
      <c r="B320" s="13"/>
      <c r="C320" s="13"/>
      <c r="D320" s="13"/>
    </row>
    <row r="321" spans="1:4" ht="13" x14ac:dyDescent="0.15">
      <c r="A321" s="10"/>
      <c r="B321" s="13"/>
      <c r="C321" s="13"/>
      <c r="D321" s="13"/>
    </row>
    <row r="322" spans="1:4" ht="13" x14ac:dyDescent="0.15">
      <c r="A322" s="10"/>
      <c r="B322" s="13"/>
      <c r="C322" s="13"/>
      <c r="D322" s="13"/>
    </row>
    <row r="323" spans="1:4" ht="13" x14ac:dyDescent="0.15">
      <c r="A323" s="10"/>
      <c r="B323" s="13"/>
      <c r="C323" s="13"/>
      <c r="D323" s="13"/>
    </row>
    <row r="324" spans="1:4" ht="13" x14ac:dyDescent="0.15">
      <c r="A324" s="10"/>
      <c r="B324" s="13"/>
      <c r="C324" s="13"/>
      <c r="D324" s="13"/>
    </row>
    <row r="325" spans="1:4" ht="13" x14ac:dyDescent="0.15">
      <c r="A325" s="10"/>
      <c r="B325" s="13"/>
      <c r="C325" s="13"/>
      <c r="D325" s="13"/>
    </row>
    <row r="326" spans="1:4" ht="13" x14ac:dyDescent="0.15">
      <c r="A326" s="10"/>
      <c r="B326" s="13"/>
      <c r="C326" s="13"/>
      <c r="D326" s="13"/>
    </row>
    <row r="327" spans="1:4" ht="13" x14ac:dyDescent="0.15">
      <c r="A327" s="10"/>
      <c r="B327" s="13"/>
      <c r="C327" s="13"/>
      <c r="D327" s="13"/>
    </row>
    <row r="328" spans="1:4" ht="13" x14ac:dyDescent="0.15">
      <c r="A328" s="10"/>
      <c r="B328" s="13"/>
      <c r="C328" s="13"/>
      <c r="D328" s="13"/>
    </row>
    <row r="329" spans="1:4" ht="13" x14ac:dyDescent="0.15">
      <c r="A329" s="10"/>
      <c r="B329" s="13"/>
      <c r="C329" s="13"/>
      <c r="D329" s="13"/>
    </row>
    <row r="330" spans="1:4" ht="13" x14ac:dyDescent="0.15">
      <c r="A330" s="10"/>
      <c r="B330" s="13"/>
      <c r="C330" s="13"/>
      <c r="D330" s="13"/>
    </row>
    <row r="331" spans="1:4" ht="13" x14ac:dyDescent="0.15">
      <c r="A331" s="10"/>
      <c r="B331" s="13"/>
      <c r="C331" s="13"/>
      <c r="D331" s="13"/>
    </row>
    <row r="332" spans="1:4" ht="13" x14ac:dyDescent="0.15">
      <c r="A332" s="10"/>
      <c r="B332" s="13"/>
      <c r="C332" s="13"/>
      <c r="D332" s="13"/>
    </row>
    <row r="333" spans="1:4" ht="13" x14ac:dyDescent="0.15">
      <c r="A333" s="10"/>
      <c r="B333" s="13"/>
      <c r="C333" s="13"/>
      <c r="D333" s="13"/>
    </row>
    <row r="334" spans="1:4" ht="13" x14ac:dyDescent="0.15">
      <c r="A334" s="10"/>
      <c r="B334" s="13"/>
      <c r="C334" s="13"/>
      <c r="D334" s="13"/>
    </row>
    <row r="335" spans="1:4" ht="13" x14ac:dyDescent="0.15">
      <c r="A335" s="10"/>
      <c r="B335" s="13"/>
      <c r="C335" s="13"/>
      <c r="D335" s="13"/>
    </row>
    <row r="336" spans="1:4" ht="13" x14ac:dyDescent="0.15">
      <c r="A336" s="10"/>
      <c r="B336" s="13"/>
      <c r="C336" s="13"/>
      <c r="D336" s="13"/>
    </row>
    <row r="337" spans="1:4" ht="13" x14ac:dyDescent="0.15">
      <c r="A337" s="10"/>
      <c r="B337" s="13"/>
      <c r="C337" s="13"/>
      <c r="D337" s="13"/>
    </row>
    <row r="338" spans="1:4" ht="13" x14ac:dyDescent="0.15">
      <c r="A338" s="10"/>
      <c r="B338" s="13"/>
      <c r="C338" s="13"/>
      <c r="D338" s="13"/>
    </row>
    <row r="339" spans="1:4" ht="13" x14ac:dyDescent="0.15">
      <c r="A339" s="10"/>
      <c r="B339" s="13"/>
      <c r="C339" s="13"/>
      <c r="D339" s="13"/>
    </row>
    <row r="340" spans="1:4" ht="13" x14ac:dyDescent="0.15">
      <c r="A340" s="10"/>
      <c r="B340" s="13"/>
      <c r="C340" s="13"/>
      <c r="D340" s="13"/>
    </row>
    <row r="341" spans="1:4" ht="13" x14ac:dyDescent="0.15">
      <c r="A341" s="10"/>
      <c r="B341" s="13"/>
      <c r="C341" s="13"/>
      <c r="D341" s="13"/>
    </row>
    <row r="342" spans="1:4" ht="13" x14ac:dyDescent="0.15">
      <c r="A342" s="10"/>
      <c r="B342" s="13"/>
      <c r="C342" s="13"/>
      <c r="D342" s="13"/>
    </row>
    <row r="343" spans="1:4" ht="13" x14ac:dyDescent="0.15">
      <c r="A343" s="10"/>
      <c r="B343" s="13"/>
      <c r="C343" s="13"/>
      <c r="D343" s="13"/>
    </row>
    <row r="344" spans="1:4" ht="13" x14ac:dyDescent="0.15">
      <c r="A344" s="10"/>
      <c r="B344" s="13"/>
      <c r="C344" s="13"/>
      <c r="D344" s="13"/>
    </row>
    <row r="345" spans="1:4" ht="13" x14ac:dyDescent="0.15">
      <c r="A345" s="10"/>
      <c r="B345" s="13"/>
      <c r="C345" s="13"/>
      <c r="D345" s="13"/>
    </row>
    <row r="346" spans="1:4" ht="13" x14ac:dyDescent="0.15">
      <c r="A346" s="10"/>
      <c r="B346" s="13"/>
      <c r="C346" s="13"/>
      <c r="D346" s="13"/>
    </row>
    <row r="347" spans="1:4" ht="13" x14ac:dyDescent="0.15">
      <c r="A347" s="10"/>
      <c r="B347" s="13"/>
      <c r="C347" s="13"/>
      <c r="D347" s="13"/>
    </row>
    <row r="348" spans="1:4" ht="13" x14ac:dyDescent="0.15">
      <c r="A348" s="10"/>
      <c r="B348" s="13"/>
      <c r="C348" s="13"/>
      <c r="D348" s="13"/>
    </row>
    <row r="349" spans="1:4" ht="13" x14ac:dyDescent="0.15">
      <c r="A349" s="10"/>
      <c r="B349" s="13"/>
      <c r="C349" s="13"/>
      <c r="D349" s="13"/>
    </row>
    <row r="350" spans="1:4" ht="13" x14ac:dyDescent="0.15">
      <c r="A350" s="10"/>
      <c r="B350" s="13"/>
      <c r="C350" s="13"/>
      <c r="D350" s="13"/>
    </row>
    <row r="351" spans="1:4" ht="13" x14ac:dyDescent="0.15">
      <c r="A351" s="10"/>
      <c r="B351" s="13"/>
      <c r="C351" s="13"/>
      <c r="D351" s="13"/>
    </row>
    <row r="352" spans="1:4" ht="13" x14ac:dyDescent="0.15">
      <c r="A352" s="10"/>
      <c r="B352" s="13"/>
      <c r="C352" s="13"/>
      <c r="D352" s="13"/>
    </row>
    <row r="353" spans="1:4" ht="13" x14ac:dyDescent="0.15">
      <c r="A353" s="10"/>
      <c r="B353" s="13"/>
      <c r="C353" s="13"/>
      <c r="D353" s="13"/>
    </row>
    <row r="354" spans="1:4" ht="13" x14ac:dyDescent="0.15">
      <c r="A354" s="10"/>
      <c r="B354" s="13"/>
      <c r="C354" s="13"/>
      <c r="D354" s="13"/>
    </row>
    <row r="355" spans="1:4" ht="13" x14ac:dyDescent="0.15">
      <c r="A355" s="10"/>
      <c r="B355" s="13"/>
      <c r="C355" s="13"/>
      <c r="D355" s="13"/>
    </row>
    <row r="356" spans="1:4" ht="13" x14ac:dyDescent="0.15">
      <c r="A356" s="10"/>
      <c r="B356" s="13"/>
      <c r="C356" s="13"/>
      <c r="D356" s="13"/>
    </row>
    <row r="357" spans="1:4" ht="13" x14ac:dyDescent="0.15">
      <c r="A357" s="10"/>
      <c r="B357" s="13"/>
      <c r="C357" s="13"/>
      <c r="D357" s="13"/>
    </row>
    <row r="358" spans="1:4" ht="13" x14ac:dyDescent="0.15">
      <c r="A358" s="10"/>
      <c r="B358" s="13"/>
      <c r="C358" s="13"/>
      <c r="D358" s="13"/>
    </row>
    <row r="359" spans="1:4" ht="13" x14ac:dyDescent="0.15">
      <c r="A359" s="10"/>
      <c r="B359" s="13"/>
      <c r="C359" s="13"/>
      <c r="D359" s="13"/>
    </row>
    <row r="360" spans="1:4" ht="13" x14ac:dyDescent="0.15">
      <c r="A360" s="10"/>
      <c r="B360" s="13"/>
      <c r="C360" s="13"/>
      <c r="D360" s="13"/>
    </row>
    <row r="361" spans="1:4" ht="13" x14ac:dyDescent="0.15">
      <c r="A361" s="10"/>
      <c r="B361" s="13"/>
      <c r="C361" s="13"/>
      <c r="D361" s="13"/>
    </row>
    <row r="362" spans="1:4" ht="13" x14ac:dyDescent="0.15">
      <c r="A362" s="10"/>
      <c r="B362" s="13"/>
      <c r="C362" s="13"/>
      <c r="D362" s="13"/>
    </row>
    <row r="363" spans="1:4" ht="13" x14ac:dyDescent="0.15">
      <c r="A363" s="10"/>
      <c r="B363" s="13"/>
      <c r="C363" s="13"/>
      <c r="D363" s="13"/>
    </row>
    <row r="364" spans="1:4" ht="13" x14ac:dyDescent="0.15">
      <c r="A364" s="10"/>
      <c r="B364" s="13"/>
      <c r="C364" s="13"/>
      <c r="D364" s="13"/>
    </row>
    <row r="365" spans="1:4" ht="13" x14ac:dyDescent="0.15">
      <c r="A365" s="10"/>
      <c r="B365" s="13"/>
      <c r="C365" s="13"/>
      <c r="D365" s="13"/>
    </row>
    <row r="366" spans="1:4" ht="13" x14ac:dyDescent="0.15">
      <c r="A366" s="10"/>
      <c r="B366" s="13"/>
      <c r="C366" s="13"/>
      <c r="D366" s="13"/>
    </row>
    <row r="367" spans="1:4" ht="13" x14ac:dyDescent="0.15">
      <c r="A367" s="10"/>
      <c r="B367" s="13"/>
      <c r="C367" s="13"/>
      <c r="D367" s="13"/>
    </row>
    <row r="368" spans="1:4" ht="13" x14ac:dyDescent="0.15">
      <c r="A368" s="10"/>
      <c r="B368" s="13"/>
      <c r="C368" s="13"/>
      <c r="D368" s="13"/>
    </row>
    <row r="369" spans="1:4" ht="13" x14ac:dyDescent="0.15">
      <c r="A369" s="10"/>
      <c r="B369" s="13"/>
      <c r="C369" s="13"/>
      <c r="D369" s="13"/>
    </row>
    <row r="370" spans="1:4" ht="13" x14ac:dyDescent="0.15">
      <c r="A370" s="10"/>
      <c r="B370" s="13"/>
      <c r="C370" s="13"/>
      <c r="D370" s="13"/>
    </row>
    <row r="371" spans="1:4" ht="13" x14ac:dyDescent="0.15">
      <c r="A371" s="10"/>
      <c r="B371" s="13"/>
      <c r="C371" s="13"/>
      <c r="D371" s="13"/>
    </row>
    <row r="372" spans="1:4" ht="13" x14ac:dyDescent="0.15">
      <c r="A372" s="10"/>
      <c r="B372" s="13"/>
      <c r="C372" s="13"/>
      <c r="D372" s="13"/>
    </row>
    <row r="373" spans="1:4" ht="13" x14ac:dyDescent="0.15">
      <c r="A373" s="10"/>
      <c r="B373" s="13"/>
      <c r="C373" s="13"/>
      <c r="D373" s="13"/>
    </row>
    <row r="374" spans="1:4" ht="13" x14ac:dyDescent="0.15">
      <c r="A374" s="10"/>
      <c r="B374" s="13"/>
      <c r="C374" s="13"/>
      <c r="D374" s="13"/>
    </row>
    <row r="375" spans="1:4" ht="13" x14ac:dyDescent="0.15">
      <c r="A375" s="10"/>
      <c r="B375" s="13"/>
      <c r="C375" s="13"/>
      <c r="D375" s="13"/>
    </row>
    <row r="376" spans="1:4" ht="13" x14ac:dyDescent="0.15">
      <c r="A376" s="10"/>
      <c r="B376" s="13"/>
      <c r="C376" s="13"/>
      <c r="D376" s="13"/>
    </row>
    <row r="377" spans="1:4" ht="13" x14ac:dyDescent="0.15">
      <c r="A377" s="10"/>
      <c r="B377" s="13"/>
      <c r="C377" s="13"/>
      <c r="D377" s="13"/>
    </row>
    <row r="378" spans="1:4" ht="13" x14ac:dyDescent="0.15">
      <c r="A378" s="10"/>
      <c r="B378" s="13"/>
      <c r="C378" s="13"/>
      <c r="D378" s="13"/>
    </row>
    <row r="379" spans="1:4" ht="13" x14ac:dyDescent="0.15">
      <c r="A379" s="10"/>
      <c r="B379" s="13"/>
      <c r="C379" s="13"/>
      <c r="D379" s="13"/>
    </row>
    <row r="380" spans="1:4" ht="13" x14ac:dyDescent="0.15">
      <c r="A380" s="10"/>
      <c r="B380" s="13"/>
      <c r="C380" s="13"/>
      <c r="D380" s="13"/>
    </row>
    <row r="381" spans="1:4" ht="13" x14ac:dyDescent="0.15">
      <c r="A381" s="10"/>
      <c r="B381" s="13"/>
      <c r="C381" s="13"/>
      <c r="D381" s="13"/>
    </row>
    <row r="382" spans="1:4" ht="13" x14ac:dyDescent="0.15">
      <c r="A382" s="10"/>
      <c r="B382" s="13"/>
      <c r="C382" s="13"/>
      <c r="D382" s="13"/>
    </row>
    <row r="383" spans="1:4" ht="13" x14ac:dyDescent="0.15">
      <c r="A383" s="10"/>
      <c r="B383" s="13"/>
      <c r="C383" s="13"/>
      <c r="D383" s="13"/>
    </row>
    <row r="384" spans="1:4" ht="13" x14ac:dyDescent="0.15">
      <c r="A384" s="10"/>
      <c r="B384" s="13"/>
      <c r="C384" s="13"/>
      <c r="D384" s="13"/>
    </row>
    <row r="385" spans="1:4" ht="13" x14ac:dyDescent="0.15">
      <c r="A385" s="10"/>
      <c r="B385" s="13"/>
      <c r="C385" s="13"/>
      <c r="D385" s="13"/>
    </row>
    <row r="386" spans="1:4" ht="13" x14ac:dyDescent="0.15">
      <c r="A386" s="10"/>
      <c r="B386" s="13"/>
      <c r="C386" s="13"/>
      <c r="D386" s="13"/>
    </row>
    <row r="387" spans="1:4" ht="13" x14ac:dyDescent="0.15">
      <c r="A387" s="10"/>
      <c r="B387" s="13"/>
      <c r="C387" s="13"/>
      <c r="D387" s="13"/>
    </row>
    <row r="388" spans="1:4" ht="13" x14ac:dyDescent="0.15">
      <c r="A388" s="10"/>
      <c r="B388" s="13"/>
      <c r="C388" s="13"/>
      <c r="D388" s="13"/>
    </row>
    <row r="389" spans="1:4" ht="13" x14ac:dyDescent="0.15">
      <c r="A389" s="10"/>
      <c r="B389" s="13"/>
      <c r="C389" s="13"/>
      <c r="D389" s="13"/>
    </row>
    <row r="390" spans="1:4" ht="13" x14ac:dyDescent="0.15">
      <c r="A390" s="10"/>
      <c r="B390" s="13"/>
      <c r="C390" s="13"/>
      <c r="D390" s="13"/>
    </row>
    <row r="391" spans="1:4" ht="13" x14ac:dyDescent="0.15">
      <c r="A391" s="10"/>
      <c r="B391" s="13"/>
      <c r="C391" s="13"/>
      <c r="D391" s="13"/>
    </row>
    <row r="392" spans="1:4" ht="13" x14ac:dyDescent="0.15">
      <c r="A392" s="10"/>
      <c r="B392" s="13"/>
      <c r="C392" s="13"/>
      <c r="D392" s="13"/>
    </row>
    <row r="393" spans="1:4" ht="13" x14ac:dyDescent="0.15">
      <c r="A393" s="10"/>
      <c r="B393" s="13"/>
      <c r="C393" s="13"/>
      <c r="D393" s="13"/>
    </row>
    <row r="394" spans="1:4" ht="13" x14ac:dyDescent="0.15">
      <c r="A394" s="10"/>
      <c r="B394" s="13"/>
      <c r="C394" s="13"/>
      <c r="D394" s="13"/>
    </row>
    <row r="395" spans="1:4" ht="13" x14ac:dyDescent="0.15">
      <c r="A395" s="10"/>
      <c r="B395" s="13"/>
      <c r="C395" s="13"/>
      <c r="D395" s="13"/>
    </row>
    <row r="396" spans="1:4" ht="13" x14ac:dyDescent="0.15">
      <c r="A396" s="10"/>
      <c r="B396" s="13"/>
      <c r="C396" s="13"/>
      <c r="D396" s="13"/>
    </row>
    <row r="397" spans="1:4" ht="13" x14ac:dyDescent="0.15">
      <c r="A397" s="10"/>
      <c r="B397" s="13"/>
      <c r="C397" s="13"/>
      <c r="D397" s="13"/>
    </row>
    <row r="398" spans="1:4" ht="13" x14ac:dyDescent="0.15">
      <c r="A398" s="10"/>
      <c r="B398" s="13"/>
      <c r="C398" s="13"/>
      <c r="D398" s="13"/>
    </row>
    <row r="399" spans="1:4" ht="13" x14ac:dyDescent="0.15">
      <c r="A399" s="10"/>
      <c r="B399" s="13"/>
      <c r="C399" s="13"/>
      <c r="D399" s="13"/>
    </row>
    <row r="400" spans="1:4" ht="13" x14ac:dyDescent="0.15">
      <c r="A400" s="10"/>
      <c r="B400" s="13"/>
      <c r="C400" s="13"/>
      <c r="D400" s="13"/>
    </row>
    <row r="401" spans="1:4" ht="13" x14ac:dyDescent="0.15">
      <c r="A401" s="10"/>
      <c r="B401" s="13"/>
      <c r="C401" s="13"/>
      <c r="D401" s="13"/>
    </row>
    <row r="402" spans="1:4" ht="13" x14ac:dyDescent="0.15">
      <c r="A402" s="10"/>
      <c r="B402" s="13"/>
      <c r="C402" s="13"/>
      <c r="D402" s="13"/>
    </row>
    <row r="403" spans="1:4" ht="13" x14ac:dyDescent="0.15">
      <c r="A403" s="10"/>
      <c r="B403" s="13"/>
      <c r="C403" s="13"/>
      <c r="D403" s="13"/>
    </row>
    <row r="404" spans="1:4" ht="13" x14ac:dyDescent="0.15">
      <c r="A404" s="10"/>
      <c r="B404" s="13"/>
      <c r="C404" s="13"/>
      <c r="D404" s="13"/>
    </row>
    <row r="405" spans="1:4" ht="13" x14ac:dyDescent="0.15">
      <c r="A405" s="10"/>
      <c r="B405" s="13"/>
      <c r="C405" s="13"/>
      <c r="D405" s="13"/>
    </row>
    <row r="406" spans="1:4" ht="13" x14ac:dyDescent="0.15">
      <c r="A406" s="10"/>
      <c r="B406" s="13"/>
      <c r="C406" s="13"/>
      <c r="D406" s="13"/>
    </row>
    <row r="407" spans="1:4" ht="13" x14ac:dyDescent="0.15">
      <c r="A407" s="10"/>
      <c r="B407" s="13"/>
      <c r="C407" s="13"/>
      <c r="D407" s="13"/>
    </row>
    <row r="408" spans="1:4" ht="13" x14ac:dyDescent="0.15">
      <c r="A408" s="10"/>
      <c r="B408" s="13"/>
      <c r="C408" s="13"/>
      <c r="D408" s="13"/>
    </row>
    <row r="409" spans="1:4" ht="13" x14ac:dyDescent="0.15">
      <c r="A409" s="10"/>
      <c r="B409" s="13"/>
      <c r="C409" s="13"/>
      <c r="D409" s="13"/>
    </row>
    <row r="410" spans="1:4" ht="13" x14ac:dyDescent="0.15">
      <c r="A410" s="10"/>
      <c r="B410" s="13"/>
      <c r="C410" s="13"/>
      <c r="D410" s="13"/>
    </row>
    <row r="411" spans="1:4" ht="13" x14ac:dyDescent="0.15">
      <c r="A411" s="10"/>
      <c r="B411" s="13"/>
      <c r="C411" s="13"/>
      <c r="D411" s="13"/>
    </row>
    <row r="412" spans="1:4" ht="13" x14ac:dyDescent="0.15">
      <c r="A412" s="10"/>
      <c r="B412" s="13"/>
      <c r="C412" s="13"/>
      <c r="D412" s="13"/>
    </row>
    <row r="413" spans="1:4" ht="13" x14ac:dyDescent="0.15">
      <c r="A413" s="10"/>
      <c r="B413" s="13"/>
      <c r="C413" s="13"/>
      <c r="D413" s="13"/>
    </row>
    <row r="414" spans="1:4" ht="13" x14ac:dyDescent="0.15">
      <c r="A414" s="10"/>
      <c r="B414" s="13"/>
      <c r="C414" s="13"/>
      <c r="D414" s="13"/>
    </row>
    <row r="415" spans="1:4" ht="13" x14ac:dyDescent="0.15">
      <c r="A415" s="10"/>
      <c r="B415" s="13"/>
      <c r="C415" s="13"/>
      <c r="D415" s="13"/>
    </row>
    <row r="416" spans="1:4" ht="13" x14ac:dyDescent="0.15">
      <c r="A416" s="10"/>
      <c r="B416" s="13"/>
      <c r="C416" s="13"/>
      <c r="D416" s="13"/>
    </row>
    <row r="417" spans="1:4" ht="13" x14ac:dyDescent="0.15">
      <c r="A417" s="10"/>
      <c r="B417" s="13"/>
      <c r="C417" s="13"/>
      <c r="D417" s="13"/>
    </row>
    <row r="418" spans="1:4" ht="13" x14ac:dyDescent="0.15">
      <c r="A418" s="10"/>
      <c r="B418" s="13"/>
      <c r="C418" s="13"/>
      <c r="D418" s="13"/>
    </row>
    <row r="419" spans="1:4" ht="13" x14ac:dyDescent="0.15">
      <c r="A419" s="10"/>
      <c r="B419" s="13"/>
      <c r="C419" s="13"/>
      <c r="D419" s="13"/>
    </row>
    <row r="420" spans="1:4" ht="13" x14ac:dyDescent="0.15">
      <c r="A420" s="10"/>
      <c r="B420" s="13"/>
      <c r="C420" s="13"/>
      <c r="D420" s="13"/>
    </row>
    <row r="421" spans="1:4" ht="13" x14ac:dyDescent="0.15">
      <c r="A421" s="10"/>
      <c r="B421" s="13"/>
      <c r="C421" s="13"/>
      <c r="D421" s="13"/>
    </row>
    <row r="422" spans="1:4" ht="13" x14ac:dyDescent="0.15">
      <c r="A422" s="10"/>
      <c r="B422" s="13"/>
      <c r="C422" s="13"/>
      <c r="D422" s="13"/>
    </row>
    <row r="423" spans="1:4" ht="13" x14ac:dyDescent="0.15">
      <c r="A423" s="10"/>
      <c r="B423" s="13"/>
      <c r="C423" s="13"/>
      <c r="D423" s="13"/>
    </row>
    <row r="424" spans="1:4" ht="13" x14ac:dyDescent="0.15">
      <c r="A424" s="10"/>
      <c r="B424" s="13"/>
      <c r="C424" s="13"/>
      <c r="D424" s="13"/>
    </row>
    <row r="425" spans="1:4" ht="13" x14ac:dyDescent="0.15">
      <c r="A425" s="10"/>
      <c r="B425" s="13"/>
      <c r="C425" s="13"/>
      <c r="D425" s="13"/>
    </row>
    <row r="426" spans="1:4" ht="13" x14ac:dyDescent="0.15">
      <c r="A426" s="10"/>
      <c r="B426" s="13"/>
      <c r="C426" s="13"/>
      <c r="D426" s="13"/>
    </row>
    <row r="427" spans="1:4" ht="13" x14ac:dyDescent="0.15">
      <c r="A427" s="10"/>
      <c r="B427" s="13"/>
      <c r="C427" s="13"/>
      <c r="D427" s="13"/>
    </row>
    <row r="428" spans="1:4" ht="13" x14ac:dyDescent="0.15">
      <c r="A428" s="10"/>
      <c r="B428" s="13"/>
      <c r="C428" s="13"/>
      <c r="D428" s="13"/>
    </row>
    <row r="429" spans="1:4" ht="13" x14ac:dyDescent="0.15">
      <c r="A429" s="10"/>
      <c r="B429" s="13"/>
      <c r="C429" s="13"/>
      <c r="D429" s="13"/>
    </row>
    <row r="430" spans="1:4" ht="13" x14ac:dyDescent="0.15">
      <c r="A430" s="10"/>
      <c r="B430" s="13"/>
      <c r="C430" s="13"/>
      <c r="D430" s="13"/>
    </row>
    <row r="431" spans="1:4" ht="13" x14ac:dyDescent="0.15">
      <c r="A431" s="10"/>
      <c r="B431" s="13"/>
      <c r="C431" s="13"/>
      <c r="D431" s="13"/>
    </row>
    <row r="432" spans="1:4" ht="13" x14ac:dyDescent="0.15">
      <c r="A432" s="10"/>
      <c r="B432" s="13"/>
      <c r="C432" s="13"/>
      <c r="D432" s="13"/>
    </row>
    <row r="433" spans="1:4" ht="13" x14ac:dyDescent="0.15">
      <c r="A433" s="10"/>
      <c r="B433" s="13"/>
      <c r="C433" s="13"/>
      <c r="D433" s="13"/>
    </row>
    <row r="434" spans="1:4" ht="13" x14ac:dyDescent="0.15">
      <c r="A434" s="10"/>
      <c r="B434" s="13"/>
      <c r="C434" s="13"/>
      <c r="D434" s="13"/>
    </row>
    <row r="435" spans="1:4" ht="13" x14ac:dyDescent="0.15">
      <c r="A435" s="10"/>
      <c r="B435" s="13"/>
      <c r="C435" s="13"/>
      <c r="D435" s="13"/>
    </row>
    <row r="436" spans="1:4" ht="13" x14ac:dyDescent="0.15">
      <c r="A436" s="10"/>
      <c r="B436" s="13"/>
      <c r="C436" s="13"/>
      <c r="D436" s="13"/>
    </row>
    <row r="437" spans="1:4" ht="13" x14ac:dyDescent="0.15">
      <c r="A437" s="10"/>
      <c r="B437" s="13"/>
      <c r="C437" s="13"/>
      <c r="D437" s="13"/>
    </row>
    <row r="438" spans="1:4" ht="13" x14ac:dyDescent="0.15">
      <c r="A438" s="10"/>
      <c r="B438" s="13"/>
      <c r="C438" s="13"/>
      <c r="D438" s="13"/>
    </row>
    <row r="439" spans="1:4" ht="13" x14ac:dyDescent="0.15">
      <c r="A439" s="10"/>
      <c r="B439" s="13"/>
      <c r="C439" s="13"/>
      <c r="D439" s="13"/>
    </row>
    <row r="440" spans="1:4" ht="13" x14ac:dyDescent="0.15">
      <c r="A440" s="10"/>
      <c r="B440" s="13"/>
      <c r="C440" s="13"/>
      <c r="D440" s="13"/>
    </row>
    <row r="441" spans="1:4" ht="13" x14ac:dyDescent="0.15">
      <c r="A441" s="10"/>
      <c r="B441" s="13"/>
      <c r="C441" s="13"/>
      <c r="D441" s="13"/>
    </row>
    <row r="442" spans="1:4" ht="13" x14ac:dyDescent="0.15">
      <c r="A442" s="10"/>
      <c r="B442" s="13"/>
      <c r="C442" s="13"/>
      <c r="D442" s="13"/>
    </row>
    <row r="443" spans="1:4" ht="13" x14ac:dyDescent="0.15">
      <c r="A443" s="10"/>
      <c r="B443" s="13"/>
      <c r="C443" s="13"/>
      <c r="D443" s="13"/>
    </row>
    <row r="444" spans="1:4" ht="13" x14ac:dyDescent="0.15">
      <c r="A444" s="10"/>
      <c r="B444" s="13"/>
      <c r="C444" s="13"/>
      <c r="D444" s="13"/>
    </row>
    <row r="445" spans="1:4" ht="13" x14ac:dyDescent="0.15">
      <c r="A445" s="10"/>
      <c r="B445" s="13"/>
      <c r="C445" s="13"/>
      <c r="D445" s="13"/>
    </row>
    <row r="446" spans="1:4" ht="13" x14ac:dyDescent="0.15">
      <c r="A446" s="10"/>
      <c r="B446" s="13"/>
      <c r="C446" s="13"/>
      <c r="D446" s="13"/>
    </row>
    <row r="447" spans="1:4" ht="13" x14ac:dyDescent="0.15">
      <c r="A447" s="10"/>
      <c r="B447" s="13"/>
      <c r="C447" s="13"/>
      <c r="D447" s="13"/>
    </row>
    <row r="448" spans="1:4" ht="13" x14ac:dyDescent="0.15">
      <c r="A448" s="10"/>
      <c r="B448" s="13"/>
      <c r="C448" s="13"/>
      <c r="D448" s="13"/>
    </row>
    <row r="449" spans="1:4" ht="13" x14ac:dyDescent="0.15">
      <c r="A449" s="10"/>
      <c r="B449" s="13"/>
      <c r="C449" s="13"/>
      <c r="D449" s="13"/>
    </row>
    <row r="450" spans="1:4" ht="13" x14ac:dyDescent="0.15">
      <c r="A450" s="10"/>
      <c r="B450" s="13"/>
      <c r="C450" s="13"/>
      <c r="D450" s="13"/>
    </row>
    <row r="451" spans="1:4" ht="13" x14ac:dyDescent="0.15">
      <c r="A451" s="10"/>
      <c r="B451" s="13"/>
      <c r="C451" s="13"/>
      <c r="D451" s="13"/>
    </row>
    <row r="452" spans="1:4" ht="13" x14ac:dyDescent="0.15">
      <c r="A452" s="10"/>
      <c r="B452" s="13"/>
      <c r="C452" s="13"/>
      <c r="D452" s="13"/>
    </row>
    <row r="453" spans="1:4" ht="13" x14ac:dyDescent="0.15">
      <c r="A453" s="10"/>
      <c r="B453" s="13"/>
      <c r="C453" s="13"/>
      <c r="D453" s="13"/>
    </row>
    <row r="454" spans="1:4" ht="13" x14ac:dyDescent="0.15">
      <c r="A454" s="10"/>
      <c r="B454" s="13"/>
      <c r="C454" s="13"/>
      <c r="D454" s="13"/>
    </row>
    <row r="455" spans="1:4" ht="13" x14ac:dyDescent="0.15">
      <c r="A455" s="10"/>
      <c r="B455" s="13"/>
      <c r="C455" s="13"/>
      <c r="D455" s="13"/>
    </row>
    <row r="456" spans="1:4" ht="13" x14ac:dyDescent="0.15">
      <c r="A456" s="10"/>
      <c r="B456" s="13"/>
      <c r="C456" s="13"/>
      <c r="D456" s="13"/>
    </row>
    <row r="457" spans="1:4" ht="13" x14ac:dyDescent="0.15">
      <c r="A457" s="10"/>
      <c r="B457" s="13"/>
      <c r="C457" s="13"/>
      <c r="D457" s="13"/>
    </row>
    <row r="458" spans="1:4" ht="13" x14ac:dyDescent="0.15">
      <c r="A458" s="10"/>
      <c r="B458" s="13"/>
      <c r="C458" s="13"/>
      <c r="D458" s="13"/>
    </row>
    <row r="459" spans="1:4" ht="13" x14ac:dyDescent="0.15">
      <c r="A459" s="10"/>
      <c r="B459" s="13"/>
      <c r="C459" s="13"/>
      <c r="D459" s="13"/>
    </row>
    <row r="460" spans="1:4" ht="13" x14ac:dyDescent="0.15">
      <c r="A460" s="10"/>
      <c r="B460" s="13"/>
      <c r="C460" s="13"/>
      <c r="D460" s="13"/>
    </row>
    <row r="461" spans="1:4" ht="13" x14ac:dyDescent="0.15">
      <c r="A461" s="10"/>
      <c r="B461" s="13"/>
      <c r="C461" s="13"/>
      <c r="D461" s="13"/>
    </row>
    <row r="462" spans="1:4" ht="13" x14ac:dyDescent="0.15">
      <c r="A462" s="10"/>
      <c r="B462" s="13"/>
      <c r="C462" s="13"/>
      <c r="D462" s="13"/>
    </row>
    <row r="463" spans="1:4" ht="13" x14ac:dyDescent="0.15">
      <c r="A463" s="10"/>
      <c r="B463" s="13"/>
      <c r="C463" s="13"/>
      <c r="D463" s="13"/>
    </row>
    <row r="464" spans="1:4" ht="13" x14ac:dyDescent="0.15">
      <c r="A464" s="10"/>
      <c r="B464" s="13"/>
      <c r="C464" s="13"/>
      <c r="D464" s="13"/>
    </row>
    <row r="465" spans="1:4" ht="13" x14ac:dyDescent="0.15">
      <c r="A465" s="10"/>
      <c r="B465" s="13"/>
      <c r="C465" s="13"/>
      <c r="D465" s="13"/>
    </row>
    <row r="466" spans="1:4" ht="13" x14ac:dyDescent="0.15">
      <c r="A466" s="10"/>
      <c r="B466" s="13"/>
      <c r="C466" s="13"/>
      <c r="D466" s="13"/>
    </row>
    <row r="467" spans="1:4" ht="13" x14ac:dyDescent="0.15">
      <c r="A467" s="10"/>
      <c r="B467" s="13"/>
      <c r="C467" s="13"/>
      <c r="D467" s="13"/>
    </row>
    <row r="468" spans="1:4" ht="13" x14ac:dyDescent="0.15">
      <c r="A468" s="10"/>
      <c r="B468" s="13"/>
      <c r="C468" s="13"/>
      <c r="D468" s="13"/>
    </row>
    <row r="469" spans="1:4" ht="13" x14ac:dyDescent="0.15">
      <c r="A469" s="10"/>
      <c r="B469" s="13"/>
      <c r="C469" s="13"/>
      <c r="D469" s="13"/>
    </row>
    <row r="470" spans="1:4" ht="13" x14ac:dyDescent="0.15">
      <c r="A470" s="10"/>
      <c r="B470" s="13"/>
      <c r="C470" s="13"/>
      <c r="D470" s="13"/>
    </row>
    <row r="471" spans="1:4" ht="13" x14ac:dyDescent="0.15">
      <c r="A471" s="10"/>
      <c r="B471" s="13"/>
      <c r="C471" s="13"/>
      <c r="D471" s="13"/>
    </row>
    <row r="472" spans="1:4" ht="13" x14ac:dyDescent="0.15">
      <c r="A472" s="10"/>
      <c r="B472" s="13"/>
      <c r="C472" s="13"/>
      <c r="D472" s="13"/>
    </row>
    <row r="473" spans="1:4" ht="13" x14ac:dyDescent="0.15">
      <c r="A473" s="10"/>
      <c r="B473" s="13"/>
      <c r="C473" s="13"/>
      <c r="D473" s="13"/>
    </row>
    <row r="474" spans="1:4" ht="13" x14ac:dyDescent="0.15">
      <c r="A474" s="10"/>
      <c r="B474" s="13"/>
      <c r="C474" s="13"/>
      <c r="D474" s="13"/>
    </row>
    <row r="475" spans="1:4" ht="13" x14ac:dyDescent="0.15">
      <c r="A475" s="10"/>
      <c r="B475" s="13"/>
      <c r="C475" s="13"/>
      <c r="D475" s="13"/>
    </row>
    <row r="476" spans="1:4" ht="13" x14ac:dyDescent="0.15">
      <c r="A476" s="10"/>
      <c r="B476" s="13"/>
      <c r="C476" s="13"/>
      <c r="D476" s="13"/>
    </row>
    <row r="477" spans="1:4" ht="13" x14ac:dyDescent="0.15">
      <c r="A477" s="10"/>
      <c r="B477" s="13"/>
      <c r="C477" s="13"/>
      <c r="D477" s="13"/>
    </row>
    <row r="478" spans="1:4" ht="13" x14ac:dyDescent="0.15">
      <c r="A478" s="10"/>
      <c r="B478" s="13"/>
      <c r="C478" s="13"/>
      <c r="D478" s="13"/>
    </row>
    <row r="479" spans="1:4" ht="13" x14ac:dyDescent="0.15">
      <c r="A479" s="10"/>
      <c r="B479" s="13"/>
      <c r="C479" s="13"/>
      <c r="D479" s="13"/>
    </row>
    <row r="480" spans="1:4" ht="13" x14ac:dyDescent="0.15">
      <c r="A480" s="10"/>
      <c r="B480" s="13"/>
      <c r="C480" s="13"/>
      <c r="D480" s="13"/>
    </row>
    <row r="481" spans="1:4" ht="13" x14ac:dyDescent="0.15">
      <c r="A481" s="10"/>
      <c r="B481" s="13"/>
      <c r="C481" s="13"/>
      <c r="D481" s="13"/>
    </row>
    <row r="482" spans="1:4" ht="13" x14ac:dyDescent="0.15">
      <c r="A482" s="10"/>
      <c r="B482" s="13"/>
      <c r="C482" s="13"/>
      <c r="D482" s="13"/>
    </row>
    <row r="483" spans="1:4" ht="13" x14ac:dyDescent="0.15">
      <c r="A483" s="10"/>
      <c r="B483" s="13"/>
      <c r="C483" s="13"/>
      <c r="D483" s="13"/>
    </row>
    <row r="484" spans="1:4" ht="13" x14ac:dyDescent="0.15">
      <c r="A484" s="10"/>
      <c r="B484" s="13"/>
      <c r="C484" s="13"/>
      <c r="D484" s="13"/>
    </row>
    <row r="485" spans="1:4" ht="13" x14ac:dyDescent="0.15">
      <c r="A485" s="10"/>
      <c r="B485" s="13"/>
      <c r="C485" s="13"/>
      <c r="D485" s="13"/>
    </row>
    <row r="486" spans="1:4" ht="13" x14ac:dyDescent="0.15">
      <c r="A486" s="10"/>
      <c r="B486" s="13"/>
      <c r="C486" s="13"/>
      <c r="D486" s="13"/>
    </row>
    <row r="487" spans="1:4" ht="13" x14ac:dyDescent="0.15">
      <c r="A487" s="10"/>
      <c r="B487" s="13"/>
      <c r="C487" s="13"/>
      <c r="D487" s="13"/>
    </row>
    <row r="488" spans="1:4" ht="13" x14ac:dyDescent="0.15">
      <c r="A488" s="10"/>
      <c r="B488" s="13"/>
      <c r="C488" s="13"/>
      <c r="D488" s="13"/>
    </row>
    <row r="489" spans="1:4" ht="13" x14ac:dyDescent="0.15">
      <c r="A489" s="10"/>
      <c r="B489" s="13"/>
      <c r="C489" s="13"/>
      <c r="D489" s="13"/>
    </row>
    <row r="490" spans="1:4" ht="13" x14ac:dyDescent="0.15">
      <c r="A490" s="10"/>
      <c r="B490" s="13"/>
      <c r="C490" s="13"/>
      <c r="D490" s="13"/>
    </row>
    <row r="491" spans="1:4" ht="13" x14ac:dyDescent="0.15">
      <c r="A491" s="10"/>
      <c r="B491" s="13"/>
      <c r="C491" s="13"/>
      <c r="D491" s="13"/>
    </row>
    <row r="492" spans="1:4" ht="13" x14ac:dyDescent="0.15">
      <c r="A492" s="10"/>
      <c r="B492" s="13"/>
      <c r="C492" s="13"/>
      <c r="D492" s="13"/>
    </row>
    <row r="493" spans="1:4" ht="13" x14ac:dyDescent="0.15">
      <c r="A493" s="10"/>
      <c r="B493" s="13"/>
      <c r="C493" s="13"/>
      <c r="D493" s="13"/>
    </row>
    <row r="494" spans="1:4" ht="13" x14ac:dyDescent="0.15">
      <c r="A494" s="10"/>
      <c r="B494" s="13"/>
      <c r="C494" s="13"/>
      <c r="D494" s="13"/>
    </row>
    <row r="495" spans="1:4" ht="13" x14ac:dyDescent="0.15">
      <c r="A495" s="10"/>
      <c r="B495" s="13"/>
      <c r="C495" s="13"/>
      <c r="D495" s="13"/>
    </row>
    <row r="496" spans="1:4" ht="13" x14ac:dyDescent="0.15">
      <c r="A496" s="10"/>
      <c r="B496" s="13"/>
      <c r="C496" s="13"/>
      <c r="D496" s="13"/>
    </row>
    <row r="497" spans="1:4" ht="13" x14ac:dyDescent="0.15">
      <c r="A497" s="10"/>
      <c r="B497" s="13"/>
      <c r="C497" s="13"/>
      <c r="D497" s="13"/>
    </row>
    <row r="498" spans="1:4" ht="13" x14ac:dyDescent="0.15">
      <c r="A498" s="10"/>
      <c r="B498" s="13"/>
      <c r="C498" s="13"/>
      <c r="D498" s="13"/>
    </row>
    <row r="499" spans="1:4" ht="13" x14ac:dyDescent="0.15">
      <c r="A499" s="10"/>
      <c r="B499" s="13"/>
      <c r="C499" s="13"/>
      <c r="D499" s="13"/>
    </row>
    <row r="500" spans="1:4" ht="13" x14ac:dyDescent="0.15">
      <c r="A500" s="10"/>
      <c r="B500" s="13"/>
      <c r="C500" s="13"/>
      <c r="D500" s="13"/>
    </row>
    <row r="501" spans="1:4" ht="13" x14ac:dyDescent="0.15">
      <c r="A501" s="10"/>
      <c r="B501" s="13"/>
      <c r="C501" s="13"/>
      <c r="D501" s="13"/>
    </row>
    <row r="502" spans="1:4" ht="13" x14ac:dyDescent="0.15">
      <c r="A502" s="10"/>
      <c r="B502" s="13"/>
      <c r="C502" s="13"/>
      <c r="D502" s="13"/>
    </row>
    <row r="503" spans="1:4" ht="13" x14ac:dyDescent="0.15">
      <c r="A503" s="10"/>
      <c r="B503" s="13"/>
      <c r="C503" s="13"/>
      <c r="D503" s="13"/>
    </row>
    <row r="504" spans="1:4" ht="13" x14ac:dyDescent="0.15">
      <c r="A504" s="10"/>
      <c r="B504" s="13"/>
      <c r="C504" s="13"/>
      <c r="D504" s="13"/>
    </row>
    <row r="505" spans="1:4" ht="13" x14ac:dyDescent="0.15">
      <c r="A505" s="10"/>
      <c r="B505" s="13"/>
      <c r="C505" s="13"/>
      <c r="D505" s="13"/>
    </row>
    <row r="506" spans="1:4" ht="13" x14ac:dyDescent="0.15">
      <c r="A506" s="10"/>
      <c r="B506" s="13"/>
      <c r="C506" s="13"/>
      <c r="D506" s="13"/>
    </row>
    <row r="507" spans="1:4" ht="13" x14ac:dyDescent="0.15">
      <c r="A507" s="10"/>
      <c r="B507" s="13"/>
      <c r="C507" s="13"/>
      <c r="D507" s="13"/>
    </row>
    <row r="508" spans="1:4" ht="13" x14ac:dyDescent="0.15">
      <c r="A508" s="10"/>
      <c r="B508" s="13"/>
      <c r="C508" s="13"/>
      <c r="D508" s="13"/>
    </row>
    <row r="509" spans="1:4" ht="13" x14ac:dyDescent="0.15">
      <c r="A509" s="10"/>
      <c r="B509" s="13"/>
      <c r="C509" s="13"/>
      <c r="D509" s="13"/>
    </row>
    <row r="510" spans="1:4" ht="13" x14ac:dyDescent="0.15">
      <c r="A510" s="10"/>
      <c r="B510" s="13"/>
      <c r="C510" s="13"/>
      <c r="D510" s="13"/>
    </row>
    <row r="511" spans="1:4" ht="13" x14ac:dyDescent="0.15">
      <c r="A511" s="10"/>
      <c r="B511" s="13"/>
      <c r="C511" s="13"/>
      <c r="D511" s="13"/>
    </row>
    <row r="512" spans="1:4" ht="13" x14ac:dyDescent="0.15">
      <c r="A512" s="10"/>
      <c r="B512" s="13"/>
      <c r="C512" s="13"/>
      <c r="D512" s="13"/>
    </row>
    <row r="513" spans="1:4" ht="13" x14ac:dyDescent="0.15">
      <c r="A513" s="10"/>
      <c r="B513" s="13"/>
      <c r="C513" s="13"/>
      <c r="D513" s="13"/>
    </row>
    <row r="514" spans="1:4" ht="13" x14ac:dyDescent="0.15">
      <c r="A514" s="10"/>
      <c r="B514" s="13"/>
      <c r="C514" s="13"/>
      <c r="D514" s="13"/>
    </row>
    <row r="515" spans="1:4" ht="13" x14ac:dyDescent="0.15">
      <c r="A515" s="10"/>
      <c r="B515" s="13"/>
      <c r="C515" s="13"/>
      <c r="D515" s="13"/>
    </row>
    <row r="516" spans="1:4" ht="13" x14ac:dyDescent="0.15">
      <c r="A516" s="10"/>
      <c r="B516" s="13"/>
      <c r="C516" s="13"/>
      <c r="D516" s="13"/>
    </row>
    <row r="517" spans="1:4" ht="13" x14ac:dyDescent="0.15">
      <c r="A517" s="10"/>
      <c r="B517" s="13"/>
      <c r="C517" s="13"/>
      <c r="D517" s="13"/>
    </row>
    <row r="518" spans="1:4" ht="13" x14ac:dyDescent="0.15">
      <c r="A518" s="10"/>
      <c r="B518" s="13"/>
      <c r="C518" s="13"/>
      <c r="D518" s="13"/>
    </row>
    <row r="519" spans="1:4" ht="13" x14ac:dyDescent="0.15">
      <c r="A519" s="10"/>
      <c r="B519" s="13"/>
      <c r="C519" s="13"/>
      <c r="D519" s="13"/>
    </row>
    <row r="520" spans="1:4" ht="13" x14ac:dyDescent="0.15">
      <c r="A520" s="10"/>
      <c r="B520" s="13"/>
      <c r="C520" s="13"/>
      <c r="D520" s="13"/>
    </row>
    <row r="521" spans="1:4" ht="13" x14ac:dyDescent="0.15">
      <c r="A521" s="10"/>
      <c r="B521" s="13"/>
      <c r="C521" s="13"/>
      <c r="D521" s="13"/>
    </row>
    <row r="522" spans="1:4" ht="13" x14ac:dyDescent="0.15">
      <c r="A522" s="10"/>
      <c r="B522" s="13"/>
      <c r="C522" s="13"/>
      <c r="D522" s="13"/>
    </row>
    <row r="523" spans="1:4" ht="13" x14ac:dyDescent="0.15">
      <c r="A523" s="10"/>
      <c r="B523" s="13"/>
      <c r="C523" s="13"/>
      <c r="D523" s="13"/>
    </row>
    <row r="524" spans="1:4" ht="13" x14ac:dyDescent="0.15">
      <c r="A524" s="10"/>
      <c r="B524" s="13"/>
      <c r="C524" s="13"/>
      <c r="D524" s="13"/>
    </row>
    <row r="525" spans="1:4" ht="13" x14ac:dyDescent="0.15">
      <c r="A525" s="10"/>
      <c r="B525" s="13"/>
      <c r="C525" s="13"/>
      <c r="D525" s="13"/>
    </row>
    <row r="526" spans="1:4" ht="13" x14ac:dyDescent="0.15">
      <c r="A526" s="10"/>
      <c r="B526" s="13"/>
      <c r="C526" s="13"/>
      <c r="D526" s="13"/>
    </row>
    <row r="527" spans="1:4" ht="13" x14ac:dyDescent="0.15">
      <c r="A527" s="10"/>
      <c r="B527" s="13"/>
      <c r="C527" s="13"/>
      <c r="D527" s="13"/>
    </row>
    <row r="528" spans="1:4" ht="13" x14ac:dyDescent="0.15">
      <c r="A528" s="10"/>
      <c r="B528" s="13"/>
      <c r="C528" s="13"/>
      <c r="D528" s="13"/>
    </row>
    <row r="529" spans="1:4" ht="13" x14ac:dyDescent="0.15">
      <c r="A529" s="10"/>
      <c r="B529" s="13"/>
      <c r="C529" s="13"/>
      <c r="D529" s="13"/>
    </row>
    <row r="530" spans="1:4" ht="13" x14ac:dyDescent="0.15">
      <c r="A530" s="10"/>
      <c r="B530" s="13"/>
      <c r="C530" s="13"/>
      <c r="D530" s="13"/>
    </row>
    <row r="531" spans="1:4" ht="13" x14ac:dyDescent="0.15">
      <c r="A531" s="10"/>
      <c r="B531" s="13"/>
      <c r="C531" s="13"/>
      <c r="D531" s="13"/>
    </row>
    <row r="532" spans="1:4" ht="13" x14ac:dyDescent="0.15">
      <c r="A532" s="10"/>
      <c r="B532" s="13"/>
      <c r="C532" s="13"/>
      <c r="D532" s="13"/>
    </row>
    <row r="533" spans="1:4" ht="13" x14ac:dyDescent="0.15">
      <c r="A533" s="10"/>
      <c r="B533" s="13"/>
      <c r="C533" s="13"/>
      <c r="D533" s="13"/>
    </row>
    <row r="534" spans="1:4" ht="13" x14ac:dyDescent="0.15">
      <c r="A534" s="10"/>
      <c r="B534" s="13"/>
      <c r="C534" s="13"/>
      <c r="D534" s="13"/>
    </row>
    <row r="535" spans="1:4" ht="13" x14ac:dyDescent="0.15">
      <c r="A535" s="10"/>
      <c r="B535" s="13"/>
      <c r="C535" s="13"/>
      <c r="D535" s="13"/>
    </row>
    <row r="536" spans="1:4" ht="13" x14ac:dyDescent="0.15">
      <c r="A536" s="10"/>
      <c r="B536" s="13"/>
      <c r="C536" s="13"/>
      <c r="D536" s="13"/>
    </row>
    <row r="537" spans="1:4" ht="13" x14ac:dyDescent="0.15">
      <c r="A537" s="10"/>
      <c r="B537" s="13"/>
      <c r="C537" s="13"/>
      <c r="D537" s="13"/>
    </row>
    <row r="538" spans="1:4" ht="13" x14ac:dyDescent="0.15">
      <c r="A538" s="10"/>
      <c r="B538" s="13"/>
      <c r="C538" s="13"/>
      <c r="D538" s="13"/>
    </row>
    <row r="539" spans="1:4" ht="13" x14ac:dyDescent="0.15">
      <c r="A539" s="10"/>
      <c r="B539" s="13"/>
      <c r="C539" s="13"/>
      <c r="D539" s="13"/>
    </row>
    <row r="540" spans="1:4" ht="13" x14ac:dyDescent="0.15">
      <c r="A540" s="10"/>
      <c r="B540" s="13"/>
      <c r="C540" s="13"/>
      <c r="D540" s="13"/>
    </row>
    <row r="541" spans="1:4" ht="13" x14ac:dyDescent="0.15">
      <c r="A541" s="10"/>
      <c r="B541" s="13"/>
      <c r="C541" s="13"/>
      <c r="D541" s="13"/>
    </row>
    <row r="542" spans="1:4" ht="13" x14ac:dyDescent="0.15">
      <c r="A542" s="10"/>
      <c r="B542" s="13"/>
      <c r="C542" s="13"/>
      <c r="D542" s="13"/>
    </row>
    <row r="543" spans="1:4" ht="13" x14ac:dyDescent="0.15">
      <c r="A543" s="10"/>
      <c r="B543" s="13"/>
      <c r="C543" s="13"/>
      <c r="D543" s="13"/>
    </row>
    <row r="544" spans="1:4" ht="13" x14ac:dyDescent="0.15">
      <c r="A544" s="10"/>
      <c r="B544" s="13"/>
      <c r="C544" s="13"/>
      <c r="D544" s="13"/>
    </row>
    <row r="545" spans="1:4" ht="13" x14ac:dyDescent="0.15">
      <c r="A545" s="10"/>
      <c r="B545" s="13"/>
      <c r="C545" s="13"/>
      <c r="D545" s="13"/>
    </row>
    <row r="546" spans="1:4" ht="13" x14ac:dyDescent="0.15">
      <c r="A546" s="10"/>
      <c r="B546" s="13"/>
      <c r="C546" s="13"/>
      <c r="D546" s="13"/>
    </row>
    <row r="547" spans="1:4" ht="13" x14ac:dyDescent="0.15">
      <c r="A547" s="10"/>
      <c r="B547" s="13"/>
      <c r="C547" s="13"/>
      <c r="D547" s="13"/>
    </row>
    <row r="548" spans="1:4" ht="13" x14ac:dyDescent="0.15">
      <c r="A548" s="10"/>
      <c r="B548" s="13"/>
      <c r="C548" s="13"/>
      <c r="D548" s="13"/>
    </row>
    <row r="549" spans="1:4" ht="13" x14ac:dyDescent="0.15">
      <c r="A549" s="10"/>
      <c r="B549" s="13"/>
      <c r="C549" s="13"/>
      <c r="D549" s="13"/>
    </row>
    <row r="550" spans="1:4" ht="13" x14ac:dyDescent="0.15">
      <c r="A550" s="10"/>
      <c r="B550" s="13"/>
      <c r="C550" s="13"/>
      <c r="D550" s="13"/>
    </row>
    <row r="551" spans="1:4" ht="13" x14ac:dyDescent="0.15">
      <c r="A551" s="10"/>
      <c r="B551" s="13"/>
      <c r="C551" s="13"/>
      <c r="D551" s="13"/>
    </row>
    <row r="552" spans="1:4" ht="13" x14ac:dyDescent="0.15">
      <c r="A552" s="10"/>
      <c r="B552" s="13"/>
      <c r="C552" s="13"/>
      <c r="D552" s="13"/>
    </row>
    <row r="553" spans="1:4" ht="13" x14ac:dyDescent="0.15">
      <c r="A553" s="10"/>
      <c r="B553" s="13"/>
      <c r="C553" s="13"/>
      <c r="D553" s="13"/>
    </row>
    <row r="554" spans="1:4" ht="13" x14ac:dyDescent="0.15">
      <c r="A554" s="10"/>
      <c r="B554" s="13"/>
      <c r="C554" s="13"/>
      <c r="D554" s="13"/>
    </row>
    <row r="555" spans="1:4" ht="13" x14ac:dyDescent="0.15">
      <c r="A555" s="10"/>
      <c r="B555" s="13"/>
      <c r="C555" s="13"/>
      <c r="D555" s="13"/>
    </row>
    <row r="556" spans="1:4" ht="13" x14ac:dyDescent="0.15">
      <c r="A556" s="10"/>
      <c r="B556" s="13"/>
      <c r="C556" s="13"/>
      <c r="D556" s="13"/>
    </row>
    <row r="557" spans="1:4" ht="13" x14ac:dyDescent="0.15">
      <c r="A557" s="10"/>
      <c r="B557" s="13"/>
      <c r="C557" s="13"/>
      <c r="D557" s="13"/>
    </row>
    <row r="558" spans="1:4" ht="13" x14ac:dyDescent="0.15">
      <c r="A558" s="10"/>
      <c r="B558" s="13"/>
      <c r="C558" s="13"/>
      <c r="D558" s="13"/>
    </row>
    <row r="559" spans="1:4" ht="13" x14ac:dyDescent="0.15">
      <c r="A559" s="10"/>
      <c r="B559" s="13"/>
      <c r="C559" s="13"/>
      <c r="D559" s="13"/>
    </row>
    <row r="560" spans="1:4" ht="13" x14ac:dyDescent="0.15">
      <c r="A560" s="10"/>
      <c r="B560" s="13"/>
      <c r="C560" s="13"/>
      <c r="D560" s="13"/>
    </row>
    <row r="561" spans="1:4" ht="13" x14ac:dyDescent="0.15">
      <c r="A561" s="10"/>
      <c r="B561" s="13"/>
      <c r="C561" s="13"/>
      <c r="D561" s="13"/>
    </row>
    <row r="562" spans="1:4" ht="13" x14ac:dyDescent="0.15">
      <c r="A562" s="10"/>
      <c r="B562" s="13"/>
      <c r="C562" s="13"/>
      <c r="D562" s="13"/>
    </row>
    <row r="563" spans="1:4" ht="13" x14ac:dyDescent="0.15">
      <c r="A563" s="10"/>
      <c r="B563" s="13"/>
      <c r="C563" s="13"/>
      <c r="D563" s="13"/>
    </row>
    <row r="564" spans="1:4" ht="13" x14ac:dyDescent="0.15">
      <c r="A564" s="10"/>
      <c r="B564" s="13"/>
      <c r="C564" s="13"/>
      <c r="D564" s="13"/>
    </row>
    <row r="565" spans="1:4" ht="13" x14ac:dyDescent="0.15">
      <c r="A565" s="10"/>
      <c r="B565" s="13"/>
      <c r="C565" s="13"/>
      <c r="D565" s="13"/>
    </row>
    <row r="566" spans="1:4" ht="13" x14ac:dyDescent="0.15">
      <c r="A566" s="10"/>
      <c r="B566" s="13"/>
      <c r="C566" s="13"/>
      <c r="D566" s="13"/>
    </row>
    <row r="567" spans="1:4" ht="13" x14ac:dyDescent="0.15">
      <c r="A567" s="10"/>
      <c r="B567" s="13"/>
      <c r="C567" s="13"/>
      <c r="D567" s="13"/>
    </row>
    <row r="568" spans="1:4" ht="13" x14ac:dyDescent="0.15">
      <c r="A568" s="10"/>
      <c r="B568" s="13"/>
      <c r="C568" s="13"/>
      <c r="D568" s="13"/>
    </row>
    <row r="569" spans="1:4" ht="13" x14ac:dyDescent="0.15">
      <c r="A569" s="10"/>
      <c r="B569" s="13"/>
      <c r="C569" s="13"/>
      <c r="D569" s="13"/>
    </row>
    <row r="570" spans="1:4" ht="13" x14ac:dyDescent="0.15">
      <c r="A570" s="10"/>
      <c r="B570" s="13"/>
      <c r="C570" s="13"/>
      <c r="D570" s="13"/>
    </row>
    <row r="571" spans="1:4" ht="13" x14ac:dyDescent="0.15">
      <c r="A571" s="10"/>
      <c r="B571" s="13"/>
      <c r="C571" s="13"/>
      <c r="D571" s="13"/>
    </row>
    <row r="572" spans="1:4" ht="13" x14ac:dyDescent="0.15">
      <c r="A572" s="10"/>
      <c r="B572" s="13"/>
      <c r="C572" s="13"/>
      <c r="D572" s="13"/>
    </row>
    <row r="573" spans="1:4" ht="13" x14ac:dyDescent="0.15">
      <c r="A573" s="10"/>
      <c r="B573" s="13"/>
      <c r="C573" s="13"/>
      <c r="D573" s="13"/>
    </row>
    <row r="574" spans="1:4" ht="13" x14ac:dyDescent="0.15">
      <c r="A574" s="10"/>
      <c r="B574" s="13"/>
      <c r="C574" s="13"/>
      <c r="D574" s="13"/>
    </row>
    <row r="575" spans="1:4" ht="13" x14ac:dyDescent="0.15">
      <c r="A575" s="10"/>
      <c r="B575" s="13"/>
      <c r="C575" s="13"/>
      <c r="D575" s="13"/>
    </row>
    <row r="576" spans="1:4" ht="13" x14ac:dyDescent="0.15">
      <c r="A576" s="10"/>
      <c r="B576" s="13"/>
      <c r="C576" s="13"/>
      <c r="D576" s="13"/>
    </row>
    <row r="577" spans="1:4" ht="13" x14ac:dyDescent="0.15">
      <c r="A577" s="10"/>
      <c r="B577" s="13"/>
      <c r="C577" s="13"/>
      <c r="D577" s="13"/>
    </row>
    <row r="578" spans="1:4" ht="13" x14ac:dyDescent="0.15">
      <c r="A578" s="10"/>
      <c r="B578" s="13"/>
      <c r="C578" s="13"/>
      <c r="D578" s="13"/>
    </row>
    <row r="579" spans="1:4" ht="13" x14ac:dyDescent="0.15">
      <c r="A579" s="10"/>
      <c r="B579" s="13"/>
      <c r="C579" s="13"/>
      <c r="D579" s="13"/>
    </row>
    <row r="580" spans="1:4" ht="13" x14ac:dyDescent="0.15">
      <c r="A580" s="10"/>
      <c r="B580" s="13"/>
      <c r="C580" s="13"/>
      <c r="D580" s="13"/>
    </row>
    <row r="581" spans="1:4" ht="13" x14ac:dyDescent="0.15">
      <c r="A581" s="10"/>
      <c r="B581" s="13"/>
      <c r="C581" s="13"/>
      <c r="D581" s="13"/>
    </row>
    <row r="582" spans="1:4" ht="13" x14ac:dyDescent="0.15">
      <c r="A582" s="10"/>
      <c r="B582" s="13"/>
      <c r="C582" s="13"/>
      <c r="D582" s="13"/>
    </row>
    <row r="583" spans="1:4" ht="13" x14ac:dyDescent="0.15">
      <c r="A583" s="10"/>
      <c r="B583" s="13"/>
      <c r="C583" s="13"/>
      <c r="D583" s="13"/>
    </row>
    <row r="584" spans="1:4" ht="13" x14ac:dyDescent="0.15">
      <c r="A584" s="10"/>
      <c r="B584" s="13"/>
      <c r="C584" s="13"/>
      <c r="D584" s="13"/>
    </row>
    <row r="585" spans="1:4" ht="13" x14ac:dyDescent="0.15">
      <c r="A585" s="10"/>
      <c r="B585" s="13"/>
      <c r="C585" s="13"/>
      <c r="D585" s="13"/>
    </row>
    <row r="586" spans="1:4" ht="13" x14ac:dyDescent="0.15">
      <c r="A586" s="10"/>
      <c r="B586" s="13"/>
      <c r="C586" s="13"/>
      <c r="D586" s="13"/>
    </row>
    <row r="587" spans="1:4" ht="13" x14ac:dyDescent="0.15">
      <c r="A587" s="10"/>
      <c r="B587" s="13"/>
      <c r="C587" s="13"/>
      <c r="D587" s="13"/>
    </row>
    <row r="588" spans="1:4" ht="13" x14ac:dyDescent="0.15">
      <c r="A588" s="10"/>
      <c r="B588" s="13"/>
      <c r="C588" s="13"/>
      <c r="D588" s="13"/>
    </row>
    <row r="589" spans="1:4" ht="13" x14ac:dyDescent="0.15">
      <c r="A589" s="10"/>
      <c r="B589" s="13"/>
      <c r="C589" s="13"/>
      <c r="D589" s="13"/>
    </row>
    <row r="590" spans="1:4" ht="13" x14ac:dyDescent="0.15">
      <c r="A590" s="10"/>
      <c r="B590" s="13"/>
      <c r="C590" s="13"/>
      <c r="D590" s="13"/>
    </row>
    <row r="591" spans="1:4" ht="13" x14ac:dyDescent="0.15">
      <c r="A591" s="10"/>
      <c r="B591" s="13"/>
      <c r="C591" s="13"/>
      <c r="D591" s="13"/>
    </row>
    <row r="592" spans="1:4" ht="13" x14ac:dyDescent="0.15">
      <c r="A592" s="10"/>
      <c r="B592" s="13"/>
      <c r="C592" s="13"/>
      <c r="D592" s="13"/>
    </row>
    <row r="593" spans="1:4" ht="13" x14ac:dyDescent="0.15">
      <c r="A593" s="10"/>
      <c r="B593" s="13"/>
      <c r="C593" s="13"/>
      <c r="D593" s="13"/>
    </row>
    <row r="594" spans="1:4" ht="13" x14ac:dyDescent="0.15">
      <c r="A594" s="10"/>
      <c r="B594" s="13"/>
      <c r="C594" s="13"/>
      <c r="D594" s="13"/>
    </row>
    <row r="595" spans="1:4" ht="13" x14ac:dyDescent="0.15">
      <c r="A595" s="10"/>
      <c r="B595" s="13"/>
      <c r="C595" s="13"/>
      <c r="D595" s="13"/>
    </row>
    <row r="596" spans="1:4" ht="13" x14ac:dyDescent="0.15">
      <c r="A596" s="10"/>
      <c r="B596" s="13"/>
      <c r="C596" s="13"/>
      <c r="D596" s="13"/>
    </row>
    <row r="597" spans="1:4" ht="13" x14ac:dyDescent="0.15">
      <c r="A597" s="10"/>
      <c r="B597" s="13"/>
      <c r="C597" s="13"/>
      <c r="D597" s="13"/>
    </row>
    <row r="598" spans="1:4" ht="13" x14ac:dyDescent="0.15">
      <c r="A598" s="10"/>
      <c r="B598" s="13"/>
      <c r="C598" s="13"/>
      <c r="D598" s="13"/>
    </row>
    <row r="599" spans="1:4" ht="13" x14ac:dyDescent="0.15">
      <c r="A599" s="10"/>
      <c r="B599" s="13"/>
      <c r="C599" s="13"/>
      <c r="D599" s="13"/>
    </row>
    <row r="600" spans="1:4" ht="13" x14ac:dyDescent="0.15">
      <c r="A600" s="10"/>
      <c r="B600" s="13"/>
      <c r="C600" s="13"/>
      <c r="D600" s="13"/>
    </row>
    <row r="601" spans="1:4" ht="13" x14ac:dyDescent="0.15">
      <c r="A601" s="10"/>
      <c r="B601" s="13"/>
      <c r="C601" s="13"/>
      <c r="D601" s="13"/>
    </row>
    <row r="602" spans="1:4" ht="13" x14ac:dyDescent="0.15">
      <c r="A602" s="10"/>
      <c r="B602" s="13"/>
      <c r="C602" s="13"/>
      <c r="D602" s="13"/>
    </row>
    <row r="603" spans="1:4" ht="13" x14ac:dyDescent="0.15">
      <c r="A603" s="10"/>
      <c r="B603" s="13"/>
      <c r="C603" s="13"/>
      <c r="D603" s="13"/>
    </row>
    <row r="604" spans="1:4" ht="13" x14ac:dyDescent="0.15">
      <c r="A604" s="10"/>
      <c r="B604" s="13"/>
      <c r="C604" s="13"/>
      <c r="D604" s="13"/>
    </row>
    <row r="605" spans="1:4" ht="13" x14ac:dyDescent="0.15">
      <c r="A605" s="10"/>
      <c r="B605" s="13"/>
      <c r="C605" s="13"/>
      <c r="D605" s="13"/>
    </row>
    <row r="606" spans="1:4" ht="13" x14ac:dyDescent="0.15">
      <c r="A606" s="10"/>
      <c r="B606" s="13"/>
      <c r="C606" s="13"/>
      <c r="D606" s="13"/>
    </row>
    <row r="607" spans="1:4" ht="13" x14ac:dyDescent="0.15">
      <c r="A607" s="10"/>
      <c r="B607" s="13"/>
      <c r="C607" s="13"/>
      <c r="D607" s="13"/>
    </row>
    <row r="608" spans="1:4" ht="13" x14ac:dyDescent="0.15">
      <c r="A608" s="10"/>
      <c r="B608" s="13"/>
      <c r="C608" s="13"/>
      <c r="D608" s="13"/>
    </row>
    <row r="609" spans="1:4" ht="13" x14ac:dyDescent="0.15">
      <c r="A609" s="10"/>
      <c r="B609" s="13"/>
      <c r="C609" s="13"/>
      <c r="D609" s="13"/>
    </row>
    <row r="610" spans="1:4" ht="13" x14ac:dyDescent="0.15">
      <c r="A610" s="10"/>
      <c r="B610" s="13"/>
      <c r="C610" s="13"/>
      <c r="D610" s="13"/>
    </row>
    <row r="611" spans="1:4" ht="13" x14ac:dyDescent="0.15">
      <c r="A611" s="10"/>
      <c r="B611" s="13"/>
      <c r="C611" s="13"/>
      <c r="D611" s="13"/>
    </row>
    <row r="612" spans="1:4" ht="13" x14ac:dyDescent="0.15">
      <c r="A612" s="10"/>
      <c r="B612" s="13"/>
      <c r="C612" s="13"/>
      <c r="D612" s="13"/>
    </row>
    <row r="613" spans="1:4" ht="13" x14ac:dyDescent="0.15">
      <c r="A613" s="10"/>
      <c r="B613" s="13"/>
      <c r="C613" s="13"/>
      <c r="D613" s="13"/>
    </row>
    <row r="614" spans="1:4" ht="13" x14ac:dyDescent="0.15">
      <c r="A614" s="10"/>
      <c r="B614" s="13"/>
      <c r="C614" s="13"/>
      <c r="D614" s="13"/>
    </row>
    <row r="615" spans="1:4" ht="13" x14ac:dyDescent="0.15">
      <c r="A615" s="10"/>
      <c r="B615" s="13"/>
      <c r="C615" s="13"/>
      <c r="D615" s="13"/>
    </row>
    <row r="616" spans="1:4" ht="13" x14ac:dyDescent="0.15">
      <c r="A616" s="10"/>
      <c r="B616" s="13"/>
      <c r="C616" s="13"/>
      <c r="D616" s="13"/>
    </row>
    <row r="617" spans="1:4" ht="13" x14ac:dyDescent="0.15">
      <c r="A617" s="10"/>
      <c r="B617" s="13"/>
      <c r="C617" s="13"/>
      <c r="D617" s="13"/>
    </row>
    <row r="618" spans="1:4" ht="13" x14ac:dyDescent="0.15">
      <c r="A618" s="10"/>
      <c r="B618" s="13"/>
      <c r="C618" s="13"/>
      <c r="D618" s="13"/>
    </row>
    <row r="619" spans="1:4" ht="13" x14ac:dyDescent="0.15">
      <c r="A619" s="10"/>
      <c r="B619" s="13"/>
      <c r="C619" s="13"/>
      <c r="D619" s="13"/>
    </row>
    <row r="620" spans="1:4" ht="13" x14ac:dyDescent="0.15">
      <c r="A620" s="10"/>
      <c r="B620" s="13"/>
      <c r="C620" s="13"/>
      <c r="D620" s="13"/>
    </row>
    <row r="621" spans="1:4" ht="13" x14ac:dyDescent="0.15">
      <c r="A621" s="10"/>
      <c r="B621" s="13"/>
      <c r="C621" s="13"/>
      <c r="D621" s="13"/>
    </row>
    <row r="622" spans="1:4" ht="13" x14ac:dyDescent="0.15">
      <c r="A622" s="10"/>
      <c r="B622" s="13"/>
      <c r="C622" s="13"/>
      <c r="D622" s="13"/>
    </row>
    <row r="623" spans="1:4" ht="13" x14ac:dyDescent="0.15">
      <c r="A623" s="10"/>
      <c r="B623" s="13"/>
      <c r="C623" s="13"/>
      <c r="D623" s="13"/>
    </row>
    <row r="624" spans="1:4" ht="13" x14ac:dyDescent="0.15">
      <c r="A624" s="10"/>
      <c r="B624" s="13"/>
      <c r="C624" s="13"/>
      <c r="D624" s="13"/>
    </row>
    <row r="625" spans="1:4" ht="13" x14ac:dyDescent="0.15">
      <c r="A625" s="10"/>
      <c r="B625" s="13"/>
      <c r="C625" s="13"/>
      <c r="D625" s="13"/>
    </row>
    <row r="626" spans="1:4" ht="13" x14ac:dyDescent="0.15">
      <c r="A626" s="10"/>
      <c r="B626" s="13"/>
      <c r="C626" s="13"/>
      <c r="D626" s="13"/>
    </row>
    <row r="627" spans="1:4" ht="13" x14ac:dyDescent="0.15">
      <c r="A627" s="10"/>
      <c r="B627" s="13"/>
      <c r="C627" s="13"/>
      <c r="D627" s="13"/>
    </row>
    <row r="628" spans="1:4" ht="13" x14ac:dyDescent="0.15">
      <c r="A628" s="10"/>
      <c r="B628" s="13"/>
      <c r="C628" s="13"/>
      <c r="D628" s="13"/>
    </row>
    <row r="629" spans="1:4" ht="13" x14ac:dyDescent="0.15">
      <c r="A629" s="10"/>
      <c r="B629" s="13"/>
      <c r="C629" s="13"/>
      <c r="D629" s="13"/>
    </row>
    <row r="630" spans="1:4" ht="13" x14ac:dyDescent="0.15">
      <c r="A630" s="10"/>
      <c r="B630" s="13"/>
      <c r="C630" s="13"/>
      <c r="D630" s="13"/>
    </row>
    <row r="631" spans="1:4" ht="13" x14ac:dyDescent="0.15">
      <c r="A631" s="10"/>
      <c r="B631" s="13"/>
      <c r="C631" s="13"/>
      <c r="D631" s="13"/>
    </row>
    <row r="632" spans="1:4" ht="13" x14ac:dyDescent="0.15">
      <c r="A632" s="10"/>
      <c r="B632" s="13"/>
      <c r="C632" s="13"/>
      <c r="D632" s="13"/>
    </row>
    <row r="633" spans="1:4" ht="13" x14ac:dyDescent="0.15">
      <c r="A633" s="10"/>
      <c r="B633" s="13"/>
      <c r="C633" s="13"/>
      <c r="D633" s="13"/>
    </row>
    <row r="634" spans="1:4" ht="13" x14ac:dyDescent="0.15">
      <c r="A634" s="10"/>
      <c r="B634" s="13"/>
      <c r="C634" s="13"/>
      <c r="D634" s="13"/>
    </row>
    <row r="635" spans="1:4" ht="13" x14ac:dyDescent="0.15">
      <c r="A635" s="10"/>
      <c r="B635" s="13"/>
      <c r="C635" s="13"/>
      <c r="D635" s="13"/>
    </row>
    <row r="636" spans="1:4" ht="13" x14ac:dyDescent="0.15">
      <c r="A636" s="10"/>
      <c r="B636" s="13"/>
      <c r="C636" s="13"/>
      <c r="D636" s="13"/>
    </row>
    <row r="637" spans="1:4" ht="13" x14ac:dyDescent="0.15">
      <c r="A637" s="10"/>
      <c r="B637" s="13"/>
      <c r="C637" s="13"/>
      <c r="D637" s="13"/>
    </row>
    <row r="638" spans="1:4" ht="13" x14ac:dyDescent="0.15">
      <c r="A638" s="10"/>
      <c r="B638" s="13"/>
      <c r="C638" s="13"/>
      <c r="D638" s="13"/>
    </row>
    <row r="639" spans="1:4" ht="13" x14ac:dyDescent="0.15">
      <c r="A639" s="10"/>
      <c r="B639" s="13"/>
      <c r="C639" s="13"/>
      <c r="D639" s="13"/>
    </row>
    <row r="640" spans="1:4" ht="13" x14ac:dyDescent="0.15">
      <c r="A640" s="10"/>
      <c r="B640" s="13"/>
      <c r="C640" s="13"/>
      <c r="D640" s="13"/>
    </row>
    <row r="641" spans="1:4" ht="13" x14ac:dyDescent="0.15">
      <c r="A641" s="10"/>
      <c r="B641" s="13"/>
      <c r="C641" s="13"/>
      <c r="D641" s="13"/>
    </row>
    <row r="642" spans="1:4" ht="13" x14ac:dyDescent="0.15">
      <c r="A642" s="10"/>
      <c r="B642" s="13"/>
      <c r="C642" s="13"/>
      <c r="D642" s="13"/>
    </row>
    <row r="643" spans="1:4" ht="13" x14ac:dyDescent="0.15">
      <c r="A643" s="10"/>
      <c r="B643" s="13"/>
      <c r="C643" s="13"/>
      <c r="D643" s="13"/>
    </row>
    <row r="644" spans="1:4" ht="13" x14ac:dyDescent="0.15">
      <c r="A644" s="10"/>
      <c r="B644" s="13"/>
      <c r="C644" s="13"/>
      <c r="D644" s="13"/>
    </row>
    <row r="645" spans="1:4" ht="13" x14ac:dyDescent="0.15">
      <c r="A645" s="10"/>
      <c r="B645" s="13"/>
      <c r="C645" s="13"/>
      <c r="D645" s="13"/>
    </row>
    <row r="646" spans="1:4" ht="13" x14ac:dyDescent="0.15">
      <c r="A646" s="10"/>
      <c r="B646" s="13"/>
      <c r="C646" s="13"/>
      <c r="D646" s="13"/>
    </row>
    <row r="647" spans="1:4" ht="13" x14ac:dyDescent="0.15">
      <c r="A647" s="10"/>
      <c r="B647" s="13"/>
      <c r="C647" s="13"/>
      <c r="D647" s="13"/>
    </row>
    <row r="648" spans="1:4" ht="13" x14ac:dyDescent="0.15">
      <c r="A648" s="10"/>
      <c r="B648" s="13"/>
      <c r="C648" s="13"/>
      <c r="D648" s="13"/>
    </row>
    <row r="649" spans="1:4" ht="13" x14ac:dyDescent="0.15">
      <c r="A649" s="10"/>
      <c r="B649" s="13"/>
      <c r="C649" s="13"/>
      <c r="D649" s="13"/>
    </row>
    <row r="650" spans="1:4" ht="13" x14ac:dyDescent="0.15">
      <c r="A650" s="10"/>
      <c r="B650" s="13"/>
      <c r="C650" s="13"/>
      <c r="D650" s="13"/>
    </row>
    <row r="651" spans="1:4" ht="13" x14ac:dyDescent="0.15">
      <c r="A651" s="10"/>
      <c r="B651" s="13"/>
      <c r="C651" s="13"/>
      <c r="D651" s="13"/>
    </row>
    <row r="652" spans="1:4" ht="13" x14ac:dyDescent="0.15">
      <c r="A652" s="10"/>
      <c r="B652" s="13"/>
      <c r="C652" s="13"/>
      <c r="D652" s="13"/>
    </row>
    <row r="653" spans="1:4" ht="13" x14ac:dyDescent="0.15">
      <c r="A653" s="10"/>
      <c r="B653" s="13"/>
      <c r="C653" s="13"/>
      <c r="D653" s="13"/>
    </row>
    <row r="654" spans="1:4" ht="13" x14ac:dyDescent="0.15">
      <c r="A654" s="10"/>
      <c r="B654" s="13"/>
      <c r="C654" s="13"/>
      <c r="D654" s="13"/>
    </row>
    <row r="655" spans="1:4" ht="13" x14ac:dyDescent="0.15">
      <c r="A655" s="10"/>
      <c r="B655" s="13"/>
      <c r="C655" s="13"/>
      <c r="D655" s="13"/>
    </row>
    <row r="656" spans="1:4" ht="13" x14ac:dyDescent="0.15">
      <c r="A656" s="10"/>
      <c r="B656" s="13"/>
      <c r="C656" s="13"/>
      <c r="D656" s="13"/>
    </row>
    <row r="657" spans="1:4" ht="13" x14ac:dyDescent="0.15">
      <c r="A657" s="10"/>
      <c r="B657" s="13"/>
      <c r="C657" s="13"/>
      <c r="D657" s="13"/>
    </row>
    <row r="658" spans="1:4" ht="13" x14ac:dyDescent="0.15">
      <c r="A658" s="10"/>
      <c r="B658" s="13"/>
      <c r="C658" s="13"/>
      <c r="D658" s="13"/>
    </row>
    <row r="659" spans="1:4" ht="13" x14ac:dyDescent="0.15">
      <c r="A659" s="10"/>
      <c r="B659" s="13"/>
      <c r="C659" s="13"/>
      <c r="D659" s="13"/>
    </row>
    <row r="660" spans="1:4" ht="13" x14ac:dyDescent="0.15">
      <c r="A660" s="10"/>
      <c r="B660" s="13"/>
      <c r="C660" s="13"/>
      <c r="D660" s="13"/>
    </row>
    <row r="661" spans="1:4" ht="13" x14ac:dyDescent="0.15">
      <c r="A661" s="10"/>
      <c r="B661" s="13"/>
      <c r="C661" s="13"/>
      <c r="D661" s="13"/>
    </row>
    <row r="662" spans="1:4" ht="13" x14ac:dyDescent="0.15">
      <c r="A662" s="10"/>
      <c r="B662" s="13"/>
      <c r="C662" s="13"/>
      <c r="D662" s="13"/>
    </row>
    <row r="663" spans="1:4" ht="13" x14ac:dyDescent="0.15">
      <c r="A663" s="10"/>
      <c r="B663" s="13"/>
      <c r="C663" s="13"/>
      <c r="D663" s="13"/>
    </row>
    <row r="664" spans="1:4" ht="13" x14ac:dyDescent="0.15">
      <c r="A664" s="10"/>
      <c r="B664" s="13"/>
      <c r="C664" s="13"/>
      <c r="D664" s="13"/>
    </row>
    <row r="665" spans="1:4" ht="13" x14ac:dyDescent="0.15">
      <c r="A665" s="10"/>
      <c r="B665" s="13"/>
      <c r="C665" s="13"/>
      <c r="D665" s="13"/>
    </row>
    <row r="666" spans="1:4" ht="13" x14ac:dyDescent="0.15">
      <c r="A666" s="10"/>
      <c r="B666" s="13"/>
      <c r="C666" s="13"/>
      <c r="D666" s="13"/>
    </row>
    <row r="667" spans="1:4" ht="13" x14ac:dyDescent="0.15">
      <c r="A667" s="10"/>
      <c r="B667" s="13"/>
      <c r="C667" s="13"/>
      <c r="D667" s="13"/>
    </row>
    <row r="668" spans="1:4" ht="13" x14ac:dyDescent="0.15">
      <c r="A668" s="10"/>
      <c r="B668" s="13"/>
      <c r="C668" s="13"/>
      <c r="D668" s="13"/>
    </row>
    <row r="669" spans="1:4" ht="13" x14ac:dyDescent="0.15">
      <c r="A669" s="10"/>
      <c r="B669" s="13"/>
      <c r="C669" s="13"/>
      <c r="D669" s="13"/>
    </row>
    <row r="670" spans="1:4" ht="13" x14ac:dyDescent="0.15">
      <c r="A670" s="10"/>
      <c r="B670" s="13"/>
      <c r="C670" s="13"/>
      <c r="D670" s="13"/>
    </row>
    <row r="671" spans="1:4" ht="13" x14ac:dyDescent="0.15">
      <c r="A671" s="10"/>
      <c r="B671" s="13"/>
      <c r="C671" s="13"/>
      <c r="D671" s="13"/>
    </row>
    <row r="672" spans="1:4" ht="13" x14ac:dyDescent="0.15">
      <c r="A672" s="10"/>
      <c r="B672" s="13"/>
      <c r="C672" s="13"/>
      <c r="D672" s="13"/>
    </row>
    <row r="673" spans="1:4" ht="13" x14ac:dyDescent="0.15">
      <c r="A673" s="10"/>
      <c r="B673" s="13"/>
      <c r="C673" s="13"/>
      <c r="D673" s="13"/>
    </row>
    <row r="674" spans="1:4" ht="13" x14ac:dyDescent="0.15">
      <c r="A674" s="10"/>
      <c r="B674" s="13"/>
      <c r="C674" s="13"/>
      <c r="D674" s="13"/>
    </row>
    <row r="675" spans="1:4" ht="13" x14ac:dyDescent="0.15">
      <c r="A675" s="10"/>
      <c r="B675" s="13"/>
      <c r="C675" s="13"/>
      <c r="D675" s="13"/>
    </row>
    <row r="676" spans="1:4" ht="13" x14ac:dyDescent="0.15">
      <c r="A676" s="10"/>
      <c r="B676" s="13"/>
      <c r="C676" s="13"/>
      <c r="D676" s="13"/>
    </row>
    <row r="677" spans="1:4" ht="13" x14ac:dyDescent="0.15">
      <c r="A677" s="10"/>
      <c r="B677" s="13"/>
      <c r="C677" s="13"/>
      <c r="D677" s="13"/>
    </row>
    <row r="678" spans="1:4" ht="13" x14ac:dyDescent="0.15">
      <c r="A678" s="10"/>
      <c r="B678" s="13"/>
      <c r="C678" s="13"/>
      <c r="D678" s="13"/>
    </row>
    <row r="679" spans="1:4" ht="13" x14ac:dyDescent="0.15">
      <c r="A679" s="10"/>
      <c r="B679" s="13"/>
      <c r="C679" s="13"/>
      <c r="D679" s="13"/>
    </row>
    <row r="680" spans="1:4" ht="13" x14ac:dyDescent="0.15">
      <c r="A680" s="10"/>
      <c r="B680" s="13"/>
      <c r="C680" s="13"/>
      <c r="D680" s="13"/>
    </row>
    <row r="681" spans="1:4" ht="13" x14ac:dyDescent="0.15">
      <c r="A681" s="10"/>
      <c r="B681" s="13"/>
      <c r="C681" s="13"/>
      <c r="D681" s="13"/>
    </row>
    <row r="682" spans="1:4" ht="13" x14ac:dyDescent="0.15">
      <c r="A682" s="10"/>
      <c r="B682" s="13"/>
      <c r="C682" s="13"/>
      <c r="D682" s="13"/>
    </row>
    <row r="683" spans="1:4" ht="13" x14ac:dyDescent="0.15">
      <c r="A683" s="10"/>
      <c r="B683" s="13"/>
      <c r="C683" s="13"/>
      <c r="D683" s="13"/>
    </row>
    <row r="684" spans="1:4" ht="13" x14ac:dyDescent="0.15">
      <c r="A684" s="10"/>
      <c r="B684" s="13"/>
      <c r="C684" s="13"/>
      <c r="D684" s="13"/>
    </row>
    <row r="685" spans="1:4" ht="13" x14ac:dyDescent="0.15">
      <c r="A685" s="10"/>
      <c r="B685" s="13"/>
      <c r="C685" s="13"/>
      <c r="D685" s="13"/>
    </row>
    <row r="686" spans="1:4" ht="13" x14ac:dyDescent="0.15">
      <c r="A686" s="10"/>
      <c r="B686" s="13"/>
      <c r="C686" s="13"/>
      <c r="D686" s="13"/>
    </row>
    <row r="687" spans="1:4" ht="13" x14ac:dyDescent="0.15">
      <c r="A687" s="10"/>
      <c r="B687" s="13"/>
      <c r="C687" s="13"/>
      <c r="D687" s="13"/>
    </row>
    <row r="688" spans="1:4" ht="13" x14ac:dyDescent="0.15">
      <c r="A688" s="10"/>
      <c r="B688" s="13"/>
      <c r="C688" s="13"/>
      <c r="D688" s="13"/>
    </row>
    <row r="689" spans="1:4" ht="13" x14ac:dyDescent="0.15">
      <c r="A689" s="10"/>
      <c r="B689" s="13"/>
      <c r="C689" s="13"/>
      <c r="D689" s="13"/>
    </row>
    <row r="690" spans="1:4" ht="13" x14ac:dyDescent="0.15">
      <c r="A690" s="10"/>
      <c r="B690" s="13"/>
      <c r="C690" s="13"/>
      <c r="D690" s="13"/>
    </row>
    <row r="691" spans="1:4" ht="13" x14ac:dyDescent="0.15">
      <c r="A691" s="10"/>
      <c r="B691" s="13"/>
      <c r="C691" s="13"/>
      <c r="D691" s="13"/>
    </row>
    <row r="692" spans="1:4" ht="13" x14ac:dyDescent="0.15">
      <c r="A692" s="10"/>
      <c r="B692" s="13"/>
      <c r="C692" s="13"/>
      <c r="D692" s="13"/>
    </row>
    <row r="693" spans="1:4" ht="13" x14ac:dyDescent="0.15">
      <c r="A693" s="10"/>
      <c r="B693" s="13"/>
      <c r="C693" s="13"/>
      <c r="D693" s="13"/>
    </row>
    <row r="694" spans="1:4" ht="13" x14ac:dyDescent="0.15">
      <c r="A694" s="10"/>
      <c r="B694" s="13"/>
      <c r="C694" s="13"/>
      <c r="D694" s="13"/>
    </row>
    <row r="695" spans="1:4" ht="13" x14ac:dyDescent="0.15">
      <c r="A695" s="10"/>
      <c r="B695" s="13"/>
      <c r="C695" s="13"/>
      <c r="D695" s="13"/>
    </row>
    <row r="696" spans="1:4" ht="13" x14ac:dyDescent="0.15">
      <c r="A696" s="10"/>
      <c r="B696" s="13"/>
      <c r="C696" s="13"/>
      <c r="D696" s="13"/>
    </row>
    <row r="697" spans="1:4" ht="13" x14ac:dyDescent="0.15">
      <c r="A697" s="10"/>
      <c r="B697" s="13"/>
      <c r="C697" s="13"/>
      <c r="D697" s="13"/>
    </row>
    <row r="698" spans="1:4" ht="13" x14ac:dyDescent="0.15">
      <c r="A698" s="10"/>
      <c r="B698" s="13"/>
      <c r="C698" s="13"/>
      <c r="D698" s="13"/>
    </row>
    <row r="699" spans="1:4" ht="13" x14ac:dyDescent="0.15">
      <c r="A699" s="10"/>
      <c r="B699" s="13"/>
      <c r="C699" s="13"/>
      <c r="D699" s="13"/>
    </row>
    <row r="700" spans="1:4" ht="13" x14ac:dyDescent="0.15">
      <c r="A700" s="10"/>
      <c r="B700" s="13"/>
      <c r="C700" s="13"/>
      <c r="D700" s="13"/>
    </row>
    <row r="701" spans="1:4" ht="13" x14ac:dyDescent="0.15">
      <c r="A701" s="10"/>
      <c r="B701" s="13"/>
      <c r="C701" s="13"/>
      <c r="D701" s="13"/>
    </row>
    <row r="702" spans="1:4" ht="13" x14ac:dyDescent="0.15">
      <c r="A702" s="10"/>
      <c r="B702" s="13"/>
      <c r="C702" s="13"/>
      <c r="D702" s="13"/>
    </row>
    <row r="703" spans="1:4" ht="13" x14ac:dyDescent="0.15">
      <c r="A703" s="10"/>
      <c r="B703" s="13"/>
      <c r="C703" s="13"/>
      <c r="D703" s="13"/>
    </row>
    <row r="704" spans="1:4" ht="13" x14ac:dyDescent="0.15">
      <c r="A704" s="10"/>
      <c r="B704" s="13"/>
      <c r="C704" s="13"/>
      <c r="D704" s="13"/>
    </row>
    <row r="705" spans="1:4" ht="13" x14ac:dyDescent="0.15">
      <c r="A705" s="10"/>
      <c r="B705" s="13"/>
      <c r="C705" s="13"/>
      <c r="D705" s="13"/>
    </row>
    <row r="706" spans="1:4" ht="13" x14ac:dyDescent="0.15">
      <c r="A706" s="10"/>
      <c r="B706" s="13"/>
      <c r="C706" s="13"/>
      <c r="D706" s="13"/>
    </row>
    <row r="707" spans="1:4" ht="13" x14ac:dyDescent="0.15">
      <c r="A707" s="10"/>
      <c r="B707" s="13"/>
      <c r="C707" s="13"/>
      <c r="D707" s="13"/>
    </row>
    <row r="708" spans="1:4" ht="13" x14ac:dyDescent="0.15">
      <c r="A708" s="10"/>
      <c r="B708" s="13"/>
      <c r="C708" s="13"/>
      <c r="D708" s="13"/>
    </row>
    <row r="709" spans="1:4" ht="13" x14ac:dyDescent="0.15">
      <c r="A709" s="10"/>
      <c r="B709" s="13"/>
      <c r="C709" s="13"/>
      <c r="D709" s="13"/>
    </row>
    <row r="710" spans="1:4" ht="13" x14ac:dyDescent="0.15">
      <c r="A710" s="10"/>
      <c r="B710" s="13"/>
      <c r="C710" s="13"/>
      <c r="D710" s="13"/>
    </row>
    <row r="711" spans="1:4" ht="13" x14ac:dyDescent="0.15">
      <c r="A711" s="10"/>
      <c r="B711" s="13"/>
      <c r="C711" s="13"/>
      <c r="D711" s="13"/>
    </row>
    <row r="712" spans="1:4" ht="13" x14ac:dyDescent="0.15">
      <c r="A712" s="10"/>
      <c r="B712" s="13"/>
      <c r="C712" s="13"/>
      <c r="D712" s="13"/>
    </row>
    <row r="713" spans="1:4" ht="13" x14ac:dyDescent="0.15">
      <c r="A713" s="10"/>
      <c r="B713" s="13"/>
      <c r="C713" s="13"/>
      <c r="D713" s="13"/>
    </row>
    <row r="714" spans="1:4" ht="13" x14ac:dyDescent="0.15">
      <c r="A714" s="10"/>
      <c r="B714" s="13"/>
      <c r="C714" s="13"/>
      <c r="D714" s="13"/>
    </row>
    <row r="715" spans="1:4" ht="13" x14ac:dyDescent="0.15">
      <c r="A715" s="10"/>
      <c r="B715" s="13"/>
      <c r="C715" s="13"/>
      <c r="D715" s="13"/>
    </row>
    <row r="716" spans="1:4" ht="13" x14ac:dyDescent="0.15">
      <c r="A716" s="10"/>
      <c r="B716" s="13"/>
      <c r="C716" s="13"/>
      <c r="D716" s="13"/>
    </row>
    <row r="717" spans="1:4" ht="13" x14ac:dyDescent="0.15">
      <c r="A717" s="10"/>
      <c r="B717" s="13"/>
      <c r="C717" s="13"/>
      <c r="D717" s="13"/>
    </row>
    <row r="718" spans="1:4" ht="13" x14ac:dyDescent="0.15">
      <c r="A718" s="10"/>
      <c r="B718" s="13"/>
      <c r="C718" s="13"/>
      <c r="D718" s="13"/>
    </row>
    <row r="719" spans="1:4" ht="13" x14ac:dyDescent="0.15">
      <c r="A719" s="10"/>
      <c r="B719" s="13"/>
      <c r="C719" s="13"/>
      <c r="D719" s="13"/>
    </row>
    <row r="720" spans="1:4" ht="13" x14ac:dyDescent="0.15">
      <c r="A720" s="10"/>
      <c r="B720" s="13"/>
      <c r="C720" s="13"/>
      <c r="D720" s="13"/>
    </row>
    <row r="721" spans="1:4" ht="13" x14ac:dyDescent="0.15">
      <c r="A721" s="10"/>
      <c r="B721" s="13"/>
      <c r="C721" s="13"/>
      <c r="D721" s="13"/>
    </row>
    <row r="722" spans="1:4" ht="13" x14ac:dyDescent="0.15">
      <c r="A722" s="10"/>
      <c r="B722" s="13"/>
      <c r="C722" s="13"/>
      <c r="D722" s="13"/>
    </row>
    <row r="723" spans="1:4" ht="13" x14ac:dyDescent="0.15">
      <c r="A723" s="10"/>
      <c r="B723" s="13"/>
      <c r="C723" s="13"/>
      <c r="D723" s="13"/>
    </row>
    <row r="724" spans="1:4" ht="13" x14ac:dyDescent="0.15">
      <c r="A724" s="10"/>
      <c r="B724" s="13"/>
      <c r="C724" s="13"/>
      <c r="D724" s="13"/>
    </row>
    <row r="725" spans="1:4" ht="13" x14ac:dyDescent="0.15">
      <c r="A725" s="10"/>
      <c r="B725" s="13"/>
      <c r="C725" s="13"/>
      <c r="D725" s="13"/>
    </row>
    <row r="726" spans="1:4" ht="13" x14ac:dyDescent="0.15">
      <c r="A726" s="10"/>
      <c r="B726" s="13"/>
      <c r="C726" s="13"/>
      <c r="D726" s="13"/>
    </row>
    <row r="727" spans="1:4" ht="13" x14ac:dyDescent="0.15">
      <c r="A727" s="10"/>
      <c r="B727" s="13"/>
      <c r="C727" s="13"/>
      <c r="D727" s="13"/>
    </row>
    <row r="728" spans="1:4" ht="13" x14ac:dyDescent="0.15">
      <c r="A728" s="10"/>
      <c r="B728" s="13"/>
      <c r="C728" s="13"/>
      <c r="D728" s="13"/>
    </row>
    <row r="729" spans="1:4" ht="13" x14ac:dyDescent="0.15">
      <c r="A729" s="10"/>
      <c r="B729" s="13"/>
      <c r="C729" s="13"/>
      <c r="D729" s="13"/>
    </row>
    <row r="730" spans="1:4" ht="13" x14ac:dyDescent="0.15">
      <c r="A730" s="10"/>
      <c r="B730" s="13"/>
      <c r="C730" s="13"/>
      <c r="D730" s="13"/>
    </row>
    <row r="731" spans="1:4" ht="13" x14ac:dyDescent="0.15">
      <c r="A731" s="10"/>
      <c r="B731" s="13"/>
      <c r="C731" s="13"/>
      <c r="D731" s="13"/>
    </row>
    <row r="732" spans="1:4" ht="13" x14ac:dyDescent="0.15">
      <c r="A732" s="10"/>
      <c r="B732" s="13"/>
      <c r="C732" s="13"/>
      <c r="D732" s="13"/>
    </row>
    <row r="733" spans="1:4" ht="13" x14ac:dyDescent="0.15">
      <c r="A733" s="10"/>
      <c r="B733" s="13"/>
      <c r="C733" s="13"/>
      <c r="D733" s="13"/>
    </row>
    <row r="734" spans="1:4" ht="13" x14ac:dyDescent="0.15">
      <c r="A734" s="10"/>
      <c r="B734" s="13"/>
      <c r="C734" s="13"/>
      <c r="D734" s="13"/>
    </row>
    <row r="735" spans="1:4" ht="13" x14ac:dyDescent="0.15">
      <c r="A735" s="10"/>
      <c r="B735" s="13"/>
      <c r="C735" s="13"/>
      <c r="D735" s="13"/>
    </row>
    <row r="736" spans="1:4" ht="13" x14ac:dyDescent="0.15">
      <c r="A736" s="10"/>
      <c r="B736" s="13"/>
      <c r="C736" s="13"/>
      <c r="D736" s="13"/>
    </row>
    <row r="737" spans="1:4" ht="13" x14ac:dyDescent="0.15">
      <c r="A737" s="10"/>
      <c r="B737" s="13"/>
      <c r="C737" s="13"/>
      <c r="D737" s="13"/>
    </row>
    <row r="738" spans="1:4" ht="13" x14ac:dyDescent="0.15">
      <c r="A738" s="10"/>
      <c r="B738" s="13"/>
      <c r="C738" s="13"/>
      <c r="D738" s="13"/>
    </row>
    <row r="739" spans="1:4" ht="13" x14ac:dyDescent="0.15">
      <c r="A739" s="10"/>
      <c r="B739" s="13"/>
      <c r="C739" s="13"/>
      <c r="D739" s="13"/>
    </row>
    <row r="740" spans="1:4" ht="13" x14ac:dyDescent="0.15">
      <c r="A740" s="10"/>
      <c r="B740" s="13"/>
      <c r="C740" s="13"/>
      <c r="D740" s="13"/>
    </row>
    <row r="741" spans="1:4" ht="13" x14ac:dyDescent="0.15">
      <c r="A741" s="10"/>
      <c r="B741" s="13"/>
      <c r="C741" s="13"/>
      <c r="D741" s="13"/>
    </row>
    <row r="742" spans="1:4" ht="13" x14ac:dyDescent="0.15">
      <c r="A742" s="10"/>
      <c r="B742" s="13"/>
      <c r="C742" s="13"/>
      <c r="D742" s="13"/>
    </row>
    <row r="743" spans="1:4" ht="13" x14ac:dyDescent="0.15">
      <c r="A743" s="10"/>
      <c r="B743" s="13"/>
      <c r="C743" s="13"/>
      <c r="D743" s="13"/>
    </row>
    <row r="744" spans="1:4" ht="13" x14ac:dyDescent="0.15">
      <c r="A744" s="10"/>
      <c r="B744" s="13"/>
      <c r="C744" s="13"/>
      <c r="D744" s="13"/>
    </row>
    <row r="745" spans="1:4" ht="13" x14ac:dyDescent="0.15">
      <c r="A745" s="10"/>
      <c r="B745" s="13"/>
      <c r="C745" s="13"/>
      <c r="D745" s="13"/>
    </row>
    <row r="746" spans="1:4" ht="13" x14ac:dyDescent="0.15">
      <c r="A746" s="10"/>
      <c r="B746" s="13"/>
      <c r="C746" s="13"/>
      <c r="D746" s="13"/>
    </row>
    <row r="747" spans="1:4" ht="13" x14ac:dyDescent="0.15">
      <c r="A747" s="10"/>
      <c r="B747" s="13"/>
      <c r="C747" s="13"/>
      <c r="D747" s="13"/>
    </row>
    <row r="748" spans="1:4" ht="13" x14ac:dyDescent="0.15">
      <c r="A748" s="10"/>
      <c r="B748" s="13"/>
      <c r="C748" s="13"/>
      <c r="D748" s="13"/>
    </row>
    <row r="749" spans="1:4" ht="13" x14ac:dyDescent="0.15">
      <c r="A749" s="10"/>
      <c r="B749" s="13"/>
      <c r="C749" s="13"/>
      <c r="D749" s="13"/>
    </row>
    <row r="750" spans="1:4" ht="13" x14ac:dyDescent="0.15">
      <c r="A750" s="10"/>
      <c r="B750" s="13"/>
      <c r="C750" s="13"/>
      <c r="D750" s="13"/>
    </row>
    <row r="751" spans="1:4" ht="13" x14ac:dyDescent="0.15">
      <c r="A751" s="10"/>
      <c r="B751" s="13"/>
      <c r="C751" s="13"/>
      <c r="D751" s="13"/>
    </row>
    <row r="752" spans="1:4" ht="13" x14ac:dyDescent="0.15">
      <c r="A752" s="10"/>
      <c r="B752" s="13"/>
      <c r="C752" s="13"/>
      <c r="D752" s="13"/>
    </row>
    <row r="753" spans="1:4" ht="13" x14ac:dyDescent="0.15">
      <c r="A753" s="10"/>
      <c r="B753" s="13"/>
      <c r="C753" s="13"/>
      <c r="D753" s="13"/>
    </row>
    <row r="754" spans="1:4" ht="13" x14ac:dyDescent="0.15">
      <c r="A754" s="10"/>
      <c r="B754" s="13"/>
      <c r="C754" s="13"/>
      <c r="D754" s="13"/>
    </row>
    <row r="755" spans="1:4" ht="13" x14ac:dyDescent="0.15">
      <c r="A755" s="10"/>
      <c r="B755" s="13"/>
      <c r="C755" s="13"/>
      <c r="D755" s="13"/>
    </row>
    <row r="756" spans="1:4" ht="13" x14ac:dyDescent="0.15">
      <c r="A756" s="10"/>
      <c r="B756" s="13"/>
      <c r="C756" s="13"/>
      <c r="D756" s="13"/>
    </row>
    <row r="757" spans="1:4" ht="13" x14ac:dyDescent="0.15">
      <c r="A757" s="10"/>
      <c r="B757" s="13"/>
      <c r="C757" s="13"/>
      <c r="D757" s="13"/>
    </row>
    <row r="758" spans="1:4" ht="13" x14ac:dyDescent="0.15">
      <c r="A758" s="10"/>
      <c r="B758" s="13"/>
      <c r="C758" s="13"/>
      <c r="D758" s="13"/>
    </row>
    <row r="759" spans="1:4" ht="13" x14ac:dyDescent="0.15">
      <c r="A759" s="10"/>
      <c r="B759" s="13"/>
      <c r="C759" s="13"/>
      <c r="D759" s="13"/>
    </row>
    <row r="760" spans="1:4" ht="13" x14ac:dyDescent="0.15">
      <c r="A760" s="10"/>
      <c r="B760" s="13"/>
      <c r="C760" s="13"/>
      <c r="D760" s="13"/>
    </row>
    <row r="761" spans="1:4" ht="13" x14ac:dyDescent="0.15">
      <c r="A761" s="10"/>
      <c r="B761" s="13"/>
      <c r="C761" s="13"/>
      <c r="D761" s="13"/>
    </row>
    <row r="762" spans="1:4" ht="13" x14ac:dyDescent="0.15">
      <c r="A762" s="10"/>
      <c r="B762" s="13"/>
      <c r="C762" s="13"/>
      <c r="D762" s="13"/>
    </row>
    <row r="763" spans="1:4" ht="13" x14ac:dyDescent="0.15">
      <c r="A763" s="10"/>
      <c r="B763" s="13"/>
      <c r="C763" s="13"/>
      <c r="D763" s="13"/>
    </row>
    <row r="764" spans="1:4" ht="13" x14ac:dyDescent="0.15">
      <c r="A764" s="10"/>
      <c r="B764" s="13"/>
      <c r="C764" s="13"/>
      <c r="D764" s="13"/>
    </row>
    <row r="765" spans="1:4" ht="13" x14ac:dyDescent="0.15">
      <c r="A765" s="10"/>
      <c r="B765" s="13"/>
      <c r="C765" s="13"/>
      <c r="D765" s="13"/>
    </row>
    <row r="766" spans="1:4" ht="13" x14ac:dyDescent="0.15">
      <c r="A766" s="10"/>
      <c r="B766" s="13"/>
      <c r="C766" s="13"/>
      <c r="D766" s="13"/>
    </row>
    <row r="767" spans="1:4" ht="13" x14ac:dyDescent="0.15">
      <c r="A767" s="10"/>
      <c r="B767" s="13"/>
      <c r="C767" s="13"/>
      <c r="D767" s="13"/>
    </row>
    <row r="768" spans="1:4" ht="13" x14ac:dyDescent="0.15">
      <c r="A768" s="10"/>
      <c r="B768" s="13"/>
      <c r="C768" s="13"/>
      <c r="D768" s="13"/>
    </row>
    <row r="769" spans="1:4" ht="13" x14ac:dyDescent="0.15">
      <c r="A769" s="10"/>
      <c r="B769" s="13"/>
      <c r="C769" s="13"/>
      <c r="D769" s="13"/>
    </row>
    <row r="770" spans="1:4" ht="13" x14ac:dyDescent="0.15">
      <c r="A770" s="10"/>
      <c r="B770" s="13"/>
      <c r="C770" s="13"/>
      <c r="D770" s="13"/>
    </row>
    <row r="771" spans="1:4" ht="13" x14ac:dyDescent="0.15">
      <c r="A771" s="10"/>
      <c r="B771" s="13"/>
      <c r="C771" s="13"/>
      <c r="D771" s="13"/>
    </row>
    <row r="772" spans="1:4" ht="13" x14ac:dyDescent="0.15">
      <c r="A772" s="10"/>
      <c r="B772" s="13"/>
      <c r="C772" s="13"/>
      <c r="D772" s="13"/>
    </row>
    <row r="773" spans="1:4" ht="13" x14ac:dyDescent="0.15">
      <c r="A773" s="10"/>
      <c r="B773" s="13"/>
      <c r="C773" s="13"/>
      <c r="D773" s="13"/>
    </row>
    <row r="774" spans="1:4" ht="13" x14ac:dyDescent="0.15">
      <c r="A774" s="10"/>
      <c r="B774" s="13"/>
      <c r="C774" s="13"/>
      <c r="D774" s="13"/>
    </row>
    <row r="775" spans="1:4" ht="13" x14ac:dyDescent="0.15">
      <c r="A775" s="10"/>
      <c r="B775" s="13"/>
      <c r="C775" s="13"/>
      <c r="D775" s="13"/>
    </row>
    <row r="776" spans="1:4" ht="13" x14ac:dyDescent="0.15">
      <c r="A776" s="10"/>
      <c r="B776" s="13"/>
      <c r="C776" s="13"/>
      <c r="D776" s="13"/>
    </row>
    <row r="777" spans="1:4" ht="13" x14ac:dyDescent="0.15">
      <c r="A777" s="10"/>
      <c r="B777" s="13"/>
      <c r="C777" s="13"/>
      <c r="D777" s="13"/>
    </row>
    <row r="778" spans="1:4" ht="13" x14ac:dyDescent="0.15">
      <c r="A778" s="10"/>
      <c r="B778" s="13"/>
      <c r="C778" s="13"/>
      <c r="D778" s="13"/>
    </row>
    <row r="779" spans="1:4" ht="13" x14ac:dyDescent="0.15">
      <c r="A779" s="10"/>
      <c r="B779" s="13"/>
      <c r="C779" s="13"/>
      <c r="D779" s="13"/>
    </row>
    <row r="780" spans="1:4" ht="13" x14ac:dyDescent="0.15">
      <c r="A780" s="10"/>
      <c r="B780" s="13"/>
      <c r="C780" s="13"/>
      <c r="D780" s="13"/>
    </row>
    <row r="781" spans="1:4" ht="13" x14ac:dyDescent="0.15">
      <c r="A781" s="10"/>
      <c r="B781" s="13"/>
      <c r="C781" s="13"/>
      <c r="D781" s="13"/>
    </row>
    <row r="782" spans="1:4" ht="13" x14ac:dyDescent="0.15">
      <c r="A782" s="10"/>
      <c r="B782" s="13"/>
      <c r="C782" s="13"/>
      <c r="D782" s="13"/>
    </row>
    <row r="783" spans="1:4" ht="13" x14ac:dyDescent="0.15">
      <c r="A783" s="10"/>
      <c r="B783" s="13"/>
      <c r="C783" s="13"/>
      <c r="D783" s="13"/>
    </row>
    <row r="784" spans="1:4" ht="13" x14ac:dyDescent="0.15">
      <c r="A784" s="10"/>
      <c r="B784" s="13"/>
      <c r="C784" s="13"/>
      <c r="D784" s="13"/>
    </row>
    <row r="785" spans="1:4" ht="13" x14ac:dyDescent="0.15">
      <c r="A785" s="10"/>
      <c r="B785" s="13"/>
      <c r="C785" s="13"/>
      <c r="D785" s="13"/>
    </row>
    <row r="786" spans="1:4" ht="13" x14ac:dyDescent="0.15">
      <c r="A786" s="10"/>
      <c r="B786" s="13"/>
      <c r="C786" s="13"/>
      <c r="D786" s="13"/>
    </row>
    <row r="787" spans="1:4" ht="13" x14ac:dyDescent="0.15">
      <c r="A787" s="10"/>
      <c r="B787" s="13"/>
      <c r="C787" s="13"/>
      <c r="D787" s="13"/>
    </row>
    <row r="788" spans="1:4" ht="13" x14ac:dyDescent="0.15">
      <c r="A788" s="10"/>
      <c r="B788" s="13"/>
      <c r="C788" s="13"/>
      <c r="D788" s="13"/>
    </row>
    <row r="789" spans="1:4" ht="13" x14ac:dyDescent="0.15">
      <c r="A789" s="10"/>
      <c r="B789" s="13"/>
      <c r="C789" s="13"/>
      <c r="D789" s="13"/>
    </row>
    <row r="790" spans="1:4" ht="13" x14ac:dyDescent="0.15">
      <c r="A790" s="10"/>
      <c r="B790" s="13"/>
      <c r="C790" s="13"/>
      <c r="D790" s="13"/>
    </row>
    <row r="791" spans="1:4" ht="13" x14ac:dyDescent="0.15">
      <c r="A791" s="10"/>
      <c r="B791" s="13"/>
      <c r="C791" s="13"/>
      <c r="D791" s="13"/>
    </row>
    <row r="792" spans="1:4" ht="13" x14ac:dyDescent="0.15">
      <c r="A792" s="10"/>
      <c r="B792" s="13"/>
      <c r="C792" s="13"/>
      <c r="D792" s="13"/>
    </row>
    <row r="793" spans="1:4" ht="13" x14ac:dyDescent="0.15">
      <c r="A793" s="10"/>
      <c r="B793" s="13"/>
      <c r="C793" s="13"/>
      <c r="D793" s="13"/>
    </row>
    <row r="794" spans="1:4" ht="13" x14ac:dyDescent="0.15">
      <c r="A794" s="10"/>
      <c r="B794" s="13"/>
      <c r="C794" s="13"/>
      <c r="D794" s="13"/>
    </row>
    <row r="795" spans="1:4" ht="13" x14ac:dyDescent="0.15">
      <c r="A795" s="10"/>
      <c r="B795" s="13"/>
      <c r="C795" s="13"/>
      <c r="D795" s="13"/>
    </row>
    <row r="796" spans="1:4" ht="13" x14ac:dyDescent="0.15">
      <c r="A796" s="10"/>
      <c r="B796" s="13"/>
      <c r="C796" s="13"/>
      <c r="D796" s="13"/>
    </row>
    <row r="797" spans="1:4" ht="13" x14ac:dyDescent="0.15">
      <c r="A797" s="10"/>
      <c r="B797" s="13"/>
      <c r="C797" s="13"/>
      <c r="D797" s="13"/>
    </row>
    <row r="798" spans="1:4" ht="13" x14ac:dyDescent="0.15">
      <c r="A798" s="10"/>
      <c r="B798" s="13"/>
      <c r="C798" s="13"/>
      <c r="D798" s="13"/>
    </row>
    <row r="799" spans="1:4" ht="13" x14ac:dyDescent="0.15">
      <c r="A799" s="10"/>
      <c r="B799" s="13"/>
      <c r="C799" s="13"/>
      <c r="D799" s="13"/>
    </row>
    <row r="800" spans="1:4" ht="13" x14ac:dyDescent="0.15">
      <c r="A800" s="10"/>
      <c r="B800" s="13"/>
      <c r="C800" s="13"/>
      <c r="D800" s="13"/>
    </row>
    <row r="801" spans="1:4" ht="13" x14ac:dyDescent="0.15">
      <c r="A801" s="10"/>
      <c r="B801" s="13"/>
      <c r="C801" s="13"/>
      <c r="D801" s="13"/>
    </row>
    <row r="802" spans="1:4" ht="13" x14ac:dyDescent="0.15">
      <c r="A802" s="10"/>
      <c r="B802" s="13"/>
      <c r="C802" s="13"/>
      <c r="D802" s="13"/>
    </row>
    <row r="803" spans="1:4" ht="13" x14ac:dyDescent="0.15">
      <c r="A803" s="10"/>
      <c r="B803" s="13"/>
      <c r="C803" s="13"/>
      <c r="D803" s="13"/>
    </row>
    <row r="804" spans="1:4" ht="13" x14ac:dyDescent="0.15">
      <c r="A804" s="10"/>
      <c r="B804" s="13"/>
      <c r="C804" s="13"/>
      <c r="D804" s="13"/>
    </row>
    <row r="805" spans="1:4" ht="13" x14ac:dyDescent="0.15">
      <c r="A805" s="10"/>
      <c r="B805" s="13"/>
      <c r="C805" s="13"/>
      <c r="D805" s="13"/>
    </row>
    <row r="806" spans="1:4" ht="13" x14ac:dyDescent="0.15">
      <c r="A806" s="10"/>
      <c r="B806" s="13"/>
      <c r="C806" s="13"/>
      <c r="D806" s="13"/>
    </row>
    <row r="807" spans="1:4" ht="13" x14ac:dyDescent="0.15">
      <c r="A807" s="10"/>
      <c r="B807" s="13"/>
      <c r="C807" s="13"/>
      <c r="D807" s="13"/>
    </row>
    <row r="808" spans="1:4" ht="13" x14ac:dyDescent="0.15">
      <c r="A808" s="10"/>
      <c r="B808" s="13"/>
      <c r="C808" s="13"/>
      <c r="D808" s="13"/>
    </row>
    <row r="809" spans="1:4" ht="13" x14ac:dyDescent="0.15">
      <c r="A809" s="10"/>
      <c r="B809" s="13"/>
      <c r="C809" s="13"/>
      <c r="D809" s="13"/>
    </row>
    <row r="810" spans="1:4" ht="13" x14ac:dyDescent="0.15">
      <c r="A810" s="10"/>
      <c r="B810" s="13"/>
      <c r="C810" s="13"/>
      <c r="D810" s="13"/>
    </row>
    <row r="811" spans="1:4" ht="13" x14ac:dyDescent="0.15">
      <c r="A811" s="10"/>
      <c r="B811" s="13"/>
      <c r="C811" s="13"/>
      <c r="D811" s="13"/>
    </row>
    <row r="812" spans="1:4" ht="13" x14ac:dyDescent="0.15">
      <c r="A812" s="10"/>
      <c r="B812" s="13"/>
      <c r="C812" s="13"/>
      <c r="D812" s="13"/>
    </row>
    <row r="813" spans="1:4" ht="13" x14ac:dyDescent="0.15">
      <c r="A813" s="10"/>
      <c r="B813" s="13"/>
      <c r="C813" s="13"/>
      <c r="D813" s="13"/>
    </row>
    <row r="814" spans="1:4" ht="13" x14ac:dyDescent="0.15">
      <c r="A814" s="10"/>
      <c r="B814" s="13"/>
      <c r="C814" s="13"/>
      <c r="D814" s="13"/>
    </row>
    <row r="815" spans="1:4" ht="13" x14ac:dyDescent="0.15">
      <c r="A815" s="10"/>
      <c r="B815" s="13"/>
      <c r="C815" s="13"/>
      <c r="D815" s="13"/>
    </row>
    <row r="816" spans="1:4" ht="13" x14ac:dyDescent="0.15">
      <c r="A816" s="10"/>
      <c r="B816" s="13"/>
      <c r="C816" s="13"/>
      <c r="D816" s="13"/>
    </row>
    <row r="817" spans="1:4" ht="13" x14ac:dyDescent="0.15">
      <c r="A817" s="10"/>
      <c r="B817" s="13"/>
      <c r="C817" s="13"/>
      <c r="D817" s="13"/>
    </row>
    <row r="818" spans="1:4" ht="13" x14ac:dyDescent="0.15">
      <c r="A818" s="10"/>
      <c r="B818" s="13"/>
      <c r="C818" s="13"/>
      <c r="D818" s="13"/>
    </row>
    <row r="819" spans="1:4" ht="13" x14ac:dyDescent="0.15">
      <c r="A819" s="10"/>
      <c r="B819" s="13"/>
      <c r="C819" s="13"/>
      <c r="D819" s="13"/>
    </row>
    <row r="820" spans="1:4" ht="13" x14ac:dyDescent="0.15">
      <c r="A820" s="10"/>
      <c r="B820" s="13"/>
      <c r="C820" s="13"/>
      <c r="D820" s="13"/>
    </row>
    <row r="821" spans="1:4" ht="13" x14ac:dyDescent="0.15">
      <c r="A821" s="10"/>
      <c r="B821" s="13"/>
      <c r="C821" s="13"/>
      <c r="D821" s="13"/>
    </row>
    <row r="822" spans="1:4" ht="13" x14ac:dyDescent="0.15">
      <c r="A822" s="10"/>
      <c r="B822" s="13"/>
      <c r="C822" s="13"/>
      <c r="D822" s="13"/>
    </row>
    <row r="823" spans="1:4" ht="13" x14ac:dyDescent="0.15">
      <c r="A823" s="10"/>
      <c r="B823" s="13"/>
      <c r="C823" s="13"/>
      <c r="D823" s="13"/>
    </row>
    <row r="824" spans="1:4" ht="13" x14ac:dyDescent="0.15">
      <c r="A824" s="10"/>
      <c r="B824" s="13"/>
      <c r="C824" s="13"/>
      <c r="D824" s="13"/>
    </row>
    <row r="825" spans="1:4" ht="13" x14ac:dyDescent="0.15">
      <c r="A825" s="10"/>
      <c r="B825" s="13"/>
      <c r="C825" s="13"/>
      <c r="D825" s="13"/>
    </row>
    <row r="826" spans="1:4" ht="13" x14ac:dyDescent="0.15">
      <c r="A826" s="10"/>
      <c r="B826" s="13"/>
      <c r="C826" s="13"/>
      <c r="D826" s="13"/>
    </row>
    <row r="827" spans="1:4" ht="13" x14ac:dyDescent="0.15">
      <c r="A827" s="10"/>
      <c r="B827" s="13"/>
      <c r="C827" s="13"/>
      <c r="D827" s="13"/>
    </row>
    <row r="828" spans="1:4" ht="13" x14ac:dyDescent="0.15">
      <c r="A828" s="10"/>
      <c r="B828" s="13"/>
      <c r="C828" s="13"/>
      <c r="D828" s="13"/>
    </row>
    <row r="829" spans="1:4" ht="13" x14ac:dyDescent="0.15">
      <c r="A829" s="10"/>
      <c r="B829" s="13"/>
      <c r="C829" s="13"/>
      <c r="D829" s="13"/>
    </row>
    <row r="830" spans="1:4" ht="13" x14ac:dyDescent="0.15">
      <c r="A830" s="10"/>
      <c r="B830" s="13"/>
      <c r="C830" s="13"/>
      <c r="D830" s="13"/>
    </row>
    <row r="831" spans="1:4" ht="13" x14ac:dyDescent="0.15">
      <c r="A831" s="10"/>
      <c r="B831" s="13"/>
      <c r="C831" s="13"/>
      <c r="D831" s="13"/>
    </row>
    <row r="832" spans="1:4" ht="13" x14ac:dyDescent="0.15">
      <c r="A832" s="10"/>
      <c r="B832" s="13"/>
      <c r="C832" s="13"/>
      <c r="D832" s="13"/>
    </row>
    <row r="833" spans="1:4" ht="13" x14ac:dyDescent="0.15">
      <c r="A833" s="10"/>
      <c r="B833" s="13"/>
      <c r="C833" s="13"/>
      <c r="D833" s="13"/>
    </row>
    <row r="834" spans="1:4" ht="13" x14ac:dyDescent="0.15">
      <c r="A834" s="10"/>
      <c r="B834" s="13"/>
      <c r="C834" s="13"/>
      <c r="D834" s="13"/>
    </row>
    <row r="835" spans="1:4" ht="13" x14ac:dyDescent="0.15">
      <c r="A835" s="10"/>
      <c r="B835" s="13"/>
      <c r="C835" s="13"/>
      <c r="D835" s="13"/>
    </row>
    <row r="836" spans="1:4" ht="13" x14ac:dyDescent="0.15">
      <c r="A836" s="10"/>
      <c r="B836" s="13"/>
      <c r="C836" s="13"/>
      <c r="D836" s="13"/>
    </row>
    <row r="837" spans="1:4" ht="13" x14ac:dyDescent="0.15">
      <c r="A837" s="10"/>
      <c r="B837" s="13"/>
      <c r="C837" s="13"/>
      <c r="D837" s="13"/>
    </row>
    <row r="838" spans="1:4" ht="13" x14ac:dyDescent="0.15">
      <c r="A838" s="10"/>
      <c r="B838" s="13"/>
      <c r="C838" s="13"/>
      <c r="D838" s="13"/>
    </row>
    <row r="839" spans="1:4" ht="13" x14ac:dyDescent="0.15">
      <c r="A839" s="10"/>
      <c r="B839" s="13"/>
      <c r="C839" s="13"/>
      <c r="D839" s="13"/>
    </row>
    <row r="840" spans="1:4" ht="13" x14ac:dyDescent="0.15">
      <c r="A840" s="10"/>
      <c r="B840" s="13"/>
      <c r="C840" s="13"/>
      <c r="D840" s="13"/>
    </row>
    <row r="841" spans="1:4" ht="13" x14ac:dyDescent="0.15">
      <c r="A841" s="10"/>
      <c r="B841" s="13"/>
      <c r="C841" s="13"/>
      <c r="D841" s="13"/>
    </row>
    <row r="842" spans="1:4" ht="13" x14ac:dyDescent="0.15">
      <c r="A842" s="10"/>
      <c r="B842" s="13"/>
      <c r="C842" s="13"/>
      <c r="D842" s="13"/>
    </row>
    <row r="843" spans="1:4" ht="13" x14ac:dyDescent="0.15">
      <c r="A843" s="10"/>
      <c r="B843" s="13"/>
      <c r="C843" s="13"/>
      <c r="D843" s="13"/>
    </row>
    <row r="844" spans="1:4" ht="13" x14ac:dyDescent="0.15">
      <c r="A844" s="10"/>
      <c r="B844" s="13"/>
      <c r="C844" s="13"/>
      <c r="D844" s="13"/>
    </row>
    <row r="845" spans="1:4" ht="13" x14ac:dyDescent="0.15">
      <c r="A845" s="10"/>
      <c r="B845" s="13"/>
      <c r="C845" s="13"/>
      <c r="D845" s="13"/>
    </row>
    <row r="846" spans="1:4" ht="13" x14ac:dyDescent="0.15">
      <c r="A846" s="10"/>
      <c r="B846" s="13"/>
      <c r="C846" s="13"/>
      <c r="D846" s="13"/>
    </row>
    <row r="847" spans="1:4" ht="13" x14ac:dyDescent="0.15">
      <c r="A847" s="10"/>
      <c r="B847" s="13"/>
      <c r="C847" s="13"/>
      <c r="D847" s="13"/>
    </row>
    <row r="848" spans="1:4" ht="13" x14ac:dyDescent="0.15">
      <c r="A848" s="10"/>
      <c r="B848" s="13"/>
      <c r="C848" s="13"/>
      <c r="D848" s="13"/>
    </row>
    <row r="849" spans="1:4" ht="13" x14ac:dyDescent="0.15">
      <c r="A849" s="10"/>
      <c r="B849" s="13"/>
      <c r="C849" s="13"/>
      <c r="D849" s="13"/>
    </row>
    <row r="850" spans="1:4" ht="13" x14ac:dyDescent="0.15">
      <c r="A850" s="10"/>
      <c r="B850" s="13"/>
      <c r="C850" s="13"/>
      <c r="D850" s="13"/>
    </row>
    <row r="851" spans="1:4" ht="13" x14ac:dyDescent="0.15">
      <c r="A851" s="10"/>
      <c r="B851" s="13"/>
      <c r="C851" s="13"/>
      <c r="D851" s="13"/>
    </row>
    <row r="852" spans="1:4" ht="13" x14ac:dyDescent="0.15">
      <c r="A852" s="10"/>
      <c r="B852" s="13"/>
      <c r="C852" s="13"/>
      <c r="D852" s="13"/>
    </row>
    <row r="853" spans="1:4" ht="13" x14ac:dyDescent="0.15">
      <c r="A853" s="10"/>
      <c r="B853" s="13"/>
      <c r="C853" s="13"/>
      <c r="D853" s="13"/>
    </row>
    <row r="854" spans="1:4" ht="13" x14ac:dyDescent="0.15">
      <c r="A854" s="10"/>
      <c r="B854" s="13"/>
      <c r="C854" s="13"/>
      <c r="D854" s="13"/>
    </row>
    <row r="855" spans="1:4" ht="13" x14ac:dyDescent="0.15">
      <c r="A855" s="10"/>
      <c r="B855" s="13"/>
      <c r="C855" s="13"/>
      <c r="D855" s="13"/>
    </row>
    <row r="856" spans="1:4" ht="13" x14ac:dyDescent="0.15">
      <c r="A856" s="10"/>
      <c r="B856" s="13"/>
      <c r="C856" s="13"/>
      <c r="D856" s="13"/>
    </row>
    <row r="857" spans="1:4" ht="13" x14ac:dyDescent="0.15">
      <c r="A857" s="10"/>
      <c r="B857" s="13"/>
      <c r="C857" s="13"/>
      <c r="D857" s="13"/>
    </row>
    <row r="858" spans="1:4" ht="13" x14ac:dyDescent="0.15">
      <c r="A858" s="10"/>
      <c r="B858" s="13"/>
      <c r="C858" s="13"/>
      <c r="D858" s="13"/>
    </row>
    <row r="859" spans="1:4" ht="13" x14ac:dyDescent="0.15">
      <c r="A859" s="10"/>
      <c r="B859" s="13"/>
      <c r="C859" s="13"/>
      <c r="D859" s="13"/>
    </row>
    <row r="860" spans="1:4" ht="13" x14ac:dyDescent="0.15">
      <c r="A860" s="10"/>
      <c r="B860" s="13"/>
      <c r="C860" s="13"/>
      <c r="D860" s="13"/>
    </row>
    <row r="861" spans="1:4" ht="13" x14ac:dyDescent="0.15">
      <c r="A861" s="10"/>
      <c r="B861" s="13"/>
      <c r="C861" s="13"/>
      <c r="D861" s="13"/>
    </row>
    <row r="862" spans="1:4" ht="13" x14ac:dyDescent="0.15">
      <c r="A862" s="10"/>
      <c r="B862" s="13"/>
      <c r="C862" s="13"/>
      <c r="D862" s="13"/>
    </row>
    <row r="863" spans="1:4" ht="13" x14ac:dyDescent="0.15">
      <c r="A863" s="10"/>
      <c r="B863" s="13"/>
      <c r="C863" s="13"/>
      <c r="D863" s="13"/>
    </row>
    <row r="864" spans="1:4" ht="13" x14ac:dyDescent="0.15">
      <c r="A864" s="10"/>
      <c r="B864" s="13"/>
      <c r="C864" s="13"/>
      <c r="D864" s="13"/>
    </row>
    <row r="865" spans="1:4" ht="13" x14ac:dyDescent="0.15">
      <c r="A865" s="10"/>
      <c r="B865" s="13"/>
      <c r="C865" s="13"/>
      <c r="D865" s="13"/>
    </row>
    <row r="866" spans="1:4" ht="13" x14ac:dyDescent="0.15">
      <c r="A866" s="10"/>
      <c r="B866" s="13"/>
      <c r="C866" s="13"/>
      <c r="D866" s="13"/>
    </row>
    <row r="867" spans="1:4" ht="13" x14ac:dyDescent="0.15">
      <c r="A867" s="10"/>
      <c r="B867" s="13"/>
      <c r="C867" s="13"/>
      <c r="D867" s="13"/>
    </row>
    <row r="868" spans="1:4" ht="13" x14ac:dyDescent="0.15">
      <c r="A868" s="10"/>
      <c r="B868" s="13"/>
      <c r="C868" s="13"/>
      <c r="D868" s="13"/>
    </row>
    <row r="869" spans="1:4" ht="13" x14ac:dyDescent="0.15">
      <c r="A869" s="10"/>
      <c r="B869" s="13"/>
      <c r="C869" s="13"/>
      <c r="D869" s="13"/>
    </row>
    <row r="870" spans="1:4" ht="13" x14ac:dyDescent="0.15">
      <c r="A870" s="10"/>
      <c r="B870" s="13"/>
      <c r="C870" s="13"/>
      <c r="D870" s="13"/>
    </row>
    <row r="871" spans="1:4" ht="13" x14ac:dyDescent="0.15">
      <c r="A871" s="10"/>
      <c r="B871" s="13"/>
      <c r="C871" s="13"/>
      <c r="D871" s="13"/>
    </row>
    <row r="872" spans="1:4" ht="13" x14ac:dyDescent="0.15">
      <c r="A872" s="10"/>
      <c r="B872" s="13"/>
      <c r="C872" s="13"/>
      <c r="D872" s="13"/>
    </row>
    <row r="873" spans="1:4" ht="13" x14ac:dyDescent="0.15">
      <c r="A873" s="10"/>
      <c r="B873" s="13"/>
      <c r="C873" s="13"/>
      <c r="D873" s="13"/>
    </row>
    <row r="874" spans="1:4" ht="13" x14ac:dyDescent="0.15">
      <c r="A874" s="10"/>
      <c r="B874" s="13"/>
      <c r="C874" s="13"/>
      <c r="D874" s="13"/>
    </row>
    <row r="875" spans="1:4" ht="13" x14ac:dyDescent="0.15">
      <c r="A875" s="10"/>
      <c r="B875" s="13"/>
      <c r="C875" s="13"/>
      <c r="D875" s="13"/>
    </row>
    <row r="876" spans="1:4" ht="13" x14ac:dyDescent="0.15">
      <c r="A876" s="10"/>
      <c r="B876" s="13"/>
      <c r="C876" s="13"/>
      <c r="D876" s="13"/>
    </row>
    <row r="877" spans="1:4" ht="13" x14ac:dyDescent="0.15">
      <c r="A877" s="10"/>
      <c r="B877" s="13"/>
      <c r="C877" s="13"/>
      <c r="D877" s="13"/>
    </row>
    <row r="878" spans="1:4" ht="13" x14ac:dyDescent="0.15">
      <c r="A878" s="10"/>
      <c r="B878" s="13"/>
      <c r="C878" s="13"/>
      <c r="D878" s="13"/>
    </row>
    <row r="879" spans="1:4" ht="13" x14ac:dyDescent="0.15">
      <c r="A879" s="10"/>
      <c r="B879" s="13"/>
      <c r="C879" s="13"/>
      <c r="D879" s="13"/>
    </row>
    <row r="880" spans="1:4" ht="13" x14ac:dyDescent="0.15">
      <c r="A880" s="10"/>
      <c r="B880" s="13"/>
      <c r="C880" s="13"/>
      <c r="D880" s="13"/>
    </row>
    <row r="881" spans="1:4" ht="13" x14ac:dyDescent="0.15">
      <c r="A881" s="10"/>
      <c r="B881" s="13"/>
      <c r="C881" s="13"/>
      <c r="D881" s="13"/>
    </row>
    <row r="882" spans="1:4" ht="13" x14ac:dyDescent="0.15">
      <c r="A882" s="10"/>
      <c r="B882" s="13"/>
      <c r="C882" s="13"/>
      <c r="D882" s="13"/>
    </row>
    <row r="883" spans="1:4" ht="13" x14ac:dyDescent="0.15">
      <c r="A883" s="10"/>
      <c r="B883" s="13"/>
      <c r="C883" s="13"/>
      <c r="D883" s="13"/>
    </row>
    <row r="884" spans="1:4" ht="13" x14ac:dyDescent="0.15">
      <c r="A884" s="10"/>
      <c r="B884" s="13"/>
      <c r="C884" s="13"/>
      <c r="D884" s="13"/>
    </row>
    <row r="885" spans="1:4" ht="13" x14ac:dyDescent="0.15">
      <c r="A885" s="10"/>
      <c r="B885" s="13"/>
      <c r="C885" s="13"/>
      <c r="D885" s="13"/>
    </row>
    <row r="886" spans="1:4" ht="13" x14ac:dyDescent="0.15">
      <c r="A886" s="10"/>
      <c r="B886" s="13"/>
      <c r="C886" s="13"/>
      <c r="D886" s="13"/>
    </row>
    <row r="887" spans="1:4" ht="13" x14ac:dyDescent="0.15">
      <c r="A887" s="10"/>
      <c r="B887" s="13"/>
      <c r="C887" s="13"/>
      <c r="D887" s="13"/>
    </row>
    <row r="888" spans="1:4" ht="13" x14ac:dyDescent="0.15">
      <c r="A888" s="10"/>
      <c r="B888" s="13"/>
      <c r="C888" s="13"/>
      <c r="D888" s="13"/>
    </row>
    <row r="889" spans="1:4" ht="13" x14ac:dyDescent="0.15">
      <c r="A889" s="10"/>
      <c r="B889" s="13"/>
      <c r="C889" s="13"/>
      <c r="D889" s="13"/>
    </row>
    <row r="890" spans="1:4" ht="13" x14ac:dyDescent="0.15">
      <c r="A890" s="10"/>
      <c r="B890" s="13"/>
      <c r="C890" s="13"/>
      <c r="D890" s="13"/>
    </row>
    <row r="891" spans="1:4" ht="13" x14ac:dyDescent="0.15">
      <c r="A891" s="10"/>
      <c r="B891" s="13"/>
      <c r="C891" s="13"/>
      <c r="D891" s="13"/>
    </row>
    <row r="892" spans="1:4" ht="13" x14ac:dyDescent="0.15">
      <c r="A892" s="10"/>
      <c r="B892" s="13"/>
      <c r="C892" s="13"/>
      <c r="D892" s="13"/>
    </row>
    <row r="893" spans="1:4" ht="13" x14ac:dyDescent="0.15">
      <c r="A893" s="10"/>
      <c r="B893" s="13"/>
      <c r="C893" s="13"/>
      <c r="D893" s="13"/>
    </row>
    <row r="894" spans="1:4" ht="13" x14ac:dyDescent="0.15">
      <c r="A894" s="10"/>
      <c r="B894" s="13"/>
      <c r="C894" s="13"/>
      <c r="D894" s="13"/>
    </row>
    <row r="895" spans="1:4" ht="13" x14ac:dyDescent="0.15">
      <c r="A895" s="10"/>
      <c r="B895" s="13"/>
      <c r="C895" s="13"/>
      <c r="D895" s="13"/>
    </row>
    <row r="896" spans="1:4" ht="13" x14ac:dyDescent="0.15">
      <c r="A896" s="10"/>
      <c r="B896" s="13"/>
      <c r="C896" s="13"/>
      <c r="D896" s="13"/>
    </row>
    <row r="897" spans="1:4" ht="13" x14ac:dyDescent="0.15">
      <c r="A897" s="10"/>
      <c r="B897" s="13"/>
      <c r="C897" s="13"/>
      <c r="D897" s="13"/>
    </row>
    <row r="898" spans="1:4" ht="13" x14ac:dyDescent="0.15">
      <c r="A898" s="10"/>
      <c r="B898" s="13"/>
      <c r="C898" s="13"/>
      <c r="D898" s="13"/>
    </row>
    <row r="899" spans="1:4" ht="13" x14ac:dyDescent="0.15">
      <c r="A899" s="10"/>
      <c r="B899" s="13"/>
      <c r="C899" s="13"/>
      <c r="D899" s="13"/>
    </row>
    <row r="900" spans="1:4" ht="13" x14ac:dyDescent="0.15">
      <c r="A900" s="10"/>
      <c r="B900" s="13"/>
      <c r="C900" s="13"/>
      <c r="D900" s="13"/>
    </row>
    <row r="901" spans="1:4" ht="13" x14ac:dyDescent="0.15">
      <c r="A901" s="10"/>
      <c r="B901" s="13"/>
      <c r="C901" s="13"/>
      <c r="D901" s="13"/>
    </row>
    <row r="902" spans="1:4" ht="13" x14ac:dyDescent="0.15">
      <c r="A902" s="10"/>
      <c r="B902" s="13"/>
      <c r="C902" s="13"/>
      <c r="D902" s="13"/>
    </row>
    <row r="903" spans="1:4" ht="13" x14ac:dyDescent="0.15">
      <c r="A903" s="10"/>
      <c r="B903" s="13"/>
      <c r="C903" s="13"/>
      <c r="D903" s="13"/>
    </row>
    <row r="904" spans="1:4" ht="13" x14ac:dyDescent="0.15">
      <c r="A904" s="10"/>
      <c r="B904" s="13"/>
      <c r="C904" s="13"/>
      <c r="D904" s="13"/>
    </row>
    <row r="905" spans="1:4" ht="13" x14ac:dyDescent="0.15">
      <c r="A905" s="10"/>
      <c r="B905" s="13"/>
      <c r="C905" s="13"/>
      <c r="D905" s="13"/>
    </row>
    <row r="906" spans="1:4" ht="13" x14ac:dyDescent="0.15">
      <c r="A906" s="10"/>
      <c r="B906" s="13"/>
      <c r="C906" s="13"/>
      <c r="D906" s="13"/>
    </row>
    <row r="907" spans="1:4" ht="13" x14ac:dyDescent="0.15">
      <c r="A907" s="10"/>
      <c r="B907" s="13"/>
      <c r="C907" s="13"/>
      <c r="D907" s="13"/>
    </row>
    <row r="908" spans="1:4" ht="13" x14ac:dyDescent="0.15">
      <c r="A908" s="10"/>
      <c r="B908" s="13"/>
      <c r="C908" s="13"/>
      <c r="D908" s="13"/>
    </row>
    <row r="909" spans="1:4" ht="13" x14ac:dyDescent="0.15">
      <c r="A909" s="10"/>
      <c r="B909" s="13"/>
      <c r="C909" s="13"/>
      <c r="D909" s="13"/>
    </row>
    <row r="910" spans="1:4" ht="13" x14ac:dyDescent="0.15">
      <c r="A910" s="10"/>
      <c r="B910" s="13"/>
      <c r="C910" s="13"/>
      <c r="D910" s="13"/>
    </row>
    <row r="911" spans="1:4" ht="13" x14ac:dyDescent="0.15">
      <c r="A911" s="10"/>
      <c r="B911" s="13"/>
      <c r="C911" s="13"/>
      <c r="D911" s="13"/>
    </row>
    <row r="912" spans="1:4" ht="13" x14ac:dyDescent="0.15">
      <c r="A912" s="10"/>
      <c r="B912" s="13"/>
      <c r="C912" s="13"/>
      <c r="D912" s="13"/>
    </row>
    <row r="913" spans="1:4" ht="13" x14ac:dyDescent="0.15">
      <c r="A913" s="10"/>
      <c r="B913" s="13"/>
      <c r="C913" s="13"/>
      <c r="D913" s="13"/>
    </row>
    <row r="914" spans="1:4" ht="13" x14ac:dyDescent="0.15">
      <c r="A914" s="10"/>
      <c r="B914" s="13"/>
      <c r="C914" s="13"/>
      <c r="D914" s="13"/>
    </row>
    <row r="915" spans="1:4" ht="13" x14ac:dyDescent="0.15">
      <c r="A915" s="10"/>
      <c r="B915" s="13"/>
      <c r="C915" s="13"/>
      <c r="D915" s="13"/>
    </row>
    <row r="916" spans="1:4" ht="13" x14ac:dyDescent="0.15">
      <c r="A916" s="10"/>
      <c r="B916" s="13"/>
      <c r="C916" s="13"/>
      <c r="D916" s="13"/>
    </row>
    <row r="917" spans="1:4" ht="13" x14ac:dyDescent="0.15">
      <c r="A917" s="10"/>
      <c r="B917" s="13"/>
      <c r="C917" s="13"/>
      <c r="D917" s="13"/>
    </row>
    <row r="918" spans="1:4" ht="13" x14ac:dyDescent="0.15">
      <c r="A918" s="10"/>
      <c r="B918" s="13"/>
      <c r="C918" s="13"/>
      <c r="D918" s="13"/>
    </row>
    <row r="919" spans="1:4" ht="13" x14ac:dyDescent="0.15">
      <c r="A919" s="10"/>
      <c r="B919" s="13"/>
      <c r="C919" s="13"/>
      <c r="D919" s="13"/>
    </row>
    <row r="920" spans="1:4" ht="13" x14ac:dyDescent="0.15">
      <c r="A920" s="10"/>
      <c r="B920" s="13"/>
      <c r="C920" s="13"/>
      <c r="D920" s="13"/>
    </row>
    <row r="921" spans="1:4" ht="13" x14ac:dyDescent="0.15">
      <c r="A921" s="10"/>
      <c r="B921" s="13"/>
      <c r="C921" s="13"/>
      <c r="D921" s="13"/>
    </row>
    <row r="922" spans="1:4" ht="13" x14ac:dyDescent="0.15">
      <c r="A922" s="10"/>
      <c r="B922" s="13"/>
      <c r="C922" s="13"/>
      <c r="D922" s="13"/>
    </row>
    <row r="923" spans="1:4" ht="13" x14ac:dyDescent="0.15">
      <c r="A923" s="10"/>
      <c r="B923" s="13"/>
      <c r="C923" s="13"/>
      <c r="D923" s="13"/>
    </row>
    <row r="924" spans="1:4" ht="13" x14ac:dyDescent="0.15">
      <c r="A924" s="10"/>
      <c r="B924" s="13"/>
      <c r="C924" s="13"/>
      <c r="D924" s="13"/>
    </row>
    <row r="925" spans="1:4" ht="13" x14ac:dyDescent="0.15">
      <c r="A925" s="10"/>
      <c r="B925" s="13"/>
      <c r="C925" s="13"/>
      <c r="D925" s="13"/>
    </row>
    <row r="926" spans="1:4" ht="13" x14ac:dyDescent="0.15">
      <c r="A926" s="10"/>
      <c r="B926" s="13"/>
      <c r="C926" s="13"/>
      <c r="D926" s="13"/>
    </row>
    <row r="927" spans="1:4" ht="13" x14ac:dyDescent="0.15">
      <c r="A927" s="10"/>
      <c r="B927" s="13"/>
      <c r="C927" s="13"/>
      <c r="D927" s="13"/>
    </row>
    <row r="928" spans="1:4" ht="13" x14ac:dyDescent="0.15">
      <c r="A928" s="10"/>
      <c r="B928" s="13"/>
      <c r="C928" s="13"/>
      <c r="D928" s="13"/>
    </row>
    <row r="929" spans="1:4" ht="13" x14ac:dyDescent="0.15">
      <c r="A929" s="10"/>
      <c r="B929" s="13"/>
      <c r="C929" s="13"/>
      <c r="D929" s="13"/>
    </row>
    <row r="930" spans="1:4" ht="13" x14ac:dyDescent="0.15">
      <c r="A930" s="10"/>
      <c r="B930" s="13"/>
      <c r="C930" s="13"/>
      <c r="D930" s="13"/>
    </row>
    <row r="931" spans="1:4" ht="13" x14ac:dyDescent="0.15">
      <c r="A931" s="10"/>
      <c r="B931" s="13"/>
      <c r="C931" s="13"/>
      <c r="D931" s="13"/>
    </row>
    <row r="932" spans="1:4" ht="13" x14ac:dyDescent="0.15">
      <c r="A932" s="10"/>
      <c r="B932" s="13"/>
      <c r="C932" s="13"/>
      <c r="D932" s="13"/>
    </row>
    <row r="933" spans="1:4" ht="13" x14ac:dyDescent="0.15">
      <c r="A933" s="10"/>
      <c r="B933" s="13"/>
      <c r="C933" s="13"/>
      <c r="D933" s="13"/>
    </row>
    <row r="934" spans="1:4" ht="13" x14ac:dyDescent="0.15">
      <c r="A934" s="10"/>
      <c r="B934" s="13"/>
      <c r="C934" s="13"/>
      <c r="D934" s="13"/>
    </row>
    <row r="935" spans="1:4" ht="13" x14ac:dyDescent="0.15">
      <c r="A935" s="10"/>
      <c r="B935" s="13"/>
      <c r="C935" s="13"/>
      <c r="D935" s="13"/>
    </row>
    <row r="936" spans="1:4" ht="13" x14ac:dyDescent="0.15">
      <c r="A936" s="10"/>
      <c r="B936" s="13"/>
      <c r="C936" s="13"/>
      <c r="D936" s="13"/>
    </row>
    <row r="937" spans="1:4" ht="13" x14ac:dyDescent="0.15">
      <c r="A937" s="10"/>
      <c r="B937" s="13"/>
      <c r="C937" s="13"/>
      <c r="D937" s="13"/>
    </row>
    <row r="938" spans="1:4" ht="13" x14ac:dyDescent="0.15">
      <c r="A938" s="10"/>
      <c r="B938" s="13"/>
      <c r="C938" s="13"/>
      <c r="D938" s="13"/>
    </row>
    <row r="939" spans="1:4" ht="13" x14ac:dyDescent="0.15">
      <c r="A939" s="10"/>
      <c r="B939" s="13"/>
      <c r="C939" s="13"/>
      <c r="D939" s="13"/>
    </row>
    <row r="940" spans="1:4" ht="13" x14ac:dyDescent="0.15">
      <c r="A940" s="10"/>
      <c r="B940" s="13"/>
      <c r="C940" s="13"/>
      <c r="D940" s="13"/>
    </row>
    <row r="941" spans="1:4" ht="13" x14ac:dyDescent="0.15">
      <c r="A941" s="10"/>
      <c r="B941" s="13"/>
      <c r="C941" s="13"/>
      <c r="D941" s="13"/>
    </row>
    <row r="942" spans="1:4" ht="13" x14ac:dyDescent="0.15">
      <c r="A942" s="10"/>
      <c r="B942" s="13"/>
      <c r="C942" s="13"/>
      <c r="D942" s="13"/>
    </row>
    <row r="943" spans="1:4" ht="13" x14ac:dyDescent="0.15">
      <c r="A943" s="10"/>
      <c r="B943" s="13"/>
      <c r="C943" s="13"/>
      <c r="D943" s="13"/>
    </row>
    <row r="944" spans="1:4" ht="13" x14ac:dyDescent="0.15">
      <c r="A944" s="10"/>
      <c r="B944" s="13"/>
      <c r="C944" s="13"/>
      <c r="D944" s="13"/>
    </row>
    <row r="945" spans="1:4" ht="13" x14ac:dyDescent="0.15">
      <c r="A945" s="10"/>
      <c r="B945" s="13"/>
      <c r="C945" s="13"/>
      <c r="D945" s="13"/>
    </row>
    <row r="946" spans="1:4" ht="13" x14ac:dyDescent="0.15">
      <c r="A946" s="10"/>
      <c r="B946" s="13"/>
      <c r="C946" s="13"/>
      <c r="D946" s="13"/>
    </row>
    <row r="947" spans="1:4" ht="13" x14ac:dyDescent="0.15">
      <c r="A947" s="10"/>
      <c r="B947" s="13"/>
      <c r="C947" s="13"/>
      <c r="D947" s="13"/>
    </row>
    <row r="948" spans="1:4" ht="13" x14ac:dyDescent="0.15">
      <c r="A948" s="10"/>
      <c r="B948" s="13"/>
      <c r="C948" s="13"/>
      <c r="D948" s="13"/>
    </row>
    <row r="949" spans="1:4" ht="13" x14ac:dyDescent="0.15">
      <c r="A949" s="10"/>
      <c r="B949" s="13"/>
      <c r="C949" s="13"/>
      <c r="D949" s="13"/>
    </row>
    <row r="950" spans="1:4" ht="13" x14ac:dyDescent="0.15">
      <c r="A950" s="10"/>
      <c r="B950" s="13"/>
      <c r="C950" s="13"/>
      <c r="D950" s="13"/>
    </row>
    <row r="951" spans="1:4" ht="13" x14ac:dyDescent="0.15">
      <c r="A951" s="10"/>
      <c r="B951" s="13"/>
      <c r="C951" s="13"/>
      <c r="D951" s="13"/>
    </row>
    <row r="952" spans="1:4" ht="13" x14ac:dyDescent="0.15">
      <c r="A952" s="10"/>
      <c r="B952" s="13"/>
      <c r="C952" s="13"/>
      <c r="D952" s="13"/>
    </row>
    <row r="953" spans="1:4" ht="13" x14ac:dyDescent="0.15">
      <c r="A953" s="10"/>
      <c r="B953" s="13"/>
      <c r="C953" s="13"/>
      <c r="D953" s="13"/>
    </row>
    <row r="954" spans="1:4" ht="13" x14ac:dyDescent="0.15">
      <c r="A954" s="10"/>
      <c r="B954" s="13"/>
      <c r="C954" s="13"/>
      <c r="D954" s="13"/>
    </row>
    <row r="955" spans="1:4" ht="13" x14ac:dyDescent="0.15">
      <c r="A955" s="10"/>
      <c r="B955" s="13"/>
      <c r="C955" s="13"/>
      <c r="D955" s="13"/>
    </row>
    <row r="956" spans="1:4" ht="13" x14ac:dyDescent="0.15">
      <c r="A956" s="10"/>
      <c r="B956" s="13"/>
      <c r="C956" s="13"/>
      <c r="D956" s="13"/>
    </row>
    <row r="957" spans="1:4" ht="13" x14ac:dyDescent="0.15">
      <c r="A957" s="10"/>
      <c r="B957" s="13"/>
      <c r="C957" s="13"/>
      <c r="D957" s="13"/>
    </row>
    <row r="958" spans="1:4" ht="13" x14ac:dyDescent="0.15">
      <c r="A958" s="10"/>
      <c r="B958" s="13"/>
      <c r="C958" s="13"/>
      <c r="D958" s="13"/>
    </row>
    <row r="959" spans="1:4" ht="13" x14ac:dyDescent="0.15">
      <c r="A959" s="10"/>
      <c r="B959" s="13"/>
      <c r="C959" s="13"/>
      <c r="D959" s="13"/>
    </row>
    <row r="960" spans="1:4" ht="13" x14ac:dyDescent="0.15">
      <c r="A960" s="10"/>
      <c r="B960" s="13"/>
      <c r="C960" s="13"/>
      <c r="D960" s="13"/>
    </row>
    <row r="961" spans="1:4" ht="13" x14ac:dyDescent="0.15">
      <c r="A961" s="10"/>
      <c r="B961" s="13"/>
      <c r="C961" s="13"/>
      <c r="D961" s="13"/>
    </row>
    <row r="962" spans="1:4" ht="13" x14ac:dyDescent="0.15">
      <c r="A962" s="10"/>
      <c r="B962" s="13"/>
      <c r="C962" s="13"/>
      <c r="D962" s="13"/>
    </row>
    <row r="963" spans="1:4" ht="13" x14ac:dyDescent="0.15">
      <c r="A963" s="10"/>
      <c r="B963" s="13"/>
      <c r="C963" s="13"/>
      <c r="D963" s="13"/>
    </row>
    <row r="964" spans="1:4" ht="13" x14ac:dyDescent="0.15">
      <c r="A964" s="10"/>
      <c r="B964" s="13"/>
      <c r="C964" s="13"/>
      <c r="D964" s="13"/>
    </row>
    <row r="965" spans="1:4" ht="13" x14ac:dyDescent="0.15">
      <c r="A965" s="10"/>
      <c r="B965" s="13"/>
      <c r="C965" s="13"/>
      <c r="D965" s="13"/>
    </row>
    <row r="966" spans="1:4" ht="13" x14ac:dyDescent="0.15">
      <c r="A966" s="10"/>
      <c r="B966" s="13"/>
      <c r="C966" s="13"/>
      <c r="D966" s="13"/>
    </row>
    <row r="967" spans="1:4" ht="13" x14ac:dyDescent="0.15">
      <c r="A967" s="10"/>
      <c r="B967" s="13"/>
      <c r="C967" s="13"/>
      <c r="D967" s="13"/>
    </row>
    <row r="968" spans="1:4" ht="13" x14ac:dyDescent="0.15">
      <c r="A968" s="10"/>
      <c r="B968" s="13"/>
      <c r="C968" s="13"/>
      <c r="D968" s="13"/>
    </row>
    <row r="969" spans="1:4" ht="13" x14ac:dyDescent="0.15">
      <c r="A969" s="10"/>
      <c r="B969" s="13"/>
      <c r="C969" s="13"/>
      <c r="D969" s="13"/>
    </row>
    <row r="970" spans="1:4" ht="13" x14ac:dyDescent="0.15">
      <c r="A970" s="10"/>
      <c r="B970" s="13"/>
      <c r="C970" s="13"/>
      <c r="D970" s="13"/>
    </row>
    <row r="971" spans="1:4" ht="13" x14ac:dyDescent="0.15">
      <c r="A971" s="10"/>
      <c r="B971" s="13"/>
      <c r="C971" s="13"/>
      <c r="D971" s="13"/>
    </row>
    <row r="972" spans="1:4" ht="13" x14ac:dyDescent="0.15">
      <c r="A972" s="10"/>
      <c r="B972" s="13"/>
      <c r="C972" s="13"/>
      <c r="D972" s="13"/>
    </row>
    <row r="973" spans="1:4" ht="13" x14ac:dyDescent="0.15">
      <c r="A973" s="10"/>
      <c r="B973" s="13"/>
      <c r="C973" s="13"/>
      <c r="D973" s="13"/>
    </row>
    <row r="974" spans="1:4" ht="13" x14ac:dyDescent="0.15">
      <c r="A974" s="10"/>
      <c r="B974" s="13"/>
      <c r="C974" s="13"/>
      <c r="D974" s="13"/>
    </row>
    <row r="975" spans="1:4" ht="13" x14ac:dyDescent="0.15">
      <c r="A975" s="10"/>
      <c r="B975" s="13"/>
      <c r="C975" s="13"/>
      <c r="D975" s="13"/>
    </row>
    <row r="976" spans="1:4" ht="13" x14ac:dyDescent="0.15">
      <c r="A976" s="10"/>
      <c r="B976" s="13"/>
      <c r="C976" s="13"/>
      <c r="D976" s="13"/>
    </row>
    <row r="977" spans="1:4" ht="13" x14ac:dyDescent="0.15">
      <c r="A977" s="10"/>
      <c r="B977" s="13"/>
      <c r="C977" s="13"/>
      <c r="D977" s="13"/>
    </row>
    <row r="978" spans="1:4" ht="13" x14ac:dyDescent="0.15">
      <c r="A978" s="10"/>
      <c r="B978" s="13"/>
      <c r="C978" s="13"/>
      <c r="D978" s="13"/>
    </row>
    <row r="979" spans="1:4" ht="13" x14ac:dyDescent="0.15">
      <c r="A979" s="10"/>
      <c r="B979" s="13"/>
      <c r="C979" s="13"/>
      <c r="D979" s="13"/>
    </row>
    <row r="980" spans="1:4" ht="13" x14ac:dyDescent="0.15">
      <c r="A980" s="10"/>
      <c r="B980" s="13"/>
      <c r="C980" s="13"/>
      <c r="D980" s="13"/>
    </row>
    <row r="981" spans="1:4" ht="13" x14ac:dyDescent="0.15">
      <c r="A981" s="10"/>
      <c r="B981" s="13"/>
      <c r="C981" s="13"/>
      <c r="D981" s="13"/>
    </row>
    <row r="982" spans="1:4" ht="13" x14ac:dyDescent="0.15">
      <c r="A982" s="10"/>
      <c r="B982" s="13"/>
      <c r="C982" s="13"/>
      <c r="D982" s="13"/>
    </row>
    <row r="983" spans="1:4" ht="13" x14ac:dyDescent="0.15">
      <c r="A983" s="10"/>
      <c r="B983" s="13"/>
      <c r="C983" s="13"/>
      <c r="D983" s="13"/>
    </row>
    <row r="984" spans="1:4" ht="13" x14ac:dyDescent="0.15">
      <c r="A984" s="10"/>
      <c r="B984" s="13"/>
      <c r="C984" s="13"/>
      <c r="D984" s="13"/>
    </row>
    <row r="985" spans="1:4" ht="13" x14ac:dyDescent="0.15">
      <c r="A985" s="10"/>
      <c r="B985" s="13"/>
      <c r="C985" s="13"/>
      <c r="D985" s="13"/>
    </row>
    <row r="986" spans="1:4" ht="13" x14ac:dyDescent="0.15">
      <c r="A986" s="10"/>
      <c r="B986" s="13"/>
      <c r="C986" s="13"/>
      <c r="D986" s="13"/>
    </row>
    <row r="987" spans="1:4" ht="13" x14ac:dyDescent="0.15">
      <c r="A987" s="10"/>
      <c r="B987" s="13"/>
      <c r="C987" s="13"/>
      <c r="D987" s="13"/>
    </row>
    <row r="988" spans="1:4" ht="13" x14ac:dyDescent="0.15">
      <c r="A988" s="10"/>
      <c r="B988" s="13"/>
      <c r="C988" s="13"/>
      <c r="D988" s="13"/>
    </row>
    <row r="989" spans="1:4" ht="13" x14ac:dyDescent="0.15">
      <c r="A989" s="10"/>
      <c r="B989" s="13"/>
      <c r="C989" s="13"/>
      <c r="D989" s="13"/>
    </row>
    <row r="990" spans="1:4" ht="13" x14ac:dyDescent="0.15">
      <c r="A990" s="10"/>
      <c r="B990" s="13"/>
      <c r="C990" s="13"/>
      <c r="D990" s="13"/>
    </row>
    <row r="991" spans="1:4" ht="13" x14ac:dyDescent="0.15">
      <c r="A991" s="10"/>
      <c r="B991" s="13"/>
      <c r="C991" s="13"/>
      <c r="D991" s="13"/>
    </row>
    <row r="992" spans="1:4" ht="13" x14ac:dyDescent="0.15">
      <c r="A992" s="10"/>
      <c r="B992" s="13"/>
      <c r="C992" s="13"/>
      <c r="D992" s="13"/>
    </row>
    <row r="993" spans="1:4" ht="13" x14ac:dyDescent="0.15">
      <c r="A993" s="10"/>
      <c r="B993" s="13"/>
      <c r="C993" s="13"/>
      <c r="D993" s="13"/>
    </row>
    <row r="994" spans="1:4" ht="13" x14ac:dyDescent="0.15">
      <c r="A994" s="10"/>
      <c r="B994" s="13"/>
      <c r="C994" s="13"/>
      <c r="D994" s="13"/>
    </row>
    <row r="995" spans="1:4" ht="13" x14ac:dyDescent="0.15">
      <c r="A995" s="10"/>
      <c r="B995" s="13"/>
      <c r="C995" s="13"/>
      <c r="D995" s="13"/>
    </row>
    <row r="996" spans="1:4" ht="13" x14ac:dyDescent="0.15">
      <c r="A996" s="10"/>
      <c r="B996" s="13"/>
      <c r="C996" s="13"/>
      <c r="D996" s="13"/>
    </row>
    <row r="997" spans="1:4" ht="13" x14ac:dyDescent="0.15">
      <c r="A997" s="10"/>
      <c r="B997" s="13"/>
      <c r="C997" s="13"/>
      <c r="D997" s="13"/>
    </row>
  </sheetData>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outlinePr summaryBelow="0" summaryRight="0"/>
  </sheetPr>
  <dimension ref="A1:Z997"/>
  <sheetViews>
    <sheetView workbookViewId="0"/>
  </sheetViews>
  <sheetFormatPr baseColWidth="10" defaultColWidth="12.6640625" defaultRowHeight="15.75" customHeight="1" x14ac:dyDescent="0.15"/>
  <cols>
    <col min="1" max="1" width="71.5" customWidth="1"/>
    <col min="2" max="4" width="37.6640625" customWidth="1"/>
  </cols>
  <sheetData>
    <row r="1" spans="1:26" x14ac:dyDescent="0.2">
      <c r="A1" s="33"/>
      <c r="B1" s="12" t="str">
        <f ca="1">IFERROR(__xludf.DUMMYFUNCTION("IMPORTRANGE(""https://docs.google.com/spreadsheets/d/13SmE7eku7nG0PwUe_FIOCUfCnXVjPMNZ0Q_x8FW6s5I"",""A99!B1:B22"")"),"Josiah Bolton")</f>
        <v>Josiah Bolton</v>
      </c>
      <c r="C1" s="22" t="str">
        <f ca="1">IFERROR(__xludf.DUMMYFUNCTION("IMPORTRANGE(""https://docs.google.com/spreadsheets/u/0/d/19yPRVnLV0A_2o92-w6L11RYWj24Qqnerv8i8p-ngiq4"", ""A99!B1:B22"")"),"Jackson Root")</f>
        <v>Jackson Root</v>
      </c>
      <c r="D1" s="2" t="s">
        <v>1</v>
      </c>
      <c r="E1" s="22"/>
      <c r="F1" s="22"/>
      <c r="G1" s="22"/>
      <c r="H1" s="22"/>
      <c r="I1" s="22"/>
      <c r="J1" s="22"/>
      <c r="K1" s="22"/>
      <c r="L1" s="22"/>
      <c r="M1" s="22"/>
      <c r="N1" s="22"/>
      <c r="O1" s="22"/>
      <c r="P1" s="22"/>
      <c r="Q1" s="22"/>
      <c r="R1" s="22"/>
      <c r="S1" s="22"/>
      <c r="T1" s="22"/>
      <c r="U1" s="22"/>
      <c r="V1" s="22"/>
      <c r="W1" s="22"/>
      <c r="X1" s="22"/>
      <c r="Y1" s="22"/>
      <c r="Z1" s="22"/>
    </row>
    <row r="2" spans="1:26" ht="15.75" customHeight="1" x14ac:dyDescent="0.15">
      <c r="A2" s="3" t="s">
        <v>2</v>
      </c>
      <c r="B2" s="15" t="str">
        <f ca="1">IFERROR(__xludf.DUMMYFUNCTION("""COMPUTED_VALUE"""),"58990-60012 FOR")</f>
        <v>58990-60012 FOR</v>
      </c>
      <c r="C2" s="15" t="str">
        <f ca="1">IFERROR(__xludf.DUMMYFUNCTION("""COMPUTED_VALUE"""),"Stop: 60012  For")</f>
        <v>Stop: 60012  For</v>
      </c>
      <c r="D2" s="4"/>
    </row>
    <row r="3" spans="1:26" ht="15.75" customHeight="1" x14ac:dyDescent="0.15">
      <c r="A3" s="5" t="s">
        <v>3</v>
      </c>
      <c r="B3" s="17" t="str">
        <f ca="1">IFERROR(__xludf.DUMMYFUNCTION("""COMPUTED_VALUE"""),"98 in DNA Master
99 on Phamerator map")</f>
        <v>98 in DNA Master
99 on Phamerator map</v>
      </c>
      <c r="C3" s="17" t="str">
        <f ca="1">IFERROR(__xludf.DUMMYFUNCTION("""COMPUTED_VALUE"""),"Pham: 99    DNA: 98")</f>
        <v>Pham: 99    DNA: 98</v>
      </c>
      <c r="D3" s="6"/>
    </row>
    <row r="4" spans="1:26" ht="15.75" customHeight="1" x14ac:dyDescent="0.15">
      <c r="A4" s="5" t="s">
        <v>4</v>
      </c>
      <c r="B4" s="17" t="str">
        <f ca="1">IFERROR(__xludf.DUMMYFUNCTION("""COMPUTED_VALUE"""),"6034 3/19/2025")</f>
        <v>6034 3/19/2025</v>
      </c>
      <c r="C4" s="17" t="str">
        <f ca="1">IFERROR(__xludf.DUMMYFUNCTION("""COMPUTED_VALUE"""),"pham 6034  03/19/25")</f>
        <v>pham 6034  03/19/25</v>
      </c>
      <c r="D4" s="6"/>
    </row>
    <row r="5" spans="1:26" ht="15.75" customHeight="1" x14ac:dyDescent="0.15">
      <c r="A5" s="5" t="s">
        <v>5</v>
      </c>
      <c r="B5" s="17" t="str">
        <f ca="1">IFERROR(__xludf.DUMMYFUNCTION("""COMPUTED_VALUE"""),"Kovu 97 and Edmundo 97.")</f>
        <v>Kovu 97 and Edmundo 97.</v>
      </c>
      <c r="C5" s="17" t="str">
        <f ca="1">IFERROR(__xludf.DUMMYFUNCTION("""COMPUTED_VALUE"""),"Kovu_97; Edmundo_97")</f>
        <v>Kovu_97; Edmundo_97</v>
      </c>
      <c r="D5" s="6"/>
    </row>
    <row r="6" spans="1:26" ht="15.75" customHeight="1" x14ac:dyDescent="0.15">
      <c r="A6" s="5" t="s">
        <v>6</v>
      </c>
      <c r="B6" s="17" t="str">
        <f ca="1">IFERROR(__xludf.DUMMYFUNCTION("""COMPUTED_VALUE"""),"Both call this at 58990.")</f>
        <v>Both call this at 58990.</v>
      </c>
      <c r="C6" s="17" t="str">
        <f ca="1">IFERROR(__xludf.DUMMYFUNCTION("""COMPUTED_VALUE"""),"Both called 58990")</f>
        <v>Both called 58990</v>
      </c>
      <c r="D6" s="6"/>
    </row>
    <row r="7" spans="1:26" ht="15.75" customHeight="1" x14ac:dyDescent="0.15">
      <c r="A7" s="5" t="s">
        <v>7</v>
      </c>
      <c r="B7" s="17" t="str">
        <f ca="1">IFERROR(__xludf.DUMMYFUNCTION("""COMPUTED_VALUE"""),"Has great coding potential and barely misses the end. This could just be because of a stop codon read.")</f>
        <v>Has great coding potential and barely misses the end. This could just be because of a stop codon read.</v>
      </c>
      <c r="C7" s="17" t="str">
        <f ca="1">IFERROR(__xludf.DUMMYFUNCTION("""COMPUTED_VALUE"""),"Yes there is coding potential, all coding potential captured")</f>
        <v>Yes there is coding potential, all coding potential captured</v>
      </c>
      <c r="D7" s="6"/>
    </row>
    <row r="8" spans="1:26" ht="15.75" customHeight="1" x14ac:dyDescent="0.15">
      <c r="A8" s="5" t="s">
        <v>8</v>
      </c>
      <c r="B8" s="17" t="str">
        <f ca="1">IFERROR(__xludf.DUMMYFUNCTION("""COMPUTED_VALUE"""),"This is the longest ORF.")</f>
        <v>This is the longest ORF.</v>
      </c>
      <c r="C8" s="17" t="str">
        <f ca="1">IFERROR(__xludf.DUMMYFUNCTION("""COMPUTED_VALUE"""),"Yes, there are starts further down")</f>
        <v>Yes, there are starts further down</v>
      </c>
      <c r="D8" s="6"/>
    </row>
    <row r="9" spans="1:26" ht="15.75" customHeight="1" x14ac:dyDescent="0.15">
      <c r="A9" s="5" t="s">
        <v>9</v>
      </c>
      <c r="B9" s="17" t="str">
        <f ca="1">IFERROR(__xludf.DUMMYFUNCTION("""COMPUTED_VALUE"""),"114 bp nucleotide gap.")</f>
        <v>114 bp nucleotide gap.</v>
      </c>
      <c r="C9" s="17" t="str">
        <f ca="1">IFERROR(__xludf.DUMMYFUNCTION("""COMPUTED_VALUE"""),"Gap w/ 97 (DNA): 116 Bp;   Gap w/ 99 (DNA): 112 Bp")</f>
        <v>Gap w/ 97 (DNA): 116 Bp;   Gap w/ 99 (DNA): 112 Bp</v>
      </c>
      <c r="D9" s="6"/>
    </row>
    <row r="10" spans="1:26" ht="15.75" customHeight="1" x14ac:dyDescent="0.15">
      <c r="A10" s="5" t="s">
        <v>10</v>
      </c>
      <c r="B10" s="17" t="str">
        <f ca="1">IFERROR(__xludf.DUMMYFUNCTION("""COMPUTED_VALUE"""),"Z score for called start is 2.200 with a final score of -4.133. This is the best score.")</f>
        <v>Z score for called start is 2.200 with a final score of -4.133. This is the best score.</v>
      </c>
      <c r="C10" s="17" t="str">
        <f ca="1">IFERROR(__xludf.DUMMYFUNCTION("""COMPUTED_VALUE"""),"The current start is best with a Good Z-score. The next start also has a good z-score but would increase the gap with the previous gene, and theres also a start that has a good RBS but would cut the genome in half if not more")</f>
        <v>The current start is best with a Good Z-score. The next start also has a good z-score but would increase the gap with the previous gene, and theres also a start that has a good RBS but would cut the genome in half if not more</v>
      </c>
      <c r="D10" s="6"/>
    </row>
    <row r="11" spans="1:26" ht="15.75" customHeight="1" x14ac:dyDescent="0.15">
      <c r="A11" s="5" t="s">
        <v>11</v>
      </c>
      <c r="B11" s="17" t="str">
        <f ca="1">IFERROR(__xludf.DUMMYFUNCTION("""COMPUTED_VALUE"""),"Kovu 97 is with % identity at 87.08%. E value is 0e0, q17- 340: s14 - 338.")</f>
        <v>Kovu 97 is with % identity at 87.08%. E value is 0e0, q17- 340: s14 - 338.</v>
      </c>
      <c r="C11" s="17" t="str">
        <f ca="1">IFERROR(__xludf.DUMMYFUNCTION("""COMPUTED_VALUE"""),"Kovu; % Identity: 87.08%; E-val: 0.0e0; Q17:T14")</f>
        <v>Kovu; % Identity: 87.08%; E-val: 0.0e0; Q17:T14</v>
      </c>
      <c r="D11" s="6"/>
    </row>
    <row r="12" spans="1:26" ht="15.75" customHeight="1" x14ac:dyDescent="0.15">
      <c r="A12" s="5" t="s">
        <v>12</v>
      </c>
      <c r="B12" s="17" t="str">
        <f ca="1">IFERROR(__xludf.DUMMYFUNCTION("""COMPUTED_VALUE"""),"Start 2 in all of AL cluster including ApoKipo is called. This is called 100% of time when present.")</f>
        <v>Start 2 in all of AL cluster including ApoKipo is called. This is called 100% of time when present.</v>
      </c>
      <c r="C12" s="17" t="str">
        <f ca="1">IFERROR(__xludf.DUMMYFUNCTION("""COMPUTED_VALUE"""),"Start is conserved, called 100% when present")</f>
        <v>Start is conserved, called 100% when present</v>
      </c>
      <c r="D12" s="6"/>
    </row>
    <row r="13" spans="1:26" ht="15.75" customHeight="1" x14ac:dyDescent="0.15">
      <c r="A13" s="5" t="s">
        <v>13</v>
      </c>
      <c r="B13" s="17" t="str">
        <f ca="1">IFERROR(__xludf.DUMMYFUNCTION("""COMPUTED_VALUE"""),"No start change because z score is great and longest ORF. A start change would capture less coding potential.")</f>
        <v>No start change because z score is great and longest ORF. A start change would capture less coding potential.</v>
      </c>
      <c r="C13" s="17" t="str">
        <f ca="1">IFERROR(__xludf.DUMMYFUNCTION("""COMPUTED_VALUE"""),"no start change")</f>
        <v>no start change</v>
      </c>
      <c r="D13" s="6"/>
    </row>
    <row r="14" spans="1:26" ht="15.75" customHeight="1" x14ac:dyDescent="0.15">
      <c r="A14" s="5" t="s">
        <v>14</v>
      </c>
      <c r="B14" s="17" t="str">
        <f ca="1">IFERROR(__xludf.DUMMYFUNCTION("""COMPUTED_VALUE"""),"Kovu 97 e value is e-166.")</f>
        <v>Kovu 97 e value is e-166.</v>
      </c>
      <c r="C14" s="17" t="str">
        <f ca="1">IFERROR(__xludf.DUMMYFUNCTION("""COMPUTED_VALUE"""),"Kovu_97: e-166, Edmundo_97: e-127")</f>
        <v>Kovu_97: e-166, Edmundo_97: e-127</v>
      </c>
      <c r="D14" s="6"/>
    </row>
    <row r="15" spans="1:26" ht="15.75" customHeight="1" x14ac:dyDescent="0.15">
      <c r="A15" s="5" t="s">
        <v>15</v>
      </c>
      <c r="B15" s="17" t="str">
        <f ca="1">IFERROR(__xludf.DUMMYFUNCTION("""COMPUTED_VALUE"""),"Kovu 97 is an amidoligase.")</f>
        <v>Kovu 97 is an amidoligase.</v>
      </c>
      <c r="C15" s="17" t="str">
        <f ca="1">IFERROR(__xludf.DUMMYFUNCTION("""COMPUTED_VALUE"""),"both Kovu and Edmundo 97 are  amidoligase")</f>
        <v>both Kovu and Edmundo 97 are  amidoligase</v>
      </c>
      <c r="D15" s="6"/>
    </row>
    <row r="16" spans="1:26" ht="15.75" customHeight="1" x14ac:dyDescent="0.15">
      <c r="A16" s="5" t="s">
        <v>16</v>
      </c>
      <c r="B16" s="17" t="str">
        <f ca="1">IFERROR(__xludf.DUMMYFUNCTION("""COMPUTED_VALUE"""),"This function could very well be expected because of the gene adjacent between ApoKipo 99 and Kovu 97.")</f>
        <v>This function could very well be expected because of the gene adjacent between ApoKipo 99 and Kovu 97.</v>
      </c>
      <c r="C16" s="17" t="str">
        <f ca="1">IFERROR(__xludf.DUMMYFUNCTION("""COMPUTED_VALUE"""),"yes, found in the same genetic environment as Kovu_97")</f>
        <v>yes, found in the same genetic environment as Kovu_97</v>
      </c>
      <c r="D16" s="6"/>
    </row>
    <row r="17" spans="1:4" ht="15.75" customHeight="1" x14ac:dyDescent="0.15">
      <c r="A17" s="5" t="s">
        <v>17</v>
      </c>
      <c r="B17" s="17" t="str">
        <f ca="1">IFERROR(__xludf.DUMMYFUNCTION("""COMPUTED_VALUE"""),"Hypothetical protein ybdK; Structural Genomics, unknown function, YbdK, hypothetical protein, carboxylate-amine ligase, Structure 2 Function Project, S2F, LIGASE; HET: MSE; 2.15A {Escherichia coli} SCOP: d.128.1.3 probability is 99.16%, % alignment of que"&amp;"ry is 44.87% and the % alignment of target is 41.13%. The functional domain is in the target part of alignment.")</f>
        <v>Hypothetical protein ybdK; Structural Genomics, unknown function, YbdK, hypothetical protein, carboxylate-amine ligase, Structure 2 Function Project, S2F, LIGASE; HET: MSE; 2.15A {Escherichia coli} SCOP: d.128.1.3 probability is 99.16%, % alignment of query is 44.87% and the % alignment of target is 41.13%. The functional domain is in the target part of alignment.</v>
      </c>
      <c r="C17" s="17" t="str">
        <f ca="1">IFERROR(__xludf.DUMMYFUNCTION("""COMPUTED_VALUE"""),"Amidoligase_2, Glutamate--cysteine ligase; Prob: 100%; %Q: 60%; %T: 74.7%; Function domain is found in alignment")</f>
        <v>Amidoligase_2, Glutamate--cysteine ligase; Prob: 100%; %Q: 60%; %T: 74.7%; Function domain is found in alignment</v>
      </c>
      <c r="D17" s="6"/>
    </row>
    <row r="18" spans="1:4" ht="15.75" customHeight="1" x14ac:dyDescent="0.15">
      <c r="A18" s="5" t="s">
        <v>18</v>
      </c>
      <c r="B18" s="17" t="str">
        <f ca="1">IFERROR(__xludf.DUMMYFUNCTION("""COMPUTED_VALUE"""),"Amidoligase_2
Protein Alignment Data:
Query Start (Amino Acid Position): 86
Query End (Amino Acid Position): 287
E-Value: 1.87031e-28")</f>
        <v>Amidoligase_2
Protein Alignment Data:
Query Start (Amino Acid Position): 86
Query End (Amino Acid Position): 287
E-Value: 1.87031e-28</v>
      </c>
      <c r="C18" s="17" t="str">
        <f ca="1">IFERROR(__xludf.DUMMYFUNCTION("""COMPUTED_VALUE"""),"there is/are conserved domains")</f>
        <v>there is/are conserved domains</v>
      </c>
      <c r="D18" s="6"/>
    </row>
    <row r="19" spans="1:4" ht="15.75" customHeight="1" x14ac:dyDescent="0.15">
      <c r="A19" s="5" t="s">
        <v>19</v>
      </c>
      <c r="B19" s="17" t="str">
        <f ca="1">IFERROR(__xludf.DUMMYFUNCTION("""COMPUTED_VALUE"""),"None.")</f>
        <v>None.</v>
      </c>
      <c r="C19" s="17" t="str">
        <f ca="1">IFERROR(__xludf.DUMMYFUNCTION("""COMPUTED_VALUE"""),"not a membrane protein, most likely inside the membrane")</f>
        <v>not a membrane protein, most likely inside the membrane</v>
      </c>
      <c r="D19" s="6"/>
    </row>
    <row r="20" spans="1:4" ht="15.75" customHeight="1" x14ac:dyDescent="0.15">
      <c r="A20" s="5" t="s">
        <v>20</v>
      </c>
      <c r="B20" s="17" t="str">
        <f ca="1">IFERROR(__xludf.DUMMYFUNCTION("""COMPUTED_VALUE"""),"carboxylate amine ligase because of the not great alignment to an amidoligase enzyme. There is more than just the hypothetical protein. The evidence from PhagesDb, DNA Master, Phamerator, and HHPred; it is not a hypothetical protein, but a carboxylate ami"&amp;"ne ligase.")</f>
        <v>carboxylate amine ligase because of the not great alignment to an amidoligase enzyme. There is more than just the hypothetical protein. The evidence from PhagesDb, DNA Master, Phamerator, and HHPred; it is not a hypothetical protein, but a carboxylate amine ligase.</v>
      </c>
      <c r="C20" s="17" t="str">
        <f ca="1">IFERROR(__xludf.DUMMYFUNCTION("""COMPUTED_VALUE"""),"amidoligase; because most of the best hits in NCBI were to amidoligase and the function was conserved in the pham, and the best HHpred hit was also an amidoligase")</f>
        <v>amidoligase; because most of the best hits in NCBI were to amidoligase and the function was conserved in the pham, and the best HHpred hit was also an amidoligase</v>
      </c>
      <c r="D20" s="6"/>
    </row>
    <row r="21" spans="1:4" x14ac:dyDescent="0.2">
      <c r="A21" s="7"/>
      <c r="B21" s="19"/>
      <c r="C21" s="19"/>
      <c r="D21" s="8"/>
    </row>
    <row r="22" spans="1:4" ht="15.75" customHeight="1" x14ac:dyDescent="0.15">
      <c r="A22" s="9" t="s">
        <v>21</v>
      </c>
      <c r="B22" s="19"/>
      <c r="C22" s="19" t="str">
        <f ca="1">IFERROR(__xludf.DUMMYFUNCTION("""COMPUTED_VALUE"""),"final function call not in the approved functions lists")</f>
        <v>final function call not in the approved functions lists</v>
      </c>
      <c r="D22" s="8"/>
    </row>
    <row r="23" spans="1:4" ht="15.75" customHeight="1" x14ac:dyDescent="0.15">
      <c r="A23" s="10"/>
      <c r="B23" s="13"/>
      <c r="C23" s="13"/>
    </row>
    <row r="24" spans="1:4" ht="15.75" customHeight="1" x14ac:dyDescent="0.15">
      <c r="A24" s="10"/>
      <c r="B24" s="13"/>
      <c r="C24" s="13"/>
    </row>
    <row r="25" spans="1:4" ht="15.75" customHeight="1" x14ac:dyDescent="0.15">
      <c r="A25" s="10"/>
      <c r="B25" s="13"/>
      <c r="C25" s="13"/>
    </row>
    <row r="26" spans="1:4" ht="15.75" customHeight="1" x14ac:dyDescent="0.15">
      <c r="A26" s="10"/>
      <c r="B26" s="13"/>
      <c r="C26" s="13"/>
    </row>
    <row r="27" spans="1:4" ht="15.75" customHeight="1" x14ac:dyDescent="0.15">
      <c r="A27" s="10"/>
      <c r="B27" s="13"/>
      <c r="C27" s="13"/>
    </row>
    <row r="28" spans="1:4" ht="15.75" customHeight="1" x14ac:dyDescent="0.15">
      <c r="A28" s="10"/>
      <c r="B28" s="13"/>
      <c r="C28" s="13"/>
    </row>
    <row r="29" spans="1:4" ht="15.75" customHeight="1" x14ac:dyDescent="0.15">
      <c r="A29" s="10"/>
      <c r="B29" s="13"/>
      <c r="C29" s="13"/>
    </row>
    <row r="30" spans="1:4" ht="15.75" customHeight="1" x14ac:dyDescent="0.15">
      <c r="A30" s="10"/>
      <c r="B30" s="13"/>
      <c r="C30" s="13"/>
    </row>
    <row r="31" spans="1:4" ht="15.75" customHeight="1" x14ac:dyDescent="0.15">
      <c r="A31" s="10"/>
      <c r="B31" s="13"/>
      <c r="C31" s="13"/>
    </row>
    <row r="32" spans="1:4" ht="15.75" customHeight="1" x14ac:dyDescent="0.15">
      <c r="A32" s="10"/>
      <c r="B32" s="13"/>
      <c r="C32" s="13"/>
    </row>
    <row r="33" spans="1:3" ht="15.75" customHeight="1" x14ac:dyDescent="0.15">
      <c r="A33" s="10"/>
      <c r="B33" s="13"/>
      <c r="C33" s="13"/>
    </row>
    <row r="34" spans="1:3" ht="15.75" customHeight="1" x14ac:dyDescent="0.15">
      <c r="A34" s="10"/>
      <c r="B34" s="13"/>
      <c r="C34" s="13"/>
    </row>
    <row r="35" spans="1:3" ht="15.75" customHeight="1" x14ac:dyDescent="0.15">
      <c r="A35" s="10"/>
      <c r="B35" s="13"/>
      <c r="C35" s="13"/>
    </row>
    <row r="36" spans="1:3" ht="15.75" customHeight="1" x14ac:dyDescent="0.15">
      <c r="A36" s="10"/>
      <c r="B36" s="13"/>
      <c r="C36" s="13"/>
    </row>
    <row r="37" spans="1:3" ht="15.75" customHeight="1" x14ac:dyDescent="0.15">
      <c r="A37" s="10"/>
      <c r="B37" s="13"/>
      <c r="C37" s="13"/>
    </row>
    <row r="38" spans="1:3" ht="15.75" customHeight="1" x14ac:dyDescent="0.15">
      <c r="A38" s="10"/>
      <c r="B38" s="13"/>
      <c r="C38" s="13"/>
    </row>
    <row r="39" spans="1:3" ht="13" x14ac:dyDescent="0.15">
      <c r="A39" s="10"/>
      <c r="B39" s="13"/>
      <c r="C39" s="13"/>
    </row>
    <row r="40" spans="1:3" ht="13" x14ac:dyDescent="0.15">
      <c r="A40" s="10"/>
      <c r="B40" s="13"/>
      <c r="C40" s="13"/>
    </row>
    <row r="41" spans="1:3" ht="13" x14ac:dyDescent="0.15">
      <c r="A41" s="10"/>
      <c r="B41" s="13"/>
      <c r="C41" s="13"/>
    </row>
    <row r="42" spans="1:3" ht="13" x14ac:dyDescent="0.15">
      <c r="A42" s="10"/>
      <c r="B42" s="13"/>
      <c r="C42" s="13"/>
    </row>
    <row r="43" spans="1:3" ht="13" x14ac:dyDescent="0.15">
      <c r="A43" s="10"/>
      <c r="B43" s="13"/>
      <c r="C43" s="13"/>
    </row>
    <row r="44" spans="1:3" ht="13" x14ac:dyDescent="0.15">
      <c r="A44" s="10"/>
      <c r="B44" s="13"/>
      <c r="C44" s="13"/>
    </row>
    <row r="45" spans="1:3" ht="13" x14ac:dyDescent="0.15">
      <c r="A45" s="10"/>
      <c r="B45" s="13"/>
      <c r="C45" s="13"/>
    </row>
    <row r="46" spans="1:3" ht="13" x14ac:dyDescent="0.15">
      <c r="A46" s="10"/>
      <c r="B46" s="13"/>
      <c r="C46" s="13"/>
    </row>
    <row r="47" spans="1:3" ht="13" x14ac:dyDescent="0.15">
      <c r="A47" s="10"/>
      <c r="B47" s="13"/>
      <c r="C47" s="13"/>
    </row>
    <row r="48" spans="1:3" ht="13" x14ac:dyDescent="0.15">
      <c r="A48" s="10"/>
      <c r="B48" s="13"/>
      <c r="C48" s="13"/>
    </row>
    <row r="49" spans="1:3" ht="13" x14ac:dyDescent="0.15">
      <c r="A49" s="10"/>
      <c r="B49" s="13"/>
      <c r="C49" s="13"/>
    </row>
    <row r="50" spans="1:3" ht="13" x14ac:dyDescent="0.15">
      <c r="A50" s="10"/>
      <c r="B50" s="13"/>
      <c r="C50" s="13"/>
    </row>
    <row r="51" spans="1:3" ht="13" x14ac:dyDescent="0.15">
      <c r="A51" s="10"/>
      <c r="B51" s="13"/>
      <c r="C51" s="13"/>
    </row>
    <row r="52" spans="1:3" ht="13" x14ac:dyDescent="0.15">
      <c r="A52" s="10"/>
      <c r="B52" s="13"/>
      <c r="C52" s="13"/>
    </row>
    <row r="53" spans="1:3" ht="13" x14ac:dyDescent="0.15">
      <c r="A53" s="10"/>
      <c r="B53" s="13"/>
      <c r="C53" s="13"/>
    </row>
    <row r="54" spans="1:3" ht="13" x14ac:dyDescent="0.15">
      <c r="A54" s="10"/>
      <c r="B54" s="13"/>
      <c r="C54" s="13"/>
    </row>
    <row r="55" spans="1:3" ht="13" x14ac:dyDescent="0.15">
      <c r="A55" s="10"/>
      <c r="B55" s="13"/>
      <c r="C55" s="13"/>
    </row>
    <row r="56" spans="1:3" ht="13" x14ac:dyDescent="0.15">
      <c r="A56" s="10"/>
      <c r="B56" s="13"/>
      <c r="C56" s="13"/>
    </row>
    <row r="57" spans="1:3" ht="13" x14ac:dyDescent="0.15">
      <c r="A57" s="10"/>
      <c r="B57" s="13"/>
      <c r="C57" s="13"/>
    </row>
    <row r="58" spans="1:3" ht="13" x14ac:dyDescent="0.15">
      <c r="A58" s="10"/>
      <c r="B58" s="13"/>
      <c r="C58" s="13"/>
    </row>
    <row r="59" spans="1:3" ht="13" x14ac:dyDescent="0.15">
      <c r="A59" s="10"/>
      <c r="B59" s="13"/>
      <c r="C59" s="13"/>
    </row>
    <row r="60" spans="1:3" ht="13" x14ac:dyDescent="0.15">
      <c r="A60" s="10"/>
      <c r="B60" s="13"/>
      <c r="C60" s="13"/>
    </row>
    <row r="61" spans="1:3" ht="13" x14ac:dyDescent="0.15">
      <c r="A61" s="10"/>
      <c r="B61" s="13"/>
      <c r="C61" s="13"/>
    </row>
    <row r="62" spans="1:3" ht="13" x14ac:dyDescent="0.15">
      <c r="A62" s="10"/>
      <c r="B62" s="13"/>
      <c r="C62" s="13"/>
    </row>
    <row r="63" spans="1:3" ht="13" x14ac:dyDescent="0.15">
      <c r="A63" s="10"/>
      <c r="B63" s="13"/>
      <c r="C63" s="13"/>
    </row>
    <row r="64" spans="1:3" ht="13" x14ac:dyDescent="0.15">
      <c r="A64" s="10"/>
      <c r="B64" s="13"/>
      <c r="C64" s="13"/>
    </row>
    <row r="65" spans="1:3" ht="13" x14ac:dyDescent="0.15">
      <c r="A65" s="10"/>
      <c r="B65" s="13"/>
      <c r="C65" s="13"/>
    </row>
    <row r="66" spans="1:3" ht="13" x14ac:dyDescent="0.15">
      <c r="A66" s="10"/>
      <c r="B66" s="13"/>
      <c r="C66" s="13"/>
    </row>
    <row r="67" spans="1:3" ht="13" x14ac:dyDescent="0.15">
      <c r="A67" s="10"/>
      <c r="B67" s="13"/>
      <c r="C67" s="13"/>
    </row>
    <row r="68" spans="1:3" ht="13" x14ac:dyDescent="0.15">
      <c r="A68" s="10"/>
      <c r="B68" s="13"/>
      <c r="C68" s="13"/>
    </row>
    <row r="69" spans="1:3" ht="13" x14ac:dyDescent="0.15">
      <c r="A69" s="10"/>
      <c r="B69" s="13"/>
      <c r="C69" s="13"/>
    </row>
    <row r="70" spans="1:3" ht="13" x14ac:dyDescent="0.15">
      <c r="A70" s="10"/>
      <c r="B70" s="13"/>
      <c r="C70" s="13"/>
    </row>
    <row r="71" spans="1:3" ht="13" x14ac:dyDescent="0.15">
      <c r="A71" s="10"/>
      <c r="B71" s="13"/>
      <c r="C71" s="13"/>
    </row>
    <row r="72" spans="1:3" ht="13" x14ac:dyDescent="0.15">
      <c r="A72" s="10"/>
      <c r="B72" s="13"/>
      <c r="C72" s="13"/>
    </row>
    <row r="73" spans="1:3" ht="13" x14ac:dyDescent="0.15">
      <c r="A73" s="10"/>
      <c r="B73" s="13"/>
      <c r="C73" s="13"/>
    </row>
    <row r="74" spans="1:3" ht="13" x14ac:dyDescent="0.15">
      <c r="A74" s="10"/>
      <c r="B74" s="13"/>
      <c r="C74" s="13"/>
    </row>
    <row r="75" spans="1:3" ht="13" x14ac:dyDescent="0.15">
      <c r="A75" s="10"/>
      <c r="B75" s="13"/>
      <c r="C75" s="13"/>
    </row>
    <row r="76" spans="1:3" ht="13" x14ac:dyDescent="0.15">
      <c r="A76" s="10"/>
      <c r="B76" s="13"/>
      <c r="C76" s="13"/>
    </row>
    <row r="77" spans="1:3" ht="13" x14ac:dyDescent="0.15">
      <c r="A77" s="10"/>
      <c r="B77" s="13"/>
      <c r="C77" s="13"/>
    </row>
    <row r="78" spans="1:3" ht="13" x14ac:dyDescent="0.15">
      <c r="A78" s="10"/>
      <c r="B78" s="13"/>
      <c r="C78" s="13"/>
    </row>
    <row r="79" spans="1:3" ht="13" x14ac:dyDescent="0.15">
      <c r="A79" s="10"/>
      <c r="B79" s="13"/>
      <c r="C79" s="13"/>
    </row>
    <row r="80" spans="1:3" ht="13" x14ac:dyDescent="0.15">
      <c r="A80" s="10"/>
      <c r="B80" s="13"/>
      <c r="C80" s="13"/>
    </row>
    <row r="81" spans="1:3" ht="13" x14ac:dyDescent="0.15">
      <c r="A81" s="10"/>
      <c r="B81" s="13"/>
      <c r="C81" s="13"/>
    </row>
    <row r="82" spans="1:3" ht="13" x14ac:dyDescent="0.15">
      <c r="A82" s="10"/>
      <c r="B82" s="13"/>
      <c r="C82" s="13"/>
    </row>
    <row r="83" spans="1:3" ht="13" x14ac:dyDescent="0.15">
      <c r="A83" s="10"/>
      <c r="B83" s="13"/>
      <c r="C83" s="13"/>
    </row>
    <row r="84" spans="1:3" ht="13" x14ac:dyDescent="0.15">
      <c r="A84" s="10"/>
      <c r="B84" s="13"/>
      <c r="C84" s="13"/>
    </row>
    <row r="85" spans="1:3" ht="13" x14ac:dyDescent="0.15">
      <c r="A85" s="10"/>
      <c r="B85" s="13"/>
      <c r="C85" s="13"/>
    </row>
    <row r="86" spans="1:3" ht="13" x14ac:dyDescent="0.15">
      <c r="A86" s="10"/>
      <c r="B86" s="13"/>
      <c r="C86" s="13"/>
    </row>
    <row r="87" spans="1:3" ht="13" x14ac:dyDescent="0.15">
      <c r="A87" s="10"/>
      <c r="B87" s="13"/>
      <c r="C87" s="13"/>
    </row>
    <row r="88" spans="1:3" ht="13" x14ac:dyDescent="0.15">
      <c r="A88" s="10"/>
      <c r="B88" s="13"/>
      <c r="C88" s="13"/>
    </row>
    <row r="89" spans="1:3" ht="13" x14ac:dyDescent="0.15">
      <c r="A89" s="10"/>
      <c r="B89" s="13"/>
      <c r="C89" s="13"/>
    </row>
    <row r="90" spans="1:3" ht="13" x14ac:dyDescent="0.15">
      <c r="A90" s="10"/>
      <c r="B90" s="13"/>
      <c r="C90" s="13"/>
    </row>
    <row r="91" spans="1:3" ht="13" x14ac:dyDescent="0.15">
      <c r="A91" s="10"/>
      <c r="B91" s="13"/>
      <c r="C91" s="13"/>
    </row>
    <row r="92" spans="1:3" ht="13" x14ac:dyDescent="0.15">
      <c r="A92" s="10"/>
      <c r="B92" s="13"/>
      <c r="C92" s="13"/>
    </row>
    <row r="93" spans="1:3" ht="13" x14ac:dyDescent="0.15">
      <c r="A93" s="10"/>
      <c r="B93" s="13"/>
      <c r="C93" s="13"/>
    </row>
    <row r="94" spans="1:3" ht="13" x14ac:dyDescent="0.15">
      <c r="A94" s="10"/>
      <c r="B94" s="13"/>
      <c r="C94" s="13"/>
    </row>
    <row r="95" spans="1:3" ht="13" x14ac:dyDescent="0.15">
      <c r="A95" s="10"/>
      <c r="B95" s="13"/>
      <c r="C95" s="13"/>
    </row>
    <row r="96" spans="1:3" ht="13" x14ac:dyDescent="0.15">
      <c r="A96" s="10"/>
      <c r="B96" s="13"/>
      <c r="C96" s="13"/>
    </row>
    <row r="97" spans="1:3" ht="13" x14ac:dyDescent="0.15">
      <c r="A97" s="10"/>
      <c r="B97" s="13"/>
      <c r="C97" s="13"/>
    </row>
    <row r="98" spans="1:3" ht="13" x14ac:dyDescent="0.15">
      <c r="A98" s="10"/>
      <c r="B98" s="13"/>
      <c r="C98" s="13"/>
    </row>
    <row r="99" spans="1:3" ht="13" x14ac:dyDescent="0.15">
      <c r="A99" s="10"/>
      <c r="B99" s="13"/>
      <c r="C99" s="13"/>
    </row>
    <row r="100" spans="1:3" ht="13" x14ac:dyDescent="0.15">
      <c r="A100" s="10"/>
      <c r="B100" s="13"/>
      <c r="C100" s="13"/>
    </row>
    <row r="101" spans="1:3" ht="13" x14ac:dyDescent="0.15">
      <c r="A101" s="10"/>
      <c r="B101" s="13"/>
      <c r="C101" s="13"/>
    </row>
    <row r="102" spans="1:3" ht="13" x14ac:dyDescent="0.15">
      <c r="A102" s="10"/>
      <c r="B102" s="13"/>
      <c r="C102" s="13"/>
    </row>
    <row r="103" spans="1:3" ht="13" x14ac:dyDescent="0.15">
      <c r="A103" s="10"/>
      <c r="B103" s="13"/>
      <c r="C103" s="13"/>
    </row>
    <row r="104" spans="1:3" ht="13" x14ac:dyDescent="0.15">
      <c r="A104" s="10"/>
      <c r="B104" s="13"/>
      <c r="C104" s="13"/>
    </row>
    <row r="105" spans="1:3" ht="13" x14ac:dyDescent="0.15">
      <c r="A105" s="10"/>
      <c r="B105" s="13"/>
      <c r="C105" s="13"/>
    </row>
    <row r="106" spans="1:3" ht="13" x14ac:dyDescent="0.15">
      <c r="A106" s="10"/>
      <c r="B106" s="13"/>
      <c r="C106" s="13"/>
    </row>
    <row r="107" spans="1:3" ht="13" x14ac:dyDescent="0.15">
      <c r="A107" s="10"/>
      <c r="B107" s="13"/>
      <c r="C107" s="13"/>
    </row>
    <row r="108" spans="1:3" ht="13" x14ac:dyDescent="0.15">
      <c r="A108" s="10"/>
      <c r="B108" s="13"/>
      <c r="C108" s="13"/>
    </row>
    <row r="109" spans="1:3" ht="13" x14ac:dyDescent="0.15">
      <c r="A109" s="10"/>
      <c r="B109" s="13"/>
      <c r="C109" s="13"/>
    </row>
    <row r="110" spans="1:3" ht="13" x14ac:dyDescent="0.15">
      <c r="A110" s="10"/>
      <c r="B110" s="13"/>
      <c r="C110" s="13"/>
    </row>
    <row r="111" spans="1:3" ht="13" x14ac:dyDescent="0.15">
      <c r="A111" s="10"/>
      <c r="B111" s="13"/>
      <c r="C111" s="13"/>
    </row>
    <row r="112" spans="1:3" ht="13" x14ac:dyDescent="0.15">
      <c r="A112" s="10"/>
      <c r="B112" s="13"/>
      <c r="C112" s="13"/>
    </row>
    <row r="113" spans="1:3" ht="13" x14ac:dyDescent="0.15">
      <c r="A113" s="10"/>
      <c r="B113" s="13"/>
      <c r="C113" s="13"/>
    </row>
    <row r="114" spans="1:3" ht="13" x14ac:dyDescent="0.15">
      <c r="A114" s="10"/>
      <c r="B114" s="13"/>
      <c r="C114" s="13"/>
    </row>
    <row r="115" spans="1:3" ht="13" x14ac:dyDescent="0.15">
      <c r="A115" s="10"/>
      <c r="B115" s="13"/>
      <c r="C115" s="13"/>
    </row>
    <row r="116" spans="1:3" ht="13" x14ac:dyDescent="0.15">
      <c r="A116" s="10"/>
      <c r="B116" s="13"/>
      <c r="C116" s="13"/>
    </row>
    <row r="117" spans="1:3" ht="13" x14ac:dyDescent="0.15">
      <c r="A117" s="10"/>
      <c r="B117" s="13"/>
      <c r="C117" s="13"/>
    </row>
    <row r="118" spans="1:3" ht="13" x14ac:dyDescent="0.15">
      <c r="A118" s="10"/>
      <c r="B118" s="13"/>
      <c r="C118" s="13"/>
    </row>
    <row r="119" spans="1:3" ht="13" x14ac:dyDescent="0.15">
      <c r="A119" s="10"/>
      <c r="B119" s="13"/>
      <c r="C119" s="13"/>
    </row>
    <row r="120" spans="1:3" ht="13" x14ac:dyDescent="0.15">
      <c r="A120" s="10"/>
      <c r="B120" s="13"/>
      <c r="C120" s="13"/>
    </row>
    <row r="121" spans="1:3" ht="13" x14ac:dyDescent="0.15">
      <c r="A121" s="10"/>
      <c r="B121" s="13"/>
      <c r="C121" s="13"/>
    </row>
    <row r="122" spans="1:3" ht="13" x14ac:dyDescent="0.15">
      <c r="A122" s="10"/>
      <c r="B122" s="13"/>
      <c r="C122" s="13"/>
    </row>
    <row r="123" spans="1:3" ht="13" x14ac:dyDescent="0.15">
      <c r="A123" s="10"/>
      <c r="B123" s="13"/>
      <c r="C123" s="13"/>
    </row>
    <row r="124" spans="1:3" ht="13" x14ac:dyDescent="0.15">
      <c r="A124" s="10"/>
      <c r="B124" s="13"/>
      <c r="C124" s="13"/>
    </row>
    <row r="125" spans="1:3" ht="13" x14ac:dyDescent="0.15">
      <c r="A125" s="10"/>
      <c r="B125" s="13"/>
      <c r="C125" s="13"/>
    </row>
    <row r="126" spans="1:3" ht="13" x14ac:dyDescent="0.15">
      <c r="A126" s="10"/>
      <c r="B126" s="13"/>
      <c r="C126" s="13"/>
    </row>
    <row r="127" spans="1:3" ht="13" x14ac:dyDescent="0.15">
      <c r="A127" s="10"/>
      <c r="B127" s="13"/>
      <c r="C127" s="13"/>
    </row>
    <row r="128" spans="1:3" ht="13" x14ac:dyDescent="0.15">
      <c r="A128" s="10"/>
      <c r="B128" s="13"/>
      <c r="C128" s="13"/>
    </row>
    <row r="129" spans="1:3" ht="13" x14ac:dyDescent="0.15">
      <c r="A129" s="10"/>
      <c r="B129" s="13"/>
      <c r="C129" s="13"/>
    </row>
    <row r="130" spans="1:3" ht="13" x14ac:dyDescent="0.15">
      <c r="A130" s="10"/>
      <c r="B130" s="13"/>
      <c r="C130" s="13"/>
    </row>
    <row r="131" spans="1:3" ht="13" x14ac:dyDescent="0.15">
      <c r="A131" s="10"/>
      <c r="B131" s="13"/>
      <c r="C131" s="13"/>
    </row>
    <row r="132" spans="1:3" ht="13" x14ac:dyDescent="0.15">
      <c r="A132" s="10"/>
      <c r="B132" s="13"/>
      <c r="C132" s="13"/>
    </row>
    <row r="133" spans="1:3" ht="13" x14ac:dyDescent="0.15">
      <c r="A133" s="10"/>
      <c r="B133" s="13"/>
      <c r="C133" s="13"/>
    </row>
    <row r="134" spans="1:3" ht="13" x14ac:dyDescent="0.15">
      <c r="A134" s="10"/>
      <c r="B134" s="13"/>
      <c r="C134" s="13"/>
    </row>
    <row r="135" spans="1:3" ht="13" x14ac:dyDescent="0.15">
      <c r="A135" s="10"/>
      <c r="B135" s="13"/>
      <c r="C135" s="13"/>
    </row>
    <row r="136" spans="1:3" ht="13" x14ac:dyDescent="0.15">
      <c r="A136" s="10"/>
      <c r="B136" s="13"/>
      <c r="C136" s="13"/>
    </row>
    <row r="137" spans="1:3" ht="13" x14ac:dyDescent="0.15">
      <c r="A137" s="10"/>
      <c r="B137" s="13"/>
      <c r="C137" s="13"/>
    </row>
    <row r="138" spans="1:3" ht="13" x14ac:dyDescent="0.15">
      <c r="A138" s="10"/>
      <c r="B138" s="13"/>
      <c r="C138" s="13"/>
    </row>
    <row r="139" spans="1:3" ht="13" x14ac:dyDescent="0.15">
      <c r="A139" s="10"/>
      <c r="B139" s="13"/>
      <c r="C139" s="13"/>
    </row>
    <row r="140" spans="1:3" ht="13" x14ac:dyDescent="0.15">
      <c r="A140" s="10"/>
      <c r="B140" s="13"/>
      <c r="C140" s="13"/>
    </row>
    <row r="141" spans="1:3" ht="13" x14ac:dyDescent="0.15">
      <c r="A141" s="10"/>
      <c r="B141" s="13"/>
      <c r="C141" s="13"/>
    </row>
    <row r="142" spans="1:3" ht="13" x14ac:dyDescent="0.15">
      <c r="A142" s="10"/>
      <c r="B142" s="13"/>
      <c r="C142" s="13"/>
    </row>
    <row r="143" spans="1:3" ht="13" x14ac:dyDescent="0.15">
      <c r="A143" s="10"/>
      <c r="B143" s="13"/>
      <c r="C143" s="13"/>
    </row>
    <row r="144" spans="1:3" ht="13" x14ac:dyDescent="0.15">
      <c r="A144" s="10"/>
      <c r="B144" s="13"/>
      <c r="C144" s="13"/>
    </row>
    <row r="145" spans="1:3" ht="13" x14ac:dyDescent="0.15">
      <c r="A145" s="10"/>
      <c r="B145" s="13"/>
      <c r="C145" s="13"/>
    </row>
    <row r="146" spans="1:3" ht="13" x14ac:dyDescent="0.15">
      <c r="A146" s="10"/>
      <c r="B146" s="13"/>
      <c r="C146" s="13"/>
    </row>
    <row r="147" spans="1:3" ht="13" x14ac:dyDescent="0.15">
      <c r="A147" s="10"/>
      <c r="B147" s="13"/>
      <c r="C147" s="13"/>
    </row>
    <row r="148" spans="1:3" ht="13" x14ac:dyDescent="0.15">
      <c r="A148" s="10"/>
      <c r="B148" s="13"/>
      <c r="C148" s="13"/>
    </row>
    <row r="149" spans="1:3" ht="13" x14ac:dyDescent="0.15">
      <c r="A149" s="10"/>
      <c r="B149" s="13"/>
      <c r="C149" s="13"/>
    </row>
    <row r="150" spans="1:3" ht="13" x14ac:dyDescent="0.15">
      <c r="A150" s="10"/>
      <c r="B150" s="13"/>
      <c r="C150" s="13"/>
    </row>
    <row r="151" spans="1:3" ht="13" x14ac:dyDescent="0.15">
      <c r="A151" s="10"/>
      <c r="B151" s="13"/>
      <c r="C151" s="13"/>
    </row>
    <row r="152" spans="1:3" ht="13" x14ac:dyDescent="0.15">
      <c r="A152" s="10"/>
      <c r="B152" s="13"/>
      <c r="C152" s="13"/>
    </row>
    <row r="153" spans="1:3" ht="13" x14ac:dyDescent="0.15">
      <c r="A153" s="10"/>
      <c r="B153" s="13"/>
      <c r="C153" s="13"/>
    </row>
    <row r="154" spans="1:3" ht="13" x14ac:dyDescent="0.15">
      <c r="A154" s="10"/>
      <c r="B154" s="13"/>
      <c r="C154" s="13"/>
    </row>
    <row r="155" spans="1:3" ht="13" x14ac:dyDescent="0.15">
      <c r="A155" s="10"/>
      <c r="B155" s="13"/>
      <c r="C155" s="13"/>
    </row>
    <row r="156" spans="1:3" ht="13" x14ac:dyDescent="0.15">
      <c r="A156" s="10"/>
      <c r="B156" s="13"/>
      <c r="C156" s="13"/>
    </row>
    <row r="157" spans="1:3" ht="13" x14ac:dyDescent="0.15">
      <c r="A157" s="10"/>
      <c r="B157" s="13"/>
      <c r="C157" s="13"/>
    </row>
    <row r="158" spans="1:3" ht="13" x14ac:dyDescent="0.15">
      <c r="A158" s="10"/>
      <c r="B158" s="13"/>
      <c r="C158" s="13"/>
    </row>
    <row r="159" spans="1:3" ht="13" x14ac:dyDescent="0.15">
      <c r="A159" s="10"/>
      <c r="B159" s="13"/>
      <c r="C159" s="13"/>
    </row>
    <row r="160" spans="1:3" ht="13" x14ac:dyDescent="0.15">
      <c r="A160" s="10"/>
      <c r="B160" s="13"/>
      <c r="C160" s="13"/>
    </row>
    <row r="161" spans="1:3" ht="13" x14ac:dyDescent="0.15">
      <c r="A161" s="10"/>
      <c r="B161" s="13"/>
      <c r="C161" s="13"/>
    </row>
    <row r="162" spans="1:3" ht="13" x14ac:dyDescent="0.15">
      <c r="A162" s="10"/>
      <c r="B162" s="13"/>
      <c r="C162" s="13"/>
    </row>
    <row r="163" spans="1:3" ht="13" x14ac:dyDescent="0.15">
      <c r="A163" s="10"/>
      <c r="B163" s="13"/>
      <c r="C163" s="13"/>
    </row>
    <row r="164" spans="1:3" ht="13" x14ac:dyDescent="0.15">
      <c r="A164" s="10"/>
      <c r="B164" s="13"/>
      <c r="C164" s="13"/>
    </row>
    <row r="165" spans="1:3" ht="13" x14ac:dyDescent="0.15">
      <c r="A165" s="10"/>
      <c r="B165" s="13"/>
      <c r="C165" s="13"/>
    </row>
    <row r="166" spans="1:3" ht="13" x14ac:dyDescent="0.15">
      <c r="A166" s="10"/>
      <c r="B166" s="13"/>
      <c r="C166" s="13"/>
    </row>
    <row r="167" spans="1:3" ht="13" x14ac:dyDescent="0.15">
      <c r="A167" s="10"/>
      <c r="B167" s="13"/>
      <c r="C167" s="13"/>
    </row>
    <row r="168" spans="1:3" ht="13" x14ac:dyDescent="0.15">
      <c r="A168" s="10"/>
      <c r="B168" s="13"/>
      <c r="C168" s="13"/>
    </row>
    <row r="169" spans="1:3" ht="13" x14ac:dyDescent="0.15">
      <c r="A169" s="10"/>
      <c r="B169" s="13"/>
      <c r="C169" s="13"/>
    </row>
    <row r="170" spans="1:3" ht="13" x14ac:dyDescent="0.15">
      <c r="A170" s="10"/>
      <c r="B170" s="13"/>
      <c r="C170" s="13"/>
    </row>
    <row r="171" spans="1:3" ht="13" x14ac:dyDescent="0.15">
      <c r="A171" s="10"/>
      <c r="B171" s="13"/>
      <c r="C171" s="13"/>
    </row>
    <row r="172" spans="1:3" ht="13" x14ac:dyDescent="0.15">
      <c r="A172" s="10"/>
      <c r="B172" s="13"/>
      <c r="C172" s="13"/>
    </row>
    <row r="173" spans="1:3" ht="13" x14ac:dyDescent="0.15">
      <c r="A173" s="10"/>
      <c r="B173" s="13"/>
      <c r="C173" s="13"/>
    </row>
    <row r="174" spans="1:3" ht="13" x14ac:dyDescent="0.15">
      <c r="A174" s="10"/>
      <c r="B174" s="13"/>
      <c r="C174" s="13"/>
    </row>
    <row r="175" spans="1:3" ht="13" x14ac:dyDescent="0.15">
      <c r="A175" s="10"/>
      <c r="B175" s="13"/>
      <c r="C175" s="13"/>
    </row>
    <row r="176" spans="1:3" ht="13" x14ac:dyDescent="0.15">
      <c r="A176" s="10"/>
      <c r="B176" s="13"/>
      <c r="C176" s="13"/>
    </row>
    <row r="177" spans="1:3" ht="13" x14ac:dyDescent="0.15">
      <c r="A177" s="10"/>
      <c r="B177" s="13"/>
      <c r="C177" s="13"/>
    </row>
    <row r="178" spans="1:3" ht="13" x14ac:dyDescent="0.15">
      <c r="A178" s="10"/>
      <c r="B178" s="13"/>
      <c r="C178" s="13"/>
    </row>
    <row r="179" spans="1:3" ht="13" x14ac:dyDescent="0.15">
      <c r="A179" s="10"/>
      <c r="B179" s="13"/>
      <c r="C179" s="13"/>
    </row>
    <row r="180" spans="1:3" ht="13" x14ac:dyDescent="0.15">
      <c r="A180" s="10"/>
      <c r="B180" s="13"/>
      <c r="C180" s="13"/>
    </row>
    <row r="181" spans="1:3" ht="13" x14ac:dyDescent="0.15">
      <c r="A181" s="10"/>
      <c r="B181" s="13"/>
      <c r="C181" s="13"/>
    </row>
    <row r="182" spans="1:3" ht="13" x14ac:dyDescent="0.15">
      <c r="A182" s="10"/>
      <c r="B182" s="13"/>
      <c r="C182" s="13"/>
    </row>
    <row r="183" spans="1:3" ht="13" x14ac:dyDescent="0.15">
      <c r="A183" s="10"/>
      <c r="B183" s="13"/>
      <c r="C183" s="13"/>
    </row>
    <row r="184" spans="1:3" ht="13" x14ac:dyDescent="0.15">
      <c r="A184" s="10"/>
      <c r="B184" s="13"/>
      <c r="C184" s="13"/>
    </row>
    <row r="185" spans="1:3" ht="13" x14ac:dyDescent="0.15">
      <c r="A185" s="10"/>
      <c r="B185" s="13"/>
      <c r="C185" s="13"/>
    </row>
    <row r="186" spans="1:3" ht="13" x14ac:dyDescent="0.15">
      <c r="A186" s="10"/>
      <c r="B186" s="13"/>
      <c r="C186" s="13"/>
    </row>
    <row r="187" spans="1:3" ht="13" x14ac:dyDescent="0.15">
      <c r="A187" s="10"/>
      <c r="B187" s="13"/>
      <c r="C187" s="13"/>
    </row>
    <row r="188" spans="1:3" ht="13" x14ac:dyDescent="0.15">
      <c r="A188" s="10"/>
      <c r="B188" s="13"/>
      <c r="C188" s="13"/>
    </row>
    <row r="189" spans="1:3" ht="13" x14ac:dyDescent="0.15">
      <c r="A189" s="10"/>
      <c r="B189" s="13"/>
      <c r="C189" s="13"/>
    </row>
    <row r="190" spans="1:3" ht="13" x14ac:dyDescent="0.15">
      <c r="A190" s="10"/>
      <c r="B190" s="13"/>
      <c r="C190" s="13"/>
    </row>
    <row r="191" spans="1:3" ht="13" x14ac:dyDescent="0.15">
      <c r="A191" s="10"/>
      <c r="B191" s="13"/>
      <c r="C191" s="13"/>
    </row>
    <row r="192" spans="1:3" ht="13" x14ac:dyDescent="0.15">
      <c r="A192" s="10"/>
      <c r="B192" s="13"/>
      <c r="C192" s="13"/>
    </row>
    <row r="193" spans="1:3" ht="13" x14ac:dyDescent="0.15">
      <c r="A193" s="10"/>
      <c r="B193" s="13"/>
      <c r="C193" s="13"/>
    </row>
    <row r="194" spans="1:3" ht="13" x14ac:dyDescent="0.15">
      <c r="A194" s="10"/>
      <c r="B194" s="13"/>
      <c r="C194" s="13"/>
    </row>
    <row r="195" spans="1:3" ht="13" x14ac:dyDescent="0.15">
      <c r="A195" s="10"/>
      <c r="B195" s="13"/>
      <c r="C195" s="13"/>
    </row>
    <row r="196" spans="1:3" ht="13" x14ac:dyDescent="0.15">
      <c r="A196" s="10"/>
      <c r="B196" s="13"/>
      <c r="C196" s="13"/>
    </row>
    <row r="197" spans="1:3" ht="13" x14ac:dyDescent="0.15">
      <c r="A197" s="10"/>
      <c r="B197" s="13"/>
      <c r="C197" s="13"/>
    </row>
    <row r="198" spans="1:3" ht="13" x14ac:dyDescent="0.15">
      <c r="A198" s="10"/>
      <c r="B198" s="13"/>
      <c r="C198" s="13"/>
    </row>
    <row r="199" spans="1:3" ht="13" x14ac:dyDescent="0.15">
      <c r="A199" s="10"/>
      <c r="B199" s="13"/>
      <c r="C199" s="13"/>
    </row>
    <row r="200" spans="1:3" ht="13" x14ac:dyDescent="0.15">
      <c r="A200" s="10"/>
      <c r="B200" s="13"/>
      <c r="C200" s="13"/>
    </row>
    <row r="201" spans="1:3" ht="13" x14ac:dyDescent="0.15">
      <c r="A201" s="10"/>
      <c r="B201" s="13"/>
      <c r="C201" s="13"/>
    </row>
    <row r="202" spans="1:3" ht="13" x14ac:dyDescent="0.15">
      <c r="A202" s="10"/>
      <c r="B202" s="13"/>
      <c r="C202" s="13"/>
    </row>
    <row r="203" spans="1:3" ht="13" x14ac:dyDescent="0.15">
      <c r="A203" s="10"/>
      <c r="B203" s="13"/>
      <c r="C203" s="13"/>
    </row>
    <row r="204" spans="1:3" ht="13" x14ac:dyDescent="0.15">
      <c r="A204" s="10"/>
      <c r="B204" s="13"/>
      <c r="C204" s="13"/>
    </row>
    <row r="205" spans="1:3" ht="13" x14ac:dyDescent="0.15">
      <c r="A205" s="10"/>
      <c r="B205" s="13"/>
      <c r="C205" s="13"/>
    </row>
    <row r="206" spans="1:3" ht="13" x14ac:dyDescent="0.15">
      <c r="A206" s="10"/>
      <c r="B206" s="13"/>
      <c r="C206" s="13"/>
    </row>
    <row r="207" spans="1:3" ht="13" x14ac:dyDescent="0.15">
      <c r="A207" s="10"/>
      <c r="B207" s="13"/>
      <c r="C207" s="13"/>
    </row>
    <row r="208" spans="1:3" ht="13" x14ac:dyDescent="0.15">
      <c r="A208" s="10"/>
      <c r="B208" s="13"/>
      <c r="C208" s="13"/>
    </row>
    <row r="209" spans="1:3" ht="13" x14ac:dyDescent="0.15">
      <c r="A209" s="10"/>
      <c r="B209" s="13"/>
      <c r="C209" s="13"/>
    </row>
    <row r="210" spans="1:3" ht="13" x14ac:dyDescent="0.15">
      <c r="A210" s="10"/>
      <c r="B210" s="13"/>
      <c r="C210" s="13"/>
    </row>
    <row r="211" spans="1:3" ht="13" x14ac:dyDescent="0.15">
      <c r="A211" s="10"/>
      <c r="B211" s="13"/>
      <c r="C211" s="13"/>
    </row>
    <row r="212" spans="1:3" ht="13" x14ac:dyDescent="0.15">
      <c r="A212" s="10"/>
      <c r="B212" s="13"/>
      <c r="C212" s="13"/>
    </row>
    <row r="213" spans="1:3" ht="13" x14ac:dyDescent="0.15">
      <c r="A213" s="10"/>
      <c r="B213" s="13"/>
      <c r="C213" s="13"/>
    </row>
    <row r="214" spans="1:3" ht="13" x14ac:dyDescent="0.15">
      <c r="A214" s="10"/>
      <c r="B214" s="13"/>
      <c r="C214" s="13"/>
    </row>
    <row r="215" spans="1:3" ht="13" x14ac:dyDescent="0.15">
      <c r="A215" s="10"/>
      <c r="B215" s="13"/>
      <c r="C215" s="13"/>
    </row>
    <row r="216" spans="1:3" ht="13" x14ac:dyDescent="0.15">
      <c r="A216" s="10"/>
      <c r="B216" s="13"/>
      <c r="C216" s="13"/>
    </row>
    <row r="217" spans="1:3" ht="13" x14ac:dyDescent="0.15">
      <c r="A217" s="10"/>
      <c r="B217" s="13"/>
      <c r="C217" s="13"/>
    </row>
    <row r="218" spans="1:3" ht="13" x14ac:dyDescent="0.15">
      <c r="A218" s="10"/>
      <c r="B218" s="13"/>
      <c r="C218" s="13"/>
    </row>
    <row r="219" spans="1:3" ht="13" x14ac:dyDescent="0.15">
      <c r="A219" s="10"/>
      <c r="B219" s="13"/>
      <c r="C219" s="13"/>
    </row>
    <row r="220" spans="1:3" ht="13" x14ac:dyDescent="0.15">
      <c r="A220" s="10"/>
      <c r="B220" s="13"/>
      <c r="C220" s="13"/>
    </row>
    <row r="221" spans="1:3" ht="13" x14ac:dyDescent="0.15">
      <c r="A221" s="10"/>
      <c r="B221" s="13"/>
      <c r="C221" s="13"/>
    </row>
    <row r="222" spans="1:3" ht="13" x14ac:dyDescent="0.15">
      <c r="A222" s="10"/>
      <c r="B222" s="13"/>
      <c r="C222" s="13"/>
    </row>
    <row r="223" spans="1:3" ht="13" x14ac:dyDescent="0.15">
      <c r="A223" s="10"/>
      <c r="B223" s="13"/>
      <c r="C223" s="13"/>
    </row>
    <row r="224" spans="1:3" ht="13" x14ac:dyDescent="0.15">
      <c r="A224" s="10"/>
      <c r="B224" s="13"/>
      <c r="C224" s="13"/>
    </row>
    <row r="225" spans="1:3" ht="13" x14ac:dyDescent="0.15">
      <c r="A225" s="10"/>
      <c r="B225" s="13"/>
      <c r="C225" s="13"/>
    </row>
    <row r="226" spans="1:3" ht="13" x14ac:dyDescent="0.15">
      <c r="A226" s="10"/>
      <c r="B226" s="13"/>
      <c r="C226" s="13"/>
    </row>
    <row r="227" spans="1:3" ht="13" x14ac:dyDescent="0.15">
      <c r="A227" s="10"/>
      <c r="B227" s="13"/>
      <c r="C227" s="13"/>
    </row>
    <row r="228" spans="1:3" ht="13" x14ac:dyDescent="0.15">
      <c r="A228" s="10"/>
      <c r="B228" s="13"/>
      <c r="C228" s="13"/>
    </row>
    <row r="229" spans="1:3" ht="13" x14ac:dyDescent="0.15">
      <c r="A229" s="10"/>
      <c r="B229" s="13"/>
      <c r="C229" s="13"/>
    </row>
    <row r="230" spans="1:3" ht="13" x14ac:dyDescent="0.15">
      <c r="A230" s="10"/>
      <c r="B230" s="13"/>
      <c r="C230" s="13"/>
    </row>
    <row r="231" spans="1:3" ht="13" x14ac:dyDescent="0.15">
      <c r="A231" s="10"/>
      <c r="B231" s="13"/>
      <c r="C231" s="13"/>
    </row>
    <row r="232" spans="1:3" ht="13" x14ac:dyDescent="0.15">
      <c r="A232" s="10"/>
      <c r="B232" s="13"/>
      <c r="C232" s="13"/>
    </row>
    <row r="233" spans="1:3" ht="13" x14ac:dyDescent="0.15">
      <c r="A233" s="10"/>
      <c r="B233" s="13"/>
      <c r="C233" s="13"/>
    </row>
    <row r="234" spans="1:3" ht="13" x14ac:dyDescent="0.15">
      <c r="A234" s="10"/>
      <c r="B234" s="13"/>
      <c r="C234" s="13"/>
    </row>
    <row r="235" spans="1:3" ht="13" x14ac:dyDescent="0.15">
      <c r="A235" s="10"/>
      <c r="B235" s="13"/>
      <c r="C235" s="13"/>
    </row>
    <row r="236" spans="1:3" ht="13" x14ac:dyDescent="0.15">
      <c r="A236" s="10"/>
      <c r="B236" s="13"/>
      <c r="C236" s="13"/>
    </row>
    <row r="237" spans="1:3" ht="13" x14ac:dyDescent="0.15">
      <c r="A237" s="10"/>
      <c r="B237" s="13"/>
      <c r="C237" s="13"/>
    </row>
    <row r="238" spans="1:3" ht="13" x14ac:dyDescent="0.15">
      <c r="A238" s="10"/>
      <c r="B238" s="13"/>
      <c r="C238" s="13"/>
    </row>
    <row r="239" spans="1:3" ht="13" x14ac:dyDescent="0.15">
      <c r="A239" s="10"/>
      <c r="B239" s="13"/>
      <c r="C239" s="13"/>
    </row>
    <row r="240" spans="1:3" ht="13" x14ac:dyDescent="0.15">
      <c r="A240" s="10"/>
      <c r="B240" s="13"/>
      <c r="C240" s="13"/>
    </row>
    <row r="241" spans="1:3" ht="13" x14ac:dyDescent="0.15">
      <c r="A241" s="10"/>
      <c r="B241" s="13"/>
      <c r="C241" s="13"/>
    </row>
    <row r="242" spans="1:3" ht="13" x14ac:dyDescent="0.15">
      <c r="A242" s="10"/>
      <c r="B242" s="13"/>
      <c r="C242" s="13"/>
    </row>
    <row r="243" spans="1:3" ht="13" x14ac:dyDescent="0.15">
      <c r="A243" s="10"/>
      <c r="B243" s="13"/>
      <c r="C243" s="13"/>
    </row>
    <row r="244" spans="1:3" ht="13" x14ac:dyDescent="0.15">
      <c r="A244" s="10"/>
      <c r="B244" s="13"/>
      <c r="C244" s="13"/>
    </row>
    <row r="245" spans="1:3" ht="13" x14ac:dyDescent="0.15">
      <c r="A245" s="10"/>
      <c r="B245" s="13"/>
      <c r="C245" s="13"/>
    </row>
    <row r="246" spans="1:3" ht="13" x14ac:dyDescent="0.15">
      <c r="A246" s="10"/>
      <c r="B246" s="13"/>
      <c r="C246" s="13"/>
    </row>
    <row r="247" spans="1:3" ht="13" x14ac:dyDescent="0.15">
      <c r="A247" s="10"/>
      <c r="B247" s="13"/>
      <c r="C247" s="13"/>
    </row>
    <row r="248" spans="1:3" ht="13" x14ac:dyDescent="0.15">
      <c r="A248" s="10"/>
      <c r="B248" s="13"/>
      <c r="C248" s="13"/>
    </row>
    <row r="249" spans="1:3" ht="13" x14ac:dyDescent="0.15">
      <c r="A249" s="10"/>
      <c r="B249" s="13"/>
      <c r="C249" s="13"/>
    </row>
    <row r="250" spans="1:3" ht="13" x14ac:dyDescent="0.15">
      <c r="A250" s="10"/>
      <c r="B250" s="13"/>
      <c r="C250" s="13"/>
    </row>
    <row r="251" spans="1:3" ht="13" x14ac:dyDescent="0.15">
      <c r="A251" s="10"/>
      <c r="B251" s="13"/>
      <c r="C251" s="13"/>
    </row>
    <row r="252" spans="1:3" ht="13" x14ac:dyDescent="0.15">
      <c r="A252" s="10"/>
      <c r="B252" s="13"/>
      <c r="C252" s="13"/>
    </row>
    <row r="253" spans="1:3" ht="13" x14ac:dyDescent="0.15">
      <c r="A253" s="10"/>
      <c r="B253" s="13"/>
      <c r="C253" s="13"/>
    </row>
    <row r="254" spans="1:3" ht="13" x14ac:dyDescent="0.15">
      <c r="A254" s="10"/>
      <c r="B254" s="13"/>
      <c r="C254" s="13"/>
    </row>
    <row r="255" spans="1:3" ht="13" x14ac:dyDescent="0.15">
      <c r="A255" s="10"/>
      <c r="B255" s="13"/>
      <c r="C255" s="13"/>
    </row>
    <row r="256" spans="1:3" ht="13" x14ac:dyDescent="0.15">
      <c r="A256" s="10"/>
      <c r="B256" s="13"/>
      <c r="C256" s="13"/>
    </row>
    <row r="257" spans="1:3" ht="13" x14ac:dyDescent="0.15">
      <c r="A257" s="10"/>
      <c r="B257" s="13"/>
      <c r="C257" s="13"/>
    </row>
    <row r="258" spans="1:3" ht="13" x14ac:dyDescent="0.15">
      <c r="A258" s="10"/>
      <c r="B258" s="13"/>
      <c r="C258" s="13"/>
    </row>
    <row r="259" spans="1:3" ht="13" x14ac:dyDescent="0.15">
      <c r="A259" s="10"/>
      <c r="B259" s="13"/>
      <c r="C259" s="13"/>
    </row>
    <row r="260" spans="1:3" ht="13" x14ac:dyDescent="0.15">
      <c r="A260" s="10"/>
      <c r="B260" s="13"/>
      <c r="C260" s="13"/>
    </row>
    <row r="261" spans="1:3" ht="13" x14ac:dyDescent="0.15">
      <c r="A261" s="10"/>
      <c r="B261" s="13"/>
      <c r="C261" s="13"/>
    </row>
    <row r="262" spans="1:3" ht="13" x14ac:dyDescent="0.15">
      <c r="A262" s="10"/>
      <c r="B262" s="13"/>
      <c r="C262" s="13"/>
    </row>
    <row r="263" spans="1:3" ht="13" x14ac:dyDescent="0.15">
      <c r="A263" s="10"/>
      <c r="B263" s="13"/>
      <c r="C263" s="13"/>
    </row>
    <row r="264" spans="1:3" ht="13" x14ac:dyDescent="0.15">
      <c r="A264" s="10"/>
      <c r="B264" s="13"/>
      <c r="C264" s="13"/>
    </row>
    <row r="265" spans="1:3" ht="13" x14ac:dyDescent="0.15">
      <c r="A265" s="10"/>
      <c r="B265" s="13"/>
      <c r="C265" s="13"/>
    </row>
    <row r="266" spans="1:3" ht="13" x14ac:dyDescent="0.15">
      <c r="A266" s="10"/>
      <c r="B266" s="13"/>
      <c r="C266" s="13"/>
    </row>
    <row r="267" spans="1:3" ht="13" x14ac:dyDescent="0.15">
      <c r="A267" s="10"/>
      <c r="B267" s="13"/>
      <c r="C267" s="13"/>
    </row>
    <row r="268" spans="1:3" ht="13" x14ac:dyDescent="0.15">
      <c r="A268" s="10"/>
      <c r="B268" s="13"/>
      <c r="C268" s="13"/>
    </row>
    <row r="269" spans="1:3" ht="13" x14ac:dyDescent="0.15">
      <c r="A269" s="10"/>
      <c r="B269" s="13"/>
      <c r="C269" s="13"/>
    </row>
    <row r="270" spans="1:3" ht="13" x14ac:dyDescent="0.15">
      <c r="A270" s="10"/>
      <c r="B270" s="13"/>
      <c r="C270" s="13"/>
    </row>
    <row r="271" spans="1:3" ht="13" x14ac:dyDescent="0.15">
      <c r="A271" s="10"/>
      <c r="B271" s="13"/>
      <c r="C271" s="13"/>
    </row>
    <row r="272" spans="1:3" ht="13" x14ac:dyDescent="0.15">
      <c r="A272" s="10"/>
      <c r="B272" s="13"/>
      <c r="C272" s="13"/>
    </row>
    <row r="273" spans="1:3" ht="13" x14ac:dyDescent="0.15">
      <c r="A273" s="10"/>
      <c r="B273" s="13"/>
      <c r="C273" s="13"/>
    </row>
    <row r="274" spans="1:3" ht="13" x14ac:dyDescent="0.15">
      <c r="A274" s="10"/>
      <c r="B274" s="13"/>
      <c r="C274" s="13"/>
    </row>
    <row r="275" spans="1:3" ht="13" x14ac:dyDescent="0.15">
      <c r="A275" s="10"/>
      <c r="B275" s="13"/>
      <c r="C275" s="13"/>
    </row>
    <row r="276" spans="1:3" ht="13" x14ac:dyDescent="0.15">
      <c r="A276" s="10"/>
      <c r="B276" s="13"/>
      <c r="C276" s="13"/>
    </row>
    <row r="277" spans="1:3" ht="13" x14ac:dyDescent="0.15">
      <c r="A277" s="10"/>
      <c r="B277" s="13"/>
      <c r="C277" s="13"/>
    </row>
    <row r="278" spans="1:3" ht="13" x14ac:dyDescent="0.15">
      <c r="A278" s="10"/>
      <c r="B278" s="13"/>
      <c r="C278" s="13"/>
    </row>
    <row r="279" spans="1:3" ht="13" x14ac:dyDescent="0.15">
      <c r="A279" s="10"/>
      <c r="B279" s="13"/>
      <c r="C279" s="13"/>
    </row>
    <row r="280" spans="1:3" ht="13" x14ac:dyDescent="0.15">
      <c r="A280" s="10"/>
      <c r="B280" s="13"/>
      <c r="C280" s="13"/>
    </row>
    <row r="281" spans="1:3" ht="13" x14ac:dyDescent="0.15">
      <c r="A281" s="10"/>
      <c r="B281" s="13"/>
      <c r="C281" s="13"/>
    </row>
    <row r="282" spans="1:3" ht="13" x14ac:dyDescent="0.15">
      <c r="A282" s="10"/>
      <c r="B282" s="13"/>
      <c r="C282" s="13"/>
    </row>
    <row r="283" spans="1:3" ht="13" x14ac:dyDescent="0.15">
      <c r="A283" s="10"/>
      <c r="B283" s="13"/>
      <c r="C283" s="13"/>
    </row>
    <row r="284" spans="1:3" ht="13" x14ac:dyDescent="0.15">
      <c r="A284" s="10"/>
      <c r="B284" s="13"/>
      <c r="C284" s="13"/>
    </row>
    <row r="285" spans="1:3" ht="13" x14ac:dyDescent="0.15">
      <c r="A285" s="10"/>
      <c r="B285" s="13"/>
      <c r="C285" s="13"/>
    </row>
    <row r="286" spans="1:3" ht="13" x14ac:dyDescent="0.15">
      <c r="A286" s="10"/>
      <c r="B286" s="13"/>
      <c r="C286" s="13"/>
    </row>
    <row r="287" spans="1:3" ht="13" x14ac:dyDescent="0.15">
      <c r="A287" s="10"/>
      <c r="B287" s="13"/>
      <c r="C287" s="13"/>
    </row>
    <row r="288" spans="1:3" ht="13" x14ac:dyDescent="0.15">
      <c r="A288" s="10"/>
      <c r="B288" s="13"/>
      <c r="C288" s="13"/>
    </row>
    <row r="289" spans="1:3" ht="13" x14ac:dyDescent="0.15">
      <c r="A289" s="10"/>
      <c r="B289" s="13"/>
      <c r="C289" s="13"/>
    </row>
    <row r="290" spans="1:3" ht="13" x14ac:dyDescent="0.15">
      <c r="A290" s="10"/>
      <c r="B290" s="13"/>
      <c r="C290" s="13"/>
    </row>
    <row r="291" spans="1:3" ht="13" x14ac:dyDescent="0.15">
      <c r="A291" s="10"/>
      <c r="B291" s="13"/>
      <c r="C291" s="13"/>
    </row>
    <row r="292" spans="1:3" ht="13" x14ac:dyDescent="0.15">
      <c r="A292" s="10"/>
      <c r="B292" s="13"/>
      <c r="C292" s="13"/>
    </row>
    <row r="293" spans="1:3" ht="13" x14ac:dyDescent="0.15">
      <c r="A293" s="10"/>
      <c r="B293" s="13"/>
      <c r="C293" s="13"/>
    </row>
    <row r="294" spans="1:3" ht="13" x14ac:dyDescent="0.15">
      <c r="A294" s="10"/>
      <c r="B294" s="13"/>
      <c r="C294" s="13"/>
    </row>
    <row r="295" spans="1:3" ht="13" x14ac:dyDescent="0.15">
      <c r="A295" s="10"/>
      <c r="B295" s="13"/>
      <c r="C295" s="13"/>
    </row>
    <row r="296" spans="1:3" ht="13" x14ac:dyDescent="0.15">
      <c r="A296" s="10"/>
      <c r="B296" s="13"/>
      <c r="C296" s="13"/>
    </row>
    <row r="297" spans="1:3" ht="13" x14ac:dyDescent="0.15">
      <c r="A297" s="10"/>
      <c r="B297" s="13"/>
      <c r="C297" s="13"/>
    </row>
    <row r="298" spans="1:3" ht="13" x14ac:dyDescent="0.15">
      <c r="A298" s="10"/>
      <c r="B298" s="13"/>
      <c r="C298" s="13"/>
    </row>
    <row r="299" spans="1:3" ht="13" x14ac:dyDescent="0.15">
      <c r="A299" s="10"/>
      <c r="B299" s="13"/>
      <c r="C299" s="13"/>
    </row>
    <row r="300" spans="1:3" ht="13" x14ac:dyDescent="0.15">
      <c r="A300" s="10"/>
      <c r="B300" s="13"/>
      <c r="C300" s="13"/>
    </row>
    <row r="301" spans="1:3" ht="13" x14ac:dyDescent="0.15">
      <c r="A301" s="10"/>
      <c r="B301" s="13"/>
      <c r="C301" s="13"/>
    </row>
    <row r="302" spans="1:3" ht="13" x14ac:dyDescent="0.15">
      <c r="A302" s="10"/>
      <c r="B302" s="13"/>
      <c r="C302" s="13"/>
    </row>
    <row r="303" spans="1:3" ht="13" x14ac:dyDescent="0.15">
      <c r="A303" s="10"/>
      <c r="B303" s="13"/>
      <c r="C303" s="13"/>
    </row>
    <row r="304" spans="1:3" ht="13" x14ac:dyDescent="0.15">
      <c r="A304" s="10"/>
      <c r="B304" s="13"/>
      <c r="C304" s="13"/>
    </row>
    <row r="305" spans="1:3" ht="13" x14ac:dyDescent="0.15">
      <c r="A305" s="10"/>
      <c r="B305" s="13"/>
      <c r="C305" s="13"/>
    </row>
    <row r="306" spans="1:3" ht="13" x14ac:dyDescent="0.15">
      <c r="A306" s="10"/>
      <c r="B306" s="13"/>
      <c r="C306" s="13"/>
    </row>
    <row r="307" spans="1:3" ht="13" x14ac:dyDescent="0.15">
      <c r="A307" s="10"/>
      <c r="B307" s="13"/>
      <c r="C307" s="13"/>
    </row>
    <row r="308" spans="1:3" ht="13" x14ac:dyDescent="0.15">
      <c r="A308" s="10"/>
      <c r="B308" s="13"/>
      <c r="C308" s="13"/>
    </row>
    <row r="309" spans="1:3" ht="13" x14ac:dyDescent="0.15">
      <c r="A309" s="10"/>
      <c r="B309" s="13"/>
      <c r="C309" s="13"/>
    </row>
    <row r="310" spans="1:3" ht="13" x14ac:dyDescent="0.15">
      <c r="A310" s="10"/>
      <c r="B310" s="13"/>
      <c r="C310" s="13"/>
    </row>
    <row r="311" spans="1:3" ht="13" x14ac:dyDescent="0.15">
      <c r="A311" s="10"/>
      <c r="B311" s="13"/>
      <c r="C311" s="13"/>
    </row>
    <row r="312" spans="1:3" ht="13" x14ac:dyDescent="0.15">
      <c r="A312" s="10"/>
      <c r="B312" s="13"/>
      <c r="C312" s="13"/>
    </row>
    <row r="313" spans="1:3" ht="13" x14ac:dyDescent="0.15">
      <c r="A313" s="10"/>
      <c r="B313" s="13"/>
      <c r="C313" s="13"/>
    </row>
    <row r="314" spans="1:3" ht="13" x14ac:dyDescent="0.15">
      <c r="A314" s="10"/>
      <c r="B314" s="13"/>
      <c r="C314" s="13"/>
    </row>
    <row r="315" spans="1:3" ht="13" x14ac:dyDescent="0.15">
      <c r="A315" s="10"/>
      <c r="B315" s="13"/>
      <c r="C315" s="13"/>
    </row>
    <row r="316" spans="1:3" ht="13" x14ac:dyDescent="0.15">
      <c r="A316" s="10"/>
      <c r="B316" s="13"/>
      <c r="C316" s="13"/>
    </row>
    <row r="317" spans="1:3" ht="13" x14ac:dyDescent="0.15">
      <c r="A317" s="10"/>
      <c r="B317" s="13"/>
      <c r="C317" s="13"/>
    </row>
    <row r="318" spans="1:3" ht="13" x14ac:dyDescent="0.15">
      <c r="A318" s="10"/>
      <c r="B318" s="13"/>
      <c r="C318" s="13"/>
    </row>
    <row r="319" spans="1:3" ht="13" x14ac:dyDescent="0.15">
      <c r="A319" s="10"/>
      <c r="B319" s="13"/>
      <c r="C319" s="13"/>
    </row>
    <row r="320" spans="1:3" ht="13" x14ac:dyDescent="0.15">
      <c r="A320" s="10"/>
      <c r="B320" s="13"/>
      <c r="C320" s="13"/>
    </row>
    <row r="321" spans="1:3" ht="13" x14ac:dyDescent="0.15">
      <c r="A321" s="10"/>
      <c r="B321" s="13"/>
      <c r="C321" s="13"/>
    </row>
    <row r="322" spans="1:3" ht="13" x14ac:dyDescent="0.15">
      <c r="A322" s="10"/>
      <c r="B322" s="13"/>
      <c r="C322" s="13"/>
    </row>
    <row r="323" spans="1:3" ht="13" x14ac:dyDescent="0.15">
      <c r="A323" s="10"/>
      <c r="B323" s="13"/>
      <c r="C323" s="13"/>
    </row>
    <row r="324" spans="1:3" ht="13" x14ac:dyDescent="0.15">
      <c r="A324" s="10"/>
      <c r="B324" s="13"/>
      <c r="C324" s="13"/>
    </row>
    <row r="325" spans="1:3" ht="13" x14ac:dyDescent="0.15">
      <c r="A325" s="10"/>
      <c r="B325" s="13"/>
      <c r="C325" s="13"/>
    </row>
    <row r="326" spans="1:3" ht="13" x14ac:dyDescent="0.15">
      <c r="A326" s="10"/>
      <c r="B326" s="13"/>
      <c r="C326" s="13"/>
    </row>
    <row r="327" spans="1:3" ht="13" x14ac:dyDescent="0.15">
      <c r="A327" s="10"/>
      <c r="B327" s="13"/>
      <c r="C327" s="13"/>
    </row>
    <row r="328" spans="1:3" ht="13" x14ac:dyDescent="0.15">
      <c r="A328" s="10"/>
      <c r="B328" s="13"/>
      <c r="C328" s="13"/>
    </row>
    <row r="329" spans="1:3" ht="13" x14ac:dyDescent="0.15">
      <c r="A329" s="10"/>
      <c r="B329" s="13"/>
      <c r="C329" s="13"/>
    </row>
    <row r="330" spans="1:3" ht="13" x14ac:dyDescent="0.15">
      <c r="A330" s="10"/>
      <c r="B330" s="13"/>
      <c r="C330" s="13"/>
    </row>
    <row r="331" spans="1:3" ht="13" x14ac:dyDescent="0.15">
      <c r="A331" s="10"/>
      <c r="B331" s="13"/>
      <c r="C331" s="13"/>
    </row>
    <row r="332" spans="1:3" ht="13" x14ac:dyDescent="0.15">
      <c r="A332" s="10"/>
      <c r="B332" s="13"/>
      <c r="C332" s="13"/>
    </row>
    <row r="333" spans="1:3" ht="13" x14ac:dyDescent="0.15">
      <c r="A333" s="10"/>
      <c r="B333" s="13"/>
      <c r="C333" s="13"/>
    </row>
    <row r="334" spans="1:3" ht="13" x14ac:dyDescent="0.15">
      <c r="A334" s="10"/>
      <c r="B334" s="13"/>
      <c r="C334" s="13"/>
    </row>
    <row r="335" spans="1:3" ht="13" x14ac:dyDescent="0.15">
      <c r="A335" s="10"/>
      <c r="B335" s="13"/>
      <c r="C335" s="13"/>
    </row>
    <row r="336" spans="1:3" ht="13" x14ac:dyDescent="0.15">
      <c r="A336" s="10"/>
      <c r="B336" s="13"/>
      <c r="C336" s="13"/>
    </row>
    <row r="337" spans="1:3" ht="13" x14ac:dyDescent="0.15">
      <c r="A337" s="10"/>
      <c r="B337" s="13"/>
      <c r="C337" s="13"/>
    </row>
    <row r="338" spans="1:3" ht="13" x14ac:dyDescent="0.15">
      <c r="A338" s="10"/>
      <c r="B338" s="13"/>
      <c r="C338" s="13"/>
    </row>
    <row r="339" spans="1:3" ht="13" x14ac:dyDescent="0.15">
      <c r="A339" s="10"/>
      <c r="B339" s="13"/>
      <c r="C339" s="13"/>
    </row>
    <row r="340" spans="1:3" ht="13" x14ac:dyDescent="0.15">
      <c r="A340" s="10"/>
      <c r="B340" s="13"/>
      <c r="C340" s="13"/>
    </row>
    <row r="341" spans="1:3" ht="13" x14ac:dyDescent="0.15">
      <c r="A341" s="10"/>
      <c r="B341" s="13"/>
      <c r="C341" s="13"/>
    </row>
    <row r="342" spans="1:3" ht="13" x14ac:dyDescent="0.15">
      <c r="A342" s="10"/>
      <c r="B342" s="13"/>
      <c r="C342" s="13"/>
    </row>
    <row r="343" spans="1:3" ht="13" x14ac:dyDescent="0.15">
      <c r="A343" s="10"/>
      <c r="B343" s="13"/>
      <c r="C343" s="13"/>
    </row>
    <row r="344" spans="1:3" ht="13" x14ac:dyDescent="0.15">
      <c r="A344" s="10"/>
      <c r="B344" s="13"/>
      <c r="C344" s="13"/>
    </row>
    <row r="345" spans="1:3" ht="13" x14ac:dyDescent="0.15">
      <c r="A345" s="10"/>
      <c r="B345" s="13"/>
      <c r="C345" s="13"/>
    </row>
    <row r="346" spans="1:3" ht="13" x14ac:dyDescent="0.15">
      <c r="A346" s="10"/>
      <c r="B346" s="13"/>
      <c r="C346" s="13"/>
    </row>
    <row r="347" spans="1:3" ht="13" x14ac:dyDescent="0.15">
      <c r="A347" s="10"/>
      <c r="B347" s="13"/>
      <c r="C347" s="13"/>
    </row>
    <row r="348" spans="1:3" ht="13" x14ac:dyDescent="0.15">
      <c r="A348" s="10"/>
      <c r="B348" s="13"/>
      <c r="C348" s="13"/>
    </row>
    <row r="349" spans="1:3" ht="13" x14ac:dyDescent="0.15">
      <c r="A349" s="10"/>
      <c r="B349" s="13"/>
      <c r="C349" s="13"/>
    </row>
    <row r="350" spans="1:3" ht="13" x14ac:dyDescent="0.15">
      <c r="A350" s="10"/>
      <c r="B350" s="13"/>
      <c r="C350" s="13"/>
    </row>
    <row r="351" spans="1:3" ht="13" x14ac:dyDescent="0.15">
      <c r="A351" s="10"/>
      <c r="B351" s="13"/>
      <c r="C351" s="13"/>
    </row>
    <row r="352" spans="1:3" ht="13" x14ac:dyDescent="0.15">
      <c r="A352" s="10"/>
      <c r="B352" s="13"/>
      <c r="C352" s="13"/>
    </row>
    <row r="353" spans="1:3" ht="13" x14ac:dyDescent="0.15">
      <c r="A353" s="10"/>
      <c r="B353" s="13"/>
      <c r="C353" s="13"/>
    </row>
    <row r="354" spans="1:3" ht="13" x14ac:dyDescent="0.15">
      <c r="A354" s="10"/>
      <c r="B354" s="13"/>
      <c r="C354" s="13"/>
    </row>
    <row r="355" spans="1:3" ht="13" x14ac:dyDescent="0.15">
      <c r="A355" s="10"/>
      <c r="B355" s="13"/>
      <c r="C355" s="13"/>
    </row>
    <row r="356" spans="1:3" ht="13" x14ac:dyDescent="0.15">
      <c r="A356" s="10"/>
      <c r="B356" s="13"/>
      <c r="C356" s="13"/>
    </row>
    <row r="357" spans="1:3" ht="13" x14ac:dyDescent="0.15">
      <c r="A357" s="10"/>
      <c r="B357" s="13"/>
      <c r="C357" s="13"/>
    </row>
    <row r="358" spans="1:3" ht="13" x14ac:dyDescent="0.15">
      <c r="A358" s="10"/>
      <c r="B358" s="13"/>
      <c r="C358" s="13"/>
    </row>
    <row r="359" spans="1:3" ht="13" x14ac:dyDescent="0.15">
      <c r="A359" s="10"/>
      <c r="B359" s="13"/>
      <c r="C359" s="13"/>
    </row>
    <row r="360" spans="1:3" ht="13" x14ac:dyDescent="0.15">
      <c r="A360" s="10"/>
      <c r="B360" s="13"/>
      <c r="C360" s="13"/>
    </row>
    <row r="361" spans="1:3" ht="13" x14ac:dyDescent="0.15">
      <c r="A361" s="10"/>
      <c r="B361" s="13"/>
      <c r="C361" s="13"/>
    </row>
    <row r="362" spans="1:3" ht="13" x14ac:dyDescent="0.15">
      <c r="A362" s="10"/>
      <c r="B362" s="13"/>
      <c r="C362" s="13"/>
    </row>
    <row r="363" spans="1:3" ht="13" x14ac:dyDescent="0.15">
      <c r="A363" s="10"/>
      <c r="B363" s="13"/>
      <c r="C363" s="13"/>
    </row>
    <row r="364" spans="1:3" ht="13" x14ac:dyDescent="0.15">
      <c r="A364" s="10"/>
      <c r="B364" s="13"/>
      <c r="C364" s="13"/>
    </row>
    <row r="365" spans="1:3" ht="13" x14ac:dyDescent="0.15">
      <c r="A365" s="10"/>
      <c r="B365" s="13"/>
      <c r="C365" s="13"/>
    </row>
    <row r="366" spans="1:3" ht="13" x14ac:dyDescent="0.15">
      <c r="A366" s="10"/>
      <c r="B366" s="13"/>
      <c r="C366" s="13"/>
    </row>
    <row r="367" spans="1:3" ht="13" x14ac:dyDescent="0.15">
      <c r="A367" s="10"/>
      <c r="B367" s="13"/>
      <c r="C367" s="13"/>
    </row>
    <row r="368" spans="1:3" ht="13" x14ac:dyDescent="0.15">
      <c r="A368" s="10"/>
      <c r="B368" s="13"/>
      <c r="C368" s="13"/>
    </row>
    <row r="369" spans="1:3" ht="13" x14ac:dyDescent="0.15">
      <c r="A369" s="10"/>
      <c r="B369" s="13"/>
      <c r="C369" s="13"/>
    </row>
    <row r="370" spans="1:3" ht="13" x14ac:dyDescent="0.15">
      <c r="A370" s="10"/>
      <c r="B370" s="13"/>
      <c r="C370" s="13"/>
    </row>
    <row r="371" spans="1:3" ht="13" x14ac:dyDescent="0.15">
      <c r="A371" s="10"/>
      <c r="B371" s="13"/>
      <c r="C371" s="13"/>
    </row>
    <row r="372" spans="1:3" ht="13" x14ac:dyDescent="0.15">
      <c r="A372" s="10"/>
      <c r="B372" s="13"/>
      <c r="C372" s="13"/>
    </row>
    <row r="373" spans="1:3" ht="13" x14ac:dyDescent="0.15">
      <c r="A373" s="10"/>
      <c r="B373" s="13"/>
      <c r="C373" s="13"/>
    </row>
    <row r="374" spans="1:3" ht="13" x14ac:dyDescent="0.15">
      <c r="A374" s="10"/>
      <c r="B374" s="13"/>
      <c r="C374" s="13"/>
    </row>
    <row r="375" spans="1:3" ht="13" x14ac:dyDescent="0.15">
      <c r="A375" s="10"/>
      <c r="B375" s="13"/>
      <c r="C375" s="13"/>
    </row>
    <row r="376" spans="1:3" ht="13" x14ac:dyDescent="0.15">
      <c r="A376" s="10"/>
      <c r="B376" s="13"/>
      <c r="C376" s="13"/>
    </row>
    <row r="377" spans="1:3" ht="13" x14ac:dyDescent="0.15">
      <c r="A377" s="10"/>
      <c r="B377" s="13"/>
      <c r="C377" s="13"/>
    </row>
    <row r="378" spans="1:3" ht="13" x14ac:dyDescent="0.15">
      <c r="A378" s="10"/>
      <c r="B378" s="13"/>
      <c r="C378" s="13"/>
    </row>
    <row r="379" spans="1:3" ht="13" x14ac:dyDescent="0.15">
      <c r="A379" s="10"/>
      <c r="B379" s="13"/>
      <c r="C379" s="13"/>
    </row>
    <row r="380" spans="1:3" ht="13" x14ac:dyDescent="0.15">
      <c r="A380" s="10"/>
      <c r="B380" s="13"/>
      <c r="C380" s="13"/>
    </row>
    <row r="381" spans="1:3" ht="13" x14ac:dyDescent="0.15">
      <c r="A381" s="10"/>
      <c r="B381" s="13"/>
      <c r="C381" s="13"/>
    </row>
    <row r="382" spans="1:3" ht="13" x14ac:dyDescent="0.15">
      <c r="A382" s="10"/>
      <c r="B382" s="13"/>
      <c r="C382" s="13"/>
    </row>
    <row r="383" spans="1:3" ht="13" x14ac:dyDescent="0.15">
      <c r="A383" s="10"/>
      <c r="B383" s="13"/>
      <c r="C383" s="13"/>
    </row>
    <row r="384" spans="1:3" ht="13" x14ac:dyDescent="0.15">
      <c r="A384" s="10"/>
      <c r="B384" s="13"/>
      <c r="C384" s="13"/>
    </row>
    <row r="385" spans="1:3" ht="13" x14ac:dyDescent="0.15">
      <c r="A385" s="10"/>
      <c r="B385" s="13"/>
      <c r="C385" s="13"/>
    </row>
    <row r="386" spans="1:3" ht="13" x14ac:dyDescent="0.15">
      <c r="A386" s="10"/>
      <c r="B386" s="13"/>
      <c r="C386" s="13"/>
    </row>
    <row r="387" spans="1:3" ht="13" x14ac:dyDescent="0.15">
      <c r="A387" s="10"/>
      <c r="B387" s="13"/>
      <c r="C387" s="13"/>
    </row>
    <row r="388" spans="1:3" ht="13" x14ac:dyDescent="0.15">
      <c r="A388" s="10"/>
      <c r="B388" s="13"/>
      <c r="C388" s="13"/>
    </row>
    <row r="389" spans="1:3" ht="13" x14ac:dyDescent="0.15">
      <c r="A389" s="10"/>
      <c r="B389" s="13"/>
      <c r="C389" s="13"/>
    </row>
    <row r="390" spans="1:3" ht="13" x14ac:dyDescent="0.15">
      <c r="A390" s="10"/>
      <c r="B390" s="13"/>
      <c r="C390" s="13"/>
    </row>
    <row r="391" spans="1:3" ht="13" x14ac:dyDescent="0.15">
      <c r="A391" s="10"/>
      <c r="B391" s="13"/>
      <c r="C391" s="13"/>
    </row>
    <row r="392" spans="1:3" ht="13" x14ac:dyDescent="0.15">
      <c r="A392" s="10"/>
      <c r="B392" s="13"/>
      <c r="C392" s="13"/>
    </row>
    <row r="393" spans="1:3" ht="13" x14ac:dyDescent="0.15">
      <c r="A393" s="10"/>
      <c r="B393" s="13"/>
      <c r="C393" s="13"/>
    </row>
    <row r="394" spans="1:3" ht="13" x14ac:dyDescent="0.15">
      <c r="A394" s="10"/>
      <c r="B394" s="13"/>
      <c r="C394" s="13"/>
    </row>
    <row r="395" spans="1:3" ht="13" x14ac:dyDescent="0.15">
      <c r="A395" s="10"/>
      <c r="B395" s="13"/>
      <c r="C395" s="13"/>
    </row>
    <row r="396" spans="1:3" ht="13" x14ac:dyDescent="0.15">
      <c r="A396" s="10"/>
      <c r="B396" s="13"/>
      <c r="C396" s="13"/>
    </row>
    <row r="397" spans="1:3" ht="13" x14ac:dyDescent="0.15">
      <c r="A397" s="10"/>
      <c r="B397" s="13"/>
      <c r="C397" s="13"/>
    </row>
    <row r="398" spans="1:3" ht="13" x14ac:dyDescent="0.15">
      <c r="A398" s="10"/>
      <c r="B398" s="13"/>
      <c r="C398" s="13"/>
    </row>
    <row r="399" spans="1:3" ht="13" x14ac:dyDescent="0.15">
      <c r="A399" s="10"/>
      <c r="B399" s="13"/>
      <c r="C399" s="13"/>
    </row>
    <row r="400" spans="1:3" ht="13" x14ac:dyDescent="0.15">
      <c r="A400" s="10"/>
      <c r="B400" s="13"/>
      <c r="C400" s="13"/>
    </row>
    <row r="401" spans="1:3" ht="13" x14ac:dyDescent="0.15">
      <c r="A401" s="10"/>
      <c r="B401" s="13"/>
      <c r="C401" s="13"/>
    </row>
    <row r="402" spans="1:3" ht="13" x14ac:dyDescent="0.15">
      <c r="A402" s="10"/>
      <c r="B402" s="13"/>
      <c r="C402" s="13"/>
    </row>
    <row r="403" spans="1:3" ht="13" x14ac:dyDescent="0.15">
      <c r="A403" s="10"/>
      <c r="B403" s="13"/>
      <c r="C403" s="13"/>
    </row>
    <row r="404" spans="1:3" ht="13" x14ac:dyDescent="0.15">
      <c r="A404" s="10"/>
      <c r="B404" s="13"/>
      <c r="C404" s="13"/>
    </row>
    <row r="405" spans="1:3" ht="13" x14ac:dyDescent="0.15">
      <c r="A405" s="10"/>
      <c r="B405" s="13"/>
      <c r="C405" s="13"/>
    </row>
    <row r="406" spans="1:3" ht="13" x14ac:dyDescent="0.15">
      <c r="A406" s="10"/>
      <c r="B406" s="13"/>
      <c r="C406" s="13"/>
    </row>
    <row r="407" spans="1:3" ht="13" x14ac:dyDescent="0.15">
      <c r="A407" s="10"/>
      <c r="B407" s="13"/>
      <c r="C407" s="13"/>
    </row>
    <row r="408" spans="1:3" ht="13" x14ac:dyDescent="0.15">
      <c r="A408" s="10"/>
      <c r="B408" s="13"/>
      <c r="C408" s="13"/>
    </row>
    <row r="409" spans="1:3" ht="13" x14ac:dyDescent="0.15">
      <c r="A409" s="10"/>
      <c r="B409" s="13"/>
      <c r="C409" s="13"/>
    </row>
    <row r="410" spans="1:3" ht="13" x14ac:dyDescent="0.15">
      <c r="A410" s="10"/>
      <c r="B410" s="13"/>
      <c r="C410" s="13"/>
    </row>
    <row r="411" spans="1:3" ht="13" x14ac:dyDescent="0.15">
      <c r="A411" s="10"/>
      <c r="B411" s="13"/>
      <c r="C411" s="13"/>
    </row>
    <row r="412" spans="1:3" ht="13" x14ac:dyDescent="0.15">
      <c r="A412" s="10"/>
      <c r="B412" s="13"/>
      <c r="C412" s="13"/>
    </row>
    <row r="413" spans="1:3" ht="13" x14ac:dyDescent="0.15">
      <c r="A413" s="10"/>
      <c r="B413" s="13"/>
      <c r="C413" s="13"/>
    </row>
    <row r="414" spans="1:3" ht="13" x14ac:dyDescent="0.15">
      <c r="A414" s="10"/>
      <c r="B414" s="13"/>
      <c r="C414" s="13"/>
    </row>
    <row r="415" spans="1:3" ht="13" x14ac:dyDescent="0.15">
      <c r="A415" s="10"/>
      <c r="B415" s="13"/>
      <c r="C415" s="13"/>
    </row>
    <row r="416" spans="1:3" ht="13" x14ac:dyDescent="0.15">
      <c r="A416" s="10"/>
      <c r="B416" s="13"/>
      <c r="C416" s="13"/>
    </row>
    <row r="417" spans="1:3" ht="13" x14ac:dyDescent="0.15">
      <c r="A417" s="10"/>
      <c r="B417" s="13"/>
      <c r="C417" s="13"/>
    </row>
    <row r="418" spans="1:3" ht="13" x14ac:dyDescent="0.15">
      <c r="A418" s="10"/>
      <c r="B418" s="13"/>
      <c r="C418" s="13"/>
    </row>
    <row r="419" spans="1:3" ht="13" x14ac:dyDescent="0.15">
      <c r="A419" s="10"/>
      <c r="B419" s="13"/>
      <c r="C419" s="13"/>
    </row>
    <row r="420" spans="1:3" ht="13" x14ac:dyDescent="0.15">
      <c r="A420" s="10"/>
      <c r="B420" s="13"/>
      <c r="C420" s="13"/>
    </row>
    <row r="421" spans="1:3" ht="13" x14ac:dyDescent="0.15">
      <c r="A421" s="10"/>
      <c r="B421" s="13"/>
      <c r="C421" s="13"/>
    </row>
    <row r="422" spans="1:3" ht="13" x14ac:dyDescent="0.15">
      <c r="A422" s="10"/>
      <c r="B422" s="13"/>
      <c r="C422" s="13"/>
    </row>
    <row r="423" spans="1:3" ht="13" x14ac:dyDescent="0.15">
      <c r="A423" s="10"/>
      <c r="B423" s="13"/>
      <c r="C423" s="13"/>
    </row>
    <row r="424" spans="1:3" ht="13" x14ac:dyDescent="0.15">
      <c r="A424" s="10"/>
      <c r="B424" s="13"/>
      <c r="C424" s="13"/>
    </row>
    <row r="425" spans="1:3" ht="13" x14ac:dyDescent="0.15">
      <c r="A425" s="10"/>
      <c r="B425" s="13"/>
      <c r="C425" s="13"/>
    </row>
    <row r="426" spans="1:3" ht="13" x14ac:dyDescent="0.15">
      <c r="A426" s="10"/>
      <c r="B426" s="13"/>
      <c r="C426" s="13"/>
    </row>
    <row r="427" spans="1:3" ht="13" x14ac:dyDescent="0.15">
      <c r="A427" s="10"/>
      <c r="B427" s="13"/>
      <c r="C427" s="13"/>
    </row>
    <row r="428" spans="1:3" ht="13" x14ac:dyDescent="0.15">
      <c r="A428" s="10"/>
      <c r="B428" s="13"/>
      <c r="C428" s="13"/>
    </row>
    <row r="429" spans="1:3" ht="13" x14ac:dyDescent="0.15">
      <c r="A429" s="10"/>
      <c r="B429" s="13"/>
      <c r="C429" s="13"/>
    </row>
    <row r="430" spans="1:3" ht="13" x14ac:dyDescent="0.15">
      <c r="A430" s="10"/>
      <c r="B430" s="13"/>
      <c r="C430" s="13"/>
    </row>
    <row r="431" spans="1:3" ht="13" x14ac:dyDescent="0.15">
      <c r="A431" s="10"/>
      <c r="B431" s="13"/>
      <c r="C431" s="13"/>
    </row>
    <row r="432" spans="1:3" ht="13" x14ac:dyDescent="0.15">
      <c r="A432" s="10"/>
      <c r="B432" s="13"/>
      <c r="C432" s="13"/>
    </row>
    <row r="433" spans="1:3" ht="13" x14ac:dyDescent="0.15">
      <c r="A433" s="10"/>
      <c r="B433" s="13"/>
      <c r="C433" s="13"/>
    </row>
    <row r="434" spans="1:3" ht="13" x14ac:dyDescent="0.15">
      <c r="A434" s="10"/>
      <c r="B434" s="13"/>
      <c r="C434" s="13"/>
    </row>
    <row r="435" spans="1:3" ht="13" x14ac:dyDescent="0.15">
      <c r="A435" s="10"/>
      <c r="B435" s="13"/>
      <c r="C435" s="13"/>
    </row>
    <row r="436" spans="1:3" ht="13" x14ac:dyDescent="0.15">
      <c r="A436" s="10"/>
      <c r="B436" s="13"/>
      <c r="C436" s="13"/>
    </row>
    <row r="437" spans="1:3" ht="13" x14ac:dyDescent="0.15">
      <c r="A437" s="10"/>
      <c r="B437" s="13"/>
      <c r="C437" s="13"/>
    </row>
    <row r="438" spans="1:3" ht="13" x14ac:dyDescent="0.15">
      <c r="A438" s="10"/>
      <c r="B438" s="13"/>
      <c r="C438" s="13"/>
    </row>
    <row r="439" spans="1:3" ht="13" x14ac:dyDescent="0.15">
      <c r="A439" s="10"/>
      <c r="B439" s="13"/>
      <c r="C439" s="13"/>
    </row>
    <row r="440" spans="1:3" ht="13" x14ac:dyDescent="0.15">
      <c r="A440" s="10"/>
      <c r="B440" s="13"/>
      <c r="C440" s="13"/>
    </row>
    <row r="441" spans="1:3" ht="13" x14ac:dyDescent="0.15">
      <c r="A441" s="10"/>
      <c r="B441" s="13"/>
      <c r="C441" s="13"/>
    </row>
    <row r="442" spans="1:3" ht="13" x14ac:dyDescent="0.15">
      <c r="A442" s="10"/>
      <c r="B442" s="13"/>
      <c r="C442" s="13"/>
    </row>
    <row r="443" spans="1:3" ht="13" x14ac:dyDescent="0.15">
      <c r="A443" s="10"/>
      <c r="B443" s="13"/>
      <c r="C443" s="13"/>
    </row>
    <row r="444" spans="1:3" ht="13" x14ac:dyDescent="0.15">
      <c r="A444" s="10"/>
      <c r="B444" s="13"/>
      <c r="C444" s="13"/>
    </row>
    <row r="445" spans="1:3" ht="13" x14ac:dyDescent="0.15">
      <c r="A445" s="10"/>
      <c r="B445" s="13"/>
      <c r="C445" s="13"/>
    </row>
    <row r="446" spans="1:3" ht="13" x14ac:dyDescent="0.15">
      <c r="A446" s="10"/>
      <c r="B446" s="13"/>
      <c r="C446" s="13"/>
    </row>
    <row r="447" spans="1:3" ht="13" x14ac:dyDescent="0.15">
      <c r="A447" s="10"/>
      <c r="B447" s="13"/>
      <c r="C447" s="13"/>
    </row>
    <row r="448" spans="1:3" ht="13" x14ac:dyDescent="0.15">
      <c r="A448" s="10"/>
      <c r="B448" s="13"/>
      <c r="C448" s="13"/>
    </row>
    <row r="449" spans="1:3" ht="13" x14ac:dyDescent="0.15">
      <c r="A449" s="10"/>
      <c r="B449" s="13"/>
      <c r="C449" s="13"/>
    </row>
    <row r="450" spans="1:3" ht="13" x14ac:dyDescent="0.15">
      <c r="A450" s="10"/>
      <c r="B450" s="13"/>
      <c r="C450" s="13"/>
    </row>
    <row r="451" spans="1:3" ht="13" x14ac:dyDescent="0.15">
      <c r="A451" s="10"/>
      <c r="B451" s="13"/>
      <c r="C451" s="13"/>
    </row>
    <row r="452" spans="1:3" ht="13" x14ac:dyDescent="0.15">
      <c r="A452" s="10"/>
      <c r="B452" s="13"/>
      <c r="C452" s="13"/>
    </row>
    <row r="453" spans="1:3" ht="13" x14ac:dyDescent="0.15">
      <c r="A453" s="10"/>
      <c r="B453" s="13"/>
      <c r="C453" s="13"/>
    </row>
    <row r="454" spans="1:3" ht="13" x14ac:dyDescent="0.15">
      <c r="A454" s="10"/>
      <c r="B454" s="13"/>
      <c r="C454" s="13"/>
    </row>
    <row r="455" spans="1:3" ht="13" x14ac:dyDescent="0.15">
      <c r="A455" s="10"/>
      <c r="B455" s="13"/>
      <c r="C455" s="13"/>
    </row>
    <row r="456" spans="1:3" ht="13" x14ac:dyDescent="0.15">
      <c r="A456" s="10"/>
      <c r="B456" s="13"/>
      <c r="C456" s="13"/>
    </row>
    <row r="457" spans="1:3" ht="13" x14ac:dyDescent="0.15">
      <c r="A457" s="10"/>
      <c r="B457" s="13"/>
      <c r="C457" s="13"/>
    </row>
    <row r="458" spans="1:3" ht="13" x14ac:dyDescent="0.15">
      <c r="A458" s="10"/>
      <c r="B458" s="13"/>
      <c r="C458" s="13"/>
    </row>
    <row r="459" spans="1:3" ht="13" x14ac:dyDescent="0.15">
      <c r="A459" s="10"/>
      <c r="B459" s="13"/>
      <c r="C459" s="13"/>
    </row>
    <row r="460" spans="1:3" ht="13" x14ac:dyDescent="0.15">
      <c r="A460" s="10"/>
      <c r="B460" s="13"/>
      <c r="C460" s="13"/>
    </row>
    <row r="461" spans="1:3" ht="13" x14ac:dyDescent="0.15">
      <c r="A461" s="10"/>
      <c r="B461" s="13"/>
      <c r="C461" s="13"/>
    </row>
    <row r="462" spans="1:3" ht="13" x14ac:dyDescent="0.15">
      <c r="A462" s="10"/>
      <c r="B462" s="13"/>
      <c r="C462" s="13"/>
    </row>
    <row r="463" spans="1:3" ht="13" x14ac:dyDescent="0.15">
      <c r="A463" s="10"/>
      <c r="B463" s="13"/>
      <c r="C463" s="13"/>
    </row>
    <row r="464" spans="1:3" ht="13" x14ac:dyDescent="0.15">
      <c r="A464" s="10"/>
      <c r="B464" s="13"/>
      <c r="C464" s="13"/>
    </row>
    <row r="465" spans="1:3" ht="13" x14ac:dyDescent="0.15">
      <c r="A465" s="10"/>
      <c r="B465" s="13"/>
      <c r="C465" s="13"/>
    </row>
    <row r="466" spans="1:3" ht="13" x14ac:dyDescent="0.15">
      <c r="A466" s="10"/>
      <c r="B466" s="13"/>
      <c r="C466" s="13"/>
    </row>
    <row r="467" spans="1:3" ht="13" x14ac:dyDescent="0.15">
      <c r="A467" s="10"/>
      <c r="B467" s="13"/>
      <c r="C467" s="13"/>
    </row>
    <row r="468" spans="1:3" ht="13" x14ac:dyDescent="0.15">
      <c r="A468" s="10"/>
      <c r="B468" s="13"/>
      <c r="C468" s="13"/>
    </row>
    <row r="469" spans="1:3" ht="13" x14ac:dyDescent="0.15">
      <c r="A469" s="10"/>
      <c r="B469" s="13"/>
      <c r="C469" s="13"/>
    </row>
    <row r="470" spans="1:3" ht="13" x14ac:dyDescent="0.15">
      <c r="A470" s="10"/>
      <c r="B470" s="13"/>
      <c r="C470" s="13"/>
    </row>
    <row r="471" spans="1:3" ht="13" x14ac:dyDescent="0.15">
      <c r="A471" s="10"/>
      <c r="B471" s="13"/>
      <c r="C471" s="13"/>
    </row>
    <row r="472" spans="1:3" ht="13" x14ac:dyDescent="0.15">
      <c r="A472" s="10"/>
      <c r="B472" s="13"/>
      <c r="C472" s="13"/>
    </row>
    <row r="473" spans="1:3" ht="13" x14ac:dyDescent="0.15">
      <c r="A473" s="10"/>
      <c r="B473" s="13"/>
      <c r="C473" s="13"/>
    </row>
    <row r="474" spans="1:3" ht="13" x14ac:dyDescent="0.15">
      <c r="A474" s="10"/>
      <c r="B474" s="13"/>
      <c r="C474" s="13"/>
    </row>
    <row r="475" spans="1:3" ht="13" x14ac:dyDescent="0.15">
      <c r="A475" s="10"/>
      <c r="B475" s="13"/>
      <c r="C475" s="13"/>
    </row>
    <row r="476" spans="1:3" ht="13" x14ac:dyDescent="0.15">
      <c r="A476" s="10"/>
      <c r="B476" s="13"/>
      <c r="C476" s="13"/>
    </row>
    <row r="477" spans="1:3" ht="13" x14ac:dyDescent="0.15">
      <c r="A477" s="10"/>
      <c r="B477" s="13"/>
      <c r="C477" s="13"/>
    </row>
    <row r="478" spans="1:3" ht="13" x14ac:dyDescent="0.15">
      <c r="A478" s="10"/>
      <c r="B478" s="13"/>
      <c r="C478" s="13"/>
    </row>
    <row r="479" spans="1:3" ht="13" x14ac:dyDescent="0.15">
      <c r="A479" s="10"/>
      <c r="B479" s="13"/>
      <c r="C479" s="13"/>
    </row>
    <row r="480" spans="1:3" ht="13" x14ac:dyDescent="0.15">
      <c r="A480" s="10"/>
      <c r="B480" s="13"/>
      <c r="C480" s="13"/>
    </row>
    <row r="481" spans="1:3" ht="13" x14ac:dyDescent="0.15">
      <c r="A481" s="10"/>
      <c r="B481" s="13"/>
      <c r="C481" s="13"/>
    </row>
    <row r="482" spans="1:3" ht="13" x14ac:dyDescent="0.15">
      <c r="A482" s="10"/>
      <c r="B482" s="13"/>
      <c r="C482" s="13"/>
    </row>
    <row r="483" spans="1:3" ht="13" x14ac:dyDescent="0.15">
      <c r="A483" s="10"/>
      <c r="B483" s="13"/>
      <c r="C483" s="13"/>
    </row>
    <row r="484" spans="1:3" ht="13" x14ac:dyDescent="0.15">
      <c r="A484" s="10"/>
      <c r="B484" s="13"/>
      <c r="C484" s="13"/>
    </row>
    <row r="485" spans="1:3" ht="13" x14ac:dyDescent="0.15">
      <c r="A485" s="10"/>
      <c r="B485" s="13"/>
      <c r="C485" s="13"/>
    </row>
    <row r="486" spans="1:3" ht="13" x14ac:dyDescent="0.15">
      <c r="A486" s="10"/>
      <c r="B486" s="13"/>
      <c r="C486" s="13"/>
    </row>
    <row r="487" spans="1:3" ht="13" x14ac:dyDescent="0.15">
      <c r="A487" s="10"/>
      <c r="B487" s="13"/>
      <c r="C487" s="13"/>
    </row>
    <row r="488" spans="1:3" ht="13" x14ac:dyDescent="0.15">
      <c r="A488" s="10"/>
      <c r="B488" s="13"/>
      <c r="C488" s="13"/>
    </row>
    <row r="489" spans="1:3" ht="13" x14ac:dyDescent="0.15">
      <c r="A489" s="10"/>
      <c r="B489" s="13"/>
      <c r="C489" s="13"/>
    </row>
    <row r="490" spans="1:3" ht="13" x14ac:dyDescent="0.15">
      <c r="A490" s="10"/>
      <c r="B490" s="13"/>
      <c r="C490" s="13"/>
    </row>
    <row r="491" spans="1:3" ht="13" x14ac:dyDescent="0.15">
      <c r="A491" s="10"/>
      <c r="B491" s="13"/>
      <c r="C491" s="13"/>
    </row>
    <row r="492" spans="1:3" ht="13" x14ac:dyDescent="0.15">
      <c r="A492" s="10"/>
      <c r="B492" s="13"/>
      <c r="C492" s="13"/>
    </row>
    <row r="493" spans="1:3" ht="13" x14ac:dyDescent="0.15">
      <c r="A493" s="10"/>
      <c r="B493" s="13"/>
      <c r="C493" s="13"/>
    </row>
    <row r="494" spans="1:3" ht="13" x14ac:dyDescent="0.15">
      <c r="A494" s="10"/>
      <c r="B494" s="13"/>
      <c r="C494" s="13"/>
    </row>
    <row r="495" spans="1:3" ht="13" x14ac:dyDescent="0.15">
      <c r="A495" s="10"/>
      <c r="B495" s="13"/>
      <c r="C495" s="13"/>
    </row>
    <row r="496" spans="1:3" ht="13" x14ac:dyDescent="0.15">
      <c r="A496" s="10"/>
      <c r="B496" s="13"/>
      <c r="C496" s="13"/>
    </row>
    <row r="497" spans="1:3" ht="13" x14ac:dyDescent="0.15">
      <c r="A497" s="10"/>
      <c r="B497" s="13"/>
      <c r="C497" s="13"/>
    </row>
    <row r="498" spans="1:3" ht="13" x14ac:dyDescent="0.15">
      <c r="A498" s="10"/>
      <c r="B498" s="13"/>
      <c r="C498" s="13"/>
    </row>
    <row r="499" spans="1:3" ht="13" x14ac:dyDescent="0.15">
      <c r="A499" s="10"/>
      <c r="B499" s="13"/>
      <c r="C499" s="13"/>
    </row>
    <row r="500" spans="1:3" ht="13" x14ac:dyDescent="0.15">
      <c r="A500" s="10"/>
      <c r="B500" s="13"/>
      <c r="C500" s="13"/>
    </row>
    <row r="501" spans="1:3" ht="13" x14ac:dyDescent="0.15">
      <c r="A501" s="10"/>
      <c r="B501" s="13"/>
      <c r="C501" s="13"/>
    </row>
    <row r="502" spans="1:3" ht="13" x14ac:dyDescent="0.15">
      <c r="A502" s="10"/>
      <c r="B502" s="13"/>
      <c r="C502" s="13"/>
    </row>
    <row r="503" spans="1:3" ht="13" x14ac:dyDescent="0.15">
      <c r="A503" s="10"/>
      <c r="B503" s="13"/>
      <c r="C503" s="13"/>
    </row>
    <row r="504" spans="1:3" ht="13" x14ac:dyDescent="0.15">
      <c r="A504" s="10"/>
      <c r="B504" s="13"/>
      <c r="C504" s="13"/>
    </row>
    <row r="505" spans="1:3" ht="13" x14ac:dyDescent="0.15">
      <c r="A505" s="10"/>
      <c r="B505" s="13"/>
      <c r="C505" s="13"/>
    </row>
    <row r="506" spans="1:3" ht="13" x14ac:dyDescent="0.15">
      <c r="A506" s="10"/>
      <c r="B506" s="13"/>
      <c r="C506" s="13"/>
    </row>
    <row r="507" spans="1:3" ht="13" x14ac:dyDescent="0.15">
      <c r="A507" s="10"/>
      <c r="B507" s="13"/>
      <c r="C507" s="13"/>
    </row>
    <row r="508" spans="1:3" ht="13" x14ac:dyDescent="0.15">
      <c r="A508" s="10"/>
      <c r="B508" s="13"/>
      <c r="C508" s="13"/>
    </row>
    <row r="509" spans="1:3" ht="13" x14ac:dyDescent="0.15">
      <c r="A509" s="10"/>
      <c r="B509" s="13"/>
      <c r="C509" s="13"/>
    </row>
    <row r="510" spans="1:3" ht="13" x14ac:dyDescent="0.15">
      <c r="A510" s="10"/>
      <c r="B510" s="13"/>
      <c r="C510" s="13"/>
    </row>
    <row r="511" spans="1:3" ht="13" x14ac:dyDescent="0.15">
      <c r="A511" s="10"/>
      <c r="B511" s="13"/>
      <c r="C511" s="13"/>
    </row>
    <row r="512" spans="1:3" ht="13" x14ac:dyDescent="0.15">
      <c r="A512" s="10"/>
      <c r="B512" s="13"/>
      <c r="C512" s="13"/>
    </row>
    <row r="513" spans="1:3" ht="13" x14ac:dyDescent="0.15">
      <c r="A513" s="10"/>
      <c r="B513" s="13"/>
      <c r="C513" s="13"/>
    </row>
    <row r="514" spans="1:3" ht="13" x14ac:dyDescent="0.15">
      <c r="A514" s="10"/>
      <c r="B514" s="13"/>
      <c r="C514" s="13"/>
    </row>
    <row r="515" spans="1:3" ht="13" x14ac:dyDescent="0.15">
      <c r="A515" s="10"/>
      <c r="B515" s="13"/>
      <c r="C515" s="13"/>
    </row>
    <row r="516" spans="1:3" ht="13" x14ac:dyDescent="0.15">
      <c r="A516" s="10"/>
      <c r="B516" s="13"/>
      <c r="C516" s="13"/>
    </row>
    <row r="517" spans="1:3" ht="13" x14ac:dyDescent="0.15">
      <c r="A517" s="10"/>
      <c r="B517" s="13"/>
      <c r="C517" s="13"/>
    </row>
    <row r="518" spans="1:3" ht="13" x14ac:dyDescent="0.15">
      <c r="A518" s="10"/>
      <c r="B518" s="13"/>
      <c r="C518" s="13"/>
    </row>
    <row r="519" spans="1:3" ht="13" x14ac:dyDescent="0.15">
      <c r="A519" s="10"/>
      <c r="B519" s="13"/>
      <c r="C519" s="13"/>
    </row>
    <row r="520" spans="1:3" ht="13" x14ac:dyDescent="0.15">
      <c r="A520" s="10"/>
      <c r="B520" s="13"/>
      <c r="C520" s="13"/>
    </row>
    <row r="521" spans="1:3" ht="13" x14ac:dyDescent="0.15">
      <c r="A521" s="10"/>
      <c r="B521" s="13"/>
      <c r="C521" s="13"/>
    </row>
    <row r="522" spans="1:3" ht="13" x14ac:dyDescent="0.15">
      <c r="A522" s="10"/>
      <c r="B522" s="13"/>
      <c r="C522" s="13"/>
    </row>
    <row r="523" spans="1:3" ht="13" x14ac:dyDescent="0.15">
      <c r="A523" s="10"/>
      <c r="B523" s="13"/>
      <c r="C523" s="13"/>
    </row>
    <row r="524" spans="1:3" ht="13" x14ac:dyDescent="0.15">
      <c r="A524" s="10"/>
      <c r="B524" s="13"/>
      <c r="C524" s="13"/>
    </row>
    <row r="525" spans="1:3" ht="13" x14ac:dyDescent="0.15">
      <c r="A525" s="10"/>
      <c r="B525" s="13"/>
      <c r="C525" s="13"/>
    </row>
    <row r="526" spans="1:3" ht="13" x14ac:dyDescent="0.15">
      <c r="A526" s="10"/>
      <c r="B526" s="13"/>
      <c r="C526" s="13"/>
    </row>
    <row r="527" spans="1:3" ht="13" x14ac:dyDescent="0.15">
      <c r="A527" s="10"/>
      <c r="B527" s="13"/>
      <c r="C527" s="13"/>
    </row>
    <row r="528" spans="1:3" ht="13" x14ac:dyDescent="0.15">
      <c r="A528" s="10"/>
      <c r="B528" s="13"/>
      <c r="C528" s="13"/>
    </row>
    <row r="529" spans="1:3" ht="13" x14ac:dyDescent="0.15">
      <c r="A529" s="10"/>
      <c r="B529" s="13"/>
      <c r="C529" s="13"/>
    </row>
    <row r="530" spans="1:3" ht="13" x14ac:dyDescent="0.15">
      <c r="A530" s="10"/>
      <c r="B530" s="13"/>
      <c r="C530" s="13"/>
    </row>
    <row r="531" spans="1:3" ht="13" x14ac:dyDescent="0.15">
      <c r="A531" s="10"/>
      <c r="B531" s="13"/>
      <c r="C531" s="13"/>
    </row>
    <row r="532" spans="1:3" ht="13" x14ac:dyDescent="0.15">
      <c r="A532" s="10"/>
      <c r="B532" s="13"/>
      <c r="C532" s="13"/>
    </row>
    <row r="533" spans="1:3" ht="13" x14ac:dyDescent="0.15">
      <c r="A533" s="10"/>
      <c r="B533" s="13"/>
      <c r="C533" s="13"/>
    </row>
    <row r="534" spans="1:3" ht="13" x14ac:dyDescent="0.15">
      <c r="A534" s="10"/>
      <c r="B534" s="13"/>
      <c r="C534" s="13"/>
    </row>
    <row r="535" spans="1:3" ht="13" x14ac:dyDescent="0.15">
      <c r="A535" s="10"/>
      <c r="B535" s="13"/>
      <c r="C535" s="13"/>
    </row>
    <row r="536" spans="1:3" ht="13" x14ac:dyDescent="0.15">
      <c r="A536" s="10"/>
      <c r="B536" s="13"/>
      <c r="C536" s="13"/>
    </row>
    <row r="537" spans="1:3" ht="13" x14ac:dyDescent="0.15">
      <c r="A537" s="10"/>
      <c r="B537" s="13"/>
      <c r="C537" s="13"/>
    </row>
    <row r="538" spans="1:3" ht="13" x14ac:dyDescent="0.15">
      <c r="A538" s="10"/>
      <c r="B538" s="13"/>
      <c r="C538" s="13"/>
    </row>
    <row r="539" spans="1:3" ht="13" x14ac:dyDescent="0.15">
      <c r="A539" s="10"/>
      <c r="B539" s="13"/>
      <c r="C539" s="13"/>
    </row>
    <row r="540" spans="1:3" ht="13" x14ac:dyDescent="0.15">
      <c r="A540" s="10"/>
      <c r="B540" s="13"/>
      <c r="C540" s="13"/>
    </row>
    <row r="541" spans="1:3" ht="13" x14ac:dyDescent="0.15">
      <c r="A541" s="10"/>
      <c r="B541" s="13"/>
      <c r="C541" s="13"/>
    </row>
    <row r="542" spans="1:3" ht="13" x14ac:dyDescent="0.15">
      <c r="A542" s="10"/>
      <c r="B542" s="13"/>
      <c r="C542" s="13"/>
    </row>
    <row r="543" spans="1:3" ht="13" x14ac:dyDescent="0.15">
      <c r="A543" s="10"/>
      <c r="B543" s="13"/>
      <c r="C543" s="13"/>
    </row>
    <row r="544" spans="1:3" ht="13" x14ac:dyDescent="0.15">
      <c r="A544" s="10"/>
      <c r="B544" s="13"/>
      <c r="C544" s="13"/>
    </row>
    <row r="545" spans="1:3" ht="13" x14ac:dyDescent="0.15">
      <c r="A545" s="10"/>
      <c r="B545" s="13"/>
      <c r="C545" s="13"/>
    </row>
    <row r="546" spans="1:3" ht="13" x14ac:dyDescent="0.15">
      <c r="A546" s="10"/>
      <c r="B546" s="13"/>
      <c r="C546" s="13"/>
    </row>
    <row r="547" spans="1:3" ht="13" x14ac:dyDescent="0.15">
      <c r="A547" s="10"/>
      <c r="B547" s="13"/>
      <c r="C547" s="13"/>
    </row>
    <row r="548" spans="1:3" ht="13" x14ac:dyDescent="0.15">
      <c r="A548" s="10"/>
      <c r="B548" s="13"/>
      <c r="C548" s="13"/>
    </row>
    <row r="549" spans="1:3" ht="13" x14ac:dyDescent="0.15">
      <c r="A549" s="10"/>
      <c r="B549" s="13"/>
      <c r="C549" s="13"/>
    </row>
    <row r="550" spans="1:3" ht="13" x14ac:dyDescent="0.15">
      <c r="A550" s="10"/>
      <c r="B550" s="13"/>
      <c r="C550" s="13"/>
    </row>
    <row r="551" spans="1:3" ht="13" x14ac:dyDescent="0.15">
      <c r="A551" s="10"/>
      <c r="B551" s="13"/>
      <c r="C551" s="13"/>
    </row>
    <row r="552" spans="1:3" ht="13" x14ac:dyDescent="0.15">
      <c r="A552" s="10"/>
      <c r="B552" s="13"/>
      <c r="C552" s="13"/>
    </row>
    <row r="553" spans="1:3" ht="13" x14ac:dyDescent="0.15">
      <c r="A553" s="10"/>
      <c r="B553" s="13"/>
      <c r="C553" s="13"/>
    </row>
    <row r="554" spans="1:3" ht="13" x14ac:dyDescent="0.15">
      <c r="A554" s="10"/>
      <c r="B554" s="13"/>
      <c r="C554" s="13"/>
    </row>
    <row r="555" spans="1:3" ht="13" x14ac:dyDescent="0.15">
      <c r="A555" s="10"/>
      <c r="B555" s="13"/>
      <c r="C555" s="13"/>
    </row>
    <row r="556" spans="1:3" ht="13" x14ac:dyDescent="0.15">
      <c r="A556" s="10"/>
      <c r="B556" s="13"/>
      <c r="C556" s="13"/>
    </row>
    <row r="557" spans="1:3" ht="13" x14ac:dyDescent="0.15">
      <c r="A557" s="10"/>
      <c r="B557" s="13"/>
      <c r="C557" s="13"/>
    </row>
    <row r="558" spans="1:3" ht="13" x14ac:dyDescent="0.15">
      <c r="A558" s="10"/>
      <c r="B558" s="13"/>
      <c r="C558" s="13"/>
    </row>
    <row r="559" spans="1:3" ht="13" x14ac:dyDescent="0.15">
      <c r="A559" s="10"/>
      <c r="B559" s="13"/>
      <c r="C559" s="13"/>
    </row>
    <row r="560" spans="1:3" ht="13" x14ac:dyDescent="0.15">
      <c r="A560" s="10"/>
      <c r="B560" s="13"/>
      <c r="C560" s="13"/>
    </row>
    <row r="561" spans="1:3" ht="13" x14ac:dyDescent="0.15">
      <c r="A561" s="10"/>
      <c r="B561" s="13"/>
      <c r="C561" s="13"/>
    </row>
    <row r="562" spans="1:3" ht="13" x14ac:dyDescent="0.15">
      <c r="A562" s="10"/>
      <c r="B562" s="13"/>
      <c r="C562" s="13"/>
    </row>
    <row r="563" spans="1:3" ht="13" x14ac:dyDescent="0.15">
      <c r="A563" s="10"/>
      <c r="B563" s="13"/>
      <c r="C563" s="13"/>
    </row>
    <row r="564" spans="1:3" ht="13" x14ac:dyDescent="0.15">
      <c r="A564" s="10"/>
      <c r="B564" s="13"/>
      <c r="C564" s="13"/>
    </row>
    <row r="565" spans="1:3" ht="13" x14ac:dyDescent="0.15">
      <c r="A565" s="10"/>
      <c r="B565" s="13"/>
      <c r="C565" s="13"/>
    </row>
    <row r="566" spans="1:3" ht="13" x14ac:dyDescent="0.15">
      <c r="A566" s="10"/>
      <c r="B566" s="13"/>
      <c r="C566" s="13"/>
    </row>
    <row r="567" spans="1:3" ht="13" x14ac:dyDescent="0.15">
      <c r="A567" s="10"/>
      <c r="B567" s="13"/>
      <c r="C567" s="13"/>
    </row>
    <row r="568" spans="1:3" ht="13" x14ac:dyDescent="0.15">
      <c r="A568" s="10"/>
      <c r="B568" s="13"/>
      <c r="C568" s="13"/>
    </row>
    <row r="569" spans="1:3" ht="13" x14ac:dyDescent="0.15">
      <c r="A569" s="10"/>
      <c r="B569" s="13"/>
      <c r="C569" s="13"/>
    </row>
    <row r="570" spans="1:3" ht="13" x14ac:dyDescent="0.15">
      <c r="A570" s="10"/>
      <c r="B570" s="13"/>
      <c r="C570" s="13"/>
    </row>
    <row r="571" spans="1:3" ht="13" x14ac:dyDescent="0.15">
      <c r="A571" s="10"/>
      <c r="B571" s="13"/>
      <c r="C571" s="13"/>
    </row>
    <row r="572" spans="1:3" ht="13" x14ac:dyDescent="0.15">
      <c r="A572" s="10"/>
      <c r="B572" s="13"/>
      <c r="C572" s="13"/>
    </row>
    <row r="573" spans="1:3" ht="13" x14ac:dyDescent="0.15">
      <c r="A573" s="10"/>
      <c r="B573" s="13"/>
      <c r="C573" s="13"/>
    </row>
    <row r="574" spans="1:3" ht="13" x14ac:dyDescent="0.15">
      <c r="A574" s="10"/>
      <c r="B574" s="13"/>
      <c r="C574" s="13"/>
    </row>
    <row r="575" spans="1:3" ht="13" x14ac:dyDescent="0.15">
      <c r="A575" s="10"/>
      <c r="B575" s="13"/>
      <c r="C575" s="13"/>
    </row>
    <row r="576" spans="1:3" ht="13" x14ac:dyDescent="0.15">
      <c r="A576" s="10"/>
      <c r="B576" s="13"/>
      <c r="C576" s="13"/>
    </row>
    <row r="577" spans="1:3" ht="13" x14ac:dyDescent="0.15">
      <c r="A577" s="10"/>
      <c r="B577" s="13"/>
      <c r="C577" s="13"/>
    </row>
    <row r="578" spans="1:3" ht="13" x14ac:dyDescent="0.15">
      <c r="A578" s="10"/>
      <c r="B578" s="13"/>
      <c r="C578" s="13"/>
    </row>
    <row r="579" spans="1:3" ht="13" x14ac:dyDescent="0.15">
      <c r="A579" s="10"/>
      <c r="B579" s="13"/>
      <c r="C579" s="13"/>
    </row>
    <row r="580" spans="1:3" ht="13" x14ac:dyDescent="0.15">
      <c r="A580" s="10"/>
      <c r="B580" s="13"/>
      <c r="C580" s="13"/>
    </row>
    <row r="581" spans="1:3" ht="13" x14ac:dyDescent="0.15">
      <c r="A581" s="10"/>
      <c r="B581" s="13"/>
      <c r="C581" s="13"/>
    </row>
    <row r="582" spans="1:3" ht="13" x14ac:dyDescent="0.15">
      <c r="A582" s="10"/>
      <c r="B582" s="13"/>
      <c r="C582" s="13"/>
    </row>
    <row r="583" spans="1:3" ht="13" x14ac:dyDescent="0.15">
      <c r="A583" s="10"/>
      <c r="B583" s="13"/>
      <c r="C583" s="13"/>
    </row>
    <row r="584" spans="1:3" ht="13" x14ac:dyDescent="0.15">
      <c r="A584" s="10"/>
      <c r="B584" s="13"/>
      <c r="C584" s="13"/>
    </row>
    <row r="585" spans="1:3" ht="13" x14ac:dyDescent="0.15">
      <c r="A585" s="10"/>
      <c r="B585" s="13"/>
      <c r="C585" s="13"/>
    </row>
    <row r="586" spans="1:3" ht="13" x14ac:dyDescent="0.15">
      <c r="A586" s="10"/>
      <c r="B586" s="13"/>
      <c r="C586" s="13"/>
    </row>
    <row r="587" spans="1:3" ht="13" x14ac:dyDescent="0.15">
      <c r="A587" s="10"/>
      <c r="B587" s="13"/>
      <c r="C587" s="13"/>
    </row>
    <row r="588" spans="1:3" ht="13" x14ac:dyDescent="0.15">
      <c r="A588" s="10"/>
      <c r="B588" s="13"/>
      <c r="C588" s="13"/>
    </row>
    <row r="589" spans="1:3" ht="13" x14ac:dyDescent="0.15">
      <c r="A589" s="10"/>
      <c r="B589" s="13"/>
      <c r="C589" s="13"/>
    </row>
    <row r="590" spans="1:3" ht="13" x14ac:dyDescent="0.15">
      <c r="A590" s="10"/>
      <c r="B590" s="13"/>
      <c r="C590" s="13"/>
    </row>
    <row r="591" spans="1:3" ht="13" x14ac:dyDescent="0.15">
      <c r="A591" s="10"/>
      <c r="B591" s="13"/>
      <c r="C591" s="13"/>
    </row>
    <row r="592" spans="1:3" ht="13" x14ac:dyDescent="0.15">
      <c r="A592" s="10"/>
      <c r="B592" s="13"/>
      <c r="C592" s="13"/>
    </row>
    <row r="593" spans="1:3" ht="13" x14ac:dyDescent="0.15">
      <c r="A593" s="10"/>
      <c r="B593" s="13"/>
      <c r="C593" s="13"/>
    </row>
    <row r="594" spans="1:3" ht="13" x14ac:dyDescent="0.15">
      <c r="A594" s="10"/>
      <c r="B594" s="13"/>
      <c r="C594" s="13"/>
    </row>
    <row r="595" spans="1:3" ht="13" x14ac:dyDescent="0.15">
      <c r="A595" s="10"/>
      <c r="B595" s="13"/>
      <c r="C595" s="13"/>
    </row>
    <row r="596" spans="1:3" ht="13" x14ac:dyDescent="0.15">
      <c r="A596" s="10"/>
      <c r="B596" s="13"/>
      <c r="C596" s="13"/>
    </row>
    <row r="597" spans="1:3" ht="13" x14ac:dyDescent="0.15">
      <c r="A597" s="10"/>
      <c r="B597" s="13"/>
      <c r="C597" s="13"/>
    </row>
    <row r="598" spans="1:3" ht="13" x14ac:dyDescent="0.15">
      <c r="A598" s="10"/>
      <c r="B598" s="13"/>
      <c r="C598" s="13"/>
    </row>
    <row r="599" spans="1:3" ht="13" x14ac:dyDescent="0.15">
      <c r="A599" s="10"/>
      <c r="B599" s="13"/>
      <c r="C599" s="13"/>
    </row>
    <row r="600" spans="1:3" ht="13" x14ac:dyDescent="0.15">
      <c r="A600" s="10"/>
      <c r="B600" s="13"/>
      <c r="C600" s="13"/>
    </row>
    <row r="601" spans="1:3" ht="13" x14ac:dyDescent="0.15">
      <c r="A601" s="10"/>
      <c r="B601" s="13"/>
      <c r="C601" s="13"/>
    </row>
    <row r="602" spans="1:3" ht="13" x14ac:dyDescent="0.15">
      <c r="A602" s="10"/>
      <c r="B602" s="13"/>
      <c r="C602" s="13"/>
    </row>
    <row r="603" spans="1:3" ht="13" x14ac:dyDescent="0.15">
      <c r="A603" s="10"/>
      <c r="B603" s="13"/>
      <c r="C603" s="13"/>
    </row>
    <row r="604" spans="1:3" ht="13" x14ac:dyDescent="0.15">
      <c r="A604" s="10"/>
      <c r="B604" s="13"/>
      <c r="C604" s="13"/>
    </row>
    <row r="605" spans="1:3" ht="13" x14ac:dyDescent="0.15">
      <c r="A605" s="10"/>
      <c r="B605" s="13"/>
      <c r="C605" s="13"/>
    </row>
    <row r="606" spans="1:3" ht="13" x14ac:dyDescent="0.15">
      <c r="A606" s="10"/>
      <c r="B606" s="13"/>
      <c r="C606" s="13"/>
    </row>
    <row r="607" spans="1:3" ht="13" x14ac:dyDescent="0.15">
      <c r="A607" s="10"/>
      <c r="B607" s="13"/>
      <c r="C607" s="13"/>
    </row>
    <row r="608" spans="1:3" ht="13" x14ac:dyDescent="0.15">
      <c r="A608" s="10"/>
      <c r="B608" s="13"/>
      <c r="C608" s="13"/>
    </row>
    <row r="609" spans="1:3" ht="13" x14ac:dyDescent="0.15">
      <c r="A609" s="10"/>
      <c r="B609" s="13"/>
      <c r="C609" s="13"/>
    </row>
    <row r="610" spans="1:3" ht="13" x14ac:dyDescent="0.15">
      <c r="A610" s="10"/>
      <c r="B610" s="13"/>
      <c r="C610" s="13"/>
    </row>
    <row r="611" spans="1:3" ht="13" x14ac:dyDescent="0.15">
      <c r="A611" s="10"/>
      <c r="B611" s="13"/>
      <c r="C611" s="13"/>
    </row>
    <row r="612" spans="1:3" ht="13" x14ac:dyDescent="0.15">
      <c r="A612" s="10"/>
      <c r="B612" s="13"/>
      <c r="C612" s="13"/>
    </row>
    <row r="613" spans="1:3" ht="13" x14ac:dyDescent="0.15">
      <c r="A613" s="10"/>
      <c r="B613" s="13"/>
      <c r="C613" s="13"/>
    </row>
    <row r="614" spans="1:3" ht="13" x14ac:dyDescent="0.15">
      <c r="A614" s="10"/>
      <c r="B614" s="13"/>
      <c r="C614" s="13"/>
    </row>
    <row r="615" spans="1:3" ht="13" x14ac:dyDescent="0.15">
      <c r="A615" s="10"/>
      <c r="B615" s="13"/>
      <c r="C615" s="13"/>
    </row>
    <row r="616" spans="1:3" ht="13" x14ac:dyDescent="0.15">
      <c r="A616" s="10"/>
      <c r="B616" s="13"/>
      <c r="C616" s="13"/>
    </row>
    <row r="617" spans="1:3" ht="13" x14ac:dyDescent="0.15">
      <c r="A617" s="10"/>
      <c r="B617" s="13"/>
      <c r="C617" s="13"/>
    </row>
    <row r="618" spans="1:3" ht="13" x14ac:dyDescent="0.15">
      <c r="A618" s="10"/>
      <c r="B618" s="13"/>
      <c r="C618" s="13"/>
    </row>
    <row r="619" spans="1:3" ht="13" x14ac:dyDescent="0.15">
      <c r="A619" s="10"/>
      <c r="B619" s="13"/>
      <c r="C619" s="13"/>
    </row>
    <row r="620" spans="1:3" ht="13" x14ac:dyDescent="0.15">
      <c r="A620" s="10"/>
      <c r="B620" s="13"/>
      <c r="C620" s="13"/>
    </row>
    <row r="621" spans="1:3" ht="13" x14ac:dyDescent="0.15">
      <c r="A621" s="10"/>
      <c r="B621" s="13"/>
      <c r="C621" s="13"/>
    </row>
    <row r="622" spans="1:3" ht="13" x14ac:dyDescent="0.15">
      <c r="A622" s="10"/>
      <c r="B622" s="13"/>
      <c r="C622" s="13"/>
    </row>
    <row r="623" spans="1:3" ht="13" x14ac:dyDescent="0.15">
      <c r="A623" s="10"/>
      <c r="B623" s="13"/>
      <c r="C623" s="13"/>
    </row>
    <row r="624" spans="1:3" ht="13" x14ac:dyDescent="0.15">
      <c r="A624" s="10"/>
      <c r="B624" s="13"/>
      <c r="C624" s="13"/>
    </row>
    <row r="625" spans="1:3" ht="13" x14ac:dyDescent="0.15">
      <c r="A625" s="10"/>
      <c r="B625" s="13"/>
      <c r="C625" s="13"/>
    </row>
    <row r="626" spans="1:3" ht="13" x14ac:dyDescent="0.15">
      <c r="A626" s="10"/>
      <c r="B626" s="13"/>
      <c r="C626" s="13"/>
    </row>
    <row r="627" spans="1:3" ht="13" x14ac:dyDescent="0.15">
      <c r="A627" s="10"/>
      <c r="B627" s="13"/>
      <c r="C627" s="13"/>
    </row>
    <row r="628" spans="1:3" ht="13" x14ac:dyDescent="0.15">
      <c r="A628" s="10"/>
      <c r="B628" s="13"/>
      <c r="C628" s="13"/>
    </row>
    <row r="629" spans="1:3" ht="13" x14ac:dyDescent="0.15">
      <c r="A629" s="10"/>
      <c r="B629" s="13"/>
      <c r="C629" s="13"/>
    </row>
    <row r="630" spans="1:3" ht="13" x14ac:dyDescent="0.15">
      <c r="A630" s="10"/>
      <c r="B630" s="13"/>
      <c r="C630" s="13"/>
    </row>
    <row r="631" spans="1:3" ht="13" x14ac:dyDescent="0.15">
      <c r="A631" s="10"/>
      <c r="B631" s="13"/>
      <c r="C631" s="13"/>
    </row>
    <row r="632" spans="1:3" ht="13" x14ac:dyDescent="0.15">
      <c r="A632" s="10"/>
      <c r="B632" s="13"/>
      <c r="C632" s="13"/>
    </row>
    <row r="633" spans="1:3" ht="13" x14ac:dyDescent="0.15">
      <c r="A633" s="10"/>
      <c r="B633" s="13"/>
      <c r="C633" s="13"/>
    </row>
    <row r="634" spans="1:3" ht="13" x14ac:dyDescent="0.15">
      <c r="A634" s="10"/>
      <c r="B634" s="13"/>
      <c r="C634" s="13"/>
    </row>
    <row r="635" spans="1:3" ht="13" x14ac:dyDescent="0.15">
      <c r="A635" s="10"/>
      <c r="B635" s="13"/>
      <c r="C635" s="13"/>
    </row>
    <row r="636" spans="1:3" ht="13" x14ac:dyDescent="0.15">
      <c r="A636" s="10"/>
      <c r="B636" s="13"/>
      <c r="C636" s="13"/>
    </row>
    <row r="637" spans="1:3" ht="13" x14ac:dyDescent="0.15">
      <c r="A637" s="10"/>
      <c r="B637" s="13"/>
      <c r="C637" s="13"/>
    </row>
    <row r="638" spans="1:3" ht="13" x14ac:dyDescent="0.15">
      <c r="A638" s="10"/>
      <c r="B638" s="13"/>
      <c r="C638" s="13"/>
    </row>
    <row r="639" spans="1:3" ht="13" x14ac:dyDescent="0.15">
      <c r="A639" s="10"/>
      <c r="B639" s="13"/>
      <c r="C639" s="13"/>
    </row>
    <row r="640" spans="1:3" ht="13" x14ac:dyDescent="0.15">
      <c r="A640" s="10"/>
      <c r="B640" s="13"/>
      <c r="C640" s="13"/>
    </row>
    <row r="641" spans="1:3" ht="13" x14ac:dyDescent="0.15">
      <c r="A641" s="10"/>
      <c r="B641" s="13"/>
      <c r="C641" s="13"/>
    </row>
    <row r="642" spans="1:3" ht="13" x14ac:dyDescent="0.15">
      <c r="A642" s="10"/>
      <c r="B642" s="13"/>
      <c r="C642" s="13"/>
    </row>
    <row r="643" spans="1:3" ht="13" x14ac:dyDescent="0.15">
      <c r="A643" s="10"/>
      <c r="B643" s="13"/>
      <c r="C643" s="13"/>
    </row>
    <row r="644" spans="1:3" ht="13" x14ac:dyDescent="0.15">
      <c r="A644" s="10"/>
      <c r="B644" s="13"/>
      <c r="C644" s="13"/>
    </row>
    <row r="645" spans="1:3" ht="13" x14ac:dyDescent="0.15">
      <c r="A645" s="10"/>
      <c r="B645" s="13"/>
      <c r="C645" s="13"/>
    </row>
    <row r="646" spans="1:3" ht="13" x14ac:dyDescent="0.15">
      <c r="A646" s="10"/>
      <c r="B646" s="13"/>
      <c r="C646" s="13"/>
    </row>
    <row r="647" spans="1:3" ht="13" x14ac:dyDescent="0.15">
      <c r="A647" s="10"/>
      <c r="B647" s="13"/>
      <c r="C647" s="13"/>
    </row>
    <row r="648" spans="1:3" ht="13" x14ac:dyDescent="0.15">
      <c r="A648" s="10"/>
      <c r="B648" s="13"/>
      <c r="C648" s="13"/>
    </row>
    <row r="649" spans="1:3" ht="13" x14ac:dyDescent="0.15">
      <c r="A649" s="10"/>
      <c r="B649" s="13"/>
      <c r="C649" s="13"/>
    </row>
    <row r="650" spans="1:3" ht="13" x14ac:dyDescent="0.15">
      <c r="A650" s="10"/>
      <c r="B650" s="13"/>
      <c r="C650" s="13"/>
    </row>
    <row r="651" spans="1:3" ht="13" x14ac:dyDescent="0.15">
      <c r="A651" s="10"/>
      <c r="B651" s="13"/>
      <c r="C651" s="13"/>
    </row>
    <row r="652" spans="1:3" ht="13" x14ac:dyDescent="0.15">
      <c r="A652" s="10"/>
      <c r="B652" s="13"/>
      <c r="C652" s="13"/>
    </row>
    <row r="653" spans="1:3" ht="13" x14ac:dyDescent="0.15">
      <c r="A653" s="10"/>
      <c r="B653" s="13"/>
      <c r="C653" s="13"/>
    </row>
    <row r="654" spans="1:3" ht="13" x14ac:dyDescent="0.15">
      <c r="A654" s="10"/>
      <c r="B654" s="13"/>
      <c r="C654" s="13"/>
    </row>
    <row r="655" spans="1:3" ht="13" x14ac:dyDescent="0.15">
      <c r="A655" s="10"/>
      <c r="B655" s="13"/>
      <c r="C655" s="13"/>
    </row>
    <row r="656" spans="1:3" ht="13" x14ac:dyDescent="0.15">
      <c r="A656" s="10"/>
      <c r="B656" s="13"/>
      <c r="C656" s="13"/>
    </row>
    <row r="657" spans="1:3" ht="13" x14ac:dyDescent="0.15">
      <c r="A657" s="10"/>
      <c r="B657" s="13"/>
      <c r="C657" s="13"/>
    </row>
    <row r="658" spans="1:3" ht="13" x14ac:dyDescent="0.15">
      <c r="A658" s="10"/>
      <c r="B658" s="13"/>
      <c r="C658" s="13"/>
    </row>
    <row r="659" spans="1:3" ht="13" x14ac:dyDescent="0.15">
      <c r="A659" s="10"/>
      <c r="B659" s="13"/>
      <c r="C659" s="13"/>
    </row>
    <row r="660" spans="1:3" ht="13" x14ac:dyDescent="0.15">
      <c r="A660" s="10"/>
      <c r="B660" s="13"/>
      <c r="C660" s="13"/>
    </row>
    <row r="661" spans="1:3" ht="13" x14ac:dyDescent="0.15">
      <c r="A661" s="10"/>
      <c r="B661" s="13"/>
      <c r="C661" s="13"/>
    </row>
    <row r="662" spans="1:3" ht="13" x14ac:dyDescent="0.15">
      <c r="A662" s="10"/>
      <c r="B662" s="13"/>
      <c r="C662" s="13"/>
    </row>
    <row r="663" spans="1:3" ht="13" x14ac:dyDescent="0.15">
      <c r="A663" s="10"/>
      <c r="B663" s="13"/>
      <c r="C663" s="13"/>
    </row>
    <row r="664" spans="1:3" ht="13" x14ac:dyDescent="0.15">
      <c r="A664" s="10"/>
      <c r="B664" s="13"/>
      <c r="C664" s="13"/>
    </row>
    <row r="665" spans="1:3" ht="13" x14ac:dyDescent="0.15">
      <c r="A665" s="10"/>
      <c r="B665" s="13"/>
      <c r="C665" s="13"/>
    </row>
    <row r="666" spans="1:3" ht="13" x14ac:dyDescent="0.15">
      <c r="A666" s="10"/>
      <c r="B666" s="13"/>
      <c r="C666" s="13"/>
    </row>
    <row r="667" spans="1:3" ht="13" x14ac:dyDescent="0.15">
      <c r="A667" s="10"/>
      <c r="B667" s="13"/>
      <c r="C667" s="13"/>
    </row>
    <row r="668" spans="1:3" ht="13" x14ac:dyDescent="0.15">
      <c r="A668" s="10"/>
      <c r="B668" s="13"/>
      <c r="C668" s="13"/>
    </row>
    <row r="669" spans="1:3" ht="13" x14ac:dyDescent="0.15">
      <c r="A669" s="10"/>
      <c r="B669" s="13"/>
      <c r="C669" s="13"/>
    </row>
    <row r="670" spans="1:3" ht="13" x14ac:dyDescent="0.15">
      <c r="A670" s="10"/>
      <c r="B670" s="13"/>
      <c r="C670" s="13"/>
    </row>
    <row r="671" spans="1:3" ht="13" x14ac:dyDescent="0.15">
      <c r="A671" s="10"/>
      <c r="B671" s="13"/>
      <c r="C671" s="13"/>
    </row>
    <row r="672" spans="1:3" ht="13" x14ac:dyDescent="0.15">
      <c r="A672" s="10"/>
      <c r="B672" s="13"/>
      <c r="C672" s="13"/>
    </row>
    <row r="673" spans="1:3" ht="13" x14ac:dyDescent="0.15">
      <c r="A673" s="10"/>
      <c r="B673" s="13"/>
      <c r="C673" s="13"/>
    </row>
    <row r="674" spans="1:3" ht="13" x14ac:dyDescent="0.15">
      <c r="A674" s="10"/>
      <c r="B674" s="13"/>
      <c r="C674" s="13"/>
    </row>
    <row r="675" spans="1:3" ht="13" x14ac:dyDescent="0.15">
      <c r="A675" s="10"/>
      <c r="B675" s="13"/>
      <c r="C675" s="13"/>
    </row>
    <row r="676" spans="1:3" ht="13" x14ac:dyDescent="0.15">
      <c r="A676" s="10"/>
      <c r="B676" s="13"/>
      <c r="C676" s="13"/>
    </row>
    <row r="677" spans="1:3" ht="13" x14ac:dyDescent="0.15">
      <c r="A677" s="10"/>
      <c r="B677" s="13"/>
      <c r="C677" s="13"/>
    </row>
    <row r="678" spans="1:3" ht="13" x14ac:dyDescent="0.15">
      <c r="A678" s="10"/>
      <c r="B678" s="13"/>
      <c r="C678" s="13"/>
    </row>
    <row r="679" spans="1:3" ht="13" x14ac:dyDescent="0.15">
      <c r="A679" s="10"/>
      <c r="B679" s="13"/>
      <c r="C679" s="13"/>
    </row>
    <row r="680" spans="1:3" ht="13" x14ac:dyDescent="0.15">
      <c r="A680" s="10"/>
      <c r="B680" s="13"/>
      <c r="C680" s="13"/>
    </row>
    <row r="681" spans="1:3" ht="13" x14ac:dyDescent="0.15">
      <c r="A681" s="10"/>
      <c r="B681" s="13"/>
      <c r="C681" s="13"/>
    </row>
    <row r="682" spans="1:3" ht="13" x14ac:dyDescent="0.15">
      <c r="A682" s="10"/>
      <c r="B682" s="13"/>
      <c r="C682" s="13"/>
    </row>
    <row r="683" spans="1:3" ht="13" x14ac:dyDescent="0.15">
      <c r="A683" s="10"/>
      <c r="B683" s="13"/>
      <c r="C683" s="13"/>
    </row>
    <row r="684" spans="1:3" ht="13" x14ac:dyDescent="0.15">
      <c r="A684" s="10"/>
      <c r="B684" s="13"/>
      <c r="C684" s="13"/>
    </row>
    <row r="685" spans="1:3" ht="13" x14ac:dyDescent="0.15">
      <c r="A685" s="10"/>
      <c r="B685" s="13"/>
      <c r="C685" s="13"/>
    </row>
    <row r="686" spans="1:3" ht="13" x14ac:dyDescent="0.15">
      <c r="A686" s="10"/>
      <c r="B686" s="13"/>
      <c r="C686" s="13"/>
    </row>
    <row r="687" spans="1:3" ht="13" x14ac:dyDescent="0.15">
      <c r="A687" s="10"/>
      <c r="B687" s="13"/>
      <c r="C687" s="13"/>
    </row>
    <row r="688" spans="1:3" ht="13" x14ac:dyDescent="0.15">
      <c r="A688" s="10"/>
      <c r="B688" s="13"/>
      <c r="C688" s="13"/>
    </row>
    <row r="689" spans="1:3" ht="13" x14ac:dyDescent="0.15">
      <c r="A689" s="10"/>
      <c r="B689" s="13"/>
      <c r="C689" s="13"/>
    </row>
    <row r="690" spans="1:3" ht="13" x14ac:dyDescent="0.15">
      <c r="A690" s="10"/>
      <c r="B690" s="13"/>
      <c r="C690" s="13"/>
    </row>
    <row r="691" spans="1:3" ht="13" x14ac:dyDescent="0.15">
      <c r="A691" s="10"/>
      <c r="B691" s="13"/>
      <c r="C691" s="13"/>
    </row>
    <row r="692" spans="1:3" ht="13" x14ac:dyDescent="0.15">
      <c r="A692" s="10"/>
      <c r="B692" s="13"/>
      <c r="C692" s="13"/>
    </row>
    <row r="693" spans="1:3" ht="13" x14ac:dyDescent="0.15">
      <c r="A693" s="10"/>
      <c r="B693" s="13"/>
      <c r="C693" s="13"/>
    </row>
    <row r="694" spans="1:3" ht="13" x14ac:dyDescent="0.15">
      <c r="A694" s="10"/>
      <c r="B694" s="13"/>
      <c r="C694" s="13"/>
    </row>
    <row r="695" spans="1:3" ht="13" x14ac:dyDescent="0.15">
      <c r="A695" s="10"/>
      <c r="B695" s="13"/>
      <c r="C695" s="13"/>
    </row>
    <row r="696" spans="1:3" ht="13" x14ac:dyDescent="0.15">
      <c r="A696" s="10"/>
      <c r="B696" s="13"/>
      <c r="C696" s="13"/>
    </row>
    <row r="697" spans="1:3" ht="13" x14ac:dyDescent="0.15">
      <c r="A697" s="10"/>
      <c r="B697" s="13"/>
      <c r="C697" s="13"/>
    </row>
    <row r="698" spans="1:3" ht="13" x14ac:dyDescent="0.15">
      <c r="A698" s="10"/>
      <c r="B698" s="13"/>
      <c r="C698" s="13"/>
    </row>
    <row r="699" spans="1:3" ht="13" x14ac:dyDescent="0.15">
      <c r="A699" s="10"/>
      <c r="B699" s="13"/>
      <c r="C699" s="13"/>
    </row>
    <row r="700" spans="1:3" ht="13" x14ac:dyDescent="0.15">
      <c r="A700" s="10"/>
      <c r="B700" s="13"/>
      <c r="C700" s="13"/>
    </row>
    <row r="701" spans="1:3" ht="13" x14ac:dyDescent="0.15">
      <c r="A701" s="10"/>
      <c r="B701" s="13"/>
      <c r="C701" s="13"/>
    </row>
    <row r="702" spans="1:3" ht="13" x14ac:dyDescent="0.15">
      <c r="A702" s="10"/>
      <c r="B702" s="13"/>
      <c r="C702" s="13"/>
    </row>
    <row r="703" spans="1:3" ht="13" x14ac:dyDescent="0.15">
      <c r="A703" s="10"/>
      <c r="B703" s="13"/>
      <c r="C703" s="13"/>
    </row>
    <row r="704" spans="1:3" ht="13" x14ac:dyDescent="0.15">
      <c r="A704" s="10"/>
      <c r="B704" s="13"/>
      <c r="C704" s="13"/>
    </row>
    <row r="705" spans="1:3" ht="13" x14ac:dyDescent="0.15">
      <c r="A705" s="10"/>
      <c r="B705" s="13"/>
      <c r="C705" s="13"/>
    </row>
    <row r="706" spans="1:3" ht="13" x14ac:dyDescent="0.15">
      <c r="A706" s="10"/>
      <c r="B706" s="13"/>
      <c r="C706" s="13"/>
    </row>
    <row r="707" spans="1:3" ht="13" x14ac:dyDescent="0.15">
      <c r="A707" s="10"/>
      <c r="B707" s="13"/>
      <c r="C707" s="13"/>
    </row>
    <row r="708" spans="1:3" ht="13" x14ac:dyDescent="0.15">
      <c r="A708" s="10"/>
      <c r="B708" s="13"/>
      <c r="C708" s="13"/>
    </row>
    <row r="709" spans="1:3" ht="13" x14ac:dyDescent="0.15">
      <c r="A709" s="10"/>
      <c r="B709" s="13"/>
      <c r="C709" s="13"/>
    </row>
    <row r="710" spans="1:3" ht="13" x14ac:dyDescent="0.15">
      <c r="A710" s="10"/>
      <c r="B710" s="13"/>
      <c r="C710" s="13"/>
    </row>
    <row r="711" spans="1:3" ht="13" x14ac:dyDescent="0.15">
      <c r="A711" s="10"/>
      <c r="B711" s="13"/>
      <c r="C711" s="13"/>
    </row>
    <row r="712" spans="1:3" ht="13" x14ac:dyDescent="0.15">
      <c r="A712" s="10"/>
      <c r="B712" s="13"/>
      <c r="C712" s="13"/>
    </row>
    <row r="713" spans="1:3" ht="13" x14ac:dyDescent="0.15">
      <c r="A713" s="10"/>
      <c r="B713" s="13"/>
      <c r="C713" s="13"/>
    </row>
    <row r="714" spans="1:3" ht="13" x14ac:dyDescent="0.15">
      <c r="A714" s="10"/>
      <c r="B714" s="13"/>
      <c r="C714" s="13"/>
    </row>
    <row r="715" spans="1:3" ht="13" x14ac:dyDescent="0.15">
      <c r="A715" s="10"/>
      <c r="B715" s="13"/>
      <c r="C715" s="13"/>
    </row>
    <row r="716" spans="1:3" ht="13" x14ac:dyDescent="0.15">
      <c r="A716" s="10"/>
      <c r="B716" s="13"/>
      <c r="C716" s="13"/>
    </row>
    <row r="717" spans="1:3" ht="13" x14ac:dyDescent="0.15">
      <c r="A717" s="10"/>
      <c r="B717" s="13"/>
      <c r="C717" s="13"/>
    </row>
    <row r="718" spans="1:3" ht="13" x14ac:dyDescent="0.15">
      <c r="A718" s="10"/>
      <c r="B718" s="13"/>
      <c r="C718" s="13"/>
    </row>
    <row r="719" spans="1:3" ht="13" x14ac:dyDescent="0.15">
      <c r="A719" s="10"/>
      <c r="B719" s="13"/>
      <c r="C719" s="13"/>
    </row>
    <row r="720" spans="1:3" ht="13" x14ac:dyDescent="0.15">
      <c r="A720" s="10"/>
      <c r="B720" s="13"/>
      <c r="C720" s="13"/>
    </row>
    <row r="721" spans="1:3" ht="13" x14ac:dyDescent="0.15">
      <c r="A721" s="10"/>
      <c r="B721" s="13"/>
      <c r="C721" s="13"/>
    </row>
    <row r="722" spans="1:3" ht="13" x14ac:dyDescent="0.15">
      <c r="A722" s="10"/>
      <c r="B722" s="13"/>
      <c r="C722" s="13"/>
    </row>
    <row r="723" spans="1:3" ht="13" x14ac:dyDescent="0.15">
      <c r="A723" s="10"/>
      <c r="B723" s="13"/>
      <c r="C723" s="13"/>
    </row>
    <row r="724" spans="1:3" ht="13" x14ac:dyDescent="0.15">
      <c r="A724" s="10"/>
      <c r="B724" s="13"/>
      <c r="C724" s="13"/>
    </row>
    <row r="725" spans="1:3" ht="13" x14ac:dyDescent="0.15">
      <c r="A725" s="10"/>
      <c r="B725" s="13"/>
      <c r="C725" s="13"/>
    </row>
    <row r="726" spans="1:3" ht="13" x14ac:dyDescent="0.15">
      <c r="A726" s="10"/>
      <c r="B726" s="13"/>
      <c r="C726" s="13"/>
    </row>
    <row r="727" spans="1:3" ht="13" x14ac:dyDescent="0.15">
      <c r="A727" s="10"/>
      <c r="B727" s="13"/>
      <c r="C727" s="13"/>
    </row>
    <row r="728" spans="1:3" ht="13" x14ac:dyDescent="0.15">
      <c r="A728" s="10"/>
      <c r="B728" s="13"/>
      <c r="C728" s="13"/>
    </row>
    <row r="729" spans="1:3" ht="13" x14ac:dyDescent="0.15">
      <c r="A729" s="10"/>
      <c r="B729" s="13"/>
      <c r="C729" s="13"/>
    </row>
    <row r="730" spans="1:3" ht="13" x14ac:dyDescent="0.15">
      <c r="A730" s="10"/>
      <c r="B730" s="13"/>
      <c r="C730" s="13"/>
    </row>
    <row r="731" spans="1:3" ht="13" x14ac:dyDescent="0.15">
      <c r="A731" s="10"/>
      <c r="B731" s="13"/>
      <c r="C731" s="13"/>
    </row>
    <row r="732" spans="1:3" ht="13" x14ac:dyDescent="0.15">
      <c r="A732" s="10"/>
      <c r="B732" s="13"/>
      <c r="C732" s="13"/>
    </row>
    <row r="733" spans="1:3" ht="13" x14ac:dyDescent="0.15">
      <c r="A733" s="10"/>
      <c r="B733" s="13"/>
      <c r="C733" s="13"/>
    </row>
    <row r="734" spans="1:3" ht="13" x14ac:dyDescent="0.15">
      <c r="A734" s="10"/>
      <c r="B734" s="13"/>
      <c r="C734" s="13"/>
    </row>
    <row r="735" spans="1:3" ht="13" x14ac:dyDescent="0.15">
      <c r="A735" s="10"/>
      <c r="B735" s="13"/>
      <c r="C735" s="13"/>
    </row>
    <row r="736" spans="1:3" ht="13" x14ac:dyDescent="0.15">
      <c r="A736" s="10"/>
      <c r="B736" s="13"/>
      <c r="C736" s="13"/>
    </row>
    <row r="737" spans="1:3" ht="13" x14ac:dyDescent="0.15">
      <c r="A737" s="10"/>
      <c r="B737" s="13"/>
      <c r="C737" s="13"/>
    </row>
    <row r="738" spans="1:3" ht="13" x14ac:dyDescent="0.15">
      <c r="A738" s="10"/>
      <c r="B738" s="13"/>
      <c r="C738" s="13"/>
    </row>
    <row r="739" spans="1:3" ht="13" x14ac:dyDescent="0.15">
      <c r="A739" s="10"/>
      <c r="B739" s="13"/>
      <c r="C739" s="13"/>
    </row>
    <row r="740" spans="1:3" ht="13" x14ac:dyDescent="0.15">
      <c r="A740" s="10"/>
      <c r="B740" s="13"/>
      <c r="C740" s="13"/>
    </row>
    <row r="741" spans="1:3" ht="13" x14ac:dyDescent="0.15">
      <c r="A741" s="10"/>
      <c r="B741" s="13"/>
      <c r="C741" s="13"/>
    </row>
    <row r="742" spans="1:3" ht="13" x14ac:dyDescent="0.15">
      <c r="A742" s="10"/>
      <c r="B742" s="13"/>
      <c r="C742" s="13"/>
    </row>
    <row r="743" spans="1:3" ht="13" x14ac:dyDescent="0.15">
      <c r="A743" s="10"/>
      <c r="B743" s="13"/>
      <c r="C743" s="13"/>
    </row>
    <row r="744" spans="1:3" ht="13" x14ac:dyDescent="0.15">
      <c r="A744" s="10"/>
      <c r="B744" s="13"/>
      <c r="C744" s="13"/>
    </row>
    <row r="745" spans="1:3" ht="13" x14ac:dyDescent="0.15">
      <c r="A745" s="10"/>
      <c r="B745" s="13"/>
      <c r="C745" s="13"/>
    </row>
    <row r="746" spans="1:3" ht="13" x14ac:dyDescent="0.15">
      <c r="A746" s="10"/>
      <c r="B746" s="13"/>
      <c r="C746" s="13"/>
    </row>
    <row r="747" spans="1:3" ht="13" x14ac:dyDescent="0.15">
      <c r="A747" s="10"/>
      <c r="B747" s="13"/>
      <c r="C747" s="13"/>
    </row>
    <row r="748" spans="1:3" ht="13" x14ac:dyDescent="0.15">
      <c r="A748" s="10"/>
      <c r="B748" s="13"/>
      <c r="C748" s="13"/>
    </row>
    <row r="749" spans="1:3" ht="13" x14ac:dyDescent="0.15">
      <c r="A749" s="10"/>
      <c r="B749" s="13"/>
      <c r="C749" s="13"/>
    </row>
    <row r="750" spans="1:3" ht="13" x14ac:dyDescent="0.15">
      <c r="A750" s="10"/>
      <c r="B750" s="13"/>
      <c r="C750" s="13"/>
    </row>
    <row r="751" spans="1:3" ht="13" x14ac:dyDescent="0.15">
      <c r="A751" s="10"/>
      <c r="B751" s="13"/>
      <c r="C751" s="13"/>
    </row>
    <row r="752" spans="1:3" ht="13" x14ac:dyDescent="0.15">
      <c r="A752" s="10"/>
      <c r="B752" s="13"/>
      <c r="C752" s="13"/>
    </row>
    <row r="753" spans="1:3" ht="13" x14ac:dyDescent="0.15">
      <c r="A753" s="10"/>
      <c r="B753" s="13"/>
      <c r="C753" s="13"/>
    </row>
    <row r="754" spans="1:3" ht="13" x14ac:dyDescent="0.15">
      <c r="A754" s="10"/>
      <c r="B754" s="13"/>
      <c r="C754" s="13"/>
    </row>
    <row r="755" spans="1:3" ht="13" x14ac:dyDescent="0.15">
      <c r="A755" s="10"/>
      <c r="B755" s="13"/>
      <c r="C755" s="13"/>
    </row>
    <row r="756" spans="1:3" ht="13" x14ac:dyDescent="0.15">
      <c r="A756" s="10"/>
      <c r="B756" s="13"/>
      <c r="C756" s="13"/>
    </row>
    <row r="757" spans="1:3" ht="13" x14ac:dyDescent="0.15">
      <c r="A757" s="10"/>
      <c r="B757" s="13"/>
      <c r="C757" s="13"/>
    </row>
    <row r="758" spans="1:3" ht="13" x14ac:dyDescent="0.15">
      <c r="A758" s="10"/>
      <c r="B758" s="13"/>
      <c r="C758" s="13"/>
    </row>
    <row r="759" spans="1:3" ht="13" x14ac:dyDescent="0.15">
      <c r="A759" s="10"/>
      <c r="B759" s="13"/>
      <c r="C759" s="13"/>
    </row>
    <row r="760" spans="1:3" ht="13" x14ac:dyDescent="0.15">
      <c r="A760" s="10"/>
      <c r="B760" s="13"/>
      <c r="C760" s="13"/>
    </row>
    <row r="761" spans="1:3" ht="13" x14ac:dyDescent="0.15">
      <c r="A761" s="10"/>
      <c r="B761" s="13"/>
      <c r="C761" s="13"/>
    </row>
    <row r="762" spans="1:3" ht="13" x14ac:dyDescent="0.15">
      <c r="A762" s="10"/>
      <c r="B762" s="13"/>
      <c r="C762" s="13"/>
    </row>
    <row r="763" spans="1:3" ht="13" x14ac:dyDescent="0.15">
      <c r="A763" s="10"/>
      <c r="B763" s="13"/>
      <c r="C763" s="13"/>
    </row>
    <row r="764" spans="1:3" ht="13" x14ac:dyDescent="0.15">
      <c r="A764" s="10"/>
      <c r="B764" s="13"/>
      <c r="C764" s="13"/>
    </row>
    <row r="765" spans="1:3" ht="13" x14ac:dyDescent="0.15">
      <c r="A765" s="10"/>
      <c r="B765" s="13"/>
      <c r="C765" s="13"/>
    </row>
    <row r="766" spans="1:3" ht="13" x14ac:dyDescent="0.15">
      <c r="A766" s="10"/>
      <c r="B766" s="13"/>
      <c r="C766" s="13"/>
    </row>
    <row r="767" spans="1:3" ht="13" x14ac:dyDescent="0.15">
      <c r="A767" s="10"/>
      <c r="B767" s="13"/>
      <c r="C767" s="13"/>
    </row>
    <row r="768" spans="1:3" ht="13" x14ac:dyDescent="0.15">
      <c r="A768" s="10"/>
      <c r="B768" s="13"/>
      <c r="C768" s="13"/>
    </row>
    <row r="769" spans="1:3" ht="13" x14ac:dyDescent="0.15">
      <c r="A769" s="10"/>
      <c r="B769" s="13"/>
      <c r="C769" s="13"/>
    </row>
    <row r="770" spans="1:3" ht="13" x14ac:dyDescent="0.15">
      <c r="A770" s="10"/>
      <c r="B770" s="13"/>
      <c r="C770" s="13"/>
    </row>
    <row r="771" spans="1:3" ht="13" x14ac:dyDescent="0.15">
      <c r="A771" s="10"/>
      <c r="B771" s="13"/>
      <c r="C771" s="13"/>
    </row>
    <row r="772" spans="1:3" ht="13" x14ac:dyDescent="0.15">
      <c r="A772" s="10"/>
      <c r="B772" s="13"/>
      <c r="C772" s="13"/>
    </row>
    <row r="773" spans="1:3" ht="13" x14ac:dyDescent="0.15">
      <c r="A773" s="10"/>
      <c r="B773" s="13"/>
      <c r="C773" s="13"/>
    </row>
    <row r="774" spans="1:3" ht="13" x14ac:dyDescent="0.15">
      <c r="A774" s="10"/>
      <c r="B774" s="13"/>
      <c r="C774" s="13"/>
    </row>
    <row r="775" spans="1:3" ht="13" x14ac:dyDescent="0.15">
      <c r="A775" s="10"/>
      <c r="B775" s="13"/>
      <c r="C775" s="13"/>
    </row>
    <row r="776" spans="1:3" ht="13" x14ac:dyDescent="0.15">
      <c r="A776" s="10"/>
      <c r="B776" s="13"/>
      <c r="C776" s="13"/>
    </row>
    <row r="777" spans="1:3" ht="13" x14ac:dyDescent="0.15">
      <c r="A777" s="10"/>
      <c r="B777" s="13"/>
      <c r="C777" s="13"/>
    </row>
    <row r="778" spans="1:3" ht="13" x14ac:dyDescent="0.15">
      <c r="A778" s="10"/>
      <c r="B778" s="13"/>
      <c r="C778" s="13"/>
    </row>
    <row r="779" spans="1:3" ht="13" x14ac:dyDescent="0.15">
      <c r="A779" s="10"/>
      <c r="B779" s="13"/>
      <c r="C779" s="13"/>
    </row>
    <row r="780" spans="1:3" ht="13" x14ac:dyDescent="0.15">
      <c r="A780" s="10"/>
      <c r="B780" s="13"/>
      <c r="C780" s="13"/>
    </row>
    <row r="781" spans="1:3" ht="13" x14ac:dyDescent="0.15">
      <c r="A781" s="10"/>
      <c r="B781" s="13"/>
      <c r="C781" s="13"/>
    </row>
    <row r="782" spans="1:3" ht="13" x14ac:dyDescent="0.15">
      <c r="A782" s="10"/>
      <c r="B782" s="13"/>
      <c r="C782" s="13"/>
    </row>
    <row r="783" spans="1:3" ht="13" x14ac:dyDescent="0.15">
      <c r="A783" s="10"/>
      <c r="B783" s="13"/>
      <c r="C783" s="13"/>
    </row>
    <row r="784" spans="1:3" ht="13" x14ac:dyDescent="0.15">
      <c r="A784" s="10"/>
      <c r="B784" s="13"/>
      <c r="C784" s="13"/>
    </row>
    <row r="785" spans="1:3" ht="13" x14ac:dyDescent="0.15">
      <c r="A785" s="10"/>
      <c r="B785" s="13"/>
      <c r="C785" s="13"/>
    </row>
    <row r="786" spans="1:3" ht="13" x14ac:dyDescent="0.15">
      <c r="A786" s="10"/>
      <c r="B786" s="13"/>
      <c r="C786" s="13"/>
    </row>
    <row r="787" spans="1:3" ht="13" x14ac:dyDescent="0.15">
      <c r="A787" s="10"/>
      <c r="B787" s="13"/>
      <c r="C787" s="13"/>
    </row>
    <row r="788" spans="1:3" ht="13" x14ac:dyDescent="0.15">
      <c r="A788" s="10"/>
      <c r="B788" s="13"/>
      <c r="C788" s="13"/>
    </row>
    <row r="789" spans="1:3" ht="13" x14ac:dyDescent="0.15">
      <c r="A789" s="10"/>
      <c r="B789" s="13"/>
      <c r="C789" s="13"/>
    </row>
    <row r="790" spans="1:3" ht="13" x14ac:dyDescent="0.15">
      <c r="A790" s="10"/>
      <c r="B790" s="13"/>
      <c r="C790" s="13"/>
    </row>
    <row r="791" spans="1:3" ht="13" x14ac:dyDescent="0.15">
      <c r="A791" s="10"/>
      <c r="B791" s="13"/>
      <c r="C791" s="13"/>
    </row>
    <row r="792" spans="1:3" ht="13" x14ac:dyDescent="0.15">
      <c r="A792" s="10"/>
      <c r="B792" s="13"/>
      <c r="C792" s="13"/>
    </row>
    <row r="793" spans="1:3" ht="13" x14ac:dyDescent="0.15">
      <c r="A793" s="10"/>
      <c r="B793" s="13"/>
      <c r="C793" s="13"/>
    </row>
    <row r="794" spans="1:3" ht="13" x14ac:dyDescent="0.15">
      <c r="A794" s="10"/>
      <c r="B794" s="13"/>
      <c r="C794" s="13"/>
    </row>
    <row r="795" spans="1:3" ht="13" x14ac:dyDescent="0.15">
      <c r="A795" s="10"/>
      <c r="B795" s="13"/>
      <c r="C795" s="13"/>
    </row>
    <row r="796" spans="1:3" ht="13" x14ac:dyDescent="0.15">
      <c r="A796" s="10"/>
      <c r="B796" s="13"/>
      <c r="C796" s="13"/>
    </row>
    <row r="797" spans="1:3" ht="13" x14ac:dyDescent="0.15">
      <c r="A797" s="10"/>
      <c r="B797" s="13"/>
      <c r="C797" s="13"/>
    </row>
    <row r="798" spans="1:3" ht="13" x14ac:dyDescent="0.15">
      <c r="A798" s="10"/>
      <c r="B798" s="13"/>
      <c r="C798" s="13"/>
    </row>
    <row r="799" spans="1:3" ht="13" x14ac:dyDescent="0.15">
      <c r="A799" s="10"/>
      <c r="B799" s="13"/>
      <c r="C799" s="13"/>
    </row>
    <row r="800" spans="1:3" ht="13" x14ac:dyDescent="0.15">
      <c r="A800" s="10"/>
      <c r="B800" s="13"/>
      <c r="C800" s="13"/>
    </row>
    <row r="801" spans="1:3" ht="13" x14ac:dyDescent="0.15">
      <c r="A801" s="10"/>
      <c r="B801" s="13"/>
      <c r="C801" s="13"/>
    </row>
    <row r="802" spans="1:3" ht="13" x14ac:dyDescent="0.15">
      <c r="A802" s="10"/>
      <c r="B802" s="13"/>
      <c r="C802" s="13"/>
    </row>
    <row r="803" spans="1:3" ht="13" x14ac:dyDescent="0.15">
      <c r="A803" s="10"/>
      <c r="B803" s="13"/>
      <c r="C803" s="13"/>
    </row>
    <row r="804" spans="1:3" ht="13" x14ac:dyDescent="0.15">
      <c r="A804" s="10"/>
      <c r="B804" s="13"/>
      <c r="C804" s="13"/>
    </row>
    <row r="805" spans="1:3" ht="13" x14ac:dyDescent="0.15">
      <c r="A805" s="10"/>
      <c r="B805" s="13"/>
      <c r="C805" s="13"/>
    </row>
    <row r="806" spans="1:3" ht="13" x14ac:dyDescent="0.15">
      <c r="A806" s="10"/>
      <c r="B806" s="13"/>
      <c r="C806" s="13"/>
    </row>
    <row r="807" spans="1:3" ht="13" x14ac:dyDescent="0.15">
      <c r="A807" s="10"/>
      <c r="B807" s="13"/>
      <c r="C807" s="13"/>
    </row>
    <row r="808" spans="1:3" ht="13" x14ac:dyDescent="0.15">
      <c r="A808" s="10"/>
      <c r="B808" s="13"/>
      <c r="C808" s="13"/>
    </row>
    <row r="809" spans="1:3" ht="13" x14ac:dyDescent="0.15">
      <c r="A809" s="10"/>
      <c r="B809" s="13"/>
      <c r="C809" s="13"/>
    </row>
    <row r="810" spans="1:3" ht="13" x14ac:dyDescent="0.15">
      <c r="A810" s="10"/>
      <c r="B810" s="13"/>
      <c r="C810" s="13"/>
    </row>
    <row r="811" spans="1:3" ht="13" x14ac:dyDescent="0.15">
      <c r="A811" s="10"/>
      <c r="B811" s="13"/>
      <c r="C811" s="13"/>
    </row>
    <row r="812" spans="1:3" ht="13" x14ac:dyDescent="0.15">
      <c r="A812" s="10"/>
      <c r="B812" s="13"/>
      <c r="C812" s="13"/>
    </row>
    <row r="813" spans="1:3" ht="13" x14ac:dyDescent="0.15">
      <c r="A813" s="10"/>
      <c r="B813" s="13"/>
      <c r="C813" s="13"/>
    </row>
    <row r="814" spans="1:3" ht="13" x14ac:dyDescent="0.15">
      <c r="A814" s="10"/>
      <c r="B814" s="13"/>
      <c r="C814" s="13"/>
    </row>
    <row r="815" spans="1:3" ht="13" x14ac:dyDescent="0.15">
      <c r="A815" s="10"/>
      <c r="B815" s="13"/>
      <c r="C815" s="13"/>
    </row>
    <row r="816" spans="1:3" ht="13" x14ac:dyDescent="0.15">
      <c r="A816" s="10"/>
      <c r="B816" s="13"/>
      <c r="C816" s="13"/>
    </row>
    <row r="817" spans="1:3" ht="13" x14ac:dyDescent="0.15">
      <c r="A817" s="10"/>
      <c r="B817" s="13"/>
      <c r="C817" s="13"/>
    </row>
    <row r="818" spans="1:3" ht="13" x14ac:dyDescent="0.15">
      <c r="A818" s="10"/>
      <c r="B818" s="13"/>
      <c r="C818" s="13"/>
    </row>
    <row r="819" spans="1:3" ht="13" x14ac:dyDescent="0.15">
      <c r="A819" s="10"/>
      <c r="B819" s="13"/>
      <c r="C819" s="13"/>
    </row>
    <row r="820" spans="1:3" ht="13" x14ac:dyDescent="0.15">
      <c r="A820" s="10"/>
      <c r="B820" s="13"/>
      <c r="C820" s="13"/>
    </row>
    <row r="821" spans="1:3" ht="13" x14ac:dyDescent="0.15">
      <c r="A821" s="10"/>
      <c r="B821" s="13"/>
      <c r="C821" s="13"/>
    </row>
    <row r="822" spans="1:3" ht="13" x14ac:dyDescent="0.15">
      <c r="A822" s="10"/>
      <c r="B822" s="13"/>
      <c r="C822" s="13"/>
    </row>
    <row r="823" spans="1:3" ht="13" x14ac:dyDescent="0.15">
      <c r="A823" s="10"/>
      <c r="B823" s="13"/>
      <c r="C823" s="13"/>
    </row>
    <row r="824" spans="1:3" ht="13" x14ac:dyDescent="0.15">
      <c r="A824" s="10"/>
      <c r="B824" s="13"/>
      <c r="C824" s="13"/>
    </row>
    <row r="825" spans="1:3" ht="13" x14ac:dyDescent="0.15">
      <c r="A825" s="10"/>
      <c r="B825" s="13"/>
      <c r="C825" s="13"/>
    </row>
    <row r="826" spans="1:3" ht="13" x14ac:dyDescent="0.15">
      <c r="A826" s="10"/>
      <c r="B826" s="13"/>
      <c r="C826" s="13"/>
    </row>
    <row r="827" spans="1:3" ht="13" x14ac:dyDescent="0.15">
      <c r="A827" s="10"/>
      <c r="B827" s="13"/>
      <c r="C827" s="13"/>
    </row>
    <row r="828" spans="1:3" ht="13" x14ac:dyDescent="0.15">
      <c r="A828" s="10"/>
      <c r="B828" s="13"/>
      <c r="C828" s="13"/>
    </row>
    <row r="829" spans="1:3" ht="13" x14ac:dyDescent="0.15">
      <c r="A829" s="10"/>
      <c r="B829" s="13"/>
      <c r="C829" s="13"/>
    </row>
    <row r="830" spans="1:3" ht="13" x14ac:dyDescent="0.15">
      <c r="A830" s="10"/>
      <c r="B830" s="13"/>
      <c r="C830" s="13"/>
    </row>
    <row r="831" spans="1:3" ht="13" x14ac:dyDescent="0.15">
      <c r="A831" s="10"/>
      <c r="B831" s="13"/>
      <c r="C831" s="13"/>
    </row>
    <row r="832" spans="1:3" ht="13" x14ac:dyDescent="0.15">
      <c r="A832" s="10"/>
      <c r="B832" s="13"/>
      <c r="C832" s="13"/>
    </row>
    <row r="833" spans="1:3" ht="13" x14ac:dyDescent="0.15">
      <c r="A833" s="10"/>
      <c r="B833" s="13"/>
      <c r="C833" s="13"/>
    </row>
    <row r="834" spans="1:3" ht="13" x14ac:dyDescent="0.15">
      <c r="A834" s="10"/>
      <c r="B834" s="13"/>
      <c r="C834" s="13"/>
    </row>
    <row r="835" spans="1:3" ht="13" x14ac:dyDescent="0.15">
      <c r="A835" s="10"/>
      <c r="B835" s="13"/>
      <c r="C835" s="13"/>
    </row>
    <row r="836" spans="1:3" ht="13" x14ac:dyDescent="0.15">
      <c r="A836" s="10"/>
      <c r="B836" s="13"/>
      <c r="C836" s="13"/>
    </row>
    <row r="837" spans="1:3" ht="13" x14ac:dyDescent="0.15">
      <c r="A837" s="10"/>
      <c r="B837" s="13"/>
      <c r="C837" s="13"/>
    </row>
    <row r="838" spans="1:3" ht="13" x14ac:dyDescent="0.15">
      <c r="A838" s="10"/>
      <c r="B838" s="13"/>
      <c r="C838" s="13"/>
    </row>
    <row r="839" spans="1:3" ht="13" x14ac:dyDescent="0.15">
      <c r="A839" s="10"/>
      <c r="B839" s="13"/>
      <c r="C839" s="13"/>
    </row>
    <row r="840" spans="1:3" ht="13" x14ac:dyDescent="0.15">
      <c r="A840" s="10"/>
      <c r="B840" s="13"/>
      <c r="C840" s="13"/>
    </row>
    <row r="841" spans="1:3" ht="13" x14ac:dyDescent="0.15">
      <c r="A841" s="10"/>
      <c r="B841" s="13"/>
      <c r="C841" s="13"/>
    </row>
    <row r="842" spans="1:3" ht="13" x14ac:dyDescent="0.15">
      <c r="A842" s="10"/>
      <c r="B842" s="13"/>
      <c r="C842" s="13"/>
    </row>
    <row r="843" spans="1:3" ht="13" x14ac:dyDescent="0.15">
      <c r="A843" s="10"/>
      <c r="B843" s="13"/>
      <c r="C843" s="13"/>
    </row>
    <row r="844" spans="1:3" ht="13" x14ac:dyDescent="0.15">
      <c r="A844" s="10"/>
      <c r="B844" s="13"/>
      <c r="C844" s="13"/>
    </row>
    <row r="845" spans="1:3" ht="13" x14ac:dyDescent="0.15">
      <c r="A845" s="10"/>
      <c r="B845" s="13"/>
      <c r="C845" s="13"/>
    </row>
    <row r="846" spans="1:3" ht="13" x14ac:dyDescent="0.15">
      <c r="A846" s="10"/>
      <c r="B846" s="13"/>
      <c r="C846" s="13"/>
    </row>
    <row r="847" spans="1:3" ht="13" x14ac:dyDescent="0.15">
      <c r="A847" s="10"/>
      <c r="B847" s="13"/>
      <c r="C847" s="13"/>
    </row>
    <row r="848" spans="1:3" ht="13" x14ac:dyDescent="0.15">
      <c r="A848" s="10"/>
      <c r="B848" s="13"/>
      <c r="C848" s="13"/>
    </row>
    <row r="849" spans="1:3" ht="13" x14ac:dyDescent="0.15">
      <c r="A849" s="10"/>
      <c r="B849" s="13"/>
      <c r="C849" s="13"/>
    </row>
    <row r="850" spans="1:3" ht="13" x14ac:dyDescent="0.15">
      <c r="A850" s="10"/>
      <c r="B850" s="13"/>
      <c r="C850" s="13"/>
    </row>
    <row r="851" spans="1:3" ht="13" x14ac:dyDescent="0.15">
      <c r="A851" s="10"/>
      <c r="B851" s="13"/>
      <c r="C851" s="13"/>
    </row>
    <row r="852" spans="1:3" ht="13" x14ac:dyDescent="0.15">
      <c r="A852" s="10"/>
      <c r="B852" s="13"/>
      <c r="C852" s="13"/>
    </row>
    <row r="853" spans="1:3" ht="13" x14ac:dyDescent="0.15">
      <c r="A853" s="10"/>
      <c r="B853" s="13"/>
      <c r="C853" s="13"/>
    </row>
    <row r="854" spans="1:3" ht="13" x14ac:dyDescent="0.15">
      <c r="A854" s="10"/>
      <c r="B854" s="13"/>
      <c r="C854" s="13"/>
    </row>
    <row r="855" spans="1:3" ht="13" x14ac:dyDescent="0.15">
      <c r="A855" s="10"/>
      <c r="B855" s="13"/>
      <c r="C855" s="13"/>
    </row>
    <row r="856" spans="1:3" ht="13" x14ac:dyDescent="0.15">
      <c r="A856" s="10"/>
      <c r="B856" s="13"/>
      <c r="C856" s="13"/>
    </row>
    <row r="857" spans="1:3" ht="13" x14ac:dyDescent="0.15">
      <c r="A857" s="10"/>
      <c r="B857" s="13"/>
      <c r="C857" s="13"/>
    </row>
    <row r="858" spans="1:3" ht="13" x14ac:dyDescent="0.15">
      <c r="A858" s="10"/>
      <c r="B858" s="13"/>
      <c r="C858" s="13"/>
    </row>
    <row r="859" spans="1:3" ht="13" x14ac:dyDescent="0.15">
      <c r="A859" s="10"/>
      <c r="B859" s="13"/>
      <c r="C859" s="13"/>
    </row>
    <row r="860" spans="1:3" ht="13" x14ac:dyDescent="0.15">
      <c r="A860" s="10"/>
      <c r="B860" s="13"/>
      <c r="C860" s="13"/>
    </row>
    <row r="861" spans="1:3" ht="13" x14ac:dyDescent="0.15">
      <c r="A861" s="10"/>
      <c r="B861" s="13"/>
      <c r="C861" s="13"/>
    </row>
    <row r="862" spans="1:3" ht="13" x14ac:dyDescent="0.15">
      <c r="A862" s="10"/>
      <c r="B862" s="13"/>
      <c r="C862" s="13"/>
    </row>
    <row r="863" spans="1:3" ht="13" x14ac:dyDescent="0.15">
      <c r="A863" s="10"/>
      <c r="B863" s="13"/>
      <c r="C863" s="13"/>
    </row>
    <row r="864" spans="1:3" ht="13" x14ac:dyDescent="0.15">
      <c r="A864" s="10"/>
      <c r="B864" s="13"/>
      <c r="C864" s="13"/>
    </row>
    <row r="865" spans="1:3" ht="13" x14ac:dyDescent="0.15">
      <c r="A865" s="10"/>
      <c r="B865" s="13"/>
      <c r="C865" s="13"/>
    </row>
    <row r="866" spans="1:3" ht="13" x14ac:dyDescent="0.15">
      <c r="A866" s="10"/>
      <c r="B866" s="13"/>
      <c r="C866" s="13"/>
    </row>
    <row r="867" spans="1:3" ht="13" x14ac:dyDescent="0.15">
      <c r="A867" s="10"/>
      <c r="B867" s="13"/>
      <c r="C867" s="13"/>
    </row>
    <row r="868" spans="1:3" ht="13" x14ac:dyDescent="0.15">
      <c r="A868" s="10"/>
      <c r="B868" s="13"/>
      <c r="C868" s="13"/>
    </row>
    <row r="869" spans="1:3" ht="13" x14ac:dyDescent="0.15">
      <c r="A869" s="10"/>
      <c r="B869" s="13"/>
      <c r="C869" s="13"/>
    </row>
    <row r="870" spans="1:3" ht="13" x14ac:dyDescent="0.15">
      <c r="A870" s="10"/>
      <c r="B870" s="13"/>
      <c r="C870" s="13"/>
    </row>
    <row r="871" spans="1:3" ht="13" x14ac:dyDescent="0.15">
      <c r="A871" s="10"/>
      <c r="B871" s="13"/>
      <c r="C871" s="13"/>
    </row>
    <row r="872" spans="1:3" ht="13" x14ac:dyDescent="0.15">
      <c r="A872" s="10"/>
      <c r="B872" s="13"/>
      <c r="C872" s="13"/>
    </row>
    <row r="873" spans="1:3" ht="13" x14ac:dyDescent="0.15">
      <c r="A873" s="10"/>
      <c r="B873" s="13"/>
      <c r="C873" s="13"/>
    </row>
    <row r="874" spans="1:3" ht="13" x14ac:dyDescent="0.15">
      <c r="A874" s="10"/>
      <c r="B874" s="13"/>
      <c r="C874" s="13"/>
    </row>
    <row r="875" spans="1:3" ht="13" x14ac:dyDescent="0.15">
      <c r="A875" s="10"/>
      <c r="B875" s="13"/>
      <c r="C875" s="13"/>
    </row>
    <row r="876" spans="1:3" ht="13" x14ac:dyDescent="0.15">
      <c r="A876" s="10"/>
      <c r="B876" s="13"/>
      <c r="C876" s="13"/>
    </row>
    <row r="877" spans="1:3" ht="13" x14ac:dyDescent="0.15">
      <c r="A877" s="10"/>
      <c r="B877" s="13"/>
      <c r="C877" s="13"/>
    </row>
    <row r="878" spans="1:3" ht="13" x14ac:dyDescent="0.15">
      <c r="A878" s="10"/>
      <c r="B878" s="13"/>
      <c r="C878" s="13"/>
    </row>
    <row r="879" spans="1:3" ht="13" x14ac:dyDescent="0.15">
      <c r="A879" s="10"/>
      <c r="B879" s="13"/>
      <c r="C879" s="13"/>
    </row>
    <row r="880" spans="1:3" ht="13" x14ac:dyDescent="0.15">
      <c r="A880" s="10"/>
      <c r="B880" s="13"/>
      <c r="C880" s="13"/>
    </row>
    <row r="881" spans="1:3" ht="13" x14ac:dyDescent="0.15">
      <c r="A881" s="10"/>
      <c r="B881" s="13"/>
      <c r="C881" s="13"/>
    </row>
    <row r="882" spans="1:3" ht="13" x14ac:dyDescent="0.15">
      <c r="A882" s="10"/>
      <c r="B882" s="13"/>
      <c r="C882" s="13"/>
    </row>
    <row r="883" spans="1:3" ht="13" x14ac:dyDescent="0.15">
      <c r="A883" s="10"/>
      <c r="B883" s="13"/>
      <c r="C883" s="13"/>
    </row>
    <row r="884" spans="1:3" ht="13" x14ac:dyDescent="0.15">
      <c r="A884" s="10"/>
      <c r="B884" s="13"/>
      <c r="C884" s="13"/>
    </row>
    <row r="885" spans="1:3" ht="13" x14ac:dyDescent="0.15">
      <c r="A885" s="10"/>
      <c r="B885" s="13"/>
      <c r="C885" s="13"/>
    </row>
    <row r="886" spans="1:3" ht="13" x14ac:dyDescent="0.15">
      <c r="A886" s="10"/>
      <c r="B886" s="13"/>
      <c r="C886" s="13"/>
    </row>
    <row r="887" spans="1:3" ht="13" x14ac:dyDescent="0.15">
      <c r="A887" s="10"/>
      <c r="B887" s="13"/>
      <c r="C887" s="13"/>
    </row>
    <row r="888" spans="1:3" ht="13" x14ac:dyDescent="0.15">
      <c r="A888" s="10"/>
      <c r="B888" s="13"/>
      <c r="C888" s="13"/>
    </row>
    <row r="889" spans="1:3" ht="13" x14ac:dyDescent="0.15">
      <c r="A889" s="10"/>
      <c r="B889" s="13"/>
      <c r="C889" s="13"/>
    </row>
    <row r="890" spans="1:3" ht="13" x14ac:dyDescent="0.15">
      <c r="A890" s="10"/>
      <c r="B890" s="13"/>
      <c r="C890" s="13"/>
    </row>
    <row r="891" spans="1:3" ht="13" x14ac:dyDescent="0.15">
      <c r="A891" s="10"/>
      <c r="B891" s="13"/>
      <c r="C891" s="13"/>
    </row>
    <row r="892" spans="1:3" ht="13" x14ac:dyDescent="0.15">
      <c r="A892" s="10"/>
      <c r="B892" s="13"/>
      <c r="C892" s="13"/>
    </row>
    <row r="893" spans="1:3" ht="13" x14ac:dyDescent="0.15">
      <c r="A893" s="10"/>
      <c r="B893" s="13"/>
      <c r="C893" s="13"/>
    </row>
    <row r="894" spans="1:3" ht="13" x14ac:dyDescent="0.15">
      <c r="A894" s="10"/>
      <c r="B894" s="13"/>
      <c r="C894" s="13"/>
    </row>
    <row r="895" spans="1:3" ht="13" x14ac:dyDescent="0.15">
      <c r="A895" s="10"/>
      <c r="B895" s="13"/>
      <c r="C895" s="13"/>
    </row>
    <row r="896" spans="1:3" ht="13" x14ac:dyDescent="0.15">
      <c r="A896" s="10"/>
      <c r="B896" s="13"/>
      <c r="C896" s="13"/>
    </row>
    <row r="897" spans="1:3" ht="13" x14ac:dyDescent="0.15">
      <c r="A897" s="10"/>
      <c r="B897" s="13"/>
      <c r="C897" s="13"/>
    </row>
    <row r="898" spans="1:3" ht="13" x14ac:dyDescent="0.15">
      <c r="A898" s="10"/>
      <c r="B898" s="13"/>
      <c r="C898" s="13"/>
    </row>
    <row r="899" spans="1:3" ht="13" x14ac:dyDescent="0.15">
      <c r="A899" s="10"/>
      <c r="B899" s="13"/>
      <c r="C899" s="13"/>
    </row>
    <row r="900" spans="1:3" ht="13" x14ac:dyDescent="0.15">
      <c r="A900" s="10"/>
      <c r="B900" s="13"/>
      <c r="C900" s="13"/>
    </row>
    <row r="901" spans="1:3" ht="13" x14ac:dyDescent="0.15">
      <c r="A901" s="10"/>
      <c r="B901" s="13"/>
      <c r="C901" s="13"/>
    </row>
    <row r="902" spans="1:3" ht="13" x14ac:dyDescent="0.15">
      <c r="A902" s="10"/>
      <c r="B902" s="13"/>
      <c r="C902" s="13"/>
    </row>
    <row r="903" spans="1:3" ht="13" x14ac:dyDescent="0.15">
      <c r="A903" s="10"/>
      <c r="B903" s="13"/>
      <c r="C903" s="13"/>
    </row>
    <row r="904" spans="1:3" ht="13" x14ac:dyDescent="0.15">
      <c r="A904" s="10"/>
      <c r="B904" s="13"/>
      <c r="C904" s="13"/>
    </row>
    <row r="905" spans="1:3" ht="13" x14ac:dyDescent="0.15">
      <c r="A905" s="10"/>
      <c r="B905" s="13"/>
      <c r="C905" s="13"/>
    </row>
    <row r="906" spans="1:3" ht="13" x14ac:dyDescent="0.15">
      <c r="A906" s="10"/>
      <c r="B906" s="13"/>
      <c r="C906" s="13"/>
    </row>
    <row r="907" spans="1:3" ht="13" x14ac:dyDescent="0.15">
      <c r="A907" s="10"/>
      <c r="B907" s="13"/>
      <c r="C907" s="13"/>
    </row>
    <row r="908" spans="1:3" ht="13" x14ac:dyDescent="0.15">
      <c r="A908" s="10"/>
      <c r="B908" s="13"/>
      <c r="C908" s="13"/>
    </row>
    <row r="909" spans="1:3" ht="13" x14ac:dyDescent="0.15">
      <c r="A909" s="10"/>
      <c r="B909" s="13"/>
      <c r="C909" s="13"/>
    </row>
    <row r="910" spans="1:3" ht="13" x14ac:dyDescent="0.15">
      <c r="A910" s="10"/>
      <c r="B910" s="13"/>
      <c r="C910" s="13"/>
    </row>
    <row r="911" spans="1:3" ht="13" x14ac:dyDescent="0.15">
      <c r="A911" s="10"/>
      <c r="B911" s="13"/>
      <c r="C911" s="13"/>
    </row>
    <row r="912" spans="1:3" ht="13" x14ac:dyDescent="0.15">
      <c r="A912" s="10"/>
      <c r="B912" s="13"/>
      <c r="C912" s="13"/>
    </row>
    <row r="913" spans="1:3" ht="13" x14ac:dyDescent="0.15">
      <c r="A913" s="10"/>
      <c r="B913" s="13"/>
      <c r="C913" s="13"/>
    </row>
    <row r="914" spans="1:3" ht="13" x14ac:dyDescent="0.15">
      <c r="A914" s="10"/>
      <c r="B914" s="13"/>
      <c r="C914" s="13"/>
    </row>
    <row r="915" spans="1:3" ht="13" x14ac:dyDescent="0.15">
      <c r="A915" s="10"/>
      <c r="B915" s="13"/>
      <c r="C915" s="13"/>
    </row>
    <row r="916" spans="1:3" ht="13" x14ac:dyDescent="0.15">
      <c r="A916" s="10"/>
      <c r="B916" s="13"/>
      <c r="C916" s="13"/>
    </row>
    <row r="917" spans="1:3" ht="13" x14ac:dyDescent="0.15">
      <c r="A917" s="10"/>
      <c r="B917" s="13"/>
      <c r="C917" s="13"/>
    </row>
    <row r="918" spans="1:3" ht="13" x14ac:dyDescent="0.15">
      <c r="A918" s="10"/>
      <c r="B918" s="13"/>
      <c r="C918" s="13"/>
    </row>
    <row r="919" spans="1:3" ht="13" x14ac:dyDescent="0.15">
      <c r="A919" s="10"/>
      <c r="B919" s="13"/>
      <c r="C919" s="13"/>
    </row>
    <row r="920" spans="1:3" ht="13" x14ac:dyDescent="0.15">
      <c r="A920" s="10"/>
      <c r="B920" s="13"/>
      <c r="C920" s="13"/>
    </row>
    <row r="921" spans="1:3" ht="13" x14ac:dyDescent="0.15">
      <c r="A921" s="10"/>
      <c r="B921" s="13"/>
      <c r="C921" s="13"/>
    </row>
    <row r="922" spans="1:3" ht="13" x14ac:dyDescent="0.15">
      <c r="A922" s="10"/>
      <c r="B922" s="13"/>
      <c r="C922" s="13"/>
    </row>
    <row r="923" spans="1:3" ht="13" x14ac:dyDescent="0.15">
      <c r="A923" s="10"/>
      <c r="B923" s="13"/>
      <c r="C923" s="13"/>
    </row>
    <row r="924" spans="1:3" ht="13" x14ac:dyDescent="0.15">
      <c r="A924" s="10"/>
      <c r="B924" s="13"/>
      <c r="C924" s="13"/>
    </row>
    <row r="925" spans="1:3" ht="13" x14ac:dyDescent="0.15">
      <c r="A925" s="10"/>
      <c r="B925" s="13"/>
      <c r="C925" s="13"/>
    </row>
    <row r="926" spans="1:3" ht="13" x14ac:dyDescent="0.15">
      <c r="A926" s="10"/>
      <c r="B926" s="13"/>
      <c r="C926" s="13"/>
    </row>
    <row r="927" spans="1:3" ht="13" x14ac:dyDescent="0.15">
      <c r="A927" s="10"/>
      <c r="B927" s="13"/>
      <c r="C927" s="13"/>
    </row>
    <row r="928" spans="1:3" ht="13" x14ac:dyDescent="0.15">
      <c r="A928" s="10"/>
      <c r="B928" s="13"/>
      <c r="C928" s="13"/>
    </row>
    <row r="929" spans="1:3" ht="13" x14ac:dyDescent="0.15">
      <c r="A929" s="10"/>
      <c r="B929" s="13"/>
      <c r="C929" s="13"/>
    </row>
    <row r="930" spans="1:3" ht="13" x14ac:dyDescent="0.15">
      <c r="A930" s="10"/>
      <c r="B930" s="13"/>
      <c r="C930" s="13"/>
    </row>
    <row r="931" spans="1:3" ht="13" x14ac:dyDescent="0.15">
      <c r="A931" s="10"/>
      <c r="B931" s="13"/>
      <c r="C931" s="13"/>
    </row>
    <row r="932" spans="1:3" ht="13" x14ac:dyDescent="0.15">
      <c r="A932" s="10"/>
      <c r="B932" s="13"/>
      <c r="C932" s="13"/>
    </row>
    <row r="933" spans="1:3" ht="13" x14ac:dyDescent="0.15">
      <c r="A933" s="10"/>
      <c r="B933" s="13"/>
      <c r="C933" s="13"/>
    </row>
    <row r="934" spans="1:3" ht="13" x14ac:dyDescent="0.15">
      <c r="A934" s="10"/>
      <c r="B934" s="13"/>
      <c r="C934" s="13"/>
    </row>
    <row r="935" spans="1:3" ht="13" x14ac:dyDescent="0.15">
      <c r="A935" s="10"/>
      <c r="B935" s="13"/>
      <c r="C935" s="13"/>
    </row>
    <row r="936" spans="1:3" ht="13" x14ac:dyDescent="0.15">
      <c r="A936" s="10"/>
      <c r="B936" s="13"/>
      <c r="C936" s="13"/>
    </row>
    <row r="937" spans="1:3" ht="13" x14ac:dyDescent="0.15">
      <c r="A937" s="10"/>
      <c r="B937" s="13"/>
      <c r="C937" s="13"/>
    </row>
    <row r="938" spans="1:3" ht="13" x14ac:dyDescent="0.15">
      <c r="A938" s="10"/>
      <c r="B938" s="13"/>
      <c r="C938" s="13"/>
    </row>
    <row r="939" spans="1:3" ht="13" x14ac:dyDescent="0.15">
      <c r="A939" s="10"/>
      <c r="B939" s="13"/>
      <c r="C939" s="13"/>
    </row>
    <row r="940" spans="1:3" ht="13" x14ac:dyDescent="0.15">
      <c r="A940" s="10"/>
      <c r="B940" s="13"/>
      <c r="C940" s="13"/>
    </row>
    <row r="941" spans="1:3" ht="13" x14ac:dyDescent="0.15">
      <c r="A941" s="10"/>
      <c r="B941" s="13"/>
      <c r="C941" s="13"/>
    </row>
    <row r="942" spans="1:3" ht="13" x14ac:dyDescent="0.15">
      <c r="A942" s="10"/>
      <c r="B942" s="13"/>
      <c r="C942" s="13"/>
    </row>
    <row r="943" spans="1:3" ht="13" x14ac:dyDescent="0.15">
      <c r="A943" s="10"/>
      <c r="B943" s="13"/>
      <c r="C943" s="13"/>
    </row>
    <row r="944" spans="1:3" ht="13" x14ac:dyDescent="0.15">
      <c r="A944" s="10"/>
      <c r="B944" s="13"/>
      <c r="C944" s="13"/>
    </row>
    <row r="945" spans="1:3" ht="13" x14ac:dyDescent="0.15">
      <c r="A945" s="10"/>
      <c r="B945" s="13"/>
      <c r="C945" s="13"/>
    </row>
    <row r="946" spans="1:3" ht="13" x14ac:dyDescent="0.15">
      <c r="A946" s="10"/>
      <c r="B946" s="13"/>
      <c r="C946" s="13"/>
    </row>
    <row r="947" spans="1:3" ht="13" x14ac:dyDescent="0.15">
      <c r="A947" s="10"/>
      <c r="B947" s="13"/>
      <c r="C947" s="13"/>
    </row>
    <row r="948" spans="1:3" ht="13" x14ac:dyDescent="0.15">
      <c r="A948" s="10"/>
      <c r="B948" s="13"/>
      <c r="C948" s="13"/>
    </row>
    <row r="949" spans="1:3" ht="13" x14ac:dyDescent="0.15">
      <c r="A949" s="10"/>
      <c r="B949" s="13"/>
      <c r="C949" s="13"/>
    </row>
    <row r="950" spans="1:3" ht="13" x14ac:dyDescent="0.15">
      <c r="A950" s="10"/>
      <c r="B950" s="13"/>
      <c r="C950" s="13"/>
    </row>
    <row r="951" spans="1:3" ht="13" x14ac:dyDescent="0.15">
      <c r="A951" s="10"/>
      <c r="B951" s="13"/>
      <c r="C951" s="13"/>
    </row>
    <row r="952" spans="1:3" ht="13" x14ac:dyDescent="0.15">
      <c r="A952" s="10"/>
      <c r="B952" s="13"/>
      <c r="C952" s="13"/>
    </row>
    <row r="953" spans="1:3" ht="13" x14ac:dyDescent="0.15">
      <c r="A953" s="10"/>
      <c r="B953" s="13"/>
      <c r="C953" s="13"/>
    </row>
    <row r="954" spans="1:3" ht="13" x14ac:dyDescent="0.15">
      <c r="A954" s="10"/>
      <c r="B954" s="13"/>
      <c r="C954" s="13"/>
    </row>
    <row r="955" spans="1:3" ht="13" x14ac:dyDescent="0.15">
      <c r="A955" s="10"/>
      <c r="B955" s="13"/>
      <c r="C955" s="13"/>
    </row>
    <row r="956" spans="1:3" ht="13" x14ac:dyDescent="0.15">
      <c r="A956" s="10"/>
      <c r="B956" s="13"/>
      <c r="C956" s="13"/>
    </row>
    <row r="957" spans="1:3" ht="13" x14ac:dyDescent="0.15">
      <c r="A957" s="10"/>
      <c r="B957" s="13"/>
      <c r="C957" s="13"/>
    </row>
    <row r="958" spans="1:3" ht="13" x14ac:dyDescent="0.15">
      <c r="A958" s="10"/>
      <c r="B958" s="13"/>
      <c r="C958" s="13"/>
    </row>
    <row r="959" spans="1:3" ht="13" x14ac:dyDescent="0.15">
      <c r="A959" s="10"/>
      <c r="B959" s="13"/>
      <c r="C959" s="13"/>
    </row>
    <row r="960" spans="1:3" ht="13" x14ac:dyDescent="0.15">
      <c r="A960" s="10"/>
      <c r="B960" s="13"/>
      <c r="C960" s="13"/>
    </row>
    <row r="961" spans="1:3" ht="13" x14ac:dyDescent="0.15">
      <c r="A961" s="10"/>
      <c r="B961" s="13"/>
      <c r="C961" s="13"/>
    </row>
    <row r="962" spans="1:3" ht="13" x14ac:dyDescent="0.15">
      <c r="A962" s="10"/>
      <c r="B962" s="13"/>
      <c r="C962" s="13"/>
    </row>
    <row r="963" spans="1:3" ht="13" x14ac:dyDescent="0.15">
      <c r="A963" s="10"/>
      <c r="B963" s="13"/>
      <c r="C963" s="13"/>
    </row>
    <row r="964" spans="1:3" ht="13" x14ac:dyDescent="0.15">
      <c r="A964" s="10"/>
      <c r="B964" s="13"/>
      <c r="C964" s="13"/>
    </row>
    <row r="965" spans="1:3" ht="13" x14ac:dyDescent="0.15">
      <c r="A965" s="10"/>
      <c r="B965" s="13"/>
      <c r="C965" s="13"/>
    </row>
    <row r="966" spans="1:3" ht="13" x14ac:dyDescent="0.15">
      <c r="A966" s="10"/>
      <c r="B966" s="13"/>
      <c r="C966" s="13"/>
    </row>
    <row r="967" spans="1:3" ht="13" x14ac:dyDescent="0.15">
      <c r="A967" s="10"/>
      <c r="B967" s="13"/>
      <c r="C967" s="13"/>
    </row>
    <row r="968" spans="1:3" ht="13" x14ac:dyDescent="0.15">
      <c r="A968" s="10"/>
      <c r="B968" s="13"/>
      <c r="C968" s="13"/>
    </row>
    <row r="969" spans="1:3" ht="13" x14ac:dyDescent="0.15">
      <c r="A969" s="10"/>
      <c r="B969" s="13"/>
      <c r="C969" s="13"/>
    </row>
    <row r="970" spans="1:3" ht="13" x14ac:dyDescent="0.15">
      <c r="A970" s="10"/>
      <c r="B970" s="13"/>
      <c r="C970" s="13"/>
    </row>
    <row r="971" spans="1:3" ht="13" x14ac:dyDescent="0.15">
      <c r="A971" s="10"/>
      <c r="B971" s="13"/>
      <c r="C971" s="13"/>
    </row>
    <row r="972" spans="1:3" ht="13" x14ac:dyDescent="0.15">
      <c r="A972" s="10"/>
      <c r="B972" s="13"/>
      <c r="C972" s="13"/>
    </row>
    <row r="973" spans="1:3" ht="13" x14ac:dyDescent="0.15">
      <c r="A973" s="10"/>
      <c r="B973" s="13"/>
      <c r="C973" s="13"/>
    </row>
    <row r="974" spans="1:3" ht="13" x14ac:dyDescent="0.15">
      <c r="A974" s="10"/>
      <c r="B974" s="13"/>
      <c r="C974" s="13"/>
    </row>
    <row r="975" spans="1:3" ht="13" x14ac:dyDescent="0.15">
      <c r="A975" s="10"/>
      <c r="B975" s="13"/>
      <c r="C975" s="13"/>
    </row>
    <row r="976" spans="1:3" ht="13" x14ac:dyDescent="0.15">
      <c r="A976" s="10"/>
      <c r="B976" s="13"/>
      <c r="C976" s="13"/>
    </row>
    <row r="977" spans="1:3" ht="13" x14ac:dyDescent="0.15">
      <c r="A977" s="10"/>
      <c r="B977" s="13"/>
      <c r="C977" s="13"/>
    </row>
    <row r="978" spans="1:3" ht="13" x14ac:dyDescent="0.15">
      <c r="A978" s="10"/>
      <c r="B978" s="13"/>
      <c r="C978" s="13"/>
    </row>
    <row r="979" spans="1:3" ht="13" x14ac:dyDescent="0.15">
      <c r="A979" s="10"/>
      <c r="B979" s="13"/>
      <c r="C979" s="13"/>
    </row>
    <row r="980" spans="1:3" ht="13" x14ac:dyDescent="0.15">
      <c r="A980" s="10"/>
      <c r="B980" s="13"/>
      <c r="C980" s="13"/>
    </row>
    <row r="981" spans="1:3" ht="13" x14ac:dyDescent="0.15">
      <c r="A981" s="10"/>
      <c r="B981" s="13"/>
      <c r="C981" s="13"/>
    </row>
    <row r="982" spans="1:3" ht="13" x14ac:dyDescent="0.15">
      <c r="A982" s="10"/>
      <c r="B982" s="13"/>
      <c r="C982" s="13"/>
    </row>
    <row r="983" spans="1:3" ht="13" x14ac:dyDescent="0.15">
      <c r="A983" s="10"/>
      <c r="B983" s="13"/>
      <c r="C983" s="13"/>
    </row>
    <row r="984" spans="1:3" ht="13" x14ac:dyDescent="0.15">
      <c r="A984" s="10"/>
      <c r="B984" s="13"/>
      <c r="C984" s="13"/>
    </row>
    <row r="985" spans="1:3" ht="13" x14ac:dyDescent="0.15">
      <c r="A985" s="10"/>
      <c r="B985" s="13"/>
      <c r="C985" s="13"/>
    </row>
    <row r="986" spans="1:3" ht="13" x14ac:dyDescent="0.15">
      <c r="A986" s="10"/>
      <c r="B986" s="13"/>
      <c r="C986" s="13"/>
    </row>
    <row r="987" spans="1:3" ht="13" x14ac:dyDescent="0.15">
      <c r="A987" s="10"/>
      <c r="B987" s="13"/>
      <c r="C987" s="13"/>
    </row>
    <row r="988" spans="1:3" ht="13" x14ac:dyDescent="0.15">
      <c r="A988" s="10"/>
      <c r="B988" s="13"/>
      <c r="C988" s="13"/>
    </row>
    <row r="989" spans="1:3" ht="13" x14ac:dyDescent="0.15">
      <c r="A989" s="10"/>
      <c r="B989" s="13"/>
      <c r="C989" s="13"/>
    </row>
    <row r="990" spans="1:3" ht="13" x14ac:dyDescent="0.15">
      <c r="A990" s="10"/>
      <c r="B990" s="13"/>
      <c r="C990" s="13"/>
    </row>
    <row r="991" spans="1:3" ht="13" x14ac:dyDescent="0.15">
      <c r="A991" s="10"/>
      <c r="B991" s="13"/>
      <c r="C991" s="13"/>
    </row>
    <row r="992" spans="1:3" ht="13" x14ac:dyDescent="0.15">
      <c r="A992" s="10"/>
      <c r="B992" s="13"/>
      <c r="C992" s="13"/>
    </row>
    <row r="993" spans="1:3" ht="13" x14ac:dyDescent="0.15">
      <c r="A993" s="10"/>
      <c r="B993" s="13"/>
      <c r="C993" s="13"/>
    </row>
    <row r="994" spans="1:3" ht="13" x14ac:dyDescent="0.15">
      <c r="A994" s="10"/>
      <c r="B994" s="13"/>
      <c r="C994" s="13"/>
    </row>
    <row r="995" spans="1:3" ht="13" x14ac:dyDescent="0.15">
      <c r="A995" s="10"/>
      <c r="B995" s="13"/>
      <c r="C995" s="13"/>
    </row>
    <row r="996" spans="1:3" ht="13" x14ac:dyDescent="0.15">
      <c r="A996" s="10"/>
      <c r="B996" s="13"/>
      <c r="C996" s="13"/>
    </row>
    <row r="997" spans="1:3" ht="13" x14ac:dyDescent="0.15">
      <c r="A997" s="10"/>
      <c r="B997" s="13"/>
      <c r="C997" s="13"/>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101</vt:i4>
      </vt:variant>
    </vt:vector>
  </HeadingPairs>
  <TitlesOfParts>
    <vt:vector size="101" baseType="lpstr">
      <vt:lpstr>A1</vt:lpstr>
      <vt:lpstr>A2</vt:lpstr>
      <vt:lpstr>A3</vt:lpstr>
      <vt:lpstr>A4</vt:lpstr>
      <vt:lpstr>A5</vt:lpstr>
      <vt:lpstr>A6</vt:lpstr>
      <vt:lpstr>A7</vt:lpstr>
      <vt:lpstr>A8</vt:lpstr>
      <vt:lpstr>A9</vt:lpstr>
      <vt:lpstr>A10</vt:lpstr>
      <vt:lpstr>A11</vt:lpstr>
      <vt:lpstr>A12</vt:lpstr>
      <vt:lpstr>A13</vt:lpstr>
      <vt:lpstr>A14</vt:lpstr>
      <vt:lpstr>A15</vt:lpstr>
      <vt:lpstr>A16</vt:lpstr>
      <vt:lpstr>A17</vt:lpstr>
      <vt:lpstr>A18</vt:lpstr>
      <vt:lpstr>A19</vt:lpstr>
      <vt:lpstr>A20</vt:lpstr>
      <vt:lpstr>A21</vt:lpstr>
      <vt:lpstr>A22</vt:lpstr>
      <vt:lpstr>A23</vt:lpstr>
      <vt:lpstr>A24</vt:lpstr>
      <vt:lpstr>A25</vt:lpstr>
      <vt:lpstr>A26</vt:lpstr>
      <vt:lpstr>A27</vt:lpstr>
      <vt:lpstr>A28</vt:lpstr>
      <vt:lpstr>A29</vt:lpstr>
      <vt:lpstr>A30</vt:lpstr>
      <vt:lpstr>A31</vt:lpstr>
      <vt:lpstr>A32</vt:lpstr>
      <vt:lpstr>A33</vt:lpstr>
      <vt:lpstr>A34</vt:lpstr>
      <vt:lpstr>A35</vt:lpstr>
      <vt:lpstr>A36</vt:lpstr>
      <vt:lpstr>A37</vt:lpstr>
      <vt:lpstr>A38</vt:lpstr>
      <vt:lpstr>A39</vt:lpstr>
      <vt:lpstr>A40</vt:lpstr>
      <vt:lpstr>A41</vt:lpstr>
      <vt:lpstr>A42</vt:lpstr>
      <vt:lpstr>A43</vt:lpstr>
      <vt:lpstr>A44</vt:lpstr>
      <vt:lpstr>A45</vt:lpstr>
      <vt:lpstr>A46</vt:lpstr>
      <vt:lpstr>A47</vt:lpstr>
      <vt:lpstr>A48</vt:lpstr>
      <vt:lpstr>A49</vt:lpstr>
      <vt:lpstr>A50</vt:lpstr>
      <vt:lpstr>A51</vt:lpstr>
      <vt:lpstr>A52</vt:lpstr>
      <vt:lpstr>A53</vt:lpstr>
      <vt:lpstr>A54</vt:lpstr>
      <vt:lpstr>A55</vt:lpstr>
      <vt:lpstr>A56</vt:lpstr>
      <vt:lpstr>A57</vt:lpstr>
      <vt:lpstr>A58</vt:lpstr>
      <vt:lpstr>A59</vt:lpstr>
      <vt:lpstr>A60</vt:lpstr>
      <vt:lpstr>A61</vt:lpstr>
      <vt:lpstr>A62</vt:lpstr>
      <vt:lpstr>A63</vt:lpstr>
      <vt:lpstr>A64</vt:lpstr>
      <vt:lpstr>A65</vt:lpstr>
      <vt:lpstr>A66</vt:lpstr>
      <vt:lpstr>A67</vt:lpstr>
      <vt:lpstr>A68</vt:lpstr>
      <vt:lpstr>A69</vt:lpstr>
      <vt:lpstr>A70</vt:lpstr>
      <vt:lpstr>A71</vt:lpstr>
      <vt:lpstr>A72</vt:lpstr>
      <vt:lpstr>A73</vt:lpstr>
      <vt:lpstr>A74</vt:lpstr>
      <vt:lpstr>A75</vt:lpstr>
      <vt:lpstr>A76</vt:lpstr>
      <vt:lpstr>A77</vt:lpstr>
      <vt:lpstr>A78</vt:lpstr>
      <vt:lpstr>A79</vt:lpstr>
      <vt:lpstr>A80</vt:lpstr>
      <vt:lpstr>A81</vt:lpstr>
      <vt:lpstr>A82</vt:lpstr>
      <vt:lpstr>A83</vt:lpstr>
      <vt:lpstr>A84</vt:lpstr>
      <vt:lpstr>A85</vt:lpstr>
      <vt:lpstr>A86</vt:lpstr>
      <vt:lpstr>A87</vt:lpstr>
      <vt:lpstr>A88</vt:lpstr>
      <vt:lpstr>A89</vt:lpstr>
      <vt:lpstr>A90</vt:lpstr>
      <vt:lpstr>A91</vt:lpstr>
      <vt:lpstr>A92</vt:lpstr>
      <vt:lpstr>A93</vt:lpstr>
      <vt:lpstr>A94</vt:lpstr>
      <vt:lpstr>A95</vt:lpstr>
      <vt:lpstr>A96</vt:lpstr>
      <vt:lpstr>A97</vt:lpstr>
      <vt:lpstr>A98</vt:lpstr>
      <vt:lpstr>A99</vt:lpstr>
      <vt:lpstr>A100</vt:lpstr>
      <vt:lpstr>A101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UserSELU</cp:lastModifiedBy>
  <dcterms:modified xsi:type="dcterms:W3CDTF">2025-04-30T20:17:03Z</dcterms:modified>
</cp:coreProperties>
</file>